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6.xml" ContentType="application/vnd.openxmlformats-officedocument.spreadsheetml.comments+xml"/>
  <Override PartName="/xl/comments15.xml" ContentType="application/vnd.openxmlformats-officedocument.spreadsheetml.comments+xml"/>
  <Override PartName="/xl/comments19.xml" ContentType="application/vnd.openxmlformats-officedocument.spreadsheetml.comments+xml"/>
  <Override PartName="/xl/comments17.xml" ContentType="application/vnd.openxmlformats-officedocument.spreadsheetml.comments+xml"/>
  <Override PartName="/xl/comments14.xml" ContentType="application/vnd.openxmlformats-officedocument.spreadsheetml.comments+xml"/>
  <Override PartName="/xl/comments18.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meta14" ContentType="application/binary"/>
  <Override PartName="/xl/commentsmeta15" ContentType="application/binary"/>
  <Override PartName="/xl/commentsmeta16" ContentType="application/binary"/>
  <Override PartName="/xl/commentsmeta17"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Override PartName="/xl/commentsmeta10" ContentType="application/binary"/>
  <Override PartName="/xl/metadata" ContentType="application/binary"/>
  <Override PartName="/xl/commentsmeta0" ContentType="application/binary"/>
  <Override PartName="/xl/commentsmeta12"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13" ContentType="application/binar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scasey\Documents\VIMAL\"/>
    </mc:Choice>
  </mc:AlternateContent>
  <xr:revisionPtr revIDLastSave="0" documentId="8_{92CE8401-F166-4A87-9D9E-D4659F566C19}" xr6:coauthVersionLast="47" xr6:coauthVersionMax="47" xr10:uidLastSave="{00000000-0000-0000-0000-000000000000}"/>
  <bookViews>
    <workbookView xWindow="1500" yWindow="1500" windowWidth="17280" windowHeight="8964" xr2:uid="{00000000-000D-0000-FFFF-FFFF00000000}"/>
  </bookViews>
  <sheets>
    <sheet name="Summary" sheetId="1" r:id="rId1"/>
    <sheet name="EGU_By_Fuel_Type_II" sheetId="3" r:id="rId2"/>
    <sheet name="EGU Details" sheetId="4" r:id="rId3"/>
    <sheet name="Imported Electricity " sheetId="5" r:id="rId4"/>
    <sheet name="Residential" sheetId="6" r:id="rId5"/>
    <sheet name="Commercial" sheetId="7" r:id="rId6"/>
    <sheet name="Industrial" sheetId="8" r:id="rId7"/>
    <sheet name="On_Road_Transportation" sheetId="9" r:id="rId8"/>
    <sheet name="Non_Road_Transportation" sheetId="10" r:id="rId9"/>
    <sheet name="Others_Transportation" sheetId="11" r:id="rId10"/>
    <sheet name="Natural Gas and Oil" sheetId="12" r:id="rId11"/>
    <sheet name="Mining" sheetId="13" r:id="rId12"/>
    <sheet name="Cement" sheetId="14" r:id="rId13"/>
    <sheet name="LimeT&amp;DSodaODS" sheetId="15" r:id="rId14"/>
    <sheet name="Iron And Steel" sheetId="16" r:id="rId15"/>
    <sheet name="Ammonia &amp; Urea Consumption" sheetId="17" r:id="rId16"/>
    <sheet name="Agricultural" sheetId="18" r:id="rId17"/>
    <sheet name="Agriculture-Liming &amp; Urea" sheetId="19" r:id="rId18"/>
    <sheet name="Incinerators" sheetId="20" r:id="rId19"/>
    <sheet name="Landfill_I" sheetId="21" r:id="rId20"/>
    <sheet name="LFGTE_II" sheetId="22" r:id="rId21"/>
    <sheet name="Wastewater" sheetId="23" r:id="rId22"/>
    <sheet name="OpenBurn" sheetId="24" r:id="rId23"/>
    <sheet name="Land_Use" sheetId="2" r:id="rId24"/>
  </sheets>
  <definedNames>
    <definedName name="_Key1">#REF!</definedName>
    <definedName name="_Sort">#REF!</definedName>
    <definedName name="Carbon_Dioxide_ii">Non_Road_Transportation!$L$35:$L$4787</definedName>
    <definedName name="CementCorrectionFactor">#REF!</definedName>
    <definedName name="CH4GWP">#REF!</definedName>
    <definedName name="CoalCCs">#REF!</definedName>
    <definedName name="CoalGrowth">#REF!</definedName>
    <definedName name="data">#REF!</definedName>
    <definedName name="ElecProj">#REF!</definedName>
    <definedName name="EntFermEFs">#REF!</definedName>
    <definedName name="EntFermEFs2">#REF!</definedName>
    <definedName name="EPS">#REF!</definedName>
    <definedName name="EPSFraction">#REF!</definedName>
    <definedName name="FCFchoice">#REF!</definedName>
    <definedName name="FertData">#REF!</definedName>
    <definedName name="FertTypes">#REF!</definedName>
    <definedName name="FFFactors">#REF!</definedName>
    <definedName name="FullName">#REF!</definedName>
    <definedName name="GasProj">#REF!</definedName>
    <definedName name="GWP">#REF!</definedName>
    <definedName name="GWPCH4">#REF!</definedName>
    <definedName name="GWPN2O">#REF!</definedName>
    <definedName name="HTML1_1">#REF!</definedName>
    <definedName name="HTML1_12">#REF!</definedName>
    <definedName name="HTML1_3">#REF!</definedName>
    <definedName name="HTML1_4">#REF!</definedName>
    <definedName name="IndustrialPercent">#REF!</definedName>
    <definedName name="kg.MT">#REF!</definedName>
    <definedName name="LiquidEF">#REF!</definedName>
    <definedName name="MCFs">#REF!</definedName>
    <definedName name="Methane">Non_Road_Transportation!$M$35:$M$4787</definedName>
    <definedName name="MMFactors">#REF!</definedName>
    <definedName name="MT_per_T">#REF!</definedName>
    <definedName name="N20GWP">#REF!</definedName>
    <definedName name="N2OGWP">#REF!</definedName>
    <definedName name="NetOutElecExports">#REF!</definedName>
    <definedName name="NEU">#REF!</definedName>
    <definedName name="NGCH4meth">#REF!</definedName>
    <definedName name="nobedEF">#REF!</definedName>
    <definedName name="open">#REF!</definedName>
    <definedName name="OxidationFactor">#REF!</definedName>
    <definedName name="PopGrid">#REF!</definedName>
    <definedName name="SCC_Level_II">Non_Road_Transportation!$I$35:$I$4787</definedName>
    <definedName name="SelectedState">#REF!</definedName>
    <definedName name="Short_metric">#REF!</definedName>
    <definedName name="SolidEF">#REF!</definedName>
    <definedName name="State">#REF!</definedName>
    <definedName name="StateChoice">#REF!</definedName>
    <definedName name="StateList">#REF!</definedName>
    <definedName name="States">#REF!</definedName>
    <definedName name="StatFactors">#REF!</definedName>
    <definedName name="StorageFactors">#REF!</definedName>
    <definedName name="Tier_II_Decription">Non_Road_Transportation!$H$35:$H$4787</definedName>
    <definedName name="TransData">#REF!</definedName>
    <definedName name="TransProj">#REF!</definedName>
    <definedName name="UFactor">#REF!</definedName>
    <definedName name="Units">#REF!</definedName>
    <definedName name="VersionDate">#REF!</definedName>
    <definedName name="VersionNumber">#REF!</definedName>
    <definedName name="VolPercent">#REF!</definedName>
    <definedName name="VS_BeefReplace">#REF!</definedName>
    <definedName name="VS_BeefReplace2">#REF!</definedName>
    <definedName name="VS_feedlotheifer">#REF!</definedName>
    <definedName name="VS_feedlotheifer2">#REF!</definedName>
    <definedName name="VS_feedlotsteer">#REF!</definedName>
    <definedName name="VS_feedlotsteer2">#REF!</definedName>
    <definedName name="VS_NOFcows">#REF!</definedName>
    <definedName name="VS_NOFcows2">#REF!</definedName>
    <definedName name="VS_NOFheifers">#REF!</definedName>
    <definedName name="VS_NOFheifers2">#REF!</definedName>
    <definedName name="VS_NOFsteers">#REF!</definedName>
    <definedName name="VS_NOFsteers2">#REF!</definedName>
    <definedName name="VT_mi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8" roundtripDataSignature="AMtx7mjiAWihxe0FOImnpbj8ufQPhxcJhQ=="/>
    </ext>
  </extLst>
</workbook>
</file>

<file path=xl/calcChain.xml><?xml version="1.0" encoding="utf-8"?>
<calcChain xmlns="http://schemas.openxmlformats.org/spreadsheetml/2006/main">
  <c r="D84" i="21" l="1"/>
  <c r="F38" i="9" l="1"/>
  <c r="K38" i="9"/>
  <c r="P38" i="9"/>
  <c r="U38" i="9"/>
  <c r="D167" i="1"/>
  <c r="D166" i="1"/>
  <c r="D161" i="1"/>
  <c r="D159" i="1"/>
  <c r="D150" i="1"/>
  <c r="D149" i="1"/>
  <c r="D144" i="1"/>
  <c r="D141" i="1"/>
  <c r="D140" i="1"/>
  <c r="D136" i="1"/>
  <c r="D134" i="1"/>
  <c r="D132" i="1"/>
  <c r="D129" i="1"/>
  <c r="D128" i="1"/>
  <c r="D127" i="1"/>
  <c r="D125" i="1"/>
  <c r="D124" i="1"/>
  <c r="D121" i="1"/>
  <c r="D120" i="1"/>
  <c r="D119" i="1"/>
  <c r="D116" i="1"/>
  <c r="D115" i="1"/>
  <c r="D113" i="1"/>
  <c r="D112" i="1"/>
  <c r="D111" i="1"/>
  <c r="D109" i="1"/>
  <c r="D108" i="1"/>
  <c r="D105" i="1"/>
  <c r="D104" i="1"/>
  <c r="D101" i="1"/>
  <c r="D100" i="1"/>
  <c r="D97" i="1"/>
  <c r="D96" i="1"/>
  <c r="D92" i="1"/>
  <c r="D90" i="1"/>
  <c r="D88" i="1"/>
  <c r="D87" i="1"/>
  <c r="D86" i="1"/>
  <c r="D63" i="1"/>
  <c r="D55" i="1"/>
  <c r="D28" i="1"/>
  <c r="D27" i="1"/>
  <c r="D26" i="1"/>
  <c r="D25" i="1" s="1"/>
  <c r="D126" i="1" l="1"/>
  <c r="D85" i="1"/>
  <c r="D118" i="1"/>
  <c r="D110" i="1"/>
  <c r="K7" i="6"/>
  <c r="K7" i="7"/>
  <c r="L39" i="8"/>
  <c r="X8" i="9"/>
  <c r="L12" i="10"/>
  <c r="R8" i="11"/>
  <c r="Z7" i="18"/>
  <c r="P6" i="15"/>
  <c r="Q13" i="13"/>
  <c r="I25" i="12"/>
  <c r="AG8" i="20"/>
  <c r="D82" i="21"/>
  <c r="AO6" i="23"/>
  <c r="C38" i="23" l="1"/>
  <c r="W26" i="23"/>
  <c r="S26" i="23"/>
  <c r="O26" i="23"/>
  <c r="AE19" i="23"/>
  <c r="AC19" i="23"/>
  <c r="W19" i="23"/>
  <c r="O19" i="23"/>
  <c r="M19" i="23"/>
  <c r="Q19" i="23" s="1"/>
  <c r="Y19" i="23" s="1"/>
  <c r="Q12" i="23"/>
  <c r="O12" i="23"/>
  <c r="K12" i="23"/>
  <c r="AO10" i="23"/>
  <c r="AO9" i="23"/>
  <c r="M12" i="23" s="1"/>
  <c r="AO8" i="23"/>
  <c r="U26" i="23" s="1"/>
  <c r="AO7" i="23"/>
  <c r="U6" i="23"/>
  <c r="O6" i="23"/>
  <c r="P63" i="22"/>
  <c r="K63" i="22"/>
  <c r="J63" i="22"/>
  <c r="C63" i="22"/>
  <c r="P61" i="22"/>
  <c r="K61" i="22"/>
  <c r="J61" i="22"/>
  <c r="C61" i="22"/>
  <c r="P59" i="22"/>
  <c r="K59" i="22"/>
  <c r="J59" i="22"/>
  <c r="C59" i="22"/>
  <c r="P57" i="22"/>
  <c r="K57" i="22"/>
  <c r="J57" i="22"/>
  <c r="C57" i="22"/>
  <c r="P55" i="22"/>
  <c r="K55" i="22"/>
  <c r="J55" i="22"/>
  <c r="C55" i="22"/>
  <c r="P53" i="22"/>
  <c r="K53" i="22"/>
  <c r="J53" i="22"/>
  <c r="C53" i="22"/>
  <c r="P51" i="22"/>
  <c r="K51" i="22"/>
  <c r="J51" i="22"/>
  <c r="I51" i="22"/>
  <c r="F51" i="22"/>
  <c r="P49" i="22"/>
  <c r="K49" i="22"/>
  <c r="J49" i="22"/>
  <c r="C49" i="22"/>
  <c r="F49" i="22" s="1"/>
  <c r="P47" i="22"/>
  <c r="K47" i="22"/>
  <c r="J47" i="22"/>
  <c r="C47" i="22"/>
  <c r="I47" i="22" s="1"/>
  <c r="P44" i="22"/>
  <c r="K44" i="22"/>
  <c r="D44" i="22"/>
  <c r="J44" i="22" s="1"/>
  <c r="C44" i="22"/>
  <c r="F44" i="22" s="1"/>
  <c r="P42" i="22"/>
  <c r="K42" i="22"/>
  <c r="J42" i="22"/>
  <c r="C42" i="22"/>
  <c r="I42" i="22" s="1"/>
  <c r="P40" i="22"/>
  <c r="J40" i="22"/>
  <c r="E40" i="22"/>
  <c r="K40" i="22" s="1"/>
  <c r="C40" i="22"/>
  <c r="P38" i="22"/>
  <c r="J38" i="22"/>
  <c r="E38" i="22"/>
  <c r="C38" i="22"/>
  <c r="P36" i="22"/>
  <c r="J36" i="22"/>
  <c r="I36" i="22"/>
  <c r="E36" i="22"/>
  <c r="F36" i="22" s="1"/>
  <c r="P34" i="22"/>
  <c r="J34" i="22"/>
  <c r="E34" i="22"/>
  <c r="C34" i="22"/>
  <c r="P32" i="22"/>
  <c r="J32" i="22"/>
  <c r="I32" i="22"/>
  <c r="E32" i="22"/>
  <c r="K32" i="22" s="1"/>
  <c r="P30" i="22"/>
  <c r="K30" i="22"/>
  <c r="J30" i="22"/>
  <c r="C30" i="22"/>
  <c r="I30" i="22" s="1"/>
  <c r="P28" i="22"/>
  <c r="J28" i="22"/>
  <c r="H28" i="22"/>
  <c r="E28" i="22"/>
  <c r="C28" i="22"/>
  <c r="I28" i="22" s="1"/>
  <c r="P26" i="22"/>
  <c r="J26" i="22"/>
  <c r="E26" i="22"/>
  <c r="K26" i="22" s="1"/>
  <c r="C26" i="22"/>
  <c r="I26" i="22" s="1"/>
  <c r="P24" i="22"/>
  <c r="J24" i="22"/>
  <c r="E24" i="22"/>
  <c r="C24" i="22"/>
  <c r="G6" i="22"/>
  <c r="Z61" i="22" s="1"/>
  <c r="R75" i="21"/>
  <c r="T75" i="21" s="1"/>
  <c r="M75" i="21"/>
  <c r="K75" i="21"/>
  <c r="J75" i="21"/>
  <c r="K74" i="21"/>
  <c r="R74" i="21" s="1"/>
  <c r="J74" i="21"/>
  <c r="G74" i="21"/>
  <c r="E74" i="21"/>
  <c r="K72" i="21"/>
  <c r="R72" i="21" s="1"/>
  <c r="J72" i="21"/>
  <c r="G72" i="21"/>
  <c r="E72" i="21"/>
  <c r="K70" i="21"/>
  <c r="R70" i="21" s="1"/>
  <c r="T70" i="21" s="1"/>
  <c r="J70" i="21"/>
  <c r="G70" i="21"/>
  <c r="E70" i="21"/>
  <c r="K69" i="21"/>
  <c r="R69" i="21" s="1"/>
  <c r="J69" i="21"/>
  <c r="G69" i="21"/>
  <c r="E69" i="21"/>
  <c r="K68" i="21"/>
  <c r="R68" i="21" s="1"/>
  <c r="J68" i="21"/>
  <c r="G68" i="21"/>
  <c r="K66" i="21"/>
  <c r="R66" i="21" s="1"/>
  <c r="J66" i="21"/>
  <c r="G66" i="21"/>
  <c r="E66" i="21"/>
  <c r="E65" i="21"/>
  <c r="K64" i="21"/>
  <c r="R64" i="21" s="1"/>
  <c r="J64" i="21"/>
  <c r="G64" i="21"/>
  <c r="K63" i="21"/>
  <c r="R63" i="21" s="1"/>
  <c r="J63" i="21"/>
  <c r="G63" i="21"/>
  <c r="K61" i="21"/>
  <c r="R61" i="21" s="1"/>
  <c r="T61" i="21" s="1"/>
  <c r="U61" i="21" s="1"/>
  <c r="V61" i="21" s="1"/>
  <c r="J61" i="21"/>
  <c r="G61" i="21"/>
  <c r="E61" i="21"/>
  <c r="J60" i="21"/>
  <c r="G60" i="21"/>
  <c r="E60" i="21"/>
  <c r="K59" i="21"/>
  <c r="M59" i="21" s="1"/>
  <c r="J59" i="21"/>
  <c r="G59" i="21"/>
  <c r="E59" i="21"/>
  <c r="K58" i="21"/>
  <c r="R58" i="21" s="1"/>
  <c r="J58" i="21"/>
  <c r="G58" i="21"/>
  <c r="E58" i="21"/>
  <c r="K56" i="21"/>
  <c r="R56" i="21" s="1"/>
  <c r="J56" i="21"/>
  <c r="G56" i="21"/>
  <c r="E56" i="21"/>
  <c r="K54" i="21"/>
  <c r="R54" i="21" s="1"/>
  <c r="J54" i="21"/>
  <c r="G54" i="21"/>
  <c r="E54" i="21"/>
  <c r="K52" i="21"/>
  <c r="R52" i="21" s="1"/>
  <c r="J52" i="21"/>
  <c r="L51" i="21"/>
  <c r="J51" i="21"/>
  <c r="Q49" i="21"/>
  <c r="K49" i="21"/>
  <c r="M49" i="21" s="1"/>
  <c r="O49" i="21" s="1"/>
  <c r="P49" i="21" s="1"/>
  <c r="J49" i="21"/>
  <c r="G49" i="21"/>
  <c r="E49" i="21"/>
  <c r="K47" i="21"/>
  <c r="R47" i="21" s="1"/>
  <c r="J47" i="21"/>
  <c r="G47" i="21"/>
  <c r="E47" i="21"/>
  <c r="K46" i="21"/>
  <c r="R46" i="21" s="1"/>
  <c r="J46" i="21"/>
  <c r="G46" i="21"/>
  <c r="E46" i="21"/>
  <c r="K44" i="21"/>
  <c r="R44" i="21" s="1"/>
  <c r="T44" i="21" s="1"/>
  <c r="U44" i="21" s="1"/>
  <c r="V44" i="21" s="1"/>
  <c r="J44" i="21"/>
  <c r="G44" i="21"/>
  <c r="E44" i="21"/>
  <c r="K43" i="21"/>
  <c r="J43" i="21"/>
  <c r="G43" i="21"/>
  <c r="E43" i="21"/>
  <c r="K42" i="21"/>
  <c r="R42" i="21" s="1"/>
  <c r="T42" i="21" s="1"/>
  <c r="U42" i="21" s="1"/>
  <c r="V42" i="21" s="1"/>
  <c r="J42" i="21"/>
  <c r="G42" i="21"/>
  <c r="E42" i="21"/>
  <c r="U41" i="21"/>
  <c r="K40" i="21"/>
  <c r="R40" i="21" s="1"/>
  <c r="T40" i="21" s="1"/>
  <c r="U40" i="21" s="1"/>
  <c r="V40" i="21" s="1"/>
  <c r="J40" i="21"/>
  <c r="E40" i="21"/>
  <c r="K39" i="21"/>
  <c r="R39" i="21" s="1"/>
  <c r="J39" i="21"/>
  <c r="G39" i="21"/>
  <c r="E39" i="21"/>
  <c r="K37" i="21"/>
  <c r="R37" i="21" s="1"/>
  <c r="T37" i="21" s="1"/>
  <c r="J37" i="21"/>
  <c r="G37" i="21"/>
  <c r="E37" i="21"/>
  <c r="K36" i="21"/>
  <c r="J36" i="21"/>
  <c r="G36" i="21"/>
  <c r="E36" i="21"/>
  <c r="K34" i="21"/>
  <c r="R34" i="21" s="1"/>
  <c r="T34" i="21" s="1"/>
  <c r="J34" i="21"/>
  <c r="E34" i="21"/>
  <c r="K32" i="21"/>
  <c r="R32" i="21" s="1"/>
  <c r="T32" i="21" s="1"/>
  <c r="J32" i="21"/>
  <c r="G32" i="21"/>
  <c r="E32" i="21"/>
  <c r="K31" i="21"/>
  <c r="R31" i="21" s="1"/>
  <c r="T31" i="21" s="1"/>
  <c r="J31" i="21"/>
  <c r="G31" i="21"/>
  <c r="E31" i="21"/>
  <c r="K29" i="21"/>
  <c r="R29" i="21" s="1"/>
  <c r="T29" i="21" s="1"/>
  <c r="U29" i="21" s="1"/>
  <c r="J29" i="21"/>
  <c r="D29" i="21"/>
  <c r="K27" i="21"/>
  <c r="R27" i="21" s="1"/>
  <c r="T27" i="21" s="1"/>
  <c r="J27" i="21"/>
  <c r="G27" i="21"/>
  <c r="E27" i="21"/>
  <c r="K26" i="21"/>
  <c r="R26" i="21" s="1"/>
  <c r="J26" i="21"/>
  <c r="G26" i="21"/>
  <c r="E26" i="21"/>
  <c r="K24" i="21"/>
  <c r="J24" i="21"/>
  <c r="K23" i="21"/>
  <c r="J23" i="21"/>
  <c r="G23" i="21"/>
  <c r="E23" i="21"/>
  <c r="K21" i="21"/>
  <c r="R21" i="21" s="1"/>
  <c r="J21" i="21"/>
  <c r="G21" i="21"/>
  <c r="E21" i="21"/>
  <c r="K19" i="21"/>
  <c r="R19" i="21" s="1"/>
  <c r="T19" i="21" s="1"/>
  <c r="J19" i="21"/>
  <c r="K18" i="21"/>
  <c r="D86" i="21"/>
  <c r="K17" i="21"/>
  <c r="R17" i="21" s="1"/>
  <c r="J17" i="21"/>
  <c r="G17" i="21"/>
  <c r="E17" i="21"/>
  <c r="D85" i="21"/>
  <c r="K16" i="21"/>
  <c r="M16" i="21" s="1"/>
  <c r="J16" i="21"/>
  <c r="G16" i="21"/>
  <c r="E16" i="21"/>
  <c r="O82" i="21"/>
  <c r="K15" i="21"/>
  <c r="R15" i="21" s="1"/>
  <c r="J15" i="21"/>
  <c r="G15" i="21"/>
  <c r="E15" i="21"/>
  <c r="D83" i="21"/>
  <c r="K14" i="21"/>
  <c r="R14" i="21" s="1"/>
  <c r="T14" i="21" s="1"/>
  <c r="U14" i="21" s="1"/>
  <c r="V14" i="21" s="1"/>
  <c r="J14" i="21"/>
  <c r="G14" i="21"/>
  <c r="E14" i="21"/>
  <c r="K12" i="21"/>
  <c r="R12" i="21" s="1"/>
  <c r="J12" i="21"/>
  <c r="G12" i="21"/>
  <c r="E12" i="21"/>
  <c r="R11" i="21"/>
  <c r="K11" i="21"/>
  <c r="M11" i="21" s="1"/>
  <c r="J11" i="21"/>
  <c r="G11" i="21"/>
  <c r="E11" i="21"/>
  <c r="M37" i="20"/>
  <c r="E37" i="20"/>
  <c r="D37" i="20"/>
  <c r="C37" i="20"/>
  <c r="K34" i="20"/>
  <c r="K35" i="20" s="1"/>
  <c r="U31" i="20"/>
  <c r="M31" i="20"/>
  <c r="E31" i="20"/>
  <c r="D31" i="20"/>
  <c r="C31" i="20"/>
  <c r="F31" i="20" s="1"/>
  <c r="L28" i="20"/>
  <c r="U25" i="20"/>
  <c r="M25" i="20"/>
  <c r="D25" i="20"/>
  <c r="F25" i="20" s="1"/>
  <c r="AC25" i="20" s="1"/>
  <c r="C25" i="20"/>
  <c r="Y23" i="20"/>
  <c r="T23" i="20"/>
  <c r="S23" i="20"/>
  <c r="R23" i="20"/>
  <c r="Q23" i="20"/>
  <c r="L23" i="20"/>
  <c r="K23" i="20"/>
  <c r="J23" i="20"/>
  <c r="F23" i="20"/>
  <c r="Y15" i="20"/>
  <c r="Y34" i="20" s="1"/>
  <c r="Y35" i="20" s="1"/>
  <c r="Y31" i="20" s="1"/>
  <c r="T15" i="20"/>
  <c r="T34" i="20" s="1"/>
  <c r="T35" i="20" s="1"/>
  <c r="S15" i="20"/>
  <c r="R15" i="20"/>
  <c r="R28" i="20" s="1"/>
  <c r="R29" i="20" s="1"/>
  <c r="Q15" i="20"/>
  <c r="Q28" i="20" s="1"/>
  <c r="Q29" i="20" s="1"/>
  <c r="L15" i="20"/>
  <c r="L34" i="20" s="1"/>
  <c r="L35" i="20" s="1"/>
  <c r="K15" i="20"/>
  <c r="K28" i="20" s="1"/>
  <c r="J15" i="20"/>
  <c r="J19" i="20" s="1"/>
  <c r="J21" i="20" s="1"/>
  <c r="E15" i="20"/>
  <c r="E19" i="20" s="1"/>
  <c r="E21" i="20" s="1"/>
  <c r="D15" i="20"/>
  <c r="D34" i="20" s="1"/>
  <c r="D35" i="20" s="1"/>
  <c r="C15" i="20"/>
  <c r="AG12" i="20"/>
  <c r="AG11" i="20"/>
  <c r="U11" i="20"/>
  <c r="M11" i="20"/>
  <c r="F11" i="20"/>
  <c r="AC11" i="20" s="1"/>
  <c r="AC15" i="20" s="1"/>
  <c r="AG10" i="20"/>
  <c r="AG9" i="20"/>
  <c r="F23" i="19"/>
  <c r="G22" i="19" s="1"/>
  <c r="F22" i="19"/>
  <c r="F9" i="19"/>
  <c r="G9" i="19" s="1"/>
  <c r="E238" i="18"/>
  <c r="W225" i="18"/>
  <c r="Y225" i="18" s="1"/>
  <c r="I225" i="18"/>
  <c r="Y224" i="18"/>
  <c r="W224" i="18"/>
  <c r="I224" i="18"/>
  <c r="W223" i="18"/>
  <c r="Y223" i="18" s="1"/>
  <c r="I223" i="18"/>
  <c r="I222" i="18"/>
  <c r="W222" i="18" s="1"/>
  <c r="Y222" i="18" s="1"/>
  <c r="W221" i="18"/>
  <c r="Y221" i="18" s="1"/>
  <c r="I221" i="18"/>
  <c r="Y220" i="18"/>
  <c r="W220" i="18"/>
  <c r="Y219" i="18"/>
  <c r="W219" i="18"/>
  <c r="I219" i="18"/>
  <c r="W218" i="18"/>
  <c r="Y218" i="18" s="1"/>
  <c r="I218" i="18"/>
  <c r="I217" i="18"/>
  <c r="W217" i="18" s="1"/>
  <c r="Y217" i="18" s="1"/>
  <c r="W210" i="18"/>
  <c r="Y210" i="18" s="1"/>
  <c r="I210" i="18"/>
  <c r="Y209" i="18"/>
  <c r="W209" i="18"/>
  <c r="I209" i="18"/>
  <c r="W208" i="18"/>
  <c r="Y208" i="18" s="1"/>
  <c r="I208" i="18"/>
  <c r="I207" i="18"/>
  <c r="W207" i="18" s="1"/>
  <c r="Y207" i="18" s="1"/>
  <c r="W206" i="18"/>
  <c r="Y206" i="18" s="1"/>
  <c r="I206" i="18"/>
  <c r="Y205" i="18"/>
  <c r="W205" i="18"/>
  <c r="Y204" i="18"/>
  <c r="W204" i="18"/>
  <c r="I204" i="18"/>
  <c r="W203" i="18"/>
  <c r="Y203" i="18" s="1"/>
  <c r="I203" i="18"/>
  <c r="I202" i="18"/>
  <c r="W202" i="18" s="1"/>
  <c r="Y202" i="18" s="1"/>
  <c r="I187" i="18"/>
  <c r="K187" i="18" s="1"/>
  <c r="O186" i="18"/>
  <c r="U186" i="18" s="1"/>
  <c r="I186" i="18"/>
  <c r="K186" i="18" s="1"/>
  <c r="M185" i="18"/>
  <c r="S185" i="18" s="1"/>
  <c r="I185" i="18"/>
  <c r="O185" i="18" s="1"/>
  <c r="U185" i="18" s="1"/>
  <c r="O184" i="18"/>
  <c r="U184" i="18" s="1"/>
  <c r="M184" i="18"/>
  <c r="S184" i="18" s="1"/>
  <c r="I184" i="18"/>
  <c r="K184" i="18" s="1"/>
  <c r="K182" i="18"/>
  <c r="I182" i="18"/>
  <c r="O182" i="18" s="1"/>
  <c r="U182" i="18" s="1"/>
  <c r="S181" i="18"/>
  <c r="M181" i="18"/>
  <c r="I181" i="18"/>
  <c r="K181" i="18" s="1"/>
  <c r="I180" i="18"/>
  <c r="M180" i="18" s="1"/>
  <c r="S180" i="18" s="1"/>
  <c r="S179" i="18"/>
  <c r="M179" i="18"/>
  <c r="I179" i="18"/>
  <c r="K179" i="18" s="1"/>
  <c r="I178" i="18"/>
  <c r="M178" i="18" s="1"/>
  <c r="S178" i="18" s="1"/>
  <c r="U175" i="18"/>
  <c r="S175" i="18"/>
  <c r="O175" i="18"/>
  <c r="M175" i="18"/>
  <c r="K175" i="18"/>
  <c r="I175" i="18"/>
  <c r="O174" i="18"/>
  <c r="U174" i="18" s="1"/>
  <c r="M174" i="18"/>
  <c r="S174" i="18" s="1"/>
  <c r="I174" i="18"/>
  <c r="K174" i="18" s="1"/>
  <c r="K173" i="18"/>
  <c r="I173" i="18"/>
  <c r="O173" i="18" s="1"/>
  <c r="U173" i="18" s="1"/>
  <c r="O172" i="18"/>
  <c r="U172" i="18" s="1"/>
  <c r="I172" i="18"/>
  <c r="M172" i="18" s="1"/>
  <c r="S172" i="18" s="1"/>
  <c r="U171" i="18"/>
  <c r="S171" i="18"/>
  <c r="O171" i="18"/>
  <c r="M171" i="18"/>
  <c r="K171" i="18"/>
  <c r="I171" i="18"/>
  <c r="K169" i="18"/>
  <c r="I169" i="18"/>
  <c r="O169" i="18" s="1"/>
  <c r="U169" i="18" s="1"/>
  <c r="C169" i="18"/>
  <c r="O168" i="18"/>
  <c r="U168" i="18" s="1"/>
  <c r="I168" i="18"/>
  <c r="K168" i="18" s="1"/>
  <c r="U167" i="18"/>
  <c r="O167" i="18"/>
  <c r="I167" i="18"/>
  <c r="K167" i="18" s="1"/>
  <c r="I166" i="18"/>
  <c r="O166" i="18" s="1"/>
  <c r="U166" i="18" s="1"/>
  <c r="I165" i="18"/>
  <c r="K165" i="18" s="1"/>
  <c r="K164" i="18"/>
  <c r="I164" i="18"/>
  <c r="M164" i="18" s="1"/>
  <c r="S164" i="18" s="1"/>
  <c r="M163" i="18"/>
  <c r="S163" i="18" s="1"/>
  <c r="K163" i="18"/>
  <c r="I163" i="18"/>
  <c r="U161" i="18"/>
  <c r="I161" i="18"/>
  <c r="O161" i="18" s="1"/>
  <c r="AQ160" i="18"/>
  <c r="M161" i="18" s="1"/>
  <c r="I160" i="18"/>
  <c r="I188" i="18" s="1"/>
  <c r="W164" i="18" s="1"/>
  <c r="W165" i="18" s="1"/>
  <c r="O194" i="18" s="1"/>
  <c r="C138" i="18"/>
  <c r="E135" i="18"/>
  <c r="E134" i="18"/>
  <c r="E133" i="18"/>
  <c r="E132" i="18"/>
  <c r="E131" i="18"/>
  <c r="E130" i="18"/>
  <c r="E129" i="18"/>
  <c r="E128" i="18" s="1"/>
  <c r="E127" i="18"/>
  <c r="M127" i="18" s="1"/>
  <c r="C127" i="18"/>
  <c r="W119" i="18"/>
  <c r="K119" i="18"/>
  <c r="K118" i="18"/>
  <c r="W118" i="18" s="1"/>
  <c r="W117" i="18"/>
  <c r="K117" i="18"/>
  <c r="K116" i="18"/>
  <c r="W116" i="18" s="1"/>
  <c r="W115" i="18"/>
  <c r="K115" i="18"/>
  <c r="K114" i="18"/>
  <c r="W113" i="18"/>
  <c r="K113" i="18"/>
  <c r="S113" i="18" s="1"/>
  <c r="W112" i="18"/>
  <c r="K112" i="18"/>
  <c r="S112" i="18" s="1"/>
  <c r="S111" i="18"/>
  <c r="K111" i="18"/>
  <c r="W111" i="18" s="1"/>
  <c r="K110" i="18"/>
  <c r="S110" i="18" s="1"/>
  <c r="K109" i="18"/>
  <c r="W109" i="18" s="1"/>
  <c r="W108" i="18"/>
  <c r="S108" i="18"/>
  <c r="K108" i="18"/>
  <c r="K107" i="18"/>
  <c r="S107" i="18" s="1"/>
  <c r="K106" i="18"/>
  <c r="S106" i="18" s="1"/>
  <c r="K105" i="18"/>
  <c r="S105" i="18" s="1"/>
  <c r="S104" i="18"/>
  <c r="K104" i="18"/>
  <c r="K103" i="18"/>
  <c r="S103" i="18" s="1"/>
  <c r="K102" i="18"/>
  <c r="S102" i="18" s="1"/>
  <c r="K101" i="18"/>
  <c r="S101" i="18" s="1"/>
  <c r="S100" i="18"/>
  <c r="K100" i="18"/>
  <c r="W99" i="18"/>
  <c r="K99" i="18"/>
  <c r="M91" i="18"/>
  <c r="O91" i="18" s="1"/>
  <c r="I91" i="18"/>
  <c r="E91" i="18"/>
  <c r="M90" i="18"/>
  <c r="O90" i="18" s="1"/>
  <c r="I90" i="18"/>
  <c r="E90" i="18"/>
  <c r="M88" i="18"/>
  <c r="O88" i="18" s="1"/>
  <c r="I88" i="18"/>
  <c r="E88" i="18"/>
  <c r="O87" i="18"/>
  <c r="M87" i="18"/>
  <c r="I87" i="18"/>
  <c r="E87" i="18"/>
  <c r="M86" i="18"/>
  <c r="O86" i="18" s="1"/>
  <c r="K86" i="18"/>
  <c r="I86" i="18"/>
  <c r="G86" i="18"/>
  <c r="E86" i="18"/>
  <c r="O85" i="18"/>
  <c r="M85" i="18"/>
  <c r="K85" i="18"/>
  <c r="I85" i="18"/>
  <c r="G85" i="18"/>
  <c r="E85" i="18"/>
  <c r="M84" i="18"/>
  <c r="O84" i="18" s="1"/>
  <c r="I84" i="18"/>
  <c r="G84" i="18"/>
  <c r="E84" i="18"/>
  <c r="K81" i="18"/>
  <c r="O81" i="18" s="1"/>
  <c r="G81" i="18"/>
  <c r="E81" i="18"/>
  <c r="O80" i="18"/>
  <c r="K80" i="18"/>
  <c r="G80" i="18"/>
  <c r="E80" i="18"/>
  <c r="K79" i="18"/>
  <c r="O79" i="18" s="1"/>
  <c r="G79" i="18"/>
  <c r="E79" i="18"/>
  <c r="K78" i="18"/>
  <c r="O78" i="18" s="1"/>
  <c r="G78" i="18"/>
  <c r="E78" i="18"/>
  <c r="O77" i="18"/>
  <c r="K77" i="18"/>
  <c r="G77" i="18"/>
  <c r="E77" i="18"/>
  <c r="O75" i="18"/>
  <c r="M75" i="18"/>
  <c r="I75" i="18"/>
  <c r="E75" i="18"/>
  <c r="M74" i="18"/>
  <c r="O74" i="18" s="1"/>
  <c r="I74" i="18"/>
  <c r="E74" i="18"/>
  <c r="M72" i="18"/>
  <c r="K72" i="18"/>
  <c r="O72" i="18" s="1"/>
  <c r="I72" i="18"/>
  <c r="I92" i="18" s="1"/>
  <c r="G72" i="18"/>
  <c r="E72" i="18"/>
  <c r="M71" i="18"/>
  <c r="M92" i="18" s="1"/>
  <c r="K71" i="18"/>
  <c r="I71" i="18"/>
  <c r="G71" i="18"/>
  <c r="E71" i="18"/>
  <c r="E92" i="18" s="1"/>
  <c r="I63" i="18"/>
  <c r="O63" i="18" s="1"/>
  <c r="Q63" i="18" s="1"/>
  <c r="S63" i="18" s="1"/>
  <c r="O62" i="18"/>
  <c r="Q62" i="18" s="1"/>
  <c r="S62" i="18" s="1"/>
  <c r="I62" i="18"/>
  <c r="I61" i="18"/>
  <c r="O61" i="18" s="1"/>
  <c r="Q61" i="18" s="1"/>
  <c r="S61" i="18" s="1"/>
  <c r="O60" i="18"/>
  <c r="Q60" i="18" s="1"/>
  <c r="S60" i="18" s="1"/>
  <c r="I60" i="18"/>
  <c r="I58" i="18"/>
  <c r="O58" i="18" s="1"/>
  <c r="Q58" i="18" s="1"/>
  <c r="S58" i="18" s="1"/>
  <c r="O57" i="18"/>
  <c r="Q57" i="18" s="1"/>
  <c r="S57" i="18" s="1"/>
  <c r="I57" i="18"/>
  <c r="I56" i="18"/>
  <c r="O56" i="18" s="1"/>
  <c r="Q56" i="18" s="1"/>
  <c r="S56" i="18" s="1"/>
  <c r="O55" i="18"/>
  <c r="Q55" i="18" s="1"/>
  <c r="S55" i="18" s="1"/>
  <c r="I55" i="18"/>
  <c r="I54" i="18"/>
  <c r="O54" i="18" s="1"/>
  <c r="Q54" i="18" s="1"/>
  <c r="S54" i="18" s="1"/>
  <c r="O51" i="18"/>
  <c r="Q51" i="18" s="1"/>
  <c r="S51" i="18" s="1"/>
  <c r="I51" i="18"/>
  <c r="I50" i="18"/>
  <c r="O50" i="18" s="1"/>
  <c r="Q50" i="18" s="1"/>
  <c r="S50" i="18" s="1"/>
  <c r="O49" i="18"/>
  <c r="Q49" i="18" s="1"/>
  <c r="S49" i="18" s="1"/>
  <c r="I49" i="18"/>
  <c r="I48" i="18"/>
  <c r="O48" i="18" s="1"/>
  <c r="Q48" i="18" s="1"/>
  <c r="S48" i="18" s="1"/>
  <c r="O47" i="18"/>
  <c r="Q47" i="18" s="1"/>
  <c r="S47" i="18" s="1"/>
  <c r="I47" i="18"/>
  <c r="I45" i="18"/>
  <c r="O45" i="18" s="1"/>
  <c r="Q45" i="18" s="1"/>
  <c r="S45" i="18" s="1"/>
  <c r="O44" i="18"/>
  <c r="Q44" i="18" s="1"/>
  <c r="S44" i="18" s="1"/>
  <c r="I44" i="18"/>
  <c r="I43" i="18"/>
  <c r="O43" i="18" s="1"/>
  <c r="Q43" i="18" s="1"/>
  <c r="S43" i="18" s="1"/>
  <c r="O42" i="18"/>
  <c r="Q42" i="18" s="1"/>
  <c r="S42" i="18" s="1"/>
  <c r="I42" i="18"/>
  <c r="I41" i="18"/>
  <c r="O41" i="18" s="1"/>
  <c r="Q41" i="18" s="1"/>
  <c r="S41" i="18" s="1"/>
  <c r="O40" i="18"/>
  <c r="Q40" i="18" s="1"/>
  <c r="S40" i="18" s="1"/>
  <c r="I40" i="18"/>
  <c r="I39" i="18"/>
  <c r="O39" i="18" s="1"/>
  <c r="Q39" i="18" s="1"/>
  <c r="S39" i="18" s="1"/>
  <c r="O38" i="18"/>
  <c r="Q38" i="18" s="1"/>
  <c r="S38" i="18" s="1"/>
  <c r="I38" i="18"/>
  <c r="I36" i="18"/>
  <c r="O36" i="18" s="1"/>
  <c r="Q36" i="18" s="1"/>
  <c r="S36" i="18" s="1"/>
  <c r="O35" i="18"/>
  <c r="I35" i="18"/>
  <c r="I27" i="18"/>
  <c r="G27" i="18"/>
  <c r="I26" i="18"/>
  <c r="G26" i="18"/>
  <c r="I25" i="18"/>
  <c r="G25" i="18"/>
  <c r="I24" i="18"/>
  <c r="G24" i="18"/>
  <c r="I22" i="18"/>
  <c r="G22" i="18"/>
  <c r="I21" i="18"/>
  <c r="G21" i="18"/>
  <c r="I20" i="18"/>
  <c r="G20" i="18"/>
  <c r="I19" i="18"/>
  <c r="G19" i="18"/>
  <c r="I18" i="18"/>
  <c r="G18" i="18"/>
  <c r="I17" i="18"/>
  <c r="G17" i="18"/>
  <c r="I16" i="18"/>
  <c r="G16" i="18"/>
  <c r="I15" i="18"/>
  <c r="G15" i="18"/>
  <c r="I14" i="18"/>
  <c r="G14" i="18"/>
  <c r="Z11" i="18"/>
  <c r="Z10" i="18"/>
  <c r="G12" i="18"/>
  <c r="I12" i="18" s="1"/>
  <c r="Z9" i="18"/>
  <c r="E246" i="18" s="1"/>
  <c r="I11" i="18"/>
  <c r="G11" i="18"/>
  <c r="Z8" i="18"/>
  <c r="I10" i="18"/>
  <c r="G10" i="18"/>
  <c r="G9" i="18"/>
  <c r="I9" i="17"/>
  <c r="J9" i="17" s="1"/>
  <c r="I8" i="17"/>
  <c r="G8" i="17"/>
  <c r="F20" i="16"/>
  <c r="F19" i="16"/>
  <c r="G16" i="16"/>
  <c r="G14" i="16"/>
  <c r="G18" i="16" s="1"/>
  <c r="G10" i="16"/>
  <c r="G20" i="16" s="1"/>
  <c r="G9" i="16"/>
  <c r="G19" i="16" s="1"/>
  <c r="D49" i="15"/>
  <c r="J34" i="15"/>
  <c r="L34" i="15" s="1"/>
  <c r="D58" i="15" s="1"/>
  <c r="H29" i="15"/>
  <c r="AC26" i="15"/>
  <c r="AB26" i="15"/>
  <c r="AA26" i="15"/>
  <c r="Z26" i="15"/>
  <c r="Y26" i="15"/>
  <c r="X26" i="15"/>
  <c r="W26" i="15"/>
  <c r="V26" i="15"/>
  <c r="U26" i="15"/>
  <c r="T26" i="15"/>
  <c r="S26" i="15"/>
  <c r="R26" i="15"/>
  <c r="Q26" i="15"/>
  <c r="P26" i="15"/>
  <c r="AD25" i="15"/>
  <c r="L24" i="15"/>
  <c r="D53" i="15" s="1"/>
  <c r="D24" i="15"/>
  <c r="L19" i="15"/>
  <c r="L18" i="15"/>
  <c r="J18" i="15"/>
  <c r="H18" i="15"/>
  <c r="J14" i="15"/>
  <c r="J13" i="15"/>
  <c r="H13" i="15"/>
  <c r="P10" i="15"/>
  <c r="J29" i="15" s="1"/>
  <c r="L29" i="15" s="1"/>
  <c r="D56" i="15" s="1"/>
  <c r="P9" i="15"/>
  <c r="J9" i="15"/>
  <c r="H9" i="15"/>
  <c r="P8" i="15"/>
  <c r="J8" i="15"/>
  <c r="H8" i="15" s="1"/>
  <c r="P7" i="15"/>
  <c r="D7" i="15"/>
  <c r="J7" i="15" s="1"/>
  <c r="H7" i="15" s="1"/>
  <c r="I76" i="14"/>
  <c r="I74" i="14"/>
  <c r="I72" i="14"/>
  <c r="G67" i="14"/>
  <c r="G78" i="14" s="1"/>
  <c r="H63" i="14"/>
  <c r="H65" i="14" s="1"/>
  <c r="H76" i="14" s="1"/>
  <c r="I61" i="14"/>
  <c r="H61" i="14"/>
  <c r="H72" i="14" s="1"/>
  <c r="G61" i="14"/>
  <c r="D59" i="14"/>
  <c r="I55" i="14"/>
  <c r="I63" i="14" s="1"/>
  <c r="I67" i="14" s="1"/>
  <c r="I78" i="14" s="1"/>
  <c r="H55" i="14"/>
  <c r="H74" i="14" s="1"/>
  <c r="G55" i="14"/>
  <c r="G35" i="14"/>
  <c r="G22" i="14"/>
  <c r="G30" i="14" s="1"/>
  <c r="G41" i="14" s="1"/>
  <c r="I20" i="14"/>
  <c r="I30" i="14" s="1"/>
  <c r="I41" i="14" s="1"/>
  <c r="H20" i="14"/>
  <c r="H35" i="14" s="1"/>
  <c r="G20" i="14"/>
  <c r="C59" i="13"/>
  <c r="C58" i="13"/>
  <c r="C57" i="13" s="1"/>
  <c r="J33" i="13"/>
  <c r="C67" i="13" s="1"/>
  <c r="H33" i="13"/>
  <c r="C60" i="13" s="1"/>
  <c r="J32" i="13"/>
  <c r="C66" i="13" s="1"/>
  <c r="C64" i="13" s="1"/>
  <c r="H32" i="13"/>
  <c r="J31" i="13"/>
  <c r="C65" i="13" s="1"/>
  <c r="H31" i="13"/>
  <c r="D23" i="13"/>
  <c r="H18" i="13"/>
  <c r="J18" i="13" s="1"/>
  <c r="D18" i="13"/>
  <c r="Q17" i="13"/>
  <c r="Q16" i="13"/>
  <c r="J16" i="13"/>
  <c r="J20" i="13" s="1"/>
  <c r="D16" i="13"/>
  <c r="H16" i="13" s="1"/>
  <c r="H20" i="13" s="1"/>
  <c r="Q15" i="13"/>
  <c r="L31" i="13" s="1"/>
  <c r="C41" i="13" s="1"/>
  <c r="Q14" i="13"/>
  <c r="H12" i="13"/>
  <c r="J12" i="13" s="1"/>
  <c r="D12" i="13"/>
  <c r="J9" i="13"/>
  <c r="L9" i="13" s="1"/>
  <c r="N9" i="13" s="1"/>
  <c r="C71" i="12"/>
  <c r="E52" i="12"/>
  <c r="C51" i="12"/>
  <c r="E51" i="12" s="1"/>
  <c r="C50" i="12"/>
  <c r="E50" i="12" s="1"/>
  <c r="E49" i="12"/>
  <c r="E34" i="12"/>
  <c r="C34" i="12"/>
  <c r="C33" i="12"/>
  <c r="E33" i="12" s="1"/>
  <c r="E32" i="12"/>
  <c r="I29" i="12"/>
  <c r="E29" i="12"/>
  <c r="I28" i="12"/>
  <c r="C28" i="12"/>
  <c r="E28" i="12" s="1"/>
  <c r="I27" i="12"/>
  <c r="F10" i="12" s="1"/>
  <c r="C27" i="12"/>
  <c r="E27" i="12" s="1"/>
  <c r="I26" i="12"/>
  <c r="E26" i="12"/>
  <c r="E10" i="12"/>
  <c r="C50" i="11"/>
  <c r="I50" i="11" s="1"/>
  <c r="O50" i="11" s="1"/>
  <c r="Q50" i="11" s="1"/>
  <c r="S50" i="11" s="1"/>
  <c r="C63" i="11" s="1"/>
  <c r="O45" i="11"/>
  <c r="E40" i="11"/>
  <c r="K40" i="11" s="1"/>
  <c r="M40" i="11" s="1"/>
  <c r="O40" i="11" s="1"/>
  <c r="C62" i="11" s="1"/>
  <c r="C39" i="11"/>
  <c r="T39" i="11" s="1"/>
  <c r="V39" i="11" s="1"/>
  <c r="C29" i="11"/>
  <c r="E29" i="11" s="1"/>
  <c r="K29" i="11" s="1"/>
  <c r="M29" i="11" s="1"/>
  <c r="O29" i="11" s="1"/>
  <c r="C60" i="11" s="1"/>
  <c r="E28" i="11"/>
  <c r="T28" i="11" s="1"/>
  <c r="V28" i="11" s="1"/>
  <c r="AA27" i="11"/>
  <c r="AC27" i="11" s="1"/>
  <c r="T27" i="11"/>
  <c r="V27" i="11" s="1"/>
  <c r="K27" i="11"/>
  <c r="M27" i="11" s="1"/>
  <c r="O27" i="11" s="1"/>
  <c r="E27" i="11"/>
  <c r="C27" i="11"/>
  <c r="E15" i="11"/>
  <c r="C40" i="11" s="1"/>
  <c r="C14" i="11"/>
  <c r="C13" i="11"/>
  <c r="R12" i="11"/>
  <c r="R11" i="11"/>
  <c r="E11" i="11"/>
  <c r="R10" i="11"/>
  <c r="E10" i="11"/>
  <c r="C28" i="11" s="1"/>
  <c r="R9" i="11"/>
  <c r="E9" i="11"/>
  <c r="G27" i="10"/>
  <c r="F27" i="10"/>
  <c r="G26" i="10"/>
  <c r="F26" i="10"/>
  <c r="G25" i="10"/>
  <c r="G28" i="10" s="1"/>
  <c r="F25" i="10"/>
  <c r="F28" i="10" s="1"/>
  <c r="H28" i="10" s="1"/>
  <c r="G23" i="10"/>
  <c r="F23" i="10"/>
  <c r="H23" i="10" s="1"/>
  <c r="G22" i="10"/>
  <c r="F22" i="10"/>
  <c r="H22" i="10" s="1"/>
  <c r="G19" i="10"/>
  <c r="F19" i="10"/>
  <c r="H19" i="10" s="1"/>
  <c r="L16" i="10"/>
  <c r="G16" i="10"/>
  <c r="G17" i="10" s="1"/>
  <c r="F16" i="10"/>
  <c r="F17" i="10" s="1"/>
  <c r="H17" i="10" s="1"/>
  <c r="L15" i="10"/>
  <c r="L14" i="10"/>
  <c r="I14" i="10" s="1"/>
  <c r="H14" i="10"/>
  <c r="G14" i="10"/>
  <c r="F14" i="10"/>
  <c r="L13" i="10"/>
  <c r="H13" i="10"/>
  <c r="G13" i="10"/>
  <c r="F13" i="10"/>
  <c r="G12" i="10"/>
  <c r="F12" i="10"/>
  <c r="T38" i="9"/>
  <c r="S38" i="9"/>
  <c r="R38" i="9"/>
  <c r="O38" i="9"/>
  <c r="N38" i="9"/>
  <c r="M38" i="9"/>
  <c r="J38" i="9"/>
  <c r="I38" i="9"/>
  <c r="H38" i="9"/>
  <c r="E38" i="9"/>
  <c r="D38" i="9"/>
  <c r="C38" i="9"/>
  <c r="X12" i="9"/>
  <c r="X11" i="9"/>
  <c r="X10" i="9"/>
  <c r="X9" i="9"/>
  <c r="F123" i="8"/>
  <c r="C123" i="8"/>
  <c r="E122" i="8"/>
  <c r="C122" i="8"/>
  <c r="C106" i="8"/>
  <c r="E106" i="8" s="1"/>
  <c r="C92" i="8"/>
  <c r="G92" i="8" s="1"/>
  <c r="E91" i="8"/>
  <c r="C91" i="8"/>
  <c r="C90" i="8"/>
  <c r="G89" i="8"/>
  <c r="G87" i="8"/>
  <c r="G85" i="8"/>
  <c r="G84" i="8"/>
  <c r="G82" i="8"/>
  <c r="C78" i="8"/>
  <c r="G77" i="8"/>
  <c r="G76" i="8"/>
  <c r="E75" i="8"/>
  <c r="G75" i="8" s="1"/>
  <c r="G74" i="8"/>
  <c r="G73" i="8"/>
  <c r="G70" i="8"/>
  <c r="G61" i="8"/>
  <c r="E60" i="8"/>
  <c r="G60" i="8" s="1"/>
  <c r="C60" i="8"/>
  <c r="C59" i="8"/>
  <c r="G58" i="8"/>
  <c r="G57" i="8"/>
  <c r="C57" i="8"/>
  <c r="E57" i="8" s="1"/>
  <c r="G56" i="8"/>
  <c r="C55" i="8"/>
  <c r="G54" i="8"/>
  <c r="G53" i="8"/>
  <c r="C52" i="8"/>
  <c r="G51" i="8"/>
  <c r="G50" i="8"/>
  <c r="E50" i="8"/>
  <c r="C50" i="8"/>
  <c r="C81" i="8" s="1"/>
  <c r="C49" i="8"/>
  <c r="E49" i="8" s="1"/>
  <c r="C48" i="8"/>
  <c r="E47" i="8"/>
  <c r="G47" i="8" s="1"/>
  <c r="C47" i="8"/>
  <c r="G46" i="8"/>
  <c r="G45" i="8"/>
  <c r="E44" i="8"/>
  <c r="G44" i="8" s="1"/>
  <c r="C44" i="8"/>
  <c r="C75" i="8" s="1"/>
  <c r="L43" i="8"/>
  <c r="G43" i="8"/>
  <c r="L42" i="8"/>
  <c r="H59" i="8" s="1"/>
  <c r="G42" i="8"/>
  <c r="L41" i="8"/>
  <c r="H90" i="8" s="1"/>
  <c r="C41" i="8"/>
  <c r="L40" i="8"/>
  <c r="C40" i="8"/>
  <c r="G39" i="8"/>
  <c r="G29" i="8"/>
  <c r="J29" i="8" s="1"/>
  <c r="K29" i="8" s="1"/>
  <c r="F122" i="8" s="1"/>
  <c r="E29" i="8"/>
  <c r="G28" i="8"/>
  <c r="J28" i="8" s="1"/>
  <c r="K28" i="8" s="1"/>
  <c r="F121" i="8" s="1"/>
  <c r="E28" i="8"/>
  <c r="G27" i="8"/>
  <c r="J27" i="8" s="1"/>
  <c r="K27" i="8" s="1"/>
  <c r="F120" i="8" s="1"/>
  <c r="J26" i="8"/>
  <c r="K26" i="8" s="1"/>
  <c r="F119" i="8" s="1"/>
  <c r="E26" i="8"/>
  <c r="G26" i="8" s="1"/>
  <c r="J25" i="8"/>
  <c r="K25" i="8" s="1"/>
  <c r="F118" i="8" s="1"/>
  <c r="G25" i="8"/>
  <c r="G24" i="8"/>
  <c r="J24" i="8" s="1"/>
  <c r="K24" i="8" s="1"/>
  <c r="F117" i="8" s="1"/>
  <c r="E24" i="8"/>
  <c r="G23" i="8"/>
  <c r="J23" i="8" s="1"/>
  <c r="K23" i="8" s="1"/>
  <c r="F116" i="8" s="1"/>
  <c r="G22" i="8"/>
  <c r="J22" i="8" s="1"/>
  <c r="K22" i="8" s="1"/>
  <c r="F115" i="8" s="1"/>
  <c r="K21" i="8"/>
  <c r="F114" i="8" s="1"/>
  <c r="J21" i="8"/>
  <c r="G21" i="8"/>
  <c r="E21" i="8"/>
  <c r="J20" i="8"/>
  <c r="K20" i="8" s="1"/>
  <c r="F113" i="8" s="1"/>
  <c r="G20" i="8"/>
  <c r="G19" i="8"/>
  <c r="J19" i="8" s="1"/>
  <c r="K19" i="8" s="1"/>
  <c r="F112" i="8" s="1"/>
  <c r="E19" i="8"/>
  <c r="G18" i="8"/>
  <c r="J18" i="8" s="1"/>
  <c r="K18" i="8" s="1"/>
  <c r="F111" i="8" s="1"/>
  <c r="E18" i="8"/>
  <c r="E17" i="8"/>
  <c r="G17" i="8" s="1"/>
  <c r="J17" i="8" s="1"/>
  <c r="K17" i="8" s="1"/>
  <c r="F110" i="8" s="1"/>
  <c r="E16" i="8"/>
  <c r="G16" i="8" s="1"/>
  <c r="J16" i="8" s="1"/>
  <c r="K16" i="8" s="1"/>
  <c r="F109" i="8" s="1"/>
  <c r="G15" i="8"/>
  <c r="J15" i="8" s="1"/>
  <c r="K15" i="8" s="1"/>
  <c r="F108" i="8" s="1"/>
  <c r="G14" i="8"/>
  <c r="J14" i="8" s="1"/>
  <c r="K14" i="8" s="1"/>
  <c r="F107" i="8" s="1"/>
  <c r="G13" i="8"/>
  <c r="J13" i="8" s="1"/>
  <c r="K13" i="8" s="1"/>
  <c r="F106" i="8" s="1"/>
  <c r="E13" i="8"/>
  <c r="J12" i="8"/>
  <c r="K12" i="8" s="1"/>
  <c r="F105" i="8" s="1"/>
  <c r="G12" i="8"/>
  <c r="K11" i="8"/>
  <c r="F104" i="8" s="1"/>
  <c r="J11" i="8"/>
  <c r="G11" i="8"/>
  <c r="J10" i="8"/>
  <c r="K10" i="8" s="1"/>
  <c r="F103" i="8" s="1"/>
  <c r="E10" i="8"/>
  <c r="G10" i="8" s="1"/>
  <c r="E9" i="8"/>
  <c r="G9" i="8" s="1"/>
  <c r="J9" i="8" s="1"/>
  <c r="K9" i="8" s="1"/>
  <c r="F102" i="8" s="1"/>
  <c r="G8" i="8"/>
  <c r="J8" i="8" s="1"/>
  <c r="C45" i="7"/>
  <c r="E45" i="7" s="1"/>
  <c r="C44" i="7"/>
  <c r="E44" i="7" s="1"/>
  <c r="E43" i="7"/>
  <c r="C42" i="7"/>
  <c r="E42" i="7" s="1"/>
  <c r="E41" i="7"/>
  <c r="C41" i="7"/>
  <c r="E40" i="7"/>
  <c r="C40" i="7"/>
  <c r="E39" i="7"/>
  <c r="C39" i="7"/>
  <c r="E38" i="7"/>
  <c r="E30" i="7"/>
  <c r="E29" i="7"/>
  <c r="C29" i="7"/>
  <c r="E28" i="7"/>
  <c r="C27" i="7"/>
  <c r="E27" i="7" s="1"/>
  <c r="E26" i="7"/>
  <c r="C26" i="7"/>
  <c r="E25" i="7"/>
  <c r="C25" i="7"/>
  <c r="E24" i="7"/>
  <c r="C24" i="7"/>
  <c r="E23" i="7"/>
  <c r="F15" i="7"/>
  <c r="G15" i="7" s="1"/>
  <c r="D61" i="7" s="1"/>
  <c r="G14" i="7"/>
  <c r="D60" i="7" s="1"/>
  <c r="F14" i="7"/>
  <c r="F13" i="7"/>
  <c r="G13" i="7" s="1"/>
  <c r="D59" i="7" s="1"/>
  <c r="G12" i="7"/>
  <c r="D58" i="7" s="1"/>
  <c r="F12" i="7"/>
  <c r="K11" i="7"/>
  <c r="G11" i="7"/>
  <c r="D57" i="7" s="1"/>
  <c r="F11" i="7"/>
  <c r="K10" i="7"/>
  <c r="F23" i="7" s="1"/>
  <c r="G23" i="7" s="1"/>
  <c r="F55" i="7" s="1"/>
  <c r="F10" i="7"/>
  <c r="G10" i="7" s="1"/>
  <c r="D56" i="7" s="1"/>
  <c r="K9" i="7"/>
  <c r="F43" i="7" s="1"/>
  <c r="F9" i="7"/>
  <c r="G9" i="7" s="1"/>
  <c r="D55" i="7" s="1"/>
  <c r="K8" i="7"/>
  <c r="C51" i="6"/>
  <c r="C37" i="6"/>
  <c r="E37" i="6" s="1"/>
  <c r="C36" i="6"/>
  <c r="E36" i="6" s="1"/>
  <c r="E35" i="6"/>
  <c r="C35" i="6"/>
  <c r="C34" i="6"/>
  <c r="E34" i="6" s="1"/>
  <c r="E33" i="6"/>
  <c r="C33" i="6"/>
  <c r="C32" i="6"/>
  <c r="E32" i="6" s="1"/>
  <c r="E24" i="6"/>
  <c r="C23" i="6"/>
  <c r="E23" i="6" s="1"/>
  <c r="C22" i="6"/>
  <c r="E22" i="6" s="1"/>
  <c r="C21" i="6"/>
  <c r="E21" i="6" s="1"/>
  <c r="E20" i="6"/>
  <c r="C20" i="6"/>
  <c r="E19" i="6"/>
  <c r="F12" i="6"/>
  <c r="G12" i="6" s="1"/>
  <c r="K11" i="6"/>
  <c r="F11" i="6"/>
  <c r="G11" i="6" s="1"/>
  <c r="C50" i="6" s="1"/>
  <c r="K10" i="6"/>
  <c r="F22" i="6" s="1"/>
  <c r="G10" i="6"/>
  <c r="C49" i="6" s="1"/>
  <c r="F10" i="6"/>
  <c r="K9" i="6"/>
  <c r="F37" i="6" s="1"/>
  <c r="F9" i="6"/>
  <c r="G9" i="6" s="1"/>
  <c r="C48" i="6" s="1"/>
  <c r="K8" i="6"/>
  <c r="G8" i="6"/>
  <c r="F8" i="6"/>
  <c r="N70" i="5"/>
  <c r="Q59" i="5"/>
  <c r="Q83" i="5" s="1"/>
  <c r="O59" i="5"/>
  <c r="O83" i="5" s="1"/>
  <c r="V52" i="5"/>
  <c r="U52" i="5"/>
  <c r="T52" i="5"/>
  <c r="T59" i="5" s="1"/>
  <c r="T83" i="5" s="1"/>
  <c r="S52" i="5"/>
  <c r="S59" i="5" s="1"/>
  <c r="S83" i="5" s="1"/>
  <c r="R52" i="5"/>
  <c r="Q52" i="5"/>
  <c r="P52" i="5"/>
  <c r="P59" i="5" s="1"/>
  <c r="P83" i="5" s="1"/>
  <c r="O52" i="5"/>
  <c r="N52" i="5"/>
  <c r="M52" i="5"/>
  <c r="K52" i="5"/>
  <c r="K59" i="5" s="1"/>
  <c r="K83" i="5" s="1"/>
  <c r="J52" i="5"/>
  <c r="J59" i="5" s="1"/>
  <c r="J83" i="5" s="1"/>
  <c r="H52" i="5"/>
  <c r="H59" i="5" s="1"/>
  <c r="H83" i="5" s="1"/>
  <c r="G52" i="5"/>
  <c r="G59" i="5" s="1"/>
  <c r="G83" i="5" s="1"/>
  <c r="D52" i="5"/>
  <c r="D59" i="5" s="1"/>
  <c r="D83" i="5" s="1"/>
  <c r="C52" i="5"/>
  <c r="C59" i="5" s="1"/>
  <c r="C83" i="5" s="1"/>
  <c r="L51" i="5"/>
  <c r="L52" i="5" s="1"/>
  <c r="L59" i="5" s="1"/>
  <c r="L83" i="5" s="1"/>
  <c r="K51" i="5"/>
  <c r="J51" i="5"/>
  <c r="I51" i="5"/>
  <c r="I52" i="5" s="1"/>
  <c r="I59" i="5" s="1"/>
  <c r="I83" i="5" s="1"/>
  <c r="H51" i="5"/>
  <c r="G51" i="5"/>
  <c r="F51" i="5"/>
  <c r="F52" i="5" s="1"/>
  <c r="F59" i="5" s="1"/>
  <c r="F83" i="5" s="1"/>
  <c r="E51" i="5"/>
  <c r="E52" i="5" s="1"/>
  <c r="E59" i="5" s="1"/>
  <c r="E83" i="5" s="1"/>
  <c r="D51" i="5"/>
  <c r="C51" i="5"/>
  <c r="S40" i="5"/>
  <c r="Q40" i="5"/>
  <c r="I40" i="5"/>
  <c r="H40" i="5"/>
  <c r="C40" i="5"/>
  <c r="T34" i="5"/>
  <c r="O34" i="5"/>
  <c r="L34" i="5"/>
  <c r="L40" i="5" s="1"/>
  <c r="J34" i="5"/>
  <c r="J40" i="5" s="1"/>
  <c r="I34" i="5"/>
  <c r="H34" i="5"/>
  <c r="G34" i="5"/>
  <c r="G40" i="5" s="1"/>
  <c r="F34" i="5"/>
  <c r="F40" i="5" s="1"/>
  <c r="E34" i="5"/>
  <c r="E40" i="5" s="1"/>
  <c r="D34" i="5"/>
  <c r="D40" i="5" s="1"/>
  <c r="C34" i="5"/>
  <c r="V29" i="5"/>
  <c r="U29" i="5"/>
  <c r="U34" i="5" s="1"/>
  <c r="U40" i="5" s="1"/>
  <c r="T29" i="5"/>
  <c r="T40" i="5" s="1"/>
  <c r="S29" i="5"/>
  <c r="S34" i="5" s="1"/>
  <c r="R29" i="5"/>
  <c r="R34" i="5" s="1"/>
  <c r="Q29" i="5"/>
  <c r="Q34" i="5" s="1"/>
  <c r="P29" i="5"/>
  <c r="P34" i="5" s="1"/>
  <c r="O29" i="5"/>
  <c r="N29" i="5"/>
  <c r="M29" i="5"/>
  <c r="K29" i="5"/>
  <c r="K34" i="5" s="1"/>
  <c r="K40" i="5" s="1"/>
  <c r="F346" i="4"/>
  <c r="F345" i="4"/>
  <c r="F344" i="4"/>
  <c r="F343" i="4"/>
  <c r="F342" i="4"/>
  <c r="F341" i="4"/>
  <c r="F340" i="4"/>
  <c r="F336" i="4"/>
  <c r="F335" i="4"/>
  <c r="F334" i="4"/>
  <c r="F333" i="4"/>
  <c r="J329" i="4"/>
  <c r="M325" i="4"/>
  <c r="L325" i="4"/>
  <c r="M324" i="4"/>
  <c r="L324" i="4"/>
  <c r="F324" i="4"/>
  <c r="M323" i="4"/>
  <c r="L323" i="4"/>
  <c r="F323" i="4"/>
  <c r="M322" i="4"/>
  <c r="L322" i="4"/>
  <c r="F322" i="4"/>
  <c r="M321" i="4"/>
  <c r="L321" i="4"/>
  <c r="F321" i="4"/>
  <c r="S320" i="4"/>
  <c r="S319" i="4"/>
  <c r="J316" i="4"/>
  <c r="J315" i="4"/>
  <c r="S314" i="4"/>
  <c r="J314" i="4"/>
  <c r="S313" i="4"/>
  <c r="J313" i="4"/>
  <c r="S312" i="4"/>
  <c r="J312" i="4"/>
  <c r="S311" i="4"/>
  <c r="J308" i="4"/>
  <c r="J307" i="4"/>
  <c r="J306" i="4"/>
  <c r="J305" i="4"/>
  <c r="J304" i="4"/>
  <c r="J303" i="4"/>
  <c r="J302" i="4"/>
  <c r="J301" i="4"/>
  <c r="O297" i="4"/>
  <c r="J296" i="4"/>
  <c r="J295" i="4"/>
  <c r="J294" i="4"/>
  <c r="J293" i="4"/>
  <c r="J288" i="4"/>
  <c r="J287" i="4"/>
  <c r="J286" i="4"/>
  <c r="J285" i="4"/>
  <c r="J284" i="4"/>
  <c r="F284" i="4"/>
  <c r="F283" i="4"/>
  <c r="J283" i="4" s="1"/>
  <c r="J281" i="4"/>
  <c r="J280" i="4"/>
  <c r="J275" i="4"/>
  <c r="J274" i="4"/>
  <c r="J273" i="4"/>
  <c r="J272" i="4"/>
  <c r="J271" i="4"/>
  <c r="J270" i="4"/>
  <c r="J269" i="4"/>
  <c r="J268" i="4"/>
  <c r="J264" i="4"/>
  <c r="J263" i="4"/>
  <c r="J262" i="4"/>
  <c r="J261" i="4"/>
  <c r="J260" i="4"/>
  <c r="J259" i="4"/>
  <c r="J258" i="4"/>
  <c r="J257" i="4"/>
  <c r="J256" i="4"/>
  <c r="J255" i="4"/>
  <c r="F251" i="4"/>
  <c r="F250" i="4"/>
  <c r="F249" i="4"/>
  <c r="F248" i="4"/>
  <c r="K247" i="4"/>
  <c r="F247" i="4"/>
  <c r="J243" i="4"/>
  <c r="F243" i="4"/>
  <c r="J242" i="4"/>
  <c r="F242" i="4"/>
  <c r="F241" i="4"/>
  <c r="J241" i="4" s="1"/>
  <c r="J240" i="4"/>
  <c r="F240" i="4"/>
  <c r="J236" i="4"/>
  <c r="J235" i="4"/>
  <c r="J234" i="4"/>
  <c r="J233" i="4"/>
  <c r="F232" i="4"/>
  <c r="J232" i="4" s="1"/>
  <c r="J231" i="4"/>
  <c r="F231" i="4"/>
  <c r="J230" i="4"/>
  <c r="F230" i="4"/>
  <c r="J229" i="4"/>
  <c r="F229" i="4"/>
  <c r="J225" i="4"/>
  <c r="J223" i="4"/>
  <c r="K222" i="4"/>
  <c r="L222" i="4" s="1"/>
  <c r="F222" i="4"/>
  <c r="M221" i="4"/>
  <c r="L221" i="4"/>
  <c r="M222" i="4" s="1"/>
  <c r="K221" i="4"/>
  <c r="F221" i="4"/>
  <c r="J219" i="4"/>
  <c r="K218" i="4"/>
  <c r="F218" i="4"/>
  <c r="K217" i="4"/>
  <c r="F217" i="4"/>
  <c r="M213" i="4"/>
  <c r="L213" i="4"/>
  <c r="J213" i="4"/>
  <c r="M212" i="4"/>
  <c r="L212" i="4"/>
  <c r="J212" i="4"/>
  <c r="F212" i="4"/>
  <c r="M211" i="4"/>
  <c r="L211" i="4"/>
  <c r="J211" i="4"/>
  <c r="M210" i="4"/>
  <c r="L210" i="4"/>
  <c r="J210" i="4"/>
  <c r="M209" i="4"/>
  <c r="L209" i="4"/>
  <c r="J209" i="4"/>
  <c r="M208" i="4"/>
  <c r="L208" i="4"/>
  <c r="J208" i="4"/>
  <c r="M207" i="4"/>
  <c r="J207" i="4"/>
  <c r="M206" i="4"/>
  <c r="J206" i="4"/>
  <c r="J203" i="4"/>
  <c r="J202" i="4"/>
  <c r="J201" i="4"/>
  <c r="J198" i="4"/>
  <c r="J197" i="4"/>
  <c r="J196" i="4"/>
  <c r="O192" i="4"/>
  <c r="J192" i="4"/>
  <c r="K190" i="4" s="1"/>
  <c r="J191" i="4"/>
  <c r="M190" i="4"/>
  <c r="J190" i="4"/>
  <c r="L190" i="4" s="1"/>
  <c r="N189" i="4"/>
  <c r="J187" i="4"/>
  <c r="M186" i="4"/>
  <c r="L186" i="4"/>
  <c r="J186" i="4"/>
  <c r="J182" i="4"/>
  <c r="J179" i="4"/>
  <c r="M179" i="4" s="1"/>
  <c r="J178" i="4"/>
  <c r="M175" i="4"/>
  <c r="L175" i="4"/>
  <c r="J175" i="4"/>
  <c r="L174" i="4"/>
  <c r="J174" i="4"/>
  <c r="M174" i="4" s="1"/>
  <c r="M173" i="4"/>
  <c r="L173" i="4"/>
  <c r="J173" i="4"/>
  <c r="M170" i="4"/>
  <c r="L170" i="4"/>
  <c r="J170" i="4"/>
  <c r="M169" i="4"/>
  <c r="L169" i="4"/>
  <c r="J169" i="4"/>
  <c r="L168" i="4"/>
  <c r="J168" i="4"/>
  <c r="M168" i="4" s="1"/>
  <c r="J164" i="4"/>
  <c r="F164" i="4"/>
  <c r="J160" i="4"/>
  <c r="J158" i="4"/>
  <c r="F155" i="4"/>
  <c r="J155" i="4" s="1"/>
  <c r="J154" i="4"/>
  <c r="F154" i="4"/>
  <c r="J150" i="4"/>
  <c r="J148" i="4"/>
  <c r="J146" i="4"/>
  <c r="F146" i="4"/>
  <c r="J144" i="4"/>
  <c r="F144" i="4"/>
  <c r="J139" i="4"/>
  <c r="L138" i="4" s="1"/>
  <c r="F139" i="4"/>
  <c r="J138" i="4"/>
  <c r="F138" i="4"/>
  <c r="M135" i="4"/>
  <c r="F135" i="4"/>
  <c r="J135" i="4" s="1"/>
  <c r="J136" i="4" s="1"/>
  <c r="J134" i="4"/>
  <c r="F134" i="4"/>
  <c r="F132" i="4"/>
  <c r="J132" i="4" s="1"/>
  <c r="F130" i="4"/>
  <c r="J130" i="4" s="1"/>
  <c r="F128" i="4"/>
  <c r="J128" i="4" s="1"/>
  <c r="J126" i="4"/>
  <c r="F126" i="4"/>
  <c r="J123" i="4"/>
  <c r="F122" i="4"/>
  <c r="J122" i="4" s="1"/>
  <c r="M118" i="4"/>
  <c r="J118" i="4"/>
  <c r="M116" i="4"/>
  <c r="L116" i="4"/>
  <c r="J115" i="4"/>
  <c r="F114" i="4"/>
  <c r="J114" i="4" s="1"/>
  <c r="M112" i="4"/>
  <c r="L112" i="4"/>
  <c r="J112" i="4"/>
  <c r="J111" i="4"/>
  <c r="K111" i="4" s="1"/>
  <c r="K110" i="4"/>
  <c r="J110" i="4"/>
  <c r="M108" i="4"/>
  <c r="L108" i="4"/>
  <c r="J108" i="4"/>
  <c r="J107" i="4"/>
  <c r="J106" i="4"/>
  <c r="K106" i="4" s="1"/>
  <c r="F106" i="4"/>
  <c r="M104" i="4"/>
  <c r="J103" i="4"/>
  <c r="F102" i="4"/>
  <c r="J102" i="4" s="1"/>
  <c r="J97" i="4"/>
  <c r="F97" i="4"/>
  <c r="L96" i="4"/>
  <c r="F96" i="4"/>
  <c r="J96" i="4" s="1"/>
  <c r="J92" i="4"/>
  <c r="J91" i="4"/>
  <c r="J90" i="4"/>
  <c r="M87" i="4"/>
  <c r="M88" i="4" s="1"/>
  <c r="J87" i="4"/>
  <c r="K87" i="4" s="1"/>
  <c r="M86" i="4"/>
  <c r="L86" i="4"/>
  <c r="K86" i="4"/>
  <c r="J86" i="4"/>
  <c r="J88" i="4" s="1"/>
  <c r="J83" i="4"/>
  <c r="M82" i="4"/>
  <c r="L82" i="4"/>
  <c r="J82" i="4"/>
  <c r="J84" i="4" s="1"/>
  <c r="J79" i="4"/>
  <c r="L79" i="4" s="1"/>
  <c r="K78" i="4"/>
  <c r="J78" i="4"/>
  <c r="M78" i="4" s="1"/>
  <c r="M75" i="4"/>
  <c r="J75" i="4"/>
  <c r="L75" i="4" s="1"/>
  <c r="L74" i="4"/>
  <c r="J74" i="4"/>
  <c r="M72" i="4"/>
  <c r="J72" i="4"/>
  <c r="L72" i="4" s="1"/>
  <c r="K70" i="4"/>
  <c r="K350" i="4" s="1"/>
  <c r="J70" i="4"/>
  <c r="M67" i="4"/>
  <c r="J67" i="4"/>
  <c r="L67" i="4" s="1"/>
  <c r="J66" i="4"/>
  <c r="M65" i="4"/>
  <c r="J65" i="4"/>
  <c r="L62" i="4"/>
  <c r="J62" i="4"/>
  <c r="M61" i="4"/>
  <c r="L61" i="4"/>
  <c r="J61" i="4"/>
  <c r="J60" i="4"/>
  <c r="M58" i="4"/>
  <c r="M57" i="4"/>
  <c r="L57" i="4"/>
  <c r="K57" i="4"/>
  <c r="J57" i="4"/>
  <c r="M56" i="4"/>
  <c r="L56" i="4"/>
  <c r="K56" i="4"/>
  <c r="J56" i="4"/>
  <c r="M55" i="4"/>
  <c r="L55" i="4"/>
  <c r="K55" i="4"/>
  <c r="J55" i="4"/>
  <c r="M54" i="4"/>
  <c r="L54" i="4"/>
  <c r="L58" i="4" s="1"/>
  <c r="K54" i="4"/>
  <c r="J54" i="4"/>
  <c r="J58" i="4" s="1"/>
  <c r="J51" i="4"/>
  <c r="M50" i="4"/>
  <c r="J50" i="4"/>
  <c r="L50" i="4" s="1"/>
  <c r="L49" i="4"/>
  <c r="J49" i="4"/>
  <c r="M49" i="4" s="1"/>
  <c r="K48" i="4"/>
  <c r="J48" i="4"/>
  <c r="K50" i="4" s="1"/>
  <c r="J44" i="4"/>
  <c r="J42" i="4"/>
  <c r="J40" i="4"/>
  <c r="J37" i="4"/>
  <c r="J36" i="4"/>
  <c r="J35" i="4"/>
  <c r="J38" i="4" s="1"/>
  <c r="J33" i="4"/>
  <c r="J32" i="4"/>
  <c r="J31" i="4"/>
  <c r="J30" i="4"/>
  <c r="L26" i="4"/>
  <c r="J26" i="4"/>
  <c r="M24" i="4"/>
  <c r="L24" i="4"/>
  <c r="J24" i="4"/>
  <c r="J23" i="4"/>
  <c r="J22" i="4"/>
  <c r="K22" i="4" s="1"/>
  <c r="M20" i="4"/>
  <c r="L20" i="4"/>
  <c r="K19" i="4"/>
  <c r="J19" i="4"/>
  <c r="K18" i="4"/>
  <c r="J18" i="4"/>
  <c r="J20" i="4" s="1"/>
  <c r="J13" i="4"/>
  <c r="J11" i="4"/>
  <c r="J8" i="4"/>
  <c r="M7" i="4" s="1"/>
  <c r="D394" i="3"/>
  <c r="D380" i="3"/>
  <c r="E380" i="3" s="1"/>
  <c r="D377" i="3"/>
  <c r="E368" i="3"/>
  <c r="E366" i="3"/>
  <c r="D366" i="3"/>
  <c r="E365" i="3"/>
  <c r="J355" i="3"/>
  <c r="E355" i="3"/>
  <c r="F355" i="3" s="1"/>
  <c r="G355" i="3" s="1"/>
  <c r="D355" i="3"/>
  <c r="J354" i="3"/>
  <c r="F377" i="3" s="1"/>
  <c r="J353" i="3"/>
  <c r="F367" i="3" s="1"/>
  <c r="J352" i="3"/>
  <c r="D352" i="3"/>
  <c r="M341" i="3"/>
  <c r="L341" i="3"/>
  <c r="D368" i="3" s="1"/>
  <c r="K341" i="3"/>
  <c r="J341" i="3"/>
  <c r="C355" i="3" s="1"/>
  <c r="C380" i="3" s="1"/>
  <c r="C394" i="3" s="1"/>
  <c r="F341" i="3"/>
  <c r="F236" i="3"/>
  <c r="J197" i="3"/>
  <c r="M183" i="3"/>
  <c r="D378" i="3" s="1"/>
  <c r="E378" i="3" s="1"/>
  <c r="L183" i="3"/>
  <c r="K183" i="3"/>
  <c r="D353" i="3" s="1"/>
  <c r="E353" i="3" s="1"/>
  <c r="F353" i="3" s="1"/>
  <c r="G353" i="3" s="1"/>
  <c r="J162" i="3"/>
  <c r="J161" i="3"/>
  <c r="J160" i="3"/>
  <c r="J159" i="3"/>
  <c r="F158" i="3"/>
  <c r="J156" i="3"/>
  <c r="J155" i="3"/>
  <c r="M33" i="3"/>
  <c r="L33" i="3"/>
  <c r="D365" i="3" s="1"/>
  <c r="K33" i="3"/>
  <c r="J33" i="3"/>
  <c r="C352" i="3" s="1"/>
  <c r="C365" i="3" s="1"/>
  <c r="F33" i="3"/>
  <c r="C265" i="2"/>
  <c r="C259" i="2"/>
  <c r="C258" i="2"/>
  <c r="C257" i="2" s="1"/>
  <c r="E172" i="1" s="1"/>
  <c r="P229" i="2"/>
  <c r="O229" i="2"/>
  <c r="N229" i="2"/>
  <c r="M229" i="2"/>
  <c r="L229" i="2"/>
  <c r="F228" i="2"/>
  <c r="P228" i="2" s="1"/>
  <c r="F227" i="2"/>
  <c r="N227" i="2" s="1"/>
  <c r="P226" i="2"/>
  <c r="O226" i="2"/>
  <c r="N226" i="2"/>
  <c r="M226" i="2"/>
  <c r="L226" i="2"/>
  <c r="F224" i="2"/>
  <c r="P224" i="2" s="1"/>
  <c r="F223" i="2"/>
  <c r="P222" i="2"/>
  <c r="O222" i="2"/>
  <c r="N222" i="2"/>
  <c r="M222" i="2"/>
  <c r="L222" i="2"/>
  <c r="P221" i="2"/>
  <c r="O221" i="2"/>
  <c r="N221" i="2"/>
  <c r="M221" i="2"/>
  <c r="L221" i="2"/>
  <c r="P216" i="2"/>
  <c r="O216" i="2"/>
  <c r="N216" i="2"/>
  <c r="M216" i="2"/>
  <c r="L216" i="2"/>
  <c r="P215" i="2"/>
  <c r="O215" i="2"/>
  <c r="N215" i="2"/>
  <c r="M215" i="2"/>
  <c r="L215" i="2"/>
  <c r="F215" i="2"/>
  <c r="P214" i="2"/>
  <c r="O214" i="2"/>
  <c r="N214" i="2"/>
  <c r="M214" i="2"/>
  <c r="L214" i="2"/>
  <c r="F214" i="2"/>
  <c r="P213" i="2"/>
  <c r="O213" i="2"/>
  <c r="N213" i="2"/>
  <c r="M213" i="2"/>
  <c r="L213" i="2"/>
  <c r="P211" i="2"/>
  <c r="O211" i="2"/>
  <c r="N211" i="2"/>
  <c r="M211" i="2"/>
  <c r="L211" i="2"/>
  <c r="F211" i="2"/>
  <c r="P210" i="2"/>
  <c r="O210" i="2"/>
  <c r="N210" i="2"/>
  <c r="M210" i="2"/>
  <c r="L210" i="2"/>
  <c r="F210" i="2"/>
  <c r="P209" i="2"/>
  <c r="O209" i="2"/>
  <c r="N209" i="2"/>
  <c r="M209" i="2"/>
  <c r="L209" i="2"/>
  <c r="P208" i="2"/>
  <c r="O208" i="2"/>
  <c r="N208" i="2"/>
  <c r="M208" i="2"/>
  <c r="L208" i="2"/>
  <c r="J200" i="2"/>
  <c r="I200" i="2"/>
  <c r="H200" i="2"/>
  <c r="G200" i="2"/>
  <c r="F200" i="2"/>
  <c r="E200" i="2"/>
  <c r="D200" i="2"/>
  <c r="J198" i="2"/>
  <c r="I198" i="2"/>
  <c r="H198" i="2"/>
  <c r="G198" i="2"/>
  <c r="F198" i="2"/>
  <c r="E198" i="2"/>
  <c r="J197" i="2"/>
  <c r="I197" i="2"/>
  <c r="H197" i="2"/>
  <c r="G197" i="2"/>
  <c r="F197" i="2"/>
  <c r="E197" i="2"/>
  <c r="D197" i="2"/>
  <c r="D201" i="2" s="1"/>
  <c r="J196" i="2"/>
  <c r="I196" i="2"/>
  <c r="H196" i="2"/>
  <c r="G196" i="2"/>
  <c r="F196" i="2"/>
  <c r="E196" i="2"/>
  <c r="D196" i="2"/>
  <c r="J194" i="2"/>
  <c r="I194" i="2"/>
  <c r="H194" i="2"/>
  <c r="G194" i="2"/>
  <c r="F194" i="2"/>
  <c r="E194" i="2"/>
  <c r="D194" i="2"/>
  <c r="J193" i="2"/>
  <c r="I193" i="2"/>
  <c r="I201" i="2" s="1"/>
  <c r="H193" i="2"/>
  <c r="G193" i="2"/>
  <c r="F193" i="2"/>
  <c r="E193" i="2"/>
  <c r="D193" i="2"/>
  <c r="C187" i="2"/>
  <c r="H187" i="2" s="1"/>
  <c r="I186" i="2"/>
  <c r="C186" i="2"/>
  <c r="J186" i="2" s="1"/>
  <c r="F185" i="2"/>
  <c r="C185" i="2"/>
  <c r="C184" i="2"/>
  <c r="E183" i="2"/>
  <c r="C183" i="2"/>
  <c r="H183" i="2" s="1"/>
  <c r="G182" i="2"/>
  <c r="F182" i="2"/>
  <c r="E182" i="2"/>
  <c r="C182" i="2"/>
  <c r="D182" i="2" s="1"/>
  <c r="C176" i="2"/>
  <c r="H176" i="2" s="1"/>
  <c r="C175" i="2"/>
  <c r="J175" i="2" s="1"/>
  <c r="C174" i="2"/>
  <c r="C173" i="2"/>
  <c r="D173" i="2" s="1"/>
  <c r="C172" i="2"/>
  <c r="J172" i="2" s="1"/>
  <c r="C171" i="2"/>
  <c r="H171" i="2" s="1"/>
  <c r="J166" i="2"/>
  <c r="I166" i="2"/>
  <c r="H166" i="2"/>
  <c r="E166" i="2"/>
  <c r="D166" i="2"/>
  <c r="J165" i="2"/>
  <c r="J187" i="2" s="1"/>
  <c r="I165" i="2"/>
  <c r="G165" i="2"/>
  <c r="G176" i="2" s="1"/>
  <c r="F165" i="2"/>
  <c r="E165" i="2"/>
  <c r="E176" i="2" s="1"/>
  <c r="D165" i="2"/>
  <c r="D176" i="2" s="1"/>
  <c r="J164" i="2"/>
  <c r="I164" i="2"/>
  <c r="H164" i="2"/>
  <c r="G164" i="2"/>
  <c r="F164" i="2"/>
  <c r="E164" i="2"/>
  <c r="D164" i="2"/>
  <c r="J163" i="2"/>
  <c r="I163" i="2"/>
  <c r="H163" i="2"/>
  <c r="G163" i="2"/>
  <c r="G185" i="2" s="1"/>
  <c r="F163" i="2"/>
  <c r="E163" i="2"/>
  <c r="E185" i="2" s="1"/>
  <c r="D163" i="2"/>
  <c r="D185" i="2" s="1"/>
  <c r="J162" i="2"/>
  <c r="J184" i="2" s="1"/>
  <c r="I162" i="2"/>
  <c r="I184" i="2" s="1"/>
  <c r="H162" i="2"/>
  <c r="G162" i="2"/>
  <c r="G184" i="2" s="1"/>
  <c r="F162" i="2"/>
  <c r="E162" i="2"/>
  <c r="E184" i="2" s="1"/>
  <c r="D162" i="2"/>
  <c r="D184" i="2" s="1"/>
  <c r="G161" i="2"/>
  <c r="G166" i="2" s="1"/>
  <c r="F161" i="2"/>
  <c r="F183" i="2" s="1"/>
  <c r="D137" i="2"/>
  <c r="G134" i="2"/>
  <c r="F134" i="2"/>
  <c r="E134" i="2"/>
  <c r="D134" i="2"/>
  <c r="C134" i="2"/>
  <c r="G131" i="2"/>
  <c r="F131" i="2"/>
  <c r="E131" i="2"/>
  <c r="D131" i="2"/>
  <c r="C131" i="2"/>
  <c r="G122" i="2"/>
  <c r="F122" i="2"/>
  <c r="E122" i="2"/>
  <c r="D122" i="2"/>
  <c r="C122" i="2"/>
  <c r="G119" i="2"/>
  <c r="G140" i="2" s="1"/>
  <c r="F119" i="2"/>
  <c r="E119" i="2"/>
  <c r="D119" i="2"/>
  <c r="C119" i="2"/>
  <c r="C140" i="2" s="1"/>
  <c r="F86" i="2"/>
  <c r="E86" i="2"/>
  <c r="C78" i="2"/>
  <c r="C256" i="2" s="1"/>
  <c r="C77" i="2"/>
  <c r="C255" i="2" s="1"/>
  <c r="C76" i="2"/>
  <c r="C254" i="2" s="1"/>
  <c r="C75" i="2"/>
  <c r="C253" i="2" s="1"/>
  <c r="C73" i="2"/>
  <c r="K7" i="2"/>
  <c r="K6" i="2"/>
  <c r="K5" i="2"/>
  <c r="K4" i="2"/>
  <c r="K3" i="2"/>
  <c r="C194" i="1"/>
  <c r="C193" i="1"/>
  <c r="C192" i="1"/>
  <c r="C191" i="1"/>
  <c r="E178" i="1"/>
  <c r="E165" i="1"/>
  <c r="E153" i="1"/>
  <c r="E148" i="1"/>
  <c r="E126" i="1"/>
  <c r="E118" i="1"/>
  <c r="E113" i="1"/>
  <c r="E107" i="1"/>
  <c r="E85" i="1"/>
  <c r="E61" i="1"/>
  <c r="E53" i="1"/>
  <c r="E44" i="1"/>
  <c r="E25" i="1"/>
  <c r="E18" i="1"/>
  <c r="U75" i="21" l="1"/>
  <c r="M40" i="21"/>
  <c r="Q40" i="21" s="1"/>
  <c r="M52" i="21"/>
  <c r="O52" i="21" s="1"/>
  <c r="P52" i="21" s="1"/>
  <c r="T72" i="21"/>
  <c r="U72" i="21" s="1"/>
  <c r="V72" i="21" s="1"/>
  <c r="W72" i="21" s="1"/>
  <c r="X72" i="21" s="1"/>
  <c r="T54" i="21"/>
  <c r="U54" i="21" s="1"/>
  <c r="T68" i="21"/>
  <c r="U68" i="21" s="1"/>
  <c r="V68" i="21" s="1"/>
  <c r="W68" i="21" s="1"/>
  <c r="X68" i="21" s="1"/>
  <c r="T12" i="21"/>
  <c r="U12" i="21" s="1"/>
  <c r="V12" i="21" s="1"/>
  <c r="W12" i="21" s="1"/>
  <c r="X12" i="21" s="1"/>
  <c r="T64" i="21"/>
  <c r="U64" i="21" s="1"/>
  <c r="V64" i="21" s="1"/>
  <c r="W64" i="21" s="1"/>
  <c r="X64" i="21" s="1"/>
  <c r="T69" i="21"/>
  <c r="U69" i="21"/>
  <c r="V69" i="21" s="1"/>
  <c r="W69" i="21" s="1"/>
  <c r="X69" i="21" s="1"/>
  <c r="T39" i="21"/>
  <c r="U39" i="21" s="1"/>
  <c r="V39" i="21" s="1"/>
  <c r="W39" i="21" s="1"/>
  <c r="X39" i="21" s="1"/>
  <c r="R59" i="21"/>
  <c r="M29" i="21"/>
  <c r="Q29" i="21" s="1"/>
  <c r="V29" i="21" s="1"/>
  <c r="W29" i="21" s="1"/>
  <c r="R49" i="21"/>
  <c r="T49" i="21" s="1"/>
  <c r="U49" i="21" s="1"/>
  <c r="V49" i="21" s="1"/>
  <c r="W49" i="21" s="1"/>
  <c r="X49" i="21" s="1"/>
  <c r="M58" i="21"/>
  <c r="Q58" i="21" s="1"/>
  <c r="T63" i="21"/>
  <c r="U63" i="21" s="1"/>
  <c r="V63" i="21" s="1"/>
  <c r="W63" i="21" s="1"/>
  <c r="X63" i="21" s="1"/>
  <c r="M72" i="21"/>
  <c r="Q72" i="21" s="1"/>
  <c r="T74" i="21"/>
  <c r="U74" i="21" s="1"/>
  <c r="V74" i="21" s="1"/>
  <c r="W74" i="21" s="1"/>
  <c r="X74" i="21" s="1"/>
  <c r="M32" i="21"/>
  <c r="Q32" i="21" s="1"/>
  <c r="M54" i="21"/>
  <c r="Q54" i="21" s="1"/>
  <c r="R16" i="21"/>
  <c r="M21" i="21"/>
  <c r="Q21" i="21" s="1"/>
  <c r="U70" i="21"/>
  <c r="V70" i="21" s="1"/>
  <c r="O51" i="22"/>
  <c r="V51" i="22" s="1"/>
  <c r="O55" i="22"/>
  <c r="V55" i="22" s="1"/>
  <c r="W36" i="22"/>
  <c r="N30" i="22"/>
  <c r="U30" i="22" s="1"/>
  <c r="W44" i="22"/>
  <c r="N24" i="22"/>
  <c r="U24" i="22" s="1"/>
  <c r="M28" i="22"/>
  <c r="T28" i="22" s="1"/>
  <c r="O57" i="22"/>
  <c r="V57" i="22" s="1"/>
  <c r="Z28" i="22"/>
  <c r="N47" i="22"/>
  <c r="U47" i="22" s="1"/>
  <c r="O59" i="22"/>
  <c r="V59" i="22" s="1"/>
  <c r="O63" i="22"/>
  <c r="V63" i="22" s="1"/>
  <c r="Z26" i="22"/>
  <c r="Q52" i="21"/>
  <c r="I49" i="22"/>
  <c r="K28" i="22"/>
  <c r="L28" i="22" s="1"/>
  <c r="Q28" i="22" s="1"/>
  <c r="N42" i="22"/>
  <c r="U42" i="22" s="1"/>
  <c r="L47" i="22"/>
  <c r="Q47" i="22" s="1"/>
  <c r="N49" i="22"/>
  <c r="U49" i="22" s="1"/>
  <c r="F30" i="22"/>
  <c r="X40" i="22"/>
  <c r="X44" i="22"/>
  <c r="Z49" i="22"/>
  <c r="N53" i="22"/>
  <c r="U53" i="22" s="1"/>
  <c r="O32" i="22"/>
  <c r="V32" i="22" s="1"/>
  <c r="L32" i="22"/>
  <c r="Q32" i="22" s="1"/>
  <c r="X26" i="22"/>
  <c r="Z32" i="22"/>
  <c r="Y40" i="22"/>
  <c r="I44" i="22"/>
  <c r="L44" i="22" s="1"/>
  <c r="F32" i="22"/>
  <c r="K36" i="22"/>
  <c r="O36" i="22" s="1"/>
  <c r="V36" i="22" s="1"/>
  <c r="O26" i="22"/>
  <c r="V26" i="22" s="1"/>
  <c r="M30" i="22"/>
  <c r="T30" i="22" s="1"/>
  <c r="F40" i="22"/>
  <c r="Z47" i="22"/>
  <c r="F26" i="22"/>
  <c r="N32" i="22"/>
  <c r="U32" i="22" s="1"/>
  <c r="N34" i="22"/>
  <c r="U34" i="22" s="1"/>
  <c r="X36" i="22"/>
  <c r="Z44" i="22"/>
  <c r="O53" i="22"/>
  <c r="V53" i="22" s="1"/>
  <c r="N57" i="22"/>
  <c r="U57" i="22" s="1"/>
  <c r="N28" i="22"/>
  <c r="U28" i="22" s="1"/>
  <c r="M47" i="22"/>
  <c r="T47" i="22" s="1"/>
  <c r="N61" i="22"/>
  <c r="U61" i="22" s="1"/>
  <c r="Z24" i="22"/>
  <c r="N26" i="22"/>
  <c r="U26" i="22" s="1"/>
  <c r="Z38" i="22"/>
  <c r="N40" i="22"/>
  <c r="U40" i="22" s="1"/>
  <c r="L51" i="22"/>
  <c r="Q51" i="22" s="1"/>
  <c r="W51" i="22" s="1"/>
  <c r="N42" i="9"/>
  <c r="E75" i="1" s="1"/>
  <c r="D75" i="1" s="1"/>
  <c r="M42" i="9"/>
  <c r="D107" i="1"/>
  <c r="D106" i="1" s="1"/>
  <c r="E110" i="1"/>
  <c r="F50" i="12"/>
  <c r="F29" i="12"/>
  <c r="D18" i="1"/>
  <c r="D44" i="1"/>
  <c r="D53" i="1"/>
  <c r="D153" i="1"/>
  <c r="D178" i="1"/>
  <c r="D148" i="1"/>
  <c r="D147" i="1" s="1"/>
  <c r="D61" i="1"/>
  <c r="D165" i="1"/>
  <c r="D164" i="1" s="1"/>
  <c r="D172" i="1"/>
  <c r="T28" i="20"/>
  <c r="T29" i="20" s="1"/>
  <c r="R34" i="20"/>
  <c r="R35" i="20" s="1"/>
  <c r="D19" i="20"/>
  <c r="D21" i="20" s="1"/>
  <c r="K19" i="20"/>
  <c r="K21" i="20" s="1"/>
  <c r="T19" i="20"/>
  <c r="T21" i="20" s="1"/>
  <c r="D28" i="20"/>
  <c r="D29" i="20" s="1"/>
  <c r="Y19" i="20"/>
  <c r="Y21" i="20" s="1"/>
  <c r="J28" i="20"/>
  <c r="J34" i="20"/>
  <c r="J35" i="20" s="1"/>
  <c r="G175" i="2"/>
  <c r="E186" i="2"/>
  <c r="G183" i="2"/>
  <c r="F186" i="2"/>
  <c r="I183" i="2"/>
  <c r="F201" i="2"/>
  <c r="G186" i="2"/>
  <c r="G201" i="2"/>
  <c r="E188" i="2"/>
  <c r="J185" i="2"/>
  <c r="D175" i="2"/>
  <c r="E140" i="2"/>
  <c r="AA218" i="18"/>
  <c r="AC218" i="18" s="1"/>
  <c r="C237" i="18"/>
  <c r="F106" i="2"/>
  <c r="G106" i="2" s="1"/>
  <c r="G141" i="2"/>
  <c r="G142" i="2" s="1"/>
  <c r="C264" i="2" s="1"/>
  <c r="E177" i="1" s="1"/>
  <c r="C141" i="2"/>
  <c r="C142" i="2" s="1"/>
  <c r="D141" i="2"/>
  <c r="E141" i="2"/>
  <c r="F141" i="2"/>
  <c r="E142" i="2"/>
  <c r="G138" i="2"/>
  <c r="E138" i="2"/>
  <c r="D138" i="2"/>
  <c r="D139" i="2" s="1"/>
  <c r="C138" i="2"/>
  <c r="F138" i="2"/>
  <c r="C137" i="2"/>
  <c r="F140" i="2"/>
  <c r="F142" i="2" s="1"/>
  <c r="G171" i="2"/>
  <c r="H173" i="2"/>
  <c r="H182" i="2"/>
  <c r="H188" i="2" s="1"/>
  <c r="J183" i="2"/>
  <c r="I185" i="2"/>
  <c r="H201" i="2"/>
  <c r="M228" i="2"/>
  <c r="J171" i="2"/>
  <c r="J177" i="2" s="1"/>
  <c r="J173" i="2"/>
  <c r="I182" i="2"/>
  <c r="I188" i="2" s="1"/>
  <c r="H184" i="2"/>
  <c r="D187" i="2"/>
  <c r="N228" i="2"/>
  <c r="F188" i="2"/>
  <c r="J174" i="2"/>
  <c r="J182" i="2"/>
  <c r="E187" i="2"/>
  <c r="E189" i="2" s="1"/>
  <c r="N224" i="2"/>
  <c r="L227" i="2"/>
  <c r="O228" i="2"/>
  <c r="E172" i="2"/>
  <c r="D174" i="2"/>
  <c r="D186" i="2"/>
  <c r="D189" i="2" s="1"/>
  <c r="F187" i="2"/>
  <c r="M212" i="2"/>
  <c r="M227" i="2"/>
  <c r="D140" i="2"/>
  <c r="G137" i="2"/>
  <c r="E137" i="2"/>
  <c r="G172" i="2"/>
  <c r="D183" i="2"/>
  <c r="D188" i="2" s="1"/>
  <c r="I187" i="2"/>
  <c r="O227" i="2"/>
  <c r="D171" i="2"/>
  <c r="L228" i="2"/>
  <c r="F137" i="2"/>
  <c r="F139" i="2" s="1"/>
  <c r="D167" i="2"/>
  <c r="H185" i="2"/>
  <c r="O212" i="2"/>
  <c r="L212" i="2"/>
  <c r="N212" i="2"/>
  <c r="P227" i="2"/>
  <c r="X27" i="11"/>
  <c r="G58" i="11" s="1"/>
  <c r="X28" i="11"/>
  <c r="G59" i="11" s="1"/>
  <c r="X39" i="11"/>
  <c r="G61" i="11" s="1"/>
  <c r="F11" i="12"/>
  <c r="F12" i="12" s="1"/>
  <c r="C85" i="12" s="1"/>
  <c r="F26" i="12"/>
  <c r="F32" i="12"/>
  <c r="F49" i="12"/>
  <c r="F28" i="12"/>
  <c r="F105" i="2"/>
  <c r="G105" i="2" s="1"/>
  <c r="H56" i="8"/>
  <c r="I56" i="8" s="1"/>
  <c r="H118" i="8" s="1"/>
  <c r="H42" i="8"/>
  <c r="I42" i="8" s="1"/>
  <c r="H104" i="8" s="1"/>
  <c r="F103" i="2"/>
  <c r="G103" i="2" s="1"/>
  <c r="F104" i="2"/>
  <c r="G104" i="2" s="1"/>
  <c r="I22" i="10"/>
  <c r="I13" i="10"/>
  <c r="I17" i="10"/>
  <c r="E62" i="1" s="1"/>
  <c r="I23" i="10"/>
  <c r="I28" i="10"/>
  <c r="E54" i="1" s="1"/>
  <c r="H77" i="8"/>
  <c r="I77" i="8" s="1"/>
  <c r="G108" i="8" s="1"/>
  <c r="H39" i="8"/>
  <c r="I39" i="8" s="1"/>
  <c r="H101" i="8" s="1"/>
  <c r="H71" i="8"/>
  <c r="W14" i="21"/>
  <c r="X14" i="21" s="1"/>
  <c r="W42" i="21"/>
  <c r="X42" i="21" s="1"/>
  <c r="K18" i="18"/>
  <c r="M18" i="18" s="1"/>
  <c r="K22" i="18"/>
  <c r="M22" i="18" s="1"/>
  <c r="K27" i="18"/>
  <c r="M27" i="18" s="1"/>
  <c r="U40" i="18"/>
  <c r="W40" i="18" s="1"/>
  <c r="U54" i="18"/>
  <c r="W54" i="18" s="1"/>
  <c r="U60" i="18"/>
  <c r="W60" i="18" s="1"/>
  <c r="K82" i="21"/>
  <c r="H48" i="8"/>
  <c r="H73" i="8"/>
  <c r="I73" i="8" s="1"/>
  <c r="G104" i="8" s="1"/>
  <c r="I104" i="8" s="1"/>
  <c r="H83" i="8"/>
  <c r="R42" i="9"/>
  <c r="K11" i="18"/>
  <c r="M11" i="18" s="1"/>
  <c r="Q87" i="18"/>
  <c r="S87" i="18" s="1"/>
  <c r="U87" i="18" s="1"/>
  <c r="AA208" i="18"/>
  <c r="AC208" i="18" s="1"/>
  <c r="W44" i="21"/>
  <c r="X44" i="21" s="1"/>
  <c r="K15" i="18"/>
  <c r="M15" i="18" s="1"/>
  <c r="K19" i="18"/>
  <c r="M19" i="18" s="1"/>
  <c r="K24" i="18"/>
  <c r="M24" i="18" s="1"/>
  <c r="U48" i="18"/>
  <c r="W48" i="18" s="1"/>
  <c r="U55" i="18"/>
  <c r="W55" i="18" s="1"/>
  <c r="Q84" i="18"/>
  <c r="S84" i="18" s="1"/>
  <c r="U84" i="18" s="1"/>
  <c r="F368" i="3"/>
  <c r="G368" i="3" s="1"/>
  <c r="F394" i="3" s="1"/>
  <c r="E19" i="1" s="1"/>
  <c r="H49" i="8"/>
  <c r="F34" i="12"/>
  <c r="K12" i="18"/>
  <c r="M12" i="18" s="1"/>
  <c r="H60" i="8"/>
  <c r="I60" i="8" s="1"/>
  <c r="H122" i="8" s="1"/>
  <c r="D52" i="15"/>
  <c r="E117" i="1"/>
  <c r="D42" i="9"/>
  <c r="F24" i="6"/>
  <c r="G24" i="6" s="1"/>
  <c r="D52" i="6" s="1"/>
  <c r="F40" i="7"/>
  <c r="G40" i="7" s="1"/>
  <c r="E57" i="7" s="1"/>
  <c r="H52" i="8"/>
  <c r="U41" i="18"/>
  <c r="W41" i="18" s="1"/>
  <c r="U47" i="18"/>
  <c r="W47" i="18" s="1"/>
  <c r="U61" i="18"/>
  <c r="W61" i="18" s="1"/>
  <c r="AA19" i="23"/>
  <c r="AG19" i="23" s="1"/>
  <c r="F21" i="6"/>
  <c r="G21" i="6" s="1"/>
  <c r="D49" i="6" s="1"/>
  <c r="F32" i="6"/>
  <c r="G32" i="6" s="1"/>
  <c r="E47" i="6" s="1"/>
  <c r="H43" i="8"/>
  <c r="I43" i="8" s="1"/>
  <c r="H105" i="8" s="1"/>
  <c r="H46" i="8"/>
  <c r="I46" i="8" s="1"/>
  <c r="H108" i="8" s="1"/>
  <c r="H53" i="8"/>
  <c r="I53" i="8" s="1"/>
  <c r="H115" i="8" s="1"/>
  <c r="H57" i="8"/>
  <c r="I57" i="8" s="1"/>
  <c r="H119" i="8" s="1"/>
  <c r="H74" i="8"/>
  <c r="I74" i="8" s="1"/>
  <c r="G105" i="8" s="1"/>
  <c r="H85" i="8"/>
  <c r="I85" i="8" s="1"/>
  <c r="G116" i="8" s="1"/>
  <c r="H91" i="8"/>
  <c r="H42" i="9"/>
  <c r="E58" i="1" s="1"/>
  <c r="I12" i="10"/>
  <c r="F33" i="12"/>
  <c r="U36" i="18"/>
  <c r="W36" i="18" s="1"/>
  <c r="U42" i="18"/>
  <c r="W42" i="18" s="1"/>
  <c r="U56" i="18"/>
  <c r="W56" i="18" s="1"/>
  <c r="U62" i="18"/>
  <c r="W62" i="18" s="1"/>
  <c r="W40" i="21"/>
  <c r="X40" i="21" s="1"/>
  <c r="G22" i="6"/>
  <c r="D50" i="6" s="1"/>
  <c r="F36" i="6"/>
  <c r="G36" i="6" s="1"/>
  <c r="E51" i="6" s="1"/>
  <c r="H78" i="8"/>
  <c r="I42" i="9"/>
  <c r="E59" i="1" s="1"/>
  <c r="S42" i="9"/>
  <c r="I19" i="10"/>
  <c r="L32" i="13"/>
  <c r="K16" i="18"/>
  <c r="M16" i="18" s="1"/>
  <c r="K20" i="18"/>
  <c r="M20" i="18" s="1"/>
  <c r="K25" i="18"/>
  <c r="M25" i="18" s="1"/>
  <c r="U43" i="18"/>
  <c r="W43" i="18" s="1"/>
  <c r="U49" i="18"/>
  <c r="W49" i="18" s="1"/>
  <c r="U63" i="18"/>
  <c r="W63" i="18" s="1"/>
  <c r="Q78" i="18"/>
  <c r="S78" i="18" s="1"/>
  <c r="U78" i="18" s="1"/>
  <c r="Q6" i="23"/>
  <c r="W6" i="23" s="1"/>
  <c r="Y6" i="23" s="1"/>
  <c r="C35" i="23" s="1"/>
  <c r="G37" i="6"/>
  <c r="E52" i="6" s="1"/>
  <c r="H41" i="8"/>
  <c r="H54" i="8"/>
  <c r="I54" i="8" s="1"/>
  <c r="H116" i="8" s="1"/>
  <c r="H58" i="8"/>
  <c r="I58" i="8" s="1"/>
  <c r="H120" i="8" s="1"/>
  <c r="H70" i="8"/>
  <c r="I70" i="8" s="1"/>
  <c r="G101" i="8" s="1"/>
  <c r="H75" i="8"/>
  <c r="I75" i="8" s="1"/>
  <c r="G106" i="8" s="1"/>
  <c r="H79" i="8"/>
  <c r="H87" i="8"/>
  <c r="I87" i="8" s="1"/>
  <c r="G118" i="8" s="1"/>
  <c r="H92" i="8"/>
  <c r="I92" i="8" s="1"/>
  <c r="G123" i="8" s="1"/>
  <c r="L12" i="13"/>
  <c r="D24" i="13" s="1"/>
  <c r="L18" i="13"/>
  <c r="K10" i="18"/>
  <c r="M10" i="18" s="1"/>
  <c r="U38" i="18"/>
  <c r="W38" i="18" s="1"/>
  <c r="U50" i="18"/>
  <c r="W50" i="18" s="1"/>
  <c r="U57" i="18"/>
  <c r="W57" i="18" s="1"/>
  <c r="Q72" i="18"/>
  <c r="S72" i="18" s="1"/>
  <c r="U72" i="18" s="1"/>
  <c r="Q75" i="18"/>
  <c r="S75" i="18" s="1"/>
  <c r="U75" i="18" s="1"/>
  <c r="W70" i="21"/>
  <c r="X70" i="21" s="1"/>
  <c r="Y26" i="23"/>
  <c r="AA26" i="23" s="1"/>
  <c r="C39" i="23" s="1"/>
  <c r="C37" i="23" s="1"/>
  <c r="F23" i="6"/>
  <c r="G23" i="6" s="1"/>
  <c r="D51" i="6" s="1"/>
  <c r="H81" i="8"/>
  <c r="AE27" i="11"/>
  <c r="E58" i="11" s="1"/>
  <c r="K17" i="18"/>
  <c r="M17" i="18" s="1"/>
  <c r="K21" i="18"/>
  <c r="M21" i="18" s="1"/>
  <c r="K26" i="18"/>
  <c r="M26" i="18" s="1"/>
  <c r="U39" i="18"/>
  <c r="W39" i="18" s="1"/>
  <c r="U44" i="18"/>
  <c r="W44" i="18" s="1"/>
  <c r="U58" i="18"/>
  <c r="W58" i="18" s="1"/>
  <c r="AA202" i="18"/>
  <c r="AC202" i="18" s="1"/>
  <c r="F19" i="6"/>
  <c r="G19" i="6" s="1"/>
  <c r="D47" i="6" s="1"/>
  <c r="F34" i="6"/>
  <c r="G34" i="6" s="1"/>
  <c r="E49" i="6" s="1"/>
  <c r="H51" i="8"/>
  <c r="I51" i="8" s="1"/>
  <c r="H113" i="8" s="1"/>
  <c r="H76" i="8"/>
  <c r="I76" i="8" s="1"/>
  <c r="G107" i="8" s="1"/>
  <c r="H89" i="8"/>
  <c r="I89" i="8" s="1"/>
  <c r="G120" i="8" s="1"/>
  <c r="C42" i="9"/>
  <c r="L33" i="13"/>
  <c r="C53" i="13" s="1"/>
  <c r="K14" i="18"/>
  <c r="M14" i="18" s="1"/>
  <c r="U45" i="18"/>
  <c r="W45" i="18" s="1"/>
  <c r="U51" i="18"/>
  <c r="W51" i="18" s="1"/>
  <c r="AA206" i="18"/>
  <c r="AC206" i="18" s="1"/>
  <c r="AA210" i="18"/>
  <c r="AC210" i="18" s="1"/>
  <c r="AA224" i="18"/>
  <c r="AC224" i="18" s="1"/>
  <c r="W61" i="21"/>
  <c r="X61" i="21" s="1"/>
  <c r="E36" i="1"/>
  <c r="K97" i="4"/>
  <c r="M97" i="4"/>
  <c r="L97" i="4"/>
  <c r="C112" i="8"/>
  <c r="E112" i="8" s="1"/>
  <c r="E65" i="1"/>
  <c r="E147" i="1"/>
  <c r="G174" i="2"/>
  <c r="J176" i="2"/>
  <c r="J178" i="2" s="1"/>
  <c r="C237" i="2" s="1"/>
  <c r="G188" i="2"/>
  <c r="F183" i="3"/>
  <c r="J158" i="3"/>
  <c r="J183" i="3" s="1"/>
  <c r="C353" i="3" s="1"/>
  <c r="E377" i="3"/>
  <c r="G377" i="3" s="1"/>
  <c r="K60" i="4"/>
  <c r="J63" i="4"/>
  <c r="M60" i="4"/>
  <c r="L60" i="4"/>
  <c r="L63" i="4" s="1"/>
  <c r="K61" i="4"/>
  <c r="K102" i="4"/>
  <c r="J104" i="4"/>
  <c r="E114" i="1"/>
  <c r="H167" i="2"/>
  <c r="O223" i="2"/>
  <c r="P223" i="2"/>
  <c r="C238" i="2" s="1"/>
  <c r="N223" i="2"/>
  <c r="L223" i="2"/>
  <c r="L178" i="4"/>
  <c r="M178" i="4"/>
  <c r="K178" i="4"/>
  <c r="J180" i="4"/>
  <c r="K179" i="4" s="1"/>
  <c r="E81" i="8"/>
  <c r="G81" i="8" s="1"/>
  <c r="F167" i="2"/>
  <c r="F184" i="2"/>
  <c r="K103" i="4"/>
  <c r="E106" i="1"/>
  <c r="D178" i="2"/>
  <c r="J188" i="2"/>
  <c r="C240" i="2" s="1"/>
  <c r="M223" i="2"/>
  <c r="N34" i="5"/>
  <c r="N40" i="5"/>
  <c r="N59" i="5"/>
  <c r="N83" i="5" s="1"/>
  <c r="V59" i="5"/>
  <c r="V34" i="5"/>
  <c r="V40" i="5"/>
  <c r="J31" i="8"/>
  <c r="K8" i="8"/>
  <c r="L187" i="4"/>
  <c r="M187" i="4"/>
  <c r="E40" i="1"/>
  <c r="J156" i="4"/>
  <c r="K154" i="4" s="1"/>
  <c r="E352" i="3"/>
  <c r="J116" i="4"/>
  <c r="K114" i="4"/>
  <c r="G167" i="2"/>
  <c r="H175" i="2"/>
  <c r="J167" i="2"/>
  <c r="C71" i="8"/>
  <c r="G40" i="8"/>
  <c r="E40" i="8"/>
  <c r="E167" i="2"/>
  <c r="F173" i="2"/>
  <c r="I173" i="2"/>
  <c r="E174" i="2"/>
  <c r="J189" i="2"/>
  <c r="C241" i="2" s="1"/>
  <c r="H186" i="2"/>
  <c r="H189" i="2" s="1"/>
  <c r="M197" i="3"/>
  <c r="M236" i="3" s="1"/>
  <c r="D379" i="3" s="1"/>
  <c r="E379" i="3" s="1"/>
  <c r="L197" i="3"/>
  <c r="L236" i="3" s="1"/>
  <c r="D367" i="3" s="1"/>
  <c r="E367" i="3" s="1"/>
  <c r="G367" i="3" s="1"/>
  <c r="F393" i="3" s="1"/>
  <c r="K197" i="3"/>
  <c r="K236" i="3" s="1"/>
  <c r="D354" i="3" s="1"/>
  <c r="E354" i="3" s="1"/>
  <c r="F354" i="3" s="1"/>
  <c r="L65" i="4"/>
  <c r="J68" i="4"/>
  <c r="K65" i="4"/>
  <c r="M80" i="4"/>
  <c r="M83" i="4"/>
  <c r="M84" i="4" s="1"/>
  <c r="L83" i="4"/>
  <c r="L84" i="4" s="1"/>
  <c r="K83" i="4"/>
  <c r="K122" i="4"/>
  <c r="M122" i="4"/>
  <c r="K134" i="4"/>
  <c r="L122" i="4"/>
  <c r="K123" i="4"/>
  <c r="M34" i="5"/>
  <c r="M40" i="5"/>
  <c r="G16" i="7"/>
  <c r="C121" i="8"/>
  <c r="E121" i="8" s="1"/>
  <c r="E90" i="8"/>
  <c r="G90" i="8" s="1"/>
  <c r="I90" i="8" s="1"/>
  <c r="G121" i="8" s="1"/>
  <c r="I167" i="2"/>
  <c r="F166" i="2"/>
  <c r="F172" i="2"/>
  <c r="I172" i="2"/>
  <c r="E173" i="2"/>
  <c r="H174" i="2"/>
  <c r="F176" i="2"/>
  <c r="I176" i="2"/>
  <c r="P212" i="2"/>
  <c r="C242" i="2" s="1"/>
  <c r="J236" i="3"/>
  <c r="C354" i="3" s="1"/>
  <c r="L7" i="4"/>
  <c r="K66" i="4"/>
  <c r="M66" i="4"/>
  <c r="M68" i="4" s="1"/>
  <c r="L123" i="4"/>
  <c r="J140" i="4"/>
  <c r="J199" i="4"/>
  <c r="K197" i="4"/>
  <c r="C79" i="8"/>
  <c r="E48" i="8"/>
  <c r="E55" i="8"/>
  <c r="G55" i="8" s="1"/>
  <c r="C86" i="8"/>
  <c r="D172" i="2"/>
  <c r="D177" i="2" s="1"/>
  <c r="G173" i="2"/>
  <c r="G187" i="2"/>
  <c r="G189" i="2" s="1"/>
  <c r="J201" i="2"/>
  <c r="D369" i="3"/>
  <c r="L66" i="4"/>
  <c r="J76" i="4"/>
  <c r="K79" i="4"/>
  <c r="M123" i="4"/>
  <c r="L197" i="4"/>
  <c r="E41" i="8"/>
  <c r="G41" i="8" s="1"/>
  <c r="C72" i="8"/>
  <c r="G48" i="8"/>
  <c r="I48" i="8" s="1"/>
  <c r="H110" i="8" s="1"/>
  <c r="F171" i="2"/>
  <c r="F177" i="2" s="1"/>
  <c r="I171" i="2"/>
  <c r="I177" i="2" s="1"/>
  <c r="F175" i="2"/>
  <c r="I175" i="2"/>
  <c r="L224" i="2"/>
  <c r="M224" i="2"/>
  <c r="D392" i="3"/>
  <c r="K8" i="4"/>
  <c r="J9" i="4"/>
  <c r="M8" i="4"/>
  <c r="L8" i="4"/>
  <c r="K7" i="4"/>
  <c r="L76" i="4"/>
  <c r="M79" i="4"/>
  <c r="J98" i="4"/>
  <c r="K96" i="4"/>
  <c r="M96" i="4"/>
  <c r="M98" i="4" s="1"/>
  <c r="J124" i="4"/>
  <c r="K175" i="4"/>
  <c r="J188" i="4"/>
  <c r="K186" i="4" s="1"/>
  <c r="L217" i="4"/>
  <c r="M217" i="4" s="1"/>
  <c r="L218" i="4"/>
  <c r="F30" i="7"/>
  <c r="G30" i="7" s="1"/>
  <c r="F62" i="7" s="1"/>
  <c r="F29" i="7"/>
  <c r="G29" i="7" s="1"/>
  <c r="F61" i="7" s="1"/>
  <c r="F24" i="7"/>
  <c r="G24" i="7" s="1"/>
  <c r="F56" i="7" s="1"/>
  <c r="F26" i="7"/>
  <c r="G26" i="7" s="1"/>
  <c r="F58" i="7" s="1"/>
  <c r="F25" i="7"/>
  <c r="G25" i="7" s="1"/>
  <c r="F57" i="7" s="1"/>
  <c r="F27" i="7"/>
  <c r="G27" i="7" s="1"/>
  <c r="F59" i="7" s="1"/>
  <c r="E52" i="8"/>
  <c r="C83" i="8"/>
  <c r="G52" i="8"/>
  <c r="E59" i="8"/>
  <c r="G59" i="8"/>
  <c r="I59" i="8" s="1"/>
  <c r="H121" i="8" s="1"/>
  <c r="T42" i="9"/>
  <c r="J42" i="9"/>
  <c r="E57" i="1" s="1"/>
  <c r="M51" i="4"/>
  <c r="L51" i="4"/>
  <c r="K51" i="4"/>
  <c r="L98" i="4"/>
  <c r="L135" i="4"/>
  <c r="M134" i="4"/>
  <c r="L139" i="4"/>
  <c r="K138" i="4"/>
  <c r="M139" i="4"/>
  <c r="K191" i="4"/>
  <c r="L191" i="4"/>
  <c r="R40" i="5"/>
  <c r="E164" i="1"/>
  <c r="C74" i="2"/>
  <c r="C252" i="2" s="1"/>
  <c r="C251" i="2"/>
  <c r="E171" i="2"/>
  <c r="H172" i="2"/>
  <c r="H177" i="2" s="1"/>
  <c r="F174" i="2"/>
  <c r="I174" i="2"/>
  <c r="E175" i="2"/>
  <c r="E201" i="2"/>
  <c r="O224" i="2"/>
  <c r="C368" i="3"/>
  <c r="K23" i="4"/>
  <c r="L48" i="4"/>
  <c r="J52" i="4"/>
  <c r="M48" i="4"/>
  <c r="M52" i="4" s="1"/>
  <c r="K62" i="4"/>
  <c r="M62" i="4"/>
  <c r="K75" i="4"/>
  <c r="K135" i="4"/>
  <c r="K139" i="4"/>
  <c r="M191" i="4"/>
  <c r="J204" i="4"/>
  <c r="L202" i="4" s="1"/>
  <c r="K201" i="4"/>
  <c r="R59" i="5"/>
  <c r="R83" i="5" s="1"/>
  <c r="C47" i="6"/>
  <c r="G13" i="6"/>
  <c r="F28" i="7"/>
  <c r="G28" i="7" s="1"/>
  <c r="F60" i="7" s="1"/>
  <c r="F366" i="3"/>
  <c r="G366" i="3" s="1"/>
  <c r="F392" i="3" s="1"/>
  <c r="F365" i="3"/>
  <c r="G365" i="3" s="1"/>
  <c r="M74" i="4"/>
  <c r="M76" i="4" s="1"/>
  <c r="L78" i="4"/>
  <c r="L80" i="4" s="1"/>
  <c r="K82" i="4"/>
  <c r="K107" i="4"/>
  <c r="M138" i="4"/>
  <c r="J176" i="4"/>
  <c r="L179" i="4"/>
  <c r="F41" i="7"/>
  <c r="G41" i="7" s="1"/>
  <c r="E58" i="7" s="1"/>
  <c r="F39" i="7"/>
  <c r="G39" i="7" s="1"/>
  <c r="E56" i="7" s="1"/>
  <c r="F45" i="7"/>
  <c r="G45" i="7" s="1"/>
  <c r="E62" i="7" s="1"/>
  <c r="F38" i="7"/>
  <c r="G38" i="7" s="1"/>
  <c r="G30" i="10"/>
  <c r="E35" i="12"/>
  <c r="F27" i="12"/>
  <c r="F380" i="3"/>
  <c r="G380" i="3" s="1"/>
  <c r="E394" i="3" s="1"/>
  <c r="E20" i="1" s="1"/>
  <c r="F379" i="3"/>
  <c r="F378" i="3"/>
  <c r="G378" i="3" s="1"/>
  <c r="E392" i="3" s="1"/>
  <c r="J80" i="4"/>
  <c r="L134" i="4"/>
  <c r="O40" i="5"/>
  <c r="F44" i="7"/>
  <c r="G44" i="7" s="1"/>
  <c r="E61" i="7" s="1"/>
  <c r="C80" i="8"/>
  <c r="G91" i="8"/>
  <c r="K115" i="4"/>
  <c r="M203" i="4"/>
  <c r="C109" i="8"/>
  <c r="E109" i="8" s="1"/>
  <c r="G78" i="8"/>
  <c r="C377" i="3"/>
  <c r="C391" i="3" s="1"/>
  <c r="K49" i="4"/>
  <c r="K67" i="4"/>
  <c r="K74" i="4"/>
  <c r="L87" i="4"/>
  <c r="L88" i="4" s="1"/>
  <c r="J171" i="4"/>
  <c r="P40" i="5"/>
  <c r="M59" i="5"/>
  <c r="M83" i="5" s="1"/>
  <c r="U59" i="5"/>
  <c r="U83" i="5" s="1"/>
  <c r="F42" i="7"/>
  <c r="G42" i="7" s="1"/>
  <c r="E59" i="7" s="1"/>
  <c r="G49" i="8"/>
  <c r="E78" i="8"/>
  <c r="E42" i="9"/>
  <c r="O42" i="9"/>
  <c r="E73" i="1" s="1"/>
  <c r="F102" i="2"/>
  <c r="G102" i="2" s="1"/>
  <c r="C261" i="2" s="1"/>
  <c r="G43" i="7"/>
  <c r="E60" i="7" s="1"/>
  <c r="H47" i="8"/>
  <c r="I47" i="8" s="1"/>
  <c r="H109" i="8" s="1"/>
  <c r="H45" i="8"/>
  <c r="I45" i="8" s="1"/>
  <c r="H107" i="8" s="1"/>
  <c r="H40" i="8"/>
  <c r="H44" i="8"/>
  <c r="I44" i="8" s="1"/>
  <c r="H106" i="8" s="1"/>
  <c r="H50" i="8"/>
  <c r="I50" i="8" s="1"/>
  <c r="H112" i="8" s="1"/>
  <c r="H55" i="8"/>
  <c r="C88" i="8"/>
  <c r="AA40" i="11"/>
  <c r="AC40" i="11" s="1"/>
  <c r="AE40" i="11" s="1"/>
  <c r="E62" i="11" s="1"/>
  <c r="T40" i="11"/>
  <c r="V40" i="11" s="1"/>
  <c r="X40" i="11" s="1"/>
  <c r="G62" i="11" s="1"/>
  <c r="C58" i="11"/>
  <c r="C265" i="18"/>
  <c r="Q194" i="18"/>
  <c r="S194" i="18" s="1"/>
  <c r="F20" i="6"/>
  <c r="G20" i="6" s="1"/>
  <c r="F33" i="6"/>
  <c r="G33" i="6" s="1"/>
  <c r="F35" i="6"/>
  <c r="G35" i="6" s="1"/>
  <c r="E50" i="6" s="1"/>
  <c r="H61" i="8"/>
  <c r="I61" i="8" s="1"/>
  <c r="H123" i="8" s="1"/>
  <c r="H12" i="10"/>
  <c r="F30" i="10"/>
  <c r="Q85" i="18"/>
  <c r="S85" i="18" s="1"/>
  <c r="U85" i="18" s="1"/>
  <c r="Q90" i="18"/>
  <c r="S90" i="18" s="1"/>
  <c r="U90" i="18" s="1"/>
  <c r="AA28" i="11"/>
  <c r="AC28" i="11" s="1"/>
  <c r="AE28" i="11" s="1"/>
  <c r="E59" i="11" s="1"/>
  <c r="T29" i="11"/>
  <c r="V29" i="11" s="1"/>
  <c r="X29" i="11" s="1"/>
  <c r="G60" i="11" s="1"/>
  <c r="E67" i="1" s="1"/>
  <c r="F51" i="12"/>
  <c r="C51" i="13"/>
  <c r="G28" i="18"/>
  <c r="E136" i="18"/>
  <c r="E137" i="18" s="1"/>
  <c r="C128" i="18"/>
  <c r="T11" i="21"/>
  <c r="U11" i="21" s="1"/>
  <c r="AA39" i="11"/>
  <c r="AC39" i="11" s="1"/>
  <c r="AE39" i="11" s="1"/>
  <c r="D46" i="15"/>
  <c r="E103" i="1" s="1"/>
  <c r="H14" i="15"/>
  <c r="Q35" i="18"/>
  <c r="O64" i="18"/>
  <c r="C28" i="20"/>
  <c r="C29" i="20" s="1"/>
  <c r="C19" i="20"/>
  <c r="C21" i="20" s="1"/>
  <c r="F21" i="20" s="1"/>
  <c r="C34" i="20"/>
  <c r="C35" i="20" s="1"/>
  <c r="S28" i="20"/>
  <c r="S29" i="20" s="1"/>
  <c r="U29" i="20" s="1"/>
  <c r="S19" i="20"/>
  <c r="S21" i="20" s="1"/>
  <c r="S34" i="20"/>
  <c r="S35" i="20" s="1"/>
  <c r="K28" i="11"/>
  <c r="M28" i="11" s="1"/>
  <c r="O28" i="11" s="1"/>
  <c r="C59" i="11" s="1"/>
  <c r="E39" i="11"/>
  <c r="K39" i="11" s="1"/>
  <c r="M39" i="11" s="1"/>
  <c r="O39" i="11" s="1"/>
  <c r="G24" i="14"/>
  <c r="G92" i="18"/>
  <c r="Q80" i="18"/>
  <c r="S80" i="18" s="1"/>
  <c r="U80" i="18" s="1"/>
  <c r="Q91" i="18"/>
  <c r="S91" i="18" s="1"/>
  <c r="U91" i="18" s="1"/>
  <c r="AA29" i="11"/>
  <c r="AC29" i="11" s="1"/>
  <c r="AE29" i="11" s="1"/>
  <c r="E60" i="11" s="1"/>
  <c r="E66" i="1" s="1"/>
  <c r="I71" i="12"/>
  <c r="E84" i="1" s="1"/>
  <c r="H71" i="12"/>
  <c r="C73" i="12"/>
  <c r="D45" i="15"/>
  <c r="K92" i="18"/>
  <c r="AA221" i="18"/>
  <c r="AC221" i="18" s="1"/>
  <c r="Q59" i="21"/>
  <c r="O59" i="21"/>
  <c r="P59" i="21" s="1"/>
  <c r="J71" i="12"/>
  <c r="G37" i="14"/>
  <c r="G39" i="14" s="1"/>
  <c r="O71" i="18"/>
  <c r="Q86" i="18"/>
  <c r="S86" i="18" s="1"/>
  <c r="U86" i="18" s="1"/>
  <c r="Q88" i="18"/>
  <c r="S88" i="18" s="1"/>
  <c r="U88" i="18" s="1"/>
  <c r="K120" i="18"/>
  <c r="W114" i="18"/>
  <c r="S114" i="18"/>
  <c r="M42" i="22"/>
  <c r="T42" i="22" s="1"/>
  <c r="L42" i="22"/>
  <c r="Q42" i="22" s="1"/>
  <c r="H72" i="8"/>
  <c r="H80" i="8"/>
  <c r="H82" i="8"/>
  <c r="I82" i="8" s="1"/>
  <c r="G113" i="8" s="1"/>
  <c r="H84" i="8"/>
  <c r="I84" i="8" s="1"/>
  <c r="G115" i="8" s="1"/>
  <c r="H86" i="8"/>
  <c r="H88" i="8"/>
  <c r="J19" i="15"/>
  <c r="D47" i="15"/>
  <c r="E123" i="1" s="1"/>
  <c r="Q74" i="18"/>
  <c r="S74" i="18" s="1"/>
  <c r="U74" i="18" s="1"/>
  <c r="Q79" i="18"/>
  <c r="S79" i="18" s="1"/>
  <c r="U79" i="18" s="1"/>
  <c r="Q81" i="18"/>
  <c r="S81" i="18" s="1"/>
  <c r="U81" i="18" s="1"/>
  <c r="W120" i="18"/>
  <c r="AA100" i="18" s="1"/>
  <c r="Z34" i="22"/>
  <c r="K34" i="22"/>
  <c r="O34" i="22" s="1"/>
  <c r="V34" i="22" s="1"/>
  <c r="L16" i="13"/>
  <c r="G74" i="14"/>
  <c r="G63" i="14"/>
  <c r="G65" i="14" s="1"/>
  <c r="G76" i="14" s="1"/>
  <c r="G82" i="14" s="1"/>
  <c r="G84" i="14" s="1"/>
  <c r="G86" i="14" s="1"/>
  <c r="E95" i="1" s="1"/>
  <c r="Q77" i="18"/>
  <c r="S77" i="18" s="1"/>
  <c r="U77" i="18" s="1"/>
  <c r="AA223" i="18"/>
  <c r="AC223" i="18" s="1"/>
  <c r="I35" i="14"/>
  <c r="W110" i="18"/>
  <c r="Q161" i="18"/>
  <c r="S161" i="18" s="1"/>
  <c r="O165" i="18"/>
  <c r="U165" i="18" s="1"/>
  <c r="AA207" i="18"/>
  <c r="AC207" i="18" s="1"/>
  <c r="Q19" i="20"/>
  <c r="Q21" i="20" s="1"/>
  <c r="F37" i="20"/>
  <c r="AC37" i="20" s="1"/>
  <c r="E155" i="1" s="1"/>
  <c r="O11" i="21"/>
  <c r="Q11" i="21"/>
  <c r="T46" i="21"/>
  <c r="U46" i="21" s="1"/>
  <c r="V46" i="21" s="1"/>
  <c r="W46" i="21" s="1"/>
  <c r="X46" i="21" s="1"/>
  <c r="T56" i="21"/>
  <c r="U56" i="21" s="1"/>
  <c r="V56" i="21" s="1"/>
  <c r="W56" i="21" s="1"/>
  <c r="X56" i="21" s="1"/>
  <c r="Y212" i="18"/>
  <c r="C247" i="18" s="1"/>
  <c r="E247" i="18" s="1"/>
  <c r="E145" i="1" s="1"/>
  <c r="AA204" i="18"/>
  <c r="AC204" i="18" s="1"/>
  <c r="T21" i="21"/>
  <c r="U21" i="21" s="1"/>
  <c r="M26" i="22"/>
  <c r="T26" i="22" s="1"/>
  <c r="L26" i="22"/>
  <c r="Q26" i="22" s="1"/>
  <c r="W26" i="22" s="1"/>
  <c r="H67" i="14"/>
  <c r="H78" i="14" s="1"/>
  <c r="M173" i="18"/>
  <c r="S173" i="18" s="1"/>
  <c r="W212" i="18"/>
  <c r="AA222" i="18"/>
  <c r="AC222" i="18" s="1"/>
  <c r="T17" i="21"/>
  <c r="U17" i="21" s="1"/>
  <c r="V17" i="21" s="1"/>
  <c r="W17" i="21" s="1"/>
  <c r="X17" i="21" s="1"/>
  <c r="U32" i="21"/>
  <c r="V32" i="21" s="1"/>
  <c r="W32" i="21" s="1"/>
  <c r="X32" i="21" s="1"/>
  <c r="T59" i="21"/>
  <c r="Q75" i="21"/>
  <c r="V75" i="21" s="1"/>
  <c r="W75" i="21" s="1"/>
  <c r="O75" i="21"/>
  <c r="P75" i="21" s="1"/>
  <c r="H30" i="14"/>
  <c r="H41" i="14" s="1"/>
  <c r="S109" i="18"/>
  <c r="S120" i="18" s="1"/>
  <c r="AA99" i="18" s="1"/>
  <c r="K127" i="18"/>
  <c r="K160" i="18"/>
  <c r="K188" i="18" s="1"/>
  <c r="G192" i="18" s="1"/>
  <c r="K166" i="18"/>
  <c r="K172" i="18"/>
  <c r="K178" i="18"/>
  <c r="K180" i="18"/>
  <c r="AA205" i="18"/>
  <c r="AC205" i="18" s="1"/>
  <c r="AA219" i="18"/>
  <c r="AC219" i="18" s="1"/>
  <c r="AC28" i="20"/>
  <c r="AC29" i="20" s="1"/>
  <c r="AC19" i="20"/>
  <c r="AC21" i="20" s="1"/>
  <c r="AC34" i="20"/>
  <c r="AC35" i="20" s="1"/>
  <c r="E28" i="20"/>
  <c r="E29" i="20" s="1"/>
  <c r="E34" i="20"/>
  <c r="E35" i="20" s="1"/>
  <c r="M35" i="20"/>
  <c r="Q16" i="21"/>
  <c r="O16" i="21"/>
  <c r="P16" i="21" s="1"/>
  <c r="T47" i="21"/>
  <c r="U47" i="21" s="1"/>
  <c r="V47" i="21" s="1"/>
  <c r="W47" i="21" s="1"/>
  <c r="X47" i="21" s="1"/>
  <c r="I9" i="18"/>
  <c r="M160" i="18"/>
  <c r="K161" i="18"/>
  <c r="M182" i="18"/>
  <c r="S182" i="18" s="1"/>
  <c r="K185" i="18"/>
  <c r="O187" i="18"/>
  <c r="U187" i="18" s="1"/>
  <c r="Y227" i="18"/>
  <c r="C251" i="18" s="1"/>
  <c r="E251" i="18" s="1"/>
  <c r="E146" i="1" s="1"/>
  <c r="AA217" i="18"/>
  <c r="AA225" i="18"/>
  <c r="AC225" i="18" s="1"/>
  <c r="U19" i="21"/>
  <c r="V19" i="21" s="1"/>
  <c r="W19" i="21" s="1"/>
  <c r="X19" i="21" s="1"/>
  <c r="I63" i="22"/>
  <c r="X63" i="22"/>
  <c r="F63" i="22"/>
  <c r="O160" i="18"/>
  <c r="AA203" i="18"/>
  <c r="AC203" i="18" s="1"/>
  <c r="W227" i="18"/>
  <c r="AC31" i="20"/>
  <c r="E154" i="1" s="1"/>
  <c r="R18" i="21"/>
  <c r="M18" i="21"/>
  <c r="R43" i="21"/>
  <c r="M43" i="21"/>
  <c r="T58" i="21"/>
  <c r="U58" i="21" s="1"/>
  <c r="V58" i="21" s="1"/>
  <c r="W58" i="21" s="1"/>
  <c r="Q160" i="18"/>
  <c r="Q188" i="18" s="1"/>
  <c r="AA209" i="18"/>
  <c r="AC209" i="18" s="1"/>
  <c r="AA220" i="18"/>
  <c r="AC220" i="18" s="1"/>
  <c r="Q34" i="20"/>
  <c r="Q35" i="20" s="1"/>
  <c r="T15" i="21"/>
  <c r="U15" i="21" s="1"/>
  <c r="V15" i="21" s="1"/>
  <c r="W15" i="21" s="1"/>
  <c r="X15" i="21" s="1"/>
  <c r="M36" i="21"/>
  <c r="R36" i="21"/>
  <c r="I38" i="22"/>
  <c r="X38" i="22"/>
  <c r="F38" i="22"/>
  <c r="I59" i="22"/>
  <c r="X59" i="22"/>
  <c r="F59" i="22"/>
  <c r="L19" i="20"/>
  <c r="L21" i="20" s="1"/>
  <c r="T26" i="21"/>
  <c r="U26" i="21" s="1"/>
  <c r="V26" i="21" s="1"/>
  <c r="W26" i="21" s="1"/>
  <c r="X26" i="21" s="1"/>
  <c r="U31" i="21"/>
  <c r="V31" i="21" s="1"/>
  <c r="W31" i="21" s="1"/>
  <c r="X31" i="21" s="1"/>
  <c r="U37" i="21"/>
  <c r="V37" i="21" s="1"/>
  <c r="W37" i="21" s="1"/>
  <c r="X37" i="21" s="1"/>
  <c r="O40" i="21"/>
  <c r="P40" i="21" s="1"/>
  <c r="J77" i="21"/>
  <c r="I34" i="22"/>
  <c r="X34" i="22"/>
  <c r="F34" i="22"/>
  <c r="O40" i="22"/>
  <c r="V40" i="22" s="1"/>
  <c r="Z40" i="22"/>
  <c r="Y44" i="22"/>
  <c r="M49" i="22"/>
  <c r="T49" i="22" s="1"/>
  <c r="L49" i="22"/>
  <c r="Q49" i="22" s="1"/>
  <c r="R49" i="22" s="1"/>
  <c r="S49" i="22" s="1"/>
  <c r="Y49" i="22"/>
  <c r="N55" i="22"/>
  <c r="U55" i="22" s="1"/>
  <c r="I61" i="22"/>
  <c r="X61" i="22"/>
  <c r="F61" i="22"/>
  <c r="R19" i="20"/>
  <c r="R21" i="20" s="1"/>
  <c r="T52" i="21"/>
  <c r="U52" i="21" s="1"/>
  <c r="Y61" i="22"/>
  <c r="Y57" i="22"/>
  <c r="Y53" i="22"/>
  <c r="M51" i="22"/>
  <c r="T51" i="22" s="1"/>
  <c r="X49" i="22"/>
  <c r="Y36" i="22"/>
  <c r="Y32" i="22"/>
  <c r="Y28" i="22"/>
  <c r="Z63" i="22"/>
  <c r="Z59" i="22"/>
  <c r="Z55" i="22"/>
  <c r="Z51" i="22"/>
  <c r="Y47" i="22"/>
  <c r="Y42" i="22"/>
  <c r="Y63" i="22"/>
  <c r="Y59" i="22"/>
  <c r="Y55" i="22"/>
  <c r="Y51" i="22"/>
  <c r="Y38" i="22"/>
  <c r="Y34" i="22"/>
  <c r="Z30" i="22"/>
  <c r="Y24" i="22"/>
  <c r="X51" i="22"/>
  <c r="O47" i="22"/>
  <c r="V47" i="22" s="1"/>
  <c r="O42" i="22"/>
  <c r="V42" i="22" s="1"/>
  <c r="Y30" i="22"/>
  <c r="Y26" i="22"/>
  <c r="R36" i="22"/>
  <c r="S36" i="22" s="1"/>
  <c r="K38" i="22"/>
  <c r="O38" i="22" s="1"/>
  <c r="V38" i="22" s="1"/>
  <c r="O49" i="22"/>
  <c r="V49" i="22" s="1"/>
  <c r="R51" i="22"/>
  <c r="S51" i="22" s="1"/>
  <c r="N59" i="22"/>
  <c r="U59" i="22" s="1"/>
  <c r="I24" i="22"/>
  <c r="X24" i="22"/>
  <c r="F24" i="22"/>
  <c r="X30" i="22"/>
  <c r="O44" i="22"/>
  <c r="V44" i="22" s="1"/>
  <c r="O61" i="22"/>
  <c r="V61" i="22" s="1"/>
  <c r="S12" i="23"/>
  <c r="M23" i="21"/>
  <c r="R23" i="21"/>
  <c r="R24" i="21"/>
  <c r="M24" i="21"/>
  <c r="L30" i="22"/>
  <c r="Q30" i="22" s="1"/>
  <c r="N38" i="22"/>
  <c r="U38" i="22" s="1"/>
  <c r="Z42" i="22"/>
  <c r="I53" i="22"/>
  <c r="X53" i="22"/>
  <c r="F53" i="22"/>
  <c r="Z53" i="22"/>
  <c r="N63" i="22"/>
  <c r="U63" i="22" s="1"/>
  <c r="O29" i="21"/>
  <c r="P29" i="21" s="1"/>
  <c r="U34" i="21"/>
  <c r="M36" i="22"/>
  <c r="R44" i="22"/>
  <c r="S44" i="22" s="1"/>
  <c r="I55" i="22"/>
  <c r="X55" i="22"/>
  <c r="F55" i="22"/>
  <c r="V88" i="21"/>
  <c r="V82" i="21"/>
  <c r="U27" i="21"/>
  <c r="V27" i="21" s="1"/>
  <c r="W27" i="21" s="1"/>
  <c r="X27" i="21" s="1"/>
  <c r="M34" i="21"/>
  <c r="T66" i="21"/>
  <c r="U66" i="21" s="1"/>
  <c r="V66" i="21" s="1"/>
  <c r="K24" i="22"/>
  <c r="O24" i="22" s="1"/>
  <c r="X28" i="22"/>
  <c r="O30" i="22"/>
  <c r="V30" i="22" s="1"/>
  <c r="M32" i="22"/>
  <c r="T32" i="22" s="1"/>
  <c r="X32" i="22"/>
  <c r="N36" i="22"/>
  <c r="U36" i="22" s="1"/>
  <c r="Z36" i="22"/>
  <c r="I40" i="22"/>
  <c r="N44" i="22"/>
  <c r="U44" i="22" s="1"/>
  <c r="N51" i="22"/>
  <c r="U51" i="22" s="1"/>
  <c r="I57" i="22"/>
  <c r="X57" i="22"/>
  <c r="F57" i="22"/>
  <c r="Z57" i="22"/>
  <c r="F42" i="22"/>
  <c r="X42" i="22"/>
  <c r="F47" i="22"/>
  <c r="X47" i="22"/>
  <c r="O32" i="21"/>
  <c r="P32" i="21" s="1"/>
  <c r="O54" i="21"/>
  <c r="P54" i="21" s="1"/>
  <c r="O58" i="21"/>
  <c r="P58" i="21" s="1"/>
  <c r="F28" i="22"/>
  <c r="U59" i="21" l="1"/>
  <c r="W66" i="21"/>
  <c r="X66" i="21" s="1"/>
  <c r="X29" i="21"/>
  <c r="V21" i="21"/>
  <c r="W21" i="21" s="1"/>
  <c r="X21" i="21" s="1"/>
  <c r="V54" i="21"/>
  <c r="W54" i="21" s="1"/>
  <c r="X54" i="21" s="1"/>
  <c r="O21" i="21"/>
  <c r="P21" i="21" s="1"/>
  <c r="O72" i="21"/>
  <c r="P72" i="21" s="1"/>
  <c r="T16" i="21"/>
  <c r="U16" i="21" s="1"/>
  <c r="V16" i="21" s="1"/>
  <c r="W16" i="21" s="1"/>
  <c r="X16" i="21" s="1"/>
  <c r="O28" i="22"/>
  <c r="V28" i="22" s="1"/>
  <c r="V52" i="21"/>
  <c r="W52" i="21" s="1"/>
  <c r="X52" i="21" s="1"/>
  <c r="R26" i="22"/>
  <c r="S26" i="22" s="1"/>
  <c r="R32" i="22"/>
  <c r="S32" i="22" s="1"/>
  <c r="R30" i="22"/>
  <c r="S30" i="22" s="1"/>
  <c r="L36" i="22"/>
  <c r="M44" i="22"/>
  <c r="T44" i="22" s="1"/>
  <c r="Z65" i="22"/>
  <c r="W32" i="22"/>
  <c r="W49" i="22"/>
  <c r="D145" i="1"/>
  <c r="D66" i="1"/>
  <c r="D59" i="1"/>
  <c r="D65" i="1"/>
  <c r="C139" i="2"/>
  <c r="D103" i="1"/>
  <c r="D102" i="1" s="1"/>
  <c r="D67" i="1"/>
  <c r="D73" i="1"/>
  <c r="D58" i="1"/>
  <c r="D19" i="1"/>
  <c r="D154" i="1"/>
  <c r="D152" i="1" s="1"/>
  <c r="D177" i="1"/>
  <c r="D84" i="1"/>
  <c r="D155" i="1"/>
  <c r="D95" i="1"/>
  <c r="D94" i="1" s="1"/>
  <c r="D20" i="1"/>
  <c r="D57" i="1"/>
  <c r="D117" i="1"/>
  <c r="D114" i="1" s="1"/>
  <c r="D142" i="2"/>
  <c r="D144" i="2" s="1"/>
  <c r="D146" i="1"/>
  <c r="D123" i="1"/>
  <c r="D122" i="1" s="1"/>
  <c r="D40" i="1"/>
  <c r="D36" i="1"/>
  <c r="E60" i="1"/>
  <c r="D62" i="1"/>
  <c r="D60" i="1" s="1"/>
  <c r="D143" i="1"/>
  <c r="D64" i="1"/>
  <c r="C144" i="2"/>
  <c r="E52" i="1"/>
  <c r="D54" i="1"/>
  <c r="D52" i="1" s="1"/>
  <c r="F29" i="20"/>
  <c r="G177" i="2"/>
  <c r="F189" i="2"/>
  <c r="I189" i="2"/>
  <c r="I107" i="8"/>
  <c r="G139" i="2"/>
  <c r="C263" i="2" s="1"/>
  <c r="C262" i="2" s="1"/>
  <c r="F144" i="2"/>
  <c r="G60" i="7"/>
  <c r="E139" i="2"/>
  <c r="E144" i="2" s="1"/>
  <c r="E177" i="2"/>
  <c r="G178" i="2"/>
  <c r="H178" i="2"/>
  <c r="C79" i="2"/>
  <c r="E74" i="1"/>
  <c r="X58" i="21"/>
  <c r="I41" i="8"/>
  <c r="H103" i="8" s="1"/>
  <c r="I120" i="8"/>
  <c r="E51" i="1"/>
  <c r="G61" i="7"/>
  <c r="I115" i="8"/>
  <c r="I49" i="8"/>
  <c r="H111" i="8" s="1"/>
  <c r="I108" i="8"/>
  <c r="I91" i="8"/>
  <c r="G122" i="8" s="1"/>
  <c r="I122" i="8" s="1"/>
  <c r="I118" i="8"/>
  <c r="F52" i="12"/>
  <c r="C86" i="12" s="1"/>
  <c r="I123" i="8"/>
  <c r="E23" i="1"/>
  <c r="I78" i="8"/>
  <c r="G109" i="8" s="1"/>
  <c r="I109" i="8" s="1"/>
  <c r="I121" i="8"/>
  <c r="I105" i="8"/>
  <c r="I52" i="8"/>
  <c r="H114" i="8" s="1"/>
  <c r="I116" i="8"/>
  <c r="E50" i="1"/>
  <c r="F35" i="12"/>
  <c r="C87" i="12" s="1"/>
  <c r="F51" i="6"/>
  <c r="I113" i="8"/>
  <c r="X75" i="21"/>
  <c r="I81" i="8"/>
  <c r="G112" i="8" s="1"/>
  <c r="I112" i="8" s="1"/>
  <c r="F49" i="6"/>
  <c r="I106" i="8"/>
  <c r="G56" i="7"/>
  <c r="I55" i="8"/>
  <c r="H117" i="8" s="1"/>
  <c r="AA212" i="18"/>
  <c r="X30" i="11"/>
  <c r="K42" i="9"/>
  <c r="I62" i="11"/>
  <c r="U42" i="9"/>
  <c r="L20" i="13"/>
  <c r="D25" i="13" s="1"/>
  <c r="D22" i="13" s="1"/>
  <c r="C49" i="13" s="1"/>
  <c r="I59" i="11"/>
  <c r="G57" i="7"/>
  <c r="X41" i="11"/>
  <c r="E38" i="1"/>
  <c r="C42" i="13"/>
  <c r="C52" i="13"/>
  <c r="C50" i="13" s="1"/>
  <c r="C43" i="13"/>
  <c r="E71" i="1"/>
  <c r="G369" i="3"/>
  <c r="F391" i="3"/>
  <c r="F50" i="6"/>
  <c r="E55" i="7"/>
  <c r="G46" i="7"/>
  <c r="E94" i="1"/>
  <c r="M128" i="18"/>
  <c r="Q127" i="18" s="1"/>
  <c r="K128" i="18"/>
  <c r="W160" i="18" s="1"/>
  <c r="E48" i="6"/>
  <c r="G38" i="6"/>
  <c r="G62" i="7"/>
  <c r="E45" i="1"/>
  <c r="D48" i="6"/>
  <c r="G25" i="6"/>
  <c r="C256" i="18"/>
  <c r="AC99" i="18"/>
  <c r="AE99" i="18" s="1"/>
  <c r="G59" i="7"/>
  <c r="G58" i="7"/>
  <c r="M59" i="22"/>
  <c r="T59" i="22" s="1"/>
  <c r="L59" i="22"/>
  <c r="Q59" i="22" s="1"/>
  <c r="R59" i="22" s="1"/>
  <c r="S59" i="22" s="1"/>
  <c r="T18" i="21"/>
  <c r="U18" i="21" s="1"/>
  <c r="M57" i="22"/>
  <c r="T57" i="22" s="1"/>
  <c r="L57" i="22"/>
  <c r="Q57" i="22" s="1"/>
  <c r="R57" i="22" s="1"/>
  <c r="S57" i="22" s="1"/>
  <c r="V11" i="21"/>
  <c r="W28" i="22"/>
  <c r="R28" i="22"/>
  <c r="S28" i="22" s="1"/>
  <c r="M55" i="22"/>
  <c r="T55" i="22" s="1"/>
  <c r="L55" i="22"/>
  <c r="Q55" i="22" s="1"/>
  <c r="W55" i="22" s="1"/>
  <c r="N65" i="22"/>
  <c r="T43" i="21"/>
  <c r="U43" i="21" s="1"/>
  <c r="I28" i="18"/>
  <c r="C244" i="18" s="1"/>
  <c r="K9" i="18"/>
  <c r="E61" i="11"/>
  <c r="E70" i="1" s="1"/>
  <c r="AE41" i="11"/>
  <c r="I58" i="11"/>
  <c r="E77" i="1"/>
  <c r="E80" i="8"/>
  <c r="C111" i="8"/>
  <c r="E111" i="8" s="1"/>
  <c r="G80" i="8"/>
  <c r="I80" i="8" s="1"/>
  <c r="G111" i="8" s="1"/>
  <c r="C250" i="2"/>
  <c r="M218" i="4"/>
  <c r="E178" i="2"/>
  <c r="M202" i="4"/>
  <c r="G379" i="3"/>
  <c r="E393" i="3" s="1"/>
  <c r="E24" i="1" s="1"/>
  <c r="G394" i="3"/>
  <c r="C257" i="18"/>
  <c r="AC100" i="18"/>
  <c r="AE100" i="18" s="1"/>
  <c r="F52" i="6"/>
  <c r="E46" i="1"/>
  <c r="Q36" i="21"/>
  <c r="O36" i="21"/>
  <c r="P36" i="21" s="1"/>
  <c r="Q18" i="21"/>
  <c r="O18" i="21"/>
  <c r="P18" i="21" s="1"/>
  <c r="O188" i="18"/>
  <c r="U160" i="18"/>
  <c r="U188" i="18" s="1"/>
  <c r="AA227" i="18"/>
  <c r="AC217" i="18"/>
  <c r="AC227" i="18" s="1"/>
  <c r="U21" i="20"/>
  <c r="AC212" i="18"/>
  <c r="K71" i="12"/>
  <c r="C88" i="12" s="1"/>
  <c r="E82" i="1"/>
  <c r="F35" i="20"/>
  <c r="O30" i="11"/>
  <c r="E49" i="1"/>
  <c r="F47" i="6"/>
  <c r="E32" i="1"/>
  <c r="G392" i="3"/>
  <c r="C110" i="8"/>
  <c r="E110" i="8" s="1"/>
  <c r="E79" i="8"/>
  <c r="G79" i="8" s="1"/>
  <c r="I79" i="8" s="1"/>
  <c r="G110" i="8" s="1"/>
  <c r="I40" i="8"/>
  <c r="D381" i="3"/>
  <c r="Q34" i="21"/>
  <c r="V34" i="21" s="1"/>
  <c r="W34" i="21" s="1"/>
  <c r="O34" i="21"/>
  <c r="P34" i="21" s="1"/>
  <c r="C61" i="11"/>
  <c r="E69" i="1" s="1"/>
  <c r="O41" i="11"/>
  <c r="O189" i="4"/>
  <c r="K169" i="4"/>
  <c r="C239" i="2"/>
  <c r="C268" i="2" s="1"/>
  <c r="E181" i="1" s="1"/>
  <c r="E83" i="8"/>
  <c r="G83" i="8"/>
  <c r="I83" i="8" s="1"/>
  <c r="G114" i="8" s="1"/>
  <c r="C114" i="8"/>
  <c r="E114" i="8" s="1"/>
  <c r="C378" i="3"/>
  <c r="C392" i="3" s="1"/>
  <c r="C366" i="3"/>
  <c r="Q24" i="21"/>
  <c r="O24" i="21"/>
  <c r="P24" i="21" s="1"/>
  <c r="T36" i="21"/>
  <c r="U36" i="21" s="1"/>
  <c r="V36" i="21" s="1"/>
  <c r="W36" i="21" s="1"/>
  <c r="X36" i="21" s="1"/>
  <c r="E391" i="3"/>
  <c r="K51" i="21"/>
  <c r="T36" i="22"/>
  <c r="T23" i="21"/>
  <c r="X65" i="22"/>
  <c r="M63" i="22"/>
  <c r="T63" i="22" s="1"/>
  <c r="L63" i="22"/>
  <c r="Q63" i="22" s="1"/>
  <c r="R63" i="22" s="1"/>
  <c r="S63" i="22" s="1"/>
  <c r="V59" i="21"/>
  <c r="W59" i="21" s="1"/>
  <c r="X59" i="21" s="1"/>
  <c r="E138" i="18"/>
  <c r="AE30" i="11"/>
  <c r="K174" i="4"/>
  <c r="K173" i="4"/>
  <c r="P42" i="9"/>
  <c r="K203" i="4"/>
  <c r="L203" i="4"/>
  <c r="K202" i="4"/>
  <c r="L201" i="4"/>
  <c r="I178" i="2"/>
  <c r="G31" i="7"/>
  <c r="K187" i="4"/>
  <c r="L72" i="5"/>
  <c r="D72" i="5"/>
  <c r="G72" i="5"/>
  <c r="J72" i="5"/>
  <c r="J76" i="5" s="1"/>
  <c r="J78" i="5" s="1"/>
  <c r="I72" i="5"/>
  <c r="H72" i="5"/>
  <c r="H76" i="5" s="1"/>
  <c r="H78" i="5" s="1"/>
  <c r="M72" i="5"/>
  <c r="F72" i="5"/>
  <c r="F76" i="5" s="1"/>
  <c r="F78" i="5" s="1"/>
  <c r="E72" i="5"/>
  <c r="E76" i="5" s="1"/>
  <c r="E78" i="5" s="1"/>
  <c r="V83" i="5"/>
  <c r="C72" i="5"/>
  <c r="C76" i="5" s="1"/>
  <c r="I66" i="5"/>
  <c r="N72" i="5"/>
  <c r="K72" i="5"/>
  <c r="E17" i="1"/>
  <c r="C102" i="8"/>
  <c r="E102" i="8" s="1"/>
  <c r="E71" i="8"/>
  <c r="G71" i="8" s="1"/>
  <c r="I71" i="8" s="1"/>
  <c r="C379" i="3"/>
  <c r="C393" i="3" s="1"/>
  <c r="C367" i="3"/>
  <c r="W42" i="22"/>
  <c r="R42" i="22"/>
  <c r="S42" i="22" s="1"/>
  <c r="O65" i="22"/>
  <c r="V24" i="22"/>
  <c r="V65" i="22" s="1"/>
  <c r="O23" i="21"/>
  <c r="P23" i="21" s="1"/>
  <c r="Q23" i="21"/>
  <c r="L24" i="22"/>
  <c r="Q24" i="22" s="1"/>
  <c r="W24" i="22" s="1"/>
  <c r="M24" i="22"/>
  <c r="Y65" i="22"/>
  <c r="M61" i="22"/>
  <c r="T61" i="22" s="1"/>
  <c r="L61" i="22"/>
  <c r="Q61" i="22" s="1"/>
  <c r="W61" i="22" s="1"/>
  <c r="S35" i="18"/>
  <c r="Q64" i="18"/>
  <c r="E78" i="1"/>
  <c r="K170" i="4"/>
  <c r="M201" i="4"/>
  <c r="F42" i="9"/>
  <c r="E56" i="1"/>
  <c r="C103" i="8"/>
  <c r="E103" i="8" s="1"/>
  <c r="E72" i="8"/>
  <c r="G72" i="8"/>
  <c r="I72" i="8" s="1"/>
  <c r="G103" i="8" s="1"/>
  <c r="M198" i="4"/>
  <c r="M196" i="4"/>
  <c r="L196" i="4"/>
  <c r="L198" i="4"/>
  <c r="K196" i="4"/>
  <c r="K198" i="4"/>
  <c r="M197" i="4"/>
  <c r="L68" i="4"/>
  <c r="F178" i="2"/>
  <c r="K155" i="4"/>
  <c r="E64" i="1"/>
  <c r="C262" i="18"/>
  <c r="I192" i="18"/>
  <c r="K192" i="18" s="1"/>
  <c r="W47" i="22"/>
  <c r="R47" i="22"/>
  <c r="S47" i="22" s="1"/>
  <c r="M53" i="22"/>
  <c r="T53" i="22" s="1"/>
  <c r="L53" i="22"/>
  <c r="Q53" i="22" s="1"/>
  <c r="W53" i="22" s="1"/>
  <c r="O127" i="18"/>
  <c r="W161" i="18"/>
  <c r="L38" i="22"/>
  <c r="Q38" i="22" s="1"/>
  <c r="R38" i="22" s="1"/>
  <c r="S38" i="22" s="1"/>
  <c r="M38" i="22"/>
  <c r="T38" i="22" s="1"/>
  <c r="W30" i="22"/>
  <c r="P11" i="21"/>
  <c r="E122" i="1"/>
  <c r="O92" i="18"/>
  <c r="C249" i="18" s="1"/>
  <c r="Q71" i="18"/>
  <c r="D42" i="15"/>
  <c r="D59" i="15" s="1"/>
  <c r="E99" i="1"/>
  <c r="L52" i="4"/>
  <c r="L350" i="4" s="1"/>
  <c r="G86" i="8"/>
  <c r="I86" i="8" s="1"/>
  <c r="G117" i="8" s="1"/>
  <c r="E86" i="8"/>
  <c r="C117" i="8"/>
  <c r="E117" i="8" s="1"/>
  <c r="G354" i="3"/>
  <c r="D393" i="3"/>
  <c r="G393" i="3" s="1"/>
  <c r="E356" i="3"/>
  <c r="F356" i="3" s="1"/>
  <c r="F352" i="3"/>
  <c r="F101" i="8"/>
  <c r="K31" i="8"/>
  <c r="M63" i="4"/>
  <c r="M350" i="4" s="1"/>
  <c r="I60" i="11"/>
  <c r="T24" i="21"/>
  <c r="U24" i="21" s="1"/>
  <c r="K168" i="4"/>
  <c r="M40" i="22"/>
  <c r="T40" i="22" s="1"/>
  <c r="L40" i="22"/>
  <c r="Q40" i="22" s="1"/>
  <c r="E162" i="1"/>
  <c r="U65" i="22"/>
  <c r="U12" i="23"/>
  <c r="AI19" i="23"/>
  <c r="AK19" i="23" s="1"/>
  <c r="AM19" i="23" s="1"/>
  <c r="C36" i="23" s="1"/>
  <c r="E163" i="1" s="1"/>
  <c r="L34" i="22"/>
  <c r="Q34" i="22" s="1"/>
  <c r="R34" i="22" s="1"/>
  <c r="S34" i="22" s="1"/>
  <c r="M34" i="22"/>
  <c r="T34" i="22" s="1"/>
  <c r="Q43" i="21"/>
  <c r="O43" i="21"/>
  <c r="P43" i="21" s="1"/>
  <c r="M188" i="18"/>
  <c r="S160" i="18"/>
  <c r="S188" i="18" s="1"/>
  <c r="E143" i="1"/>
  <c r="E102" i="1"/>
  <c r="G65" i="11"/>
  <c r="E79" i="1"/>
  <c r="E88" i="8"/>
  <c r="G88" i="8" s="1"/>
  <c r="I88" i="8" s="1"/>
  <c r="G119" i="8" s="1"/>
  <c r="I119" i="8" s="1"/>
  <c r="C119" i="8"/>
  <c r="E119" i="8" s="1"/>
  <c r="C260" i="2"/>
  <c r="E174" i="1"/>
  <c r="J350" i="4"/>
  <c r="C236" i="2"/>
  <c r="C235" i="2" s="1"/>
  <c r="D356" i="3"/>
  <c r="E176" i="1"/>
  <c r="E152" i="1"/>
  <c r="V24" i="21" l="1"/>
  <c r="W24" i="21" s="1"/>
  <c r="V43" i="21"/>
  <c r="W43" i="21" s="1"/>
  <c r="V18" i="21"/>
  <c r="W18" i="21" s="1"/>
  <c r="X18" i="21" s="1"/>
  <c r="K60" i="21"/>
  <c r="K77" i="21" s="1"/>
  <c r="K81" i="21" s="1"/>
  <c r="K83" i="21" s="1"/>
  <c r="W57" i="22"/>
  <c r="W59" i="22"/>
  <c r="R24" i="22"/>
  <c r="S24" i="22" s="1"/>
  <c r="R55" i="22"/>
  <c r="S55" i="22" s="1"/>
  <c r="D56" i="1"/>
  <c r="D50" i="1"/>
  <c r="D51" i="1"/>
  <c r="D174" i="1"/>
  <c r="D173" i="1" s="1"/>
  <c r="D69" i="1"/>
  <c r="D68" i="1" s="1"/>
  <c r="D32" i="1"/>
  <c r="D24" i="1"/>
  <c r="D77" i="1"/>
  <c r="D71" i="1"/>
  <c r="D162" i="1"/>
  <c r="D163" i="1"/>
  <c r="D99" i="1"/>
  <c r="D98" i="1" s="1"/>
  <c r="D93" i="1" s="1"/>
  <c r="D192" i="1" s="1"/>
  <c r="D49" i="1"/>
  <c r="D70" i="1"/>
  <c r="D176" i="1"/>
  <c r="D175" i="1" s="1"/>
  <c r="D181" i="1"/>
  <c r="D45" i="1"/>
  <c r="D43" i="1" s="1"/>
  <c r="D38" i="1"/>
  <c r="D17" i="1"/>
  <c r="D46" i="1"/>
  <c r="D79" i="1"/>
  <c r="D78" i="1"/>
  <c r="D76" i="1" s="1"/>
  <c r="D82" i="1"/>
  <c r="D23" i="1"/>
  <c r="E72" i="1"/>
  <c r="D74" i="1"/>
  <c r="D72" i="1" s="1"/>
  <c r="I117" i="8"/>
  <c r="G144" i="2"/>
  <c r="I103" i="8"/>
  <c r="I114" i="8"/>
  <c r="I111" i="8"/>
  <c r="E83" i="1"/>
  <c r="C84" i="12"/>
  <c r="C239" i="18"/>
  <c r="E239" i="18" s="1"/>
  <c r="C42" i="23"/>
  <c r="E65" i="11"/>
  <c r="C39" i="13"/>
  <c r="C40" i="13"/>
  <c r="I65" i="11"/>
  <c r="G102" i="8"/>
  <c r="E33" i="1" s="1"/>
  <c r="I93" i="8"/>
  <c r="I110" i="8"/>
  <c r="E37" i="1"/>
  <c r="X43" i="21"/>
  <c r="Q92" i="18"/>
  <c r="S92" i="18" s="1"/>
  <c r="U92" i="18" s="1"/>
  <c r="E138" i="1" s="1"/>
  <c r="S71" i="18"/>
  <c r="U71" i="18" s="1"/>
  <c r="E173" i="1"/>
  <c r="T24" i="22"/>
  <c r="T65" i="22" s="1"/>
  <c r="M65" i="22"/>
  <c r="O81" i="21" s="1"/>
  <c r="O83" i="21" s="1"/>
  <c r="C255" i="18"/>
  <c r="S127" i="18"/>
  <c r="W127" i="18" s="1"/>
  <c r="W34" i="22"/>
  <c r="W38" i="22"/>
  <c r="E395" i="3"/>
  <c r="E16" i="1"/>
  <c r="W11" i="21"/>
  <c r="X11" i="21" s="1"/>
  <c r="G55" i="7"/>
  <c r="G63" i="7" s="1"/>
  <c r="G381" i="3"/>
  <c r="V81" i="21"/>
  <c r="V83" i="21" s="1"/>
  <c r="V85" i="21" s="1"/>
  <c r="E175" i="1"/>
  <c r="I101" i="8"/>
  <c r="F124" i="8"/>
  <c r="E41" i="1"/>
  <c r="G352" i="3"/>
  <c r="G356" i="3" s="1"/>
  <c r="D391" i="3"/>
  <c r="E98" i="1"/>
  <c r="W63" i="22"/>
  <c r="E68" i="1"/>
  <c r="R53" i="22"/>
  <c r="S53" i="22" s="1"/>
  <c r="K28" i="18"/>
  <c r="M9" i="18"/>
  <c r="M28" i="18" s="1"/>
  <c r="R61" i="22"/>
  <c r="S61" i="22" s="1"/>
  <c r="W162" i="18"/>
  <c r="H102" i="8"/>
  <c r="I62" i="8"/>
  <c r="E160" i="1"/>
  <c r="N76" i="5"/>
  <c r="C78" i="5"/>
  <c r="N78" i="5" s="1"/>
  <c r="E29" i="1" s="1"/>
  <c r="U23" i="21"/>
  <c r="V23" i="21" s="1"/>
  <c r="W23" i="21" s="1"/>
  <c r="X23" i="21" s="1"/>
  <c r="X34" i="21"/>
  <c r="E48" i="1"/>
  <c r="E76" i="1"/>
  <c r="E244" i="18"/>
  <c r="E42" i="1"/>
  <c r="F48" i="6"/>
  <c r="F53" i="6" s="1"/>
  <c r="C261" i="18"/>
  <c r="U127" i="18"/>
  <c r="Y127" i="18" s="1"/>
  <c r="C56" i="13"/>
  <c r="C63" i="13"/>
  <c r="E249" i="18"/>
  <c r="U35" i="18"/>
  <c r="S64" i="18"/>
  <c r="C245" i="18" s="1"/>
  <c r="E245" i="18" s="1"/>
  <c r="R60" i="21"/>
  <c r="M51" i="21"/>
  <c r="R51" i="21"/>
  <c r="G193" i="18"/>
  <c r="G194" i="18"/>
  <c r="I194" i="18" s="1"/>
  <c r="K194" i="18" s="1"/>
  <c r="E171" i="1"/>
  <c r="C65" i="11"/>
  <c r="E43" i="1"/>
  <c r="E93" i="1"/>
  <c r="F395" i="3"/>
  <c r="E15" i="1"/>
  <c r="C267" i="2"/>
  <c r="C243" i="2"/>
  <c r="W40" i="22"/>
  <c r="R40" i="22"/>
  <c r="S40" i="22" s="1"/>
  <c r="X24" i="21"/>
  <c r="E22" i="1"/>
  <c r="M60" i="21" l="1"/>
  <c r="W65" i="22"/>
  <c r="D48" i="1"/>
  <c r="D189" i="1" s="1"/>
  <c r="D190" i="1"/>
  <c r="D16" i="1"/>
  <c r="D42" i="1"/>
  <c r="D138" i="1"/>
  <c r="D171" i="1"/>
  <c r="D37" i="1"/>
  <c r="D35" i="1" s="1"/>
  <c r="E189" i="1"/>
  <c r="D29" i="1"/>
  <c r="D15" i="1"/>
  <c r="D22" i="1"/>
  <c r="D21" i="1" s="1"/>
  <c r="E192" i="1"/>
  <c r="D41" i="1"/>
  <c r="D39" i="1" s="1"/>
  <c r="D33" i="1"/>
  <c r="D160" i="1"/>
  <c r="E81" i="1"/>
  <c r="D83" i="1"/>
  <c r="D81" i="1" s="1"/>
  <c r="E13" i="1"/>
  <c r="E190" i="1"/>
  <c r="E91" i="1"/>
  <c r="G195" i="18"/>
  <c r="I193" i="18"/>
  <c r="K193" i="18" s="1"/>
  <c r="W35" i="18"/>
  <c r="W64" i="18" s="1"/>
  <c r="U64" i="18"/>
  <c r="K84" i="21"/>
  <c r="K87" i="21" s="1"/>
  <c r="H124" i="8"/>
  <c r="E34" i="1"/>
  <c r="D395" i="3"/>
  <c r="G395" i="3" s="1"/>
  <c r="G391" i="3"/>
  <c r="E14" i="1"/>
  <c r="O87" i="21"/>
  <c r="O89" i="21" s="1"/>
  <c r="E35" i="1"/>
  <c r="T51" i="21"/>
  <c r="U51" i="21" s="1"/>
  <c r="R77" i="21"/>
  <c r="Q51" i="21"/>
  <c r="Q77" i="21" s="1"/>
  <c r="O51" i="21"/>
  <c r="M77" i="21"/>
  <c r="C243" i="18"/>
  <c r="E243" i="18" s="1"/>
  <c r="E39" i="1"/>
  <c r="Q60" i="21"/>
  <c r="O60" i="21"/>
  <c r="P60" i="21" s="1"/>
  <c r="O193" i="18"/>
  <c r="W167" i="18"/>
  <c r="O192" i="18" s="1"/>
  <c r="V99" i="21"/>
  <c r="V101" i="21" s="1"/>
  <c r="C266" i="2"/>
  <c r="C249" i="2" s="1"/>
  <c r="E180" i="1"/>
  <c r="T60" i="21"/>
  <c r="U60" i="21" s="1"/>
  <c r="V60" i="21" s="1"/>
  <c r="W60" i="21" s="1"/>
  <c r="E47" i="1"/>
  <c r="G124" i="8"/>
  <c r="I102" i="8"/>
  <c r="E21" i="1"/>
  <c r="C235" i="18"/>
  <c r="E133" i="1"/>
  <c r="E157" i="1" l="1"/>
  <c r="D157" i="1" s="1"/>
  <c r="V103" i="21"/>
  <c r="D47" i="1"/>
  <c r="D133" i="1"/>
  <c r="D131" i="1" s="1"/>
  <c r="D14" i="1"/>
  <c r="D13" i="1" s="1"/>
  <c r="D12" i="1" s="1"/>
  <c r="D11" i="1" s="1"/>
  <c r="D187" i="1" s="1"/>
  <c r="D180" i="1"/>
  <c r="D179" i="1" s="1"/>
  <c r="D170" i="1" s="1"/>
  <c r="D34" i="1"/>
  <c r="D31" i="1" s="1"/>
  <c r="D30" i="1" s="1"/>
  <c r="D188" i="1" s="1"/>
  <c r="E89" i="1"/>
  <c r="D91" i="1"/>
  <c r="D89" i="1" s="1"/>
  <c r="D80" i="1" s="1"/>
  <c r="E12" i="1"/>
  <c r="I124" i="8"/>
  <c r="K89" i="21"/>
  <c r="Q192" i="18"/>
  <c r="S192" i="18" s="1"/>
  <c r="C263" i="18"/>
  <c r="C260" i="18" s="1"/>
  <c r="E131" i="1"/>
  <c r="C264" i="18"/>
  <c r="Q193" i="18"/>
  <c r="S193" i="18" s="1"/>
  <c r="V51" i="21"/>
  <c r="U77" i="21"/>
  <c r="P51" i="21"/>
  <c r="P77" i="21" s="1"/>
  <c r="O77" i="21"/>
  <c r="E31" i="1"/>
  <c r="C236" i="18"/>
  <c r="E236" i="18" s="1"/>
  <c r="E137" i="1"/>
  <c r="E235" i="18"/>
  <c r="E179" i="1"/>
  <c r="T77" i="21"/>
  <c r="V87" i="21" s="1"/>
  <c r="V89" i="21" s="1"/>
  <c r="X60" i="21"/>
  <c r="C259" i="18"/>
  <c r="C254" i="18" s="1"/>
  <c r="I195" i="18"/>
  <c r="K195" i="18" s="1"/>
  <c r="C250" i="18"/>
  <c r="E170" i="1" l="1"/>
  <c r="D137" i="1"/>
  <c r="D135" i="1" s="1"/>
  <c r="E80" i="1"/>
  <c r="D191" i="1"/>
  <c r="D10" i="1"/>
  <c r="V91" i="21"/>
  <c r="V93" i="21"/>
  <c r="V95" i="21" s="1"/>
  <c r="E250" i="18"/>
  <c r="C248" i="18"/>
  <c r="E248" i="18" s="1"/>
  <c r="E11" i="1"/>
  <c r="C266" i="18"/>
  <c r="E135" i="1"/>
  <c r="E30" i="1"/>
  <c r="W51" i="21"/>
  <c r="W77" i="21" s="1"/>
  <c r="V77" i="21"/>
  <c r="E191" i="1" l="1"/>
  <c r="E188" i="1"/>
  <c r="V97" i="21"/>
  <c r="V105" i="21" s="1"/>
  <c r="E158" i="1" s="1"/>
  <c r="X51" i="21"/>
  <c r="X77" i="21" s="1"/>
  <c r="E187" i="1"/>
  <c r="E10" i="1"/>
  <c r="E237" i="18"/>
  <c r="E142" i="1" s="1"/>
  <c r="C240" i="18"/>
  <c r="E240" i="18" s="1"/>
  <c r="D158" i="1" l="1"/>
  <c r="D156" i="1" s="1"/>
  <c r="D151" i="1" s="1"/>
  <c r="D194" i="1" s="1"/>
  <c r="D142" i="1"/>
  <c r="D139" i="1" s="1"/>
  <c r="D130" i="1" s="1"/>
  <c r="D193" i="1" s="1"/>
  <c r="E156" i="1"/>
  <c r="E139" i="1"/>
  <c r="D195" i="1" l="1"/>
  <c r="D168" i="1"/>
  <c r="D182" i="1" s="1"/>
  <c r="E151" i="1"/>
  <c r="E194" i="1" s="1"/>
  <c r="E130" i="1"/>
  <c r="E193" i="1" l="1"/>
  <c r="E195" i="1"/>
  <c r="E168" i="1"/>
  <c r="E18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8" authorId="0" shapeId="0" xr:uid="{00000000-0006-0000-0000-000001000000}">
      <text>
        <r>
          <rPr>
            <sz val="8"/>
            <color rgb="FF000000"/>
            <rFont val="Calibri"/>
            <scheme val="minor"/>
          </rPr>
          <t>HFC and PFC emissions are reported in aggregate as a combination of many gases each having unique lifetimes and global warming potentials. Therefore a single GWP is not reported here. HFC and PFC emissions are reported under the subsector of ODS Substitutes using GWPs from IPCC AR4.</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F8" authorId="0" shapeId="0" xr:uid="{00000000-0006-0000-0B00-000003000000}">
      <text>
        <r>
          <rPr>
            <sz val="8"/>
            <color rgb="FF000000"/>
            <rFont val="Calibri"/>
            <scheme val="minor"/>
          </rPr>
          <t>======
ID#AAAAMQJ-jTc
Beth Moore    (2021-04-29 11:55:23)
MTCH4 are converted to MMTCO2E by multiplying by the GWP of CH4, or 21, and then dividing by 1,000,000</t>
        </r>
      </text>
    </comment>
    <comment ref="C10" authorId="0" shapeId="0" xr:uid="{00000000-0006-0000-0B00-000002000000}">
      <text>
        <r>
          <rPr>
            <sz val="8"/>
            <color rgb="FF000000"/>
            <rFont val="Calibri"/>
            <scheme val="minor"/>
          </rPr>
          <t>======
ID#AAAATUb1ppc
    (2021-12-21 13:54:49)
2019 Data Released 07/30/2021
	-Abdulrahman Mohammed -MDE-</t>
        </r>
      </text>
    </comment>
    <comment ref="F23" authorId="0" shapeId="0" xr:uid="{00000000-0006-0000-0B00-000004000000}">
      <text>
        <r>
          <rPr>
            <sz val="8"/>
            <color rgb="FF000000"/>
            <rFont val="Calibri"/>
            <scheme val="minor"/>
          </rPr>
          <t>======
ID#AAAAMQJ-jF4
Beth Moore    (2021-04-29 11:55:23)
MTCH4 are converted to MMTCO2E by multiplying by the GWP of CH4, or 21, and then dividing by 1,000,000</t>
        </r>
      </text>
    </comment>
    <comment ref="C71" authorId="0" shapeId="0" xr:uid="{00000000-0006-0000-0B00-000001000000}">
      <text>
        <r>
          <rPr>
            <sz val="8"/>
            <color rgb="FF000000"/>
            <rFont val="Calibri"/>
            <scheme val="minor"/>
          </rPr>
          <t>======
ID#AAAATUb1ptQ
    (2021-12-21 13:54:49)
SED 2019 Data(MMcf) *State Heat Content
------
ID#AAAAYJMy9WM
Vimal Amin -MDE-    (2022-04-18 20:54:56)
Can we go ahead and change this to 2020 value of 25,177 MMcf?</t>
        </r>
      </text>
    </comment>
  </commentList>
  <extLst>
    <ext xmlns:r="http://schemas.openxmlformats.org/officeDocument/2006/relationships" uri="GoogleSheetsCustomDataVersion1">
      <go:sheetsCustomData xmlns:go="http://customooxmlschemas.google.com/" r:id="rId1" roundtripDataSignature="AMtx7mgHj/c12rKPa3//iI2ddKSTQMOwbA=="/>
    </ext>
  </extL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L7" authorId="0" shapeId="0" xr:uid="{00000000-0006-0000-0C00-000008000000}">
      <text>
        <r>
          <rPr>
            <sz val="8"/>
            <color rgb="FF000000"/>
            <rFont val="Calibri"/>
            <scheme val="minor"/>
          </rPr>
          <t>======
ID#AAAAMQJ-jIg
Beth Moore    (2021-04-29 11:55:23)
Million cubic feet are converted to MTCH4 by multiplying by 19.2 grams/cubic feet of CH4.</t>
        </r>
      </text>
    </comment>
    <comment ref="N7" authorId="0" shapeId="0" xr:uid="{00000000-0006-0000-0C00-000009000000}">
      <text>
        <r>
          <rPr>
            <sz val="8"/>
            <color rgb="FF000000"/>
            <rFont val="Calibri"/>
            <scheme val="minor"/>
          </rPr>
          <t>======
ID#AAAAMQJ-jHU
Beth Moore    (2021-04-29 11:55:23)
MTCH4 are converted to MTCO2E by multiplying first by the GWP of CH4, or 21.</t>
        </r>
      </text>
    </comment>
    <comment ref="J11" authorId="0" shapeId="0" xr:uid="{00000000-0006-0000-0C00-000006000000}">
      <text>
        <r>
          <rPr>
            <sz val="8"/>
            <color rgb="FF000000"/>
            <rFont val="Calibri"/>
            <scheme val="minor"/>
          </rPr>
          <t>======
ID#AAAAMQJ-jQ4
Beth Moore    (2021-04-29 11:55:23)
Thousand cubic feet are converted to MTCH4 by dividing by 1,000, then by 19.2 grams/cubic feet of CH4.</t>
        </r>
      </text>
    </comment>
    <comment ref="L11" authorId="0" shapeId="0" xr:uid="{00000000-0006-0000-0C00-000007000000}">
      <text>
        <r>
          <rPr>
            <sz val="8"/>
            <color rgb="FF000000"/>
            <rFont val="Calibri"/>
            <scheme val="minor"/>
          </rPr>
          <t>======
ID#AAAAMQJ-jKk
Beth Moore    (2021-04-29 11:55:23)
MTCH4 are converted to MTCO2E by multiplying first by the GWP of CH4, or 21.</t>
        </r>
      </text>
    </comment>
    <comment ref="D12" authorId="0" shapeId="0" xr:uid="{00000000-0006-0000-0C00-000001000000}">
      <text>
        <r>
          <rPr>
            <sz val="8"/>
            <color rgb="FF000000"/>
            <rFont val="Calibri"/>
            <scheme val="minor"/>
          </rPr>
          <t>======
ID#AAAATUb1puA
    (2021-12-21 13:54:49)
2020 Production Data. MD Bureau of Mines</t>
        </r>
      </text>
    </comment>
    <comment ref="J15" authorId="0" shapeId="0" xr:uid="{00000000-0006-0000-0C00-000005000000}">
      <text>
        <r>
          <rPr>
            <sz val="8"/>
            <color rgb="FF000000"/>
            <rFont val="Calibri"/>
            <scheme val="minor"/>
          </rPr>
          <t>======
ID#AAAAMQJ-jQ8
Beth Moore    (2021-04-29 11:55:23)
Thousand cubic feet are converted to MTCH4 by dividing by 1,000, then by 19.2 grams/cubic feet of CH4.</t>
        </r>
      </text>
    </comment>
    <comment ref="L15" authorId="0" shapeId="0" xr:uid="{00000000-0006-0000-0C00-000004000000}">
      <text>
        <r>
          <rPr>
            <sz val="8"/>
            <color rgb="FF000000"/>
            <rFont val="Calibri"/>
            <scheme val="minor"/>
          </rPr>
          <t>======
ID#AAAAMQJ-jTQ
Beth Moore    (2021-04-29 11:55:23)
MTCH4 are converted to MTCO2E by multiplying first by the GWP of CH4, or 21.</t>
        </r>
      </text>
    </comment>
    <comment ref="D16" authorId="0" shapeId="0" xr:uid="{00000000-0006-0000-0C00-000002000000}">
      <text>
        <r>
          <rPr>
            <sz val="8"/>
            <color rgb="FF000000"/>
            <rFont val="Calibri"/>
            <scheme val="minor"/>
          </rPr>
          <t>======
ID#AAAATUb1psg
    (2021-12-21 13:54:49)
2020 Surface Mine Production</t>
        </r>
      </text>
    </comment>
    <comment ref="D18" authorId="0" shapeId="0" xr:uid="{00000000-0006-0000-0C00-000003000000}">
      <text>
        <r>
          <rPr>
            <sz val="8"/>
            <color rgb="FF000000"/>
            <rFont val="Calibri"/>
            <scheme val="minor"/>
          </rPr>
          <t>======
ID#AAAATUb1pnY
    (2021-12-21 13:54:49)
2020 Surface Coal Production Data</t>
        </r>
      </text>
    </comment>
  </commentList>
  <extLst>
    <ext xmlns:r="http://schemas.openxmlformats.org/officeDocument/2006/relationships" uri="GoogleSheetsCustomDataVersion1">
      <go:sheetsCustomData xmlns:go="http://customooxmlschemas.google.com/" r:id="rId1" roundtripDataSignature="AMtx7mi1jrz45Tq01r50VzXSQ0FyhtyqOg=="/>
    </ext>
  </extL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H12" authorId="0" shapeId="0" xr:uid="{00000000-0006-0000-0D00-000001000000}">
      <text>
        <r>
          <rPr>
            <sz val="8"/>
            <color rgb="FF000000"/>
            <rFont val="Calibri"/>
            <scheme val="minor"/>
          </rPr>
          <t>metric tons
======</t>
        </r>
      </text>
    </comment>
    <comment ref="F14" authorId="0" shapeId="0" xr:uid="{00000000-0006-0000-0D00-000007000000}">
      <text>
        <r>
          <rPr>
            <sz val="8"/>
            <color rgb="FF000000"/>
            <rFont val="Calibri"/>
            <scheme val="minor"/>
          </rPr>
          <t>======
ID#AAAAMQJ-jKs
amohammed    (2021-04-29 11:55:23)
Biogenic</t>
        </r>
      </text>
    </comment>
    <comment ref="G14" authorId="0" shapeId="0" xr:uid="{00000000-0006-0000-0D00-000008000000}">
      <text>
        <r>
          <rPr>
            <sz val="8"/>
            <color rgb="FF000000"/>
            <rFont val="Calibri"/>
            <scheme val="minor"/>
          </rPr>
          <t>======
ID#AAAAMQJ-jHM
Measured Biomass     (2021-04-29 11:55:23)
1 % of Total CO2 (CEM). 2017 Emission Certification Report.</t>
        </r>
      </text>
    </comment>
    <comment ref="H18" authorId="0" shapeId="0" xr:uid="{00000000-0006-0000-0D00-000002000000}">
      <text>
        <r>
          <rPr>
            <sz val="8"/>
            <color rgb="FF000000"/>
            <rFont val="Calibri"/>
            <scheme val="minor"/>
          </rPr>
          <t>metric tons
======</t>
        </r>
      </text>
    </comment>
    <comment ref="E32" authorId="0" shapeId="0" xr:uid="{00000000-0006-0000-0D00-000006000000}">
      <text>
        <r>
          <rPr>
            <sz val="8"/>
            <color rgb="FF000000"/>
            <rFont val="Calibri"/>
            <scheme val="minor"/>
          </rPr>
          <t>======
ID#AAAAMQJ-jPM
sal    (2021-04-29 11:55:23)
1.10249937 Conversion factor used in ECR (metric to short ton)</t>
        </r>
      </text>
    </comment>
    <comment ref="D59" authorId="0" shapeId="0" xr:uid="{00000000-0006-0000-0D00-000005000000}">
      <text>
        <r>
          <rPr>
            <sz val="8"/>
            <color rgb="FF000000"/>
            <rFont val="Calibri"/>
            <scheme val="minor"/>
          </rPr>
          <t>======
ID#AAAATUb1ptc
Abdulrahman Mohammed    (2021-12-21 13:54:49)
Back calculation</t>
        </r>
      </text>
    </comment>
    <comment ref="G59" authorId="0" shapeId="0" xr:uid="{00000000-0006-0000-0D00-000003000000}">
      <text>
        <r>
          <rPr>
            <sz val="8"/>
            <color rgb="FF000000"/>
            <rFont val="Calibri"/>
            <scheme val="minor"/>
          </rPr>
          <t>2020 ECR Reported in short tons
======</t>
        </r>
      </text>
    </comment>
    <comment ref="G61" authorId="0" shapeId="0" xr:uid="{00000000-0006-0000-0D00-000004000000}">
      <text>
        <r>
          <rPr>
            <sz val="8"/>
            <color rgb="FF000000"/>
            <rFont val="Calibri"/>
            <scheme val="minor"/>
          </rPr>
          <t>2020 ECR Reported in short tons
======</t>
        </r>
      </text>
    </comment>
  </commentList>
  <extLst>
    <ext xmlns:r="http://schemas.openxmlformats.org/officeDocument/2006/relationships" uri="GoogleSheetsCustomDataVersion1">
      <go:sheetsCustomData xmlns:go="http://customooxmlschemas.google.com/" r:id="rId1" roundtripDataSignature="AMtx7mhd1RcMFnBfpyHL3W2GbZiMeUH1sA=="/>
    </ext>
  </extL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H6" authorId="0" shapeId="0" xr:uid="{00000000-0006-0000-0E00-00000B000000}">
      <text>
        <r>
          <rPr>
            <sz val="8"/>
            <color rgb="FF000000"/>
            <rFont val="Calibri"/>
            <scheme val="minor"/>
          </rPr>
          <t>======
ID#AAAAMQJ-jI8
Beth Moore    (2021-04-29 11:55:23)
Metric Tons CO2 are converted into Metric Tons Carbon Equivalent by multiplying by the molecular weight ratio of carbon to carbon dioxide, or (12/44).</t>
        </r>
      </text>
    </comment>
    <comment ref="D7" authorId="0" shapeId="0" xr:uid="{00000000-0006-0000-0E00-00000C000000}">
      <text>
        <r>
          <rPr>
            <sz val="8"/>
            <color rgb="FF000000"/>
            <rFont val="Calibri"/>
            <scheme val="minor"/>
          </rPr>
          <t>======
ID#AAAAMQJ-jIo
amohammed    (2021-04-29 11:55:23)
2016 SIT Defaults
------
ID#AAAAal13aPw
Abdulrahman Mohammed -MDE-    (2022-06-06 14:37:31)
2019 EPA SIT Default</t>
        </r>
      </text>
    </comment>
    <comment ref="C8" authorId="0" shapeId="0" xr:uid="{00000000-0006-0000-0E00-000002000000}">
      <text>
        <r>
          <rPr>
            <sz val="8"/>
            <color rgb="FF000000"/>
            <rFont val="Calibri"/>
            <scheme val="minor"/>
          </rPr>
          <t>======
ID#AAAAMQJ-jTg
Beth Moore    (2021-04-29 11:55:23)
Do not include dolomite used in magnesium production.</t>
        </r>
      </text>
    </comment>
    <comment ref="H12" authorId="0" shapeId="0" xr:uid="{00000000-0006-0000-0E00-000005000000}">
      <text>
        <r>
          <rPr>
            <sz val="8"/>
            <color rgb="FF000000"/>
            <rFont val="Calibri"/>
            <scheme val="minor"/>
          </rPr>
          <t>======
ID#AAAAMQJ-jSk
Beth Moore    (2021-04-29 11:55:23)
Metric Tons CO2 are converted into Metric Tons Carbon Equivalent by multiplying by the molecular weight ratio of carbon to carbon dioxide, or (12/44).</t>
        </r>
      </text>
    </comment>
    <comment ref="D14" authorId="0" shapeId="0" xr:uid="{00000000-0006-0000-0E00-000009000000}">
      <text>
        <r>
          <rPr>
            <sz val="8"/>
            <color rgb="FF000000"/>
            <rFont val="Calibri"/>
            <scheme val="minor"/>
          </rPr>
          <t>------
ID#AAAAal13aP0
Abdulrahman Mohammed -MDE-    (2022-06-06 14:39:38)
2019 EPA SIT Default</t>
        </r>
      </text>
    </comment>
    <comment ref="D19" authorId="0" shapeId="0" xr:uid="{00000000-0006-0000-0E00-000004000000}">
      <text>
        <r>
          <rPr>
            <sz val="8"/>
            <color rgb="FF000000"/>
            <rFont val="Calibri"/>
            <scheme val="minor"/>
          </rPr>
          <t>------
ID#AAAAal13aP8
Abdulrahman Mohammed -MDE-    (2022-06-06 14:52:01)
2019 EPA SIT Default</t>
        </r>
      </text>
    </comment>
    <comment ref="D24" authorId="0" shapeId="0" xr:uid="{00000000-0006-0000-0E00-00000D000000}">
      <text>
        <r>
          <rPr>
            <sz val="8"/>
            <color rgb="FF000000"/>
            <rFont val="Calibri"/>
            <scheme val="minor"/>
          </rPr>
          <t>------
ID#AAAAal13aP4
Abdulrahman Mohammed -MDE-    (2022-06-06 14:49:42)
2020 Prel US 1990-2020 USGHGI</t>
        </r>
      </text>
    </comment>
    <comment ref="AD25" authorId="0" shapeId="0" xr:uid="{00000000-0006-0000-0E00-000001000000}">
      <text>
        <r>
          <rPr>
            <sz val="8"/>
            <color rgb="FF000000"/>
            <rFont val="Calibri"/>
            <scheme val="minor"/>
          </rPr>
          <t>Estimated from 100-yr emissions using 2019 ratio of 20-yr/100-yr
======</t>
        </r>
      </text>
    </comment>
    <comment ref="H28" authorId="0" shapeId="0" xr:uid="{00000000-0006-0000-0E00-000008000000}">
      <text>
        <r>
          <rPr>
            <sz val="8"/>
            <color rgb="FF000000"/>
            <rFont val="Calibri"/>
            <scheme val="minor"/>
          </rPr>
          <t>======
ID#AAAAMQJ-jMo
rthunell    (2021-04-29 11:55:23)
GWP SF6 = 23,900</t>
        </r>
      </text>
    </comment>
    <comment ref="J28" authorId="0" shapeId="0" xr:uid="{00000000-0006-0000-0E00-000006000000}">
      <text>
        <r>
          <rPr>
            <sz val="8"/>
            <color rgb="FF000000"/>
            <rFont val="Calibri"/>
            <scheme val="minor"/>
          </rPr>
          <t>======
ID#AAAAMQJ-jRY
Beth Moore    (2021-04-29 11:55:23)
Metric Tons CO2 are converted into Metric Tons Carbon Equivalent by multiplying by the GWP of SF6 (23,900) and the molecular weight ratio of carbon to carbon dioxide (12/44).</t>
        </r>
      </text>
    </comment>
    <comment ref="L28" authorId="0" shapeId="0" xr:uid="{00000000-0006-0000-0E00-00000A000000}">
      <text>
        <r>
          <rPr>
            <sz val="8"/>
            <color rgb="FF000000"/>
            <rFont val="Calibri"/>
            <scheme val="minor"/>
          </rPr>
          <t>======
ID#AAAAMQJ-jJc
Beth Moore    (2021-04-29 11:55:23)
Metric Tons CO2 are converted into Metric Tons Carbon Equivalent by multiplying by the GWP of SF6 (23,900) and the molecular weight ratio of carbon to carbon dioxide (12/44).</t>
        </r>
      </text>
    </comment>
    <comment ref="D29" authorId="0" shapeId="0" xr:uid="{00000000-0006-0000-0E00-000003000000}">
      <text>
        <r>
          <rPr>
            <sz val="8"/>
            <color rgb="FF000000"/>
            <rFont val="Calibri"/>
            <scheme val="minor"/>
          </rPr>
          <t>======
ID#AAAAMQJ-jTY
sal    (2021-04-29 11:55:23)
2017 SIT Default data</t>
        </r>
      </text>
    </comment>
    <comment ref="J33" authorId="0" shapeId="0" xr:uid="{00000000-0006-0000-0E00-000007000000}">
      <text>
        <r>
          <rPr>
            <sz val="8"/>
            <color rgb="FF000000"/>
            <rFont val="Calibri"/>
            <scheme val="minor"/>
          </rPr>
          <t>======
ID#AAAAMQJ-jQ0
rthunell    (2021-04-29 11:55:23)
Metric Tons CO2 are converted into Metric Tons Carbon Equivalent by multiplying by the molecular weight ratio of carbon to carbon dioxide, or (12/44).</t>
        </r>
      </text>
    </comment>
    <comment ref="L33" authorId="0" shapeId="0" xr:uid="{00000000-0006-0000-0E00-00000E000000}">
      <text>
        <r>
          <rPr>
            <sz val="8"/>
            <color rgb="FF000000"/>
            <rFont val="Calibri"/>
            <scheme val="minor"/>
          </rPr>
          <t>======
ID#AAAAMQJ-jFE
Beth Moore    (2021-04-29 11:55:23)
Metric Tons CO2 are converted into Metric Tons Carbon Equivalent by multiplying by the molecular weight ratio of carbon to carbon dioxide, or (12/44).</t>
        </r>
      </text>
    </comment>
  </commentList>
  <extLst>
    <ext xmlns:r="http://schemas.openxmlformats.org/officeDocument/2006/relationships" uri="GoogleSheetsCustomDataVersion1">
      <go:sheetsCustomData xmlns:go="http://customooxmlschemas.google.com/" r:id="rId1" roundtripDataSignature="AMtx7mihnc/8yN7rMZBK8Hj35xTa0zTyFw=="/>
    </ext>
  </extL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I7" authorId="0" shapeId="0" xr:uid="{00000000-0006-0000-1100-000035000000}">
      <text>
        <r>
          <rPr>
            <sz val="8"/>
            <color rgb="FF000000"/>
            <rFont val="Calibri"/>
            <scheme val="minor"/>
          </rPr>
          <t>======
ID#AAAAMQJ-jPQ
Philip Groth    (2021-04-29 11:55:23)
Kg of methane are converted to metric tons by dividing by 1000. This is then converted to MMTCH4 by dividing by 1,000,000.</t>
        </r>
      </text>
    </comment>
    <comment ref="K7" authorId="0" shapeId="0" xr:uid="{00000000-0006-0000-1100-00004C000000}">
      <text>
        <r>
          <rPr>
            <sz val="8"/>
            <color rgb="FF000000"/>
            <rFont val="Calibri"/>
            <scheme val="minor"/>
          </rPr>
          <t>======
ID#AAAAMQJ-jHg
Philip Groth    (2021-04-29 11:55:23)
MMTCH4 are converted to MMTCE by multiply by methane's global warming potential (21) and then 12/44 (to convert from CO2 to C).</t>
        </r>
      </text>
    </comment>
    <comment ref="M7" authorId="0" shapeId="0" xr:uid="{00000000-0006-0000-1100-000051000000}">
      <text>
        <r>
          <rPr>
            <sz val="8"/>
            <color rgb="FF000000"/>
            <rFont val="Calibri"/>
            <scheme val="minor"/>
          </rPr>
          <t>======
ID#AAAAMQJ-jFY
Philip Groth    (2021-04-29 11:55:23)
MMTCE are converted to MMTCO2E by dividing by 12/44 (to convert from C to CO2).</t>
        </r>
      </text>
    </comment>
    <comment ref="C20" authorId="0" shapeId="0" xr:uid="{00000000-0006-0000-1100-000009000000}">
      <text>
        <r>
          <rPr>
            <sz val="8"/>
            <color rgb="FF000000"/>
            <rFont val="Calibri"/>
            <scheme val="minor"/>
          </rPr>
          <t>======
ID#AAAATUb1psc
    (2021-12-21 13:54:49)
SIT 2018 default Data</t>
        </r>
      </text>
    </comment>
    <comment ref="C21" authorId="0" shapeId="0" xr:uid="{00000000-0006-0000-1100-000006000000}">
      <text>
        <r>
          <rPr>
            <sz val="8"/>
            <color rgb="FF000000"/>
            <rFont val="Calibri"/>
            <scheme val="minor"/>
          </rPr>
          <t>======
ID#AAAATUb1ptU
    (2021-12-21 13:54:49)
SIT 2018 Defaults Data</t>
        </r>
      </text>
    </comment>
    <comment ref="C24" authorId="0" shapeId="0" xr:uid="{00000000-0006-0000-1100-000029000000}">
      <text>
        <r>
          <rPr>
            <sz val="8"/>
            <color rgb="FF000000"/>
            <rFont val="Calibri"/>
            <scheme val="minor"/>
          </rPr>
          <t>======
ID#AAAATUb1poA
    (2021-12-21 13:54:49)
2018 SIT Default Data</t>
        </r>
      </text>
    </comment>
    <comment ref="C25" authorId="0" shapeId="0" xr:uid="{00000000-0006-0000-1100-000015000000}">
      <text>
        <r>
          <rPr>
            <sz val="8"/>
            <color rgb="FF000000"/>
            <rFont val="Calibri"/>
            <scheme val="minor"/>
          </rPr>
          <t>======
ID#AAAATUb1pqs
Abdulrahman Mohammed    (2021-12-21 13:54:49)
2018 SIT Default Data</t>
        </r>
      </text>
    </comment>
    <comment ref="C26" authorId="0" shapeId="0" xr:uid="{00000000-0006-0000-1100-00001A000000}">
      <text>
        <r>
          <rPr>
            <sz val="8"/>
            <color rgb="FF000000"/>
            <rFont val="Calibri"/>
            <scheme val="minor"/>
          </rPr>
          <t>======
ID#AAAATUb1pqQ
Abdulrahman Mohammed    (2021-12-21 13:54:49)
2020 Data: USDA Northeastern Region Hog and Pig Report Rel. Dec 23,2020</t>
        </r>
      </text>
    </comment>
    <comment ref="C27" authorId="0" shapeId="0" xr:uid="{00000000-0006-0000-1100-000003000000}">
      <text>
        <r>
          <rPr>
            <sz val="8"/>
            <color rgb="FF000000"/>
            <rFont val="Calibri"/>
            <scheme val="minor"/>
          </rPr>
          <t>======
ID#AAAATUb1puE
    (2021-12-21 13:54:49)
2018 SIT Default Data</t>
        </r>
      </text>
    </comment>
    <comment ref="G33" authorId="0" shapeId="0" xr:uid="{00000000-0006-0000-1100-000005000000}">
      <text>
        <r>
          <rPr>
            <sz val="8"/>
            <color rgb="FF000000"/>
            <rFont val="Calibri"/>
            <scheme val="minor"/>
          </rPr>
          <t>======
ID#AAAATUb1pt0
Abdulrahman Mohammed    (2021-12-21 13:54:49)
Model Generated VS (kg/head/year) for Cattle, except Calves.</t>
        </r>
      </text>
    </comment>
    <comment ref="I33" authorId="0" shapeId="0" xr:uid="{00000000-0006-0000-1100-000027000000}">
      <text>
        <r>
          <rPr>
            <sz val="8"/>
            <color rgb="FF000000"/>
            <rFont val="Calibri"/>
            <scheme val="minor"/>
          </rPr>
          <t>======
ID#AAAATUb1pn8
Abdulrahman Mohammed    (2021-12-21 13:54:49)
VS Total = VS(kg/yr)* # of Animals*1E+03</t>
        </r>
      </text>
    </comment>
    <comment ref="M33" authorId="0" shapeId="0" xr:uid="{00000000-0006-0000-1100-000001000000}">
      <text>
        <r>
          <rPr>
            <sz val="8"/>
            <color rgb="FF000000"/>
            <rFont val="Calibri"/>
            <scheme val="minor"/>
          </rPr>
          <t>======
ID#AAAATUb1puo
    (2021-12-21 13:54:49)
Sum of MCF for each animal's management system x Percent of Manure Managed in that system
MCF-is the extent that potential for emitting methane is realized based on manure management system and climate</t>
        </r>
      </text>
    </comment>
    <comment ref="Q33" authorId="0" shapeId="0" xr:uid="{00000000-0006-0000-1100-000021000000}">
      <text>
        <r>
          <rPr>
            <sz val="8"/>
            <color rgb="FF000000"/>
            <rFont val="Calibri"/>
            <scheme val="minor"/>
          </rPr>
          <t>======
ID#AAAATUb1ppM
Abdulrahman Mohammed    (2021-12-21 13:54:49)
M3-CH4*(kg_m3/kg.MT)
0.67606/kg_m3CH4</t>
        </r>
      </text>
    </comment>
    <comment ref="C38" authorId="0" shapeId="0" xr:uid="{00000000-0006-0000-1100-000013000000}">
      <text>
        <r>
          <rPr>
            <sz val="8"/>
            <color rgb="FF000000"/>
            <rFont val="Calibri"/>
            <scheme val="minor"/>
          </rPr>
          <t>======
ID#AAAATUb1pq0
    (2021-12-21 13:54:49)
2018 SIT Defaults</t>
        </r>
      </text>
    </comment>
    <comment ref="C39" authorId="0" shapeId="0" xr:uid="{00000000-0006-0000-1100-00000E000000}">
      <text>
        <r>
          <rPr>
            <sz val="8"/>
            <color rgb="FF000000"/>
            <rFont val="Calibri"/>
            <scheme val="minor"/>
          </rPr>
          <t>======
ID#AAAATUb1pr0
    (2021-12-21 13:54:49)
2018 SIT Defaults</t>
        </r>
      </text>
    </comment>
    <comment ref="I41" authorId="0" shapeId="0" xr:uid="{00000000-0006-0000-1100-000023000000}">
      <text>
        <r>
          <rPr>
            <sz val="8"/>
            <color rgb="FF000000"/>
            <rFont val="Calibri"/>
            <scheme val="minor"/>
          </rPr>
          <t>======
ID#AAAATUb1pok
Abdulrahman Mohammed    (2021-12-21 13:54:49)
Total VS = # of Animal*TAM*VS*365</t>
        </r>
      </text>
    </comment>
    <comment ref="G47" authorId="0" shapeId="0" xr:uid="{00000000-0006-0000-1100-000016000000}">
      <text>
        <r>
          <rPr>
            <sz val="8"/>
            <color rgb="FF000000"/>
            <rFont val="Calibri"/>
            <scheme val="minor"/>
          </rPr>
          <t>======
ID#AAAATUb1pqo
Abdulrahman Mohammed    (2021-12-21 13:54:49)
VS (kg/1,000 Animal mass/day).</t>
        </r>
      </text>
    </comment>
    <comment ref="I47" authorId="0" shapeId="0" xr:uid="{00000000-0006-0000-1100-000026000000}">
      <text>
        <r>
          <rPr>
            <sz val="8"/>
            <color rgb="FF000000"/>
            <rFont val="Calibri"/>
            <scheme val="minor"/>
          </rPr>
          <t>======
ID#AAAATUb1poQ
Abdulrahman Mohammed    (2021-12-21 13:54:49)
VS Total = # of Animal *TAM*VS*365</t>
        </r>
      </text>
    </comment>
    <comment ref="C54" authorId="0" shapeId="0" xr:uid="{00000000-0006-0000-1100-000022000000}">
      <text>
        <r>
          <rPr>
            <sz val="8"/>
            <color rgb="FF000000"/>
            <rFont val="Calibri"/>
            <scheme val="minor"/>
          </rPr>
          <t>======
ID#AAAATUb1po8
    (2021-12-21 13:54:49)
2018 SIT Default Data</t>
        </r>
      </text>
    </comment>
    <comment ref="C55" authorId="0" shapeId="0" xr:uid="{00000000-0006-0000-1100-000010000000}">
      <text>
        <r>
          <rPr>
            <sz val="8"/>
            <color rgb="FF000000"/>
            <rFont val="Calibri"/>
            <scheme val="minor"/>
          </rPr>
          <t>======
ID#AAAATUb1prg
    (2021-12-21 13:54:49)
2018 SIT Defaults</t>
        </r>
      </text>
    </comment>
    <comment ref="C56" authorId="0" shapeId="0" xr:uid="{00000000-0006-0000-1100-00002B000000}">
      <text>
        <r>
          <rPr>
            <sz val="8"/>
            <color rgb="FF000000"/>
            <rFont val="Calibri"/>
            <scheme val="minor"/>
          </rPr>
          <t>======
ID#AAAATUb1pnQ
    (2021-12-21 13:54:49)
2018 SIT Default Data</t>
        </r>
      </text>
    </comment>
    <comment ref="C57" authorId="0" shapeId="0" xr:uid="{00000000-0006-0000-1100-00000A000000}">
      <text>
        <r>
          <rPr>
            <sz val="8"/>
            <color rgb="FF000000"/>
            <rFont val="Calibri"/>
            <scheme val="minor"/>
          </rPr>
          <t>======
ID#AAAATUb1psQ
    (2021-12-21 13:54:49)
2018 SIT Default Data</t>
        </r>
      </text>
    </comment>
    <comment ref="C58" authorId="0" shapeId="0" xr:uid="{00000000-0006-0000-1100-00001F000000}">
      <text>
        <r>
          <rPr>
            <sz val="8"/>
            <color rgb="FF000000"/>
            <rFont val="Calibri"/>
            <scheme val="minor"/>
          </rPr>
          <t>======
ID#AAAATUb1pp0
    (2021-12-21 13:54:49)
2018 SIT Default Data</t>
        </r>
      </text>
    </comment>
    <comment ref="C60" authorId="0" shapeId="0" xr:uid="{00000000-0006-0000-1100-00001E000000}">
      <text>
        <r>
          <rPr>
            <sz val="8"/>
            <color rgb="FF000000"/>
            <rFont val="Calibri"/>
            <scheme val="minor"/>
          </rPr>
          <t>======
ID#AAAATUb1pps
Abdulrahman Mohammed    (2021-12-21 13:54:49)
2018 SIT Default Data</t>
        </r>
      </text>
    </comment>
    <comment ref="C61" authorId="0" shapeId="0" xr:uid="{00000000-0006-0000-1100-000024000000}">
      <text>
        <r>
          <rPr>
            <sz val="8"/>
            <color rgb="FF000000"/>
            <rFont val="Calibri"/>
            <scheme val="minor"/>
          </rPr>
          <t>======
ID#AAAATUb1poc
    (2021-12-21 13:54:49)
2018 SIT Defaults Data</t>
        </r>
      </text>
    </comment>
    <comment ref="C62" authorId="0" shapeId="0" xr:uid="{00000000-0006-0000-1100-000004000000}">
      <text>
        <r>
          <rPr>
            <sz val="8"/>
            <color rgb="FF000000"/>
            <rFont val="Calibri"/>
            <scheme val="minor"/>
          </rPr>
          <t>======
ID#AAAATUb1pt4
Abdulrahman Mohammed    (2021-12-21 13:54:49)
2018 SIT Defaults Data</t>
        </r>
      </text>
    </comment>
    <comment ref="C63" authorId="0" shapeId="0" xr:uid="{00000000-0006-0000-1100-00001C000000}">
      <text>
        <r>
          <rPr>
            <sz val="8"/>
            <color rgb="FF000000"/>
            <rFont val="Calibri"/>
            <scheme val="minor"/>
          </rPr>
          <t>======
ID#AAAATUb1pqE
    (2021-12-21 13:54:49)
2018 SIT Default Data</t>
        </r>
      </text>
    </comment>
    <comment ref="S69" authorId="0" shapeId="0" xr:uid="{00000000-0006-0000-1100-000031000000}">
      <text>
        <r>
          <rPr>
            <sz val="8"/>
            <color rgb="FF000000"/>
            <rFont val="Calibri"/>
            <scheme val="minor"/>
          </rPr>
          <t>======
ID#AAAAMQJ-jQg
Philip Groth    (2021-04-29 11:55:23)
MTCE are converted to MMTCE by dividing by 1,000,000.</t>
        </r>
      </text>
    </comment>
    <comment ref="C74" authorId="0" shapeId="0" xr:uid="{00000000-0006-0000-1100-000046000000}">
      <text>
        <r>
          <rPr>
            <sz val="8"/>
            <color rgb="FF000000"/>
            <rFont val="Calibri"/>
            <scheme val="minor"/>
          </rPr>
          <t>======
ID#AAAAMQJ-jII
sal    (2021-04-29 11:55:23)
SIT 2009 default</t>
        </r>
      </text>
    </comment>
    <comment ref="C75" authorId="0" shapeId="0" xr:uid="{00000000-0006-0000-1100-000040000000}">
      <text>
        <r>
          <rPr>
            <sz val="8"/>
            <color rgb="FF000000"/>
            <rFont val="Calibri"/>
            <scheme val="minor"/>
          </rPr>
          <t>======
ID#AAAAMQJ-jLA
sal    (2021-04-29 11:55:23)
SIT 2009 Default</t>
        </r>
      </text>
    </comment>
    <comment ref="C79" authorId="0" shapeId="0" xr:uid="{00000000-0006-0000-1100-000030000000}">
      <text>
        <r>
          <rPr>
            <sz val="8"/>
            <color rgb="FF000000"/>
            <rFont val="Calibri"/>
            <scheme val="minor"/>
          </rPr>
          <t>======
ID#AAAAMQJ-jQs
sal    (2021-04-29 11:55:23)
USDA 2007 data</t>
        </r>
      </text>
    </comment>
    <comment ref="B84" authorId="0" shapeId="0" xr:uid="{00000000-0006-0000-1100-00003D000000}">
      <text>
        <r>
          <rPr>
            <sz val="8"/>
            <color rgb="FF000000"/>
            <rFont val="Calibri"/>
            <scheme val="minor"/>
          </rPr>
          <t>======
ID#AAAAMQJ-jMQ
DLekas    (2021-04-29 11:55:23)
Includes: Regular Broilers, Other (Lost), and Other (Sold)</t>
        </r>
      </text>
    </comment>
    <comment ref="C84" authorId="0" shapeId="0" xr:uid="{00000000-0006-0000-1100-00002E000000}">
      <text>
        <r>
          <rPr>
            <sz val="8"/>
            <color rgb="FF000000"/>
            <rFont val="Calibri"/>
            <scheme val="minor"/>
          </rPr>
          <t>======
ID#AAAAMQJ-jR8
sal    (2021-04-29 11:55:23)
SIT 2009 Default data</t>
        </r>
      </text>
    </comment>
    <comment ref="C85" authorId="0" shapeId="0" xr:uid="{00000000-0006-0000-1100-000049000000}">
      <text>
        <r>
          <rPr>
            <sz val="8"/>
            <color rgb="FF000000"/>
            <rFont val="Calibri"/>
            <scheme val="minor"/>
          </rPr>
          <t>======
ID#AAAAMQJ-jHs
sal    (2021-04-29 11:55:23)
SIT 2009 Default data</t>
        </r>
      </text>
    </comment>
    <comment ref="C86" authorId="0" shapeId="0" xr:uid="{00000000-0006-0000-1100-00004A000000}">
      <text>
        <r>
          <rPr>
            <sz val="8"/>
            <color rgb="FF000000"/>
            <rFont val="Calibri"/>
            <scheme val="minor"/>
          </rPr>
          <t>======
ID#AAAAMQJ-jHo
sal    (2021-04-29 11:55:23)
SIT 2009 Default data</t>
        </r>
      </text>
    </comment>
    <comment ref="C87" authorId="0" shapeId="0" xr:uid="{00000000-0006-0000-1100-000052000000}">
      <text>
        <r>
          <rPr>
            <sz val="8"/>
            <color rgb="FF000000"/>
            <rFont val="Calibri"/>
            <scheme val="minor"/>
          </rPr>
          <t>======
ID#AAAAMQJ-jEw
sal    (2021-04-29 11:55:23)
SIT 2009 Default data</t>
        </r>
      </text>
    </comment>
    <comment ref="C88" authorId="0" shapeId="0" xr:uid="{00000000-0006-0000-1100-000038000000}">
      <text>
        <r>
          <rPr>
            <sz val="8"/>
            <color rgb="FF000000"/>
            <rFont val="Calibri"/>
            <scheme val="minor"/>
          </rPr>
          <t>======
ID#AAAAMQJ-jOI
sal    (2021-04-29 11:55:23)
SIT 2009 Default data</t>
        </r>
      </text>
    </comment>
    <comment ref="C91" authorId="0" shapeId="0" xr:uid="{00000000-0006-0000-1100-00002C000000}">
      <text>
        <r>
          <rPr>
            <sz val="8"/>
            <color rgb="FF000000"/>
            <rFont val="Calibri"/>
            <scheme val="minor"/>
          </rPr>
          <t>======
ID#AAAAMQJ-jTw
sal    (2021-04-29 11:55:23)
USDA 2009 data</t>
        </r>
      </text>
    </comment>
    <comment ref="AC98" authorId="0" shapeId="0" xr:uid="{00000000-0006-0000-1100-000008000000}">
      <text>
        <r>
          <rPr>
            <sz val="8"/>
            <color rgb="FF000000"/>
            <rFont val="Calibri"/>
            <scheme val="minor"/>
          </rPr>
          <t>======
ID#AAAATUb1ptA
    (2021-12-21 13:54:49)
Metric tons N2O are converted to MMTCE by multiplying by the N2O global warming potential (310 N2O/CO2). multiplying by (12/44)  (to convert from CO2 to C), and then dividing by 1,000,000.</t>
        </r>
      </text>
    </comment>
    <comment ref="AE98" authorId="0" shapeId="0" xr:uid="{00000000-0006-0000-1100-00004F000000}">
      <text>
        <r>
          <rPr>
            <sz val="8"/>
            <color rgb="FF000000"/>
            <rFont val="Calibri"/>
            <scheme val="minor"/>
          </rPr>
          <t>======
ID#AAAAMQJ-jFk
Philip Groth    (2021-04-29 11:55:23)
MMTCE are converted to MMTCO2E by dividing by 12/44 (to convert from C to CO2).</t>
        </r>
      </text>
    </comment>
    <comment ref="E126" authorId="0" shapeId="0" xr:uid="{00000000-0006-0000-1100-00003F000000}">
      <text>
        <r>
          <rPr>
            <sz val="8"/>
            <color rgb="FF000000"/>
            <rFont val="Calibri"/>
            <scheme val="minor"/>
          </rPr>
          <t>======
ID#AAAAMQJ-jLM
DLekas    (2021-04-29 11:55:23)
According to the US Inventory, 65% of the fertilizer consumption takes place from Jan-June and 35% from July-Dec.</t>
        </r>
      </text>
    </comment>
    <comment ref="S126" authorId="0" shapeId="0" xr:uid="{00000000-0006-0000-1100-00002F000000}">
      <text>
        <r>
          <rPr>
            <sz val="8"/>
            <color rgb="FF000000"/>
            <rFont val="Calibri"/>
            <scheme val="minor"/>
          </rPr>
          <t>======
ID#AAAAMQJ-jRg
Philip Groth    (2021-04-29 11:55:23)
Metric tons N2O are converted to MMTCE by multiplying by the N2O global warming potential (310 N2O/CO2). multiplying by 12/44 (to convert from CO2 to C), and then dividing by 1,000,000.</t>
        </r>
      </text>
    </comment>
    <comment ref="U126" authorId="0" shapeId="0" xr:uid="{00000000-0006-0000-1100-00002D000000}">
      <text>
        <r>
          <rPr>
            <sz val="8"/>
            <color rgb="FF000000"/>
            <rFont val="Calibri"/>
            <scheme val="minor"/>
          </rPr>
          <t>======
ID#AAAAMQJ-jSQ
Philip Groth    (2021-04-29 11:55:23)
Metric tons N2O are converted to MMTCE by multiplying by the N2O global warming potential (310 N2O/CO2). multiplying by 12/44 (to convert from CO2 to C), and then dividing by 1,000,000.</t>
        </r>
      </text>
    </comment>
    <comment ref="W126" authorId="0" shapeId="0" xr:uid="{00000000-0006-0000-1100-000045000000}">
      <text>
        <r>
          <rPr>
            <sz val="8"/>
            <color rgb="FF000000"/>
            <rFont val="Calibri"/>
            <scheme val="minor"/>
          </rPr>
          <t>======
ID#AAAAMQJ-jIM
Philip Groth    (2021-04-29 11:55:23)
MMTCE are converted to MMTCO2E by dividing by 12/44 (to convert from C to CO2).</t>
        </r>
      </text>
    </comment>
    <comment ref="Y126" authorId="0" shapeId="0" xr:uid="{00000000-0006-0000-1100-000047000000}">
      <text>
        <r>
          <rPr>
            <sz val="8"/>
            <color rgb="FF000000"/>
            <rFont val="Calibri"/>
            <scheme val="minor"/>
          </rPr>
          <t>======
ID#AAAAMQJ-jH4
Philip Groth    (2021-04-29 11:55:23)
MMTCE are converted to MMTCO2E by dividing by 12/44 (to convert from C to CO2).</t>
        </r>
      </text>
    </comment>
    <comment ref="C127" authorId="0" shapeId="0" xr:uid="{00000000-0006-0000-1100-00003C000000}">
      <text>
        <r>
          <rPr>
            <sz val="8"/>
            <color rgb="FF000000"/>
            <rFont val="Calibri"/>
            <scheme val="minor"/>
          </rPr>
          <t>======
ID#AAAAMQJ-jMw
sal    (2021-04-29 11:55:23)
2016 SIT Default DATA</t>
        </r>
      </text>
    </comment>
    <comment ref="E127" authorId="0" shapeId="0" xr:uid="{00000000-0006-0000-1100-000034000000}">
      <text>
        <r>
          <rPr>
            <sz val="8"/>
            <color rgb="FF000000"/>
            <rFont val="Calibri"/>
            <scheme val="minor"/>
          </rPr>
          <t>======
ID#AAAAMQJ-jP0
amohammed    (2021-04-29 11:55:23)
2016 SIT Defaults</t>
        </r>
      </text>
    </comment>
    <comment ref="O127" authorId="0" shapeId="0" xr:uid="{00000000-0006-0000-1100-00003B000000}">
      <text>
        <r>
          <rPr>
            <sz val="8"/>
            <color rgb="FF000000"/>
            <rFont val="Calibri"/>
            <scheme val="minor"/>
          </rPr>
          <t>======
ID#AAAAMQJ-jNM
rthunell    (2021-04-29 11:55:23)
Emissions = 
(Activity/kg_ MT CF) x EF_Dir x N2O_N2 CF
kg_MT CF = 1000
EF_DIR = 0.01
N2O_N2 CF = 44/28</t>
        </r>
      </text>
    </comment>
    <comment ref="Q127" authorId="0" shapeId="0" xr:uid="{00000000-0006-0000-1100-00003A000000}">
      <text>
        <r>
          <rPr>
            <sz val="8"/>
            <color rgb="FF000000"/>
            <rFont val="Calibri"/>
            <scheme val="minor"/>
          </rPr>
          <t>======
ID#AAAAMQJ-jNo
rthunell    (2021-04-29 11:55:23)
rthunell:
Emissions = 
(Activity/kg_ MT CF) x EF_VOL x N2O_N2 CF
kg_MT CF = 1000
EF_VOL = 0.01
N2O_N2 CF = 44/28</t>
        </r>
      </text>
    </comment>
    <comment ref="K128" authorId="0" shapeId="0" xr:uid="{00000000-0006-0000-1100-000050000000}">
      <text>
        <r>
          <rPr>
            <sz val="8"/>
            <color rgb="FF000000"/>
            <rFont val="Calibri"/>
            <scheme val="minor"/>
          </rPr>
          <t>======
ID#AAAAMQJ-jFc
DLekas    (2021-04-29 11:55:23)
According to the IPCC Good Practice Guidance, the manure portion of organic fertilizers is subtracted from the total of organic fertilizers.</t>
        </r>
      </text>
    </comment>
    <comment ref="M128" authorId="0" shapeId="0" xr:uid="{00000000-0006-0000-1100-000041000000}">
      <text>
        <r>
          <rPr>
            <sz val="8"/>
            <color rgb="FF000000"/>
            <rFont val="Calibri"/>
            <scheme val="minor"/>
          </rPr>
          <t>======
ID#AAAAMQJ-jKE
DLekas    (2021-04-29 11:55:23)
According to the IPCC Good Practice Guidance, the manure portion of organic fertilizers is subtracted from the total of organic fertilizers.</t>
        </r>
      </text>
    </comment>
    <comment ref="K129" authorId="0" shapeId="0" xr:uid="{00000000-0006-0000-1100-000011000000}">
      <text>
        <r>
          <rPr>
            <sz val="8"/>
            <color rgb="FF000000"/>
            <rFont val="Calibri"/>
            <scheme val="minor"/>
          </rPr>
          <t>======
ID#AAAATUb1prE
Abdulrahman Mohammed    (2021-12-21 13:54:49)
Need 2020 updates</t>
        </r>
      </text>
    </comment>
    <comment ref="B138" authorId="0" shapeId="0" xr:uid="{00000000-0006-0000-1100-000032000000}">
      <text>
        <r>
          <rPr>
            <sz val="8"/>
            <color rgb="FF000000"/>
            <rFont val="Calibri"/>
            <scheme val="minor"/>
          </rPr>
          <t>======
ID#AAAAMQJ-jQY
DLekas    (2021-04-29 11:55:23)
According to the IPCC Good Practice Guidance, the manure portion of organic fertilizers is subtracted from the total of organic fertilizers.</t>
        </r>
      </text>
    </comment>
    <comment ref="B154" authorId="0" shapeId="0" xr:uid="{00000000-0006-0000-1100-000043000000}">
      <text>
        <r>
          <rPr>
            <sz val="8"/>
            <color rgb="FF000000"/>
            <rFont val="Calibri"/>
            <scheme val="minor"/>
          </rPr>
          <t>======
ID#AAAAMQJ-jJs
DLekas    (2021-04-29 11:55:23)
According to the IPCC Good Practice Guidance, the manure portion of organic fertilizers is subtracted from the total of organic fertilizers.</t>
        </r>
      </text>
    </comment>
    <comment ref="G158" authorId="0" shapeId="0" xr:uid="{00000000-0006-0000-1100-000012000000}">
      <text>
        <r>
          <rPr>
            <sz val="8"/>
            <color rgb="FF000000"/>
            <rFont val="Calibri"/>
            <scheme val="minor"/>
          </rPr>
          <t>======
ID#AAAATUb1pq8
Abdulrahman Mohammed    (2021-12-21 13:54:49)
Nitrogen Excreted (kg Nex/head/year) produced by Animal type from the Cattle Enteric Fermentation Model (CFEM)</t>
        </r>
      </text>
    </comment>
    <comment ref="K158" authorId="0" shapeId="0" xr:uid="{00000000-0006-0000-1100-00001D000000}">
      <text>
        <r>
          <rPr>
            <sz val="8"/>
            <color rgb="FF000000"/>
            <rFont val="Calibri"/>
            <scheme val="minor"/>
          </rPr>
          <t>======
ID#AAAATUb1pp8
    (2021-12-21 13:54:49)
Volatilization = 20%; 
NH3-NOx EF (kg N2O/kg N) = 0.01</t>
        </r>
      </text>
    </comment>
    <comment ref="S158" authorId="0" shapeId="0" xr:uid="{00000000-0006-0000-1100-000014000000}">
      <text>
        <r>
          <rPr>
            <sz val="8"/>
            <color rgb="FF000000"/>
            <rFont val="Calibri"/>
            <scheme val="minor"/>
          </rPr>
          <t>======
ID#AAAATUb1pqw
    (2021-12-21 13:54:49)
Volatilization = 20%; 
NonVOL EF (kg N2O/kg N) = 0.0125
Poultry Not Managed = 0.042</t>
        </r>
      </text>
    </comment>
    <comment ref="U158" authorId="0" shapeId="0" xr:uid="{00000000-0006-0000-1100-000033000000}">
      <text>
        <r>
          <rPr>
            <sz val="8"/>
            <color rgb="FF000000"/>
            <rFont val="Calibri"/>
            <scheme val="minor"/>
          </rPr>
          <t>======
ID#AAAAMQJ-jQA
rthunell    (2021-04-29 11:55:23)
prtEF = 0.02</t>
        </r>
      </text>
    </comment>
    <comment ref="W158" authorId="0" shapeId="0" xr:uid="{00000000-0006-0000-1100-000036000000}">
      <text>
        <r>
          <rPr>
            <sz val="8"/>
            <color rgb="FF000000"/>
            <rFont val="Calibri"/>
            <scheme val="minor"/>
          </rPr>
          <t>======
ID#AAAAMQJ-jPE
rthunell    (2021-04-29 11:55:23)
Leach EF = 0.30
Runoff/Leach EF = 0.0075</t>
        </r>
      </text>
    </comment>
    <comment ref="BN158" authorId="0" shapeId="0" xr:uid="{00000000-0006-0000-1100-000044000000}">
      <text>
        <r>
          <rPr>
            <sz val="8"/>
            <color rgb="FF000000"/>
            <rFont val="Calibri"/>
            <scheme val="minor"/>
          </rPr>
          <t>======
ID#AAAAMQJ-jJE
DLekas    (2021-04-29 11:55:23)
Source: EIIP Table 7.4.6</t>
        </r>
      </text>
    </comment>
    <comment ref="BQ158" authorId="0" shapeId="0" xr:uid="{00000000-0006-0000-1100-00004E000000}">
      <text>
        <r>
          <rPr>
            <sz val="8"/>
            <color rgb="FF000000"/>
            <rFont val="Calibri"/>
            <scheme val="minor"/>
          </rPr>
          <t>======
ID#AAAAMQJ-jFs
DLekas    (2021-04-29 11:55:23)
Source: EIIP Table 7.4.7</t>
        </r>
      </text>
    </comment>
    <comment ref="BU158" authorId="0" shapeId="0" xr:uid="{00000000-0006-0000-1100-000042000000}">
      <text>
        <r>
          <rPr>
            <sz val="8"/>
            <color rgb="FF000000"/>
            <rFont val="Calibri"/>
            <scheme val="minor"/>
          </rPr>
          <t>======
ID#AAAAMQJ-jJw
DLekas    (2021-04-29 11:55:23)
US Inventory
0% was assumed for both on feed and not on feed sheep for states without sheep data</t>
        </r>
      </text>
    </comment>
    <comment ref="BY158" authorId="0" shapeId="0" xr:uid="{00000000-0006-0000-1100-000048000000}">
      <text>
        <r>
          <rPr>
            <sz val="8"/>
            <color rgb="FF000000"/>
            <rFont val="Calibri"/>
            <scheme val="minor"/>
          </rPr>
          <t>======
ID#AAAAMQJ-jH0
DLekas    (2021-04-29 11:55:23)
Pgroth: Changed to 100% PRP in 1/03 per discussion w/Joe Mangino.</t>
        </r>
      </text>
    </comment>
    <comment ref="CB158" authorId="0" shapeId="0" xr:uid="{00000000-0006-0000-1100-000039000000}">
      <text>
        <r>
          <rPr>
            <sz val="8"/>
            <color rgb="FF000000"/>
            <rFont val="Calibri"/>
            <scheme val="minor"/>
          </rPr>
          <t>======
ID#AAAAMQJ-jN0
DLekas    (2021-04-29 11:55:23)
Pgroth: Changed to 100% PRP in 1/03 per discussion w/Joe Mangino.</t>
        </r>
      </text>
    </comment>
    <comment ref="BI159" authorId="0" shapeId="0" xr:uid="{00000000-0006-0000-1100-000053000000}">
      <text>
        <r>
          <rPr>
            <sz val="8"/>
            <color rgb="FF000000"/>
            <rFont val="Calibri"/>
            <scheme val="minor"/>
          </rPr>
          <t>======
ID#AAAATUb1pno
Philip Groth    (2021-04-29 11:55:23)
ERG:
Assumed "Other" Systems fall into a category with an emission factor similar to solid storage.</t>
        </r>
      </text>
    </comment>
    <comment ref="C163" authorId="0" shapeId="0" xr:uid="{00000000-0006-0000-1100-000002000000}">
      <text>
        <r>
          <rPr>
            <sz val="8"/>
            <color rgb="FF000000"/>
            <rFont val="Calibri"/>
            <scheme val="minor"/>
          </rPr>
          <t>======
ID#AAAATUb1puY
    (2021-12-21 13:54:49)
2018 SIT Default Data</t>
        </r>
      </text>
    </comment>
    <comment ref="C164" authorId="0" shapeId="0" xr:uid="{00000000-0006-0000-1100-000028000000}">
      <text>
        <r>
          <rPr>
            <sz val="8"/>
            <color rgb="FF000000"/>
            <rFont val="Calibri"/>
            <scheme val="minor"/>
          </rPr>
          <t>======
ID#AAAATUb1pn4
    (2021-12-21 13:54:49)
2018 SIT Default Data</t>
        </r>
      </text>
    </comment>
    <comment ref="B169" authorId="0" shapeId="0" xr:uid="{00000000-0006-0000-1100-00004B000000}">
      <text>
        <r>
          <rPr>
            <sz val="8"/>
            <color rgb="FF000000"/>
            <rFont val="Calibri"/>
            <scheme val="minor"/>
          </rPr>
          <t>======
ID#AAAAMQJ-jHk
12796    (2021-04-29 11:55:23)
Includes Heifer Stockers and Beef Replacement Heifers.</t>
        </r>
      </text>
    </comment>
    <comment ref="C169" authorId="0" shapeId="0" xr:uid="{00000000-0006-0000-1100-000020000000}">
      <text>
        <r>
          <rPr>
            <sz val="8"/>
            <color rgb="FF000000"/>
            <rFont val="Calibri"/>
            <scheme val="minor"/>
          </rPr>
          <t>======
ID#AAAATUb1ppg
Abdulrahman Mohammed    (2021-12-21 13:54:49)
Total Beef Heifer = Heifer Stockers + Beef Replacement Heifers</t>
        </r>
      </text>
    </comment>
    <comment ref="C173" authorId="0" shapeId="0" xr:uid="{00000000-0006-0000-1100-00001B000000}">
      <text>
        <r>
          <rPr>
            <sz val="8"/>
            <color rgb="FF000000"/>
            <rFont val="Calibri"/>
            <scheme val="minor"/>
          </rPr>
          <t>======
ID#AAAATUb1pqI
    (2021-12-21 13:54:49)
2018 Default SIT Data</t>
        </r>
      </text>
    </comment>
    <comment ref="C178" authorId="0" shapeId="0" xr:uid="{00000000-0006-0000-1100-000017000000}">
      <text>
        <r>
          <rPr>
            <sz val="8"/>
            <color rgb="FF000000"/>
            <rFont val="Calibri"/>
            <scheme val="minor"/>
          </rPr>
          <t>======
ID#AAAATUb1pqc
    (2021-12-21 13:54:49)
2018 Default SIT Data</t>
        </r>
      </text>
    </comment>
    <comment ref="C179" authorId="0" shapeId="0" xr:uid="{00000000-0006-0000-1100-00000B000000}">
      <text>
        <r>
          <rPr>
            <sz val="8"/>
            <color rgb="FF000000"/>
            <rFont val="Calibri"/>
            <scheme val="minor"/>
          </rPr>
          <t>======
ID#AAAATUb1psI
    (2021-12-21 13:54:49)
2018 Default SIT Data</t>
        </r>
      </text>
    </comment>
    <comment ref="C180" authorId="0" shapeId="0" xr:uid="{00000000-0006-0000-1100-000019000000}">
      <text>
        <r>
          <rPr>
            <sz val="8"/>
            <color rgb="FF000000"/>
            <rFont val="Calibri"/>
            <scheme val="minor"/>
          </rPr>
          <t>======
ID#AAAATUb1pqU
    (2021-12-21 13:54:49)
2018 Default SIT Data</t>
        </r>
      </text>
    </comment>
    <comment ref="B181" authorId="0" shapeId="0" xr:uid="{00000000-0006-0000-1100-00003E000000}">
      <text>
        <r>
          <rPr>
            <sz val="8"/>
            <color rgb="FF000000"/>
            <rFont val="Calibri"/>
            <scheme val="minor"/>
          </rPr>
          <t>======
ID#AAAAMQJ-jLo
DLekas    (2021-04-29 11:55:23)
Includes: Regular Broilers, Other (Lost), and Other (Sold)</t>
        </r>
      </text>
    </comment>
    <comment ref="C181" authorId="0" shapeId="0" xr:uid="{00000000-0006-0000-1100-00000C000000}">
      <text>
        <r>
          <rPr>
            <sz val="8"/>
            <color rgb="FF000000"/>
            <rFont val="Calibri"/>
            <scheme val="minor"/>
          </rPr>
          <t>======
ID#AAAATUb1psE
    (2021-12-21 13:54:49)
2018 Default SIT Data</t>
        </r>
      </text>
    </comment>
    <comment ref="C182" authorId="0" shapeId="0" xr:uid="{00000000-0006-0000-1100-00002A000000}">
      <text>
        <r>
          <rPr>
            <sz val="8"/>
            <color rgb="FF000000"/>
            <rFont val="Calibri"/>
            <scheme val="minor"/>
          </rPr>
          <t>======
ID#AAAATUb1poE
    (2021-12-21 13:54:49)
2018 Default SIT Data</t>
        </r>
      </text>
    </comment>
    <comment ref="C184" authorId="0" shapeId="0" xr:uid="{00000000-0006-0000-1100-000018000000}">
      <text>
        <r>
          <rPr>
            <sz val="8"/>
            <color rgb="FF000000"/>
            <rFont val="Calibri"/>
            <scheme val="minor"/>
          </rPr>
          <t>======
ID#AAAATUb1pqY
Abdulrahman Mohammed    (2021-12-21 13:54:49)
2018 Default SIT Data</t>
        </r>
      </text>
    </comment>
    <comment ref="C185" authorId="0" shapeId="0" xr:uid="{00000000-0006-0000-1100-00000D000000}">
      <text>
        <r>
          <rPr>
            <sz val="8"/>
            <color rgb="FF000000"/>
            <rFont val="Calibri"/>
            <scheme val="minor"/>
          </rPr>
          <t>======
ID#AAAATUb1psA
    (2021-12-21 13:54:49)
2018 Default SIT Data</t>
        </r>
      </text>
    </comment>
    <comment ref="C186" authorId="0" shapeId="0" xr:uid="{00000000-0006-0000-1100-000007000000}">
      <text>
        <r>
          <rPr>
            <sz val="8"/>
            <color rgb="FF000000"/>
            <rFont val="Calibri"/>
            <scheme val="minor"/>
          </rPr>
          <t>======
ID#AAAATUb1ptE
Abdulrahman Mohammed    (2021-12-21 13:54:49)
2018 Default SIT Data</t>
        </r>
      </text>
    </comment>
    <comment ref="C187" authorId="0" shapeId="0" xr:uid="{00000000-0006-0000-1100-000025000000}">
      <text>
        <r>
          <rPr>
            <sz val="8"/>
            <color rgb="FF000000"/>
            <rFont val="Calibri"/>
            <scheme val="minor"/>
          </rPr>
          <t>======
ID#AAAATUb1poY
    (2021-12-21 13:54:49)
2018 Default SIT Data</t>
        </r>
      </text>
    </comment>
    <comment ref="G200" authorId="0" shapeId="0" xr:uid="{00000000-0006-0000-1100-00000F000000}">
      <text>
        <r>
          <rPr>
            <sz val="8"/>
            <color rgb="FF000000"/>
            <rFont val="Calibri"/>
            <scheme val="minor"/>
          </rPr>
          <t>======
ID#AAAATUb1prs
    (2021-12-21 13:54:49)
Corn for Grain, All Wheat, Barley, Sorghum, Oats, Rye, and Soybeans back-calculated from bushel and tonnage values found in "Field Crops, Final Estimates, 1992-1997" SB 947a USDA/NASS. Other crops assumed conversion 0.027215</t>
        </r>
      </text>
    </comment>
    <comment ref="Y200" authorId="0" shapeId="0" xr:uid="{00000000-0006-0000-1100-000037000000}">
      <text>
        <r>
          <rPr>
            <sz val="8"/>
            <color rgb="FF000000"/>
            <rFont val="Calibri"/>
            <scheme val="minor"/>
          </rPr>
          <t>======
ID#AAAAMQJ-jOc
sal    (2021-04-29 11:55:23)
CH4 Emission = Total C Released (metric tons C) *CH4-C Emission Ratio (0.005) * CH4- C Conversion factor (16/12)</t>
        </r>
      </text>
    </comment>
    <comment ref="Y215" authorId="0" shapeId="0" xr:uid="{00000000-0006-0000-1100-00004D000000}">
      <text>
        <r>
          <rPr>
            <sz val="8"/>
            <color rgb="FF000000"/>
            <rFont val="Calibri"/>
            <scheme val="minor"/>
          </rPr>
          <t>======
ID#AAAAMQJ-jGo
sal    (2021-04-29 11:55:23)
N2O Emission = Total N Released (metric tons C) *N2O-N Emission Ratio (0.007) * N2O- N Conversion factor (1.57)</t>
        </r>
      </text>
    </comment>
  </commentList>
  <extLst>
    <ext xmlns:r="http://schemas.openxmlformats.org/officeDocument/2006/relationships" uri="GoogleSheetsCustomDataVersion1">
      <go:sheetsCustomData xmlns:go="http://customooxmlschemas.google.com/" r:id="rId1" roundtripDataSignature="AMtx7mhd69amknZm5uL7ZhR4s0cgJZEkfg=="/>
    </ext>
  </extL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D9" authorId="0" shapeId="0" xr:uid="{00000000-0006-0000-1200-000001000000}">
      <text>
        <r>
          <rPr>
            <sz val="8"/>
            <color rgb="FF000000"/>
            <rFont val="Calibri"/>
            <scheme val="minor"/>
          </rPr>
          <t>======
ID#AAAAal13aQE
Abdulrahman Mohammed -MDE-    (2022-06-06 15:34:47)
2019 US GHG 21990-2019 State's Disaggregated</t>
        </r>
      </text>
    </comment>
    <comment ref="D22" authorId="0" shapeId="0" xr:uid="{00000000-0006-0000-1200-000002000000}">
      <text>
        <r>
          <rPr>
            <sz val="8"/>
            <color rgb="FF000000"/>
            <rFont val="Calibri"/>
            <scheme val="minor"/>
          </rPr>
          <t>======
ID#AAAAal13aQA
Abdulrahman Mohammed -MDE-    (2022-06-06 15:31:00)
Default 2018 EPA SIT</t>
        </r>
      </text>
    </comment>
  </commentList>
  <extLst>
    <ext xmlns:r="http://schemas.openxmlformats.org/officeDocument/2006/relationships" uri="GoogleSheetsCustomDataVersion1">
      <go:sheetsCustomData xmlns:go="http://customooxmlschemas.google.com/" r:id="rId1" roundtripDataSignature="AMtx7mhv/UTSADaQQOF0cUoc90dinv2LvQ=="/>
    </ext>
  </extL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X8" authorId="0" shapeId="0" xr:uid="{00000000-0006-0000-1300-000001000000}">
      <text>
        <r>
          <rPr>
            <sz val="8"/>
            <color rgb="FF000000"/>
            <rFont val="Calibri"/>
            <scheme val="minor"/>
          </rPr>
          <t>Closed 2018
======</t>
        </r>
      </text>
    </comment>
    <comment ref="P9" authorId="0" shapeId="0" xr:uid="{00000000-0006-0000-1300-000002000000}">
      <text>
        <r>
          <rPr>
            <sz val="8"/>
            <color rgb="FF000000"/>
            <rFont val="Calibri"/>
            <scheme val="minor"/>
          </rPr>
          <t>Incinerator Closed since 2018
======</t>
        </r>
      </text>
    </comment>
    <comment ref="Z31" authorId="0" shapeId="0" xr:uid="{00000000-0006-0000-1300-000003000000}">
      <text>
        <r>
          <rPr>
            <sz val="8"/>
            <color rgb="FF000000"/>
            <rFont val="Calibri"/>
            <scheme val="minor"/>
          </rPr>
          <t>======
ID#AAAATUb1ptY
sal    (2021-04-29 11:55:23)
NO CH4 Emission Reported</t>
        </r>
      </text>
    </comment>
  </commentList>
  <extLst>
    <ext xmlns:r="http://schemas.openxmlformats.org/officeDocument/2006/relationships" uri="GoogleSheetsCustomDataVersion1">
      <go:sheetsCustomData xmlns:go="http://customooxmlschemas.google.com/" r:id="rId1" roundtripDataSignature="AMtx7miIN5dcFS+qaXzMbasyceo+eDdt0g=="/>
    </ext>
  </extL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L29" authorId="0" shapeId="0" xr:uid="{00000000-0006-0000-1400-000002000000}">
      <text>
        <r>
          <rPr>
            <sz val="8"/>
            <color rgb="FF000000"/>
            <rFont val="Calibri"/>
            <scheme val="minor"/>
          </rPr>
          <t>======
ID#AAAATUb1pp4
    (2021-12-21 13:54:49)
GHGRP LFG Flow=144,556,618 scf &amp; methane content =49.6%</t>
        </r>
      </text>
    </comment>
    <comment ref="K51" authorId="0" shapeId="0" xr:uid="{00000000-0006-0000-1400-000001000000}">
      <text>
        <r>
          <rPr>
            <sz val="8"/>
            <color rgb="FF000000"/>
            <rFont val="Calibri"/>
            <scheme val="minor"/>
          </rPr>
          <t>Back Calculated
======</t>
        </r>
      </text>
    </comment>
    <comment ref="K60" authorId="0" shapeId="0" xr:uid="{00000000-0006-0000-1400-000003000000}">
      <text>
        <r>
          <rPr>
            <sz val="8"/>
            <color rgb="FF000000"/>
            <rFont val="Calibri"/>
            <scheme val="minor"/>
          </rPr>
          <t>======
ID#AAAAIeq-C9s
Abdulrahman Mohammed -MDE-    (2021-05-10 19:44:40)
Back calculated from actual LFG Flow</t>
        </r>
      </text>
    </comment>
    <comment ref="J84" authorId="0" shapeId="0" xr:uid="{00000000-0006-0000-1400-000005000000}">
      <text>
        <r>
          <rPr>
            <sz val="8"/>
            <color rgb="FF000000"/>
            <rFont val="Calibri"/>
            <scheme val="minor"/>
          </rPr>
          <t>======
ID#AAAAMQJ-jT4
    (2021-04-29 11:55:23)
Assume 7 % of MSW)</t>
        </r>
      </text>
    </comment>
  </commentList>
  <extLst>
    <ext xmlns:r="http://schemas.openxmlformats.org/officeDocument/2006/relationships" uri="GoogleSheetsCustomDataVersion1">
      <go:sheetsCustomData xmlns:go="http://customooxmlschemas.google.com/" r:id="rId1" roundtripDataSignature="AMtx7miEpzj7BOsE1A49/+JUrKd+J35UQw=="/>
    </ext>
  </extL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C24" authorId="0" shapeId="0" xr:uid="{00000000-0006-0000-1500-000001000000}">
      <text>
        <r>
          <rPr>
            <sz val="8"/>
            <color rgb="FF000000"/>
            <rFont val="Calibri"/>
            <scheme val="minor"/>
          </rPr>
          <t>2020 Data =278 cfm, operation hrs =5514 hrs, Flare Destruction Efficiency =98%
======
ID#AAAAMVOmWKY
Abdulrahman Mohammed -MDE-    (2021-05-11 13:41:43)
(site-specific LFG flow rate, cfm)*(flare operating hours*60min/hr)</t>
        </r>
      </text>
    </comment>
    <comment ref="E32" authorId="0" shapeId="0" xr:uid="{00000000-0006-0000-1500-000007000000}">
      <text>
        <r>
          <rPr>
            <sz val="8"/>
            <color rgb="FF000000"/>
            <rFont val="Calibri"/>
            <scheme val="minor"/>
          </rPr>
          <t>======
ID#AAAATUb1pq4
    (2021-12-21 13:54:49)
2020 GHGRP Data</t>
        </r>
      </text>
    </comment>
    <comment ref="G32" authorId="0" shapeId="0" xr:uid="{00000000-0006-0000-1500-000006000000}">
      <text>
        <r>
          <rPr>
            <sz val="8"/>
            <color rgb="FF000000"/>
            <rFont val="Calibri"/>
            <scheme val="minor"/>
          </rPr>
          <t>======
ID#AAAATUb1prA
    (2021-12-21 13:54:49)
2020 GHGRP Data</t>
        </r>
      </text>
    </comment>
    <comment ref="P32" authorId="0" shapeId="0" xr:uid="{00000000-0006-0000-1500-000002000000}">
      <text>
        <r>
          <rPr>
            <sz val="8"/>
            <color rgb="FF000000"/>
            <rFont val="Calibri"/>
            <scheme val="minor"/>
          </rPr>
          <t>2020 Generation Data
======</t>
        </r>
      </text>
    </comment>
    <comment ref="Q36" authorId="0" shapeId="0" xr:uid="{00000000-0006-0000-1500-00000C000000}">
      <text>
        <r>
          <rPr>
            <sz val="8"/>
            <color rgb="FF000000"/>
            <rFont val="Calibri"/>
            <scheme val="minor"/>
          </rPr>
          <t>======
ID#AAAAMVLNMpc
Abdulrahman Mohammed -MDE-    (2021-05-11 12:04:02)
Collection Efficiency Greater than 100%</t>
        </r>
      </text>
    </comment>
    <comment ref="Q44" authorId="0" shapeId="0" xr:uid="{00000000-0006-0000-1500-000005000000}">
      <text>
        <r>
          <rPr>
            <sz val="8"/>
            <color rgb="FF000000"/>
            <rFont val="Calibri"/>
            <scheme val="minor"/>
          </rPr>
          <t>======
ID#AAAATUb1pso
    (2021-12-21 13:54:49)
Normally Collection Efficiency = CH4 Collected =314.15/ CH4 Generated =256.6. Resulting in Collection Efficiency =122.43%. 40 CFR Part 98 allows A Landfill with a final cap or geomembrane cover to assume a Collection Efficiency of 95%</t>
        </r>
      </text>
    </comment>
    <comment ref="C47" authorId="0" shapeId="0" xr:uid="{00000000-0006-0000-1500-000004000000}">
      <text>
        <r>
          <rPr>
            <sz val="8"/>
            <color rgb="FF000000"/>
            <rFont val="Calibri"/>
            <scheme val="minor"/>
          </rPr>
          <t>======
ID#AAAATUb1ptI
    (2021-12-21 13:54:49)
2020</t>
        </r>
      </text>
    </comment>
    <comment ref="G47" authorId="0" shapeId="0" xr:uid="{00000000-0006-0000-1500-000008000000}">
      <text>
        <r>
          <rPr>
            <sz val="8"/>
            <color rgb="FF000000"/>
            <rFont val="Calibri"/>
            <scheme val="minor"/>
          </rPr>
          <t>======
ID#AAAATUb1ppk
    (2021-12-21 13:54:49)
2020</t>
        </r>
      </text>
    </comment>
    <comment ref="C51" authorId="0" shapeId="0" xr:uid="{00000000-0006-0000-1500-00000A000000}">
      <text>
        <r>
          <rPr>
            <sz val="8"/>
            <color rgb="FF000000"/>
            <rFont val="Calibri"/>
            <scheme val="minor"/>
          </rPr>
          <t>======
ID#AAAAMVluYKI
Abdulrahman Mohammed -MDE-    (2021-05-11 16:30:04)
Back calculated from 737.08 tons CH4 reported in 2020 ECR</t>
        </r>
      </text>
    </comment>
    <comment ref="M51" authorId="0" shapeId="0" xr:uid="{00000000-0006-0000-1500-000009000000}">
      <text>
        <r>
          <rPr>
            <sz val="8"/>
            <color rgb="FF000000"/>
            <rFont val="Calibri"/>
            <scheme val="minor"/>
          </rPr>
          <t>======
ID#AAAAMVluYKo
Abdulrahman Mohammed -MDE-    (2021-05-11 16:31:06)
Actual reported in 2020 ECR =737.08 tons CH4 Collected</t>
        </r>
      </text>
    </comment>
    <comment ref="C53" authorId="0" shapeId="0" xr:uid="{00000000-0006-0000-1500-00000B000000}">
      <text>
        <r>
          <rPr>
            <sz val="8"/>
            <color rgb="FF000000"/>
            <rFont val="Calibri"/>
            <scheme val="minor"/>
          </rPr>
          <t>======
ID#AAAAMVOmWL0
Abdulrahman Mohammed -MDE-    (2021-05-11 13:44:03)
(site-specific LFG flow rate, cfm)  *(flare operating hours * 60min/hr)</t>
        </r>
      </text>
    </comment>
    <comment ref="C57" authorId="0" shapeId="0" xr:uid="{00000000-0006-0000-1500-000003000000}">
      <text>
        <r>
          <rPr>
            <sz val="8"/>
            <color rgb="FF000000"/>
            <rFont val="Calibri"/>
            <scheme val="minor"/>
          </rPr>
          <t>Back calculated from specified Collection Rate and methane generation rate
======</t>
        </r>
      </text>
    </comment>
  </commentList>
  <extLst>
    <ext xmlns:r="http://schemas.openxmlformats.org/officeDocument/2006/relationships" uri="GoogleSheetsCustomDataVersion1">
      <go:sheetsCustomData xmlns:go="http://customooxmlschemas.google.com/" r:id="rId1" roundtripDataSignature="AMtx7miAihA3rNcjHYyc2yu3Inf9uFsN4A=="/>
    </ext>
  </extL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s>
  <commentList>
    <comment ref="C12" authorId="0" shapeId="0" xr:uid="{00000000-0006-0000-1600-000003000000}">
      <text>
        <r>
          <rPr>
            <sz val="8"/>
            <color rgb="FF000000"/>
            <rFont val="Calibri"/>
            <scheme val="minor"/>
          </rPr>
          <t>======
ID#AAAATUb1prk
Abdulrahman Mohammed    (2021-12-21 13:54:49)
2020 Population</t>
        </r>
      </text>
    </comment>
    <comment ref="E12" authorId="0" shapeId="0" xr:uid="{00000000-0006-0000-1600-000004000000}">
      <text>
        <r>
          <rPr>
            <sz val="8"/>
            <color rgb="FF000000"/>
            <rFont val="Calibri"/>
            <scheme val="minor"/>
          </rPr>
          <t>======
ID#AAAATUb1puI
sal    (2021-04-29 11:55:23)
Based on 2011 Pop.</t>
        </r>
      </text>
    </comment>
    <comment ref="E19" authorId="0" shapeId="0" xr:uid="{00000000-0006-0000-1600-000002000000}">
      <text>
        <r>
          <rPr>
            <sz val="8"/>
            <color rgb="FF000000"/>
            <rFont val="Calibri"/>
            <scheme val="minor"/>
          </rPr>
          <t>======
ID#AAAATUb1psk
Abdulrahman Mohammed    (2021-12-21 13:54:49)
2019 SIT Defaults</t>
        </r>
      </text>
    </comment>
    <comment ref="C26" authorId="0" shapeId="0" xr:uid="{00000000-0006-0000-1600-000001000000}">
      <text>
        <r>
          <rPr>
            <sz val="8"/>
            <color rgb="FF000000"/>
            <rFont val="Calibri"/>
            <scheme val="minor"/>
          </rPr>
          <t>======
ID#AAAATUb1ptw
    (2021-12-21 13:54:49)
2019 SIT Default Data</t>
        </r>
      </text>
    </comment>
  </commentList>
  <extLst>
    <ext xmlns:r="http://schemas.openxmlformats.org/officeDocument/2006/relationships" uri="GoogleSheetsCustomDataVersion1">
      <go:sheetsCustomData xmlns:go="http://customooxmlschemas.google.com/" r:id="rId1" roundtripDataSignature="AMtx7mhxojjyLIyZZtgXilNGMHwRt6rcu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K57" authorId="0" shapeId="0" xr:uid="{00000000-0006-0000-0200-00001B000000}">
      <text>
        <r>
          <rPr>
            <sz val="8"/>
            <color rgb="FF000000"/>
            <rFont val="Calibri"/>
            <scheme val="minor"/>
          </rPr>
          <t>======
ID#AAAATUb1psY
amohammed    (2021-04-29 11:55:23)
40 CFR 98</t>
        </r>
      </text>
    </comment>
    <comment ref="L57" authorId="0" shapeId="0" xr:uid="{00000000-0006-0000-0200-000026000000}">
      <text>
        <r>
          <rPr>
            <sz val="8"/>
            <color rgb="FF000000"/>
            <rFont val="Calibri"/>
            <scheme val="minor"/>
          </rPr>
          <t>======
ID#AAAATUb1po4
amohammed    (2021-04-29 11:55:23)
40 CFR 98</t>
        </r>
      </text>
    </comment>
    <comment ref="M57" authorId="0" shapeId="0" xr:uid="{00000000-0006-0000-0200-000021000000}">
      <text>
        <r>
          <rPr>
            <sz val="8"/>
            <color rgb="FF000000"/>
            <rFont val="Calibri"/>
            <scheme val="minor"/>
          </rPr>
          <t>======
ID#AAAATUb1prQ
amohammed    (2021-04-29 11:55:23)
40 CFR 98</t>
        </r>
      </text>
    </comment>
    <comment ref="K58" authorId="0" shapeId="0" xr:uid="{00000000-0006-0000-0200-000016000000}">
      <text>
        <r>
          <rPr>
            <sz val="8"/>
            <color rgb="FF000000"/>
            <rFont val="Calibri"/>
            <scheme val="minor"/>
          </rPr>
          <t>======
ID#AAAATUb1pug
amohammed    (2021-04-29 11:55:23)
40 CFR 98</t>
        </r>
      </text>
    </comment>
    <comment ref="L58" authorId="0" shapeId="0" xr:uid="{00000000-0006-0000-0200-00001A000000}">
      <text>
        <r>
          <rPr>
            <sz val="8"/>
            <color rgb="FF000000"/>
            <rFont val="Calibri"/>
            <scheme val="minor"/>
          </rPr>
          <t>======
ID#AAAATUb1pt8
amohammed    (2021-04-29 11:55:23)
40 CFR 98</t>
        </r>
      </text>
    </comment>
    <comment ref="M58" authorId="0" shapeId="0" xr:uid="{00000000-0006-0000-0200-000023000000}">
      <text>
        <r>
          <rPr>
            <sz val="8"/>
            <color rgb="FF000000"/>
            <rFont val="Calibri"/>
            <scheme val="minor"/>
          </rPr>
          <t>======
ID#AAAATUb1pr4
amohammed    (2021-04-29 11:55:23)
40 CFR 98</t>
        </r>
      </text>
    </comment>
    <comment ref="K63" authorId="0" shapeId="0" xr:uid="{00000000-0006-0000-0200-000019000000}">
      <text>
        <r>
          <rPr>
            <sz val="8"/>
            <color rgb="FF000000"/>
            <rFont val="Calibri"/>
            <scheme val="minor"/>
          </rPr>
          <t>======
ID#AAAATUb1psU
amohammed    (2021-04-29 11:55:23)
40 CFR 98</t>
        </r>
      </text>
    </comment>
    <comment ref="L63" authorId="0" shapeId="0" xr:uid="{00000000-0006-0000-0200-000025000000}">
      <text>
        <r>
          <rPr>
            <sz val="8"/>
            <color rgb="FF000000"/>
            <rFont val="Calibri"/>
            <scheme val="minor"/>
          </rPr>
          <t>======
ID#AAAATUb1poM
amohammed    (2021-04-29 11:55:23)
40 CFR 98</t>
        </r>
      </text>
    </comment>
    <comment ref="M63" authorId="0" shapeId="0" xr:uid="{00000000-0006-0000-0200-000024000000}">
      <text>
        <r>
          <rPr>
            <sz val="8"/>
            <color rgb="FF000000"/>
            <rFont val="Calibri"/>
            <scheme val="minor"/>
          </rPr>
          <t>======
ID#AAAATUb1ppw
amohammed    (2021-04-29 11:55:23)
40 CFR 98</t>
        </r>
      </text>
    </comment>
    <comment ref="K64" authorId="0" shapeId="0" xr:uid="{00000000-0006-0000-0200-00001D000000}">
      <text>
        <r>
          <rPr>
            <sz val="8"/>
            <color rgb="FF000000"/>
            <rFont val="Calibri"/>
            <scheme val="minor"/>
          </rPr>
          <t>======
ID#AAAATUb1ppo
amohammed    (2021-04-29 11:55:23)
40 CFR 98</t>
        </r>
      </text>
    </comment>
    <comment ref="L64" authorId="0" shapeId="0" xr:uid="{00000000-0006-0000-0200-00001F000000}">
      <text>
        <r>
          <rPr>
            <sz val="8"/>
            <color rgb="FF000000"/>
            <rFont val="Calibri"/>
            <scheme val="minor"/>
          </rPr>
          <t>======
ID#AAAATUb1pqk
amohammed    (2021-04-29 11:55:23)
40 CFR 98</t>
        </r>
      </text>
    </comment>
    <comment ref="M64" authorId="0" shapeId="0" xr:uid="{00000000-0006-0000-0200-000020000000}">
      <text>
        <r>
          <rPr>
            <sz val="8"/>
            <color rgb="FF000000"/>
            <rFont val="Calibri"/>
            <scheme val="minor"/>
          </rPr>
          <t>======
ID#AAAATUb1prM
amohammed    (2021-04-29 11:55:23)
40 CFR 98</t>
        </r>
      </text>
    </comment>
    <comment ref="K65" authorId="0" shapeId="0" xr:uid="{00000000-0006-0000-0200-000014000000}">
      <text>
        <r>
          <rPr>
            <sz val="8"/>
            <color rgb="FF000000"/>
            <rFont val="Calibri"/>
            <scheme val="minor"/>
          </rPr>
          <t>======
ID#AAAATUb1puM
amohammed    (2021-04-29 11:55:23)
40 CFR 98</t>
        </r>
      </text>
    </comment>
    <comment ref="L65" authorId="0" shapeId="0" xr:uid="{00000000-0006-0000-0200-000015000000}">
      <text>
        <r>
          <rPr>
            <sz val="8"/>
            <color rgb="FF000000"/>
            <rFont val="Calibri"/>
            <scheme val="minor"/>
          </rPr>
          <t>======
ID#AAAATUb1pto
amohammed    (2021-04-29 11:55:23)
40 CFR 98</t>
        </r>
      </text>
    </comment>
    <comment ref="M65" authorId="0" shapeId="0" xr:uid="{00000000-0006-0000-0200-00001C000000}">
      <text>
        <r>
          <rPr>
            <sz val="8"/>
            <color rgb="FF000000"/>
            <rFont val="Calibri"/>
            <scheme val="minor"/>
          </rPr>
          <t>======
ID#AAAATUb1pn0
amohammed    (2021-04-29 11:55:23)
40 CFR 98</t>
        </r>
      </text>
    </comment>
    <comment ref="F113" authorId="0" shapeId="0" xr:uid="{00000000-0006-0000-0200-000001000000}">
      <text>
        <r>
          <rPr>
            <sz val="8"/>
            <color rgb="FF000000"/>
            <rFont val="Calibri"/>
            <scheme val="minor"/>
          </rPr>
          <t>Back calculated from MMBTU
======</t>
        </r>
      </text>
    </comment>
    <comment ref="J113" authorId="0" shapeId="0" xr:uid="{00000000-0006-0000-0200-000002000000}">
      <text>
        <r>
          <rPr>
            <sz val="8"/>
            <color rgb="FF000000"/>
            <rFont val="Calibri"/>
            <scheme val="minor"/>
          </rPr>
          <t>2021 ECR Value
======</t>
        </r>
      </text>
    </comment>
    <comment ref="H118" authorId="0" shapeId="0" xr:uid="{00000000-0006-0000-0200-000009000000}">
      <text>
        <r>
          <rPr>
            <sz val="8"/>
            <color rgb="FF000000"/>
            <rFont val="Calibri"/>
            <scheme val="minor"/>
          </rPr>
          <t>======
ID#AAAATUb1ppI
    (2021-12-21 13:54:49)
2020 ECR Fuel Analysis Report</t>
        </r>
      </text>
    </comment>
    <comment ref="F120" authorId="0" shapeId="0" xr:uid="{00000000-0006-0000-0200-000010000000}">
      <text>
        <r>
          <rPr>
            <sz val="8"/>
            <color rgb="FF000000"/>
            <rFont val="Calibri"/>
            <scheme val="minor"/>
          </rPr>
          <t>======
ID#AAAATUb1pnc
Abdulrahman Mohammed    (2021-12-21 13:54:49)
ECR 2020 Specified</t>
        </r>
      </text>
    </comment>
    <comment ref="H120" authorId="0" shapeId="0" xr:uid="{00000000-0006-0000-0200-00000B000000}">
      <text>
        <r>
          <rPr>
            <sz val="8"/>
            <color rgb="FF000000"/>
            <rFont val="Calibri"/>
            <scheme val="minor"/>
          </rPr>
          <t>======
ID#AAAATUb1ppE
Abdulrahman Mohammed    (2021-12-21 13:54:49)
ECR Fuel Analysis</t>
        </r>
      </text>
    </comment>
    <comment ref="C159" authorId="0" shapeId="0" xr:uid="{00000000-0006-0000-0200-00000D000000}">
      <text>
        <r>
          <rPr>
            <sz val="8"/>
            <color rgb="FF000000"/>
            <rFont val="Calibri"/>
            <scheme val="minor"/>
          </rPr>
          <t>======
ID#AAAATUb1pog
Abdulrahman Mohammed    (2021-12-21 13:54:49)
2020 ECR: Four (4) Temporary Unit Addedd Nov 2019 -Each 500kW Caterpillar Engine</t>
        </r>
      </text>
    </comment>
    <comment ref="C202" authorId="0" shapeId="0" xr:uid="{00000000-0006-0000-0200-000013000000}">
      <text>
        <r>
          <rPr>
            <sz val="8"/>
            <color rgb="FF000000"/>
            <rFont val="Calibri"/>
            <scheme val="minor"/>
          </rPr>
          <t>======
ID#AAAATUb1puU
Abdulrahman Mohammed -MDE-    (2021-05-25 12:30:45)
5-0489</t>
        </r>
      </text>
    </comment>
    <comment ref="F233" authorId="0" shapeId="0" xr:uid="{00000000-0006-0000-0200-000008000000}">
      <text>
        <r>
          <rPr>
            <sz val="8"/>
            <color rgb="FF000000"/>
            <rFont val="Calibri"/>
            <scheme val="minor"/>
          </rPr>
          <t>======
ID#AAAATUb1prU
    (2021-12-21 13:54:49)
Back Calculated from MMBTU and Heating Values</t>
        </r>
      </text>
    </comment>
    <comment ref="C268" authorId="0" shapeId="0" xr:uid="{00000000-0006-0000-0200-000012000000}">
      <text>
        <r>
          <rPr>
            <sz val="8"/>
            <color rgb="FF000000"/>
            <rFont val="Calibri"/>
            <scheme val="minor"/>
          </rPr>
          <t>======
ID#AAAATUb1puQ
Abdulrahman Mohammed -MDE-    (2021-05-25 12:30:45)
5-0489</t>
        </r>
      </text>
    </comment>
    <comment ref="C269" authorId="0" shapeId="0" xr:uid="{00000000-0006-0000-0200-000011000000}">
      <text>
        <r>
          <rPr>
            <sz val="8"/>
            <color rgb="FF000000"/>
            <rFont val="Calibri"/>
            <scheme val="minor"/>
          </rPr>
          <t>======
ID#AAAATUb1pow
Abdulrahman Mohammed -MDE-    (2021-05-25 12:31:04)
3-0017</t>
        </r>
      </text>
    </comment>
    <comment ref="J291" authorId="0" shapeId="0" xr:uid="{00000000-0006-0000-0200-000007000000}">
      <text>
        <r>
          <rPr>
            <sz val="8"/>
            <color rgb="FF000000"/>
            <rFont val="Calibri"/>
            <scheme val="minor"/>
          </rPr>
          <t>======
ID#AAAATUb1pro
    (2021-12-21 13:54:49)
ECR 2020 GAS MMBTU Reported and HHV value used to  Backcalculate Qty</t>
        </r>
      </text>
    </comment>
    <comment ref="F307" authorId="0" shapeId="0" xr:uid="{00000000-0006-0000-0200-000006000000}">
      <text>
        <r>
          <rPr>
            <sz val="8"/>
            <color rgb="FF000000"/>
            <rFont val="Calibri"/>
            <scheme val="minor"/>
          </rPr>
          <t>======
ID#AAAATUb1prw
Abdulrahman Mohammed    (2021-12-21 13:54:49)
Back Calculated from Reported MMBTU and HHV</t>
        </r>
      </text>
    </comment>
    <comment ref="F308" authorId="0" shapeId="0" xr:uid="{00000000-0006-0000-0200-00000C000000}">
      <text>
        <r>
          <rPr>
            <sz val="8"/>
            <color rgb="FF000000"/>
            <rFont val="Calibri"/>
            <scheme val="minor"/>
          </rPr>
          <t>======
ID#AAAATUb1pos
    (2021-12-21 13:54:49)
Bacl Calculated from MMBTU and HHV</t>
        </r>
      </text>
    </comment>
    <comment ref="F309" authorId="0" shapeId="0" xr:uid="{00000000-0006-0000-0200-000004000000}">
      <text>
        <r>
          <rPr>
            <sz val="8"/>
            <color rgb="FF000000"/>
            <rFont val="Calibri"/>
            <scheme val="minor"/>
          </rPr>
          <t>======
ID#AAAATUb1psw
    (2021-12-21 13:54:49)
Back Calculated from MMBTY and HHV</t>
        </r>
      </text>
    </comment>
    <comment ref="F310" authorId="0" shapeId="0" xr:uid="{00000000-0006-0000-0200-00000F000000}">
      <text>
        <r>
          <rPr>
            <sz val="8"/>
            <color rgb="FF000000"/>
            <rFont val="Calibri"/>
            <scheme val="minor"/>
          </rPr>
          <t>======
ID#AAAATUb1png
    (2021-12-21 13:54:49)
Bacl Calculated from MMBTU and HHV</t>
        </r>
      </text>
    </comment>
    <comment ref="F311" authorId="0" shapeId="0" xr:uid="{00000000-0006-0000-0200-00000E000000}">
      <text>
        <r>
          <rPr>
            <sz val="8"/>
            <color rgb="FF000000"/>
            <rFont val="Calibri"/>
            <scheme val="minor"/>
          </rPr>
          <t>======
ID#AAAATUb1poU
    (2021-12-21 13:54:49)
Bacl Calculated from MMBTU and HHV. Reported SCF =5,847,377 ECR</t>
        </r>
      </text>
    </comment>
    <comment ref="F326" authorId="0" shapeId="0" xr:uid="{00000000-0006-0000-0200-00000A000000}">
      <text>
        <r>
          <rPr>
            <sz val="8"/>
            <color rgb="FF000000"/>
            <rFont val="Calibri"/>
            <scheme val="minor"/>
          </rPr>
          <t>======
ID#AAAATUb1ppA
    (2021-12-21 13:54:49)
Usage Back Calculated from Reported MMBTU</t>
        </r>
      </text>
    </comment>
    <comment ref="F327" authorId="0" shapeId="0" xr:uid="{00000000-0006-0000-0200-000005000000}">
      <text>
        <r>
          <rPr>
            <sz val="8"/>
            <color rgb="FF000000"/>
            <rFont val="Calibri"/>
            <scheme val="minor"/>
          </rPr>
          <t>======
ID#AAAATUb1pss
    (2021-12-21 13:54:49)
Back Calculated from Reported MMBTU</t>
        </r>
      </text>
    </comment>
    <comment ref="F328" authorId="0" shapeId="0" xr:uid="{00000000-0006-0000-0200-000003000000}">
      <text>
        <r>
          <rPr>
            <sz val="8"/>
            <color rgb="FF000000"/>
            <rFont val="Calibri"/>
            <scheme val="minor"/>
          </rPr>
          <t>======
ID#AAAATUb1ps8
    (2021-12-21 13:54:49)
Bacl calculated from Reported MMBTU</t>
        </r>
      </text>
    </comment>
    <comment ref="B352" authorId="0" shapeId="0" xr:uid="{00000000-0006-0000-0200-000018000000}">
      <text>
        <r>
          <rPr>
            <sz val="8"/>
            <color rgb="FF000000"/>
            <rFont val="Calibri"/>
            <scheme val="minor"/>
          </rPr>
          <t>======
ID#AAAATUb1prY
amohammed    (2021-04-29 11:55:23)
Luke MMBTU Added</t>
        </r>
      </text>
    </comment>
    <comment ref="B355" authorId="0" shapeId="0" xr:uid="{00000000-0006-0000-0200-00001E000000}">
      <text>
        <r>
          <rPr>
            <sz val="8"/>
            <color rgb="FF000000"/>
            <rFont val="Calibri"/>
            <scheme val="minor"/>
          </rPr>
          <t>======
ID#AAAATUb1ppU
amohammed    (2021-04-29 11:55:23)
Luke MMBTU Added</t>
        </r>
      </text>
    </comment>
    <comment ref="G363" authorId="0" shapeId="0" xr:uid="{00000000-0006-0000-0200-000017000000}">
      <text>
        <r>
          <rPr>
            <sz val="8"/>
            <color rgb="FF000000"/>
            <rFont val="Calibri"/>
            <scheme val="minor"/>
          </rPr>
          <t>======
ID#AAAATUb1prc
Philip Groth    (2021-04-29 11:55:23)
MMTCE is converted to MMTCO2E by multiplying by 44/12.</t>
        </r>
      </text>
    </comment>
    <comment ref="G375" authorId="0" shapeId="0" xr:uid="{00000000-0006-0000-0200-000022000000}">
      <text>
        <r>
          <rPr>
            <sz val="8"/>
            <color rgb="FF000000"/>
            <rFont val="Calibri"/>
            <scheme val="minor"/>
          </rPr>
          <t>======
ID#AAAATUb1pqg
Philip Groth    (2021-04-29 11:55:23)
MMTCE is converted to MMTCO2E by multiplying by 44/12.</t>
        </r>
      </text>
    </comment>
  </commentList>
  <extLst>
    <ext xmlns:r="http://schemas.openxmlformats.org/officeDocument/2006/relationships" uri="GoogleSheetsCustomDataVersion1">
      <go:sheetsCustomData xmlns:go="http://customooxmlschemas.google.com/" r:id="rId1" roundtripDataSignature="AMtx7miywtRFsfVESe9guwu1t0oofUFDfg=="/>
    </ext>
  </extL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
  </authors>
  <commentList>
    <comment ref="H165" authorId="0" shapeId="0" xr:uid="{00000000-0006-0000-0100-000001000000}">
      <text>
        <r>
          <rPr>
            <sz val="8"/>
            <color rgb="FF000000"/>
            <rFont val="Calibri"/>
            <scheme val="minor"/>
          </rPr>
          <t>Not mapped in this year due to funding
======</t>
        </r>
      </text>
    </comment>
    <comment ref="D212" authorId="0" shapeId="0" xr:uid="{00000000-0006-0000-0100-000002000000}">
      <text>
        <r>
          <rPr>
            <sz val="8"/>
            <color rgb="FF000000"/>
            <rFont val="Calibri"/>
            <scheme val="minor"/>
          </rPr>
          <t>Taken as ratio to methane emission from reservoir surface
======</t>
        </r>
      </text>
    </comment>
    <comment ref="D225" authorId="0" shapeId="0" xr:uid="{00000000-0006-0000-0100-000003000000}">
      <text>
        <r>
          <rPr>
            <sz val="8"/>
            <color rgb="FF000000"/>
            <rFont val="Calibri"/>
            <scheme val="minor"/>
          </rPr>
          <t>Taken as ratio to methane emission from reservoir surface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29" authorId="0" shapeId="0" xr:uid="{00000000-0006-0000-0300-000014000000}">
      <text>
        <r>
          <rPr>
            <sz val="8"/>
            <color rgb="FF000000"/>
            <rFont val="Calibri"/>
            <scheme val="minor"/>
          </rPr>
          <t>======
ID#AAAAMee5Mnc
Abdulrahman Mohammed -MDE-    (2021-06-04 13:28:40)
Retired  in 2018</t>
        </r>
      </text>
    </comment>
    <comment ref="K52" authorId="0" shapeId="0" xr:uid="{00000000-0006-0000-0300-000027000000}">
      <text>
        <r>
          <rPr>
            <sz val="8"/>
            <color rgb="FF000000"/>
            <rFont val="Calibri"/>
            <scheme val="minor"/>
          </rPr>
          <t>======
ID#AAAAMQJ-jLs
amohammed    (2021-04-29 11:55:23)
CEM</t>
        </r>
      </text>
    </comment>
    <comment ref="L52" authorId="0" shapeId="0" xr:uid="{00000000-0006-0000-0300-00001A000000}">
      <text>
        <r>
          <rPr>
            <sz val="8"/>
            <color rgb="FF000000"/>
            <rFont val="Calibri"/>
            <scheme val="minor"/>
          </rPr>
          <t>======
ID#AAAAMQJ-jSU
amohammed    (2021-04-29 11:55:23)
40 CFR 98</t>
        </r>
      </text>
    </comment>
    <comment ref="M52" authorId="0" shapeId="0" xr:uid="{00000000-0006-0000-0300-00003A000000}">
      <text>
        <r>
          <rPr>
            <sz val="8"/>
            <color rgb="FF000000"/>
            <rFont val="Calibri"/>
            <scheme val="minor"/>
          </rPr>
          <t>======
ID#AAAAMQJ-jEo
amohammed    (2021-04-29 11:55:23)
amohammed
40 CFR 98</t>
        </r>
      </text>
    </comment>
    <comment ref="K58" authorId="0" shapeId="0" xr:uid="{00000000-0006-0000-0300-00001D000000}">
      <text>
        <r>
          <rPr>
            <sz val="8"/>
            <color rgb="FF000000"/>
            <rFont val="Calibri"/>
            <scheme val="minor"/>
          </rPr>
          <t>======
ID#AAAAMQJ-jQI
amohammed    (2021-04-29 11:55:23)
CEM</t>
        </r>
      </text>
    </comment>
    <comment ref="L58" authorId="0" shapeId="0" xr:uid="{00000000-0006-0000-0300-000025000000}">
      <text>
        <r>
          <rPr>
            <sz val="8"/>
            <color rgb="FF000000"/>
            <rFont val="Calibri"/>
            <scheme val="minor"/>
          </rPr>
          <t>======
ID#AAAAMQJ-jNQ
amohammed    (2021-04-29 11:55:23)
40 CFR 98</t>
        </r>
      </text>
    </comment>
    <comment ref="M58" authorId="0" shapeId="0" xr:uid="{00000000-0006-0000-0300-000023000000}">
      <text>
        <r>
          <rPr>
            <sz val="8"/>
            <color rgb="FF000000"/>
            <rFont val="Calibri"/>
            <scheme val="minor"/>
          </rPr>
          <t>======
ID#AAAAMQJ-jNY
amohammed    (2021-04-29 11:55:23)
40 CFR 98</t>
        </r>
      </text>
    </comment>
    <comment ref="K63" authorId="0" shapeId="0" xr:uid="{00000000-0006-0000-0300-00002C000000}">
      <text>
        <r>
          <rPr>
            <sz val="8"/>
            <color rgb="FF000000"/>
            <rFont val="Calibri"/>
            <scheme val="minor"/>
          </rPr>
          <t>======
ID#AAAAMQJ-jKM
amohammed    (2021-04-29 11:55:23)
CEM</t>
        </r>
      </text>
    </comment>
    <comment ref="L63" authorId="0" shapeId="0" xr:uid="{00000000-0006-0000-0300-00002A000000}">
      <text>
        <r>
          <rPr>
            <sz val="8"/>
            <color rgb="FF000000"/>
            <rFont val="Calibri"/>
            <scheme val="minor"/>
          </rPr>
          <t>======
ID#AAAAMQJ-jKw
amohammed    (2021-04-29 11:55:23)
40 CFR 98</t>
        </r>
      </text>
    </comment>
    <comment ref="M63" authorId="0" shapeId="0" xr:uid="{00000000-0006-0000-0300-00002D000000}">
      <text>
        <r>
          <rPr>
            <sz val="8"/>
            <color rgb="FF000000"/>
            <rFont val="Calibri"/>
            <scheme val="minor"/>
          </rPr>
          <t>======
ID#AAAAMQJ-jKA
amohammed    (2021-04-29 11:55:23)
40 CFR 98</t>
        </r>
      </text>
    </comment>
    <comment ref="K70" authorId="0" shapeId="0" xr:uid="{00000000-0006-0000-0300-00002E000000}">
      <text>
        <r>
          <rPr>
            <sz val="8"/>
            <color rgb="FF000000"/>
            <rFont val="Calibri"/>
            <scheme val="minor"/>
          </rPr>
          <t>======
ID#AAAAMQJ-jJ4
amohammed    (2021-04-29 11:55:23)
40 CFR 98</t>
        </r>
      </text>
    </comment>
    <comment ref="L70" authorId="0" shapeId="0" xr:uid="{00000000-0006-0000-0300-00001E000000}">
      <text>
        <r>
          <rPr>
            <sz val="8"/>
            <color rgb="FF000000"/>
            <rFont val="Calibri"/>
            <scheme val="minor"/>
          </rPr>
          <t>======
ID#AAAAMQJ-jPk
amohammed    (2021-04-29 11:55:23)
40 CFR 98</t>
        </r>
      </text>
    </comment>
    <comment ref="M70" authorId="0" shapeId="0" xr:uid="{00000000-0006-0000-0300-000035000000}">
      <text>
        <r>
          <rPr>
            <sz val="8"/>
            <color rgb="FF000000"/>
            <rFont val="Calibri"/>
            <scheme val="minor"/>
          </rPr>
          <t>======
ID#AAAAMQJ-jHA
amohammed    (2021-04-29 11:55:23)
40 CFR 98</t>
        </r>
      </text>
    </comment>
    <comment ref="K72" authorId="0" shapeId="0" xr:uid="{00000000-0006-0000-0300-000036000000}">
      <text>
        <r>
          <rPr>
            <sz val="8"/>
            <color rgb="FF000000"/>
            <rFont val="Calibri"/>
            <scheme val="minor"/>
          </rPr>
          <t>======
ID#AAAAMQJ-jGk
amohammed    (2021-04-29 11:55:23)
40 CFR 98</t>
        </r>
      </text>
    </comment>
    <comment ref="L72" authorId="0" shapeId="0" xr:uid="{00000000-0006-0000-0300-000019000000}">
      <text>
        <r>
          <rPr>
            <sz val="8"/>
            <color rgb="FF000000"/>
            <rFont val="Calibri"/>
            <scheme val="minor"/>
          </rPr>
          <t>======
ID#AAAAMQJ-jSc
amohammed    (2021-04-29 11:55:23)
40 CFR 98</t>
        </r>
      </text>
    </comment>
    <comment ref="M72" authorId="0" shapeId="0" xr:uid="{00000000-0006-0000-0300-000037000000}">
      <text>
        <r>
          <rPr>
            <sz val="8"/>
            <color rgb="FF000000"/>
            <rFont val="Calibri"/>
            <scheme val="minor"/>
          </rPr>
          <t>======
ID#AAAAMQJ-jGI
amohammed    (2021-04-29 11:55:23)
40 CFR 98</t>
        </r>
      </text>
    </comment>
    <comment ref="K76" authorId="0" shapeId="0" xr:uid="{00000000-0006-0000-0300-00001C000000}">
      <text>
        <r>
          <rPr>
            <sz val="8"/>
            <color rgb="FF000000"/>
            <rFont val="Calibri"/>
            <scheme val="minor"/>
          </rPr>
          <t>======
ID#AAAAMQJ-jRI
amohammed    (2021-04-29 11:55:23)
CEM</t>
        </r>
      </text>
    </comment>
    <comment ref="L76" authorId="0" shapeId="0" xr:uid="{00000000-0006-0000-0300-000028000000}">
      <text>
        <r>
          <rPr>
            <sz val="8"/>
            <color rgb="FF000000"/>
            <rFont val="Calibri"/>
            <scheme val="minor"/>
          </rPr>
          <t>======
ID#AAAAMQJ-jK0
amohammed    (2021-04-29 11:55:23)
40 CFR 98</t>
        </r>
      </text>
    </comment>
    <comment ref="M76" authorId="0" shapeId="0" xr:uid="{00000000-0006-0000-0300-000026000000}">
      <text>
        <r>
          <rPr>
            <sz val="8"/>
            <color rgb="FF000000"/>
            <rFont val="Calibri"/>
            <scheme val="minor"/>
          </rPr>
          <t>======
ID#AAAAMQJ-jMI
amohammed    (2021-04-29 11:55:23)
40 CFR 98</t>
        </r>
      </text>
    </comment>
    <comment ref="K80" authorId="0" shapeId="0" xr:uid="{00000000-0006-0000-0300-000031000000}">
      <text>
        <r>
          <rPr>
            <sz val="8"/>
            <color rgb="FF000000"/>
            <rFont val="Calibri"/>
            <scheme val="minor"/>
          </rPr>
          <t>======
ID#AAAAMQJ-jIc
amohammed    (2021-04-29 11:55:23)
CEM</t>
        </r>
      </text>
    </comment>
    <comment ref="L80" authorId="0" shapeId="0" xr:uid="{00000000-0006-0000-0300-000024000000}">
      <text>
        <r>
          <rPr>
            <sz val="8"/>
            <color rgb="FF000000"/>
            <rFont val="Calibri"/>
            <scheme val="minor"/>
          </rPr>
          <t>======
ID#AAAAMQJ-jNc
amohammed    (2021-04-29 11:55:23)
40 CFR 98</t>
        </r>
      </text>
    </comment>
    <comment ref="K84" authorId="0" shapeId="0" xr:uid="{00000000-0006-0000-0300-00002B000000}">
      <text>
        <r>
          <rPr>
            <sz val="8"/>
            <color rgb="FF000000"/>
            <rFont val="Calibri"/>
            <scheme val="minor"/>
          </rPr>
          <t>======
ID#AAAAMQJ-jKg
amohammed    (2021-04-29 11:55:23)
CEM</t>
        </r>
      </text>
    </comment>
    <comment ref="L84" authorId="0" shapeId="0" xr:uid="{00000000-0006-0000-0300-00001B000000}">
      <text>
        <r>
          <rPr>
            <sz val="8"/>
            <color rgb="FF000000"/>
            <rFont val="Calibri"/>
            <scheme val="minor"/>
          </rPr>
          <t>======
ID#AAAAMQJ-jSI
amohammed    (2021-04-29 11:55:23)
40 CFR 98</t>
        </r>
      </text>
    </comment>
    <comment ref="K88" authorId="0" shapeId="0" xr:uid="{00000000-0006-0000-0300-000022000000}">
      <text>
        <r>
          <rPr>
            <sz val="8"/>
            <color rgb="FF000000"/>
            <rFont val="Calibri"/>
            <scheme val="minor"/>
          </rPr>
          <t>======
ID#AAAAMQJ-jNs
amohammed    (2021-04-29 11:55:23)
CEM</t>
        </r>
      </text>
    </comment>
    <comment ref="L88" authorId="0" shapeId="0" xr:uid="{00000000-0006-0000-0300-00003B000000}">
      <text>
        <r>
          <rPr>
            <sz val="8"/>
            <color rgb="FF000000"/>
            <rFont val="Calibri"/>
            <scheme val="minor"/>
          </rPr>
          <t>======
ID#AAAAMQJ-jEc
amohammed    (2021-04-29 11:55:23)
40 CFR 98</t>
        </r>
      </text>
    </comment>
    <comment ref="M88" authorId="0" shapeId="0" xr:uid="{00000000-0006-0000-0300-000038000000}">
      <text>
        <r>
          <rPr>
            <sz val="8"/>
            <color rgb="FF000000"/>
            <rFont val="Calibri"/>
            <scheme val="minor"/>
          </rPr>
          <t>======
ID#AAAAMQJ-jF0
amohammed    (2021-04-29 11:55:23)
40 CFR 98</t>
        </r>
      </text>
    </comment>
    <comment ref="K90" authorId="0" shapeId="0" xr:uid="{00000000-0006-0000-0300-000032000000}">
      <text>
        <r>
          <rPr>
            <sz val="8"/>
            <color rgb="FF000000"/>
            <rFont val="Calibri"/>
            <scheme val="minor"/>
          </rPr>
          <t>======
ID#AAAAMQJ-jH8
amohammed    (2021-04-29 11:55:23)
40 CFR 98</t>
        </r>
      </text>
    </comment>
    <comment ref="L90" authorId="0" shapeId="0" xr:uid="{00000000-0006-0000-0300-000029000000}">
      <text>
        <r>
          <rPr>
            <sz val="8"/>
            <color rgb="FF000000"/>
            <rFont val="Calibri"/>
            <scheme val="minor"/>
          </rPr>
          <t>======
ID#AAAAMQJ-jKo
amohammed    (2021-04-29 11:55:23)
40 CFR 98</t>
        </r>
      </text>
    </comment>
    <comment ref="M90" authorId="0" shapeId="0" xr:uid="{00000000-0006-0000-0300-000034000000}">
      <text>
        <r>
          <rPr>
            <sz val="8"/>
            <color rgb="FF000000"/>
            <rFont val="Calibri"/>
            <scheme val="minor"/>
          </rPr>
          <t>======
ID#AAAAMQJ-jHI
amohammed    (2021-04-29 11:55:23)
40 CFR 98</t>
        </r>
      </text>
    </comment>
    <comment ref="K91" authorId="0" shapeId="0" xr:uid="{00000000-0006-0000-0300-00001F000000}">
      <text>
        <r>
          <rPr>
            <sz val="8"/>
            <color rgb="FF000000"/>
            <rFont val="Calibri"/>
            <scheme val="minor"/>
          </rPr>
          <t>======
ID#AAAAMQJ-jPU
amohammed    (2021-04-29 11:55:23)
40 CFR 98</t>
        </r>
      </text>
    </comment>
    <comment ref="L91" authorId="0" shapeId="0" xr:uid="{00000000-0006-0000-0300-000020000000}">
      <text>
        <r>
          <rPr>
            <sz val="8"/>
            <color rgb="FF000000"/>
            <rFont val="Calibri"/>
            <scheme val="minor"/>
          </rPr>
          <t>======
ID#AAAAMQJ-jPc
amohammed    (2021-04-29 11:55:23)
40 CFR 98</t>
        </r>
      </text>
    </comment>
    <comment ref="M91" authorId="0" shapeId="0" xr:uid="{00000000-0006-0000-0300-000021000000}">
      <text>
        <r>
          <rPr>
            <sz val="8"/>
            <color rgb="FF000000"/>
            <rFont val="Calibri"/>
            <scheme val="minor"/>
          </rPr>
          <t>======
ID#AAAAMQJ-jOU
amohammed    (2021-04-29 11:55:23)
40 CFR 98</t>
        </r>
      </text>
    </comment>
    <comment ref="K92" authorId="0" shapeId="0" xr:uid="{00000000-0006-0000-0300-00002F000000}">
      <text>
        <r>
          <rPr>
            <sz val="8"/>
            <color rgb="FF000000"/>
            <rFont val="Calibri"/>
            <scheme val="minor"/>
          </rPr>
          <t>======
ID#AAAAMQJ-jJo
amohammed    (2021-04-29 11:55:23)
40 CFR 98</t>
        </r>
      </text>
    </comment>
    <comment ref="L92" authorId="0" shapeId="0" xr:uid="{00000000-0006-0000-0300-000039000000}">
      <text>
        <r>
          <rPr>
            <sz val="8"/>
            <color rgb="FF000000"/>
            <rFont val="Calibri"/>
            <scheme val="minor"/>
          </rPr>
          <t>======
ID#AAAAMQJ-jFA
amohammed    (2021-04-29 11:55:23)
40 CFR 98</t>
        </r>
      </text>
    </comment>
    <comment ref="M92" authorId="0" shapeId="0" xr:uid="{00000000-0006-0000-0300-000030000000}">
      <text>
        <r>
          <rPr>
            <sz val="8"/>
            <color rgb="FF000000"/>
            <rFont val="Calibri"/>
            <scheme val="minor"/>
          </rPr>
          <t>======
ID#AAAAMQJ-jIQ
amohammed    (2021-04-29 11:55:23)
40 CFR 98</t>
        </r>
      </text>
    </comment>
    <comment ref="C102" authorId="0" shapeId="0" xr:uid="{00000000-0006-0000-0300-000017000000}">
      <text>
        <r>
          <rPr>
            <sz val="8"/>
            <color rgb="FF000000"/>
            <rFont val="Calibri"/>
            <scheme val="minor"/>
          </rPr>
          <t>======
ID#AAAAMaSJOdQ
Abdulrahman Mohammed -MDE-    (2021-05-25 12:30:45)
5-0489</t>
        </r>
      </text>
    </comment>
    <comment ref="C106" authorId="0" shapeId="0" xr:uid="{00000000-0006-0000-0300-000016000000}">
      <text>
        <r>
          <rPr>
            <sz val="8"/>
            <color rgb="FF000000"/>
            <rFont val="Calibri"/>
            <scheme val="minor"/>
          </rPr>
          <t>======
ID#AAAAMaSJOdY
Abdulrahman Mohammed -MDE-    (2021-05-25 12:31:04)
3-0017</t>
        </r>
      </text>
    </comment>
    <comment ref="C143" authorId="0" shapeId="0" xr:uid="{00000000-0006-0000-0300-000015000000}">
      <text>
        <r>
          <rPr>
            <sz val="8"/>
            <color rgb="FF000000"/>
            <rFont val="Calibri"/>
            <scheme val="minor"/>
          </rPr>
          <t>======
ID#AAAAMdyh4K0
mohammed abdulrahman    (2021-06-03 13:57:59)
Retired Dec 2019</t>
        </r>
      </text>
    </comment>
    <comment ref="F212" authorId="0" shapeId="0" xr:uid="{00000000-0006-0000-0300-000001000000}">
      <text>
        <r>
          <rPr>
            <sz val="8"/>
            <color rgb="FF000000"/>
            <rFont val="Calibri"/>
            <scheme val="minor"/>
          </rPr>
          <t>Back calculated from MMBTU
======</t>
        </r>
      </text>
    </comment>
    <comment ref="J212" authorId="0" shapeId="0" xr:uid="{00000000-0006-0000-0300-000002000000}">
      <text>
        <r>
          <rPr>
            <sz val="8"/>
            <color rgb="FF000000"/>
            <rFont val="Calibri"/>
            <scheme val="minor"/>
          </rPr>
          <t>2021 ECR Value
======</t>
        </r>
      </text>
    </comment>
    <comment ref="J217" authorId="0" shapeId="0" xr:uid="{00000000-0006-0000-0300-000009000000}">
      <text>
        <r>
          <rPr>
            <sz val="8"/>
            <color rgb="FF000000"/>
            <rFont val="Calibri"/>
            <scheme val="minor"/>
          </rPr>
          <t>======
ID#AAAATUb1psM
    (2021-12-21 13:54:49)
ECR 2020 GAS MMBTU Reported and HHV value used to  Backcalculate Qty</t>
        </r>
      </text>
    </comment>
    <comment ref="H218" authorId="0" shapeId="0" xr:uid="{00000000-0006-0000-0300-00000C000000}">
      <text>
        <r>
          <rPr>
            <sz val="8"/>
            <color rgb="FF000000"/>
            <rFont val="Calibri"/>
            <scheme val="minor"/>
          </rPr>
          <t>======
ID#AAAATUb1pqM
    (2021-12-21 13:54:49)
2020 ECR Fuel Analysis Report</t>
        </r>
      </text>
    </comment>
    <comment ref="F225" authorId="0" shapeId="0" xr:uid="{00000000-0006-0000-0300-000008000000}">
      <text>
        <r>
          <rPr>
            <sz val="8"/>
            <color rgb="FF000000"/>
            <rFont val="Calibri"/>
            <scheme val="minor"/>
          </rPr>
          <t>======
ID#AAAATUb1ps0
Abdulrahman Mohammed    (2021-12-21 13:54:49)
ECR 2020 Specified</t>
        </r>
      </text>
    </comment>
    <comment ref="H225" authorId="0" shapeId="0" xr:uid="{00000000-0006-0000-0300-000013000000}">
      <text>
        <r>
          <rPr>
            <sz val="8"/>
            <color rgb="FF000000"/>
            <rFont val="Calibri"/>
            <scheme val="minor"/>
          </rPr>
          <t>======
ID#AAAATUb1pnM
Abdulrahman Mohammed    (2021-12-21 13:54:49)
ECR Fuel Analysis</t>
        </r>
      </text>
    </comment>
    <comment ref="F247" authorId="0" shapeId="0" xr:uid="{00000000-0006-0000-0300-000005000000}">
      <text>
        <r>
          <rPr>
            <sz val="8"/>
            <color rgb="FF000000"/>
            <rFont val="Calibri"/>
            <scheme val="minor"/>
          </rPr>
          <t>======
ID#AAAATUb1ptk
Abdulrahman Mohammed    (2021-12-21 13:54:49)
Back Calculated from Reported MMBTU and HHV</t>
        </r>
      </text>
    </comment>
    <comment ref="F248" authorId="0" shapeId="0" xr:uid="{00000000-0006-0000-0300-000011000000}">
      <text>
        <r>
          <rPr>
            <sz val="8"/>
            <color rgb="FF000000"/>
            <rFont val="Calibri"/>
            <scheme val="minor"/>
          </rPr>
          <t>======
ID#AAAATUb1pnk
    (2021-12-21 13:54:49)
Bacl Calculated from MMBTU and HHV</t>
        </r>
      </text>
    </comment>
    <comment ref="F249" authorId="0" shapeId="0" xr:uid="{00000000-0006-0000-0300-000007000000}">
      <text>
        <r>
          <rPr>
            <sz val="8"/>
            <color rgb="FF000000"/>
            <rFont val="Calibri"/>
            <scheme val="minor"/>
          </rPr>
          <t>======
ID#AAAATUb1ps4
    (2021-12-21 13:54:49)
Back Calculated from MMBTY and HHV</t>
        </r>
      </text>
    </comment>
    <comment ref="F250" authorId="0" shapeId="0" xr:uid="{00000000-0006-0000-0300-000012000000}">
      <text>
        <r>
          <rPr>
            <sz val="8"/>
            <color rgb="FF000000"/>
            <rFont val="Calibri"/>
            <scheme val="minor"/>
          </rPr>
          <t>======
ID#AAAATUb1pnU
    (2021-12-21 13:54:49)
Bacl Calculated from MMBTU and HHV</t>
        </r>
      </text>
    </comment>
    <comment ref="F251" authorId="0" shapeId="0" xr:uid="{00000000-0006-0000-0300-00000A000000}">
      <text>
        <r>
          <rPr>
            <sz val="8"/>
            <color rgb="FF000000"/>
            <rFont val="Calibri"/>
            <scheme val="minor"/>
          </rPr>
          <t>======
ID#AAAATUb1pr8
    (2021-12-21 13:54:49)
Bacl Calculated from MMBTU and HHV. Reported SCF =5,847,377 ECR</t>
        </r>
      </text>
    </comment>
    <comment ref="C284" authorId="0" shapeId="0" xr:uid="{00000000-0006-0000-0300-00000B000000}">
      <text>
        <r>
          <rPr>
            <sz val="8"/>
            <color rgb="FF000000"/>
            <rFont val="Calibri"/>
            <scheme val="minor"/>
          </rPr>
          <t>======
ID#AAAATUb1prI
tc={D0C3FFF6-3D27-42DD-A060-4227A27AF097}    (2021-12-21 13:54:49)
[Threaded comment]
Your version of Excel allows you to read this threaded comment; however, any edits to it will get removed if the file is opened in a newer version of Excel. Learn more: https://go.microsoft.com/fwlink/?linkid=870924
Comment:
    2020 ECR: Unit 047-0044-9-0105 Commissioned on September 2020 (Natural Gas)</t>
        </r>
      </text>
    </comment>
    <comment ref="C285" authorId="0" shapeId="0" xr:uid="{00000000-0006-0000-0300-000004000000}">
      <text>
        <r>
          <rPr>
            <sz val="8"/>
            <color rgb="FF000000"/>
            <rFont val="Calibri"/>
            <scheme val="minor"/>
          </rPr>
          <t>======
ID#AAAATUb1puk
Abdulrahman Mohammed    (2021-12-21 13:54:49)
2020 ECR: Four (4) Temporary Unit Addedd Nov 2019 -Each 500kW Caterpillar Engine</t>
        </r>
      </text>
    </comment>
    <comment ref="S309" authorId="0" shapeId="0" xr:uid="{00000000-0006-0000-0300-000003000000}">
      <text>
        <r>
          <rPr>
            <sz val="8"/>
            <color rgb="FF000000"/>
            <rFont val="Calibri"/>
            <scheme val="minor"/>
          </rPr>
          <t>Tons/Yr =(Annual Run hrs x GHG EF (lb/hr))/2000
======</t>
        </r>
      </text>
    </comment>
    <comment ref="S310" authorId="0" shapeId="0" xr:uid="{00000000-0006-0000-0300-000018000000}">
      <text>
        <r>
          <rPr>
            <sz val="8"/>
            <color rgb="FF000000"/>
            <rFont val="Calibri"/>
            <scheme val="minor"/>
          </rPr>
          <t>======
ID#AAAAMQJ-jS4
amohammed    (2021-04-29 11:55:23)
Tons/Yr= ((Annual Run Hours) X GHG Emissions Factors (lb/hr))) /2000</t>
        </r>
      </text>
    </comment>
    <comment ref="S318" authorId="0" shapeId="0" xr:uid="{00000000-0006-0000-0300-000033000000}">
      <text>
        <r>
          <rPr>
            <sz val="8"/>
            <color rgb="FF000000"/>
            <rFont val="Calibri"/>
            <scheme val="minor"/>
          </rPr>
          <t>======
ID#AAAAMQJ-jHc
amohammed    (2021-04-29 11:55:23)
Tons/Yr= ((Annual Run Hours) X GHG Emissions Factors (lb/hr))) /2000</t>
        </r>
      </text>
    </comment>
    <comment ref="C328" authorId="0" shapeId="0" xr:uid="{00000000-0006-0000-0300-00000E000000}">
      <text>
        <r>
          <rPr>
            <sz val="8"/>
            <color rgb="FF000000"/>
            <rFont val="Calibri"/>
            <scheme val="minor"/>
          </rPr>
          <t>======
ID#AAAATUb1ppY
Abdulrahman Mohammed    (2021-12-21 13:54:49)
Shut down Sep 2019</t>
        </r>
      </text>
    </comment>
    <comment ref="F333" authorId="0" shapeId="0" xr:uid="{00000000-0006-0000-0300-00000F000000}">
      <text>
        <r>
          <rPr>
            <sz val="8"/>
            <color rgb="FF000000"/>
            <rFont val="Calibri"/>
            <scheme val="minor"/>
          </rPr>
          <t>======
ID#AAAATUb1poI
    (2021-12-21 13:54:49)
Usage Back Calculated from Reported MMBTU</t>
        </r>
      </text>
    </comment>
    <comment ref="F334" authorId="0" shapeId="0" xr:uid="{00000000-0006-0000-0300-000010000000}">
      <text>
        <r>
          <rPr>
            <sz val="8"/>
            <color rgb="FF000000"/>
            <rFont val="Calibri"/>
            <scheme val="minor"/>
          </rPr>
          <t>======
ID#AAAATUb1pns
    (2021-12-21 13:54:49)
Back Calculated from Reported MMBTU</t>
        </r>
      </text>
    </comment>
    <comment ref="F335" authorId="0" shapeId="0" xr:uid="{00000000-0006-0000-0300-00000D000000}">
      <text>
        <r>
          <rPr>
            <sz val="8"/>
            <color rgb="FF000000"/>
            <rFont val="Calibri"/>
            <scheme val="minor"/>
          </rPr>
          <t>======
ID#AAAATUb1pqA
    (2021-12-21 13:54:49)
Bacl calculated from Reported MMBTU</t>
        </r>
      </text>
    </comment>
    <comment ref="F336" authorId="0" shapeId="0" xr:uid="{00000000-0006-0000-0300-000006000000}">
      <text>
        <r>
          <rPr>
            <sz val="8"/>
            <color rgb="FF000000"/>
            <rFont val="Calibri"/>
            <scheme val="minor"/>
          </rPr>
          <t>======
ID#AAAATUb1ptM
    (2021-12-21 13:54:49)
Back Calculated from MMBTU and Heating Values</t>
        </r>
      </text>
    </comment>
  </commentList>
  <extLst>
    <ext xmlns:r="http://schemas.openxmlformats.org/officeDocument/2006/relationships" uri="GoogleSheetsCustomDataVersion1">
      <go:sheetsCustomData xmlns:go="http://customooxmlschemas.google.com/" r:id="rId1" roundtripDataSignature="AMtx7miRJzVrAn/K5aDKcJE4xz8RR+9z8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V7" authorId="0" shapeId="0" xr:uid="{00000000-0006-0000-0400-000003000000}">
      <text>
        <r>
          <rPr>
            <sz val="8"/>
            <color rgb="FF000000"/>
            <rFont val="Calibri"/>
            <scheme val="minor"/>
          </rPr>
          <t>======
ID#AAAATUb1poo
tc={C645AFEE-001C-47CC-A9E3-DD7788E5CE3E}    (2021-12-21 13:54:49)
[Threaded comment]
Your version of Excel allows you to read this threaded comment; however, any edits to it will get removed if the file is opened in a newer version of Excel. Learn more: https://go.microsoft.com/fwlink/?linkid=870924
Comment:
    2020 Final 12/13/2021</t>
        </r>
      </text>
    </comment>
    <comment ref="V17" authorId="0" shapeId="0" xr:uid="{00000000-0006-0000-0400-000001000000}">
      <text>
        <r>
          <rPr>
            <sz val="8"/>
            <color rgb="FF000000"/>
            <rFont val="Calibri"/>
            <scheme val="minor"/>
          </rPr>
          <t>======
ID#AAAATUb1puc
tc={D677B604-3748-4B83-A90F-FE35AB70011E}    (2021-12-21 13:54:49)
[Threaded comment]
Your version of Excel allows you to read this threaded comment; however, any edits to it will get removed if the file is opened in a newer version of Excel. Learn more: https://go.microsoft.com/fwlink/?linkid=870924
Comment:
    2020 Final accessed 12/13/2021</t>
        </r>
      </text>
    </comment>
    <comment ref="V45" authorId="0" shapeId="0" xr:uid="{00000000-0006-0000-0400-000004000000}">
      <text>
        <r>
          <rPr>
            <sz val="8"/>
            <color rgb="FF000000"/>
            <rFont val="Calibri"/>
            <scheme val="minor"/>
          </rPr>
          <t>======
ID#AAAATUb1pnw
tc={612EB988-B859-471A-98E7-BA667ECDE04B}    (2021-12-21 13:54:49)
[Threaded comment]
Your version of Excel allows you to read this threaded comment; however, any edits to it will get removed if the file is opened in a newer version of Excel. Learn more: https://go.microsoft.com/fwlink/?linkid=870924
Comment:
    2020 Final 12/13/2021</t>
        </r>
      </text>
    </comment>
    <comment ref="C66" authorId="0" shapeId="0" xr:uid="{00000000-0006-0000-0400-000002000000}">
      <text>
        <r>
          <rPr>
            <sz val="8"/>
            <color rgb="FF000000"/>
            <rFont val="Calibri"/>
            <scheme val="minor"/>
          </rPr>
          <t>======
ID#AAAATUb1ppQ
Abdulrahman Mohammed    (2021-12-21 13:54:49)
2017 PTJ CO2 Emission Rate of Marginal Units</t>
        </r>
      </text>
    </comment>
  </commentList>
  <extLst>
    <ext xmlns:r="http://schemas.openxmlformats.org/officeDocument/2006/relationships" uri="GoogleSheetsCustomDataVersion1">
      <go:sheetsCustomData xmlns:go="http://customooxmlschemas.google.com/" r:id="rId1" roundtripDataSignature="AMtx7mg03ifQXxvrMDdtPi/kid1WdHu3xQ=="/>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C6" authorId="0" shapeId="0" xr:uid="{00000000-0006-0000-0500-000001000000}">
      <text>
        <r>
          <rPr>
            <sz val="8"/>
            <color rgb="FF000000"/>
            <rFont val="Calibri"/>
            <scheme val="minor"/>
          </rPr>
          <t>======
ID#AAAATUb1po0
tc={6A55CCE6-A5A4-42DC-B426-891D7DD1F42D}    (2021-12-21 13:54:49)
[Threaded comment]
Your version of Excel allows you to read this threaded comment; however, any edits to it will get removed if the file is opened in a newer version of Excel. Learn more: https://go.microsoft.com/fwlink/?linkid=870924
Comment:
    2019 SED</t>
        </r>
      </text>
    </comment>
    <comment ref="F6" authorId="0" shapeId="0" xr:uid="{00000000-0006-0000-0500-000005000000}">
      <text>
        <r>
          <rPr>
            <sz val="8"/>
            <color rgb="FF000000"/>
            <rFont val="Calibri"/>
            <scheme val="minor"/>
          </rPr>
          <t>======
ID#AAAAMQJ-jIk
Beth Moore    (2021-04-29 11:55:23)
Billion Btus are converted to short tons of carbon by multiplying by the emission factor, combustion efficiency, 1,000 million/billion, and 0.0005 lbs/short ton.</t>
        </r>
      </text>
    </comment>
    <comment ref="B24" authorId="0" shapeId="0" xr:uid="{00000000-0006-0000-0500-000004000000}">
      <text>
        <r>
          <rPr>
            <sz val="8"/>
            <color rgb="FF000000"/>
            <rFont val="Calibri"/>
            <scheme val="minor"/>
          </rPr>
          <t>======
ID#AAAAMQJ-jKU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30" authorId="0" shapeId="0" xr:uid="{00000000-0006-0000-0500-000002000000}">
      <text>
        <r>
          <rPr>
            <sz val="8"/>
            <color rgb="FF000000"/>
            <rFont val="Calibri"/>
            <scheme val="minor"/>
          </rPr>
          <t>======
ID#AAAAMQJ-jRc
Philip Groth    (2021-04-29 11:55:23)
MMTCE is converted to MMTCO2E by multiplying by 44/12.</t>
        </r>
      </text>
    </comment>
    <comment ref="B37" authorId="0" shapeId="0" xr:uid="{00000000-0006-0000-0500-000003000000}">
      <text>
        <r>
          <rPr>
            <sz val="8"/>
            <color rgb="FF000000"/>
            <rFont val="Calibri"/>
            <scheme val="minor"/>
          </rPr>
          <t>======
ID#AAAAMQJ-jQw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B52" authorId="0" shapeId="0" xr:uid="{00000000-0006-0000-0500-000006000000}">
      <text>
        <r>
          <rPr>
            <sz val="8"/>
            <color rgb="FF000000"/>
            <rFont val="Calibri"/>
            <scheme val="minor"/>
          </rPr>
          <t>======
ID#AAAAMQJ-jGA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extLst>
    <ext xmlns:r="http://schemas.openxmlformats.org/officeDocument/2006/relationships" uri="GoogleSheetsCustomDataVersion1">
      <go:sheetsCustomData xmlns:go="http://customooxmlschemas.google.com/" r:id="rId1" roundtripDataSignature="AMtx7miDG91XgtA9VR8nNaJ82koCFg65+g=="/>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1000000}">
      <text>
        <r>
          <rPr>
            <sz val="8"/>
            <color rgb="FF000000"/>
            <rFont val="Calibri"/>
            <scheme val="minor"/>
          </rPr>
          <t>======
ID#AAAATUb1ptg
tc={F484DE42-86D3-4D87-9522-992B22EDEDD6}    (2021-12-21 13:54:49)
[Threaded comment]
Your version of Excel allows you to read this threaded comment; however, any edits to it will get removed if the file is opened in a newer version of Excel. Learn more: https://go.microsoft.com/fwlink/?linkid=870924
Comment:
    2019 SED</t>
        </r>
      </text>
    </comment>
    <comment ref="F7" authorId="0" shapeId="0" xr:uid="{00000000-0006-0000-0600-000009000000}">
      <text>
        <r>
          <rPr>
            <sz val="8"/>
            <color rgb="FF000000"/>
            <rFont val="Calibri"/>
            <scheme val="minor"/>
          </rPr>
          <t>======
ID#AAAAMQJ-jEs
Beth Moore    (2021-04-29 11:55:23)
Billion Btus are converted to short tons of carbon by multiplying by the emission factor, combustion efficiency, 1,000 million/billion, and 0.0005 lbs/short ton.</t>
        </r>
      </text>
    </comment>
    <comment ref="G7" authorId="0" shapeId="0" xr:uid="{00000000-0006-0000-0600-000002000000}">
      <text>
        <r>
          <rPr>
            <sz val="8"/>
            <color rgb="FF000000"/>
            <rFont val="Calibri"/>
            <scheme val="minor"/>
          </rPr>
          <t>======
ID#AAAAMQJ-jS8
Philip Groth    (2021-04-29 11:55:23)
MMTCE is converted to MMTCO2E by multiplying by 44/12.</t>
        </r>
      </text>
    </comment>
    <comment ref="G21" authorId="0" shapeId="0" xr:uid="{00000000-0006-0000-0600-000003000000}">
      <text>
        <r>
          <rPr>
            <sz val="8"/>
            <color rgb="FF000000"/>
            <rFont val="Calibri"/>
            <scheme val="minor"/>
          </rPr>
          <t>======
ID#AAAAMQJ-jPg
Philip Groth    (2021-04-29 11:55:23)
MMTCE is converted to MMTCO2E by multiplying by 44/12.</t>
        </r>
      </text>
    </comment>
    <comment ref="B30" authorId="0" shapeId="0" xr:uid="{00000000-0006-0000-0600-000006000000}">
      <text>
        <r>
          <rPr>
            <sz val="8"/>
            <color rgb="FF000000"/>
            <rFont val="Calibri"/>
            <scheme val="minor"/>
          </rPr>
          <t>======
ID#AAAAMQJ-jJg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36" authorId="0" shapeId="0" xr:uid="{00000000-0006-0000-0600-000007000000}">
      <text>
        <r>
          <rPr>
            <sz val="8"/>
            <color rgb="FF000000"/>
            <rFont val="Calibri"/>
            <scheme val="minor"/>
          </rPr>
          <t>======
ID#AAAAMQJ-jHw
Philip Groth    (2021-04-29 11:55:23)
MMTCE is converted to MMTCO2E by multiplying by 44/12.</t>
        </r>
      </text>
    </comment>
    <comment ref="B45" authorId="0" shapeId="0" xr:uid="{00000000-0006-0000-0600-000008000000}">
      <text>
        <r>
          <rPr>
            <sz val="8"/>
            <color rgb="FF000000"/>
            <rFont val="Calibri"/>
            <scheme val="minor"/>
          </rPr>
          <t>======
ID#AAAAMQJ-jGc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53" authorId="0" shapeId="0" xr:uid="{00000000-0006-0000-0600-000005000000}">
      <text>
        <r>
          <rPr>
            <sz val="8"/>
            <color rgb="FF000000"/>
            <rFont val="Calibri"/>
            <scheme val="minor"/>
          </rPr>
          <t>======
ID#AAAAMQJ-jLk
Philip Groth    (2021-04-29 11:55:23)
MMTCE is converted to MMTCO2E by multiplying by 44/12.</t>
        </r>
      </text>
    </comment>
    <comment ref="B62" authorId="0" shapeId="0" xr:uid="{00000000-0006-0000-0600-000004000000}">
      <text>
        <r>
          <rPr>
            <sz val="8"/>
            <color rgb="FF000000"/>
            <rFont val="Calibri"/>
            <scheme val="minor"/>
          </rPr>
          <t>======
ID#AAAAMQJ-jME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extLst>
    <ext xmlns:r="http://schemas.openxmlformats.org/officeDocument/2006/relationships" uri="GoogleSheetsCustomDataVersion1">
      <go:sheetsCustomData xmlns:go="http://customooxmlschemas.google.com/" r:id="rId1" roundtripDataSignature="AMtx7mjuKPWoWWwHQ+x9nLXBvHQKFZOujQ=="/>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D5" authorId="0" shapeId="0" xr:uid="{00000000-0006-0000-0700-000009000000}">
      <text>
        <r>
          <rPr>
            <sz val="8"/>
            <color rgb="FF000000"/>
            <rFont val="Calibri"/>
            <scheme val="minor"/>
          </rPr>
          <t>======
ID#AAAAMQJ-jQM
amohammed    (2021-04-29 11:55:23)
SIT 2016 Defaults</t>
        </r>
      </text>
    </comment>
    <comment ref="J6" authorId="0" shapeId="0" xr:uid="{00000000-0006-0000-0700-000004000000}">
      <text>
        <r>
          <rPr>
            <sz val="8"/>
            <color rgb="FF000000"/>
            <rFont val="Calibri"/>
            <scheme val="minor"/>
          </rPr>
          <t>======
ID#AAAAMQJ-jSw
Beth Moore    (2021-04-29 11:55:23)
Billion Btus are converted to short tons of carbon by multiplying by the emission factor, combustion efficiency, 1,000 million/billion, and 0.0005 lbs/short ton.</t>
        </r>
      </text>
    </comment>
    <comment ref="K6" authorId="0" shapeId="0" xr:uid="{00000000-0006-0000-0700-000003000000}">
      <text>
        <r>
          <rPr>
            <sz val="8"/>
            <color rgb="FF000000"/>
            <rFont val="Calibri"/>
            <scheme val="minor"/>
          </rPr>
          <t>======
ID#AAAAMQJ-jTo
Philip Groth    (2021-04-29 11:55:23)
MMTCE is converted to MMTCO2E by multiplying by 44/12.</t>
        </r>
      </text>
    </comment>
    <comment ref="C7" authorId="0" shapeId="0" xr:uid="{00000000-0006-0000-0700-000002000000}">
      <text>
        <r>
          <rPr>
            <sz val="8"/>
            <color rgb="FF000000"/>
            <rFont val="Calibri"/>
            <scheme val="minor"/>
          </rPr>
          <t>======
ID#AAAATUb1pts
tc={48597070-7C01-4385-BB45-E0AB1FABC5F8}    (2021-12-21 13:54:49)
[Threaded comment]
Your version of Excel allows you to read this threaded comment; however, any edits to it will get removed if the file is opened in a newer version of Excel. Learn more: https://go.microsoft.com/fwlink/?linkid=870924
Comment:
    2019 SED</t>
        </r>
      </text>
    </comment>
    <comment ref="C24" authorId="0" shapeId="0" xr:uid="{00000000-0006-0000-0700-000001000000}">
      <text>
        <r>
          <rPr>
            <sz val="8"/>
            <color rgb="FF000000"/>
            <rFont val="Calibri"/>
            <scheme val="minor"/>
          </rPr>
          <t>======
ID#AAAAZ8RfO0Y
Abdulrahman Mohammed -MDE-    (2022-05-31 16:29:34)
2020F double check</t>
        </r>
      </text>
    </comment>
    <comment ref="B27" authorId="0" shapeId="0" xr:uid="{00000000-0006-0000-0700-000012000000}">
      <text>
        <r>
          <rPr>
            <sz val="8"/>
            <color rgb="FF000000"/>
            <rFont val="Calibri"/>
            <scheme val="minor"/>
          </rPr>
          <t>======
ID#AAAAMQJ-jGY
J Casola    (2021-04-29 11:55:23)
SEDR data show negative values for consumption.  Represents storage of energy, since oils are manufactured from other fuels.  "Negative" emissions serve to correct the overestimation of emissions attributed to the parent fuel.</t>
        </r>
      </text>
    </comment>
    <comment ref="B30" authorId="0" shapeId="0" xr:uid="{00000000-0006-0000-0700-00000B000000}">
      <text>
        <r>
          <rPr>
            <sz val="8"/>
            <color rgb="FF000000"/>
            <rFont val="Calibri"/>
            <scheme val="minor"/>
          </rPr>
          <t>======
ID#AAAAMQJ-jPo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I37" authorId="0" shapeId="0" xr:uid="{00000000-0006-0000-0700-000010000000}">
      <text>
        <r>
          <rPr>
            <sz val="8"/>
            <color rgb="FF000000"/>
            <rFont val="Calibri"/>
            <scheme val="minor"/>
          </rPr>
          <t>======
ID#AAAAMQJ-jLU
Philip Groth    (2021-04-29 11:55:23)
metric tons N2O  converted to MMTCO2E by multiplying by GWP and diving by 106.</t>
        </r>
      </text>
    </comment>
    <comment ref="B58" authorId="0" shapeId="0" xr:uid="{00000000-0006-0000-0700-00000E000000}">
      <text>
        <r>
          <rPr>
            <sz val="8"/>
            <color rgb="FF000000"/>
            <rFont val="Calibri"/>
            <scheme val="minor"/>
          </rPr>
          <t>======
ID#AAAAMQJ-jMk
J Casola    (2021-04-29 11:55:23)
SEDR data show negative values for consumption.  Represents storage of energy, since oils are manufactured from other fuels.  "Negative" emissions serve to correct the overestimation of emissions attributed to the parent fuel.</t>
        </r>
      </text>
    </comment>
    <comment ref="B61" authorId="0" shapeId="0" xr:uid="{00000000-0006-0000-0700-000005000000}">
      <text>
        <r>
          <rPr>
            <sz val="8"/>
            <color rgb="FF000000"/>
            <rFont val="Calibri"/>
            <scheme val="minor"/>
          </rPr>
          <t>======
ID#AAAAMQJ-jSM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I68" authorId="0" shapeId="0" xr:uid="{00000000-0006-0000-0700-00000C000000}">
      <text>
        <r>
          <rPr>
            <sz val="8"/>
            <color rgb="FF000000"/>
            <rFont val="Calibri"/>
            <scheme val="minor"/>
          </rPr>
          <t>======
ID#AAAAMQJ-jO8
Philip Groth    (2021-04-29 11:55:23)
metric tons CH4 converted to MMTCO2E by multiplying by GWP. and Dividing by 106</t>
        </r>
      </text>
    </comment>
    <comment ref="B89" authorId="0" shapeId="0" xr:uid="{00000000-0006-0000-0700-000011000000}">
      <text>
        <r>
          <rPr>
            <sz val="8"/>
            <color rgb="FF000000"/>
            <rFont val="Calibri"/>
            <scheme val="minor"/>
          </rPr>
          <t>======
ID#AAAAMQJ-jJM
J Casola    (2021-04-29 11:55:23)
SEDR data show negative values for consumption.  Represents storage of energy, since oils are manufactured from other fuels.  "Negative" emissions serve to correct the overestimation of emissions attributed to the parent fuel.</t>
        </r>
      </text>
    </comment>
    <comment ref="B92" authorId="0" shapeId="0" xr:uid="{00000000-0006-0000-0700-00000D000000}">
      <text>
        <r>
          <rPr>
            <sz val="8"/>
            <color rgb="FF000000"/>
            <rFont val="Calibri"/>
            <scheme val="minor"/>
          </rPr>
          <t>======
ID#AAAAMQJ-jOQ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F99" authorId="0" shapeId="0" xr:uid="{00000000-0006-0000-0700-000008000000}">
      <text>
        <r>
          <rPr>
            <sz val="8"/>
            <color rgb="FF000000"/>
            <rFont val="Calibri"/>
            <scheme val="minor"/>
          </rPr>
          <t>======
ID#AAAAMQJ-jRQ
Philip Groth    (2021-04-29 11:55:23)
metric tons CH4 converted to MMTCO2E by multiplying by GWP. and Dividing by 106</t>
        </r>
      </text>
    </comment>
    <comment ref="G99" authorId="0" shapeId="0" xr:uid="{00000000-0006-0000-0700-000013000000}">
      <text>
        <r>
          <rPr>
            <sz val="8"/>
            <color rgb="FF000000"/>
            <rFont val="Calibri"/>
            <scheme val="minor"/>
          </rPr>
          <t>======
ID#AAAAMQJ-jFo
Philip Groth    (2021-04-29 11:55:23)
metric tons CH4 converted to MMTCO2E by multiplying by GWP. and Dividing by 106</t>
        </r>
      </text>
    </comment>
    <comment ref="H99" authorId="0" shapeId="0" xr:uid="{00000000-0006-0000-0700-00000F000000}">
      <text>
        <r>
          <rPr>
            <sz val="8"/>
            <color rgb="FF000000"/>
            <rFont val="Calibri"/>
            <scheme val="minor"/>
          </rPr>
          <t>======
ID#AAAAMQJ-jMA
Philip Groth    (2021-04-29 11:55:23)
metric tons CH4 converted to MMTCO2E by multiplying by GWP. and Dividing by 106</t>
        </r>
      </text>
    </comment>
    <comment ref="B120" authorId="0" shapeId="0" xr:uid="{00000000-0006-0000-0700-00000A000000}">
      <text>
        <r>
          <rPr>
            <sz val="8"/>
            <color rgb="FF000000"/>
            <rFont val="Calibri"/>
            <scheme val="minor"/>
          </rPr>
          <t>======
ID#AAAAMQJ-jP4
J Casola    (2021-04-29 11:55:23)
SEDR data show negative values for consumption.  Represents storage of energy, since oils are manufactured from other fuels.  "Negative" emissions serve to correct the overestimation of emissions attributed to the parent fuel.</t>
        </r>
      </text>
    </comment>
    <comment ref="B123" authorId="0" shapeId="0" xr:uid="{00000000-0006-0000-0700-000007000000}">
      <text>
        <r>
          <rPr>
            <sz val="8"/>
            <color rgb="FF000000"/>
            <rFont val="Calibri"/>
            <scheme val="minor"/>
          </rPr>
          <t>======
ID#AAAAMQJ-jRU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extLst>
    <ext xmlns:r="http://schemas.openxmlformats.org/officeDocument/2006/relationships" uri="GoogleSheetsCustomDataVersion1">
      <go:sheetsCustomData xmlns:go="http://customooxmlschemas.google.com/" r:id="rId1" roundtripDataSignature="AMtx7mgGxe8dFvsoDv7d0MH0QKeoRW+xXQ=="/>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Vimal Amin</author>
  </authors>
  <commentList>
    <comment ref="F10" authorId="0" shapeId="0" xr:uid="{8ED90CEE-8297-426D-9574-6AB19D5DC7AF}">
      <text>
        <r>
          <rPr>
            <sz val="9"/>
            <color indexed="81"/>
            <rFont val="Calibri"/>
            <family val="2"/>
            <scheme val="major"/>
          </rPr>
          <t>CO2e output as reported by MOVES3 uses GWPs from IPCC AR4 (25 for CH4 and 298 for N2O). CO2e is recalculated in the last row using inventory specific GWPs.</t>
        </r>
      </text>
    </comment>
    <comment ref="K10" authorId="0" shapeId="0" xr:uid="{4EE84E24-83F4-40BB-8A49-E7AEE55997C0}">
      <text>
        <r>
          <rPr>
            <sz val="9"/>
            <color indexed="81"/>
            <rFont val="Calibri"/>
            <family val="2"/>
            <scheme val="major"/>
          </rPr>
          <t>CO2e output as reported by MOVES3 uses GWPs from IPCC AR4 (25 for CH4 and 298 for N2O). CO2e is recalculated in the last row using inventory specific GWPs.</t>
        </r>
      </text>
    </comment>
    <comment ref="P10" authorId="0" shapeId="0" xr:uid="{81B9A275-3B0E-4D90-AAE5-FFFF30F65995}">
      <text>
        <r>
          <rPr>
            <sz val="9"/>
            <color indexed="81"/>
            <rFont val="Calibri"/>
            <family val="2"/>
            <scheme val="major"/>
          </rPr>
          <t>CO2e output as reported by MOVES3 uses GWPs from IPCC AR4 (25 for CH4 and 298 for N2O). CO2e is recalculated in the last row using inventory specific GWPs.</t>
        </r>
      </text>
    </comment>
    <comment ref="U10" authorId="0" shapeId="0" xr:uid="{7F77E7BF-9D9E-4DBC-84FA-3E7927591D2C}">
      <text>
        <r>
          <rPr>
            <sz val="9"/>
            <color indexed="81"/>
            <rFont val="Calibri"/>
            <family val="2"/>
            <scheme val="major"/>
          </rPr>
          <t>CO2e output as reported by MOVES3 uses GWPs from IPCC AR4 (25 for CH4 and 298 for N2O). CO2e is recalculated in the last row using inventory specific GWPs.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G10" authorId="0" shapeId="0" xr:uid="{00000000-0006-0000-0A00-000003000000}">
      <text>
        <r>
          <rPr>
            <sz val="8"/>
            <color rgb="FF000000"/>
            <rFont val="Calibri"/>
            <scheme val="minor"/>
          </rPr>
          <t>======
ID#AAAATUb1pu4
Abdulrahman Mohammed -MDE-    (2021-12-21 14:07:12)
2020</t>
        </r>
      </text>
    </comment>
    <comment ref="E13" authorId="0" shapeId="0" xr:uid="{00000000-0006-0000-0A00-000004000000}">
      <text>
        <r>
          <rPr>
            <sz val="8"/>
            <color rgb="FF000000"/>
            <rFont val="Calibri"/>
            <scheme val="minor"/>
          </rPr>
          <t>======
ID#AAAATUb1pus
Abdulrahman Mohammed -MDE-    (2021-12-21 13:57:16)
2020 Sales of Distillate Fuel Oil By End Use</t>
        </r>
      </text>
    </comment>
    <comment ref="E14" authorId="0" shapeId="0" xr:uid="{00000000-0006-0000-0A00-000002000000}">
      <text>
        <r>
          <rPr>
            <sz val="8"/>
            <color rgb="FF000000"/>
            <rFont val="Calibri"/>
            <scheme val="minor"/>
          </rPr>
          <t>======
ID#AAAATUb1pvA
Abdulrahman Mohammed -MDE-    (2021-12-21 14:26:00)
Sales of Distillate Fuel Oil By End Use</t>
        </r>
      </text>
    </comment>
    <comment ref="C18" authorId="0" shapeId="0" xr:uid="{00000000-0006-0000-0A00-000001000000}">
      <text>
        <r>
          <rPr>
            <sz val="8"/>
            <color rgb="FF000000"/>
            <rFont val="Calibri"/>
            <scheme val="minor"/>
          </rPr>
          <t>======
ID#AAAATUb1pvE
Abdulrahman Mohammed -MDE-    (2021-12-21 14:32:39)
https://www.eia.gov/energyexplained/units-and-calculators/energy-conversion-calculators.php</t>
        </r>
      </text>
    </comment>
  </commentList>
  <extLst>
    <ext xmlns:r="http://schemas.openxmlformats.org/officeDocument/2006/relationships" uri="GoogleSheetsCustomDataVersion1">
      <go:sheetsCustomData xmlns:go="http://customooxmlschemas.google.com/" r:id="rId1" roundtripDataSignature="AMtx7mjEuXLQQO+fbUpdA8WS3UAqbzHJuA=="/>
    </ext>
  </extLst>
</comments>
</file>

<file path=xl/sharedStrings.xml><?xml version="1.0" encoding="utf-8"?>
<sst xmlns="http://schemas.openxmlformats.org/spreadsheetml/2006/main" count="57689" uniqueCount="2114">
  <si>
    <t>Maryland 2020 GHG Emissions by Sector</t>
  </si>
  <si>
    <t>Global Warming Potential</t>
  </si>
  <si>
    <t>AR5 100-yr GWP</t>
  </si>
  <si>
    <t>AR5 20-yr GWP</t>
  </si>
  <si>
    <t>CO2</t>
  </si>
  <si>
    <t>CH4</t>
  </si>
  <si>
    <t>N2O</t>
  </si>
  <si>
    <t>SF6</t>
  </si>
  <si>
    <t>HFCs &amp; PFCs</t>
  </si>
  <si>
    <t>see note</t>
  </si>
  <si>
    <t>100-year GWP</t>
  </si>
  <si>
    <t>20-year GWP</t>
  </si>
  <si>
    <t>Electricity Production (in-state)</t>
  </si>
  <si>
    <t>Residential/Commercial/Industrial (RCI) Fuel Use</t>
  </si>
  <si>
    <t xml:space="preserve">Transportation </t>
  </si>
  <si>
    <t>Onroad Gasoline</t>
  </si>
  <si>
    <t>Nonroad Gasoline</t>
  </si>
  <si>
    <t>Onroad Diesel</t>
  </si>
  <si>
    <t>Nonroad Diesel</t>
  </si>
  <si>
    <t>Rail</t>
  </si>
  <si>
    <t>Marine Vessels (Gas &amp; Oil)</t>
  </si>
  <si>
    <t xml:space="preserve">Lubricants, Natural Gas, and LPG </t>
  </si>
  <si>
    <t>Jet Fuel and Aviation Gasoline</t>
  </si>
  <si>
    <t>Fossil Fuel Industry</t>
  </si>
  <si>
    <t>Industrial Processes and Product Use</t>
  </si>
  <si>
    <t>Agriculture</t>
  </si>
  <si>
    <t>Enteric Fermentation</t>
  </si>
  <si>
    <t>Manure Management</t>
  </si>
  <si>
    <t>Agricultural Soils</t>
  </si>
  <si>
    <t>Agricultural Burning</t>
  </si>
  <si>
    <t xml:space="preserve">Urea Fertilizer Usage and Liming </t>
  </si>
  <si>
    <t>Waste Management</t>
  </si>
  <si>
    <t>Waste Combustion</t>
  </si>
  <si>
    <t>Landfills</t>
  </si>
  <si>
    <t>Wastewater Management</t>
  </si>
  <si>
    <t>Residential Open Burning</t>
  </si>
  <si>
    <t>Forestry and Land Use</t>
  </si>
  <si>
    <t>Tree and Forest Carbon</t>
  </si>
  <si>
    <t>Wood Products and Landfilled Carbon</t>
  </si>
  <si>
    <t>Settlement Soils</t>
  </si>
  <si>
    <t>Forest Fires</t>
  </si>
  <si>
    <t>Agricultural Soil Carbon</t>
  </si>
  <si>
    <t>Wetlands and SAV</t>
  </si>
  <si>
    <t>Electricity Use (Consumption)</t>
  </si>
  <si>
    <t>RCI Fuel Use</t>
  </si>
  <si>
    <t>Transportation - Onroad</t>
  </si>
  <si>
    <t>Transportation - Nonroad</t>
  </si>
  <si>
    <t>Land Use, Land-Use Change, and Forestry Emissions and Sequestration</t>
  </si>
  <si>
    <r>
      <rPr>
        <b/>
        <sz val="11"/>
        <color rgb="FF1155CC"/>
        <rFont val="Calibri"/>
      </rPr>
      <t xml:space="preserve">(A) NASA-CMS/UMD Forest Carbon Monitoring </t>
    </r>
    <r>
      <rPr>
        <sz val="11"/>
        <color rgb="FF1155CC"/>
        <rFont val="Calibri"/>
      </rPr>
      <t>(for above ground biomass)</t>
    </r>
  </si>
  <si>
    <t>Year</t>
  </si>
  <si>
    <t>AGB stocks (Tg C)</t>
  </si>
  <si>
    <t>Net AGB flux 
(Tg C/yr)</t>
  </si>
  <si>
    <t>AGB Flux from existing trees 
(Tg C/yr)</t>
  </si>
  <si>
    <t>AGB Flux from Forest to Non-forest conversion 
(Tg C/yr)</t>
  </si>
  <si>
    <t>AGB Flux from Non-forest to Forest conversion 
(Tg C/yr)</t>
  </si>
  <si>
    <t>--</t>
  </si>
  <si>
    <r>
      <rPr>
        <b/>
        <sz val="11"/>
        <color rgb="FF1155CC"/>
        <rFont val="Calibri"/>
      </rPr>
      <t xml:space="preserve">(B) USFS Model state-level estimates </t>
    </r>
    <r>
      <rPr>
        <sz val="11"/>
        <color rgb="FF1155CC"/>
        <rFont val="Calibri"/>
      </rPr>
      <t>(for other forest pools)</t>
    </r>
  </si>
  <si>
    <t>https://www.nrs.fs.fed.us/pubs/62418</t>
  </si>
  <si>
    <t>https://www.fs.usda.gov/rds/archive/Catalog/RDS-2021-0035</t>
  </si>
  <si>
    <t>US_GHG_emissions_removals_from_forest_woodlands_urban_trees_1990_2019.xlsx</t>
  </si>
  <si>
    <t>Net CO2 Flux from Forest Pools in Forest Land Remaining Forest Land (MMT CO2 Eq.)</t>
  </si>
  <si>
    <t>State</t>
  </si>
  <si>
    <t>Carbon Pools</t>
  </si>
  <si>
    <t>2020*</t>
  </si>
  <si>
    <t>Maryland</t>
  </si>
  <si>
    <t>Dead Wood</t>
  </si>
  <si>
    <t>Litter</t>
  </si>
  <si>
    <t>Soil (Mineral)</t>
  </si>
  <si>
    <t>Soil (Organic)</t>
  </si>
  <si>
    <t>Net CO2 Flux from Forest C Pools in Land Converted to Forest Land by Land Use Change Category (MMT CO2 Eq.)</t>
  </si>
  <si>
    <t>Land Use Conversion</t>
  </si>
  <si>
    <t>Land Use/Carbon Pool</t>
  </si>
  <si>
    <t>Totals (Pools)</t>
  </si>
  <si>
    <t>Total Dead Wood Flux</t>
  </si>
  <si>
    <t>Total Litter Flux</t>
  </si>
  <si>
    <t>Total Soil (Mineral) Flux</t>
  </si>
  <si>
    <t>Net CO2 Flux from Forest C Pools in Forest Land Converted to Land by Land Use Change Category (MMT CO2 Eq.)</t>
  </si>
  <si>
    <t>* 2019 Available Data</t>
  </si>
  <si>
    <t>Tree and Forest Carbon Summary</t>
  </si>
  <si>
    <t>Emissions (MMTCO2e)</t>
  </si>
  <si>
    <t>Above Ground Biomass Flux¹</t>
  </si>
  <si>
    <t>Below Ground Biomass Flux¹ ²</t>
  </si>
  <si>
    <t>Deadwood³</t>
  </si>
  <si>
    <t>Litter³</t>
  </si>
  <si>
    <t>Soil (Mineral)³</t>
  </si>
  <si>
    <t>Soil (Organic)³</t>
  </si>
  <si>
    <t>Total</t>
  </si>
  <si>
    <t>Landfilled Yard Trimmings and Food Scraps</t>
  </si>
  <si>
    <r>
      <rPr>
        <b/>
        <sz val="9"/>
        <color theme="1"/>
        <rFont val="Calibri"/>
      </rPr>
      <t>Emissions* (MMTCO</t>
    </r>
    <r>
      <rPr>
        <b/>
        <vertAlign val="subscript"/>
        <sz val="9"/>
        <color theme="1"/>
        <rFont val="Calibri"/>
      </rPr>
      <t>2</t>
    </r>
    <r>
      <rPr>
        <b/>
        <sz val="9"/>
        <color theme="1"/>
        <rFont val="Calibri"/>
      </rPr>
      <t>E)</t>
    </r>
  </si>
  <si>
    <t>Grass</t>
  </si>
  <si>
    <t>Leaves</t>
  </si>
  <si>
    <t>Branches</t>
  </si>
  <si>
    <t>Landfilled Food Scraps</t>
  </si>
  <si>
    <t>Total Wood Products and Landfills</t>
  </si>
  <si>
    <t>Net Sequestration/Emissions MMTCO2E</t>
  </si>
  <si>
    <t>Total wood products and landfills</t>
  </si>
  <si>
    <t>Total Synthetic Fertilizer Applied to Settlements
(Metric Tons N)</t>
  </si>
  <si>
    <t>Emission Factor
(percent)</t>
  </si>
  <si>
    <t>N2O-N</t>
  </si>
  <si>
    <t>N2O GWP</t>
  </si>
  <si>
    <t>Carbon Dioxide Emissions
(MMTCO2E)</t>
  </si>
  <si>
    <t>Area Burned (acres)-Other temperate forests</t>
  </si>
  <si>
    <t>Area Burned (ha)</t>
  </si>
  <si>
    <t>Average Biomass Density (kg d.m. / ha)</t>
  </si>
  <si>
    <t>Combustion efficiency</t>
  </si>
  <si>
    <t>Emission Factor (g/kg dry matter burned)</t>
  </si>
  <si>
    <t>MTN2O Emitted</t>
  </si>
  <si>
    <t>MTCH4 Emitted</t>
  </si>
  <si>
    <t>Area Burned (acres) -Shrublands</t>
  </si>
  <si>
    <t>CH4 GWP</t>
  </si>
  <si>
    <t>Emissions MMTCO2E</t>
  </si>
  <si>
    <t>Summary Forest Fire</t>
  </si>
  <si>
    <t>Net Sequestration/Emissions-MMTCO2E</t>
  </si>
  <si>
    <t>Wetlands and Submerged Aquatic Vegetation (SAV)</t>
  </si>
  <si>
    <t>Coastal Wetlands and SAV</t>
  </si>
  <si>
    <t>Area (acres)</t>
  </si>
  <si>
    <t>Wetland Category and Salinity</t>
  </si>
  <si>
    <t>Coastal Bays Estaurine Wetland</t>
  </si>
  <si>
    <t>Mesohaline Estaurine Wetlands</t>
  </si>
  <si>
    <t>Freshwater SAV</t>
  </si>
  <si>
    <t>Oligohaline SAV</t>
  </si>
  <si>
    <t>Mesohaline SAV</t>
  </si>
  <si>
    <t>Coastal Bays SAV</t>
  </si>
  <si>
    <t>Total, Wetlands</t>
  </si>
  <si>
    <t>Total, SAV</t>
  </si>
  <si>
    <t>Soil Carbon Burial (Mg CO2)</t>
  </si>
  <si>
    <t>Mg CO2 acre-1 yr-1</t>
  </si>
  <si>
    <t>Methane Emissions (Mg CH4)</t>
  </si>
  <si>
    <t>Mg CH4 ac-1 yr-1</t>
  </si>
  <si>
    <t>Carbon Flux from Wetland Landuse Change (Mg CO2)</t>
  </si>
  <si>
    <t>Wetland Land -Use Change from National Inventory</t>
  </si>
  <si>
    <t>Vegetated Coastal Wetlands Converted to Unvegetated Open Water Coastal Wetlands</t>
  </si>
  <si>
    <t>Biomass C Flux</t>
  </si>
  <si>
    <t>Dead Organic Matter C Flux</t>
  </si>
  <si>
    <t>Soil C Flux</t>
  </si>
  <si>
    <t>Unvegetated Open Water Coastal Wetlands Converted to Vegetated Coastal Wetlands</t>
  </si>
  <si>
    <t>Total, Wetland LU Change</t>
  </si>
  <si>
    <t>Flooded Lands</t>
  </si>
  <si>
    <t>IPCC Emission Factors</t>
  </si>
  <si>
    <t>Surface Area (ha)</t>
  </si>
  <si>
    <t>Annual Methane Emissions (MT CH4)</t>
  </si>
  <si>
    <t>Flooded Land Category</t>
  </si>
  <si>
    <t>Climate Zone</t>
  </si>
  <si>
    <t>kg CH4 /ha/yr</t>
  </si>
  <si>
    <t>MT CO2-C /ha/yr</t>
  </si>
  <si>
    <t>MT CO2 /ha/yr</t>
  </si>
  <si>
    <t>Reservoirs &gt; 20 years old (&gt;= 8 ha)</t>
  </si>
  <si>
    <t>Cool Temperate</t>
  </si>
  <si>
    <t>Warm temperate moist</t>
  </si>
  <si>
    <t>Reservoirs &lt;= 20 years old (&gt;= 8 ha)</t>
  </si>
  <si>
    <t>Downstream Emission</t>
  </si>
  <si>
    <t>All</t>
  </si>
  <si>
    <t>Freshwater Ponds &gt; 20 years (&lt; 8 ha)</t>
  </si>
  <si>
    <t>Freshwater Ponds &lt;= 20 years old (&lt; 8 ha)</t>
  </si>
  <si>
    <t>Canals &amp; Ditches</t>
  </si>
  <si>
    <t>Annual CO2 Emissions (MT CO2)</t>
  </si>
  <si>
    <t>Wetlands &amp; SAV Summary</t>
  </si>
  <si>
    <t>Coastal Wetlands</t>
  </si>
  <si>
    <t>SAV</t>
  </si>
  <si>
    <t>Flooded Land</t>
  </si>
  <si>
    <t>Net Forest and Landuse Emissions</t>
  </si>
  <si>
    <t>Net Forest and Landuse Emissions (MMTCO2e)</t>
  </si>
  <si>
    <t>Agricultural Soil Carbon Flux</t>
  </si>
  <si>
    <t>¹Includes the landuse categories of Forest Land Remaining Forest Land, Land Converted to Forest Land, Forest Land Converted to Land, and Settlement Trees</t>
  </si>
  <si>
    <t>²Calculated from ratio to aboveground biomass</t>
  </si>
  <si>
    <t>³USFS state-level estimates, exclusive of settlement trees</t>
  </si>
  <si>
    <t xml:space="preserve"> COAL COMBUSTION BY UNIT</t>
  </si>
  <si>
    <t>Plant ID</t>
  </si>
  <si>
    <t xml:space="preserve">Plant Name </t>
  </si>
  <si>
    <t>Equipment Description</t>
  </si>
  <si>
    <t>Fuel Type</t>
  </si>
  <si>
    <t>Usage</t>
  </si>
  <si>
    <t xml:space="preserve">Heat </t>
  </si>
  <si>
    <t xml:space="preserve">Heat Content </t>
  </si>
  <si>
    <t>Heat Input</t>
  </si>
  <si>
    <r>
      <rPr>
        <b/>
        <sz val="10"/>
        <color theme="1"/>
        <rFont val="Arial"/>
      </rPr>
      <t>CO</t>
    </r>
    <r>
      <rPr>
        <b/>
        <vertAlign val="subscript"/>
        <sz val="10"/>
        <color theme="1"/>
        <rFont val="Arial"/>
      </rPr>
      <t xml:space="preserve">2 </t>
    </r>
    <r>
      <rPr>
        <b/>
        <sz val="10"/>
        <color theme="1"/>
        <rFont val="Arial"/>
      </rPr>
      <t>Emmission</t>
    </r>
  </si>
  <si>
    <r>
      <rPr>
        <b/>
        <sz val="10"/>
        <color theme="1"/>
        <rFont val="Arial"/>
      </rPr>
      <t>CH</t>
    </r>
    <r>
      <rPr>
        <b/>
        <vertAlign val="subscript"/>
        <sz val="10"/>
        <color theme="1"/>
        <rFont val="Arial"/>
      </rPr>
      <t>4</t>
    </r>
    <r>
      <rPr>
        <b/>
        <sz val="10"/>
        <color theme="1"/>
        <rFont val="Arial"/>
      </rPr>
      <t xml:space="preserve"> </t>
    </r>
    <r>
      <rPr>
        <b/>
        <vertAlign val="subscript"/>
        <sz val="10"/>
        <color theme="1"/>
        <rFont val="Arial"/>
      </rPr>
      <t xml:space="preserve"> </t>
    </r>
    <r>
      <rPr>
        <b/>
        <sz val="10"/>
        <color theme="1"/>
        <rFont val="Arial"/>
      </rPr>
      <t>Emission</t>
    </r>
  </si>
  <si>
    <r>
      <rPr>
        <b/>
        <sz val="10"/>
        <color theme="1"/>
        <rFont val="Arial"/>
      </rPr>
      <t>N</t>
    </r>
    <r>
      <rPr>
        <b/>
        <vertAlign val="subscript"/>
        <sz val="10"/>
        <color theme="1"/>
        <rFont val="Arial"/>
      </rPr>
      <t>2</t>
    </r>
    <r>
      <rPr>
        <b/>
        <sz val="10"/>
        <color theme="1"/>
        <rFont val="Arial"/>
      </rPr>
      <t xml:space="preserve">O </t>
    </r>
    <r>
      <rPr>
        <b/>
        <vertAlign val="subscript"/>
        <sz val="10"/>
        <color theme="1"/>
        <rFont val="Arial"/>
      </rPr>
      <t xml:space="preserve"> </t>
    </r>
    <r>
      <rPr>
        <b/>
        <sz val="10"/>
        <color theme="1"/>
        <rFont val="Arial"/>
      </rPr>
      <t>Emission</t>
    </r>
  </si>
  <si>
    <t>Units</t>
  </si>
  <si>
    <t>Content</t>
  </si>
  <si>
    <t>Unit</t>
  </si>
  <si>
    <t>(MMBTU)</t>
  </si>
  <si>
    <t>(tons)</t>
  </si>
  <si>
    <t>001-0203</t>
  </si>
  <si>
    <t>AES WARRIOR RUN COGEN</t>
  </si>
  <si>
    <t>001-3-0127</t>
  </si>
  <si>
    <t xml:space="preserve">ACF Boiler </t>
  </si>
  <si>
    <t>Coal</t>
  </si>
  <si>
    <t>tons</t>
  </si>
  <si>
    <t>Btu/lb</t>
  </si>
  <si>
    <t>003-0468</t>
  </si>
  <si>
    <t xml:space="preserve"> Brandon Shores </t>
  </si>
  <si>
    <t>3-0015</t>
  </si>
  <si>
    <t>Unit 1</t>
  </si>
  <si>
    <t>P-Coal</t>
  </si>
  <si>
    <t>MMBTU/ tons</t>
  </si>
  <si>
    <t>3-0016</t>
  </si>
  <si>
    <t>Unit 2</t>
  </si>
  <si>
    <t>033-00014</t>
  </si>
  <si>
    <t>Chalk Point</t>
  </si>
  <si>
    <t>1600-14-30004</t>
  </si>
  <si>
    <t>Btu/ lb</t>
  </si>
  <si>
    <t>1600-14-30005</t>
  </si>
  <si>
    <t>003-0014</t>
  </si>
  <si>
    <t>HERBERT A WAGNER</t>
  </si>
  <si>
    <t>3-0003</t>
  </si>
  <si>
    <t>Unit 3</t>
  </si>
  <si>
    <t>MMBtu/ tons</t>
  </si>
  <si>
    <t>031-0019</t>
  </si>
  <si>
    <t>Mirant Dickerson</t>
  </si>
  <si>
    <t>1500-19-30001</t>
  </si>
  <si>
    <t>Boiler 1</t>
  </si>
  <si>
    <t>1500-19-30002</t>
  </si>
  <si>
    <t>Boiler 2</t>
  </si>
  <si>
    <t>1500-19-30003</t>
  </si>
  <si>
    <t>Boiler 3</t>
  </si>
  <si>
    <t>017-0014</t>
  </si>
  <si>
    <t>Mirant Morgantown</t>
  </si>
  <si>
    <t>0800-14-30002</t>
  </si>
  <si>
    <t>080-14-30003</t>
  </si>
  <si>
    <t xml:space="preserve"> DISTILLATE FUEL COMBUSTION BY UNIT</t>
  </si>
  <si>
    <r>
      <rPr>
        <b/>
        <sz val="10"/>
        <color theme="1"/>
        <rFont val="Arial"/>
      </rPr>
      <t>CO</t>
    </r>
    <r>
      <rPr>
        <b/>
        <vertAlign val="subscript"/>
        <sz val="10"/>
        <color theme="1"/>
        <rFont val="Arial"/>
      </rPr>
      <t xml:space="preserve">2 </t>
    </r>
    <r>
      <rPr>
        <b/>
        <sz val="10"/>
        <color theme="1"/>
        <rFont val="Arial"/>
      </rPr>
      <t>Emmission</t>
    </r>
  </si>
  <si>
    <r>
      <rPr>
        <b/>
        <sz val="10"/>
        <color theme="1"/>
        <rFont val="Arial"/>
      </rPr>
      <t>CH</t>
    </r>
    <r>
      <rPr>
        <b/>
        <vertAlign val="subscript"/>
        <sz val="10"/>
        <color theme="1"/>
        <rFont val="Arial"/>
      </rPr>
      <t>4</t>
    </r>
    <r>
      <rPr>
        <b/>
        <sz val="10"/>
        <color theme="1"/>
        <rFont val="Arial"/>
      </rPr>
      <t xml:space="preserve"> </t>
    </r>
    <r>
      <rPr>
        <b/>
        <vertAlign val="subscript"/>
        <sz val="10"/>
        <color theme="1"/>
        <rFont val="Arial"/>
      </rPr>
      <t xml:space="preserve"> </t>
    </r>
    <r>
      <rPr>
        <b/>
        <sz val="10"/>
        <color theme="1"/>
        <rFont val="Arial"/>
      </rPr>
      <t>Emission</t>
    </r>
  </si>
  <si>
    <r>
      <rPr>
        <b/>
        <sz val="10"/>
        <color theme="1"/>
        <rFont val="Arial"/>
      </rPr>
      <t>N</t>
    </r>
    <r>
      <rPr>
        <b/>
        <vertAlign val="subscript"/>
        <sz val="10"/>
        <color theme="1"/>
        <rFont val="Arial"/>
      </rPr>
      <t>2</t>
    </r>
    <r>
      <rPr>
        <b/>
        <sz val="10"/>
        <color theme="1"/>
        <rFont val="Arial"/>
      </rPr>
      <t xml:space="preserve">O </t>
    </r>
    <r>
      <rPr>
        <b/>
        <vertAlign val="subscript"/>
        <sz val="10"/>
        <color theme="1"/>
        <rFont val="Arial"/>
      </rPr>
      <t xml:space="preserve"> </t>
    </r>
    <r>
      <rPr>
        <b/>
        <sz val="10"/>
        <color theme="1"/>
        <rFont val="Arial"/>
      </rPr>
      <t>Emission</t>
    </r>
  </si>
  <si>
    <t>Diesel</t>
  </si>
  <si>
    <t>gallons</t>
  </si>
  <si>
    <t>Btu/gal</t>
  </si>
  <si>
    <t>001-9-0081</t>
  </si>
  <si>
    <t>Emergency Engine (Boiler Feed Pump)</t>
  </si>
  <si>
    <t>S-No. 2 Oil</t>
  </si>
  <si>
    <t>MMBTU/ Gal</t>
  </si>
  <si>
    <t>9-0988</t>
  </si>
  <si>
    <t>Quench Pumps</t>
  </si>
  <si>
    <t>ULS-Diesel</t>
  </si>
  <si>
    <t>MMBTU/Gallons</t>
  </si>
  <si>
    <t>#2 Oil</t>
  </si>
  <si>
    <t>1600-14-40778</t>
  </si>
  <si>
    <t xml:space="preserve"> CT 1</t>
  </si>
  <si>
    <t>1600-14-41145</t>
  </si>
  <si>
    <t>CT2</t>
  </si>
  <si>
    <t>1600-14-90752</t>
  </si>
  <si>
    <t>CT3**</t>
  </si>
  <si>
    <t>1600-14-90753</t>
  </si>
  <si>
    <t>CT4**</t>
  </si>
  <si>
    <t>CT5</t>
  </si>
  <si>
    <t>1600-14-90755</t>
  </si>
  <si>
    <t>CT6**</t>
  </si>
  <si>
    <t>1600-14-41156</t>
  </si>
  <si>
    <t>CE  Aux. Boiler 5</t>
  </si>
  <si>
    <t>1600-14-41157</t>
  </si>
  <si>
    <t>CE  Aux. Boiler 6</t>
  </si>
  <si>
    <t>1600-14-41158</t>
  </si>
  <si>
    <t>CE   Aux. Boiler 7</t>
  </si>
  <si>
    <t>033-01827</t>
  </si>
  <si>
    <t xml:space="preserve">Chalkpoint -SMECO </t>
  </si>
  <si>
    <t>1827-5-074990</t>
  </si>
  <si>
    <t>Combustion Turbine</t>
  </si>
  <si>
    <t>4-0007</t>
  </si>
  <si>
    <t>CT</t>
  </si>
  <si>
    <t>No.2 Oil</t>
  </si>
  <si>
    <t>MMBTU/gallons</t>
  </si>
  <si>
    <t>024-025-0024</t>
  </si>
  <si>
    <t xml:space="preserve">Perryman </t>
  </si>
  <si>
    <t>5-0088</t>
  </si>
  <si>
    <t>Unit 51 CT</t>
  </si>
  <si>
    <t>MMBTU/10E+03 gallons</t>
  </si>
  <si>
    <t>4-0081</t>
  </si>
  <si>
    <t>Unit 1 CT</t>
  </si>
  <si>
    <t>4-0082</t>
  </si>
  <si>
    <t>Unit 2 CT</t>
  </si>
  <si>
    <t>4-0083</t>
  </si>
  <si>
    <t>Unit 3 CT</t>
  </si>
  <si>
    <t>4-0084</t>
  </si>
  <si>
    <t>Unit 4 CT</t>
  </si>
  <si>
    <t>5-0353</t>
  </si>
  <si>
    <t>Unit 6A  CT</t>
  </si>
  <si>
    <t>5-0354</t>
  </si>
  <si>
    <t>Unit 6B  CT</t>
  </si>
  <si>
    <t>019-0013</t>
  </si>
  <si>
    <t>Vienna Generating Station</t>
  </si>
  <si>
    <t>4-0065-70</t>
  </si>
  <si>
    <t>Unit 8</t>
  </si>
  <si>
    <t>Btu/gallons</t>
  </si>
  <si>
    <t>4-0020-69</t>
  </si>
  <si>
    <t>Aux Boiler</t>
  </si>
  <si>
    <t>4-0114-79</t>
  </si>
  <si>
    <t>Combustion Turbine CT1</t>
  </si>
  <si>
    <t>1500-19-40907</t>
  </si>
  <si>
    <t>031-1822</t>
  </si>
  <si>
    <t>Mirant Station H</t>
  </si>
  <si>
    <t>1518-22-90362</t>
  </si>
  <si>
    <t>HCT1</t>
  </si>
  <si>
    <t>HCT2</t>
  </si>
  <si>
    <t>0800-14-40016</t>
  </si>
  <si>
    <t>Aux 2</t>
  </si>
  <si>
    <t>0800-14-40018</t>
  </si>
  <si>
    <t>Aux 4</t>
  </si>
  <si>
    <t>0800-14-4-0068</t>
  </si>
  <si>
    <t>CT1</t>
  </si>
  <si>
    <t>0800-14-4-0069</t>
  </si>
  <si>
    <t>0800-14-4-0070</t>
  </si>
  <si>
    <t>CT3</t>
  </si>
  <si>
    <t>0800-14-4-0071</t>
  </si>
  <si>
    <t>CT4</t>
  </si>
  <si>
    <t>0800-14-4-0074</t>
  </si>
  <si>
    <t>0800-14-4-0075</t>
  </si>
  <si>
    <t>CT6</t>
  </si>
  <si>
    <t>033-2200</t>
  </si>
  <si>
    <t>Panda Brandywine</t>
  </si>
  <si>
    <t>5-0844</t>
  </si>
  <si>
    <t>Fuel Oil</t>
  </si>
  <si>
    <t>Btu/gallon</t>
  </si>
  <si>
    <t>5-0845</t>
  </si>
  <si>
    <t>9-1465</t>
  </si>
  <si>
    <t>510-265</t>
  </si>
  <si>
    <t>CPSG- Philadelphia Road Power</t>
  </si>
  <si>
    <t>4-0431</t>
  </si>
  <si>
    <t>MMBTU/1E+03 gallons</t>
  </si>
  <si>
    <t>4-0432</t>
  </si>
  <si>
    <t>4-0433</t>
  </si>
  <si>
    <t>4-0434</t>
  </si>
  <si>
    <t>041-0029</t>
  </si>
  <si>
    <t>Easton Utility</t>
  </si>
  <si>
    <t>9-0032</t>
  </si>
  <si>
    <t>Unit 101</t>
  </si>
  <si>
    <t>9-0031</t>
  </si>
  <si>
    <t>Unit 102</t>
  </si>
  <si>
    <t>9-0023</t>
  </si>
  <si>
    <t>Unit 7</t>
  </si>
  <si>
    <t>9-0024</t>
  </si>
  <si>
    <t>9-0025</t>
  </si>
  <si>
    <t>Unit 9</t>
  </si>
  <si>
    <t>9-0026</t>
  </si>
  <si>
    <t>Unit 10</t>
  </si>
  <si>
    <t>9-0027</t>
  </si>
  <si>
    <t>Unit 11</t>
  </si>
  <si>
    <t>9-0028</t>
  </si>
  <si>
    <t>Unit 12</t>
  </si>
  <si>
    <t>9-0029</t>
  </si>
  <si>
    <t>Unit 13</t>
  </si>
  <si>
    <t>9-0030</t>
  </si>
  <si>
    <t>Unit 14</t>
  </si>
  <si>
    <t>041-0069</t>
  </si>
  <si>
    <t>Easton Utility -Airport Park</t>
  </si>
  <si>
    <t>20-9-0037</t>
  </si>
  <si>
    <t>Unit 201</t>
  </si>
  <si>
    <t>20-9-0038</t>
  </si>
  <si>
    <t>Unit 202</t>
  </si>
  <si>
    <t>20-4-0101</t>
  </si>
  <si>
    <t>Unit 203</t>
  </si>
  <si>
    <t>20-4-0102</t>
  </si>
  <si>
    <t>Unit 204</t>
  </si>
  <si>
    <t>20-9-0033</t>
  </si>
  <si>
    <t>Unit 21</t>
  </si>
  <si>
    <t>20-9-0034</t>
  </si>
  <si>
    <t>Unit 22</t>
  </si>
  <si>
    <t>20-9-0035</t>
  </si>
  <si>
    <t>Unit 23</t>
  </si>
  <si>
    <t>20-9-0036</t>
  </si>
  <si>
    <t>Unit 24</t>
  </si>
  <si>
    <t>047-0044</t>
  </si>
  <si>
    <t>Berlin Town Power Plant</t>
  </si>
  <si>
    <t>FM Diesel Gen</t>
  </si>
  <si>
    <t>EMD Diesel Gen</t>
  </si>
  <si>
    <t>Mitsu  Diesel Gen</t>
  </si>
  <si>
    <t>9-0033</t>
  </si>
  <si>
    <t>9/24/18 (778HP)</t>
  </si>
  <si>
    <t>Temporary Unit 1</t>
  </si>
  <si>
    <t>02/05/19 (778HP)</t>
  </si>
  <si>
    <t>Temporary Unit 2</t>
  </si>
  <si>
    <t>02/12/19 (778HP)</t>
  </si>
  <si>
    <t>Temporary Unit 3</t>
  </si>
  <si>
    <t>07/22/19 (778HP)</t>
  </si>
  <si>
    <t>Temporary Unit 4</t>
  </si>
  <si>
    <t>039-0017</t>
  </si>
  <si>
    <t>Connectiv -Crisfield Generation</t>
  </si>
  <si>
    <t>4-0024</t>
  </si>
  <si>
    <t xml:space="preserve">Unit 1 </t>
  </si>
  <si>
    <t>4-0025</t>
  </si>
  <si>
    <t>4-0026</t>
  </si>
  <si>
    <t>4-0027</t>
  </si>
  <si>
    <t>Unit 4</t>
  </si>
  <si>
    <t>009-0012</t>
  </si>
  <si>
    <t>Calvert Cliffs Parkway Nuclear PP</t>
  </si>
  <si>
    <t>4-0014</t>
  </si>
  <si>
    <t>11 Aux Boiler</t>
  </si>
  <si>
    <t>4-0015</t>
  </si>
  <si>
    <t>12 Aux Boiler</t>
  </si>
  <si>
    <t>4-0016</t>
  </si>
  <si>
    <t>1B Emergenvy Generator</t>
  </si>
  <si>
    <t>4-0017</t>
  </si>
  <si>
    <t>2A Emergency Generator</t>
  </si>
  <si>
    <t>4-0018</t>
  </si>
  <si>
    <t>2B Emergency Generator</t>
  </si>
  <si>
    <t>9-0015  &amp;  9-0016</t>
  </si>
  <si>
    <t>1A Emergency Generator</t>
  </si>
  <si>
    <t>9-0017   &amp;   9-0018</t>
  </si>
  <si>
    <t>OC Emergency Generator</t>
  </si>
  <si>
    <t>9-0019</t>
  </si>
  <si>
    <t>Security Diesel generator</t>
  </si>
  <si>
    <t xml:space="preserve"> RESIDUAL FUEL COMBUSTION BY UNIT</t>
  </si>
  <si>
    <r>
      <rPr>
        <b/>
        <sz val="10"/>
        <color theme="1"/>
        <rFont val="Arial"/>
      </rPr>
      <t>CO</t>
    </r>
    <r>
      <rPr>
        <b/>
        <vertAlign val="subscript"/>
        <sz val="10"/>
        <color theme="1"/>
        <rFont val="Arial"/>
      </rPr>
      <t xml:space="preserve">2 </t>
    </r>
    <r>
      <rPr>
        <b/>
        <sz val="10"/>
        <color theme="1"/>
        <rFont val="Arial"/>
      </rPr>
      <t>Emmission</t>
    </r>
  </si>
  <si>
    <r>
      <rPr>
        <b/>
        <sz val="10"/>
        <color theme="1"/>
        <rFont val="Arial"/>
      </rPr>
      <t>CH</t>
    </r>
    <r>
      <rPr>
        <b/>
        <vertAlign val="subscript"/>
        <sz val="10"/>
        <color theme="1"/>
        <rFont val="Arial"/>
      </rPr>
      <t>4</t>
    </r>
    <r>
      <rPr>
        <b/>
        <sz val="10"/>
        <color theme="1"/>
        <rFont val="Arial"/>
      </rPr>
      <t xml:space="preserve"> </t>
    </r>
    <r>
      <rPr>
        <b/>
        <vertAlign val="subscript"/>
        <sz val="10"/>
        <color theme="1"/>
        <rFont val="Arial"/>
      </rPr>
      <t xml:space="preserve"> </t>
    </r>
    <r>
      <rPr>
        <b/>
        <sz val="10"/>
        <color theme="1"/>
        <rFont val="Arial"/>
      </rPr>
      <t>Emission</t>
    </r>
  </si>
  <si>
    <r>
      <rPr>
        <b/>
        <sz val="10"/>
        <color theme="1"/>
        <rFont val="Arial"/>
      </rPr>
      <t>N</t>
    </r>
    <r>
      <rPr>
        <b/>
        <vertAlign val="subscript"/>
        <sz val="10"/>
        <color theme="1"/>
        <rFont val="Arial"/>
      </rPr>
      <t>2</t>
    </r>
    <r>
      <rPr>
        <b/>
        <sz val="10"/>
        <color theme="1"/>
        <rFont val="Arial"/>
      </rPr>
      <t xml:space="preserve">O </t>
    </r>
    <r>
      <rPr>
        <b/>
        <vertAlign val="subscript"/>
        <sz val="10"/>
        <color theme="1"/>
        <rFont val="Arial"/>
      </rPr>
      <t xml:space="preserve"> </t>
    </r>
    <r>
      <rPr>
        <b/>
        <sz val="10"/>
        <color theme="1"/>
        <rFont val="Arial"/>
      </rPr>
      <t>Emission</t>
    </r>
  </si>
  <si>
    <t>Used Oil</t>
  </si>
  <si>
    <t>4-0307</t>
  </si>
  <si>
    <t>P-No.6 Oil</t>
  </si>
  <si>
    <t>Boiler 2  (Unit 4)</t>
  </si>
  <si>
    <t>MMBTU/ gallons</t>
  </si>
  <si>
    <t>#6 Oil</t>
  </si>
  <si>
    <t>027-0661</t>
  </si>
  <si>
    <t>Constellation New Energy</t>
  </si>
  <si>
    <t>9-0394</t>
  </si>
  <si>
    <t>Generator 1</t>
  </si>
  <si>
    <t>9-0395</t>
  </si>
  <si>
    <t>Generator 2</t>
  </si>
  <si>
    <t>9-0396</t>
  </si>
  <si>
    <t>Generator 3</t>
  </si>
  <si>
    <t>9-0397</t>
  </si>
  <si>
    <t>Generator 4</t>
  </si>
  <si>
    <t>9-0398</t>
  </si>
  <si>
    <t>Generator 5</t>
  </si>
  <si>
    <t>017-0235</t>
  </si>
  <si>
    <t>CPV Maryland St. Charles Energy</t>
  </si>
  <si>
    <t>9-0158</t>
  </si>
  <si>
    <t>Emergency Generator</t>
  </si>
  <si>
    <t>033-2737</t>
  </si>
  <si>
    <t>PSEG KEY Energy</t>
  </si>
  <si>
    <t>9-1485</t>
  </si>
  <si>
    <t>Emergency Generator -EG1</t>
  </si>
  <si>
    <t xml:space="preserve"> NATURAL GAS COMBUSTION BY UNIT</t>
  </si>
  <si>
    <r>
      <rPr>
        <b/>
        <sz val="10"/>
        <color theme="1"/>
        <rFont val="Arial"/>
      </rPr>
      <t>CO</t>
    </r>
    <r>
      <rPr>
        <b/>
        <vertAlign val="subscript"/>
        <sz val="10"/>
        <color theme="1"/>
        <rFont val="Arial"/>
      </rPr>
      <t xml:space="preserve">2 </t>
    </r>
    <r>
      <rPr>
        <b/>
        <sz val="10"/>
        <color theme="1"/>
        <rFont val="Arial"/>
      </rPr>
      <t>Emmission</t>
    </r>
  </si>
  <si>
    <r>
      <rPr>
        <b/>
        <sz val="10"/>
        <color theme="1"/>
        <rFont val="Arial"/>
      </rPr>
      <t>CH</t>
    </r>
    <r>
      <rPr>
        <b/>
        <vertAlign val="subscript"/>
        <sz val="10"/>
        <color theme="1"/>
        <rFont val="Arial"/>
      </rPr>
      <t>4</t>
    </r>
    <r>
      <rPr>
        <b/>
        <sz val="10"/>
        <color theme="1"/>
        <rFont val="Arial"/>
      </rPr>
      <t xml:space="preserve"> </t>
    </r>
    <r>
      <rPr>
        <b/>
        <vertAlign val="subscript"/>
        <sz val="10"/>
        <color theme="1"/>
        <rFont val="Arial"/>
      </rPr>
      <t xml:space="preserve"> </t>
    </r>
    <r>
      <rPr>
        <b/>
        <sz val="10"/>
        <color theme="1"/>
        <rFont val="Arial"/>
      </rPr>
      <t>Emission</t>
    </r>
  </si>
  <si>
    <r>
      <rPr>
        <b/>
        <sz val="10"/>
        <color theme="1"/>
        <rFont val="Arial"/>
      </rPr>
      <t>N</t>
    </r>
    <r>
      <rPr>
        <b/>
        <vertAlign val="subscript"/>
        <sz val="10"/>
        <color theme="1"/>
        <rFont val="Arial"/>
      </rPr>
      <t>2</t>
    </r>
    <r>
      <rPr>
        <b/>
        <sz val="10"/>
        <color theme="1"/>
        <rFont val="Arial"/>
      </rPr>
      <t xml:space="preserve">O </t>
    </r>
    <r>
      <rPr>
        <b/>
        <vertAlign val="subscript"/>
        <sz val="10"/>
        <color theme="1"/>
        <rFont val="Arial"/>
      </rPr>
      <t xml:space="preserve"> </t>
    </r>
    <r>
      <rPr>
        <b/>
        <sz val="10"/>
        <color theme="1"/>
        <rFont val="Arial"/>
      </rPr>
      <t>Emission</t>
    </r>
  </si>
  <si>
    <t>001-6-0136</t>
  </si>
  <si>
    <t>Limestone Dryer</t>
  </si>
  <si>
    <t>Natural Gas</t>
  </si>
  <si>
    <t>scf</t>
  </si>
  <si>
    <t>Btu/scf</t>
  </si>
  <si>
    <t>Gas</t>
  </si>
  <si>
    <t>MMBtu/1E+06 scf</t>
  </si>
  <si>
    <t>1600-14-40998</t>
  </si>
  <si>
    <t>1600-14-40999</t>
  </si>
  <si>
    <t>MMBTU/ Mcf</t>
  </si>
  <si>
    <t>4-0308</t>
  </si>
  <si>
    <t>S-Gas</t>
  </si>
  <si>
    <t>MMBTU/ 10E+06 scf</t>
  </si>
  <si>
    <t>Unit 6A CT</t>
  </si>
  <si>
    <t>Unit 6B CT</t>
  </si>
  <si>
    <t>510-0006</t>
  </si>
  <si>
    <t>Westport</t>
  </si>
  <si>
    <t>5-0005</t>
  </si>
  <si>
    <t>Combustion Turbine Unit 5</t>
  </si>
  <si>
    <t>MMBTU/10E+06 Scf</t>
  </si>
  <si>
    <t>MMBTU/1E+06 scf</t>
  </si>
  <si>
    <t>MMBTU/scf</t>
  </si>
  <si>
    <t>005-0076</t>
  </si>
  <si>
    <t>CPSG- Notch Cliff</t>
  </si>
  <si>
    <t>5-0006</t>
  </si>
  <si>
    <t>5-0007</t>
  </si>
  <si>
    <t>5-0008</t>
  </si>
  <si>
    <t>5-0009</t>
  </si>
  <si>
    <t>Unit 5 CT</t>
  </si>
  <si>
    <t>5-0010</t>
  </si>
  <si>
    <t>Unit 6 CT</t>
  </si>
  <si>
    <t>5-0011</t>
  </si>
  <si>
    <t>Unit 7 CT</t>
  </si>
  <si>
    <t>5-0012</t>
  </si>
  <si>
    <t>Unit 8 CT</t>
  </si>
  <si>
    <t>015-0202</t>
  </si>
  <si>
    <t>Rock Spring</t>
  </si>
  <si>
    <t>5-0076</t>
  </si>
  <si>
    <t>Turbine 1</t>
  </si>
  <si>
    <t>5-0077</t>
  </si>
  <si>
    <t>Turbine 2</t>
  </si>
  <si>
    <t>5-0078</t>
  </si>
  <si>
    <t>Turbine 3</t>
  </si>
  <si>
    <t>5-0079</t>
  </si>
  <si>
    <t>Turbine 4</t>
  </si>
  <si>
    <t>6-0205</t>
  </si>
  <si>
    <t>NG Fuel Gas Heater</t>
  </si>
  <si>
    <t>9-0105</t>
  </si>
  <si>
    <t>2952 BHP Cat G3520</t>
  </si>
  <si>
    <t>CT-11</t>
  </si>
  <si>
    <t>Btu/Scf</t>
  </si>
  <si>
    <t>5-0013</t>
  </si>
  <si>
    <t>CT-12</t>
  </si>
  <si>
    <t>5-0016</t>
  </si>
  <si>
    <t>Auxilliary Boiler</t>
  </si>
  <si>
    <t>6-0151</t>
  </si>
  <si>
    <t>Fuel Gas Heater</t>
  </si>
  <si>
    <t>5-1578</t>
  </si>
  <si>
    <t>CT-1 &amp; HRSG1</t>
  </si>
  <si>
    <t>5-1579</t>
  </si>
  <si>
    <t>CT-2 &amp; HRSG 2</t>
  </si>
  <si>
    <t>5-1582</t>
  </si>
  <si>
    <t>Auxilliary Boiler -AUXB1</t>
  </si>
  <si>
    <t>015-0272</t>
  </si>
  <si>
    <t>Wildcat Point Generation Facility</t>
  </si>
  <si>
    <t>5-0129</t>
  </si>
  <si>
    <t xml:space="preserve">CT-1 </t>
  </si>
  <si>
    <t>5-0150</t>
  </si>
  <si>
    <t xml:space="preserve">CT-2 </t>
  </si>
  <si>
    <t>HRSG Duct Burner I</t>
  </si>
  <si>
    <t>5-0130</t>
  </si>
  <si>
    <t>HRSG Duct Burner II</t>
  </si>
  <si>
    <t>5-0127</t>
  </si>
  <si>
    <t>9-216</t>
  </si>
  <si>
    <t>Dew Point Burner I</t>
  </si>
  <si>
    <r>
      <rPr>
        <b/>
        <sz val="18"/>
        <color rgb="FF548DD4"/>
        <rFont val="Calibri"/>
      </rPr>
      <t>CO</t>
    </r>
    <r>
      <rPr>
        <b/>
        <vertAlign val="subscript"/>
        <sz val="18"/>
        <color rgb="FF548DD4"/>
        <rFont val="Calibri"/>
      </rPr>
      <t>2</t>
    </r>
    <r>
      <rPr>
        <b/>
        <sz val="18"/>
        <color rgb="FF548DD4"/>
        <rFont val="Calibri"/>
      </rPr>
      <t xml:space="preserve"> EMISSION SUMMARY</t>
    </r>
  </si>
  <si>
    <t xml:space="preserve"> ALL UNITS</t>
  </si>
  <si>
    <r>
      <rPr>
        <sz val="14"/>
        <color theme="1"/>
        <rFont val="Comic Sans MS"/>
      </rPr>
      <t>Electric Power Sector CO</t>
    </r>
    <r>
      <rPr>
        <vertAlign val="subscript"/>
        <sz val="14"/>
        <color theme="1"/>
        <rFont val="Comic Sans MS"/>
      </rPr>
      <t>2</t>
    </r>
  </si>
  <si>
    <t>Consumption</t>
  </si>
  <si>
    <r>
      <rPr>
        <b/>
        <sz val="11"/>
        <color theme="1"/>
        <rFont val="Calibri"/>
      </rPr>
      <t>CO</t>
    </r>
    <r>
      <rPr>
        <b/>
        <vertAlign val="subscript"/>
        <sz val="11"/>
        <color theme="1"/>
        <rFont val="Calibri"/>
      </rPr>
      <t>2</t>
    </r>
    <r>
      <rPr>
        <b/>
        <sz val="11"/>
        <color theme="1"/>
        <rFont val="Calibri"/>
      </rPr>
      <t xml:space="preserve"> Emission </t>
    </r>
  </si>
  <si>
    <r>
      <rPr>
        <b/>
        <sz val="11"/>
        <color theme="1"/>
        <rFont val="Calibri"/>
      </rPr>
      <t>CO</t>
    </r>
    <r>
      <rPr>
        <b/>
        <vertAlign val="subscript"/>
        <sz val="11"/>
        <color theme="1"/>
        <rFont val="Calibri"/>
      </rPr>
      <t>2</t>
    </r>
    <r>
      <rPr>
        <b/>
        <sz val="11"/>
        <color theme="1"/>
        <rFont val="Calibri"/>
      </rPr>
      <t xml:space="preserve"> Emission </t>
    </r>
  </si>
  <si>
    <r>
      <rPr>
        <b/>
        <sz val="11"/>
        <color theme="1"/>
        <rFont val="Calibri"/>
      </rPr>
      <t>CO</t>
    </r>
    <r>
      <rPr>
        <b/>
        <vertAlign val="subscript"/>
        <sz val="11"/>
        <color theme="1"/>
        <rFont val="Calibri"/>
      </rPr>
      <t>2</t>
    </r>
    <r>
      <rPr>
        <b/>
        <sz val="11"/>
        <color theme="1"/>
        <rFont val="Calibri"/>
      </rPr>
      <t xml:space="preserve"> Emission</t>
    </r>
  </si>
  <si>
    <r>
      <rPr>
        <b/>
        <sz val="11"/>
        <color theme="1"/>
        <rFont val="Calibri"/>
      </rPr>
      <t>CO</t>
    </r>
    <r>
      <rPr>
        <b/>
        <vertAlign val="subscript"/>
        <sz val="11"/>
        <color theme="1"/>
        <rFont val="Calibri"/>
      </rPr>
      <t>2</t>
    </r>
    <r>
      <rPr>
        <b/>
        <sz val="11"/>
        <color theme="1"/>
        <rFont val="Calibri"/>
      </rPr>
      <t xml:space="preserve"> Emission </t>
    </r>
  </si>
  <si>
    <t>(short tons)</t>
  </si>
  <si>
    <t>(metric tons)</t>
  </si>
  <si>
    <r>
      <rPr>
        <b/>
        <sz val="11"/>
        <color theme="1"/>
        <rFont val="Calibri"/>
      </rPr>
      <t xml:space="preserve"> (MMTCO</t>
    </r>
    <r>
      <rPr>
        <b/>
        <vertAlign val="subscript"/>
        <sz val="11"/>
        <color theme="1"/>
        <rFont val="Calibri"/>
      </rPr>
      <t>2</t>
    </r>
    <r>
      <rPr>
        <b/>
        <sz val="11"/>
        <color theme="1"/>
        <rFont val="Calibri"/>
      </rPr>
      <t>)</t>
    </r>
  </si>
  <si>
    <t>(MMTC)</t>
  </si>
  <si>
    <t>CO2_GWP=</t>
  </si>
  <si>
    <t>Distillate Fuel</t>
  </si>
  <si>
    <t>CH4_GWP =</t>
  </si>
  <si>
    <t>Residual Fuel</t>
  </si>
  <si>
    <t>N2O_GWP=</t>
  </si>
  <si>
    <t>SF6_GWP =</t>
  </si>
  <si>
    <r>
      <rPr>
        <b/>
        <sz val="18"/>
        <color rgb="FF548DD4"/>
        <rFont val="Calibri"/>
      </rPr>
      <t>CH</t>
    </r>
    <r>
      <rPr>
        <b/>
        <vertAlign val="subscript"/>
        <sz val="18"/>
        <color rgb="FF548DD4"/>
        <rFont val="Calibri"/>
      </rPr>
      <t>4</t>
    </r>
    <r>
      <rPr>
        <b/>
        <sz val="18"/>
        <color rgb="FF548DD4"/>
        <rFont val="Calibri"/>
      </rPr>
      <t xml:space="preserve"> EMISSION SUMMARY</t>
    </r>
  </si>
  <si>
    <r>
      <rPr>
        <sz val="14"/>
        <color rgb="FF000000"/>
        <rFont val="Comic Sans MS"/>
      </rPr>
      <t>Electric Power Sector CH</t>
    </r>
    <r>
      <rPr>
        <vertAlign val="subscript"/>
        <sz val="14"/>
        <color rgb="FF000000"/>
        <rFont val="Comic Sans MS"/>
      </rPr>
      <t>4</t>
    </r>
  </si>
  <si>
    <t xml:space="preserve">Emissions </t>
  </si>
  <si>
    <t>GWP</t>
  </si>
  <si>
    <t>(Billion Btu)</t>
  </si>
  <si>
    <r>
      <rPr>
        <sz val="11"/>
        <color theme="1"/>
        <rFont val="Arial"/>
      </rPr>
      <t>(short tons CH</t>
    </r>
    <r>
      <rPr>
        <b/>
        <vertAlign val="subscript"/>
        <sz val="11"/>
        <color theme="1"/>
        <rFont val="Arial"/>
      </rPr>
      <t>4</t>
    </r>
    <r>
      <rPr>
        <b/>
        <sz val="11"/>
        <color theme="1"/>
        <rFont val="Arial"/>
      </rPr>
      <t>)</t>
    </r>
  </si>
  <si>
    <r>
      <rPr>
        <sz val="11"/>
        <color theme="1"/>
        <rFont val="Arial"/>
      </rPr>
      <t>(metric tons CH</t>
    </r>
    <r>
      <rPr>
        <b/>
        <vertAlign val="subscript"/>
        <sz val="11"/>
        <color theme="1"/>
        <rFont val="Arial"/>
      </rPr>
      <t>4</t>
    </r>
    <r>
      <rPr>
        <b/>
        <sz val="11"/>
        <color theme="1"/>
        <rFont val="Arial"/>
      </rPr>
      <t>)</t>
    </r>
  </si>
  <si>
    <r>
      <rPr>
        <sz val="11"/>
        <color theme="1"/>
        <rFont val="Arial"/>
      </rPr>
      <t>(MMTCO</t>
    </r>
    <r>
      <rPr>
        <b/>
        <vertAlign val="subscript"/>
        <sz val="11"/>
        <color theme="1"/>
        <rFont val="Arial"/>
      </rPr>
      <t>2</t>
    </r>
    <r>
      <rPr>
        <b/>
        <sz val="11"/>
        <color theme="1"/>
        <rFont val="Arial"/>
      </rPr>
      <t>E)</t>
    </r>
  </si>
  <si>
    <r>
      <rPr>
        <sz val="18"/>
        <color rgb="FF548DD4"/>
        <rFont val="Calibri"/>
      </rPr>
      <t>N</t>
    </r>
    <r>
      <rPr>
        <b/>
        <vertAlign val="subscript"/>
        <sz val="18"/>
        <color rgb="FF548DD4"/>
        <rFont val="Calibri"/>
      </rPr>
      <t>2</t>
    </r>
    <r>
      <rPr>
        <b/>
        <sz val="18"/>
        <color rgb="FF548DD4"/>
        <rFont val="Calibri"/>
      </rPr>
      <t>O EMISSION SUMMARY</t>
    </r>
  </si>
  <si>
    <t>ALL UNITS</t>
  </si>
  <si>
    <r>
      <rPr>
        <sz val="14"/>
        <color theme="1"/>
        <rFont val="Comic Sans MS"/>
      </rPr>
      <t>Electric Power Sector N</t>
    </r>
    <r>
      <rPr>
        <vertAlign val="subscript"/>
        <sz val="14"/>
        <color theme="1"/>
        <rFont val="Comic Sans MS"/>
      </rPr>
      <t>2</t>
    </r>
    <r>
      <rPr>
        <sz val="14"/>
        <color theme="1"/>
        <rFont val="Comic Sans MS"/>
      </rPr>
      <t>O</t>
    </r>
  </si>
  <si>
    <t>Emissions</t>
  </si>
  <si>
    <r>
      <rPr>
        <sz val="11"/>
        <color theme="1"/>
        <rFont val="Arial"/>
      </rPr>
      <t>(short tons N</t>
    </r>
    <r>
      <rPr>
        <b/>
        <vertAlign val="subscript"/>
        <sz val="11"/>
        <color theme="1"/>
        <rFont val="Comic Sans MS"/>
      </rPr>
      <t>2</t>
    </r>
    <r>
      <rPr>
        <b/>
        <sz val="11"/>
        <color theme="1"/>
        <rFont val="Comic Sans MS"/>
      </rPr>
      <t>O)</t>
    </r>
  </si>
  <si>
    <r>
      <rPr>
        <sz val="11"/>
        <color theme="1"/>
        <rFont val="Arial"/>
      </rPr>
      <t>(metric tons N</t>
    </r>
    <r>
      <rPr>
        <b/>
        <vertAlign val="subscript"/>
        <sz val="11"/>
        <color theme="1"/>
        <rFont val="Comic Sans MS"/>
      </rPr>
      <t>2</t>
    </r>
    <r>
      <rPr>
        <b/>
        <sz val="11"/>
        <color theme="1"/>
        <rFont val="Comic Sans MS"/>
      </rPr>
      <t>O)</t>
    </r>
  </si>
  <si>
    <r>
      <rPr>
        <sz val="11"/>
        <color theme="1"/>
        <rFont val="Arial"/>
      </rPr>
      <t>(MMTCO</t>
    </r>
    <r>
      <rPr>
        <b/>
        <vertAlign val="subscript"/>
        <sz val="11"/>
        <color theme="1"/>
        <rFont val="Comic Sans MS"/>
      </rPr>
      <t>2</t>
    </r>
    <r>
      <rPr>
        <b/>
        <sz val="11"/>
        <color theme="1"/>
        <rFont val="Comic Sans MS"/>
      </rPr>
      <t>E)</t>
    </r>
  </si>
  <si>
    <t>GHG EMISSION SUMMARY</t>
  </si>
  <si>
    <t>Electric Power Sector GHG</t>
  </si>
  <si>
    <r>
      <rPr>
        <b/>
        <sz val="11"/>
        <color theme="1"/>
        <rFont val="Arial"/>
      </rPr>
      <t>CO</t>
    </r>
    <r>
      <rPr>
        <b/>
        <vertAlign val="subscript"/>
        <sz val="11"/>
        <color theme="1"/>
        <rFont val="Arial"/>
      </rPr>
      <t>2</t>
    </r>
  </si>
  <si>
    <r>
      <rPr>
        <b/>
        <sz val="11"/>
        <color theme="1"/>
        <rFont val="Arial"/>
      </rPr>
      <t>N</t>
    </r>
    <r>
      <rPr>
        <b/>
        <vertAlign val="subscript"/>
        <sz val="11"/>
        <color theme="1"/>
        <rFont val="Arial"/>
      </rPr>
      <t>2</t>
    </r>
    <r>
      <rPr>
        <b/>
        <sz val="11"/>
        <color theme="1"/>
        <rFont val="Arial"/>
      </rPr>
      <t>O</t>
    </r>
  </si>
  <si>
    <r>
      <rPr>
        <b/>
        <sz val="11"/>
        <color theme="1"/>
        <rFont val="Arial"/>
      </rPr>
      <t>CH</t>
    </r>
    <r>
      <rPr>
        <b/>
        <vertAlign val="subscript"/>
        <sz val="11"/>
        <color theme="1"/>
        <rFont val="Arial"/>
      </rPr>
      <t>4</t>
    </r>
  </si>
  <si>
    <r>
      <rPr>
        <b/>
        <sz val="11"/>
        <color theme="1"/>
        <rFont val="Arial"/>
      </rPr>
      <t>(MMTCO</t>
    </r>
    <r>
      <rPr>
        <b/>
        <vertAlign val="subscript"/>
        <sz val="11"/>
        <color theme="1"/>
        <rFont val="Arial"/>
      </rPr>
      <t>2</t>
    </r>
    <r>
      <rPr>
        <b/>
        <sz val="11"/>
        <color theme="1"/>
        <rFont val="Arial"/>
      </rPr>
      <t>E)</t>
    </r>
  </si>
  <si>
    <r>
      <rPr>
        <b/>
        <sz val="11"/>
        <color theme="1"/>
        <rFont val="Arial"/>
      </rPr>
      <t>(MMTCO</t>
    </r>
    <r>
      <rPr>
        <b/>
        <vertAlign val="subscript"/>
        <sz val="11"/>
        <color theme="1"/>
        <rFont val="Arial"/>
      </rPr>
      <t>2</t>
    </r>
    <r>
      <rPr>
        <b/>
        <sz val="11"/>
        <color theme="1"/>
        <rFont val="Arial"/>
      </rPr>
      <t>E)</t>
    </r>
  </si>
  <si>
    <r>
      <rPr>
        <b/>
        <sz val="11"/>
        <color theme="1"/>
        <rFont val="Arial"/>
      </rPr>
      <t>(MMTCO</t>
    </r>
    <r>
      <rPr>
        <b/>
        <vertAlign val="subscript"/>
        <sz val="11"/>
        <color theme="1"/>
        <rFont val="Arial"/>
      </rPr>
      <t>2</t>
    </r>
    <r>
      <rPr>
        <b/>
        <sz val="11"/>
        <color theme="1"/>
        <rFont val="Arial"/>
      </rPr>
      <t>E)</t>
    </r>
  </si>
  <si>
    <r>
      <rPr>
        <b/>
        <sz val="11"/>
        <color theme="1"/>
        <rFont val="Arial"/>
      </rPr>
      <t>(MMTCO</t>
    </r>
    <r>
      <rPr>
        <b/>
        <vertAlign val="subscript"/>
        <sz val="11"/>
        <color theme="1"/>
        <rFont val="Arial"/>
      </rPr>
      <t>2</t>
    </r>
    <r>
      <rPr>
        <b/>
        <sz val="11"/>
        <color theme="1"/>
        <rFont val="Arial"/>
      </rPr>
      <t>E)</t>
    </r>
  </si>
  <si>
    <r>
      <rPr>
        <b/>
        <sz val="10"/>
        <color theme="1"/>
        <rFont val="Arial"/>
      </rPr>
      <t>CO</t>
    </r>
    <r>
      <rPr>
        <b/>
        <vertAlign val="subscript"/>
        <sz val="10"/>
        <color theme="1"/>
        <rFont val="Arial"/>
      </rPr>
      <t xml:space="preserve">2 </t>
    </r>
    <r>
      <rPr>
        <b/>
        <sz val="10"/>
        <color theme="1"/>
        <rFont val="Arial"/>
      </rPr>
      <t>Emmission</t>
    </r>
  </si>
  <si>
    <r>
      <rPr>
        <b/>
        <sz val="10"/>
        <color theme="1"/>
        <rFont val="Arial"/>
      </rPr>
      <t>CH</t>
    </r>
    <r>
      <rPr>
        <b/>
        <vertAlign val="subscript"/>
        <sz val="10"/>
        <color theme="1"/>
        <rFont val="Arial"/>
      </rPr>
      <t>4</t>
    </r>
    <r>
      <rPr>
        <b/>
        <sz val="10"/>
        <color theme="1"/>
        <rFont val="Arial"/>
      </rPr>
      <t xml:space="preserve"> </t>
    </r>
    <r>
      <rPr>
        <b/>
        <vertAlign val="subscript"/>
        <sz val="10"/>
        <color theme="1"/>
        <rFont val="Arial"/>
      </rPr>
      <t xml:space="preserve"> </t>
    </r>
    <r>
      <rPr>
        <b/>
        <sz val="10"/>
        <color theme="1"/>
        <rFont val="Arial"/>
      </rPr>
      <t>Emission</t>
    </r>
  </si>
  <si>
    <r>
      <rPr>
        <b/>
        <sz val="10"/>
        <color theme="1"/>
        <rFont val="Arial"/>
      </rPr>
      <t>N</t>
    </r>
    <r>
      <rPr>
        <b/>
        <vertAlign val="subscript"/>
        <sz val="10"/>
        <color theme="1"/>
        <rFont val="Arial"/>
      </rPr>
      <t>2</t>
    </r>
    <r>
      <rPr>
        <b/>
        <sz val="10"/>
        <color theme="1"/>
        <rFont val="Arial"/>
      </rPr>
      <t xml:space="preserve">O </t>
    </r>
    <r>
      <rPr>
        <b/>
        <vertAlign val="subscript"/>
        <sz val="10"/>
        <color theme="1"/>
        <rFont val="Arial"/>
      </rPr>
      <t xml:space="preserve"> </t>
    </r>
    <r>
      <rPr>
        <b/>
        <sz val="10"/>
        <color theme="1"/>
        <rFont val="Arial"/>
      </rPr>
      <t>Emission</t>
    </r>
  </si>
  <si>
    <t>Emission Factors</t>
  </si>
  <si>
    <t>e-GGRT Subpart D</t>
  </si>
  <si>
    <r>
      <rPr>
        <sz val="10"/>
        <color theme="1"/>
        <rFont val="Arial"/>
      </rPr>
      <t>CH</t>
    </r>
    <r>
      <rPr>
        <vertAlign val="subscript"/>
        <sz val="10"/>
        <color theme="1"/>
        <rFont val="Arial"/>
      </rPr>
      <t>4</t>
    </r>
    <r>
      <rPr>
        <sz val="10"/>
        <color theme="1"/>
        <rFont val="Arial"/>
      </rPr>
      <t>(lb/MMBTU)</t>
    </r>
  </si>
  <si>
    <r>
      <rPr>
        <sz val="10"/>
        <color theme="1"/>
        <rFont val="Arial"/>
      </rPr>
      <t>N</t>
    </r>
    <r>
      <rPr>
        <vertAlign val="subscript"/>
        <sz val="10"/>
        <color theme="1"/>
        <rFont val="Arial"/>
      </rPr>
      <t>2</t>
    </r>
    <r>
      <rPr>
        <sz val="10"/>
        <color theme="1"/>
        <rFont val="Arial"/>
      </rPr>
      <t>O (lb/MMBTU)</t>
    </r>
  </si>
  <si>
    <t>24-005-0079</t>
  </si>
  <si>
    <t xml:space="preserve">C.P.Crane </t>
  </si>
  <si>
    <t>3-0108</t>
  </si>
  <si>
    <t>Boiler Unit 1</t>
  </si>
  <si>
    <t>Bit Coal</t>
  </si>
  <si>
    <t>MMBTU/tons</t>
  </si>
  <si>
    <t>Sub -Bit -Coal</t>
  </si>
  <si>
    <t>3-0109</t>
  </si>
  <si>
    <t>Boiler Unit 2</t>
  </si>
  <si>
    <t>2014 ECMPS</t>
  </si>
  <si>
    <t>Unit 1 and Unit 2</t>
  </si>
  <si>
    <t>4-0091</t>
  </si>
  <si>
    <t>Aux Boiler # 2</t>
  </si>
  <si>
    <t>MMBtu/ 1E+03 gal</t>
  </si>
  <si>
    <t>e-GGRT Subpart C</t>
  </si>
  <si>
    <t>CH4 (lb/MMBTU)</t>
  </si>
  <si>
    <t>N2O(lb/MMBTU)</t>
  </si>
  <si>
    <t>4-1107</t>
  </si>
  <si>
    <t>Aux Boiler # 3</t>
  </si>
  <si>
    <t>Aux 2,3 and CT</t>
  </si>
  <si>
    <t>4-0089</t>
  </si>
  <si>
    <t>CT (14 MW)</t>
  </si>
  <si>
    <t>Sub Bit Coal</t>
  </si>
  <si>
    <t>40 CFR 98</t>
  </si>
  <si>
    <t>Fuel</t>
  </si>
  <si>
    <t>Emission Factors (kg/MMBTU)</t>
  </si>
  <si>
    <r>
      <rPr>
        <b/>
        <sz val="10"/>
        <color theme="1"/>
        <rFont val="Arial"/>
      </rPr>
      <t>CO</t>
    </r>
    <r>
      <rPr>
        <b/>
        <vertAlign val="subscript"/>
        <sz val="10"/>
        <color theme="1"/>
        <rFont val="Arial"/>
      </rPr>
      <t>2</t>
    </r>
  </si>
  <si>
    <r>
      <rPr>
        <b/>
        <sz val="10"/>
        <color theme="1"/>
        <rFont val="Arial"/>
      </rPr>
      <t>CH</t>
    </r>
    <r>
      <rPr>
        <b/>
        <vertAlign val="subscript"/>
        <sz val="10"/>
        <color theme="1"/>
        <rFont val="Arial"/>
      </rPr>
      <t>4</t>
    </r>
  </si>
  <si>
    <r>
      <rPr>
        <b/>
        <sz val="10"/>
        <color theme="1"/>
        <rFont val="Arial"/>
      </rPr>
      <t>N</t>
    </r>
    <r>
      <rPr>
        <b/>
        <vertAlign val="subscript"/>
        <sz val="10"/>
        <color theme="1"/>
        <rFont val="Arial"/>
      </rPr>
      <t>2</t>
    </r>
    <r>
      <rPr>
        <b/>
        <sz val="10"/>
        <color theme="1"/>
        <rFont val="Arial"/>
      </rPr>
      <t>O</t>
    </r>
  </si>
  <si>
    <t>Bitumunious Coal</t>
  </si>
  <si>
    <t>Subbituminous Coal</t>
  </si>
  <si>
    <t>Distillate Fuel oil #2</t>
  </si>
  <si>
    <t>Distillate Fuel Oil #6</t>
  </si>
  <si>
    <t>Kerosene</t>
  </si>
  <si>
    <t>Propane</t>
  </si>
  <si>
    <t>Gasoline</t>
  </si>
  <si>
    <t>#2 Oli</t>
  </si>
  <si>
    <r>
      <rPr>
        <sz val="10"/>
        <color theme="1"/>
        <rFont val="Arial"/>
      </rPr>
      <t>CH</t>
    </r>
    <r>
      <rPr>
        <vertAlign val="subscript"/>
        <sz val="10"/>
        <color theme="1"/>
        <rFont val="Arial"/>
      </rPr>
      <t>4</t>
    </r>
    <r>
      <rPr>
        <sz val="10"/>
        <color theme="1"/>
        <rFont val="Arial"/>
      </rPr>
      <t>(lb/MMBTU)</t>
    </r>
  </si>
  <si>
    <r>
      <rPr>
        <sz val="10"/>
        <color theme="1"/>
        <rFont val="Arial"/>
      </rPr>
      <t>N</t>
    </r>
    <r>
      <rPr>
        <vertAlign val="subscript"/>
        <sz val="10"/>
        <color theme="1"/>
        <rFont val="Arial"/>
      </rPr>
      <t>2</t>
    </r>
    <r>
      <rPr>
        <sz val="10"/>
        <color theme="1"/>
        <rFont val="Arial"/>
      </rPr>
      <t>O (lb/MMBTU)</t>
    </r>
  </si>
  <si>
    <t>005-0078</t>
  </si>
  <si>
    <t>Riverside</t>
  </si>
  <si>
    <t>4-1363</t>
  </si>
  <si>
    <t xml:space="preserve">Combustion Turbine # 6 </t>
  </si>
  <si>
    <t>MMBTU/10E+06 scf</t>
  </si>
  <si>
    <t>4-1082</t>
  </si>
  <si>
    <t xml:space="preserve"> Boiler #4</t>
  </si>
  <si>
    <t>4-0658</t>
  </si>
  <si>
    <t>Combustion Turbine # 7</t>
  </si>
  <si>
    <t>4-0659</t>
  </si>
  <si>
    <t xml:space="preserve">Combustion Turbine #8 </t>
  </si>
  <si>
    <r>
      <rPr>
        <b/>
        <sz val="10"/>
        <color theme="1"/>
        <rFont val="Arial"/>
      </rPr>
      <t>CO</t>
    </r>
    <r>
      <rPr>
        <b/>
        <vertAlign val="subscript"/>
        <sz val="10"/>
        <color theme="1"/>
        <rFont val="Arial"/>
      </rPr>
      <t>2</t>
    </r>
  </si>
  <si>
    <r>
      <rPr>
        <b/>
        <sz val="10"/>
        <color theme="1"/>
        <rFont val="Arial"/>
      </rPr>
      <t>CH</t>
    </r>
    <r>
      <rPr>
        <b/>
        <vertAlign val="subscript"/>
        <sz val="10"/>
        <color theme="1"/>
        <rFont val="Arial"/>
      </rPr>
      <t>4</t>
    </r>
  </si>
  <si>
    <r>
      <rPr>
        <b/>
        <sz val="10"/>
        <color theme="1"/>
        <rFont val="Arial"/>
      </rPr>
      <t>N</t>
    </r>
    <r>
      <rPr>
        <b/>
        <vertAlign val="subscript"/>
        <sz val="10"/>
        <color theme="1"/>
        <rFont val="Arial"/>
      </rPr>
      <t>2</t>
    </r>
    <r>
      <rPr>
        <b/>
        <sz val="10"/>
        <color theme="1"/>
        <rFont val="Arial"/>
      </rPr>
      <t>O</t>
    </r>
  </si>
  <si>
    <t>Emission Certificate Report-Easton Utility</t>
  </si>
  <si>
    <t>BTU for #2 Fuel Oil =137,000</t>
  </si>
  <si>
    <r>
      <rPr>
        <sz val="10"/>
        <color rgb="FFFF0000"/>
        <rFont val="Arial"/>
      </rPr>
      <t>N</t>
    </r>
    <r>
      <rPr>
        <vertAlign val="subscript"/>
        <sz val="10"/>
        <color rgb="FFFF0000"/>
        <rFont val="Arial"/>
      </rPr>
      <t>2</t>
    </r>
    <r>
      <rPr>
        <sz val="10"/>
        <color rgb="FFFF0000"/>
        <rFont val="Arial"/>
      </rPr>
      <t>O Emission Factor =</t>
    </r>
  </si>
  <si>
    <t>0.11 lbs/1,000 gal</t>
  </si>
  <si>
    <r>
      <rPr>
        <sz val="10"/>
        <color rgb="FFFF0000"/>
        <rFont val="Arial"/>
      </rPr>
      <t>CH</t>
    </r>
    <r>
      <rPr>
        <vertAlign val="subscript"/>
        <sz val="10"/>
        <color rgb="FFFF0000"/>
        <rFont val="Arial"/>
      </rPr>
      <t>4</t>
    </r>
    <r>
      <rPr>
        <sz val="10"/>
        <color rgb="FFFF0000"/>
        <rFont val="Arial"/>
      </rPr>
      <t xml:space="preserve"> Emission Factors =</t>
    </r>
  </si>
  <si>
    <t>1.11 lbs/1,000 gallons of Fuel</t>
  </si>
  <si>
    <r>
      <rPr>
        <sz val="10"/>
        <color rgb="FFFF0000"/>
        <rFont val="Arial"/>
      </rPr>
      <t>CO</t>
    </r>
    <r>
      <rPr>
        <vertAlign val="subscript"/>
        <sz val="10"/>
        <color rgb="FFFF0000"/>
        <rFont val="Arial"/>
      </rPr>
      <t>2</t>
    </r>
    <r>
      <rPr>
        <sz val="10"/>
        <color rgb="FFFF0000"/>
        <rFont val="Arial"/>
      </rPr>
      <t xml:space="preserve"> Emission Factor =</t>
    </r>
  </si>
  <si>
    <t>22,600 lbs/1,000 gallons</t>
  </si>
  <si>
    <t>Berlin Town</t>
  </si>
  <si>
    <r>
      <rPr>
        <sz val="10"/>
        <color theme="1"/>
        <rFont val="Arial"/>
      </rPr>
      <t>CO</t>
    </r>
    <r>
      <rPr>
        <b/>
        <vertAlign val="subscript"/>
        <sz val="10"/>
        <color rgb="FFFF0000"/>
        <rFont val="Arial"/>
      </rPr>
      <t xml:space="preserve">2 </t>
    </r>
    <r>
      <rPr>
        <b/>
        <sz val="10"/>
        <color rgb="FFFF0000"/>
        <rFont val="Arial"/>
      </rPr>
      <t>Emission factor Sources ; 22.2 pounds/gallons . Http;www.epa.gov/oms/climate/420f05001.htm</t>
    </r>
  </si>
  <si>
    <r>
      <rPr>
        <sz val="10"/>
        <color theme="1"/>
        <rFont val="Arial"/>
      </rPr>
      <t>CH</t>
    </r>
    <r>
      <rPr>
        <b/>
        <vertAlign val="subscript"/>
        <sz val="10"/>
        <color rgb="FFFF0000"/>
        <rFont val="Arial"/>
      </rPr>
      <t>4</t>
    </r>
    <r>
      <rPr>
        <b/>
        <sz val="10"/>
        <color rgb="FFFF0000"/>
        <rFont val="Arial"/>
      </rPr>
      <t xml:space="preserve"> ;3g/MMBTU</t>
    </r>
  </si>
  <si>
    <t>0.9 lbs/1,000 gal</t>
  </si>
  <si>
    <r>
      <rPr>
        <sz val="10"/>
        <color theme="1"/>
        <rFont val="Arial"/>
      </rPr>
      <t>N</t>
    </r>
    <r>
      <rPr>
        <b/>
        <vertAlign val="subscript"/>
        <sz val="10"/>
        <color rgb="FFFF0000"/>
        <rFont val="Arial"/>
      </rPr>
      <t>2</t>
    </r>
    <r>
      <rPr>
        <b/>
        <sz val="10"/>
        <color rgb="FFFF0000"/>
        <rFont val="Arial"/>
      </rPr>
      <t>O ; 0.6 g/MMBTU</t>
    </r>
  </si>
  <si>
    <t>0.2 lbs/1,000 gal</t>
  </si>
  <si>
    <t>Crisfield</t>
  </si>
  <si>
    <t>(lb/MMBTU)</t>
  </si>
  <si>
    <t>(lb/Mgal)</t>
  </si>
  <si>
    <r>
      <rPr>
        <sz val="10"/>
        <color theme="1"/>
        <rFont val="Arial"/>
      </rPr>
      <t>CO</t>
    </r>
    <r>
      <rPr>
        <vertAlign val="subscript"/>
        <sz val="10"/>
        <color theme="1"/>
        <rFont val="Arial"/>
      </rPr>
      <t>2</t>
    </r>
    <r>
      <rPr>
        <sz val="10"/>
        <color theme="1"/>
        <rFont val="Arial"/>
      </rPr>
      <t xml:space="preserve"> Emission Factor</t>
    </r>
  </si>
  <si>
    <r>
      <rPr>
        <sz val="10"/>
        <color theme="1"/>
        <rFont val="Arial"/>
      </rPr>
      <t>CH</t>
    </r>
    <r>
      <rPr>
        <vertAlign val="subscript"/>
        <sz val="10"/>
        <color theme="1"/>
        <rFont val="Arial"/>
      </rPr>
      <t>4</t>
    </r>
    <r>
      <rPr>
        <sz val="10"/>
        <color theme="1"/>
        <rFont val="Arial"/>
      </rPr>
      <t xml:space="preserve"> Emission Factor</t>
    </r>
  </si>
  <si>
    <r>
      <rPr>
        <sz val="10"/>
        <color theme="1"/>
        <rFont val="Arial"/>
      </rPr>
      <t>N</t>
    </r>
    <r>
      <rPr>
        <vertAlign val="subscript"/>
        <sz val="10"/>
        <color theme="1"/>
        <rFont val="Arial"/>
      </rPr>
      <t>2</t>
    </r>
    <r>
      <rPr>
        <sz val="10"/>
        <color theme="1"/>
        <rFont val="Arial"/>
      </rPr>
      <t>O</t>
    </r>
  </si>
  <si>
    <t>NC</t>
  </si>
  <si>
    <t>Calvert Cliff</t>
  </si>
  <si>
    <r>
      <rPr>
        <sz val="10"/>
        <color theme="1"/>
        <rFont val="Arial"/>
      </rPr>
      <t>CO</t>
    </r>
    <r>
      <rPr>
        <vertAlign val="subscript"/>
        <sz val="10"/>
        <color theme="1"/>
        <rFont val="Arial"/>
      </rPr>
      <t>2</t>
    </r>
    <r>
      <rPr>
        <sz val="10"/>
        <color theme="1"/>
        <rFont val="Arial"/>
      </rPr>
      <t xml:space="preserve"> Emission Factor for EDG ;Table 3.4-1 of AP-42 =165 lbs/MMBTU</t>
    </r>
  </si>
  <si>
    <r>
      <rPr>
        <sz val="10"/>
        <color theme="1"/>
        <rFont val="Arial"/>
      </rPr>
      <t>CO</t>
    </r>
    <r>
      <rPr>
        <vertAlign val="subscript"/>
        <sz val="10"/>
        <color theme="1"/>
        <rFont val="Arial"/>
      </rPr>
      <t>2</t>
    </r>
    <r>
      <rPr>
        <sz val="10"/>
        <color theme="1"/>
        <rFont val="Arial"/>
      </rPr>
      <t xml:space="preserve"> Emission Factor for Aux Boilers  ;Table 1.3-12 of AP-42 =2.23E+04 lbs/1,000gal</t>
    </r>
  </si>
  <si>
    <t>CH4 Emission Factor for EDG ;Table 3.4-1 of AP-42 =1.00E-06 lbs/gal</t>
  </si>
  <si>
    <t>CH4 Emission Factor for Aux Boilers  ;Table 1.3-3 of AP-42 =1.00E+03 lbs/gal</t>
  </si>
  <si>
    <r>
      <rPr>
        <sz val="10"/>
        <color theme="1"/>
        <rFont val="Arial"/>
      </rPr>
      <t>N</t>
    </r>
    <r>
      <rPr>
        <vertAlign val="subscript"/>
        <sz val="10"/>
        <color theme="1"/>
        <rFont val="Arial"/>
      </rPr>
      <t>2</t>
    </r>
    <r>
      <rPr>
        <sz val="10"/>
        <color theme="1"/>
        <rFont val="Arial"/>
      </rPr>
      <t>O Emission Factor for EDG ;Table 1.3.8 of AP-42 =1.00E+03 lbs/gal</t>
    </r>
  </si>
  <si>
    <r>
      <rPr>
        <sz val="10"/>
        <color rgb="FFFF0000"/>
        <rFont val="Arial"/>
      </rPr>
      <t>Constellation New Energy</t>
    </r>
    <r>
      <rPr>
        <sz val="10"/>
        <color theme="1"/>
        <rFont val="Arial"/>
      </rPr>
      <t xml:space="preserve"> Gallon Back Calculation</t>
    </r>
  </si>
  <si>
    <t>GHG</t>
  </si>
  <si>
    <t>Hours</t>
  </si>
  <si>
    <t>E.F (lb/hr)</t>
  </si>
  <si>
    <t>Emissions (Tons/Yr)</t>
  </si>
  <si>
    <t>Rating (gallon/hr)</t>
  </si>
  <si>
    <t>Fuel Usage (Gallons)</t>
  </si>
  <si>
    <t>AP-42 Method</t>
  </si>
  <si>
    <t>510-0007</t>
  </si>
  <si>
    <r>
      <rPr>
        <b/>
        <sz val="10"/>
        <color theme="1"/>
        <rFont val="Arial"/>
      </rPr>
      <t xml:space="preserve">CPSG - </t>
    </r>
    <r>
      <rPr>
        <b/>
        <sz val="10"/>
        <color rgb="FFFF0000"/>
        <rFont val="Arial"/>
      </rPr>
      <t>Gould Street</t>
    </r>
  </si>
  <si>
    <t>4-0536</t>
  </si>
  <si>
    <t>Unit 3 Utility B</t>
  </si>
  <si>
    <t xml:space="preserve">    Electric Consumption (Imported Electricity) Emissions for Maryland</t>
  </si>
  <si>
    <t>Fuel Consumption For Electricity Generation</t>
  </si>
  <si>
    <t>Coal (Short Tons)</t>
  </si>
  <si>
    <t>Petroleum (Barrels)</t>
  </si>
  <si>
    <t>Natural Gas (Mcf)</t>
  </si>
  <si>
    <t>Other Gases (MMBTU)</t>
  </si>
  <si>
    <t xml:space="preserve"> MD In-State Gross Generation (MWh)</t>
  </si>
  <si>
    <t>Petroleum</t>
  </si>
  <si>
    <t>Other Gases</t>
  </si>
  <si>
    <t>Nuclear</t>
  </si>
  <si>
    <t>Hydroelectric Conventional</t>
  </si>
  <si>
    <t>Wind</t>
  </si>
  <si>
    <t>Solar Thermal and Photovoltaic</t>
  </si>
  <si>
    <t>Wood and Wood Derived Fuels</t>
  </si>
  <si>
    <t>Other Biomass</t>
  </si>
  <si>
    <t>Other</t>
  </si>
  <si>
    <t>MD -Electricity Losses (MWh) (Transmission and Distribution) Assume 6.25 %</t>
  </si>
  <si>
    <t>T &amp;D Losses</t>
  </si>
  <si>
    <r>
      <rPr>
        <b/>
        <sz val="10"/>
        <color theme="1"/>
        <rFont val="Calibri"/>
      </rPr>
      <t xml:space="preserve"> </t>
    </r>
    <r>
      <rPr>
        <b/>
        <sz val="10"/>
        <color rgb="FF339966"/>
        <rFont val="Calibri"/>
      </rPr>
      <t>Net MD In-State Electricity Generated (MWh)</t>
    </r>
    <r>
      <rPr>
        <b/>
        <sz val="10"/>
        <color theme="1"/>
        <rFont val="Calibri"/>
      </rPr>
      <t xml:space="preserve"> =</t>
    </r>
    <r>
      <rPr>
        <b/>
        <sz val="10"/>
        <color rgb="FF0000FF"/>
        <rFont val="Calibri"/>
      </rPr>
      <t xml:space="preserve"> (MD Gross In-State Electricity Generated)</t>
    </r>
    <r>
      <rPr>
        <b/>
        <sz val="10"/>
        <color theme="1"/>
        <rFont val="Calibri"/>
      </rPr>
      <t xml:space="preserve"> - (</t>
    </r>
    <r>
      <rPr>
        <b/>
        <sz val="10"/>
        <color rgb="FFFF0000"/>
        <rFont val="Calibri"/>
      </rPr>
      <t>T &amp;D Losses)</t>
    </r>
  </si>
  <si>
    <t>Net In -State Generated Electricity</t>
  </si>
  <si>
    <t>Electricity Consumption (MWh) (MD Retail Sales)</t>
  </si>
  <si>
    <t>Residential</t>
  </si>
  <si>
    <t>Commercial</t>
  </si>
  <si>
    <t>Industrial</t>
  </si>
  <si>
    <t>Transportation</t>
  </si>
  <si>
    <t>Others</t>
  </si>
  <si>
    <t>Total Electric Consumption (Mwh) NET</t>
  </si>
  <si>
    <t>Total Electric Consumption (Mwh) GROSS</t>
  </si>
  <si>
    <r>
      <rPr>
        <b/>
        <sz val="10"/>
        <color theme="1"/>
        <rFont val="Calibri"/>
      </rPr>
      <t xml:space="preserve">Electricity Imported (MWh) = </t>
    </r>
    <r>
      <rPr>
        <sz val="10"/>
        <color rgb="FF993366"/>
        <rFont val="Calibri"/>
      </rPr>
      <t>MD Retail Sales</t>
    </r>
    <r>
      <rPr>
        <sz val="10"/>
        <color theme="1"/>
        <rFont val="Calibri"/>
      </rPr>
      <t xml:space="preserve"> - </t>
    </r>
    <r>
      <rPr>
        <sz val="10"/>
        <color rgb="FF339966"/>
        <rFont val="Calibri"/>
      </rPr>
      <t>Net In-state Generation</t>
    </r>
  </si>
  <si>
    <t>Gross Imported Electricity to Meet MD Demand (MWh)</t>
  </si>
  <si>
    <t>GHG Associated with Imported Electricity</t>
  </si>
  <si>
    <r>
      <rPr>
        <b/>
        <sz val="10"/>
        <color theme="1"/>
        <rFont val="Calibri"/>
      </rPr>
      <t>2020-PJM</t>
    </r>
    <r>
      <rPr>
        <sz val="10"/>
        <color theme="1"/>
        <rFont val="Calibri"/>
      </rPr>
      <t xml:space="preserve"> Average CO</t>
    </r>
    <r>
      <rPr>
        <vertAlign val="subscript"/>
        <sz val="10"/>
        <color theme="1"/>
        <rFont val="Calibri"/>
      </rPr>
      <t>2</t>
    </r>
    <r>
      <rPr>
        <sz val="10"/>
        <color theme="1"/>
        <rFont val="Calibri"/>
      </rPr>
      <t xml:space="preserve"> Emission Rate (lbs/MWh)</t>
    </r>
  </si>
  <si>
    <r>
      <rPr>
        <sz val="8"/>
        <color theme="1"/>
        <rFont val="Calibri"/>
      </rPr>
      <t>CO</t>
    </r>
    <r>
      <rPr>
        <vertAlign val="subscript"/>
        <sz val="8"/>
        <color theme="1"/>
        <rFont val="Calibri"/>
      </rPr>
      <t>2</t>
    </r>
    <r>
      <rPr>
        <vertAlign val="subscript"/>
        <sz val="10"/>
        <color theme="1"/>
        <rFont val="Calibri"/>
      </rPr>
      <t xml:space="preserve"> </t>
    </r>
    <r>
      <rPr>
        <sz val="10"/>
        <color theme="1"/>
        <rFont val="Calibri"/>
      </rPr>
      <t>Emission</t>
    </r>
  </si>
  <si>
    <r>
      <rPr>
        <sz val="8"/>
        <color theme="1"/>
        <rFont val="Calibri"/>
      </rPr>
      <t>(CO</t>
    </r>
    <r>
      <rPr>
        <vertAlign val="subscript"/>
        <sz val="8"/>
        <color theme="1"/>
        <rFont val="Calibri"/>
      </rPr>
      <t>2</t>
    </r>
    <r>
      <rPr>
        <vertAlign val="subscript"/>
        <sz val="10"/>
        <color theme="1"/>
        <rFont val="Calibri"/>
      </rPr>
      <t xml:space="preserve"> </t>
    </r>
    <r>
      <rPr>
        <sz val="10"/>
        <color theme="1"/>
        <rFont val="Calibri"/>
      </rPr>
      <t>Emission Rate of Marginal Units)</t>
    </r>
  </si>
  <si>
    <t>Oil</t>
  </si>
  <si>
    <t>Hydroelectric</t>
  </si>
  <si>
    <t>Solid Waste</t>
  </si>
  <si>
    <r>
      <rPr>
        <b/>
        <sz val="10"/>
        <color theme="1"/>
        <rFont val="Calibri"/>
      </rPr>
      <t>Captured CH</t>
    </r>
    <r>
      <rPr>
        <b/>
        <vertAlign val="subscript"/>
        <sz val="10"/>
        <color theme="1"/>
        <rFont val="Calibri"/>
      </rPr>
      <t>4</t>
    </r>
  </si>
  <si>
    <t>Biomass</t>
  </si>
  <si>
    <t>Solar</t>
  </si>
  <si>
    <t>Wood</t>
  </si>
  <si>
    <t>Actual Total 2020</t>
  </si>
  <si>
    <t>PJM Electricity Generation Fuel Mix 2020 (%)</t>
  </si>
  <si>
    <t>Maryland 2020  Import Share (MWh)</t>
  </si>
  <si>
    <t>Imported Electric CO2 Emissions Factors (metric-tons/MWh)</t>
  </si>
  <si>
    <r>
      <rPr>
        <sz val="10"/>
        <color theme="1"/>
        <rFont val="Arial"/>
      </rPr>
      <t>Imported Electric CO</t>
    </r>
    <r>
      <rPr>
        <vertAlign val="subscript"/>
        <sz val="10"/>
        <color theme="1"/>
        <rFont val="MS Sans Serif"/>
      </rPr>
      <t>2</t>
    </r>
    <r>
      <rPr>
        <sz val="10"/>
        <color theme="1"/>
        <rFont val="Arial"/>
      </rPr>
      <t xml:space="preserve"> Emissions (metric tons)</t>
    </r>
  </si>
  <si>
    <r>
      <rPr>
        <sz val="10"/>
        <color theme="1"/>
        <rFont val="Arial"/>
      </rPr>
      <t>Imported Electric CO</t>
    </r>
    <r>
      <rPr>
        <vertAlign val="subscript"/>
        <sz val="10"/>
        <color theme="1"/>
        <rFont val="MS Sans Serif"/>
      </rPr>
      <t>2</t>
    </r>
    <r>
      <rPr>
        <sz val="10"/>
        <color theme="1"/>
        <rFont val="Arial"/>
      </rPr>
      <t xml:space="preserve"> Emissions (MMTCO</t>
    </r>
    <r>
      <rPr>
        <vertAlign val="subscript"/>
        <sz val="10"/>
        <color theme="1"/>
        <rFont val="MS Sans Serif"/>
      </rPr>
      <t>2</t>
    </r>
    <r>
      <rPr>
        <sz val="10"/>
        <color theme="1"/>
        <rFont val="Arial"/>
      </rPr>
      <t>)</t>
    </r>
  </si>
  <si>
    <r>
      <rPr>
        <b/>
        <sz val="10"/>
        <color rgb="FFFF0000"/>
        <rFont val="Calibri"/>
      </rPr>
      <t xml:space="preserve"> Imported Electricity Emissions  (MMTCO</t>
    </r>
    <r>
      <rPr>
        <b/>
        <vertAlign val="subscript"/>
        <sz val="10"/>
        <color rgb="FFFF0000"/>
        <rFont val="Calibri"/>
      </rPr>
      <t>2</t>
    </r>
    <r>
      <rPr>
        <b/>
        <sz val="10"/>
        <color rgb="FFFF0000"/>
        <rFont val="Calibri"/>
      </rPr>
      <t>E)</t>
    </r>
  </si>
  <si>
    <t>Imported Electricity to Meet MD Demand (MWh)</t>
  </si>
  <si>
    <r>
      <rPr>
        <sz val="14"/>
        <color theme="1"/>
        <rFont val="Comic Sans MS"/>
      </rPr>
      <t>Residential Sector CO</t>
    </r>
    <r>
      <rPr>
        <vertAlign val="subscript"/>
        <sz val="14"/>
        <color theme="1"/>
        <rFont val="Comic Sans MS"/>
      </rPr>
      <t>2</t>
    </r>
  </si>
  <si>
    <t>Emission Factor</t>
  </si>
  <si>
    <t>Combustion</t>
  </si>
  <si>
    <t>(lbs C/Million Btu)</t>
  </si>
  <si>
    <t>Efficiency (%)</t>
  </si>
  <si>
    <t>(short tons carbon)</t>
  </si>
  <si>
    <r>
      <rPr>
        <b/>
        <sz val="8"/>
        <color theme="1"/>
        <rFont val="Comic Sans MS"/>
      </rPr>
      <t>(MMTCO</t>
    </r>
    <r>
      <rPr>
        <b/>
        <vertAlign val="subscript"/>
        <sz val="8"/>
        <color theme="1"/>
        <rFont val="Comic Sans MS"/>
      </rPr>
      <t>2</t>
    </r>
    <r>
      <rPr>
        <b/>
        <sz val="8"/>
        <color theme="1"/>
        <rFont val="Comic Sans MS"/>
      </rPr>
      <t>E)</t>
    </r>
  </si>
  <si>
    <t>LPG</t>
  </si>
  <si>
    <r>
      <rPr>
        <sz val="14"/>
        <color theme="1"/>
        <rFont val="Comic Sans MS"/>
      </rPr>
      <t>Residential Sector N</t>
    </r>
    <r>
      <rPr>
        <vertAlign val="subscript"/>
        <sz val="14"/>
        <color theme="1"/>
        <rFont val="Comic Sans MS"/>
      </rPr>
      <t>2</t>
    </r>
    <r>
      <rPr>
        <sz val="14"/>
        <color theme="1"/>
        <rFont val="Comic Sans MS"/>
      </rPr>
      <t>0</t>
    </r>
  </si>
  <si>
    <r>
      <rPr>
        <b/>
        <sz val="8"/>
        <color theme="1"/>
        <rFont val="Comic Sans MS"/>
      </rPr>
      <t>(metric tons N</t>
    </r>
    <r>
      <rPr>
        <b/>
        <vertAlign val="subscript"/>
        <sz val="8"/>
        <color theme="1"/>
        <rFont val="Comic Sans MS"/>
      </rPr>
      <t>2</t>
    </r>
    <r>
      <rPr>
        <b/>
        <sz val="8"/>
        <color theme="1"/>
        <rFont val="Comic Sans MS"/>
      </rPr>
      <t>O/BBtu)</t>
    </r>
  </si>
  <si>
    <r>
      <rPr>
        <b/>
        <sz val="8"/>
        <color theme="1"/>
        <rFont val="Comic Sans MS"/>
      </rPr>
      <t>(metric tons N</t>
    </r>
    <r>
      <rPr>
        <b/>
        <vertAlign val="subscript"/>
        <sz val="8"/>
        <color theme="1"/>
        <rFont val="Comic Sans MS"/>
      </rPr>
      <t>2</t>
    </r>
    <r>
      <rPr>
        <b/>
        <sz val="8"/>
        <color theme="1"/>
        <rFont val="Comic Sans MS"/>
      </rPr>
      <t>O)</t>
    </r>
  </si>
  <si>
    <r>
      <rPr>
        <b/>
        <sz val="8"/>
        <color theme="1"/>
        <rFont val="Comic Sans MS"/>
      </rPr>
      <t>(MMTCO</t>
    </r>
    <r>
      <rPr>
        <b/>
        <vertAlign val="subscript"/>
        <sz val="8"/>
        <color theme="1"/>
        <rFont val="Comic Sans MS"/>
      </rPr>
      <t>2</t>
    </r>
    <r>
      <rPr>
        <b/>
        <sz val="8"/>
        <color theme="1"/>
        <rFont val="Comic Sans MS"/>
      </rPr>
      <t>E)</t>
    </r>
  </si>
  <si>
    <r>
      <rPr>
        <sz val="14"/>
        <color theme="1"/>
        <rFont val="Comic Sans MS"/>
      </rPr>
      <t>Residential Sector CH</t>
    </r>
    <r>
      <rPr>
        <vertAlign val="subscript"/>
        <sz val="14"/>
        <color theme="1"/>
        <rFont val="Comic Sans MS"/>
      </rPr>
      <t>4</t>
    </r>
  </si>
  <si>
    <t>(metric tons CH4 /BBtu)</t>
  </si>
  <si>
    <r>
      <rPr>
        <b/>
        <sz val="8"/>
        <color theme="1"/>
        <rFont val="Comic Sans MS"/>
      </rPr>
      <t>(metric tons CH</t>
    </r>
    <r>
      <rPr>
        <b/>
        <vertAlign val="subscript"/>
        <sz val="8"/>
        <color theme="1"/>
        <rFont val="Comic Sans MS"/>
      </rPr>
      <t>4</t>
    </r>
    <r>
      <rPr>
        <b/>
        <sz val="8"/>
        <color theme="1"/>
        <rFont val="Comic Sans MS"/>
      </rPr>
      <t>)</t>
    </r>
  </si>
  <si>
    <t>(MMTCO2E)</t>
  </si>
  <si>
    <t xml:space="preserve">Residential Sector 2020 GHG Emissions </t>
  </si>
  <si>
    <r>
      <rPr>
        <b/>
        <sz val="8"/>
        <color theme="1"/>
        <rFont val="Arial"/>
      </rPr>
      <t>CO</t>
    </r>
    <r>
      <rPr>
        <b/>
        <vertAlign val="subscript"/>
        <sz val="8"/>
        <color theme="1"/>
        <rFont val="Arial"/>
      </rPr>
      <t>2</t>
    </r>
  </si>
  <si>
    <r>
      <rPr>
        <b/>
        <sz val="8"/>
        <color theme="1"/>
        <rFont val="Arial"/>
      </rPr>
      <t>N</t>
    </r>
    <r>
      <rPr>
        <b/>
        <vertAlign val="subscript"/>
        <sz val="8"/>
        <color theme="1"/>
        <rFont val="Arial"/>
      </rPr>
      <t>2</t>
    </r>
    <r>
      <rPr>
        <b/>
        <sz val="8"/>
        <color theme="1"/>
        <rFont val="Arial"/>
      </rPr>
      <t>O</t>
    </r>
  </si>
  <si>
    <r>
      <rPr>
        <b/>
        <sz val="8"/>
        <color theme="1"/>
        <rFont val="Arial"/>
      </rPr>
      <t>CH</t>
    </r>
    <r>
      <rPr>
        <b/>
        <vertAlign val="subscript"/>
        <sz val="8"/>
        <color theme="1"/>
        <rFont val="Arial"/>
      </rPr>
      <t>4</t>
    </r>
  </si>
  <si>
    <r>
      <rPr>
        <b/>
        <sz val="8"/>
        <color theme="1"/>
        <rFont val="Arial"/>
      </rPr>
      <t>(MMTCO</t>
    </r>
    <r>
      <rPr>
        <b/>
        <vertAlign val="subscript"/>
        <sz val="8"/>
        <color theme="1"/>
        <rFont val="Arial"/>
      </rPr>
      <t>2</t>
    </r>
    <r>
      <rPr>
        <b/>
        <sz val="8"/>
        <color theme="1"/>
        <rFont val="Arial"/>
      </rPr>
      <t>E)</t>
    </r>
  </si>
  <si>
    <r>
      <rPr>
        <b/>
        <sz val="8"/>
        <color theme="1"/>
        <rFont val="Arial"/>
      </rPr>
      <t>(MMTCO</t>
    </r>
    <r>
      <rPr>
        <b/>
        <vertAlign val="subscript"/>
        <sz val="8"/>
        <color theme="1"/>
        <rFont val="Arial"/>
      </rPr>
      <t>2</t>
    </r>
    <r>
      <rPr>
        <b/>
        <sz val="8"/>
        <color theme="1"/>
        <rFont val="Arial"/>
      </rPr>
      <t>E)</t>
    </r>
  </si>
  <si>
    <r>
      <rPr>
        <b/>
        <sz val="8"/>
        <color theme="1"/>
        <rFont val="Arial"/>
      </rPr>
      <t>(MMTCO</t>
    </r>
    <r>
      <rPr>
        <b/>
        <vertAlign val="subscript"/>
        <sz val="8"/>
        <color theme="1"/>
        <rFont val="Arial"/>
      </rPr>
      <t>2</t>
    </r>
    <r>
      <rPr>
        <b/>
        <sz val="8"/>
        <color theme="1"/>
        <rFont val="Arial"/>
      </rPr>
      <t>E)</t>
    </r>
  </si>
  <si>
    <r>
      <rPr>
        <b/>
        <sz val="8"/>
        <color theme="1"/>
        <rFont val="Arial"/>
      </rPr>
      <t>(MMTCO</t>
    </r>
    <r>
      <rPr>
        <b/>
        <vertAlign val="subscript"/>
        <sz val="8"/>
        <color theme="1"/>
        <rFont val="Arial"/>
      </rPr>
      <t>2</t>
    </r>
    <r>
      <rPr>
        <b/>
        <sz val="8"/>
        <color theme="1"/>
        <rFont val="Arial"/>
      </rPr>
      <t>E)</t>
    </r>
  </si>
  <si>
    <t>Natural Gas &amp; LPG</t>
  </si>
  <si>
    <r>
      <rPr>
        <sz val="14"/>
        <color theme="1"/>
        <rFont val="Comic Sans MS"/>
      </rPr>
      <t>Commercial Sector CO</t>
    </r>
    <r>
      <rPr>
        <vertAlign val="subscript"/>
        <sz val="14"/>
        <color theme="1"/>
        <rFont val="Comic Sans MS"/>
      </rPr>
      <t>2</t>
    </r>
  </si>
  <si>
    <r>
      <rPr>
        <b/>
        <sz val="8"/>
        <color theme="1"/>
        <rFont val="Comic Sans MS"/>
      </rPr>
      <t>(MMTCO</t>
    </r>
    <r>
      <rPr>
        <b/>
        <vertAlign val="subscript"/>
        <sz val="8"/>
        <color theme="1"/>
        <rFont val="Comic Sans MS"/>
      </rPr>
      <t>2</t>
    </r>
    <r>
      <rPr>
        <b/>
        <sz val="8"/>
        <color theme="1"/>
        <rFont val="Comic Sans MS"/>
      </rPr>
      <t>E)</t>
    </r>
  </si>
  <si>
    <t>Motor Gasoline</t>
  </si>
  <si>
    <r>
      <rPr>
        <sz val="14"/>
        <color theme="1"/>
        <rFont val="Comic Sans MS"/>
      </rPr>
      <t>Commercial Sector N</t>
    </r>
    <r>
      <rPr>
        <vertAlign val="subscript"/>
        <sz val="14"/>
        <color theme="1"/>
        <rFont val="Comic Sans MS"/>
      </rPr>
      <t>2</t>
    </r>
    <r>
      <rPr>
        <sz val="14"/>
        <color theme="1"/>
        <rFont val="Comic Sans MS"/>
      </rPr>
      <t>O</t>
    </r>
  </si>
  <si>
    <r>
      <rPr>
        <b/>
        <sz val="8"/>
        <color theme="1"/>
        <rFont val="Comic Sans MS"/>
      </rPr>
      <t>(metric tons N</t>
    </r>
    <r>
      <rPr>
        <b/>
        <vertAlign val="subscript"/>
        <sz val="8"/>
        <color theme="1"/>
        <rFont val="Comic Sans MS"/>
      </rPr>
      <t>2</t>
    </r>
    <r>
      <rPr>
        <b/>
        <sz val="8"/>
        <color theme="1"/>
        <rFont val="Comic Sans MS"/>
      </rPr>
      <t>O/BBtu)</t>
    </r>
  </si>
  <si>
    <r>
      <rPr>
        <b/>
        <sz val="8"/>
        <color theme="1"/>
        <rFont val="Comic Sans MS"/>
      </rPr>
      <t>(metric tons N</t>
    </r>
    <r>
      <rPr>
        <b/>
        <vertAlign val="subscript"/>
        <sz val="8"/>
        <color theme="1"/>
        <rFont val="Comic Sans MS"/>
      </rPr>
      <t>2</t>
    </r>
    <r>
      <rPr>
        <b/>
        <sz val="8"/>
        <color theme="1"/>
        <rFont val="Comic Sans MS"/>
      </rPr>
      <t>O)</t>
    </r>
  </si>
  <si>
    <r>
      <rPr>
        <sz val="14"/>
        <color theme="1"/>
        <rFont val="Comic Sans MS"/>
      </rPr>
      <t>Commercial Sector CH</t>
    </r>
    <r>
      <rPr>
        <vertAlign val="subscript"/>
        <sz val="14"/>
        <color theme="1"/>
        <rFont val="Comic Sans MS"/>
      </rPr>
      <t>4</t>
    </r>
  </si>
  <si>
    <r>
      <rPr>
        <b/>
        <sz val="8"/>
        <color theme="1"/>
        <rFont val="Comic Sans MS"/>
      </rPr>
      <t>(metric tons CH</t>
    </r>
    <r>
      <rPr>
        <b/>
        <vertAlign val="subscript"/>
        <sz val="8"/>
        <color theme="1"/>
        <rFont val="Comic Sans MS"/>
      </rPr>
      <t>4</t>
    </r>
    <r>
      <rPr>
        <b/>
        <sz val="8"/>
        <color theme="1"/>
        <rFont val="Comic Sans MS"/>
      </rPr>
      <t xml:space="preserve"> /BBtu)</t>
    </r>
  </si>
  <si>
    <r>
      <rPr>
        <b/>
        <sz val="8"/>
        <color theme="1"/>
        <rFont val="Comic Sans MS"/>
      </rPr>
      <t>(metric tons CH</t>
    </r>
    <r>
      <rPr>
        <b/>
        <vertAlign val="subscript"/>
        <sz val="8"/>
        <color theme="1"/>
        <rFont val="Comic Sans MS"/>
      </rPr>
      <t>4</t>
    </r>
    <r>
      <rPr>
        <b/>
        <sz val="8"/>
        <color theme="1"/>
        <rFont val="Comic Sans MS"/>
      </rPr>
      <t>)</t>
    </r>
  </si>
  <si>
    <r>
      <rPr>
        <b/>
        <sz val="8"/>
        <color theme="1"/>
        <rFont val="Comic Sans MS"/>
      </rPr>
      <t>(MMTCO</t>
    </r>
    <r>
      <rPr>
        <b/>
        <vertAlign val="subscript"/>
        <sz val="8"/>
        <color theme="1"/>
        <rFont val="Comic Sans MS"/>
      </rPr>
      <t>2</t>
    </r>
    <r>
      <rPr>
        <b/>
        <sz val="8"/>
        <color theme="1"/>
        <rFont val="Comic Sans MS"/>
      </rPr>
      <t>E)</t>
    </r>
  </si>
  <si>
    <t>Commercial Sector 2020 GHG Emission</t>
  </si>
  <si>
    <r>
      <rPr>
        <b/>
        <sz val="8"/>
        <color theme="1"/>
        <rFont val="Arial"/>
      </rPr>
      <t>CO</t>
    </r>
    <r>
      <rPr>
        <b/>
        <vertAlign val="subscript"/>
        <sz val="8"/>
        <color theme="1"/>
        <rFont val="Arial"/>
      </rPr>
      <t>2</t>
    </r>
  </si>
  <si>
    <r>
      <rPr>
        <b/>
        <sz val="8"/>
        <color theme="1"/>
        <rFont val="Arial"/>
      </rPr>
      <t>CH</t>
    </r>
    <r>
      <rPr>
        <b/>
        <vertAlign val="subscript"/>
        <sz val="8"/>
        <color theme="1"/>
        <rFont val="Arial"/>
      </rPr>
      <t>4</t>
    </r>
  </si>
  <si>
    <r>
      <rPr>
        <b/>
        <sz val="8"/>
        <color theme="1"/>
        <rFont val="Arial"/>
      </rPr>
      <t>N</t>
    </r>
    <r>
      <rPr>
        <b/>
        <vertAlign val="subscript"/>
        <sz val="8"/>
        <color theme="1"/>
        <rFont val="Arial"/>
      </rPr>
      <t>2</t>
    </r>
    <r>
      <rPr>
        <b/>
        <sz val="8"/>
        <color theme="1"/>
        <rFont val="Arial"/>
      </rPr>
      <t>O</t>
    </r>
  </si>
  <si>
    <r>
      <rPr>
        <b/>
        <sz val="8"/>
        <color theme="1"/>
        <rFont val="Comic Sans MS"/>
      </rPr>
      <t>(MMTCO</t>
    </r>
    <r>
      <rPr>
        <b/>
        <vertAlign val="subscript"/>
        <sz val="8"/>
        <color theme="1"/>
        <rFont val="Comic Sans MS"/>
      </rPr>
      <t>2</t>
    </r>
    <r>
      <rPr>
        <b/>
        <sz val="8"/>
        <color theme="1"/>
        <rFont val="Comic Sans MS"/>
      </rPr>
      <t>E)</t>
    </r>
  </si>
  <si>
    <r>
      <rPr>
        <b/>
        <sz val="8"/>
        <color theme="1"/>
        <rFont val="Comic Sans MS"/>
      </rPr>
      <t>(MMTCO</t>
    </r>
    <r>
      <rPr>
        <b/>
        <vertAlign val="subscript"/>
        <sz val="8"/>
        <color theme="1"/>
        <rFont val="Comic Sans MS"/>
      </rPr>
      <t>2</t>
    </r>
    <r>
      <rPr>
        <b/>
        <sz val="8"/>
        <color theme="1"/>
        <rFont val="Comic Sans MS"/>
      </rPr>
      <t>E)</t>
    </r>
  </si>
  <si>
    <r>
      <rPr>
        <b/>
        <sz val="8"/>
        <color theme="1"/>
        <rFont val="Comic Sans MS"/>
      </rPr>
      <t>(MMTCO</t>
    </r>
    <r>
      <rPr>
        <b/>
        <vertAlign val="subscript"/>
        <sz val="8"/>
        <color theme="1"/>
        <rFont val="Comic Sans MS"/>
      </rPr>
      <t>2</t>
    </r>
    <r>
      <rPr>
        <b/>
        <sz val="8"/>
        <color theme="1"/>
        <rFont val="Comic Sans MS"/>
      </rPr>
      <t>E)</t>
    </r>
  </si>
  <si>
    <r>
      <rPr>
        <b/>
        <sz val="8"/>
        <color theme="1"/>
        <rFont val="Comic Sans MS"/>
      </rPr>
      <t>(MMTCO</t>
    </r>
    <r>
      <rPr>
        <b/>
        <vertAlign val="subscript"/>
        <sz val="8"/>
        <color theme="1"/>
        <rFont val="Comic Sans MS"/>
      </rPr>
      <t>2</t>
    </r>
    <r>
      <rPr>
        <b/>
        <sz val="8"/>
        <color theme="1"/>
        <rFont val="Comic Sans MS"/>
      </rPr>
      <t>E)</t>
    </r>
  </si>
  <si>
    <r>
      <rPr>
        <sz val="8"/>
        <color theme="1"/>
        <rFont val="Comic Sans MS"/>
      </rPr>
      <t xml:space="preserve">      </t>
    </r>
    <r>
      <rPr>
        <b/>
        <sz val="14"/>
        <color theme="1"/>
        <rFont val="Comic Sans MS"/>
      </rPr>
      <t xml:space="preserve">  Industrial Consumption and CO2 Emissions in Maryland</t>
    </r>
  </si>
  <si>
    <r>
      <rPr>
        <b/>
        <sz val="8"/>
        <color rgb="FF000000"/>
        <rFont val="Comic Sans MS"/>
      </rPr>
      <t>Industrial Sector CO</t>
    </r>
    <r>
      <rPr>
        <b/>
        <vertAlign val="subscript"/>
        <sz val="8"/>
        <color rgb="FF000000"/>
        <rFont val="Comic Sans MS"/>
      </rPr>
      <t>2</t>
    </r>
  </si>
  <si>
    <t xml:space="preserve">Total </t>
  </si>
  <si>
    <t>Percent</t>
  </si>
  <si>
    <t xml:space="preserve">Non-Energy </t>
  </si>
  <si>
    <t xml:space="preserve">Net combustible </t>
  </si>
  <si>
    <t>Non-Energy</t>
  </si>
  <si>
    <t>Consumption (%)</t>
  </si>
  <si>
    <t>Storage Factor (%)</t>
  </si>
  <si>
    <r>
      <rPr>
        <b/>
        <sz val="8"/>
        <color theme="1"/>
        <rFont val="Comic Sans MS"/>
      </rPr>
      <t>(MMTCO</t>
    </r>
    <r>
      <rPr>
        <b/>
        <vertAlign val="subscript"/>
        <sz val="8"/>
        <color theme="1"/>
        <rFont val="Comic Sans MS"/>
      </rPr>
      <t>2</t>
    </r>
    <r>
      <rPr>
        <b/>
        <sz val="8"/>
        <color theme="1"/>
        <rFont val="Comic Sans MS"/>
      </rPr>
      <t>E)</t>
    </r>
  </si>
  <si>
    <t>Coking Coal</t>
  </si>
  <si>
    <t>Other Coal</t>
  </si>
  <si>
    <t>Asphalt and Road Oil</t>
  </si>
  <si>
    <t>Aviation Gasoline Blending Components</t>
  </si>
  <si>
    <t>Crude Oil</t>
  </si>
  <si>
    <t>Feedstocks, Naphtha less than 401 F</t>
  </si>
  <si>
    <t>Feedstocks, Other Oils greater than 401 F</t>
  </si>
  <si>
    <t>Lubricants</t>
  </si>
  <si>
    <t>Motor Gasoline Blending Components</t>
  </si>
  <si>
    <t>Misc. Petro Products</t>
  </si>
  <si>
    <t>Petroleum Coke</t>
  </si>
  <si>
    <t>Pentanes Plus</t>
  </si>
  <si>
    <t>Still Gas</t>
  </si>
  <si>
    <t>Special Naphthas</t>
  </si>
  <si>
    <t>Unfinished Oils</t>
  </si>
  <si>
    <t>Waxes</t>
  </si>
  <si>
    <r>
      <rPr>
        <b/>
        <sz val="8"/>
        <color theme="1"/>
        <rFont val="Comic Sans MS"/>
      </rPr>
      <t>Industrial Sector N</t>
    </r>
    <r>
      <rPr>
        <b/>
        <vertAlign val="subscript"/>
        <sz val="8"/>
        <color theme="1"/>
        <rFont val="Comic Sans MS"/>
      </rPr>
      <t>2</t>
    </r>
    <r>
      <rPr>
        <b/>
        <sz val="8"/>
        <color theme="1"/>
        <rFont val="Comic Sans MS"/>
      </rPr>
      <t>O</t>
    </r>
  </si>
  <si>
    <r>
      <rPr>
        <b/>
        <sz val="8"/>
        <color theme="1"/>
        <rFont val="Comic Sans MS"/>
      </rPr>
      <t>(metric tons N</t>
    </r>
    <r>
      <rPr>
        <b/>
        <vertAlign val="subscript"/>
        <sz val="8"/>
        <color theme="1"/>
        <rFont val="Comic Sans MS"/>
      </rPr>
      <t>2</t>
    </r>
    <r>
      <rPr>
        <b/>
        <sz val="8"/>
        <color theme="1"/>
        <rFont val="Comic Sans MS"/>
      </rPr>
      <t>O/BBtu)</t>
    </r>
  </si>
  <si>
    <r>
      <rPr>
        <b/>
        <sz val="8"/>
        <color theme="1"/>
        <rFont val="Comic Sans MS"/>
      </rPr>
      <t>(metric tons N</t>
    </r>
    <r>
      <rPr>
        <b/>
        <vertAlign val="subscript"/>
        <sz val="8"/>
        <color theme="1"/>
        <rFont val="Comic Sans MS"/>
      </rPr>
      <t>2</t>
    </r>
    <r>
      <rPr>
        <b/>
        <sz val="8"/>
        <color theme="1"/>
        <rFont val="Comic Sans MS"/>
      </rPr>
      <t>O)</t>
    </r>
  </si>
  <si>
    <r>
      <rPr>
        <b/>
        <sz val="8"/>
        <color theme="1"/>
        <rFont val="Comic Sans MS"/>
      </rPr>
      <t>(MMTCO</t>
    </r>
    <r>
      <rPr>
        <b/>
        <vertAlign val="subscript"/>
        <sz val="8"/>
        <color theme="1"/>
        <rFont val="Comic Sans MS"/>
      </rPr>
      <t>2</t>
    </r>
    <r>
      <rPr>
        <b/>
        <sz val="8"/>
        <color theme="1"/>
        <rFont val="Comic Sans MS"/>
      </rPr>
      <t>E)</t>
    </r>
  </si>
  <si>
    <t>NA</t>
  </si>
  <si>
    <r>
      <rPr>
        <b/>
        <sz val="8"/>
        <color rgb="FF000000"/>
        <rFont val="Comic Sans MS"/>
      </rPr>
      <t>Industrial Sector CH</t>
    </r>
    <r>
      <rPr>
        <b/>
        <vertAlign val="subscript"/>
        <sz val="8"/>
        <color rgb="FF000000"/>
        <rFont val="Comic Sans MS"/>
      </rPr>
      <t>4</t>
    </r>
  </si>
  <si>
    <t>(metric tons CH4)</t>
  </si>
  <si>
    <t>Industrial Sector GHG</t>
  </si>
  <si>
    <r>
      <rPr>
        <b/>
        <sz val="8"/>
        <color rgb="FF000000"/>
        <rFont val="Arial"/>
      </rPr>
      <t>CO</t>
    </r>
    <r>
      <rPr>
        <b/>
        <vertAlign val="subscript"/>
        <sz val="8"/>
        <color rgb="FF000000"/>
        <rFont val="Arial"/>
      </rPr>
      <t>2</t>
    </r>
  </si>
  <si>
    <r>
      <rPr>
        <b/>
        <sz val="8"/>
        <color rgb="FF000000"/>
        <rFont val="Arial"/>
      </rPr>
      <t>CH</t>
    </r>
    <r>
      <rPr>
        <b/>
        <vertAlign val="subscript"/>
        <sz val="8"/>
        <color rgb="FF000000"/>
        <rFont val="Arial"/>
      </rPr>
      <t>4</t>
    </r>
  </si>
  <si>
    <r>
      <rPr>
        <b/>
        <sz val="8"/>
        <color rgb="FF000000"/>
        <rFont val="Arial"/>
      </rPr>
      <t>N</t>
    </r>
    <r>
      <rPr>
        <b/>
        <vertAlign val="subscript"/>
        <sz val="8"/>
        <color rgb="FF000000"/>
        <rFont val="Arial"/>
      </rPr>
      <t>2</t>
    </r>
    <r>
      <rPr>
        <b/>
        <sz val="8"/>
        <color rgb="FF000000"/>
        <rFont val="Arial"/>
      </rPr>
      <t>O</t>
    </r>
  </si>
  <si>
    <r>
      <rPr>
        <b/>
        <sz val="8"/>
        <color theme="1"/>
        <rFont val="Comic Sans MS"/>
      </rPr>
      <t>(MMTCO</t>
    </r>
    <r>
      <rPr>
        <b/>
        <vertAlign val="subscript"/>
        <sz val="8"/>
        <color theme="1"/>
        <rFont val="Comic Sans MS"/>
      </rPr>
      <t>2</t>
    </r>
    <r>
      <rPr>
        <b/>
        <sz val="8"/>
        <color theme="1"/>
        <rFont val="Comic Sans MS"/>
      </rPr>
      <t>E)</t>
    </r>
  </si>
  <si>
    <r>
      <rPr>
        <b/>
        <sz val="8"/>
        <color theme="1"/>
        <rFont val="Comic Sans MS"/>
      </rPr>
      <t>(MMTCO</t>
    </r>
    <r>
      <rPr>
        <b/>
        <vertAlign val="subscript"/>
        <sz val="8"/>
        <color theme="1"/>
        <rFont val="Comic Sans MS"/>
      </rPr>
      <t>2</t>
    </r>
    <r>
      <rPr>
        <b/>
        <sz val="8"/>
        <color theme="1"/>
        <rFont val="Comic Sans MS"/>
      </rPr>
      <t>E)</t>
    </r>
  </si>
  <si>
    <r>
      <rPr>
        <b/>
        <sz val="8"/>
        <color theme="1"/>
        <rFont val="Comic Sans MS"/>
      </rPr>
      <t>(MMTCO</t>
    </r>
    <r>
      <rPr>
        <b/>
        <vertAlign val="subscript"/>
        <sz val="8"/>
        <color theme="1"/>
        <rFont val="Comic Sans MS"/>
      </rPr>
      <t>2</t>
    </r>
    <r>
      <rPr>
        <b/>
        <sz val="8"/>
        <color theme="1"/>
        <rFont val="Comic Sans MS"/>
      </rPr>
      <t>E)</t>
    </r>
  </si>
  <si>
    <r>
      <rPr>
        <b/>
        <sz val="8"/>
        <color theme="1"/>
        <rFont val="Comic Sans MS"/>
      </rPr>
      <t>(MMTCO</t>
    </r>
    <r>
      <rPr>
        <b/>
        <vertAlign val="subscript"/>
        <sz val="8"/>
        <color theme="1"/>
        <rFont val="Comic Sans MS"/>
      </rPr>
      <t>2</t>
    </r>
    <r>
      <rPr>
        <b/>
        <sz val="8"/>
        <color theme="1"/>
        <rFont val="Comic Sans MS"/>
      </rPr>
      <t>E)</t>
    </r>
  </si>
  <si>
    <t xml:space="preserve">        Transportation - OnRoad Consumption and GHG Emissions</t>
  </si>
  <si>
    <t>Fuel Consumption from MOVES3 Model</t>
  </si>
  <si>
    <t>(2020 On-Road Vehicle Energy Consumption in Kilo Joules (KJ))</t>
  </si>
  <si>
    <t>County</t>
  </si>
  <si>
    <t>CNG</t>
  </si>
  <si>
    <t>Allegany</t>
  </si>
  <si>
    <t>Anne Arundel</t>
  </si>
  <si>
    <t>Baltimore</t>
  </si>
  <si>
    <t>Calvert</t>
  </si>
  <si>
    <t>Caroline</t>
  </si>
  <si>
    <t>Carroll</t>
  </si>
  <si>
    <t>Cecil</t>
  </si>
  <si>
    <t>Charles</t>
  </si>
  <si>
    <t>Dorchester</t>
  </si>
  <si>
    <t>Frederick</t>
  </si>
  <si>
    <t>Garrett</t>
  </si>
  <si>
    <t>Harford</t>
  </si>
  <si>
    <t>Howard</t>
  </si>
  <si>
    <t>Kent</t>
  </si>
  <si>
    <t>Montgomery</t>
  </si>
  <si>
    <t>Prince George's</t>
  </si>
  <si>
    <t>Queen Anne's</t>
  </si>
  <si>
    <t>Saint Mary's</t>
  </si>
  <si>
    <t>Somerset</t>
  </si>
  <si>
    <t>Talbot</t>
  </si>
  <si>
    <t>Washington</t>
  </si>
  <si>
    <t>Wicomico</t>
  </si>
  <si>
    <t>Worcester</t>
  </si>
  <si>
    <t>Baltimore City</t>
  </si>
  <si>
    <t>State of MD</t>
  </si>
  <si>
    <t>*Fuel Properties</t>
  </si>
  <si>
    <t>Gasohol (E10)</t>
  </si>
  <si>
    <t>Energy Content (KJ/g)</t>
  </si>
  <si>
    <t>Fuel Density (g/gal)</t>
  </si>
  <si>
    <t>Fuel (gal)      =</t>
  </si>
  <si>
    <t>Energy (KJ) X (1/Energy Content KJ/g) X (1/Fuel Density g/gal)</t>
  </si>
  <si>
    <t>Fuel Consumption values computed from the above eqation</t>
  </si>
  <si>
    <t>Fuel in 1000 gallons</t>
  </si>
  <si>
    <t>GHG Emissions by Pollutant Type and by Fuel Type</t>
  </si>
  <si>
    <t>Emissions in grams per year</t>
  </si>
  <si>
    <t>E85</t>
  </si>
  <si>
    <t>CO2e</t>
  </si>
  <si>
    <t>Grand Total</t>
  </si>
  <si>
    <t>Transportation - NonRoad GHG Emissions</t>
  </si>
  <si>
    <t xml:space="preserve">                                                                                  SUMMARY TABLE</t>
  </si>
  <si>
    <t>Tier 2 Description</t>
  </si>
  <si>
    <t>SCC Level Two Criteria</t>
  </si>
  <si>
    <r>
      <rPr>
        <b/>
        <sz val="11"/>
        <color theme="1"/>
        <rFont val="Calibri"/>
      </rPr>
      <t>CO</t>
    </r>
    <r>
      <rPr>
        <b/>
        <vertAlign val="subscript"/>
        <sz val="11"/>
        <color theme="1"/>
        <rFont val="Calibri"/>
      </rPr>
      <t>2</t>
    </r>
    <r>
      <rPr>
        <b/>
        <sz val="11"/>
        <color theme="1"/>
        <rFont val="Calibri"/>
      </rPr>
      <t xml:space="preserve"> (short ton)</t>
    </r>
  </si>
  <si>
    <r>
      <rPr>
        <b/>
        <sz val="11"/>
        <color theme="1"/>
        <rFont val="Calibri"/>
      </rPr>
      <t>CH</t>
    </r>
    <r>
      <rPr>
        <b/>
        <vertAlign val="subscript"/>
        <sz val="11"/>
        <color theme="1"/>
        <rFont val="Calibri"/>
      </rPr>
      <t>4</t>
    </r>
    <r>
      <rPr>
        <b/>
        <sz val="11"/>
        <color theme="1"/>
        <rFont val="Calibri"/>
      </rPr>
      <t xml:space="preserve"> (short tons)</t>
    </r>
  </si>
  <si>
    <r>
      <rPr>
        <b/>
        <sz val="11"/>
        <color theme="1"/>
        <rFont val="Calibri"/>
      </rPr>
      <t>CO</t>
    </r>
    <r>
      <rPr>
        <b/>
        <vertAlign val="subscript"/>
        <sz val="11"/>
        <color theme="1"/>
        <rFont val="Calibri"/>
      </rPr>
      <t>2</t>
    </r>
    <r>
      <rPr>
        <b/>
        <sz val="11"/>
        <color theme="1"/>
        <rFont val="Calibri"/>
      </rPr>
      <t xml:space="preserve"> (MMTCO</t>
    </r>
    <r>
      <rPr>
        <b/>
        <vertAlign val="subscript"/>
        <sz val="11"/>
        <color theme="1"/>
        <rFont val="Calibri"/>
      </rPr>
      <t>2</t>
    </r>
    <r>
      <rPr>
        <b/>
        <sz val="11"/>
        <color theme="1"/>
        <rFont val="Calibri"/>
      </rPr>
      <t>E)</t>
    </r>
  </si>
  <si>
    <r>
      <rPr>
        <b/>
        <sz val="11"/>
        <color theme="1"/>
        <rFont val="Calibri"/>
      </rPr>
      <t>CH</t>
    </r>
    <r>
      <rPr>
        <b/>
        <vertAlign val="subscript"/>
        <sz val="11"/>
        <color theme="1"/>
        <rFont val="Calibri"/>
      </rPr>
      <t>4</t>
    </r>
    <r>
      <rPr>
        <b/>
        <sz val="11"/>
        <color theme="1"/>
        <rFont val="Calibri"/>
      </rPr>
      <t xml:space="preserve"> (MMTCO</t>
    </r>
    <r>
      <rPr>
        <b/>
        <vertAlign val="subscript"/>
        <sz val="11"/>
        <color theme="1"/>
        <rFont val="Calibri"/>
      </rPr>
      <t>2</t>
    </r>
    <r>
      <rPr>
        <b/>
        <sz val="11"/>
        <color theme="1"/>
        <rFont val="Calibri"/>
      </rPr>
      <t>E)</t>
    </r>
  </si>
  <si>
    <t>Railroad Equipment</t>
  </si>
  <si>
    <t>Non-Road Gasoline</t>
  </si>
  <si>
    <t>Non-Road Diesel</t>
  </si>
  <si>
    <t>Off-highway Vehicle Diesel</t>
  </si>
  <si>
    <r>
      <rPr>
        <sz val="8"/>
        <color rgb="FF000000"/>
        <rFont val="Arial"/>
      </rPr>
      <t>Pleasure Craft-</t>
    </r>
    <r>
      <rPr>
        <sz val="11"/>
        <color rgb="FFFF0000"/>
        <rFont val="Calibri"/>
      </rPr>
      <t>Marine Diesel</t>
    </r>
  </si>
  <si>
    <t>Pleasure Craft</t>
  </si>
  <si>
    <t>Off-higway Vehicle Gasoline,4 Stroke</t>
  </si>
  <si>
    <t>Off-higway Vehicle Gasoline,2 Stroke</t>
  </si>
  <si>
    <t>Gasoline Total</t>
  </si>
  <si>
    <t>yearID</t>
  </si>
  <si>
    <t>County Name</t>
  </si>
  <si>
    <t>countyID</t>
  </si>
  <si>
    <t>O3 Nonattainment Area</t>
  </si>
  <si>
    <t>Data Category</t>
  </si>
  <si>
    <t>SCC</t>
  </si>
  <si>
    <t>fuelTypeID</t>
  </si>
  <si>
    <t>SCC Level Two</t>
  </si>
  <si>
    <t>SCC Level Three</t>
  </si>
  <si>
    <t>SCC Level Four</t>
  </si>
  <si>
    <t>2020</t>
  </si>
  <si>
    <t>24001</t>
  </si>
  <si>
    <t>Attain</t>
  </si>
  <si>
    <t>Nonroad</t>
  </si>
  <si>
    <t>2270002009</t>
  </si>
  <si>
    <t>23</t>
  </si>
  <si>
    <t>Construction and Mining Equipment</t>
  </si>
  <si>
    <t>Plate Compactors</t>
  </si>
  <si>
    <t>2268003040</t>
  </si>
  <si>
    <t>3</t>
  </si>
  <si>
    <t>Industrial Equipment</t>
  </si>
  <si>
    <t>Other General Industrial Equipment</t>
  </si>
  <si>
    <t>2268003060</t>
  </si>
  <si>
    <t>AC\Refrigeration</t>
  </si>
  <si>
    <t>2268003070</t>
  </si>
  <si>
    <t>Terminal Tractors</t>
  </si>
  <si>
    <t>2268005055</t>
  </si>
  <si>
    <t>Agricultural Equipment</t>
  </si>
  <si>
    <t>Other Agricultural Equipment</t>
  </si>
  <si>
    <t>2268005060</t>
  </si>
  <si>
    <t>Irrigation Sets</t>
  </si>
  <si>
    <t>2268006005</t>
  </si>
  <si>
    <t>Commercial Equipment</t>
  </si>
  <si>
    <t>Generator Sets</t>
  </si>
  <si>
    <t>2268006010</t>
  </si>
  <si>
    <t>Pumps</t>
  </si>
  <si>
    <t>2268006015</t>
  </si>
  <si>
    <t>Air Compressors</t>
  </si>
  <si>
    <t>2268006020</t>
  </si>
  <si>
    <t>Gas Compressors</t>
  </si>
  <si>
    <t>2270001060</t>
  </si>
  <si>
    <t>Recreational Equipment</t>
  </si>
  <si>
    <t>Specialty Vehicles/Carts</t>
  </si>
  <si>
    <t>2270002048</t>
  </si>
  <si>
    <t>Graders</t>
  </si>
  <si>
    <t>2270002006</t>
  </si>
  <si>
    <t>Tampers/Rammers</t>
  </si>
  <si>
    <t>2268002081</t>
  </si>
  <si>
    <t>Other Construction Equipment</t>
  </si>
  <si>
    <t>2270002015</t>
  </si>
  <si>
    <t>Rollers</t>
  </si>
  <si>
    <t>2270002018</t>
  </si>
  <si>
    <t>Scrapers</t>
  </si>
  <si>
    <t>2270002021</t>
  </si>
  <si>
    <t>Paving Equipment</t>
  </si>
  <si>
    <t>2270002024</t>
  </si>
  <si>
    <t>Surfacing Equipment</t>
  </si>
  <si>
    <t>2270002027</t>
  </si>
  <si>
    <t>Signal Boards/Light Plants</t>
  </si>
  <si>
    <t>2270002030</t>
  </si>
  <si>
    <t>Trenchers</t>
  </si>
  <si>
    <t>2270002033</t>
  </si>
  <si>
    <t>Bore/Drill Rigs</t>
  </si>
  <si>
    <t>2270002036</t>
  </si>
  <si>
    <t>Excavators</t>
  </si>
  <si>
    <t>2270002039</t>
  </si>
  <si>
    <t>Concrete/Industrial Saws</t>
  </si>
  <si>
    <t>2267002033</t>
  </si>
  <si>
    <t>4</t>
  </si>
  <si>
    <t>2270002003</t>
  </si>
  <si>
    <t>Pavers</t>
  </si>
  <si>
    <t>2267003050</t>
  </si>
  <si>
    <t>Other Material Handling Equipment</t>
  </si>
  <si>
    <t>2267002039</t>
  </si>
  <si>
    <t>2267002045</t>
  </si>
  <si>
    <t>Cranes</t>
  </si>
  <si>
    <t>2267002054</t>
  </si>
  <si>
    <t>Crushing/Processing Equipment</t>
  </si>
  <si>
    <t>2267002057</t>
  </si>
  <si>
    <t>Rough Terrain Forklifts</t>
  </si>
  <si>
    <t>2267002060</t>
  </si>
  <si>
    <t>Rubber Tire Loaders</t>
  </si>
  <si>
    <t>2267002066</t>
  </si>
  <si>
    <t>Tractors/Loaders/Backhoes</t>
  </si>
  <si>
    <t>2267002072</t>
  </si>
  <si>
    <t>Skid Steer Loaders</t>
  </si>
  <si>
    <t>2267002081</t>
  </si>
  <si>
    <t>2267003010</t>
  </si>
  <si>
    <t>Aerial Lifts</t>
  </si>
  <si>
    <t>2267003020</t>
  </si>
  <si>
    <t>Forklifts</t>
  </si>
  <si>
    <t>2268003030</t>
  </si>
  <si>
    <t>Sweepers/Scrubbers</t>
  </si>
  <si>
    <t>2267003040</t>
  </si>
  <si>
    <t>2268003020</t>
  </si>
  <si>
    <t>2267003070</t>
  </si>
  <si>
    <t>2267004066</t>
  </si>
  <si>
    <t>Lawn and Garden Equipment</t>
  </si>
  <si>
    <t>Chippers/Stump Grinders (Commercial)</t>
  </si>
  <si>
    <t>2267005055</t>
  </si>
  <si>
    <t>2267005060</t>
  </si>
  <si>
    <t>2267006005</t>
  </si>
  <si>
    <t>2267006010</t>
  </si>
  <si>
    <t>2267006015</t>
  </si>
  <si>
    <t>2267006025</t>
  </si>
  <si>
    <t>Welders</t>
  </si>
  <si>
    <t>2267006030</t>
  </si>
  <si>
    <t>Pressure Washers</t>
  </si>
  <si>
    <t>2267006035</t>
  </si>
  <si>
    <t>Hydro-power Units</t>
  </si>
  <si>
    <t>2270002054</t>
  </si>
  <si>
    <t>2267003030</t>
  </si>
  <si>
    <t>2270007015</t>
  </si>
  <si>
    <t>Logging Equipment</t>
  </si>
  <si>
    <t>Forest Eqp - Feller/Bunch/Skidder</t>
  </si>
  <si>
    <t>2270005030</t>
  </si>
  <si>
    <t>Agricultural Mowers</t>
  </si>
  <si>
    <t>2270005035</t>
  </si>
  <si>
    <t>Sprayers</t>
  </si>
  <si>
    <t>2270005040</t>
  </si>
  <si>
    <t>Tillers : 6 HP</t>
  </si>
  <si>
    <t>2270005045</t>
  </si>
  <si>
    <t>Swathers</t>
  </si>
  <si>
    <t>2270005055</t>
  </si>
  <si>
    <t>2270005060</t>
  </si>
  <si>
    <t>2270006005</t>
  </si>
  <si>
    <t>2270006010</t>
  </si>
  <si>
    <t>2270006015</t>
  </si>
  <si>
    <t>2270006025</t>
  </si>
  <si>
    <t>2270002042</t>
  </si>
  <si>
    <t>Cement and Mortar Mixers</t>
  </si>
  <si>
    <t>2270006035</t>
  </si>
  <si>
    <t>2270005015</t>
  </si>
  <si>
    <t>Agricultural Tractors</t>
  </si>
  <si>
    <t>2270009010</t>
  </si>
  <si>
    <t>Underground Mining Equipment</t>
  </si>
  <si>
    <t>Other Underground Mining Equipment</t>
  </si>
  <si>
    <t>2282005010</t>
  </si>
  <si>
    <t>1</t>
  </si>
  <si>
    <t>Gasoline 2-Stroke</t>
  </si>
  <si>
    <t>Outboard</t>
  </si>
  <si>
    <t>2282005015</t>
  </si>
  <si>
    <t>Personal Water Craft</t>
  </si>
  <si>
    <t>2282010005</t>
  </si>
  <si>
    <t>Gasoline 4-Stroke</t>
  </si>
  <si>
    <t>Inboard/Sterndrive</t>
  </si>
  <si>
    <t>2282020005</t>
  </si>
  <si>
    <t>24</t>
  </si>
  <si>
    <t>2282020010</t>
  </si>
  <si>
    <t>2285002015</t>
  </si>
  <si>
    <t>Railway Maintenance</t>
  </si>
  <si>
    <t>2285004015</t>
  </si>
  <si>
    <t>Gasoline, 4-Stroke</t>
  </si>
  <si>
    <t>2285006015</t>
  </si>
  <si>
    <t>2260001010</t>
  </si>
  <si>
    <t>Off-highway Vehicle Gasoline, 2-Stroke</t>
  </si>
  <si>
    <t>Motorcycles: Off-road</t>
  </si>
  <si>
    <t>2270006030</t>
  </si>
  <si>
    <t>2270003050</t>
  </si>
  <si>
    <t>2270002057</t>
  </si>
  <si>
    <t>2270002060</t>
  </si>
  <si>
    <t>2270002066</t>
  </si>
  <si>
    <t>2270002069</t>
  </si>
  <si>
    <t>Crawler Tractor/Dozers</t>
  </si>
  <si>
    <t>2270002072</t>
  </si>
  <si>
    <t>2270002075</t>
  </si>
  <si>
    <t>Off-highway Tractors</t>
  </si>
  <si>
    <t>2270002078</t>
  </si>
  <si>
    <t>Dumpers/Tenders</t>
  </si>
  <si>
    <t>2270002081</t>
  </si>
  <si>
    <t>2270003010</t>
  </si>
  <si>
    <t>2270003020</t>
  </si>
  <si>
    <t>2270005025</t>
  </si>
  <si>
    <t>Balers</t>
  </si>
  <si>
    <t>2270003040</t>
  </si>
  <si>
    <t>2270005020</t>
  </si>
  <si>
    <t>Combines</t>
  </si>
  <si>
    <t>2270003060</t>
  </si>
  <si>
    <t>2270003070</t>
  </si>
  <si>
    <t>2270004031</t>
  </si>
  <si>
    <t>Leafblowers/Vacuums (Commercial)</t>
  </si>
  <si>
    <t>2270004036</t>
  </si>
  <si>
    <t>Snowblowers (Commercial)</t>
  </si>
  <si>
    <t>2270004046</t>
  </si>
  <si>
    <t>Front Mowers (Commercial)</t>
  </si>
  <si>
    <t>2270004056</t>
  </si>
  <si>
    <t>Lawn and Garden Tractors (Commercial)</t>
  </si>
  <si>
    <t>2270004066</t>
  </si>
  <si>
    <t>2270004071</t>
  </si>
  <si>
    <t>Turf Equipment (Commercial)</t>
  </si>
  <si>
    <t>2270004076</t>
  </si>
  <si>
    <t>Other Lawn and Garden Equipment (Commercial)</t>
  </si>
  <si>
    <t>2270005010</t>
  </si>
  <si>
    <t>2-Wheel Tractors</t>
  </si>
  <si>
    <t>2270002045</t>
  </si>
  <si>
    <t>2270003030</t>
  </si>
  <si>
    <t>2265002027</t>
  </si>
  <si>
    <t>Off-highway Vehicle Gasoline, 4-Stroke</t>
  </si>
  <si>
    <t>2265002081</t>
  </si>
  <si>
    <t>2260007005</t>
  </si>
  <si>
    <t>Chain Saws : 6 HP</t>
  </si>
  <si>
    <t>2265001010</t>
  </si>
  <si>
    <t>2265001030</t>
  </si>
  <si>
    <t>All Terrain Vehicles</t>
  </si>
  <si>
    <t>2265001050</t>
  </si>
  <si>
    <t>Golf Carts</t>
  </si>
  <si>
    <t>2265001060</t>
  </si>
  <si>
    <t>2265002003</t>
  </si>
  <si>
    <t>2265002006</t>
  </si>
  <si>
    <t>2265002009</t>
  </si>
  <si>
    <t>2265002015</t>
  </si>
  <si>
    <t>2260006015</t>
  </si>
  <si>
    <t>2265002024</t>
  </si>
  <si>
    <t>2260006010</t>
  </si>
  <si>
    <t>2265002030</t>
  </si>
  <si>
    <t>2265002033</t>
  </si>
  <si>
    <t>2265002039</t>
  </si>
  <si>
    <t>2265002042</t>
  </si>
  <si>
    <t>2265002045</t>
  </si>
  <si>
    <t>2265002054</t>
  </si>
  <si>
    <t>2265002057</t>
  </si>
  <si>
    <t>2265002060</t>
  </si>
  <si>
    <t>2265002066</t>
  </si>
  <si>
    <t>2265002072</t>
  </si>
  <si>
    <t>2265002078</t>
  </si>
  <si>
    <t>2265002021</t>
  </si>
  <si>
    <t>2260004016</t>
  </si>
  <si>
    <t>Rotary Tillers &lt; 6 HP (Commercial)</t>
  </si>
  <si>
    <t>2270002051</t>
  </si>
  <si>
    <t>Off-highway Trucks</t>
  </si>
  <si>
    <t>2260001030</t>
  </si>
  <si>
    <t>2267002030</t>
  </si>
  <si>
    <t>2260002006</t>
  </si>
  <si>
    <t>2260002009</t>
  </si>
  <si>
    <t>2260002021</t>
  </si>
  <si>
    <t>2260002027</t>
  </si>
  <si>
    <t>2260002039</t>
  </si>
  <si>
    <t>2260002054</t>
  </si>
  <si>
    <t>2260003030</t>
  </si>
  <si>
    <t>2260006035</t>
  </si>
  <si>
    <t>2260004015</t>
  </si>
  <si>
    <t>Rotary Tillers &lt; 6 HP (Residential)</t>
  </si>
  <si>
    <t>2260001060</t>
  </si>
  <si>
    <t>2260004020</t>
  </si>
  <si>
    <t>Chain Saws &lt; 6 HP (Residential)</t>
  </si>
  <si>
    <t>2260004021</t>
  </si>
  <si>
    <t>Chain Saws &lt; 6 HP (Commercial)</t>
  </si>
  <si>
    <t>2260004025</t>
  </si>
  <si>
    <t>Trimmers/Edgers/Brush Cutters (Residential)</t>
  </si>
  <si>
    <t>2260004026</t>
  </si>
  <si>
    <t>Trimmers/Edgers/Brush Cutters (Commercial)</t>
  </si>
  <si>
    <t>2260004030</t>
  </si>
  <si>
    <t>Leafblowers/Vacuums (Residential)</t>
  </si>
  <si>
    <t>2260004031</t>
  </si>
  <si>
    <t>2260004035</t>
  </si>
  <si>
    <t>Snowblowers (Residential)</t>
  </si>
  <si>
    <t>2260004036</t>
  </si>
  <si>
    <t>2260004071</t>
  </si>
  <si>
    <t>2260005035</t>
  </si>
  <si>
    <t>2260006005</t>
  </si>
  <si>
    <t>2260003040</t>
  </si>
  <si>
    <t>2265006005</t>
  </si>
  <si>
    <t>2265004075</t>
  </si>
  <si>
    <t>Other Lawn and Garden Equipment (Residential)</t>
  </si>
  <si>
    <t>2265004076</t>
  </si>
  <si>
    <t>2265005010</t>
  </si>
  <si>
    <t>2265005015</t>
  </si>
  <si>
    <t>2265005020</t>
  </si>
  <si>
    <t>2265005025</t>
  </si>
  <si>
    <t>2265005030</t>
  </si>
  <si>
    <t>2265005035</t>
  </si>
  <si>
    <t>2265005040</t>
  </si>
  <si>
    <t>2265005045</t>
  </si>
  <si>
    <t>2265004071</t>
  </si>
  <si>
    <t>2265005060</t>
  </si>
  <si>
    <t>2267002015</t>
  </si>
  <si>
    <t>2265006010</t>
  </si>
  <si>
    <t>2265006015</t>
  </si>
  <si>
    <t>2265006025</t>
  </si>
  <si>
    <t>2265006030</t>
  </si>
  <si>
    <t>2265006035</t>
  </si>
  <si>
    <t>2265007010</t>
  </si>
  <si>
    <t>Shredders : 6 HP</t>
  </si>
  <si>
    <t>2265007015</t>
  </si>
  <si>
    <t>2267001060</t>
  </si>
  <si>
    <t>2267002003</t>
  </si>
  <si>
    <t>2267002021</t>
  </si>
  <si>
    <t>2265005055</t>
  </si>
  <si>
    <t>2265003070</t>
  </si>
  <si>
    <t>2265004066</t>
  </si>
  <si>
    <t>2267002024</t>
  </si>
  <si>
    <t>2265003020</t>
  </si>
  <si>
    <t>2265003030</t>
  </si>
  <si>
    <t>2265003040</t>
  </si>
  <si>
    <t>2265003060</t>
  </si>
  <si>
    <t>2265003010</t>
  </si>
  <si>
    <t>2265004010</t>
  </si>
  <si>
    <t>Lawn Mowers (Residential)</t>
  </si>
  <si>
    <t>2265004011</t>
  </si>
  <si>
    <t>Lawn Mowers (Commercial)</t>
  </si>
  <si>
    <t>2265004015</t>
  </si>
  <si>
    <t>2265004016</t>
  </si>
  <si>
    <t>2265004056</t>
  </si>
  <si>
    <t>2265004055</t>
  </si>
  <si>
    <t>Lawn and Garden Tractors (Residential)</t>
  </si>
  <si>
    <t>2265003050</t>
  </si>
  <si>
    <t>2265004025</t>
  </si>
  <si>
    <t>2265004051</t>
  </si>
  <si>
    <t>Shredders &lt; 6 HP (Commercial)</t>
  </si>
  <si>
    <t>2265004041</t>
  </si>
  <si>
    <t>Rear Engine Riding Mowers (Commercial)</t>
  </si>
  <si>
    <t>2265004040</t>
  </si>
  <si>
    <t>Rear Engine Riding Mowers (Residential)</t>
  </si>
  <si>
    <t>2265004036</t>
  </si>
  <si>
    <t>2265004035</t>
  </si>
  <si>
    <t>2265004031</t>
  </si>
  <si>
    <t>2265004030</t>
  </si>
  <si>
    <t>2265004026</t>
  </si>
  <si>
    <t>2265004046</t>
  </si>
  <si>
    <t>24003</t>
  </si>
  <si>
    <t>BNAA</t>
  </si>
  <si>
    <t>Point</t>
  </si>
  <si>
    <t>2265008005</t>
  </si>
  <si>
    <t>Airport Ground Support Equipment</t>
  </si>
  <si>
    <t>2267008005</t>
  </si>
  <si>
    <t>2270008005</t>
  </si>
  <si>
    <t>24005</t>
  </si>
  <si>
    <t>2268010010</t>
  </si>
  <si>
    <t>Other Oil Field Equipment</t>
  </si>
  <si>
    <t>2270010010</t>
  </si>
  <si>
    <t>2265010010</t>
  </si>
  <si>
    <t>24510</t>
  </si>
  <si>
    <t>24009</t>
  </si>
  <si>
    <t>MWCOG</t>
  </si>
  <si>
    <t>24011</t>
  </si>
  <si>
    <t>24013</t>
  </si>
  <si>
    <t>24015</t>
  </si>
  <si>
    <t>Philly</t>
  </si>
  <si>
    <t>24017</t>
  </si>
  <si>
    <t>24019</t>
  </si>
  <si>
    <t>24021</t>
  </si>
  <si>
    <t>24023</t>
  </si>
  <si>
    <t>2260001020</t>
  </si>
  <si>
    <t>Snowmobiles</t>
  </si>
  <si>
    <t>24025</t>
  </si>
  <si>
    <t>24027</t>
  </si>
  <si>
    <t>24029</t>
  </si>
  <si>
    <t>KQA</t>
  </si>
  <si>
    <t>24031</t>
  </si>
  <si>
    <t>Prince Georges</t>
  </si>
  <si>
    <t>24033</t>
  </si>
  <si>
    <t>Queen Annes</t>
  </si>
  <si>
    <t>24035</t>
  </si>
  <si>
    <t>Saint Marys</t>
  </si>
  <si>
    <t>24037</t>
  </si>
  <si>
    <t>24039</t>
  </si>
  <si>
    <t>24041</t>
  </si>
  <si>
    <t>24043</t>
  </si>
  <si>
    <t>24045</t>
  </si>
  <si>
    <t>24047</t>
  </si>
  <si>
    <t xml:space="preserve">       Transportation Consumption and GHG Emissions</t>
  </si>
  <si>
    <t>Activity Data (Consumption)</t>
  </si>
  <si>
    <t xml:space="preserve"> State Energy Data  2020P</t>
  </si>
  <si>
    <t>(Thousand Barrels)</t>
  </si>
  <si>
    <t>(Gallons)</t>
  </si>
  <si>
    <t xml:space="preserve">Aviation Gasoline </t>
  </si>
  <si>
    <t xml:space="preserve">Jet Fuel- Kerosene Type </t>
  </si>
  <si>
    <t xml:space="preserve">Lubricant </t>
  </si>
  <si>
    <t>Distillate Fuel - Locomotive</t>
  </si>
  <si>
    <t>Distillate Fuel - Vessel Bunkering</t>
  </si>
  <si>
    <t>Residual Fuel Oil -Vessel Bunkering</t>
  </si>
  <si>
    <t>CONSTANTS</t>
  </si>
  <si>
    <t>Btu/Gallon</t>
  </si>
  <si>
    <r>
      <rPr>
        <sz val="14"/>
        <color theme="1"/>
        <rFont val="Comic Sans MS"/>
      </rPr>
      <t>Emissions Data (MMTCO</t>
    </r>
    <r>
      <rPr>
        <vertAlign val="subscript"/>
        <sz val="14"/>
        <color theme="1"/>
        <rFont val="Comic Sans MS"/>
      </rPr>
      <t>2</t>
    </r>
    <r>
      <rPr>
        <sz val="14"/>
        <color theme="1"/>
        <rFont val="Comic Sans MS"/>
      </rPr>
      <t>e)</t>
    </r>
  </si>
  <si>
    <t>Transportation Sector Emissions: Other-Non-Road Mobile Sources  2020</t>
  </si>
  <si>
    <r>
      <rPr>
        <b/>
        <sz val="8"/>
        <color rgb="FF000000"/>
        <rFont val="Arial"/>
      </rPr>
      <t>CO</t>
    </r>
    <r>
      <rPr>
        <b/>
        <vertAlign val="subscript"/>
        <sz val="8"/>
        <color rgb="FF000000"/>
        <rFont val="Arial"/>
      </rPr>
      <t>2</t>
    </r>
    <r>
      <rPr>
        <b/>
        <sz val="8"/>
        <color rgb="FF000000"/>
        <rFont val="Arial"/>
      </rPr>
      <t xml:space="preserve"> Emissions</t>
    </r>
  </si>
  <si>
    <r>
      <rPr>
        <b/>
        <sz val="8"/>
        <color rgb="FF000000"/>
        <rFont val="Arial"/>
      </rPr>
      <t>N</t>
    </r>
    <r>
      <rPr>
        <b/>
        <vertAlign val="subscript"/>
        <sz val="8"/>
        <color rgb="FF000000"/>
        <rFont val="Arial"/>
      </rPr>
      <t>2</t>
    </r>
    <r>
      <rPr>
        <b/>
        <sz val="8"/>
        <color rgb="FF000000"/>
        <rFont val="Arial"/>
      </rPr>
      <t>O Emissions</t>
    </r>
  </si>
  <si>
    <r>
      <rPr>
        <b/>
        <sz val="8"/>
        <color rgb="FF000000"/>
        <rFont val="Arial"/>
      </rPr>
      <t>CH</t>
    </r>
    <r>
      <rPr>
        <b/>
        <vertAlign val="subscript"/>
        <sz val="8"/>
        <color rgb="FF000000"/>
        <rFont val="Arial"/>
      </rPr>
      <t>4</t>
    </r>
    <r>
      <rPr>
        <b/>
        <sz val="8"/>
        <color rgb="FF000000"/>
        <rFont val="Arial"/>
      </rPr>
      <t xml:space="preserve"> Emissions</t>
    </r>
  </si>
  <si>
    <t>(gallon)</t>
  </si>
  <si>
    <t>(MMTCE)</t>
  </si>
  <si>
    <r>
      <rPr>
        <b/>
        <sz val="10"/>
        <color theme="1"/>
        <rFont val="Calibri"/>
      </rPr>
      <t>(MMTCO</t>
    </r>
    <r>
      <rPr>
        <b/>
        <vertAlign val="subscript"/>
        <sz val="10"/>
        <color theme="1"/>
        <rFont val="Calibri"/>
      </rPr>
      <t>2</t>
    </r>
    <r>
      <rPr>
        <b/>
        <sz val="10"/>
        <color theme="1"/>
        <rFont val="Calibri"/>
      </rPr>
      <t>E)</t>
    </r>
  </si>
  <si>
    <t>Energy Content
(kg/Mbtu)</t>
  </si>
  <si>
    <t>Density
(kg/gallon)</t>
  </si>
  <si>
    <r>
      <rPr>
        <b/>
        <sz val="8"/>
        <color theme="1"/>
        <rFont val="Arial"/>
      </rPr>
      <t>N</t>
    </r>
    <r>
      <rPr>
        <b/>
        <vertAlign val="subscript"/>
        <sz val="8"/>
        <color theme="1"/>
        <rFont val="Arial"/>
      </rPr>
      <t>2</t>
    </r>
    <r>
      <rPr>
        <b/>
        <sz val="8"/>
        <color theme="1"/>
        <rFont val="Arial"/>
      </rPr>
      <t>O EF
(g/kg fuel)</t>
    </r>
  </si>
  <si>
    <r>
      <rPr>
        <b/>
        <sz val="8"/>
        <color theme="1"/>
        <rFont val="Arial"/>
      </rPr>
      <t>N</t>
    </r>
    <r>
      <rPr>
        <b/>
        <vertAlign val="subscript"/>
        <sz val="8"/>
        <color theme="1"/>
        <rFont val="Arial"/>
      </rPr>
      <t>2</t>
    </r>
    <r>
      <rPr>
        <b/>
        <sz val="8"/>
        <color theme="1"/>
        <rFont val="Arial"/>
      </rPr>
      <t>O EM
(Gigagrams)</t>
    </r>
  </si>
  <si>
    <r>
      <rPr>
        <b/>
        <sz val="8"/>
        <color theme="1"/>
        <rFont val="Arial"/>
      </rPr>
      <t>N</t>
    </r>
    <r>
      <rPr>
        <b/>
        <vertAlign val="subscript"/>
        <sz val="8"/>
        <color theme="1"/>
        <rFont val="Arial"/>
      </rPr>
      <t>2</t>
    </r>
    <r>
      <rPr>
        <b/>
        <sz val="8"/>
        <color theme="1"/>
        <rFont val="Arial"/>
      </rPr>
      <t>O
(MT)</t>
    </r>
  </si>
  <si>
    <r>
      <rPr>
        <b/>
        <sz val="8"/>
        <color theme="1"/>
        <rFont val="Arial"/>
      </rPr>
      <t>N</t>
    </r>
    <r>
      <rPr>
        <b/>
        <vertAlign val="subscript"/>
        <sz val="8"/>
        <color theme="1"/>
        <rFont val="Arial"/>
      </rPr>
      <t>2</t>
    </r>
    <r>
      <rPr>
        <b/>
        <sz val="8"/>
        <color theme="1"/>
        <rFont val="Arial"/>
      </rPr>
      <t>O
(MMTCO</t>
    </r>
    <r>
      <rPr>
        <b/>
        <vertAlign val="subscript"/>
        <sz val="8"/>
        <color theme="1"/>
        <rFont val="Arial"/>
      </rPr>
      <t>2</t>
    </r>
    <r>
      <rPr>
        <b/>
        <sz val="8"/>
        <color theme="1"/>
        <rFont val="Arial"/>
      </rPr>
      <t>E)</t>
    </r>
  </si>
  <si>
    <r>
      <rPr>
        <b/>
        <sz val="8"/>
        <color theme="1"/>
        <rFont val="Arial"/>
      </rPr>
      <t>CH</t>
    </r>
    <r>
      <rPr>
        <b/>
        <vertAlign val="subscript"/>
        <sz val="8"/>
        <color theme="1"/>
        <rFont val="Arial"/>
      </rPr>
      <t>4</t>
    </r>
    <r>
      <rPr>
        <b/>
        <sz val="8"/>
        <color theme="1"/>
        <rFont val="Arial"/>
      </rPr>
      <t xml:space="preserve"> EF
(g/kg fuel)</t>
    </r>
  </si>
  <si>
    <r>
      <rPr>
        <b/>
        <sz val="8"/>
        <color theme="1"/>
        <rFont val="Arial"/>
      </rPr>
      <t>CH</t>
    </r>
    <r>
      <rPr>
        <b/>
        <vertAlign val="subscript"/>
        <sz val="8"/>
        <color theme="1"/>
        <rFont val="Arial"/>
      </rPr>
      <t>4</t>
    </r>
    <r>
      <rPr>
        <b/>
        <sz val="8"/>
        <color theme="1"/>
        <rFont val="Arial"/>
      </rPr>
      <t xml:space="preserve"> EM
(Gigagrams)</t>
    </r>
  </si>
  <si>
    <r>
      <rPr>
        <b/>
        <sz val="8"/>
        <color theme="1"/>
        <rFont val="Arial"/>
      </rPr>
      <t>CH</t>
    </r>
    <r>
      <rPr>
        <b/>
        <vertAlign val="subscript"/>
        <sz val="8"/>
        <color theme="1"/>
        <rFont val="Arial"/>
      </rPr>
      <t>4</t>
    </r>
    <r>
      <rPr>
        <b/>
        <sz val="8"/>
        <color theme="1"/>
        <rFont val="Arial"/>
      </rPr>
      <t xml:space="preserve">
(MT)</t>
    </r>
  </si>
  <si>
    <r>
      <rPr>
        <b/>
        <sz val="8"/>
        <color theme="1"/>
        <rFont val="Arial"/>
      </rPr>
      <t>CH</t>
    </r>
    <r>
      <rPr>
        <b/>
        <vertAlign val="subscript"/>
        <sz val="8"/>
        <color theme="1"/>
        <rFont val="Arial"/>
      </rPr>
      <t>4</t>
    </r>
    <r>
      <rPr>
        <b/>
        <sz val="8"/>
        <color theme="1"/>
        <rFont val="Arial"/>
      </rPr>
      <t xml:space="preserve">
(MMTCO</t>
    </r>
    <r>
      <rPr>
        <b/>
        <vertAlign val="subscript"/>
        <sz val="8"/>
        <color theme="1"/>
        <rFont val="Arial"/>
      </rPr>
      <t>2</t>
    </r>
    <r>
      <rPr>
        <b/>
        <sz val="8"/>
        <color theme="1"/>
        <rFont val="Arial"/>
      </rPr>
      <t>E)</t>
    </r>
  </si>
  <si>
    <t>Aviation Gasoline</t>
  </si>
  <si>
    <t>x</t>
  </si>
  <si>
    <t>=</t>
  </si>
  <si>
    <t>Jet Fuel, Kerosene</t>
  </si>
  <si>
    <r>
      <rPr>
        <sz val="14"/>
        <color theme="1"/>
        <rFont val="Comic Sans MS"/>
      </rPr>
      <t>Emissions Data (MMTCO</t>
    </r>
    <r>
      <rPr>
        <vertAlign val="subscript"/>
        <sz val="14"/>
        <color theme="1"/>
        <rFont val="Comic Sans MS"/>
      </rPr>
      <t>2</t>
    </r>
    <r>
      <rPr>
        <sz val="14"/>
        <color theme="1"/>
        <rFont val="Comic Sans MS"/>
      </rPr>
      <t>e)</t>
    </r>
  </si>
  <si>
    <r>
      <rPr>
        <sz val="14"/>
        <color rgb="FF000000"/>
        <rFont val="Calibri"/>
      </rPr>
      <t>Transportation Sector Emissions:</t>
    </r>
    <r>
      <rPr>
        <sz val="14"/>
        <color rgb="FFFF0000"/>
        <rFont val="Calibri"/>
      </rPr>
      <t xml:space="preserve"> International Bunker Fuels 2020</t>
    </r>
  </si>
  <si>
    <r>
      <rPr>
        <b/>
        <sz val="8"/>
        <color rgb="FF000000"/>
        <rFont val="Arial"/>
      </rPr>
      <t>CO</t>
    </r>
    <r>
      <rPr>
        <b/>
        <vertAlign val="subscript"/>
        <sz val="8"/>
        <color rgb="FF000000"/>
        <rFont val="Arial"/>
      </rPr>
      <t>2</t>
    </r>
    <r>
      <rPr>
        <b/>
        <sz val="8"/>
        <color rgb="FF000000"/>
        <rFont val="Arial"/>
      </rPr>
      <t xml:space="preserve"> Emissions</t>
    </r>
  </si>
  <si>
    <r>
      <rPr>
        <b/>
        <sz val="8"/>
        <color rgb="FF000000"/>
        <rFont val="Arial"/>
      </rPr>
      <t>N</t>
    </r>
    <r>
      <rPr>
        <b/>
        <vertAlign val="subscript"/>
        <sz val="8"/>
        <color rgb="FF000000"/>
        <rFont val="Arial"/>
      </rPr>
      <t>2</t>
    </r>
    <r>
      <rPr>
        <b/>
        <sz val="8"/>
        <color rgb="FF000000"/>
        <rFont val="Arial"/>
      </rPr>
      <t>O Emissions</t>
    </r>
  </si>
  <si>
    <r>
      <rPr>
        <b/>
        <sz val="8"/>
        <color rgb="FF000000"/>
        <rFont val="Arial"/>
      </rPr>
      <t>CH</t>
    </r>
    <r>
      <rPr>
        <b/>
        <vertAlign val="subscript"/>
        <sz val="8"/>
        <color rgb="FF000000"/>
        <rFont val="Arial"/>
      </rPr>
      <t>4</t>
    </r>
    <r>
      <rPr>
        <b/>
        <sz val="8"/>
        <color rgb="FF000000"/>
        <rFont val="Arial"/>
      </rPr>
      <t xml:space="preserve"> Emissions</t>
    </r>
  </si>
  <si>
    <r>
      <rPr>
        <b/>
        <sz val="8"/>
        <color theme="1"/>
        <rFont val="Arial"/>
      </rPr>
      <t>N</t>
    </r>
    <r>
      <rPr>
        <b/>
        <vertAlign val="subscript"/>
        <sz val="8"/>
        <color theme="1"/>
        <rFont val="Arial"/>
      </rPr>
      <t>2</t>
    </r>
    <r>
      <rPr>
        <b/>
        <sz val="8"/>
        <color theme="1"/>
        <rFont val="Arial"/>
      </rPr>
      <t>O EF
(g/kg fuel)</t>
    </r>
  </si>
  <si>
    <r>
      <rPr>
        <b/>
        <sz val="10"/>
        <color theme="1"/>
        <rFont val="Calibri"/>
      </rPr>
      <t>(MMTCO</t>
    </r>
    <r>
      <rPr>
        <b/>
        <vertAlign val="subscript"/>
        <sz val="10"/>
        <color theme="1"/>
        <rFont val="Calibri"/>
      </rPr>
      <t>2</t>
    </r>
    <r>
      <rPr>
        <b/>
        <sz val="10"/>
        <color theme="1"/>
        <rFont val="Calibri"/>
      </rPr>
      <t>E)</t>
    </r>
  </si>
  <si>
    <r>
      <rPr>
        <b/>
        <sz val="8"/>
        <color theme="1"/>
        <rFont val="Arial"/>
      </rPr>
      <t>N</t>
    </r>
    <r>
      <rPr>
        <b/>
        <vertAlign val="subscript"/>
        <sz val="8"/>
        <color theme="1"/>
        <rFont val="Arial"/>
      </rPr>
      <t>2</t>
    </r>
    <r>
      <rPr>
        <b/>
        <sz val="8"/>
        <color theme="1"/>
        <rFont val="Arial"/>
      </rPr>
      <t>O EF
(g/kg fuel)</t>
    </r>
  </si>
  <si>
    <r>
      <rPr>
        <b/>
        <sz val="8"/>
        <color theme="1"/>
        <rFont val="Arial"/>
      </rPr>
      <t>N</t>
    </r>
    <r>
      <rPr>
        <b/>
        <vertAlign val="subscript"/>
        <sz val="8"/>
        <color theme="1"/>
        <rFont val="Arial"/>
      </rPr>
      <t>2</t>
    </r>
    <r>
      <rPr>
        <b/>
        <sz val="8"/>
        <color theme="1"/>
        <rFont val="Arial"/>
      </rPr>
      <t>O EM
(Gigagrams)</t>
    </r>
  </si>
  <si>
    <r>
      <rPr>
        <b/>
        <sz val="8"/>
        <color theme="1"/>
        <rFont val="Arial"/>
      </rPr>
      <t>N</t>
    </r>
    <r>
      <rPr>
        <b/>
        <vertAlign val="subscript"/>
        <sz val="8"/>
        <color theme="1"/>
        <rFont val="Arial"/>
      </rPr>
      <t>2</t>
    </r>
    <r>
      <rPr>
        <b/>
        <sz val="8"/>
        <color theme="1"/>
        <rFont val="Arial"/>
      </rPr>
      <t>O
(MT)</t>
    </r>
  </si>
  <si>
    <r>
      <rPr>
        <b/>
        <sz val="8"/>
        <color theme="1"/>
        <rFont val="Arial"/>
      </rPr>
      <t>N</t>
    </r>
    <r>
      <rPr>
        <b/>
        <vertAlign val="subscript"/>
        <sz val="8"/>
        <color theme="1"/>
        <rFont val="Arial"/>
      </rPr>
      <t>2</t>
    </r>
    <r>
      <rPr>
        <b/>
        <sz val="8"/>
        <color theme="1"/>
        <rFont val="Arial"/>
      </rPr>
      <t>O
(MMTCO</t>
    </r>
    <r>
      <rPr>
        <b/>
        <vertAlign val="subscript"/>
        <sz val="8"/>
        <color theme="1"/>
        <rFont val="Arial"/>
      </rPr>
      <t>2</t>
    </r>
    <r>
      <rPr>
        <b/>
        <sz val="8"/>
        <color theme="1"/>
        <rFont val="Arial"/>
      </rPr>
      <t>E)</t>
    </r>
  </si>
  <si>
    <r>
      <rPr>
        <b/>
        <sz val="8"/>
        <color theme="1"/>
        <rFont val="Arial"/>
      </rPr>
      <t>CH</t>
    </r>
    <r>
      <rPr>
        <b/>
        <vertAlign val="subscript"/>
        <sz val="8"/>
        <color theme="1"/>
        <rFont val="Arial"/>
      </rPr>
      <t>4</t>
    </r>
    <r>
      <rPr>
        <b/>
        <sz val="8"/>
        <color theme="1"/>
        <rFont val="Arial"/>
      </rPr>
      <t xml:space="preserve"> EF
(g/kg fuel)</t>
    </r>
  </si>
  <si>
    <r>
      <rPr>
        <b/>
        <sz val="8"/>
        <color theme="1"/>
        <rFont val="Arial"/>
      </rPr>
      <t>CH</t>
    </r>
    <r>
      <rPr>
        <b/>
        <vertAlign val="subscript"/>
        <sz val="8"/>
        <color theme="1"/>
        <rFont val="Arial"/>
      </rPr>
      <t>4</t>
    </r>
    <r>
      <rPr>
        <b/>
        <sz val="8"/>
        <color theme="1"/>
        <rFont val="Arial"/>
      </rPr>
      <t xml:space="preserve"> EM
(Gigagrams)</t>
    </r>
  </si>
  <si>
    <r>
      <rPr>
        <b/>
        <sz val="8"/>
        <color theme="1"/>
        <rFont val="Arial"/>
      </rPr>
      <t>CH</t>
    </r>
    <r>
      <rPr>
        <b/>
        <vertAlign val="subscript"/>
        <sz val="8"/>
        <color theme="1"/>
        <rFont val="Arial"/>
      </rPr>
      <t>4</t>
    </r>
    <r>
      <rPr>
        <b/>
        <sz val="8"/>
        <color theme="1"/>
        <rFont val="Arial"/>
      </rPr>
      <t xml:space="preserve">
(MT)</t>
    </r>
  </si>
  <si>
    <r>
      <rPr>
        <b/>
        <sz val="8"/>
        <color theme="1"/>
        <rFont val="Arial"/>
      </rPr>
      <t>CH</t>
    </r>
    <r>
      <rPr>
        <b/>
        <vertAlign val="subscript"/>
        <sz val="8"/>
        <color theme="1"/>
        <rFont val="Arial"/>
      </rPr>
      <t>4</t>
    </r>
    <r>
      <rPr>
        <b/>
        <sz val="8"/>
        <color theme="1"/>
        <rFont val="Arial"/>
      </rPr>
      <t xml:space="preserve">
(MMTCO</t>
    </r>
    <r>
      <rPr>
        <b/>
        <vertAlign val="subscript"/>
        <sz val="8"/>
        <color theme="1"/>
        <rFont val="Arial"/>
      </rPr>
      <t>2</t>
    </r>
    <r>
      <rPr>
        <b/>
        <sz val="8"/>
        <color theme="1"/>
        <rFont val="Arial"/>
      </rPr>
      <t>E)</t>
    </r>
  </si>
  <si>
    <t>Distillate Fuel -Vessel Bunkering</t>
  </si>
  <si>
    <t>Residual Fuel- Vessel Bunkering</t>
  </si>
  <si>
    <r>
      <rPr>
        <b/>
        <sz val="10"/>
        <color theme="1"/>
        <rFont val="Calibri"/>
      </rPr>
      <t>(MMTCO</t>
    </r>
    <r>
      <rPr>
        <b/>
        <vertAlign val="subscript"/>
        <sz val="10"/>
        <color theme="1"/>
        <rFont val="Calibri"/>
      </rPr>
      <t>2</t>
    </r>
    <r>
      <rPr>
        <b/>
        <sz val="10"/>
        <color theme="1"/>
        <rFont val="Calibri"/>
      </rPr>
      <t>E)</t>
    </r>
  </si>
  <si>
    <t>- (</t>
  </si>
  <si>
    <t>) =</t>
  </si>
  <si>
    <r>
      <rPr>
        <b/>
        <sz val="10"/>
        <color theme="1"/>
        <rFont val="Calibri"/>
      </rPr>
      <t>CO</t>
    </r>
    <r>
      <rPr>
        <b/>
        <vertAlign val="subscript"/>
        <sz val="10"/>
        <color theme="1"/>
        <rFont val="Calibri"/>
      </rPr>
      <t>2</t>
    </r>
  </si>
  <si>
    <r>
      <rPr>
        <b/>
        <sz val="10"/>
        <color theme="1"/>
        <rFont val="Calibri"/>
      </rPr>
      <t>CH</t>
    </r>
    <r>
      <rPr>
        <b/>
        <vertAlign val="subscript"/>
        <sz val="10"/>
        <color theme="1"/>
        <rFont val="Calibri"/>
      </rPr>
      <t>4</t>
    </r>
  </si>
  <si>
    <r>
      <rPr>
        <b/>
        <sz val="10"/>
        <color theme="1"/>
        <rFont val="Calibri"/>
      </rPr>
      <t>N</t>
    </r>
    <r>
      <rPr>
        <b/>
        <vertAlign val="subscript"/>
        <sz val="10"/>
        <color theme="1"/>
        <rFont val="Calibri"/>
      </rPr>
      <t>2</t>
    </r>
    <r>
      <rPr>
        <b/>
        <sz val="10"/>
        <color theme="1"/>
        <rFont val="Calibri"/>
      </rPr>
      <t>O</t>
    </r>
  </si>
  <si>
    <t>(Total)</t>
  </si>
  <si>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</si>
  <si>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</si>
  <si>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</si>
  <si>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r>
      <rPr>
        <b/>
        <sz val="10"/>
        <color theme="1"/>
        <rFont val="Calibri"/>
      </rPr>
      <t>(MMTCO</t>
    </r>
    <r>
      <rPr>
        <b/>
        <vertAlign val="subscript"/>
        <sz val="10"/>
        <color theme="1"/>
        <rFont val="Calibri"/>
      </rPr>
      <t>2</t>
    </r>
    <r>
      <rPr>
        <b/>
        <sz val="10"/>
        <color theme="1"/>
        <rFont val="Calibri"/>
      </rPr>
      <t>E)</t>
    </r>
  </si>
  <si>
    <t>Distillate Fuel-Rail</t>
  </si>
  <si>
    <t xml:space="preserve">    Emissions from Natural Gas Activities in MD</t>
  </si>
  <si>
    <t>Natural Gas - Production</t>
  </si>
  <si>
    <t>Activity Data</t>
  </si>
  <si>
    <r>
      <rPr>
        <b/>
        <sz val="10"/>
        <color theme="1"/>
        <rFont val="Comic Sans MS"/>
      </rPr>
      <t>Metric Tons CH</t>
    </r>
    <r>
      <rPr>
        <b/>
        <vertAlign val="subscript"/>
        <sz val="10"/>
        <color theme="1"/>
        <rFont val="Comic Sans MS"/>
      </rPr>
      <t>4</t>
    </r>
  </si>
  <si>
    <r>
      <rPr>
        <b/>
        <sz val="10"/>
        <color theme="1"/>
        <rFont val="Comic Sans MS"/>
      </rPr>
      <t>MMTCO</t>
    </r>
    <r>
      <rPr>
        <b/>
        <vertAlign val="subscript"/>
        <sz val="10"/>
        <color theme="1"/>
        <rFont val="Comic Sans MS"/>
      </rPr>
      <t>2</t>
    </r>
    <r>
      <rPr>
        <b/>
        <sz val="10"/>
        <color theme="1"/>
        <rFont val="Comic Sans MS"/>
      </rPr>
      <t>E</t>
    </r>
  </si>
  <si>
    <r>
      <rPr>
        <sz val="10"/>
        <color theme="1"/>
        <rFont val="Comic Sans MS"/>
      </rPr>
      <t>metric tons CH</t>
    </r>
    <r>
      <rPr>
        <vertAlign val="subscript"/>
        <sz val="10"/>
        <color theme="1"/>
        <rFont val="Comic Sans MS"/>
      </rPr>
      <t>4</t>
    </r>
    <r>
      <rPr>
        <sz val="10"/>
        <color theme="1"/>
        <rFont val="Comic Sans MS"/>
      </rPr>
      <t xml:space="preserve"> per year per activity unit</t>
    </r>
  </si>
  <si>
    <t>Total number of wells</t>
  </si>
  <si>
    <t>Number of off-shore platforms not in the Gulf of Mexico</t>
  </si>
  <si>
    <t xml:space="preserve">Total  </t>
  </si>
  <si>
    <t>Number of Wells from EIA</t>
  </si>
  <si>
    <t>https://www.eia.gov/dnav/ng/NG_PROD_WELLS_S1_A.htm</t>
  </si>
  <si>
    <r>
      <rPr>
        <sz val="8"/>
        <color theme="1"/>
        <rFont val="Arial"/>
      </rPr>
      <t>Emission factor from US EP</t>
    </r>
    <r>
      <rPr>
        <sz val="10"/>
        <color theme="1"/>
        <rFont val="Arial"/>
      </rPr>
      <t>A, Emissions Inventory Improvements Program,</t>
    </r>
    <r>
      <rPr>
        <i/>
        <sz val="10"/>
        <color theme="1"/>
        <rFont val="Arial"/>
      </rPr>
      <t xml:space="preserve"> Volume VII: Chpater 5. Methods for Estimating Methane Emissions from Natural Gas and Oil Systems. </t>
    </r>
    <r>
      <rPr>
        <sz val="10"/>
        <color theme="1"/>
        <rFont val="Arial"/>
      </rPr>
      <t>This factor represents emissions not just from wells but also from pneumatic devices, dehydrator vents, Kimray pumps, gas engines, and well clean-ups</t>
    </r>
  </si>
  <si>
    <t>Natural Gas - Distribution</t>
  </si>
  <si>
    <r>
      <rPr>
        <b/>
        <sz val="9"/>
        <color theme="1"/>
        <rFont val="Comic Sans MS"/>
      </rPr>
      <t>Metric Tons CH</t>
    </r>
    <r>
      <rPr>
        <b/>
        <vertAlign val="subscript"/>
        <sz val="9"/>
        <color theme="1"/>
        <rFont val="Comic Sans MS"/>
      </rPr>
      <t>4</t>
    </r>
  </si>
  <si>
    <r>
      <rPr>
        <b/>
        <sz val="9"/>
        <color theme="1"/>
        <rFont val="Comic Sans MS"/>
      </rPr>
      <t>MMTCO</t>
    </r>
    <r>
      <rPr>
        <b/>
        <vertAlign val="subscript"/>
        <sz val="9"/>
        <color theme="1"/>
        <rFont val="Comic Sans MS"/>
      </rPr>
      <t>2</t>
    </r>
    <r>
      <rPr>
        <b/>
        <sz val="9"/>
        <color theme="1"/>
        <rFont val="Comic Sans MS"/>
      </rPr>
      <t>E</t>
    </r>
  </si>
  <si>
    <t>Distribution pipeline</t>
  </si>
  <si>
    <r>
      <rPr>
        <sz val="9"/>
        <color theme="1"/>
        <rFont val="Comic Sans MS"/>
      </rPr>
      <t>(metric tons CH</t>
    </r>
    <r>
      <rPr>
        <vertAlign val="subscript"/>
        <sz val="9"/>
        <color theme="1"/>
        <rFont val="Comic Sans MS"/>
      </rPr>
      <t>4</t>
    </r>
    <r>
      <rPr>
        <sz val="9"/>
        <color theme="1"/>
        <rFont val="Comic Sans MS"/>
      </rPr>
      <t xml:space="preserve"> per year per activity unit)</t>
    </r>
  </si>
  <si>
    <t>Miles of cast iron distribution pipeline</t>
  </si>
  <si>
    <t>Miles of unprotected steel distribution pipeline</t>
  </si>
  <si>
    <t>Miles of protected steel distribution pipeline</t>
  </si>
  <si>
    <t>Miles of plastic distribution pipeline</t>
  </si>
  <si>
    <t>Services</t>
  </si>
  <si>
    <t>Total number of services</t>
  </si>
  <si>
    <t>Number of unprotected steel services</t>
  </si>
  <si>
    <t>Number of protected steel services</t>
  </si>
  <si>
    <t>Miles of Distribution pipeline from US Department of Transport, Office of Pipeline Safety, "  Distribution and Transmission Annuals data:2010-Present" . http://www.phmsa.dot.gov/portal/</t>
  </si>
  <si>
    <t>https://www.phmsa.dot.gov/data-and-statistics/pipeline/gas-distribution-gas-gathering-gas-transmission-hazardous-liquids</t>
  </si>
  <si>
    <r>
      <rPr>
        <sz val="8"/>
        <color theme="1"/>
        <rFont val="Arial"/>
      </rPr>
      <t>All emission factors from US EP</t>
    </r>
    <r>
      <rPr>
        <sz val="10"/>
        <color theme="1"/>
        <rFont val="Arial"/>
      </rPr>
      <t>A, Emissions Inventory Improvements Program,</t>
    </r>
    <r>
      <rPr>
        <i/>
        <sz val="10"/>
        <color theme="1"/>
        <rFont val="Arial"/>
      </rPr>
      <t xml:space="preserve"> Volume VII: Chapter 5. Methods for Estimating Methane Emissions from Natural Gas and Oil Systems. </t>
    </r>
  </si>
  <si>
    <t>Natural Gas - Transmission</t>
  </si>
  <si>
    <r>
      <rPr>
        <b/>
        <sz val="8"/>
        <color theme="1"/>
        <rFont val="Comic Sans MS"/>
      </rPr>
      <t>Metric Tons CH</t>
    </r>
    <r>
      <rPr>
        <b/>
        <vertAlign val="subscript"/>
        <sz val="8"/>
        <color theme="1"/>
        <rFont val="Comic Sans MS"/>
      </rPr>
      <t>4</t>
    </r>
  </si>
  <si>
    <r>
      <rPr>
        <b/>
        <sz val="8"/>
        <color theme="1"/>
        <rFont val="Comic Sans MS"/>
      </rPr>
      <t>MMTCO</t>
    </r>
    <r>
      <rPr>
        <b/>
        <vertAlign val="subscript"/>
        <sz val="8"/>
        <color theme="1"/>
        <rFont val="Comic Sans MS"/>
      </rPr>
      <t>2</t>
    </r>
    <r>
      <rPr>
        <b/>
        <sz val="8"/>
        <color theme="1"/>
        <rFont val="Comic Sans MS"/>
      </rPr>
      <t>E</t>
    </r>
  </si>
  <si>
    <r>
      <rPr>
        <sz val="8"/>
        <color theme="1"/>
        <rFont val="Comic Sans MS"/>
      </rPr>
      <t>(metric tons CH</t>
    </r>
    <r>
      <rPr>
        <vertAlign val="subscript"/>
        <sz val="8"/>
        <color theme="1"/>
        <rFont val="Comic Sans MS"/>
      </rPr>
      <t>4</t>
    </r>
    <r>
      <rPr>
        <sz val="8"/>
        <color theme="1"/>
        <rFont val="Comic Sans MS"/>
      </rPr>
      <t xml:space="preserve"> per year per activity unit)</t>
    </r>
  </si>
  <si>
    <t>Miles of transmission pipeline</t>
  </si>
  <si>
    <t>Number of gas transmission compressor stations</t>
  </si>
  <si>
    <t>Number of gas storage compressor stations</t>
  </si>
  <si>
    <t xml:space="preserve">Number of LNG storage compressor stations from EIA, US LNG Markets and Uses, http://www.eia.doe.gov/pub/oil_gas/natural_gas/feature_articles/2003/lng/lng2003.pdf </t>
  </si>
  <si>
    <t>Miles of transmission pipeline from US Department of Transport, Office of Pipeline Safety, "  Distribution and Transmission Annuals data: 2010 -Present" . Acess from http://www.phmsa.dot.gov/portal/</t>
  </si>
  <si>
    <t>Number of gas transmission compressor stations = miles of transmission pipeline x 0.006 -EIIP, Volume VII: Chapter 5,March 2005</t>
  </si>
  <si>
    <t>Number of gas storage compressor station  = miles of transmission pipeline x 0.0015 -EIIP, Volume VII: Chapter 5,March 2005</t>
  </si>
  <si>
    <r>
      <rPr>
        <sz val="8"/>
        <color theme="1"/>
        <rFont val="Arial"/>
      </rPr>
      <t>All emission factors from US EP</t>
    </r>
    <r>
      <rPr>
        <sz val="10"/>
        <color theme="1"/>
        <rFont val="Arial"/>
      </rPr>
      <t>A, Emissions Inventory Improvements Program,</t>
    </r>
    <r>
      <rPr>
        <i/>
        <sz val="10"/>
        <color theme="1"/>
        <rFont val="Arial"/>
      </rPr>
      <t xml:space="preserve"> Volume VII: Chapter 5. Methods for Estimating Methane Emissions from Natural Gas and Oil Systems. </t>
    </r>
  </si>
  <si>
    <t>Natural Gas - Consumption as Pipeline Fuel</t>
  </si>
  <si>
    <t xml:space="preserve">                         Emission Factors:</t>
  </si>
  <si>
    <t xml:space="preserve"> Combustion</t>
  </si>
  <si>
    <r>
      <rPr>
        <b/>
        <sz val="10"/>
        <color theme="1"/>
        <rFont val="Comic Sans MS"/>
      </rPr>
      <t>CO</t>
    </r>
    <r>
      <rPr>
        <b/>
        <vertAlign val="subscript"/>
        <sz val="10"/>
        <color theme="1"/>
        <rFont val="Comic Sans MS"/>
      </rPr>
      <t>2</t>
    </r>
    <r>
      <rPr>
        <b/>
        <sz val="10"/>
        <color theme="1"/>
        <rFont val="Comic Sans MS"/>
      </rPr>
      <t xml:space="preserve"> Emissions</t>
    </r>
  </si>
  <si>
    <r>
      <rPr>
        <b/>
        <sz val="10"/>
        <color theme="1"/>
        <rFont val="Comic Sans MS"/>
      </rPr>
      <t>N</t>
    </r>
    <r>
      <rPr>
        <b/>
        <vertAlign val="subscript"/>
        <sz val="10"/>
        <color theme="1"/>
        <rFont val="Comic Sans MS"/>
      </rPr>
      <t>2</t>
    </r>
    <r>
      <rPr>
        <b/>
        <sz val="10"/>
        <color theme="1"/>
        <rFont val="Comic Sans MS"/>
      </rPr>
      <t>O Emissions</t>
    </r>
  </si>
  <si>
    <r>
      <rPr>
        <b/>
        <sz val="10"/>
        <color theme="1"/>
        <rFont val="Comic Sans MS"/>
      </rPr>
      <t>CH</t>
    </r>
    <r>
      <rPr>
        <b/>
        <vertAlign val="subscript"/>
        <sz val="10"/>
        <color theme="1"/>
        <rFont val="Comic Sans MS"/>
      </rPr>
      <t>4</t>
    </r>
    <r>
      <rPr>
        <b/>
        <sz val="10"/>
        <color theme="1"/>
        <rFont val="Comic Sans MS"/>
      </rPr>
      <t xml:space="preserve"> Emissions</t>
    </r>
  </si>
  <si>
    <t>GHG Emissions</t>
  </si>
  <si>
    <t>NG Consumption</t>
  </si>
  <si>
    <t>(Billion Btus)</t>
  </si>
  <si>
    <t>Carbon</t>
  </si>
  <si>
    <r>
      <rPr>
        <b/>
        <sz val="10"/>
        <color theme="1"/>
        <rFont val="Comic Sans MS"/>
      </rPr>
      <t>N</t>
    </r>
    <r>
      <rPr>
        <b/>
        <vertAlign val="subscript"/>
        <sz val="10"/>
        <color theme="1"/>
        <rFont val="Comic Sans MS"/>
      </rPr>
      <t>2</t>
    </r>
    <r>
      <rPr>
        <b/>
        <sz val="10"/>
        <color theme="1"/>
        <rFont val="Comic Sans MS"/>
      </rPr>
      <t>O</t>
    </r>
  </si>
  <si>
    <r>
      <rPr>
        <b/>
        <sz val="10"/>
        <color theme="1"/>
        <rFont val="Comic Sans MS"/>
      </rPr>
      <t>CH</t>
    </r>
    <r>
      <rPr>
        <b/>
        <vertAlign val="subscript"/>
        <sz val="10"/>
        <color theme="1"/>
        <rFont val="Comic Sans MS"/>
      </rPr>
      <t>4</t>
    </r>
  </si>
  <si>
    <r>
      <rPr>
        <b/>
        <sz val="10"/>
        <color theme="1"/>
        <rFont val="Comic Sans MS"/>
      </rPr>
      <t>(MMTCO</t>
    </r>
    <r>
      <rPr>
        <b/>
        <vertAlign val="subscript"/>
        <sz val="10"/>
        <color theme="1"/>
        <rFont val="Comic Sans MS"/>
      </rPr>
      <t>2</t>
    </r>
    <r>
      <rPr>
        <b/>
        <sz val="10"/>
        <color theme="1"/>
        <rFont val="Comic Sans MS"/>
      </rPr>
      <t>E)</t>
    </r>
  </si>
  <si>
    <r>
      <rPr>
        <b/>
        <sz val="10"/>
        <color theme="1"/>
        <rFont val="Comic Sans MS"/>
      </rPr>
      <t>(MMTCO</t>
    </r>
    <r>
      <rPr>
        <b/>
        <vertAlign val="subscript"/>
        <sz val="10"/>
        <color theme="1"/>
        <rFont val="Comic Sans MS"/>
      </rPr>
      <t>2</t>
    </r>
    <r>
      <rPr>
        <b/>
        <sz val="10"/>
        <color theme="1"/>
        <rFont val="Comic Sans MS"/>
      </rPr>
      <t>E)</t>
    </r>
  </si>
  <si>
    <r>
      <rPr>
        <b/>
        <sz val="10"/>
        <color theme="1"/>
        <rFont val="Comic Sans MS"/>
      </rPr>
      <t>(MMTCO</t>
    </r>
    <r>
      <rPr>
        <b/>
        <vertAlign val="subscript"/>
        <sz val="10"/>
        <color theme="1"/>
        <rFont val="Comic Sans MS"/>
      </rPr>
      <t>2</t>
    </r>
    <r>
      <rPr>
        <b/>
        <sz val="10"/>
        <color theme="1"/>
        <rFont val="Comic Sans MS"/>
      </rPr>
      <t>E)</t>
    </r>
  </si>
  <si>
    <t>(lbs/MMBtu)</t>
  </si>
  <si>
    <t>(Mt/BBtu)</t>
  </si>
  <si>
    <t>NGPZB (Billion Btus)</t>
  </si>
  <si>
    <t>NGPZB (Million Btus)</t>
  </si>
  <si>
    <t>Natural Gas as Pipeline Fuel Activity Data (Billion Btu)  was obtained from:    https://www.eia.gov/dnav/ng/hist/na1480_smd_2a.htm</t>
  </si>
  <si>
    <t>Maryland Natural Gas Consumption By End Use</t>
  </si>
  <si>
    <t>Number of Gas Producing Wells : http://www.eia.gov/dnav/ng/hist/na1170_smd_8a.htm.</t>
  </si>
  <si>
    <r>
      <rPr>
        <b/>
        <sz val="8"/>
        <color theme="1"/>
        <rFont val="Comic Sans MS"/>
      </rPr>
      <t xml:space="preserve">       Emissions by Gas (MMTCO</t>
    </r>
    <r>
      <rPr>
        <b/>
        <vertAlign val="subscript"/>
        <sz val="8"/>
        <color theme="1"/>
        <rFont val="Comic Sans MS"/>
      </rPr>
      <t>2</t>
    </r>
    <r>
      <rPr>
        <b/>
        <sz val="8"/>
        <color theme="1"/>
        <rFont val="Comic Sans MS"/>
      </rPr>
      <t>e)</t>
    </r>
  </si>
  <si>
    <t>Production</t>
  </si>
  <si>
    <t>Transmission</t>
  </si>
  <si>
    <t>Distribution</t>
  </si>
  <si>
    <t>Pipeline Fuel</t>
  </si>
  <si>
    <t xml:space="preserve">   Emissions from Mining in MD</t>
  </si>
  <si>
    <r>
      <rPr>
        <b/>
        <sz val="14"/>
        <color theme="1"/>
        <rFont val="Calibri"/>
      </rPr>
      <t>CH</t>
    </r>
    <r>
      <rPr>
        <b/>
        <vertAlign val="subscript"/>
        <sz val="14"/>
        <color theme="1"/>
        <rFont val="Calibri"/>
      </rPr>
      <t>4</t>
    </r>
    <r>
      <rPr>
        <b/>
        <sz val="14"/>
        <color theme="1"/>
        <rFont val="Calibri"/>
      </rPr>
      <t xml:space="preserve"> from Coal Mining in MD</t>
    </r>
  </si>
  <si>
    <t>Emissions from:</t>
  </si>
  <si>
    <t>Coal Basin(s)     (if applicable)</t>
  </si>
  <si>
    <t>Measured Ventilation Emissions
(mcf)</t>
  </si>
  <si>
    <t>Degasification System Emissions
(mcf)</t>
  </si>
  <si>
    <t>Methane Recovered from Degasification Systems and Usef for Energy
(mcf)</t>
  </si>
  <si>
    <r>
      <rPr>
        <b/>
        <sz val="7"/>
        <color theme="1"/>
        <rFont val="Calibri"/>
      </rPr>
      <t>Emissions
(mcf CH</t>
    </r>
    <r>
      <rPr>
        <b/>
        <vertAlign val="subscript"/>
        <sz val="7"/>
        <color theme="1"/>
        <rFont val="Calibri"/>
      </rPr>
      <t>4</t>
    </r>
    <r>
      <rPr>
        <b/>
        <sz val="7"/>
        <color theme="1"/>
        <rFont val="Calibri"/>
      </rPr>
      <t>)</t>
    </r>
  </si>
  <si>
    <r>
      <rPr>
        <b/>
        <sz val="7"/>
        <color theme="1"/>
        <rFont val="Calibri"/>
      </rPr>
      <t>Emissions
(MTCH</t>
    </r>
    <r>
      <rPr>
        <b/>
        <vertAlign val="subscript"/>
        <sz val="7"/>
        <color theme="1"/>
        <rFont val="Calibri"/>
      </rPr>
      <t>4</t>
    </r>
    <r>
      <rPr>
        <b/>
        <sz val="7"/>
        <color theme="1"/>
        <rFont val="Calibri"/>
      </rPr>
      <t>)</t>
    </r>
  </si>
  <si>
    <r>
      <rPr>
        <b/>
        <sz val="7"/>
        <color theme="1"/>
        <rFont val="Calibri"/>
      </rPr>
      <t>Emissions
(MTCO</t>
    </r>
    <r>
      <rPr>
        <b/>
        <vertAlign val="subscript"/>
        <sz val="7"/>
        <color theme="1"/>
        <rFont val="Calibri"/>
      </rPr>
      <t>2</t>
    </r>
    <r>
      <rPr>
        <b/>
        <sz val="7"/>
        <color theme="1"/>
        <rFont val="Calibri"/>
      </rPr>
      <t>E)</t>
    </r>
  </si>
  <si>
    <t>Mines</t>
  </si>
  <si>
    <t>Underground Mines</t>
  </si>
  <si>
    <t>+</t>
  </si>
  <si>
    <t>-</t>
  </si>
  <si>
    <t>Surface Coal Production
('000 short tons)</t>
  </si>
  <si>
    <r>
      <rPr>
        <b/>
        <sz val="7"/>
        <color theme="1"/>
        <rFont val="Calibri"/>
      </rPr>
      <t>Basin-specific EF
(ft</t>
    </r>
    <r>
      <rPr>
        <b/>
        <vertAlign val="superscript"/>
        <sz val="7"/>
        <color theme="1"/>
        <rFont val="Calibri"/>
      </rPr>
      <t>3</t>
    </r>
    <r>
      <rPr>
        <b/>
        <sz val="7"/>
        <color theme="1"/>
        <rFont val="Calibri"/>
      </rPr>
      <t>/short ton)</t>
    </r>
  </si>
  <si>
    <r>
      <rPr>
        <b/>
        <sz val="7"/>
        <color theme="1"/>
        <rFont val="Calibri"/>
      </rPr>
      <t>Emissions
('000 ft</t>
    </r>
    <r>
      <rPr>
        <b/>
        <vertAlign val="superscript"/>
        <sz val="7"/>
        <color theme="1"/>
        <rFont val="Calibri"/>
      </rPr>
      <t>3</t>
    </r>
    <r>
      <rPr>
        <b/>
        <sz val="7"/>
        <color theme="1"/>
        <rFont val="Calibri"/>
      </rPr>
      <t xml:space="preserve"> CH</t>
    </r>
    <r>
      <rPr>
        <b/>
        <vertAlign val="subscript"/>
        <sz val="7"/>
        <color theme="1"/>
        <rFont val="Calibri"/>
      </rPr>
      <t>4</t>
    </r>
    <r>
      <rPr>
        <b/>
        <sz val="7"/>
        <color theme="1"/>
        <rFont val="Calibri"/>
      </rPr>
      <t>)</t>
    </r>
  </si>
  <si>
    <r>
      <rPr>
        <b/>
        <sz val="7"/>
        <color theme="1"/>
        <rFont val="Calibri"/>
      </rPr>
      <t>Emissions
(MTCH</t>
    </r>
    <r>
      <rPr>
        <b/>
        <vertAlign val="subscript"/>
        <sz val="7"/>
        <color theme="1"/>
        <rFont val="Calibri"/>
      </rPr>
      <t>4</t>
    </r>
    <r>
      <rPr>
        <b/>
        <sz val="7"/>
        <color theme="1"/>
        <rFont val="Calibri"/>
      </rPr>
      <t>)</t>
    </r>
  </si>
  <si>
    <r>
      <rPr>
        <b/>
        <sz val="7"/>
        <color theme="1"/>
        <rFont val="Calibri"/>
      </rPr>
      <t>Emissions
(MTCO</t>
    </r>
    <r>
      <rPr>
        <b/>
        <vertAlign val="subscript"/>
        <sz val="7"/>
        <color theme="1"/>
        <rFont val="Calibri"/>
      </rPr>
      <t>2</t>
    </r>
    <r>
      <rPr>
        <b/>
        <sz val="7"/>
        <color theme="1"/>
        <rFont val="Calibri"/>
      </rPr>
      <t>E)</t>
    </r>
  </si>
  <si>
    <t>Surface Mines</t>
  </si>
  <si>
    <t>Northern Appalachian Basin</t>
  </si>
  <si>
    <t>---</t>
  </si>
  <si>
    <t>Post-Mining Activity</t>
  </si>
  <si>
    <t>Coal Production
('000 short tons)</t>
  </si>
  <si>
    <r>
      <rPr>
        <b/>
        <sz val="7"/>
        <color theme="1"/>
        <rFont val="Calibri"/>
      </rPr>
      <t>Basin- &amp; Mine-specific EF
(ft</t>
    </r>
    <r>
      <rPr>
        <b/>
        <vertAlign val="superscript"/>
        <sz val="7"/>
        <color theme="1"/>
        <rFont val="Calibri"/>
      </rPr>
      <t>3</t>
    </r>
    <r>
      <rPr>
        <b/>
        <sz val="7"/>
        <color theme="1"/>
        <rFont val="Calibri"/>
      </rPr>
      <t>/short ton)</t>
    </r>
  </si>
  <si>
    <r>
      <rPr>
        <b/>
        <sz val="7"/>
        <color theme="1"/>
        <rFont val="Calibri"/>
      </rPr>
      <t>Emissions
('000 ft</t>
    </r>
    <r>
      <rPr>
        <b/>
        <vertAlign val="superscript"/>
        <sz val="7"/>
        <color theme="1"/>
        <rFont val="Calibri"/>
      </rPr>
      <t>3</t>
    </r>
    <r>
      <rPr>
        <b/>
        <sz val="7"/>
        <color theme="1"/>
        <rFont val="Calibri"/>
      </rPr>
      <t xml:space="preserve"> CH</t>
    </r>
    <r>
      <rPr>
        <b/>
        <vertAlign val="subscript"/>
        <sz val="7"/>
        <color theme="1"/>
        <rFont val="Calibri"/>
      </rPr>
      <t>4</t>
    </r>
    <r>
      <rPr>
        <b/>
        <sz val="7"/>
        <color theme="1"/>
        <rFont val="Calibri"/>
      </rPr>
      <t>)</t>
    </r>
  </si>
  <si>
    <r>
      <rPr>
        <b/>
        <sz val="7"/>
        <color theme="1"/>
        <rFont val="Calibri"/>
      </rPr>
      <t>Emissions
(MTCH</t>
    </r>
    <r>
      <rPr>
        <b/>
        <vertAlign val="subscript"/>
        <sz val="7"/>
        <color theme="1"/>
        <rFont val="Calibri"/>
      </rPr>
      <t>4</t>
    </r>
    <r>
      <rPr>
        <b/>
        <sz val="7"/>
        <color theme="1"/>
        <rFont val="Calibri"/>
      </rPr>
      <t>)</t>
    </r>
  </si>
  <si>
    <r>
      <rPr>
        <b/>
        <sz val="7"/>
        <color theme="1"/>
        <rFont val="Calibri"/>
      </rPr>
      <t>Emissions
(MTCO</t>
    </r>
    <r>
      <rPr>
        <b/>
        <vertAlign val="subscript"/>
        <sz val="7"/>
        <color theme="1"/>
        <rFont val="Calibri"/>
      </rPr>
      <t>2</t>
    </r>
    <r>
      <rPr>
        <b/>
        <sz val="7"/>
        <color theme="1"/>
        <rFont val="Calibri"/>
      </rPr>
      <t>E)</t>
    </r>
  </si>
  <si>
    <t>Post-Mining Total</t>
  </si>
  <si>
    <t>Total Coal Mining</t>
  </si>
  <si>
    <r>
      <rPr>
        <b/>
        <sz val="7"/>
        <color theme="1"/>
        <rFont val="Calibri"/>
      </rPr>
      <t>(MTCO</t>
    </r>
    <r>
      <rPr>
        <b/>
        <vertAlign val="subscript"/>
        <sz val="7"/>
        <color theme="1"/>
        <rFont val="Calibri"/>
      </rPr>
      <t>2</t>
    </r>
    <r>
      <rPr>
        <b/>
        <sz val="7"/>
        <color theme="1"/>
        <rFont val="Calibri"/>
      </rPr>
      <t>E)</t>
    </r>
  </si>
  <si>
    <t>Maryland Abandoned Coal Mines Emissions Summary</t>
  </si>
  <si>
    <t>Default MD Abandoned Mine Emissions
Gg/Year</t>
  </si>
  <si>
    <t xml:space="preserve">Mine Status
Percent </t>
  </si>
  <si>
    <t>Emissions
(MTCE)</t>
  </si>
  <si>
    <r>
      <rPr>
        <b/>
        <sz val="7"/>
        <color theme="1"/>
        <rFont val="Calibri"/>
      </rPr>
      <t>Emissions
(MTCH</t>
    </r>
    <r>
      <rPr>
        <b/>
        <vertAlign val="subscript"/>
        <sz val="7"/>
        <color theme="1"/>
        <rFont val="Calibri"/>
      </rPr>
      <t>4</t>
    </r>
    <r>
      <rPr>
        <b/>
        <sz val="7"/>
        <color theme="1"/>
        <rFont val="Calibri"/>
      </rPr>
      <t>)</t>
    </r>
  </si>
  <si>
    <r>
      <rPr>
        <b/>
        <sz val="7"/>
        <color theme="1"/>
        <rFont val="Calibri"/>
      </rPr>
      <t>Emissions
(MTCO</t>
    </r>
    <r>
      <rPr>
        <b/>
        <vertAlign val="subscript"/>
        <sz val="7"/>
        <color theme="1"/>
        <rFont val="Calibri"/>
      </rPr>
      <t>2</t>
    </r>
    <r>
      <rPr>
        <b/>
        <sz val="7"/>
        <color theme="1"/>
        <rFont val="Calibri"/>
      </rPr>
      <t>E)</t>
    </r>
  </si>
  <si>
    <t>Vented</t>
  </si>
  <si>
    <t>Sealed</t>
  </si>
  <si>
    <t>Flooded</t>
  </si>
  <si>
    <t>Maryland Coal Mines Emissions Summary</t>
  </si>
  <si>
    <r>
      <rPr>
        <b/>
        <sz val="8"/>
        <color theme="1"/>
        <rFont val="Calibri"/>
      </rPr>
      <t>Emissions (MMTCO</t>
    </r>
    <r>
      <rPr>
        <b/>
        <vertAlign val="subscript"/>
        <sz val="8"/>
        <color theme="1"/>
        <rFont val="Calibri"/>
      </rPr>
      <t>2</t>
    </r>
    <r>
      <rPr>
        <b/>
        <sz val="8"/>
        <color theme="1"/>
        <rFont val="Calibri"/>
      </rPr>
      <t>E)</t>
    </r>
  </si>
  <si>
    <t>Coal Mining</t>
  </si>
  <si>
    <t>Abandoned Coal Mines</t>
  </si>
  <si>
    <t xml:space="preserve">  Vented</t>
  </si>
  <si>
    <t xml:space="preserve">  Sealed</t>
  </si>
  <si>
    <t xml:space="preserve">  Flooded</t>
  </si>
  <si>
    <r>
      <rPr>
        <b/>
        <sz val="8"/>
        <color theme="1"/>
        <rFont val="Calibri"/>
      </rPr>
      <t>Emissions (MTCO</t>
    </r>
    <r>
      <rPr>
        <b/>
        <vertAlign val="subscript"/>
        <sz val="8"/>
        <color theme="1"/>
        <rFont val="Calibri"/>
      </rPr>
      <t>2</t>
    </r>
    <r>
      <rPr>
        <b/>
        <sz val="8"/>
        <color theme="1"/>
        <rFont val="Calibri"/>
      </rPr>
      <t>E)</t>
    </r>
  </si>
  <si>
    <t>Emissions (MTCE)</t>
  </si>
  <si>
    <r>
      <rPr>
        <b/>
        <sz val="8"/>
        <color theme="1"/>
        <rFont val="Calibri"/>
      </rPr>
      <t>Emissions by Gas (MTCH</t>
    </r>
    <r>
      <rPr>
        <b/>
        <vertAlign val="subscript"/>
        <sz val="8"/>
        <color theme="1"/>
        <rFont val="Calibri"/>
      </rPr>
      <t>4</t>
    </r>
    <r>
      <rPr>
        <b/>
        <sz val="8"/>
        <color theme="1"/>
        <rFont val="Calibri"/>
      </rPr>
      <t>)</t>
    </r>
  </si>
  <si>
    <t>Ninety-Nineth Annual Report of the Maryland Burea of Mines 2020</t>
  </si>
  <si>
    <t>https://mde.maryland.gov/programs/land/mining/pages/bureauofminesannualreports.aspx</t>
  </si>
  <si>
    <t>Cement Industry Production Emissions</t>
  </si>
  <si>
    <t>EPA- Mandatory GHG Rule Reporting Methodology used in Emission Certification Reports.</t>
  </si>
  <si>
    <t>% Biomass</t>
  </si>
  <si>
    <r>
      <rPr>
        <b/>
        <sz val="8"/>
        <color theme="1"/>
        <rFont val="Arial"/>
      </rPr>
      <t>CO</t>
    </r>
    <r>
      <rPr>
        <b/>
        <vertAlign val="subscript"/>
        <sz val="8"/>
        <color theme="1"/>
        <rFont val="Arial"/>
      </rPr>
      <t>2</t>
    </r>
    <r>
      <rPr>
        <b/>
        <sz val="8"/>
        <color theme="1"/>
        <rFont val="Arial"/>
      </rPr>
      <t xml:space="preserve"> Emissions (metric tons)</t>
    </r>
  </si>
  <si>
    <r>
      <rPr>
        <b/>
        <sz val="8"/>
        <color theme="1"/>
        <rFont val="Arial"/>
      </rPr>
      <t>CH</t>
    </r>
    <r>
      <rPr>
        <b/>
        <vertAlign val="subscript"/>
        <sz val="8"/>
        <color theme="1"/>
        <rFont val="Arial"/>
      </rPr>
      <t>4</t>
    </r>
    <r>
      <rPr>
        <b/>
        <sz val="8"/>
        <color theme="1"/>
        <rFont val="Arial"/>
      </rPr>
      <t xml:space="preserve"> Emissions (metric tons CH</t>
    </r>
    <r>
      <rPr>
        <b/>
        <vertAlign val="subscript"/>
        <sz val="8"/>
        <color theme="1"/>
        <rFont val="Arial"/>
      </rPr>
      <t>4</t>
    </r>
    <r>
      <rPr>
        <b/>
        <sz val="8"/>
        <color theme="1"/>
        <rFont val="Arial"/>
      </rPr>
      <t>)</t>
    </r>
  </si>
  <si>
    <r>
      <rPr>
        <b/>
        <sz val="8"/>
        <color theme="1"/>
        <rFont val="Arial"/>
      </rPr>
      <t>N</t>
    </r>
    <r>
      <rPr>
        <b/>
        <vertAlign val="subscript"/>
        <sz val="8"/>
        <color theme="1"/>
        <rFont val="Arial"/>
      </rPr>
      <t>2</t>
    </r>
    <r>
      <rPr>
        <b/>
        <sz val="8"/>
        <color theme="1"/>
        <rFont val="Arial"/>
      </rPr>
      <t>O Emissions (metric tons CH</t>
    </r>
    <r>
      <rPr>
        <b/>
        <vertAlign val="subscript"/>
        <sz val="8"/>
        <color theme="1"/>
        <rFont val="Arial"/>
      </rPr>
      <t>4</t>
    </r>
    <r>
      <rPr>
        <b/>
        <sz val="8"/>
        <color theme="1"/>
        <rFont val="Arial"/>
      </rPr>
      <t>)</t>
    </r>
  </si>
  <si>
    <t>(A)</t>
  </si>
  <si>
    <t xml:space="preserve"> Lehigh Kiln System </t>
  </si>
  <si>
    <t xml:space="preserve"> -Coal</t>
  </si>
  <si>
    <t>metric  tons</t>
  </si>
  <si>
    <t xml:space="preserve"> - DBS (Preheater/Precalciner Kiln)</t>
  </si>
  <si>
    <t xml:space="preserve"> - #2 Oil</t>
  </si>
  <si>
    <t>Gallons</t>
  </si>
  <si>
    <t xml:space="preserve"> - Fly Ash</t>
  </si>
  <si>
    <t>metric tons</t>
  </si>
  <si>
    <t>Kiln Fossil Fuel Combustion (Calculation) (metric tons)</t>
  </si>
  <si>
    <r>
      <rPr>
        <b/>
        <sz val="8"/>
        <color theme="1"/>
        <rFont val="Arial"/>
      </rPr>
      <t>Kiln System Total CO</t>
    </r>
    <r>
      <rPr>
        <b/>
        <vertAlign val="subscript"/>
        <sz val="8"/>
        <color theme="1"/>
        <rFont val="Arial"/>
      </rPr>
      <t>2</t>
    </r>
    <r>
      <rPr>
        <b/>
        <sz val="8"/>
        <color theme="1"/>
        <rFont val="Arial"/>
      </rPr>
      <t xml:space="preserve"> (CEM Measured)</t>
    </r>
  </si>
  <si>
    <r>
      <rPr>
        <b/>
        <sz val="8"/>
        <color theme="1"/>
        <rFont val="Arial"/>
      </rPr>
      <t xml:space="preserve">Cement Production-Process CO2 (metric tons)  = </t>
    </r>
    <r>
      <rPr>
        <b/>
        <sz val="8"/>
        <color rgb="FFFF0000"/>
        <rFont val="Arial"/>
      </rPr>
      <t>(Kiln System Total CO2)</t>
    </r>
    <r>
      <rPr>
        <b/>
        <sz val="8"/>
        <color theme="1"/>
        <rFont val="Arial"/>
      </rPr>
      <t xml:space="preserve"> - </t>
    </r>
    <r>
      <rPr>
        <b/>
        <sz val="8"/>
        <color rgb="FFFF0000"/>
        <rFont val="Arial"/>
      </rPr>
      <t>(Kiln Fossil Fuel Combustion CO2)</t>
    </r>
  </si>
  <si>
    <t>Non Kiln</t>
  </si>
  <si>
    <r>
      <rPr>
        <b/>
        <sz val="8"/>
        <color theme="1"/>
        <rFont val="Arial"/>
      </rPr>
      <t xml:space="preserve"> Finish Mill (#2 Oil) (</t>
    </r>
    <r>
      <rPr>
        <b/>
        <sz val="8"/>
        <color rgb="FFFF0000"/>
        <rFont val="Arial"/>
      </rPr>
      <t>metric tons)</t>
    </r>
  </si>
  <si>
    <r>
      <rPr>
        <b/>
        <sz val="8"/>
        <color theme="1"/>
        <rFont val="Arial"/>
      </rPr>
      <t>Total Facility CO2 = (Kiln System CO2) + (Non-Kiln CO2) (</t>
    </r>
    <r>
      <rPr>
        <b/>
        <sz val="8"/>
        <color rgb="FFFF0000"/>
        <rFont val="Arial"/>
      </rPr>
      <t>metric tons</t>
    </r>
    <r>
      <rPr>
        <b/>
        <sz val="8"/>
        <color theme="1"/>
        <rFont val="Arial"/>
      </rPr>
      <t>)</t>
    </r>
  </si>
  <si>
    <t>Emissions (short tons)</t>
  </si>
  <si>
    <t>Kiln Fossil Fuel Combustion (short tons)</t>
  </si>
  <si>
    <r>
      <rPr>
        <b/>
        <sz val="8"/>
        <color theme="1"/>
        <rFont val="Arial"/>
      </rPr>
      <t>Kiln System Total CO</t>
    </r>
    <r>
      <rPr>
        <b/>
        <vertAlign val="subscript"/>
        <sz val="8"/>
        <color theme="1"/>
        <rFont val="Arial"/>
      </rPr>
      <t>2</t>
    </r>
    <r>
      <rPr>
        <b/>
        <sz val="8"/>
        <color theme="1"/>
        <rFont val="Arial"/>
      </rPr>
      <t xml:space="preserve"> (CEM Measured) (short tons)</t>
    </r>
  </si>
  <si>
    <r>
      <rPr>
        <b/>
        <sz val="8"/>
        <color theme="1"/>
        <rFont val="Arial"/>
      </rPr>
      <t>Cement Production-Process CO</t>
    </r>
    <r>
      <rPr>
        <b/>
        <vertAlign val="subscript"/>
        <sz val="8"/>
        <color theme="1"/>
        <rFont val="Arial"/>
      </rPr>
      <t xml:space="preserve">2 </t>
    </r>
    <r>
      <rPr>
        <b/>
        <sz val="8"/>
        <color theme="1"/>
        <rFont val="Arial"/>
      </rPr>
      <t>(short tons)</t>
    </r>
    <r>
      <rPr>
        <b/>
        <vertAlign val="subscript"/>
        <sz val="8"/>
        <color theme="1"/>
        <rFont val="Arial"/>
      </rPr>
      <t xml:space="preserve">  </t>
    </r>
    <r>
      <rPr>
        <b/>
        <sz val="8"/>
        <color theme="1"/>
        <rFont val="Arial"/>
      </rPr>
      <t>= Kiln System Total CO</t>
    </r>
    <r>
      <rPr>
        <b/>
        <vertAlign val="subscript"/>
        <sz val="8"/>
        <color theme="1"/>
        <rFont val="Arial"/>
      </rPr>
      <t>2</t>
    </r>
    <r>
      <rPr>
        <b/>
        <sz val="8"/>
        <color theme="1"/>
        <rFont val="Arial"/>
      </rPr>
      <t xml:space="preserve"> - Kiln Fossil Fuel Combustion CO</t>
    </r>
    <r>
      <rPr>
        <b/>
        <vertAlign val="subscript"/>
        <sz val="8"/>
        <color theme="1"/>
        <rFont val="Arial"/>
      </rPr>
      <t>2</t>
    </r>
  </si>
  <si>
    <r>
      <rPr>
        <b/>
        <sz val="8"/>
        <color theme="1"/>
        <rFont val="Arial"/>
      </rPr>
      <t>Total Facility CO</t>
    </r>
    <r>
      <rPr>
        <b/>
        <vertAlign val="subscript"/>
        <sz val="8"/>
        <color theme="1"/>
        <rFont val="Arial"/>
      </rPr>
      <t>2</t>
    </r>
    <r>
      <rPr>
        <b/>
        <sz val="8"/>
        <color theme="1"/>
        <rFont val="Arial"/>
      </rPr>
      <t xml:space="preserve"> (short tons)</t>
    </r>
    <r>
      <rPr>
        <b/>
        <vertAlign val="subscript"/>
        <sz val="8"/>
        <color theme="1"/>
        <rFont val="Arial"/>
      </rPr>
      <t xml:space="preserve"> </t>
    </r>
    <r>
      <rPr>
        <b/>
        <sz val="8"/>
        <color theme="1"/>
        <rFont val="Arial"/>
      </rPr>
      <t>= Kiln System CO</t>
    </r>
    <r>
      <rPr>
        <b/>
        <vertAlign val="subscript"/>
        <sz val="8"/>
        <color theme="1"/>
        <rFont val="Arial"/>
      </rPr>
      <t>2</t>
    </r>
    <r>
      <rPr>
        <b/>
        <sz val="8"/>
        <color theme="1"/>
        <rFont val="Arial"/>
      </rPr>
      <t xml:space="preserve"> + Non-Kiln CO</t>
    </r>
    <r>
      <rPr>
        <b/>
        <vertAlign val="subscript"/>
        <sz val="8"/>
        <color theme="1"/>
        <rFont val="Arial"/>
      </rPr>
      <t>2</t>
    </r>
  </si>
  <si>
    <t>(B)</t>
  </si>
  <si>
    <t>Holcim Kiln 2020</t>
  </si>
  <si>
    <r>
      <rPr>
        <b/>
        <sz val="8"/>
        <color theme="1"/>
        <rFont val="Arial"/>
      </rPr>
      <t>CO</t>
    </r>
    <r>
      <rPr>
        <b/>
        <vertAlign val="subscript"/>
        <sz val="8"/>
        <color theme="1"/>
        <rFont val="Arial"/>
      </rPr>
      <t>2</t>
    </r>
    <r>
      <rPr>
        <b/>
        <sz val="8"/>
        <color theme="1"/>
        <rFont val="Arial"/>
      </rPr>
      <t xml:space="preserve"> Emissions (metric tons)</t>
    </r>
  </si>
  <si>
    <r>
      <rPr>
        <b/>
        <sz val="8"/>
        <color theme="1"/>
        <rFont val="Arial"/>
      </rPr>
      <t>CH</t>
    </r>
    <r>
      <rPr>
        <b/>
        <vertAlign val="subscript"/>
        <sz val="8"/>
        <color theme="1"/>
        <rFont val="Arial"/>
      </rPr>
      <t>4</t>
    </r>
    <r>
      <rPr>
        <b/>
        <sz val="8"/>
        <color theme="1"/>
        <rFont val="Arial"/>
      </rPr>
      <t xml:space="preserve"> Emissions (metric tons CH</t>
    </r>
    <r>
      <rPr>
        <b/>
        <vertAlign val="subscript"/>
        <sz val="8"/>
        <color theme="1"/>
        <rFont val="Arial"/>
      </rPr>
      <t>4</t>
    </r>
    <r>
      <rPr>
        <b/>
        <sz val="8"/>
        <color theme="1"/>
        <rFont val="Arial"/>
      </rPr>
      <t>)</t>
    </r>
  </si>
  <si>
    <r>
      <rPr>
        <b/>
        <sz val="8"/>
        <color theme="1"/>
        <rFont val="Arial"/>
      </rPr>
      <t>N</t>
    </r>
    <r>
      <rPr>
        <b/>
        <vertAlign val="subscript"/>
        <sz val="8"/>
        <color theme="1"/>
        <rFont val="Arial"/>
      </rPr>
      <t>2</t>
    </r>
    <r>
      <rPr>
        <b/>
        <sz val="8"/>
        <color theme="1"/>
        <rFont val="Arial"/>
      </rPr>
      <t>O  Emissions   (metric tons N</t>
    </r>
    <r>
      <rPr>
        <b/>
        <vertAlign val="subscript"/>
        <sz val="8"/>
        <color theme="1"/>
        <rFont val="Arial"/>
      </rPr>
      <t>2</t>
    </r>
    <r>
      <rPr>
        <b/>
        <sz val="8"/>
        <color theme="1"/>
        <rFont val="Arial"/>
      </rPr>
      <t>O)</t>
    </r>
  </si>
  <si>
    <t>Kiln System</t>
  </si>
  <si>
    <t>short  tons</t>
  </si>
  <si>
    <t xml:space="preserve"> - Tire</t>
  </si>
  <si>
    <r>
      <rPr>
        <b/>
        <sz val="8"/>
        <color theme="1"/>
        <rFont val="Arial"/>
      </rPr>
      <t>Kiln Fossil Fuel Alone CO2 (Calculation) (</t>
    </r>
    <r>
      <rPr>
        <b/>
        <sz val="8"/>
        <color rgb="FFFF0000"/>
        <rFont val="Arial"/>
      </rPr>
      <t>metric tons</t>
    </r>
    <r>
      <rPr>
        <b/>
        <sz val="8"/>
        <color theme="1"/>
        <rFont val="Arial"/>
      </rPr>
      <t>)</t>
    </r>
  </si>
  <si>
    <t xml:space="preserve">Non Kiln </t>
  </si>
  <si>
    <t>Raw Meal - # 2 Oil</t>
  </si>
  <si>
    <t>Kiln System Total CO2 (CEM Measured). (metric tons)</t>
  </si>
  <si>
    <t>Kiln Fossil Fuel Alone CO2 (Calculation) (metric tons)</t>
  </si>
  <si>
    <r>
      <rPr>
        <b/>
        <sz val="8"/>
        <color theme="1"/>
        <rFont val="Arial"/>
      </rPr>
      <t>Cement Process CO2 (</t>
    </r>
    <r>
      <rPr>
        <b/>
        <sz val="8"/>
        <color rgb="FFFF0000"/>
        <rFont val="Arial"/>
      </rPr>
      <t>metric tons</t>
    </r>
    <r>
      <rPr>
        <b/>
        <sz val="8"/>
        <color theme="1"/>
        <rFont val="Arial"/>
      </rPr>
      <t>)  = (Total Kiln CO2)  - (Kiln Fossil Fuel Alone CO2)</t>
    </r>
  </si>
  <si>
    <r>
      <rPr>
        <b/>
        <sz val="8"/>
        <color theme="1"/>
        <rFont val="Arial"/>
      </rPr>
      <t>Total Facility CO2 Emission (</t>
    </r>
    <r>
      <rPr>
        <b/>
        <sz val="8"/>
        <color rgb="FFFF0000"/>
        <rFont val="Arial"/>
      </rPr>
      <t>metric tons</t>
    </r>
    <r>
      <rPr>
        <b/>
        <sz val="8"/>
        <color theme="1"/>
        <rFont val="Arial"/>
      </rPr>
      <t>) = (Kiln System Total CO2) + (Non Kiln CO2)</t>
    </r>
  </si>
  <si>
    <r>
      <rPr>
        <b/>
        <sz val="8"/>
        <color theme="1"/>
        <rFont val="Arial"/>
      </rPr>
      <t>Kiln System Total CO</t>
    </r>
    <r>
      <rPr>
        <b/>
        <vertAlign val="subscript"/>
        <sz val="8"/>
        <color theme="1"/>
        <rFont val="Arial"/>
      </rPr>
      <t>2</t>
    </r>
    <r>
      <rPr>
        <b/>
        <sz val="8"/>
        <color theme="1"/>
        <rFont val="Arial"/>
      </rPr>
      <t xml:space="preserve"> (CEM Measured) (short tons)</t>
    </r>
  </si>
  <si>
    <r>
      <rPr>
        <b/>
        <sz val="8"/>
        <color theme="1"/>
        <rFont val="Arial"/>
      </rPr>
      <t>Kiln Fossil Fuel Alone CO</t>
    </r>
    <r>
      <rPr>
        <b/>
        <vertAlign val="subscript"/>
        <sz val="8"/>
        <color theme="1"/>
        <rFont val="Arial"/>
      </rPr>
      <t>2</t>
    </r>
    <r>
      <rPr>
        <b/>
        <sz val="8"/>
        <color theme="1"/>
        <rFont val="Arial"/>
      </rPr>
      <t xml:space="preserve"> (Calculated) (short tons)</t>
    </r>
  </si>
  <si>
    <r>
      <rPr>
        <b/>
        <sz val="8"/>
        <color theme="1"/>
        <rFont val="Arial"/>
      </rPr>
      <t>Cement Process CO</t>
    </r>
    <r>
      <rPr>
        <b/>
        <vertAlign val="subscript"/>
        <sz val="8"/>
        <color theme="1"/>
        <rFont val="Arial"/>
      </rPr>
      <t>2</t>
    </r>
    <r>
      <rPr>
        <b/>
        <sz val="8"/>
        <color theme="1"/>
        <rFont val="Arial"/>
      </rPr>
      <t xml:space="preserve"> (short tons) = (Total Kiln CO</t>
    </r>
    <r>
      <rPr>
        <b/>
        <vertAlign val="subscript"/>
        <sz val="8"/>
        <color theme="1"/>
        <rFont val="Arial"/>
      </rPr>
      <t>2</t>
    </r>
    <r>
      <rPr>
        <b/>
        <sz val="8"/>
        <color theme="1"/>
        <rFont val="Arial"/>
      </rPr>
      <t>)  - (Kiln Fossil Fuel Alone CO</t>
    </r>
    <r>
      <rPr>
        <b/>
        <vertAlign val="subscript"/>
        <sz val="8"/>
        <color theme="1"/>
        <rFont val="Arial"/>
      </rPr>
      <t>2</t>
    </r>
    <r>
      <rPr>
        <b/>
        <sz val="8"/>
        <color theme="1"/>
        <rFont val="Arial"/>
      </rPr>
      <t>)</t>
    </r>
  </si>
  <si>
    <r>
      <rPr>
        <b/>
        <sz val="8"/>
        <color theme="1"/>
        <rFont val="Arial"/>
      </rPr>
      <t>Total Facility CO</t>
    </r>
    <r>
      <rPr>
        <b/>
        <vertAlign val="subscript"/>
        <sz val="8"/>
        <color theme="1"/>
        <rFont val="Arial"/>
      </rPr>
      <t>2</t>
    </r>
    <r>
      <rPr>
        <b/>
        <sz val="8"/>
        <color theme="1"/>
        <rFont val="Arial"/>
      </rPr>
      <t xml:space="preserve"> Emission(short tons) = (Kiln System Total CO</t>
    </r>
    <r>
      <rPr>
        <b/>
        <vertAlign val="subscript"/>
        <sz val="8"/>
        <color theme="1"/>
        <rFont val="Arial"/>
      </rPr>
      <t>2</t>
    </r>
    <r>
      <rPr>
        <b/>
        <sz val="8"/>
        <color theme="1"/>
        <rFont val="Arial"/>
      </rPr>
      <t>) + (Non Kiln CO</t>
    </r>
    <r>
      <rPr>
        <b/>
        <vertAlign val="subscript"/>
        <sz val="8"/>
        <color theme="1"/>
        <rFont val="Arial"/>
      </rPr>
      <t>2</t>
    </r>
    <r>
      <rPr>
        <b/>
        <sz val="8"/>
        <color theme="1"/>
        <rFont val="Arial"/>
      </rPr>
      <t>)</t>
    </r>
  </si>
  <si>
    <t>(A) +(B)</t>
  </si>
  <si>
    <r>
      <rPr>
        <b/>
        <sz val="8"/>
        <color theme="1"/>
        <rFont val="Arial"/>
      </rPr>
      <t>MD Summmary Cement Process CO</t>
    </r>
    <r>
      <rPr>
        <b/>
        <vertAlign val="subscript"/>
        <sz val="8"/>
        <color theme="1"/>
        <rFont val="Arial"/>
      </rPr>
      <t>2</t>
    </r>
    <r>
      <rPr>
        <b/>
        <sz val="8"/>
        <color theme="1"/>
        <rFont val="Arial"/>
      </rPr>
      <t xml:space="preserve"> Emissions (short tons) </t>
    </r>
  </si>
  <si>
    <r>
      <rPr>
        <b/>
        <sz val="8"/>
        <color theme="1"/>
        <rFont val="Arial"/>
      </rPr>
      <t>MD Summmary Cement Process CO</t>
    </r>
    <r>
      <rPr>
        <b/>
        <vertAlign val="subscript"/>
        <sz val="8"/>
        <color theme="1"/>
        <rFont val="Arial"/>
      </rPr>
      <t>2</t>
    </r>
    <r>
      <rPr>
        <b/>
        <sz val="8"/>
        <color theme="1"/>
        <rFont val="Arial"/>
      </rPr>
      <t xml:space="preserve"> Emissions (metric tons) </t>
    </r>
  </si>
  <si>
    <r>
      <rPr>
        <b/>
        <sz val="8"/>
        <color theme="1"/>
        <rFont val="Arial"/>
      </rPr>
      <t>MD Summmary Cement Process CO</t>
    </r>
    <r>
      <rPr>
        <b/>
        <vertAlign val="subscript"/>
        <sz val="8"/>
        <color theme="1"/>
        <rFont val="Arial"/>
      </rPr>
      <t>2</t>
    </r>
    <r>
      <rPr>
        <b/>
        <sz val="8"/>
        <color theme="1"/>
        <rFont val="Arial"/>
      </rPr>
      <t xml:space="preserve"> Emissions (MMTCO</t>
    </r>
    <r>
      <rPr>
        <b/>
        <vertAlign val="subscript"/>
        <sz val="8"/>
        <color theme="1"/>
        <rFont val="Arial"/>
      </rPr>
      <t>2</t>
    </r>
    <r>
      <rPr>
        <b/>
        <sz val="8"/>
        <color theme="1"/>
        <rFont val="Arial"/>
      </rPr>
      <t xml:space="preserve">E) </t>
    </r>
  </si>
  <si>
    <r>
      <rPr>
        <b/>
        <sz val="14"/>
        <color theme="1"/>
        <rFont val="Comic Sans MS"/>
      </rPr>
      <t xml:space="preserve">  Limestone &amp; Dolomite; Soda Ash; Ammonia &amp; Urea; ODS; Electric Power T&amp;D Summary (MTCO</t>
    </r>
    <r>
      <rPr>
        <b/>
        <vertAlign val="subscript"/>
        <sz val="14"/>
        <color theme="1"/>
        <rFont val="Comic Sans MS"/>
      </rPr>
      <t>2</t>
    </r>
    <r>
      <rPr>
        <b/>
        <sz val="14"/>
        <color theme="1"/>
        <rFont val="Comic Sans MS"/>
      </rPr>
      <t>E)</t>
    </r>
  </si>
  <si>
    <t>Limestone and Dolomite Use</t>
  </si>
  <si>
    <t>Consumption
(Metric Tons)</t>
  </si>
  <si>
    <r>
      <rPr>
        <b/>
        <sz val="9"/>
        <color theme="1"/>
        <rFont val="Calibri"/>
      </rPr>
      <t>Emission Factor
(t CO</t>
    </r>
    <r>
      <rPr>
        <b/>
        <vertAlign val="subscript"/>
        <sz val="9"/>
        <color theme="1"/>
        <rFont val="Calibri"/>
      </rPr>
      <t>2</t>
    </r>
    <r>
      <rPr>
        <b/>
        <sz val="9"/>
        <color theme="1"/>
        <rFont val="Calibri"/>
      </rPr>
      <t>/t production)</t>
    </r>
  </si>
  <si>
    <r>
      <rPr>
        <b/>
        <sz val="9"/>
        <color theme="1"/>
        <rFont val="Calibri"/>
      </rPr>
      <t>Emissions
(MTCO</t>
    </r>
    <r>
      <rPr>
        <b/>
        <vertAlign val="subscript"/>
        <sz val="9"/>
        <color theme="1"/>
        <rFont val="Calibri"/>
      </rPr>
      <t>2</t>
    </r>
    <r>
      <rPr>
        <b/>
        <sz val="9"/>
        <color theme="1"/>
        <rFont val="Calibri"/>
      </rPr>
      <t>E)</t>
    </r>
  </si>
  <si>
    <t>Limestone</t>
  </si>
  <si>
    <t>Dolomite</t>
  </si>
  <si>
    <t>Magesium Production from Dolomite</t>
  </si>
  <si>
    <t>Soda Ash Use</t>
  </si>
  <si>
    <t>Manufacture and Consumption
(Metric tons)</t>
  </si>
  <si>
    <r>
      <rPr>
        <b/>
        <sz val="9"/>
        <color theme="1"/>
        <rFont val="Calibri"/>
      </rPr>
      <t>Emission Factor
(t CO</t>
    </r>
    <r>
      <rPr>
        <b/>
        <vertAlign val="subscript"/>
        <sz val="9"/>
        <color theme="1"/>
        <rFont val="Calibri"/>
      </rPr>
      <t>2</t>
    </r>
    <r>
      <rPr>
        <b/>
        <sz val="9"/>
        <color theme="1"/>
        <rFont val="Calibri"/>
      </rPr>
      <t>/t production)</t>
    </r>
  </si>
  <si>
    <r>
      <rPr>
        <b/>
        <sz val="9"/>
        <color theme="1"/>
        <rFont val="Calibri"/>
      </rPr>
      <t>Emissions
(MTCO</t>
    </r>
    <r>
      <rPr>
        <b/>
        <vertAlign val="subscript"/>
        <sz val="9"/>
        <color theme="1"/>
        <rFont val="Calibri"/>
      </rPr>
      <t>2</t>
    </r>
    <r>
      <rPr>
        <b/>
        <sz val="9"/>
        <color theme="1"/>
        <rFont val="Calibri"/>
      </rPr>
      <t>E)</t>
    </r>
  </si>
  <si>
    <t>Manufacture</t>
  </si>
  <si>
    <t>Ammonia Production and Urea Consumption</t>
  </si>
  <si>
    <t>Production &amp; Consumption
(Metric Tons)</t>
  </si>
  <si>
    <r>
      <rPr>
        <b/>
        <sz val="9"/>
        <color theme="1"/>
        <rFont val="Calibri"/>
      </rPr>
      <t>Emission Factor
(mt CO</t>
    </r>
    <r>
      <rPr>
        <b/>
        <vertAlign val="subscript"/>
        <sz val="9"/>
        <color theme="1"/>
        <rFont val="Calibri"/>
      </rPr>
      <t>2</t>
    </r>
    <r>
      <rPr>
        <b/>
        <sz val="9"/>
        <color theme="1"/>
        <rFont val="Calibri"/>
      </rPr>
      <t>/mt activity)</t>
    </r>
  </si>
  <si>
    <t>Subract emissions from Urea</t>
  </si>
  <si>
    <r>
      <rPr>
        <b/>
        <sz val="9"/>
        <color theme="1"/>
        <rFont val="Calibri"/>
      </rPr>
      <t>Emissions
(MTCO</t>
    </r>
    <r>
      <rPr>
        <b/>
        <vertAlign val="subscript"/>
        <sz val="9"/>
        <color theme="1"/>
        <rFont val="Calibri"/>
      </rPr>
      <t>2</t>
    </r>
    <r>
      <rPr>
        <b/>
        <sz val="9"/>
        <color theme="1"/>
        <rFont val="Calibri"/>
      </rPr>
      <t>E)</t>
    </r>
  </si>
  <si>
    <t xml:space="preserve">Ammonia Production </t>
  </si>
  <si>
    <t>Urea Consumption</t>
  </si>
  <si>
    <t xml:space="preserve">   =</t>
  </si>
  <si>
    <t>Ozone Depleting Substances (ODS) Substitutes</t>
  </si>
  <si>
    <t>EPA U.S. Inventory State-Level Emission Estimates for Maryland</t>
  </si>
  <si>
    <r>
      <rPr>
        <b/>
        <sz val="9"/>
        <color theme="1"/>
        <rFont val="Calibri"/>
      </rPr>
      <t xml:space="preserve"> National Emissions
(Metric Tons CO</t>
    </r>
    <r>
      <rPr>
        <b/>
        <vertAlign val="subscript"/>
        <sz val="9"/>
        <color theme="1"/>
        <rFont val="Calibri"/>
      </rPr>
      <t>2</t>
    </r>
    <r>
      <rPr>
        <b/>
        <sz val="9"/>
        <color theme="1"/>
        <rFont val="Calibri"/>
      </rPr>
      <t xml:space="preserve"> Eq.)</t>
    </r>
  </si>
  <si>
    <t>State Population</t>
  </si>
  <si>
    <t>Regional (NE) Population</t>
  </si>
  <si>
    <t xml:space="preserve">Regional ODS Consumption  %
</t>
  </si>
  <si>
    <r>
      <rPr>
        <b/>
        <sz val="9"/>
        <color theme="1"/>
        <rFont val="Calibri"/>
      </rPr>
      <t>Apportioned National Emissions
(MTCO</t>
    </r>
    <r>
      <rPr>
        <b/>
        <vertAlign val="subscript"/>
        <sz val="9"/>
        <color theme="1"/>
        <rFont val="Calibri"/>
      </rPr>
      <t>2</t>
    </r>
    <r>
      <rPr>
        <b/>
        <sz val="9"/>
        <color theme="1"/>
        <rFont val="Calibri"/>
      </rPr>
      <t>E)</t>
    </r>
  </si>
  <si>
    <t>/</t>
  </si>
  <si>
    <t>MMTCO2e (AR4 100-yr GWP)</t>
  </si>
  <si>
    <t>MMTCO2e (AR4 20-yr GWP)</t>
  </si>
  <si>
    <t>ratio 20-yr : 100-yr</t>
  </si>
  <si>
    <t>Electric Power Transmission &amp; Distribution (T&amp;D)</t>
  </si>
  <si>
    <t>100-yr emissions from EPA state-level GHG inventory, https://www.epa.gov/ghgemissions/state-ghg-emissions-and-removals
20-yr emissions from email correspondence, 6/28/2022</t>
  </si>
  <si>
    <r>
      <rPr>
        <b/>
        <sz val="9"/>
        <color theme="1"/>
        <rFont val="Calibri"/>
      </rPr>
      <t>SF</t>
    </r>
    <r>
      <rPr>
        <b/>
        <vertAlign val="subscript"/>
        <sz val="9"/>
        <color theme="1"/>
        <rFont val="Calibri"/>
      </rPr>
      <t>6</t>
    </r>
    <r>
      <rPr>
        <b/>
        <sz val="9"/>
        <color theme="1"/>
        <rFont val="Calibri"/>
      </rPr>
      <t xml:space="preserve"> Consumption
(Metric Tons)</t>
    </r>
  </si>
  <si>
    <r>
      <rPr>
        <b/>
        <sz val="9"/>
        <color theme="1"/>
        <rFont val="Calibri"/>
      </rPr>
      <t>Emission Factor
(t SF</t>
    </r>
    <r>
      <rPr>
        <b/>
        <vertAlign val="subscript"/>
        <sz val="9"/>
        <color theme="1"/>
        <rFont val="Calibri"/>
      </rPr>
      <t>6</t>
    </r>
    <r>
      <rPr>
        <b/>
        <sz val="9"/>
        <color theme="1"/>
        <rFont val="Calibri"/>
      </rPr>
      <t>/t Consumption)</t>
    </r>
  </si>
  <si>
    <r>
      <rPr>
        <b/>
        <sz val="9"/>
        <color theme="1"/>
        <rFont val="Calibri"/>
      </rPr>
      <t>Emissions
(Metric Tons SF</t>
    </r>
    <r>
      <rPr>
        <b/>
        <vertAlign val="subscript"/>
        <sz val="9"/>
        <color theme="1"/>
        <rFont val="Calibri"/>
      </rPr>
      <t>6</t>
    </r>
    <r>
      <rPr>
        <b/>
        <sz val="9"/>
        <color theme="1"/>
        <rFont val="Calibri"/>
      </rPr>
      <t>)</t>
    </r>
  </si>
  <si>
    <r>
      <rPr>
        <b/>
        <sz val="9"/>
        <color theme="1"/>
        <rFont val="Calibri"/>
      </rPr>
      <t>Emissions
(MTCO</t>
    </r>
    <r>
      <rPr>
        <b/>
        <vertAlign val="subscript"/>
        <sz val="9"/>
        <color theme="1"/>
        <rFont val="Calibri"/>
      </rPr>
      <t>2</t>
    </r>
    <r>
      <rPr>
        <b/>
        <sz val="9"/>
        <color theme="1"/>
        <rFont val="Calibri"/>
      </rPr>
      <t>E)</t>
    </r>
  </si>
  <si>
    <t>Aluminum Production (EastAlCo Shut Down)</t>
  </si>
  <si>
    <t>Production
(Metric Tons)</t>
  </si>
  <si>
    <t>Emission Factor
(t CE/t Production)</t>
  </si>
  <si>
    <r>
      <rPr>
        <b/>
        <sz val="9"/>
        <color theme="1"/>
        <rFont val="Calibri"/>
      </rPr>
      <t>Emissions
(MTCO</t>
    </r>
    <r>
      <rPr>
        <b/>
        <vertAlign val="subscript"/>
        <sz val="9"/>
        <color theme="1"/>
        <rFont val="Calibri"/>
      </rPr>
      <t>2</t>
    </r>
    <r>
      <rPr>
        <b/>
        <sz val="9"/>
        <color theme="1"/>
        <rFont val="Calibri"/>
      </rPr>
      <t>E)</t>
    </r>
  </si>
  <si>
    <r>
      <rPr>
        <sz val="8"/>
        <color theme="1"/>
        <rFont val="Comic Sans MS"/>
      </rPr>
      <t>Carbon Dioxide Emissions (MTCO</t>
    </r>
    <r>
      <rPr>
        <vertAlign val="subscript"/>
        <sz val="8"/>
        <color theme="1"/>
        <rFont val="Comic Sans MS"/>
      </rPr>
      <t>2</t>
    </r>
    <r>
      <rPr>
        <sz val="8"/>
        <color theme="1"/>
        <rFont val="Comic Sans MS"/>
      </rPr>
      <t>E)</t>
    </r>
  </si>
  <si>
    <t>Cement Manufacture</t>
  </si>
  <si>
    <t>Lime Manufacture</t>
  </si>
  <si>
    <t>Soda Ash</t>
  </si>
  <si>
    <t>Ammonia &amp; Urea</t>
  </si>
  <si>
    <t>Iron &amp; Steel Production</t>
  </si>
  <si>
    <r>
      <rPr>
        <sz val="8"/>
        <color theme="1"/>
        <rFont val="Comic Sans MS"/>
      </rPr>
      <t>Nitrous Oxide Emissions (MTCO</t>
    </r>
    <r>
      <rPr>
        <vertAlign val="subscript"/>
        <sz val="8"/>
        <color theme="1"/>
        <rFont val="Comic Sans MS"/>
      </rPr>
      <t>2</t>
    </r>
    <r>
      <rPr>
        <sz val="8"/>
        <color theme="1"/>
        <rFont val="Comic Sans MS"/>
      </rPr>
      <t>E)</t>
    </r>
  </si>
  <si>
    <t>Nitric Acid Production</t>
  </si>
  <si>
    <t>Adipic Acid Production</t>
  </si>
  <si>
    <r>
      <rPr>
        <sz val="8"/>
        <color theme="1"/>
        <rFont val="Comic Sans MS"/>
      </rPr>
      <t>HFC, PFC, and SF6 Emissions (MTCO</t>
    </r>
    <r>
      <rPr>
        <vertAlign val="subscript"/>
        <sz val="8"/>
        <color theme="1"/>
        <rFont val="Comic Sans MS"/>
      </rPr>
      <t>2</t>
    </r>
    <r>
      <rPr>
        <sz val="8"/>
        <color theme="1"/>
        <rFont val="Comic Sans MS"/>
      </rPr>
      <t>E)</t>
    </r>
  </si>
  <si>
    <t>ODS Substitutes</t>
  </si>
  <si>
    <t>Semiconductor Manufacturing</t>
  </si>
  <si>
    <t>Magnesium Production</t>
  </si>
  <si>
    <t>Electric Power Transmission and Distribution Systems</t>
  </si>
  <si>
    <t>HCFC-22 Production</t>
  </si>
  <si>
    <t>Aluminum Production</t>
  </si>
  <si>
    <r>
      <rPr>
        <b/>
        <sz val="8"/>
        <color theme="1"/>
        <rFont val="Comic Sans MS"/>
      </rPr>
      <t>Total Emissions (MTCO</t>
    </r>
    <r>
      <rPr>
        <b/>
        <vertAlign val="subscript"/>
        <sz val="8"/>
        <color theme="1"/>
        <rFont val="Comic Sans MS"/>
      </rPr>
      <t>2</t>
    </r>
    <r>
      <rPr>
        <b/>
        <sz val="8"/>
        <color theme="1"/>
        <rFont val="Comic Sans MS"/>
      </rPr>
      <t>E)</t>
    </r>
  </si>
  <si>
    <t>Iron &amp; Steel Industry Production Emissions</t>
  </si>
  <si>
    <r>
      <rPr>
        <b/>
        <sz val="10"/>
        <color theme="1"/>
        <rFont val="Arial"/>
      </rPr>
      <t>CO</t>
    </r>
    <r>
      <rPr>
        <b/>
        <vertAlign val="subscript"/>
        <sz val="10"/>
        <color theme="1"/>
        <rFont val="Arial"/>
      </rPr>
      <t>2</t>
    </r>
    <r>
      <rPr>
        <b/>
        <sz val="10"/>
        <color theme="1"/>
        <rFont val="Arial"/>
      </rPr>
      <t xml:space="preserve"> Emissions (metric tons)</t>
    </r>
  </si>
  <si>
    <r>
      <rPr>
        <b/>
        <sz val="10"/>
        <color theme="1"/>
        <rFont val="Arial"/>
      </rPr>
      <t>CO</t>
    </r>
    <r>
      <rPr>
        <b/>
        <vertAlign val="subscript"/>
        <sz val="10"/>
        <color theme="1"/>
        <rFont val="Arial"/>
      </rPr>
      <t>2</t>
    </r>
    <r>
      <rPr>
        <b/>
        <sz val="10"/>
        <color theme="1"/>
        <rFont val="Arial"/>
      </rPr>
      <t xml:space="preserve"> Emissions (short tons)</t>
    </r>
  </si>
  <si>
    <r>
      <rPr>
        <sz val="8"/>
        <color theme="1"/>
        <rFont val="Arial"/>
      </rPr>
      <t>CO</t>
    </r>
    <r>
      <rPr>
        <vertAlign val="subscript"/>
        <sz val="10"/>
        <color theme="1"/>
        <rFont val="Arial"/>
      </rPr>
      <t>2</t>
    </r>
  </si>
  <si>
    <t>Bleeders</t>
  </si>
  <si>
    <r>
      <rPr>
        <sz val="8"/>
        <color theme="1"/>
        <rFont val="Arial"/>
      </rPr>
      <t>CH</t>
    </r>
    <r>
      <rPr>
        <vertAlign val="subscript"/>
        <sz val="10"/>
        <color theme="1"/>
        <rFont val="Arial"/>
      </rPr>
      <t>4</t>
    </r>
  </si>
  <si>
    <r>
      <rPr>
        <sz val="8"/>
        <color theme="1"/>
        <rFont val="Arial"/>
      </rPr>
      <t>N</t>
    </r>
    <r>
      <rPr>
        <vertAlign val="subscript"/>
        <sz val="10"/>
        <color theme="1"/>
        <rFont val="Arial"/>
      </rPr>
      <t>2</t>
    </r>
    <r>
      <rPr>
        <sz val="8"/>
        <color theme="1"/>
        <rFont val="Arial"/>
      </rPr>
      <t>O</t>
    </r>
  </si>
  <si>
    <r>
      <rPr>
        <sz val="8"/>
        <color theme="1"/>
        <rFont val="Arial"/>
      </rPr>
      <t>CO</t>
    </r>
    <r>
      <rPr>
        <vertAlign val="subscript"/>
        <sz val="10"/>
        <color theme="1"/>
        <rFont val="Arial"/>
      </rPr>
      <t>2</t>
    </r>
  </si>
  <si>
    <t>L Blast Furnace</t>
  </si>
  <si>
    <r>
      <rPr>
        <sz val="8"/>
        <color theme="1"/>
        <rFont val="Arial"/>
      </rPr>
      <t>CH</t>
    </r>
    <r>
      <rPr>
        <vertAlign val="subscript"/>
        <sz val="10"/>
        <color theme="1"/>
        <rFont val="Arial"/>
      </rPr>
      <t>4</t>
    </r>
  </si>
  <si>
    <r>
      <rPr>
        <sz val="8"/>
        <color theme="1"/>
        <rFont val="Arial"/>
      </rPr>
      <t>N</t>
    </r>
    <r>
      <rPr>
        <vertAlign val="subscript"/>
        <sz val="10"/>
        <color theme="1"/>
        <rFont val="Arial"/>
      </rPr>
      <t>2</t>
    </r>
    <r>
      <rPr>
        <sz val="8"/>
        <color theme="1"/>
        <rFont val="Arial"/>
      </rPr>
      <t>O</t>
    </r>
  </si>
  <si>
    <t>Sinter Plant</t>
  </si>
  <si>
    <r>
      <rPr>
        <sz val="8"/>
        <color theme="1"/>
        <rFont val="Arial"/>
      </rPr>
      <t>CO</t>
    </r>
    <r>
      <rPr>
        <vertAlign val="subscript"/>
        <sz val="10"/>
        <color theme="1"/>
        <rFont val="Arial"/>
      </rPr>
      <t>2</t>
    </r>
  </si>
  <si>
    <t>BOF</t>
  </si>
  <si>
    <r>
      <rPr>
        <sz val="8"/>
        <color theme="1"/>
        <rFont val="Arial"/>
      </rPr>
      <t>CO</t>
    </r>
    <r>
      <rPr>
        <vertAlign val="subscript"/>
        <sz val="10"/>
        <color theme="1"/>
        <rFont val="Arial"/>
      </rPr>
      <t>2</t>
    </r>
  </si>
  <si>
    <r>
      <rPr>
        <sz val="8"/>
        <color theme="1"/>
        <rFont val="Arial"/>
      </rPr>
      <t>CO</t>
    </r>
    <r>
      <rPr>
        <vertAlign val="subscript"/>
        <sz val="10"/>
        <color theme="1"/>
        <rFont val="Arial"/>
      </rPr>
      <t>2</t>
    </r>
  </si>
  <si>
    <r>
      <rPr>
        <sz val="8"/>
        <color theme="1"/>
        <rFont val="Arial"/>
      </rPr>
      <t>CH</t>
    </r>
    <r>
      <rPr>
        <vertAlign val="subscript"/>
        <sz val="10"/>
        <color theme="1"/>
        <rFont val="Arial"/>
      </rPr>
      <t>4</t>
    </r>
  </si>
  <si>
    <r>
      <rPr>
        <sz val="8"/>
        <color theme="1"/>
        <rFont val="Arial"/>
      </rPr>
      <t>N</t>
    </r>
    <r>
      <rPr>
        <vertAlign val="subscript"/>
        <sz val="10"/>
        <color theme="1"/>
        <rFont val="Arial"/>
      </rPr>
      <t>2</t>
    </r>
    <r>
      <rPr>
        <sz val="8"/>
        <color theme="1"/>
        <rFont val="Arial"/>
      </rPr>
      <t>O</t>
    </r>
  </si>
  <si>
    <t>Production &amp; Consumption</t>
  </si>
  <si>
    <t>Subract emissions</t>
  </si>
  <si>
    <t>(Metric Tons)</t>
  </si>
  <si>
    <r>
      <rPr>
        <b/>
        <sz val="10"/>
        <color theme="1"/>
        <rFont val="Times New Roman"/>
      </rPr>
      <t>(mt CO</t>
    </r>
    <r>
      <rPr>
        <b/>
        <vertAlign val="subscript"/>
        <sz val="10"/>
        <color theme="1"/>
        <rFont val="Times New Roman"/>
      </rPr>
      <t>2</t>
    </r>
    <r>
      <rPr>
        <b/>
        <sz val="10"/>
        <color theme="1"/>
        <rFont val="Times New Roman"/>
      </rPr>
      <t>/mt activity)</t>
    </r>
  </si>
  <si>
    <t xml:space="preserve"> from Urea</t>
  </si>
  <si>
    <r>
      <rPr>
        <b/>
        <sz val="10"/>
        <color theme="1"/>
        <rFont val="Times New Roman"/>
      </rPr>
      <t>(MTCO</t>
    </r>
    <r>
      <rPr>
        <b/>
        <vertAlign val="subscript"/>
        <sz val="10"/>
        <color theme="1"/>
        <rFont val="Times New Roman"/>
      </rPr>
      <t>2</t>
    </r>
    <r>
      <rPr>
        <b/>
        <sz val="10"/>
        <color theme="1"/>
        <rFont val="Times New Roman"/>
      </rPr>
      <t>E)</t>
    </r>
  </si>
  <si>
    <r>
      <rPr>
        <b/>
        <sz val="10"/>
        <color theme="1"/>
        <rFont val="Times New Roman"/>
      </rPr>
      <t>(MMTCO</t>
    </r>
    <r>
      <rPr>
        <b/>
        <vertAlign val="subscript"/>
        <sz val="10"/>
        <color theme="1"/>
        <rFont val="Times New Roman"/>
      </rPr>
      <t>2</t>
    </r>
    <r>
      <rPr>
        <b/>
        <sz val="10"/>
        <color theme="1"/>
        <rFont val="Times New Roman"/>
      </rPr>
      <t>E)</t>
    </r>
  </si>
  <si>
    <t>Enteric Fermentation Emissions</t>
  </si>
  <si>
    <t>Number of Animals
('000 head)</t>
  </si>
  <si>
    <r>
      <rPr>
        <b/>
        <sz val="7"/>
        <color theme="1"/>
        <rFont val="Arial"/>
      </rPr>
      <t>Emission Factor
(kg CH</t>
    </r>
    <r>
      <rPr>
        <b/>
        <vertAlign val="subscript"/>
        <sz val="7"/>
        <color theme="1"/>
        <rFont val="Arial"/>
      </rPr>
      <t>4</t>
    </r>
    <r>
      <rPr>
        <b/>
        <sz val="7"/>
        <color theme="1"/>
        <rFont val="Arial"/>
      </rPr>
      <t>/head)</t>
    </r>
  </si>
  <si>
    <r>
      <rPr>
        <b/>
        <sz val="7"/>
        <color theme="1"/>
        <rFont val="Arial"/>
      </rPr>
      <t>Emissions
(kg CH</t>
    </r>
    <r>
      <rPr>
        <b/>
        <vertAlign val="subscript"/>
        <sz val="7"/>
        <color theme="1"/>
        <rFont val="Arial"/>
      </rPr>
      <t>4</t>
    </r>
    <r>
      <rPr>
        <b/>
        <sz val="7"/>
        <color theme="1"/>
        <rFont val="Arial"/>
      </rPr>
      <t>)</t>
    </r>
  </si>
  <si>
    <r>
      <rPr>
        <b/>
        <sz val="7"/>
        <color theme="1"/>
        <rFont val="Arial"/>
      </rPr>
      <t>Emissions
(MMTCH</t>
    </r>
    <r>
      <rPr>
        <b/>
        <vertAlign val="subscript"/>
        <sz val="7"/>
        <color theme="1"/>
        <rFont val="Arial"/>
      </rPr>
      <t>4</t>
    </r>
    <r>
      <rPr>
        <b/>
        <sz val="7"/>
        <color theme="1"/>
        <rFont val="Arial"/>
      </rPr>
      <t>)</t>
    </r>
  </si>
  <si>
    <t>Emissions
(MMTCE)</t>
  </si>
  <si>
    <r>
      <rPr>
        <b/>
        <sz val="7"/>
        <color theme="1"/>
        <rFont val="Arial"/>
      </rPr>
      <t>Emissions
(MMTCO</t>
    </r>
    <r>
      <rPr>
        <b/>
        <vertAlign val="subscript"/>
        <sz val="7"/>
        <color theme="1"/>
        <rFont val="Arial"/>
      </rPr>
      <t>2</t>
    </r>
    <r>
      <rPr>
        <b/>
        <sz val="7"/>
        <color theme="1"/>
        <rFont val="Arial"/>
      </rPr>
      <t>E)</t>
    </r>
  </si>
  <si>
    <t>Dairy Cattle</t>
  </si>
  <si>
    <t>Dairy Cows</t>
  </si>
  <si>
    <t>Dairy Replacement Heifers</t>
  </si>
  <si>
    <t xml:space="preserve">   Replacements 0-12 mos.</t>
  </si>
  <si>
    <t xml:space="preserve">   Replacements 12-24 mos.</t>
  </si>
  <si>
    <t>Beef Cattle</t>
  </si>
  <si>
    <t>Beef Cows</t>
  </si>
  <si>
    <t>Beef Replacement Heifers</t>
  </si>
  <si>
    <t>Heifer Stockers</t>
  </si>
  <si>
    <t>Steer Stockers</t>
  </si>
  <si>
    <t>Feedlot Heifers</t>
  </si>
  <si>
    <t>Feedlot Steer</t>
  </si>
  <si>
    <t>Bulls</t>
  </si>
  <si>
    <t>Sheep</t>
  </si>
  <si>
    <t>Goats</t>
  </si>
  <si>
    <t>Swine</t>
  </si>
  <si>
    <t>Horses</t>
  </si>
  <si>
    <t>TOTAL</t>
  </si>
  <si>
    <t>Manure Management Methane Emissions</t>
  </si>
  <si>
    <t>Number of Animals ('000 head)</t>
  </si>
  <si>
    <t>Typical Animal Mass (TAM) (kg)</t>
  </si>
  <si>
    <t>Volatile Solids (VS)  [kg VS/1000 kg animal mass/day]</t>
  </si>
  <si>
    <t>Total VS (kg/yr)</t>
  </si>
  <si>
    <r>
      <rPr>
        <b/>
        <sz val="7"/>
        <color theme="1"/>
        <rFont val="Comic Sans MS"/>
      </rPr>
      <t>Max Pot. Emissions (m</t>
    </r>
    <r>
      <rPr>
        <b/>
        <vertAlign val="superscript"/>
        <sz val="7"/>
        <color theme="1"/>
        <rFont val="Comic Sans MS"/>
      </rPr>
      <t>3</t>
    </r>
    <r>
      <rPr>
        <b/>
        <sz val="7"/>
        <color theme="1"/>
        <rFont val="Comic Sans MS"/>
      </rPr>
      <t xml:space="preserve"> CH</t>
    </r>
    <r>
      <rPr>
        <b/>
        <vertAlign val="subscript"/>
        <sz val="7"/>
        <color theme="1"/>
        <rFont val="Comic Sans MS"/>
      </rPr>
      <t>4</t>
    </r>
    <r>
      <rPr>
        <b/>
        <sz val="7"/>
        <color theme="1"/>
        <rFont val="Comic Sans MS"/>
      </rPr>
      <t>/ kg VS)</t>
    </r>
  </si>
  <si>
    <t>Weighted MCF</t>
  </si>
  <si>
    <r>
      <rPr>
        <b/>
        <sz val="7"/>
        <color theme="1"/>
        <rFont val="Comic Sans MS"/>
      </rPr>
      <t>Emissions      (m</t>
    </r>
    <r>
      <rPr>
        <b/>
        <vertAlign val="superscript"/>
        <sz val="7"/>
        <color theme="1"/>
        <rFont val="Comic Sans MS"/>
      </rPr>
      <t>3</t>
    </r>
    <r>
      <rPr>
        <b/>
        <sz val="7"/>
        <color theme="1"/>
        <rFont val="Comic Sans MS"/>
      </rPr>
      <t xml:space="preserve"> CH</t>
    </r>
    <r>
      <rPr>
        <b/>
        <vertAlign val="subscript"/>
        <sz val="7"/>
        <color theme="1"/>
        <rFont val="Comic Sans MS"/>
      </rPr>
      <t>4</t>
    </r>
    <r>
      <rPr>
        <b/>
        <sz val="7"/>
        <color theme="1"/>
        <rFont val="Comic Sans MS"/>
      </rPr>
      <t>)</t>
    </r>
  </si>
  <si>
    <r>
      <rPr>
        <b/>
        <sz val="7"/>
        <color theme="1"/>
        <rFont val="Comic Sans MS"/>
      </rPr>
      <t>Emissions (Metric Tons CH</t>
    </r>
    <r>
      <rPr>
        <b/>
        <vertAlign val="subscript"/>
        <sz val="7"/>
        <color theme="1"/>
        <rFont val="Comic Sans MS"/>
      </rPr>
      <t>4</t>
    </r>
    <r>
      <rPr>
        <b/>
        <sz val="7"/>
        <color theme="1"/>
        <rFont val="Comic Sans MS"/>
      </rPr>
      <t>)</t>
    </r>
  </si>
  <si>
    <r>
      <rPr>
        <b/>
        <sz val="7"/>
        <color theme="1"/>
        <rFont val="Comic Sans MS"/>
      </rPr>
      <t>Emissions (MMTCH</t>
    </r>
    <r>
      <rPr>
        <b/>
        <vertAlign val="subscript"/>
        <sz val="7"/>
        <color theme="1"/>
        <rFont val="Comic Sans MS"/>
      </rPr>
      <t>4</t>
    </r>
    <r>
      <rPr>
        <b/>
        <sz val="7"/>
        <color theme="1"/>
        <rFont val="Comic Sans MS"/>
      </rPr>
      <t>)</t>
    </r>
  </si>
  <si>
    <t>Emissions (MMTCE)</t>
  </si>
  <si>
    <r>
      <rPr>
        <b/>
        <sz val="7"/>
        <color theme="1"/>
        <rFont val="Comic Sans MS"/>
      </rPr>
      <t>Emissions  (MMTCO</t>
    </r>
    <r>
      <rPr>
        <b/>
        <vertAlign val="subscript"/>
        <sz val="7"/>
        <color theme="1"/>
        <rFont val="Arial"/>
      </rPr>
      <t>2</t>
    </r>
    <r>
      <rPr>
        <b/>
        <sz val="7"/>
        <color theme="1"/>
        <rFont val="Arial"/>
      </rPr>
      <t>E)</t>
    </r>
  </si>
  <si>
    <t>Calves</t>
  </si>
  <si>
    <t>Breeding Swine</t>
  </si>
  <si>
    <t>Market Under 60 lbs</t>
  </si>
  <si>
    <t>Market 60-119 lbs</t>
  </si>
  <si>
    <t>Market 120-179 lbs</t>
  </si>
  <si>
    <t>Market over 180 lbs</t>
  </si>
  <si>
    <t>Poultry</t>
  </si>
  <si>
    <t>Layers</t>
  </si>
  <si>
    <t>Hens &gt; 1 yr</t>
  </si>
  <si>
    <t>Pullets</t>
  </si>
  <si>
    <t>Chickens</t>
  </si>
  <si>
    <t>Broilers</t>
  </si>
  <si>
    <t>Turkeys</t>
  </si>
  <si>
    <t>Sheep on Feed</t>
  </si>
  <si>
    <t>Sheep Not on Feed</t>
  </si>
  <si>
    <r>
      <rPr>
        <sz val="12"/>
        <color theme="1"/>
        <rFont val="Comic Sans MS"/>
      </rPr>
      <t>Manure Management N</t>
    </r>
    <r>
      <rPr>
        <vertAlign val="subscript"/>
        <sz val="12"/>
        <color theme="1"/>
        <rFont val="Comic Sans MS"/>
      </rPr>
      <t>2</t>
    </r>
    <r>
      <rPr>
        <sz val="12"/>
        <color theme="1"/>
        <rFont val="Comic Sans MS"/>
      </rPr>
      <t>0 Emissions</t>
    </r>
  </si>
  <si>
    <t>Total K-Nitrogen Excreted
(kg)</t>
  </si>
  <si>
    <t>Unvolatilized N from Manure in Anaerobic Lagoons and Liquid Systems
(kg)</t>
  </si>
  <si>
    <t>Unvolatilized N from Manure in Solid Storage, Drylot &amp; Other Systems
(kg)</t>
  </si>
  <si>
    <t>Emissions from Anaerobic Lagoons and Liquid Systems
(kg N2O-N)</t>
  </si>
  <si>
    <t>Emissions from Solid Storage, Drylot, &amp; Other Systems
(kg N2O-N)</t>
  </si>
  <si>
    <r>
      <rPr>
        <b/>
        <sz val="7"/>
        <color theme="1"/>
        <rFont val="Arial"/>
      </rPr>
      <t>Total N</t>
    </r>
    <r>
      <rPr>
        <b/>
        <vertAlign val="subscript"/>
        <sz val="7"/>
        <color theme="1"/>
        <rFont val="Arial"/>
      </rPr>
      <t>2</t>
    </r>
    <r>
      <rPr>
        <b/>
        <sz val="7"/>
        <color theme="1"/>
        <rFont val="Arial"/>
      </rPr>
      <t>O Emissions
(kg N</t>
    </r>
    <r>
      <rPr>
        <b/>
        <vertAlign val="subscript"/>
        <sz val="7"/>
        <color theme="1"/>
        <rFont val="Arial"/>
      </rPr>
      <t>2</t>
    </r>
    <r>
      <rPr>
        <b/>
        <sz val="7"/>
        <color theme="1"/>
        <rFont val="Arial"/>
      </rPr>
      <t>O)</t>
    </r>
  </si>
  <si>
    <r>
      <rPr>
        <b/>
        <sz val="7"/>
        <color theme="1"/>
        <rFont val="Arial"/>
      </rPr>
      <t>Emissions
(MMTCO</t>
    </r>
    <r>
      <rPr>
        <b/>
        <vertAlign val="subscript"/>
        <sz val="7"/>
        <color theme="1"/>
        <rFont val="Arial"/>
      </rPr>
      <t>2</t>
    </r>
    <r>
      <rPr>
        <b/>
        <sz val="7"/>
        <color theme="1"/>
        <rFont val="Arial"/>
      </rPr>
      <t>E)</t>
    </r>
  </si>
  <si>
    <t>Dairy</t>
  </si>
  <si>
    <t xml:space="preserve"> </t>
  </si>
  <si>
    <t>Agriculture  Soils- Plant Residues &amp; Legumes in Maryland</t>
  </si>
  <si>
    <t>Legumes and Crop Residue Calculations</t>
  </si>
  <si>
    <t xml:space="preserve">Crop Production </t>
  </si>
  <si>
    <t>metric tons/bushel:</t>
  </si>
  <si>
    <t>Residue: Crop Mass Ratio</t>
  </si>
  <si>
    <t>Crop Production (metric tons)</t>
  </si>
  <si>
    <t>Residue Dry Matter Fraction</t>
  </si>
  <si>
    <t xml:space="preserve">Fraction Residue Applied </t>
  </si>
  <si>
    <t>Nitrogen Content of Residue</t>
  </si>
  <si>
    <t>Nitrogen Returned to Soil</t>
  </si>
  <si>
    <t>N content of Aboveground Biomass for N fixing</t>
  </si>
  <si>
    <t>N-Fixed by Crops (kg)</t>
  </si>
  <si>
    <t>EF Direct</t>
  </si>
  <si>
    <r>
      <rPr>
        <b/>
        <sz val="8"/>
        <color theme="1"/>
        <rFont val="Calibri"/>
      </rPr>
      <t>Direct N</t>
    </r>
    <r>
      <rPr>
        <b/>
        <vertAlign val="subscript"/>
        <sz val="8"/>
        <color theme="1"/>
        <rFont val="Calibri"/>
      </rPr>
      <t>2</t>
    </r>
    <r>
      <rPr>
        <b/>
        <sz val="8"/>
        <color theme="1"/>
        <rFont val="Calibri"/>
      </rPr>
      <t>O Emissions (metric tons N</t>
    </r>
    <r>
      <rPr>
        <b/>
        <vertAlign val="subscript"/>
        <sz val="8"/>
        <color theme="1"/>
        <rFont val="Calibri"/>
      </rPr>
      <t>2</t>
    </r>
    <r>
      <rPr>
        <b/>
        <sz val="8"/>
        <color theme="1"/>
        <rFont val="Calibri"/>
      </rPr>
      <t>O)</t>
    </r>
  </si>
  <si>
    <r>
      <rPr>
        <b/>
        <sz val="8"/>
        <color theme="1"/>
        <rFont val="Calibri"/>
      </rPr>
      <t>Direct Emissions</t>
    </r>
    <r>
      <rPr>
        <sz val="8"/>
        <color theme="1"/>
        <rFont val="Calibri"/>
      </rPr>
      <t xml:space="preserve"> (MMTCE)</t>
    </r>
  </si>
  <si>
    <r>
      <rPr>
        <b/>
        <sz val="8"/>
        <color theme="1"/>
        <rFont val="Calibri"/>
      </rPr>
      <t>Direct Emissions  (MMTCO</t>
    </r>
    <r>
      <rPr>
        <b/>
        <vertAlign val="subscript"/>
        <sz val="8"/>
        <color theme="1"/>
        <rFont val="Calibri"/>
      </rPr>
      <t>2</t>
    </r>
    <r>
      <rPr>
        <b/>
        <sz val="8"/>
        <color theme="1"/>
        <rFont val="Calibri"/>
      </rPr>
      <t>E)</t>
    </r>
  </si>
  <si>
    <t xml:space="preserve">Alfalfa  </t>
  </si>
  <si>
    <t>'000 tons</t>
  </si>
  <si>
    <t>Residues</t>
  </si>
  <si>
    <t xml:space="preserve">Corn for Grain </t>
  </si>
  <si>
    <t>'000 bushels</t>
  </si>
  <si>
    <t>Legumes</t>
  </si>
  <si>
    <t xml:space="preserve">All Wheat </t>
  </si>
  <si>
    <t xml:space="preserve">Barley </t>
  </si>
  <si>
    <t>Sorghum for Grain</t>
  </si>
  <si>
    <t>Oats</t>
  </si>
  <si>
    <t>Rye</t>
  </si>
  <si>
    <t>Millet</t>
  </si>
  <si>
    <t>Rice</t>
  </si>
  <si>
    <t>'000 hundred weight</t>
  </si>
  <si>
    <t xml:space="preserve">Soybeans </t>
  </si>
  <si>
    <t>Peanuts</t>
  </si>
  <si>
    <t>'000 lbs</t>
  </si>
  <si>
    <t>Dry Edible Beans</t>
  </si>
  <si>
    <t>Dry Edible Peas</t>
  </si>
  <si>
    <t>Austrian Winter Peas</t>
  </si>
  <si>
    <t>Lentils</t>
  </si>
  <si>
    <t>Wrinkled Seed Peas</t>
  </si>
  <si>
    <t>Red Clover</t>
  </si>
  <si>
    <t>White Clover</t>
  </si>
  <si>
    <t>Birdsfoot Trefoil</t>
  </si>
  <si>
    <t>Arrowleaf Clover</t>
  </si>
  <si>
    <t>Crimson Clover</t>
  </si>
  <si>
    <t>Agriculture Soils -  Plant Fertilizer Emissions in Maryland</t>
  </si>
  <si>
    <t>Fertilizer Calculations</t>
  </si>
  <si>
    <t>Growing Year Entry</t>
  </si>
  <si>
    <r>
      <rPr>
        <b/>
        <sz val="8"/>
        <color theme="1"/>
        <rFont val="Calibri"/>
      </rPr>
      <t>Total Fertilizer Use</t>
    </r>
    <r>
      <rPr>
        <sz val="8"/>
        <color theme="1"/>
        <rFont val="Calibri"/>
      </rPr>
      <t xml:space="preserve"> (kg N)</t>
    </r>
  </si>
  <si>
    <r>
      <rPr>
        <b/>
        <sz val="8"/>
        <color theme="1"/>
        <rFont val="Calibri"/>
      </rPr>
      <t xml:space="preserve">Total N in Fertilizers </t>
    </r>
    <r>
      <rPr>
        <sz val="8"/>
        <color theme="1"/>
        <rFont val="Calibri"/>
      </rPr>
      <t>(Calendar Year)</t>
    </r>
  </si>
  <si>
    <t>Volatilzation
(Percent)</t>
  </si>
  <si>
    <t>N Content of Non-Manure Organics</t>
  </si>
  <si>
    <r>
      <rPr>
        <b/>
        <sz val="8"/>
        <color theme="1"/>
        <rFont val="Calibri"/>
      </rPr>
      <t xml:space="preserve">Unvolatized N (kg)
</t>
    </r>
    <r>
      <rPr>
        <sz val="8"/>
        <color theme="1"/>
        <rFont val="Calibri"/>
      </rPr>
      <t>(kg)</t>
    </r>
  </si>
  <si>
    <r>
      <rPr>
        <b/>
        <sz val="8"/>
        <color theme="1"/>
        <rFont val="Calibri"/>
      </rPr>
      <t xml:space="preserve">Volatized N
</t>
    </r>
    <r>
      <rPr>
        <sz val="8"/>
        <color theme="1"/>
        <rFont val="Calibri"/>
      </rPr>
      <t>(kg)</t>
    </r>
  </si>
  <si>
    <r>
      <rPr>
        <b/>
        <sz val="8"/>
        <color theme="1"/>
        <rFont val="Calibri"/>
      </rPr>
      <t>Direct N</t>
    </r>
    <r>
      <rPr>
        <b/>
        <vertAlign val="subscript"/>
        <sz val="8"/>
        <color theme="1"/>
        <rFont val="Calibri"/>
      </rPr>
      <t>2</t>
    </r>
    <r>
      <rPr>
        <b/>
        <sz val="8"/>
        <color theme="1"/>
        <rFont val="Calibri"/>
      </rPr>
      <t>O Emissions
(metric tons)</t>
    </r>
  </si>
  <si>
    <r>
      <rPr>
        <b/>
        <sz val="8"/>
        <color theme="1"/>
        <rFont val="Calibri"/>
      </rPr>
      <t>Indirect N</t>
    </r>
    <r>
      <rPr>
        <b/>
        <vertAlign val="subscript"/>
        <sz val="8"/>
        <color theme="1"/>
        <rFont val="Calibri"/>
      </rPr>
      <t>2</t>
    </r>
    <r>
      <rPr>
        <b/>
        <sz val="8"/>
        <color theme="1"/>
        <rFont val="Calibri"/>
      </rPr>
      <t>O Emissions
(metric tons)</t>
    </r>
  </si>
  <si>
    <r>
      <rPr>
        <b/>
        <sz val="8"/>
        <color theme="1"/>
        <rFont val="Calibri"/>
      </rPr>
      <t xml:space="preserve">Direct Emissions
</t>
    </r>
    <r>
      <rPr>
        <sz val="8"/>
        <color theme="1"/>
        <rFont val="Calibri"/>
      </rPr>
      <t>(MMTCE)</t>
    </r>
  </si>
  <si>
    <r>
      <rPr>
        <b/>
        <sz val="8"/>
        <color theme="1"/>
        <rFont val="Calibri"/>
      </rPr>
      <t xml:space="preserve">Indirect Emissions
</t>
    </r>
    <r>
      <rPr>
        <sz val="8"/>
        <color theme="1"/>
        <rFont val="Calibri"/>
      </rPr>
      <t>(MMTCE)</t>
    </r>
  </si>
  <si>
    <r>
      <rPr>
        <b/>
        <sz val="8"/>
        <color theme="1"/>
        <rFont val="Calibri"/>
      </rPr>
      <t>Direct Emissions
(MMTCO</t>
    </r>
    <r>
      <rPr>
        <b/>
        <vertAlign val="subscript"/>
        <sz val="8"/>
        <color theme="1"/>
        <rFont val="Calibri"/>
      </rPr>
      <t>2</t>
    </r>
    <r>
      <rPr>
        <b/>
        <sz val="8"/>
        <color theme="1"/>
        <rFont val="Calibri"/>
      </rPr>
      <t>E)</t>
    </r>
  </si>
  <si>
    <r>
      <rPr>
        <b/>
        <sz val="8"/>
        <color theme="1"/>
        <rFont val="Calibri"/>
      </rPr>
      <t>Indirect Emissions
(MMTCO</t>
    </r>
    <r>
      <rPr>
        <b/>
        <vertAlign val="subscript"/>
        <sz val="8"/>
        <color theme="1"/>
        <rFont val="Calibri"/>
      </rPr>
      <t>2</t>
    </r>
    <r>
      <rPr>
        <b/>
        <sz val="8"/>
        <color theme="1"/>
        <rFont val="Calibri"/>
      </rPr>
      <t>E)</t>
    </r>
  </si>
  <si>
    <t xml:space="preserve">Synthetic </t>
  </si>
  <si>
    <t xml:space="preserve">Organic  </t>
  </si>
  <si>
    <t>Dried Blood</t>
  </si>
  <si>
    <t>Compost</t>
  </si>
  <si>
    <t>Dried Manure</t>
  </si>
  <si>
    <t>Activated Sewage Sludge</t>
  </si>
  <si>
    <t>Other Sewage Sludge</t>
  </si>
  <si>
    <t>Tankage</t>
  </si>
  <si>
    <t xml:space="preserve">Other </t>
  </si>
  <si>
    <t>Dried Manure %</t>
  </si>
  <si>
    <t>Non-Manure Organics</t>
  </si>
  <si>
    <t>Manure Organics</t>
  </si>
  <si>
    <r>
      <rPr>
        <b/>
        <sz val="8"/>
        <color theme="1"/>
        <rFont val="Calibri"/>
      </rPr>
      <t>Total Fertilizer Use</t>
    </r>
    <r>
      <rPr>
        <sz val="8"/>
        <color theme="1"/>
        <rFont val="Calibri"/>
      </rPr>
      <t xml:space="preserve"> (kg N)</t>
    </r>
  </si>
  <si>
    <t>Agriculture Soils - Emissions from Animals &amp; Runoff</t>
  </si>
  <si>
    <t xml:space="preserve">Percentage Breakdown of Manure Management Systems </t>
  </si>
  <si>
    <t>K-NITROGEN EXCRETED BY MANAGEMENT SYSTEM (kg):</t>
  </si>
  <si>
    <t>DIRECT EMISSIONS (MT N)</t>
  </si>
  <si>
    <t>Source: US Inventory spreadsheets (1990-2018) . See Manure-N2O.xls, WMS sheets.</t>
  </si>
  <si>
    <r>
      <rPr>
        <b/>
        <sz val="8"/>
        <color theme="1"/>
        <rFont val="Calibri"/>
      </rPr>
      <t xml:space="preserve">Number of Animals
</t>
    </r>
    <r>
      <rPr>
        <sz val="8"/>
        <color theme="1"/>
        <rFont val="Calibri"/>
      </rPr>
      <t>('000 head)</t>
    </r>
  </si>
  <si>
    <t>TAM
(kg)</t>
  </si>
  <si>
    <t>K-Nitrogen
(kg/day/1000kg)</t>
  </si>
  <si>
    <r>
      <rPr>
        <b/>
        <sz val="8"/>
        <color theme="1"/>
        <rFont val="Calibri"/>
      </rPr>
      <t xml:space="preserve">Total K-Nitrogen Excreted
</t>
    </r>
    <r>
      <rPr>
        <sz val="8"/>
        <color theme="1"/>
        <rFont val="Calibri"/>
      </rPr>
      <t>(kg)</t>
    </r>
  </si>
  <si>
    <r>
      <rPr>
        <b/>
        <sz val="8"/>
        <color theme="1"/>
        <rFont val="Calibri"/>
      </rPr>
      <t>Indirect Animal N</t>
    </r>
    <r>
      <rPr>
        <b/>
        <vertAlign val="subscript"/>
        <sz val="8"/>
        <color theme="1"/>
        <rFont val="Calibri"/>
      </rPr>
      <t>2</t>
    </r>
    <r>
      <rPr>
        <b/>
        <sz val="8"/>
        <color theme="1"/>
        <rFont val="Calibri"/>
      </rPr>
      <t xml:space="preserve">O Emissions
</t>
    </r>
    <r>
      <rPr>
        <sz val="8"/>
        <color theme="1"/>
        <rFont val="Calibri"/>
      </rPr>
      <t>(metric tons N)</t>
    </r>
  </si>
  <si>
    <t>Managed Systems</t>
  </si>
  <si>
    <t>Unmanaged Systems - Pasture, Range, and Paddock</t>
  </si>
  <si>
    <t>Unmanaged Systems - Daily Spread</t>
  </si>
  <si>
    <t>Manure Applied to Soils</t>
  </si>
  <si>
    <t>Pasture, Range and Paddock</t>
  </si>
  <si>
    <t>Leaching and Runoff</t>
  </si>
  <si>
    <t xml:space="preserve">Dairy Cows </t>
  </si>
  <si>
    <t>Dairy Heifers</t>
  </si>
  <si>
    <t>Feedlot Beef</t>
  </si>
  <si>
    <t>NOF Beef</t>
  </si>
  <si>
    <t>Year &amp; State</t>
  </si>
  <si>
    <t>Anaerobic Lagoon</t>
  </si>
  <si>
    <t>Liquid/ Slurry</t>
  </si>
  <si>
    <t>Daily Spread</t>
  </si>
  <si>
    <t>Solid Storage</t>
  </si>
  <si>
    <t>Pasture</t>
  </si>
  <si>
    <t>Deep Pit</t>
  </si>
  <si>
    <t>Managed</t>
  </si>
  <si>
    <t>PRP</t>
  </si>
  <si>
    <t>STATE</t>
  </si>
  <si>
    <t>Dry Lot</t>
  </si>
  <si>
    <t>Poultry without bedding</t>
  </si>
  <si>
    <t>Range</t>
  </si>
  <si>
    <t>On Feed (PRP)</t>
  </si>
  <si>
    <t>Not on Feed (PRP)</t>
  </si>
  <si>
    <t>Pasture, Range &amp; Paddock</t>
  </si>
  <si>
    <t>Unvolatilized N from Organic Fertilizers (kg)</t>
  </si>
  <si>
    <t>2018MD</t>
  </si>
  <si>
    <t>MD</t>
  </si>
  <si>
    <t>Unvolatilized N from Synthetic Fertilizers (kg)</t>
  </si>
  <si>
    <r>
      <rPr>
        <b/>
        <sz val="8"/>
        <color theme="1"/>
        <rFont val="Calibri"/>
      </rPr>
      <t>Fertilizer Runoff/Leached</t>
    </r>
    <r>
      <rPr>
        <sz val="8"/>
        <color theme="1"/>
        <rFont val="Calibri"/>
      </rPr>
      <t xml:space="preserve"> (metric tons N)</t>
    </r>
  </si>
  <si>
    <t>Total N excreted by Livestock (kg)</t>
  </si>
  <si>
    <r>
      <rPr>
        <b/>
        <sz val="8"/>
        <color theme="1"/>
        <rFont val="Calibri"/>
      </rPr>
      <t xml:space="preserve">Manure Runoff/Leached </t>
    </r>
    <r>
      <rPr>
        <sz val="8"/>
        <color theme="1"/>
        <rFont val="Calibri"/>
      </rPr>
      <t>(metric tons N)</t>
    </r>
  </si>
  <si>
    <r>
      <rPr>
        <b/>
        <sz val="8"/>
        <color theme="1"/>
        <rFont val="Calibri"/>
      </rPr>
      <t xml:space="preserve">TOTAL Runoff/Leached </t>
    </r>
    <r>
      <rPr>
        <sz val="8"/>
        <color theme="1"/>
        <rFont val="Calibri"/>
      </rPr>
      <t>(metric tons N</t>
    </r>
    <r>
      <rPr>
        <vertAlign val="subscript"/>
        <sz val="8"/>
        <color theme="1"/>
        <rFont val="Calibri"/>
      </rPr>
      <t>2</t>
    </r>
    <r>
      <rPr>
        <sz val="8"/>
        <color theme="1"/>
        <rFont val="Calibri"/>
      </rPr>
      <t>O-N)</t>
    </r>
  </si>
  <si>
    <t>Total Beef Heifers</t>
  </si>
  <si>
    <t>EMISSIONS SUMMARY  2020</t>
  </si>
  <si>
    <r>
      <rPr>
        <b/>
        <sz val="8"/>
        <color theme="1"/>
        <rFont val="Calibri"/>
      </rPr>
      <t>Livestock
(Metric Tons N</t>
    </r>
    <r>
      <rPr>
        <b/>
        <vertAlign val="subscript"/>
        <sz val="8"/>
        <color theme="1"/>
        <rFont val="Calibri"/>
      </rPr>
      <t>2</t>
    </r>
    <r>
      <rPr>
        <b/>
        <sz val="8"/>
        <color theme="1"/>
        <rFont val="Calibri"/>
      </rPr>
      <t>O)</t>
    </r>
  </si>
  <si>
    <t>Livestock
(MMTCE)</t>
  </si>
  <si>
    <r>
      <rPr>
        <b/>
        <sz val="8"/>
        <color theme="1"/>
        <rFont val="Calibri"/>
      </rPr>
      <t>Livestock
(MMTCO</t>
    </r>
    <r>
      <rPr>
        <b/>
        <vertAlign val="subscript"/>
        <sz val="8"/>
        <color theme="1"/>
        <rFont val="Calibri"/>
      </rPr>
      <t>2</t>
    </r>
    <r>
      <rPr>
        <b/>
        <sz val="8"/>
        <color theme="1"/>
        <rFont val="Calibri"/>
      </rPr>
      <t>E)</t>
    </r>
  </si>
  <si>
    <r>
      <rPr>
        <b/>
        <sz val="8"/>
        <color theme="1"/>
        <rFont val="Calibri"/>
      </rPr>
      <t>Leaching and Runoff
(Metric Tons N</t>
    </r>
    <r>
      <rPr>
        <b/>
        <vertAlign val="subscript"/>
        <sz val="8"/>
        <color theme="1"/>
        <rFont val="Calibri"/>
      </rPr>
      <t>2</t>
    </r>
    <r>
      <rPr>
        <b/>
        <sz val="8"/>
        <color theme="1"/>
        <rFont val="Calibri"/>
      </rPr>
      <t>O)</t>
    </r>
  </si>
  <si>
    <t>Leaching and Runoff
(MMTCE)</t>
  </si>
  <si>
    <r>
      <rPr>
        <b/>
        <sz val="8"/>
        <color theme="1"/>
        <rFont val="Calibri"/>
      </rPr>
      <t>Leaching and Runoff
(MMTCO</t>
    </r>
    <r>
      <rPr>
        <b/>
        <vertAlign val="subscript"/>
        <sz val="8"/>
        <color theme="1"/>
        <rFont val="Calibri"/>
      </rPr>
      <t>2</t>
    </r>
    <r>
      <rPr>
        <b/>
        <sz val="8"/>
        <color theme="1"/>
        <rFont val="Calibri"/>
      </rPr>
      <t>E)</t>
    </r>
  </si>
  <si>
    <r>
      <rPr>
        <b/>
        <sz val="8"/>
        <color rgb="FFFF0000"/>
        <rFont val="Calibri"/>
      </rPr>
      <t>Indirect N</t>
    </r>
    <r>
      <rPr>
        <b/>
        <vertAlign val="subscript"/>
        <sz val="8"/>
        <color rgb="FFFF0000"/>
        <rFont val="Calibri"/>
      </rPr>
      <t>2</t>
    </r>
    <r>
      <rPr>
        <b/>
        <sz val="8"/>
        <color rgb="FFFF0000"/>
        <rFont val="Calibri"/>
      </rPr>
      <t>O Emissions</t>
    </r>
  </si>
  <si>
    <t>TOTAL Runoff/Leached</t>
  </si>
  <si>
    <r>
      <rPr>
        <b/>
        <sz val="8"/>
        <color theme="1"/>
        <rFont val="Calibri"/>
      </rPr>
      <t>Direct N</t>
    </r>
    <r>
      <rPr>
        <b/>
        <vertAlign val="subscript"/>
        <sz val="8"/>
        <color theme="1"/>
        <rFont val="Calibri"/>
      </rPr>
      <t>2</t>
    </r>
    <r>
      <rPr>
        <b/>
        <sz val="8"/>
        <color theme="1"/>
        <rFont val="Calibri"/>
      </rPr>
      <t>O Emissions - Manure Applied to Soils (including Daily Spread)</t>
    </r>
  </si>
  <si>
    <t>Fertilizer Runoff/Leached</t>
  </si>
  <si>
    <r>
      <rPr>
        <b/>
        <sz val="8"/>
        <color theme="1"/>
        <rFont val="Calibri"/>
      </rPr>
      <t>Direct N</t>
    </r>
    <r>
      <rPr>
        <b/>
        <vertAlign val="subscript"/>
        <sz val="8"/>
        <color theme="1"/>
        <rFont val="Calibri"/>
      </rPr>
      <t>2</t>
    </r>
    <r>
      <rPr>
        <b/>
        <sz val="8"/>
        <color theme="1"/>
        <rFont val="Calibri"/>
      </rPr>
      <t>O Emissions - Pasture, Range, and Paddock</t>
    </r>
  </si>
  <si>
    <t xml:space="preserve">Manure Runoff/Leached </t>
  </si>
  <si>
    <r>
      <rPr>
        <b/>
        <sz val="8"/>
        <color rgb="FFFF0000"/>
        <rFont val="Calibri"/>
      </rPr>
      <t>Direct N</t>
    </r>
    <r>
      <rPr>
        <b/>
        <vertAlign val="subscript"/>
        <sz val="8"/>
        <color rgb="FFFF0000"/>
        <rFont val="Calibri"/>
      </rPr>
      <t>2</t>
    </r>
    <r>
      <rPr>
        <b/>
        <sz val="8"/>
        <color rgb="FFFF0000"/>
        <rFont val="Calibri"/>
      </rPr>
      <t>O Emissions</t>
    </r>
  </si>
  <si>
    <r>
      <rPr>
        <sz val="14"/>
        <color theme="1"/>
        <rFont val="Comic Sans MS"/>
      </rPr>
      <t>Agricultural Residue Burning -  CH</t>
    </r>
    <r>
      <rPr>
        <vertAlign val="subscript"/>
        <sz val="14"/>
        <color theme="1"/>
        <rFont val="Comic Sans MS"/>
      </rPr>
      <t>4</t>
    </r>
    <r>
      <rPr>
        <sz val="14"/>
        <color theme="1"/>
        <rFont val="Comic Sans MS"/>
      </rPr>
      <t xml:space="preserve"> Emissions</t>
    </r>
  </si>
  <si>
    <t>Crop</t>
  </si>
  <si>
    <t xml:space="preserve">Crop Production        </t>
  </si>
  <si>
    <t>metric tons/bushel</t>
  </si>
  <si>
    <t>Crop Production     (metric tons)</t>
  </si>
  <si>
    <t>Residue/Crop Ratio</t>
  </si>
  <si>
    <t>Fraction   Residue Burned</t>
  </si>
  <si>
    <t>Dry Matter Fraction</t>
  </si>
  <si>
    <t>Burning Efficiency</t>
  </si>
  <si>
    <t>Combustion Efficiency</t>
  </si>
  <si>
    <t>Carbon Content</t>
  </si>
  <si>
    <t>Total C Released  (metric tons C)</t>
  </si>
  <si>
    <r>
      <rPr>
        <b/>
        <sz val="8"/>
        <color theme="1"/>
        <rFont val="Calibri"/>
      </rPr>
      <t>CH</t>
    </r>
    <r>
      <rPr>
        <b/>
        <vertAlign val="subscript"/>
        <sz val="8"/>
        <color theme="1"/>
        <rFont val="Calibri"/>
      </rPr>
      <t>4</t>
    </r>
    <r>
      <rPr>
        <b/>
        <sz val="8"/>
        <color theme="1"/>
        <rFont val="Calibri"/>
      </rPr>
      <t xml:space="preserve"> Emissions  (metric tons CH</t>
    </r>
    <r>
      <rPr>
        <b/>
        <vertAlign val="subscript"/>
        <sz val="8"/>
        <color theme="1"/>
        <rFont val="Calibri"/>
      </rPr>
      <t>4</t>
    </r>
    <r>
      <rPr>
        <b/>
        <sz val="8"/>
        <color theme="1"/>
        <rFont val="Calibri"/>
      </rPr>
      <t>)</t>
    </r>
  </si>
  <si>
    <r>
      <rPr>
        <b/>
        <sz val="8"/>
        <color theme="1"/>
        <rFont val="Calibri"/>
      </rPr>
      <t>CH</t>
    </r>
    <r>
      <rPr>
        <b/>
        <vertAlign val="subscript"/>
        <sz val="8"/>
        <color theme="1"/>
        <rFont val="Calibri"/>
      </rPr>
      <t>4</t>
    </r>
    <r>
      <rPr>
        <b/>
        <sz val="8"/>
        <color theme="1"/>
        <rFont val="Calibri"/>
      </rPr>
      <t xml:space="preserve"> Emissions  (MMTCE)</t>
    </r>
  </si>
  <si>
    <r>
      <rPr>
        <b/>
        <sz val="8"/>
        <color theme="1"/>
        <rFont val="Calibri"/>
      </rPr>
      <t>CH</t>
    </r>
    <r>
      <rPr>
        <b/>
        <vertAlign val="subscript"/>
        <sz val="8"/>
        <color theme="1"/>
        <rFont val="Calibri"/>
      </rPr>
      <t>4</t>
    </r>
    <r>
      <rPr>
        <b/>
        <sz val="8"/>
        <color theme="1"/>
        <rFont val="Calibri"/>
      </rPr>
      <t xml:space="preserve"> Emissions  (MMTCO</t>
    </r>
    <r>
      <rPr>
        <b/>
        <vertAlign val="subscript"/>
        <sz val="8"/>
        <color theme="1"/>
        <rFont val="Calibri"/>
      </rPr>
      <t>2</t>
    </r>
    <r>
      <rPr>
        <b/>
        <sz val="8"/>
        <color theme="1"/>
        <rFont val="Calibri"/>
      </rPr>
      <t>E)</t>
    </r>
  </si>
  <si>
    <t>Barley</t>
  </si>
  <si>
    <t>Corn</t>
  </si>
  <si>
    <t>'000 pounds</t>
  </si>
  <si>
    <t>'000 cwt</t>
  </si>
  <si>
    <t>Soybeans</t>
  </si>
  <si>
    <t>Sugarcane</t>
  </si>
  <si>
    <t>Wheat</t>
  </si>
  <si>
    <r>
      <rPr>
        <sz val="14"/>
        <color theme="1"/>
        <rFont val="Comic Sans MS"/>
      </rPr>
      <t>Agricultural Residue Burning -  N</t>
    </r>
    <r>
      <rPr>
        <vertAlign val="subscript"/>
        <sz val="14"/>
        <color theme="1"/>
        <rFont val="Comic Sans MS"/>
      </rPr>
      <t>2</t>
    </r>
    <r>
      <rPr>
        <sz val="14"/>
        <color theme="1"/>
        <rFont val="Comic Sans MS"/>
      </rPr>
      <t>O Emissions</t>
    </r>
  </si>
  <si>
    <t>Fraction Residue Burned</t>
  </si>
  <si>
    <t>Nitrogen Content</t>
  </si>
  <si>
    <t>Total N Released  (metric tons)</t>
  </si>
  <si>
    <r>
      <rPr>
        <b/>
        <sz val="8"/>
        <color theme="1"/>
        <rFont val="Calibri"/>
      </rPr>
      <t>N</t>
    </r>
    <r>
      <rPr>
        <b/>
        <vertAlign val="subscript"/>
        <sz val="8"/>
        <color theme="1"/>
        <rFont val="Calibri"/>
      </rPr>
      <t>2</t>
    </r>
    <r>
      <rPr>
        <b/>
        <sz val="8"/>
        <color theme="1"/>
        <rFont val="Calibri"/>
      </rPr>
      <t>O Emissions  (metric tons)</t>
    </r>
  </si>
  <si>
    <r>
      <rPr>
        <b/>
        <sz val="8"/>
        <color theme="1"/>
        <rFont val="Calibri"/>
      </rPr>
      <t>N</t>
    </r>
    <r>
      <rPr>
        <b/>
        <vertAlign val="subscript"/>
        <sz val="8"/>
        <color theme="1"/>
        <rFont val="Calibri"/>
      </rPr>
      <t>2</t>
    </r>
    <r>
      <rPr>
        <b/>
        <sz val="8"/>
        <color theme="1"/>
        <rFont val="Calibri"/>
      </rPr>
      <t>O Emissions  (MMTCE)</t>
    </r>
  </si>
  <si>
    <r>
      <rPr>
        <b/>
        <sz val="8"/>
        <color theme="1"/>
        <rFont val="Calibri"/>
      </rPr>
      <t>N</t>
    </r>
    <r>
      <rPr>
        <b/>
        <vertAlign val="subscript"/>
        <sz val="8"/>
        <color theme="1"/>
        <rFont val="Calibri"/>
      </rPr>
      <t>2</t>
    </r>
    <r>
      <rPr>
        <b/>
        <sz val="8"/>
        <color theme="1"/>
        <rFont val="Calibri"/>
      </rPr>
      <t>O Emissions  (MMTCO</t>
    </r>
    <r>
      <rPr>
        <b/>
        <vertAlign val="subscript"/>
        <sz val="8"/>
        <color theme="1"/>
        <rFont val="Calibri"/>
      </rPr>
      <t>2</t>
    </r>
    <r>
      <rPr>
        <b/>
        <sz val="8"/>
        <color theme="1"/>
        <rFont val="Calibri"/>
      </rPr>
      <t>E)</t>
    </r>
  </si>
  <si>
    <t>TOTAL AGRICULTURE</t>
  </si>
  <si>
    <r>
      <rPr>
        <b/>
        <sz val="9"/>
        <color theme="1"/>
        <rFont val="Calibri"/>
      </rPr>
      <t>Emissions (MMTCO</t>
    </r>
    <r>
      <rPr>
        <b/>
        <vertAlign val="subscript"/>
        <sz val="9"/>
        <color theme="1"/>
        <rFont val="Calibri"/>
      </rPr>
      <t xml:space="preserve">2 </t>
    </r>
    <r>
      <rPr>
        <b/>
        <sz val="9"/>
        <color theme="1"/>
        <rFont val="Calibri"/>
      </rPr>
      <t>Eq.)</t>
    </r>
  </si>
  <si>
    <r>
      <rPr>
        <b/>
        <sz val="9"/>
        <color theme="1"/>
        <rFont val="Calibri"/>
      </rPr>
      <t>2020
MMTCO</t>
    </r>
    <r>
      <rPr>
        <b/>
        <vertAlign val="subscript"/>
        <sz val="9"/>
        <color theme="1"/>
        <rFont val="Calibri"/>
      </rPr>
      <t>2</t>
    </r>
    <r>
      <rPr>
        <b/>
        <sz val="9"/>
        <color theme="1"/>
        <rFont val="Calibri"/>
      </rPr>
      <t>E</t>
    </r>
  </si>
  <si>
    <t>Ag Soils</t>
  </si>
  <si>
    <t>Rice Cultivation</t>
  </si>
  <si>
    <t>Agricultural Residue Burning</t>
  </si>
  <si>
    <r>
      <rPr>
        <b/>
        <sz val="9"/>
        <color theme="1"/>
        <rFont val="Calibri"/>
      </rPr>
      <t>Emissions by Gas 
(MMTCH</t>
    </r>
    <r>
      <rPr>
        <b/>
        <vertAlign val="subscript"/>
        <sz val="9"/>
        <color theme="1"/>
        <rFont val="Calibri"/>
      </rPr>
      <t>4</t>
    </r>
    <r>
      <rPr>
        <b/>
        <sz val="9"/>
        <color theme="1"/>
        <rFont val="Calibri"/>
      </rPr>
      <t xml:space="preserve"> or MMTN</t>
    </r>
    <r>
      <rPr>
        <b/>
        <vertAlign val="subscript"/>
        <sz val="9"/>
        <color theme="1"/>
        <rFont val="Calibri"/>
      </rPr>
      <t>2</t>
    </r>
    <r>
      <rPr>
        <b/>
        <sz val="9"/>
        <color theme="1"/>
        <rFont val="Calibri"/>
      </rPr>
      <t>O)</t>
    </r>
  </si>
  <si>
    <r>
      <rPr>
        <b/>
        <sz val="9"/>
        <color theme="1"/>
        <rFont val="Calibri"/>
      </rPr>
      <t>2017
MMTCO</t>
    </r>
    <r>
      <rPr>
        <b/>
        <vertAlign val="subscript"/>
        <sz val="9"/>
        <color theme="1"/>
        <rFont val="Calibri"/>
      </rPr>
      <t>2</t>
    </r>
    <r>
      <rPr>
        <b/>
        <sz val="9"/>
        <color theme="1"/>
        <rFont val="Calibri"/>
      </rPr>
      <t>E</t>
    </r>
  </si>
  <si>
    <t>Methane</t>
  </si>
  <si>
    <t>Nitrous Oxide</t>
  </si>
  <si>
    <r>
      <rPr>
        <b/>
        <sz val="9"/>
        <color theme="1"/>
        <rFont val="Calibri"/>
      </rPr>
      <t>Nitrous Oxide Emissions from Ag Soils (metric tons N</t>
    </r>
    <r>
      <rPr>
        <b/>
        <vertAlign val="subscript"/>
        <sz val="9"/>
        <color theme="1"/>
        <rFont val="Calibri"/>
      </rPr>
      <t>2</t>
    </r>
    <r>
      <rPr>
        <b/>
        <sz val="9"/>
        <color theme="1"/>
        <rFont val="Calibri"/>
      </rPr>
      <t>O)</t>
    </r>
  </si>
  <si>
    <t>Direct</t>
  </si>
  <si>
    <t>Fertilizers</t>
  </si>
  <si>
    <t>Crop Residues</t>
  </si>
  <si>
    <t>N-Fixing Crops</t>
  </si>
  <si>
    <t>Histosols</t>
  </si>
  <si>
    <t>Livestock</t>
  </si>
  <si>
    <t>Indirect</t>
  </si>
  <si>
    <t>Leaching/Runoff</t>
  </si>
  <si>
    <t>The use of urea as a fertilizer results in CO2 emissions that were previously fixed during the industrial production process. The amount of urea applied to soil is multiplied by the carbon emission factor, and then converted to million metric tons carbon dioxide equivalent. For more information, please refer to the Agriculture Chapter of the User's Guide.</t>
  </si>
  <si>
    <t>CO2 from Urea Fertilization in Maryland</t>
  </si>
  <si>
    <t>Total Urea Applied to Soil</t>
  </si>
  <si>
    <t>Carbon Dioxide Emissions</t>
  </si>
  <si>
    <t>(Ton C/Ton urea)</t>
  </si>
  <si>
    <t>(MTCO2E)</t>
  </si>
  <si>
    <t>Emissions from Liming of Soils are calculated by summing carbon emissions from the application of both limestone and dolomite to soil. The masses of limestone and dolomite are multiplied by their carbon emission factors, converted to million metric tons carbon dioxide equivalent, and then summed. For more information, please refer to the Agriculture Chapter of the User's Guide.</t>
  </si>
  <si>
    <t xml:space="preserve"> CO2 from Liming of Agric Soils in Maryland</t>
  </si>
  <si>
    <t>Total Applied to Soil</t>
  </si>
  <si>
    <t>Total Carbon Dioxide Emissions</t>
  </si>
  <si>
    <t>('000 Metric Tons)</t>
  </si>
  <si>
    <t>(Ton C/Ton limestone)</t>
  </si>
  <si>
    <t xml:space="preserve">MD Summary </t>
  </si>
  <si>
    <t>Wheelabrator Baltimore</t>
  </si>
  <si>
    <t>Fort Detrick</t>
  </si>
  <si>
    <t>Incinerator #1</t>
  </si>
  <si>
    <t>Incinerator #4</t>
  </si>
  <si>
    <t>Incinerator #5</t>
  </si>
  <si>
    <t>Incinerator #6</t>
  </si>
  <si>
    <t>MSW Processed (tons)</t>
  </si>
  <si>
    <t>MSW HHV (mmbtu/short tons)</t>
  </si>
  <si>
    <t>EPA factor</t>
  </si>
  <si>
    <t>MSW Heat Input (mmbtu)</t>
  </si>
  <si>
    <r>
      <rPr>
        <sz val="8"/>
        <color theme="1"/>
        <rFont val="Arial"/>
      </rPr>
      <t>CO</t>
    </r>
    <r>
      <rPr>
        <vertAlign val="subscript"/>
        <sz val="8"/>
        <color theme="1"/>
        <rFont val="Arial"/>
      </rPr>
      <t>2</t>
    </r>
    <r>
      <rPr>
        <sz val="8"/>
        <color theme="1"/>
        <rFont val="Arial"/>
      </rPr>
      <t xml:space="preserve"> Emission Factor-(kg CO</t>
    </r>
    <r>
      <rPr>
        <vertAlign val="subscript"/>
        <sz val="8"/>
        <color theme="1"/>
        <rFont val="Arial"/>
      </rPr>
      <t>2</t>
    </r>
    <r>
      <rPr>
        <sz val="8"/>
        <color theme="1"/>
        <rFont val="Arial"/>
      </rPr>
      <t>/mmbtu)</t>
    </r>
  </si>
  <si>
    <r>
      <rPr>
        <sz val="8"/>
        <color theme="1"/>
        <rFont val="Arial"/>
      </rPr>
      <t>CO</t>
    </r>
    <r>
      <rPr>
        <vertAlign val="subscript"/>
        <sz val="8"/>
        <color theme="1"/>
        <rFont val="Arial"/>
      </rPr>
      <t>2</t>
    </r>
    <r>
      <rPr>
        <sz val="8"/>
        <color theme="1"/>
        <rFont val="Arial"/>
      </rPr>
      <t xml:space="preserve"> Emission Factor-(kg CO</t>
    </r>
    <r>
      <rPr>
        <vertAlign val="subscript"/>
        <sz val="8"/>
        <color theme="1"/>
        <rFont val="Arial"/>
      </rPr>
      <t>2</t>
    </r>
    <r>
      <rPr>
        <sz val="8"/>
        <color theme="1"/>
        <rFont val="Arial"/>
      </rPr>
      <t>/mmbtu)</t>
    </r>
  </si>
  <si>
    <r>
      <rPr>
        <sz val="8"/>
        <color theme="1"/>
        <rFont val="Arial"/>
      </rPr>
      <t>CO</t>
    </r>
    <r>
      <rPr>
        <vertAlign val="subscript"/>
        <sz val="8"/>
        <color theme="1"/>
        <rFont val="Arial"/>
      </rPr>
      <t>2</t>
    </r>
    <r>
      <rPr>
        <sz val="8"/>
        <color theme="1"/>
        <rFont val="Arial"/>
      </rPr>
      <t xml:space="preserve"> Emission Factor-(kg CO</t>
    </r>
    <r>
      <rPr>
        <vertAlign val="subscript"/>
        <sz val="8"/>
        <color theme="1"/>
        <rFont val="Arial"/>
      </rPr>
      <t>2</t>
    </r>
    <r>
      <rPr>
        <sz val="8"/>
        <color theme="1"/>
        <rFont val="Arial"/>
      </rPr>
      <t>/mmbtu)</t>
    </r>
  </si>
  <si>
    <r>
      <rPr>
        <sz val="8"/>
        <color theme="1"/>
        <rFont val="Arial"/>
      </rPr>
      <t>CO</t>
    </r>
    <r>
      <rPr>
        <vertAlign val="subscript"/>
        <sz val="8"/>
        <color theme="1"/>
        <rFont val="Arial"/>
      </rPr>
      <t>2</t>
    </r>
    <r>
      <rPr>
        <sz val="8"/>
        <color theme="1"/>
        <rFont val="Arial"/>
      </rPr>
      <t xml:space="preserve"> Emission Factor-(kg CO</t>
    </r>
    <r>
      <rPr>
        <vertAlign val="subscript"/>
        <sz val="8"/>
        <color theme="1"/>
        <rFont val="Arial"/>
      </rPr>
      <t>2</t>
    </r>
    <r>
      <rPr>
        <sz val="8"/>
        <color theme="1"/>
        <rFont val="Arial"/>
      </rPr>
      <t>/mmbtu)</t>
    </r>
  </si>
  <si>
    <r>
      <rPr>
        <sz val="8"/>
        <color theme="1"/>
        <rFont val="Arial"/>
      </rPr>
      <t>CO</t>
    </r>
    <r>
      <rPr>
        <vertAlign val="subscript"/>
        <sz val="8"/>
        <color theme="1"/>
        <rFont val="Arial"/>
      </rPr>
      <t>2</t>
    </r>
    <r>
      <rPr>
        <sz val="8"/>
        <color theme="1"/>
        <rFont val="Arial"/>
      </rPr>
      <t xml:space="preserve"> Emission Factor-(kg CO</t>
    </r>
    <r>
      <rPr>
        <vertAlign val="subscript"/>
        <sz val="8"/>
        <color theme="1"/>
        <rFont val="Arial"/>
      </rPr>
      <t>2</t>
    </r>
    <r>
      <rPr>
        <sz val="8"/>
        <color theme="1"/>
        <rFont val="Arial"/>
      </rPr>
      <t>/mmbtu)</t>
    </r>
  </si>
  <si>
    <r>
      <rPr>
        <sz val="8"/>
        <color theme="1"/>
        <rFont val="Arial"/>
      </rPr>
      <t>CO</t>
    </r>
    <r>
      <rPr>
        <vertAlign val="subscript"/>
        <sz val="8"/>
        <color theme="1"/>
        <rFont val="Arial"/>
      </rPr>
      <t>2</t>
    </r>
    <r>
      <rPr>
        <sz val="8"/>
        <color theme="1"/>
        <rFont val="Arial"/>
      </rPr>
      <t xml:space="preserve"> Emission (kg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</si>
  <si>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(kg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</si>
  <si>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(kg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</si>
  <si>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(kg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</si>
  <si>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(kg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</si>
  <si>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</si>
  <si>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</si>
  <si>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</si>
  <si>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</si>
  <si>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Estimate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</si>
  <si>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(metric tons CO</t>
    </r>
    <r>
      <rPr>
        <vertAlign val="subscript"/>
        <sz val="8"/>
        <color theme="1"/>
        <rFont val="Arial"/>
      </rPr>
      <t>2</t>
    </r>
    <r>
      <rPr>
        <sz val="8"/>
        <color theme="1"/>
        <rFont val="Arial"/>
      </rPr>
      <t>)</t>
    </r>
  </si>
  <si>
    <t>CEM</t>
  </si>
  <si>
    <r>
      <rPr>
        <sz val="8"/>
        <color theme="1"/>
        <rFont val="Arial"/>
      </rPr>
      <t>CO</t>
    </r>
    <r>
      <rPr>
        <vertAlign val="subscript"/>
        <sz val="8"/>
        <color theme="1"/>
        <rFont val="Arial"/>
      </rPr>
      <t>2</t>
    </r>
    <r>
      <rPr>
        <sz val="8"/>
        <color theme="1"/>
        <rFont val="Arial"/>
      </rPr>
      <t xml:space="preserve"> Emission (metric tons CO</t>
    </r>
    <r>
      <rPr>
        <vertAlign val="subscript"/>
        <sz val="8"/>
        <color theme="1"/>
        <rFont val="Arial"/>
      </rPr>
      <t>2</t>
    </r>
    <r>
      <rPr>
        <sz val="8"/>
        <color theme="1"/>
        <rFont val="Arial"/>
      </rPr>
      <t>)</t>
    </r>
  </si>
  <si>
    <t>CEM/ECR</t>
  </si>
  <si>
    <r>
      <rPr>
        <sz val="8"/>
        <color theme="1"/>
        <rFont val="Arial"/>
      </rPr>
      <t>CO</t>
    </r>
    <r>
      <rPr>
        <vertAlign val="subscript"/>
        <sz val="8"/>
        <color theme="1"/>
        <rFont val="Arial"/>
      </rPr>
      <t>2</t>
    </r>
    <r>
      <rPr>
        <sz val="8"/>
        <color theme="1"/>
        <rFont val="Arial"/>
      </rPr>
      <t xml:space="preserve"> Emission (metric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</si>
  <si>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(metric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</si>
  <si>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</si>
  <si>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</si>
  <si>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</si>
  <si>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(short tons CO</t>
    </r>
    <r>
      <rPr>
        <vertAlign val="subscript"/>
        <sz val="8"/>
        <color theme="1"/>
        <rFont val="Arial"/>
      </rPr>
      <t>2</t>
    </r>
    <r>
      <rPr>
        <sz val="8"/>
        <color theme="1"/>
        <rFont val="Arial"/>
      </rPr>
      <t>)</t>
    </r>
  </si>
  <si>
    <r>
      <rPr>
        <sz val="8"/>
        <color theme="1"/>
        <rFont val="Arial"/>
      </rPr>
      <t>CO</t>
    </r>
    <r>
      <rPr>
        <vertAlign val="subscript"/>
        <sz val="8"/>
        <color theme="1"/>
        <rFont val="Arial"/>
      </rPr>
      <t>2</t>
    </r>
    <r>
      <rPr>
        <sz val="8"/>
        <color theme="1"/>
        <rFont val="Arial"/>
      </rPr>
      <t xml:space="preserve"> Emission CEM Readings (short tons CO</t>
    </r>
    <r>
      <rPr>
        <vertAlign val="subscript"/>
        <sz val="8"/>
        <color theme="1"/>
        <rFont val="Arial"/>
      </rPr>
      <t>2</t>
    </r>
    <r>
      <rPr>
        <sz val="8"/>
        <color theme="1"/>
        <rFont val="Arial"/>
      </rPr>
      <t>)</t>
    </r>
  </si>
  <si>
    <r>
      <rPr>
        <sz val="8"/>
        <color theme="1"/>
        <rFont val="Arial"/>
      </rPr>
      <t>CH</t>
    </r>
    <r>
      <rPr>
        <vertAlign val="subscript"/>
        <sz val="8"/>
        <color theme="1"/>
        <rFont val="Arial"/>
      </rPr>
      <t>4</t>
    </r>
    <r>
      <rPr>
        <sz val="8"/>
        <color theme="1"/>
        <rFont val="Arial"/>
      </rPr>
      <t xml:space="preserve"> Emission Factor (kg/mmbtu)</t>
    </r>
  </si>
  <si>
    <r>
      <rPr>
        <sz val="8"/>
        <color theme="1"/>
        <rFont val="Arial"/>
      </rPr>
      <t>CH</t>
    </r>
    <r>
      <rPr>
        <vertAlign val="subscript"/>
        <sz val="8"/>
        <color theme="1"/>
        <rFont val="Arial"/>
      </rPr>
      <t>4</t>
    </r>
    <r>
      <rPr>
        <sz val="8"/>
        <color theme="1"/>
        <rFont val="Arial"/>
      </rPr>
      <t xml:space="preserve"> Emission Factor (kg/mmbtu)</t>
    </r>
  </si>
  <si>
    <r>
      <rPr>
        <sz val="8"/>
        <color theme="1"/>
        <rFont val="Arial"/>
      </rPr>
      <t>CH</t>
    </r>
    <r>
      <rPr>
        <vertAlign val="subscript"/>
        <sz val="8"/>
        <color theme="1"/>
        <rFont val="Arial"/>
      </rPr>
      <t>4</t>
    </r>
    <r>
      <rPr>
        <sz val="8"/>
        <color theme="1"/>
        <rFont val="Arial"/>
      </rPr>
      <t xml:space="preserve"> Emission Factor (kg/mmbtu)</t>
    </r>
  </si>
  <si>
    <r>
      <rPr>
        <sz val="8"/>
        <color theme="1"/>
        <rFont val="Arial"/>
      </rPr>
      <t>CH</t>
    </r>
    <r>
      <rPr>
        <vertAlign val="subscript"/>
        <sz val="8"/>
        <color theme="1"/>
        <rFont val="Arial"/>
      </rPr>
      <t>4</t>
    </r>
    <r>
      <rPr>
        <sz val="8"/>
        <color theme="1"/>
        <rFont val="Arial"/>
      </rPr>
      <t xml:space="preserve"> Emission Factor (kg/mmbtu)</t>
    </r>
  </si>
  <si>
    <r>
      <rPr>
        <sz val="8"/>
        <color theme="1"/>
        <rFont val="Arial"/>
      </rPr>
      <t>CH</t>
    </r>
    <r>
      <rPr>
        <vertAlign val="subscript"/>
        <sz val="8"/>
        <color theme="1"/>
        <rFont val="Arial"/>
      </rPr>
      <t>4</t>
    </r>
    <r>
      <rPr>
        <sz val="8"/>
        <color theme="1"/>
        <rFont val="Arial"/>
      </rPr>
      <t xml:space="preserve"> Emission Factor (kg/mmbtu)</t>
    </r>
  </si>
  <si>
    <r>
      <rPr>
        <sz val="8"/>
        <color theme="1"/>
        <rFont val="Arial"/>
      </rPr>
      <t>CH</t>
    </r>
    <r>
      <rPr>
        <vertAlign val="subscript"/>
        <sz val="8"/>
        <color theme="1"/>
        <rFont val="Arial"/>
      </rPr>
      <t>4</t>
    </r>
    <r>
      <rPr>
        <sz val="8"/>
        <color theme="1"/>
        <rFont val="Arial"/>
      </rPr>
      <t xml:space="preserve"> Emissions (kg)</t>
    </r>
  </si>
  <si>
    <r>
      <rPr>
        <sz val="8"/>
        <color theme="1"/>
        <rFont val="Arial"/>
      </rPr>
      <t>CH</t>
    </r>
    <r>
      <rPr>
        <vertAlign val="subscript"/>
        <sz val="8"/>
        <color theme="1"/>
        <rFont val="Arial"/>
      </rPr>
      <t>4</t>
    </r>
    <r>
      <rPr>
        <sz val="8"/>
        <color theme="1"/>
        <rFont val="Arial"/>
      </rPr>
      <t xml:space="preserve"> Emissions (kg)</t>
    </r>
  </si>
  <si>
    <r>
      <rPr>
        <sz val="8"/>
        <color theme="1"/>
        <rFont val="Arial"/>
      </rPr>
      <t>CH</t>
    </r>
    <r>
      <rPr>
        <vertAlign val="subscript"/>
        <sz val="8"/>
        <color theme="1"/>
        <rFont val="Arial"/>
      </rPr>
      <t>4</t>
    </r>
    <r>
      <rPr>
        <sz val="8"/>
        <color theme="1"/>
        <rFont val="Arial"/>
      </rPr>
      <t xml:space="preserve"> Emissions (kg)</t>
    </r>
  </si>
  <si>
    <r>
      <rPr>
        <sz val="8"/>
        <color theme="1"/>
        <rFont val="Arial"/>
      </rPr>
      <t>CH</t>
    </r>
    <r>
      <rPr>
        <vertAlign val="subscript"/>
        <sz val="8"/>
        <color theme="1"/>
        <rFont val="Arial"/>
      </rPr>
      <t>4</t>
    </r>
    <r>
      <rPr>
        <sz val="8"/>
        <color theme="1"/>
        <rFont val="Arial"/>
      </rPr>
      <t xml:space="preserve"> Emissions (kg)</t>
    </r>
  </si>
  <si>
    <r>
      <rPr>
        <sz val="8"/>
        <color theme="1"/>
        <rFont val="Arial"/>
      </rPr>
      <t>CH</t>
    </r>
    <r>
      <rPr>
        <vertAlign val="subscript"/>
        <sz val="8"/>
        <color theme="1"/>
        <rFont val="Arial"/>
      </rPr>
      <t>4</t>
    </r>
    <r>
      <rPr>
        <sz val="8"/>
        <color theme="1"/>
        <rFont val="Arial"/>
      </rPr>
      <t xml:space="preserve"> Emissions (kg)</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</si>
  <si>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</si>
  <si>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</si>
  <si>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</si>
  <si>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</si>
  <si>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</si>
  <si>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</si>
  <si>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</si>
  <si>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</si>
  <si>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</si>
  <si>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CH</t>
    </r>
    <r>
      <rPr>
        <vertAlign val="subscript"/>
        <sz val="8"/>
        <color theme="1"/>
        <rFont val="Arial"/>
      </rPr>
      <t>4</t>
    </r>
    <r>
      <rPr>
        <sz val="8"/>
        <color theme="1"/>
        <rFont val="Arial"/>
      </rPr>
      <t xml:space="preserve"> Emissions (short tons)</t>
    </r>
  </si>
  <si>
    <r>
      <rPr>
        <sz val="8"/>
        <color theme="1"/>
        <rFont val="Arial"/>
      </rPr>
      <t>N</t>
    </r>
    <r>
      <rPr>
        <vertAlign val="subscript"/>
        <sz val="8"/>
        <color theme="1"/>
        <rFont val="Arial"/>
      </rPr>
      <t>2</t>
    </r>
    <r>
      <rPr>
        <sz val="8"/>
        <color theme="1"/>
        <rFont val="Arial"/>
      </rPr>
      <t>O Emission Factor (kg/mmbtu)</t>
    </r>
  </si>
  <si>
    <r>
      <rPr>
        <sz val="8"/>
        <color theme="1"/>
        <rFont val="Arial"/>
      </rPr>
      <t>N</t>
    </r>
    <r>
      <rPr>
        <vertAlign val="subscript"/>
        <sz val="8"/>
        <color theme="1"/>
        <rFont val="Arial"/>
      </rPr>
      <t>2</t>
    </r>
    <r>
      <rPr>
        <sz val="8"/>
        <color theme="1"/>
        <rFont val="Arial"/>
      </rPr>
      <t>O Emission Factor (kg/mmbtu)</t>
    </r>
  </si>
  <si>
    <r>
      <rPr>
        <sz val="8"/>
        <color theme="1"/>
        <rFont val="Arial"/>
      </rPr>
      <t>N</t>
    </r>
    <r>
      <rPr>
        <vertAlign val="subscript"/>
        <sz val="8"/>
        <color theme="1"/>
        <rFont val="Arial"/>
      </rPr>
      <t>2</t>
    </r>
    <r>
      <rPr>
        <sz val="8"/>
        <color theme="1"/>
        <rFont val="Arial"/>
      </rPr>
      <t>O Emission Factor (kg/mmbtu)</t>
    </r>
  </si>
  <si>
    <r>
      <rPr>
        <sz val="8"/>
        <color theme="1"/>
        <rFont val="Arial"/>
      </rPr>
      <t>N</t>
    </r>
    <r>
      <rPr>
        <vertAlign val="subscript"/>
        <sz val="8"/>
        <color theme="1"/>
        <rFont val="Arial"/>
      </rPr>
      <t>2</t>
    </r>
    <r>
      <rPr>
        <sz val="8"/>
        <color theme="1"/>
        <rFont val="Arial"/>
      </rPr>
      <t>O Emission Factor (kg/mmbtu)</t>
    </r>
  </si>
  <si>
    <r>
      <rPr>
        <sz val="8"/>
        <color theme="1"/>
        <rFont val="Arial"/>
      </rPr>
      <t>N</t>
    </r>
    <r>
      <rPr>
        <vertAlign val="subscript"/>
        <sz val="8"/>
        <color theme="1"/>
        <rFont val="Arial"/>
      </rPr>
      <t>2</t>
    </r>
    <r>
      <rPr>
        <sz val="8"/>
        <color theme="1"/>
        <rFont val="Arial"/>
      </rPr>
      <t>O Emission Factor (kg/mmbtu)</t>
    </r>
  </si>
  <si>
    <r>
      <rPr>
        <sz val="8"/>
        <color theme="1"/>
        <rFont val="Arial"/>
      </rPr>
      <t>N</t>
    </r>
    <r>
      <rPr>
        <vertAlign val="subscript"/>
        <sz val="8"/>
        <color theme="1"/>
        <rFont val="Arial"/>
      </rPr>
      <t>2</t>
    </r>
    <r>
      <rPr>
        <sz val="8"/>
        <color theme="1"/>
        <rFont val="Arial"/>
      </rPr>
      <t>O Emissions (kg)</t>
    </r>
  </si>
  <si>
    <r>
      <rPr>
        <sz val="8"/>
        <color theme="1"/>
        <rFont val="Arial"/>
      </rPr>
      <t>N</t>
    </r>
    <r>
      <rPr>
        <vertAlign val="subscript"/>
        <sz val="8"/>
        <color theme="1"/>
        <rFont val="Arial"/>
      </rPr>
      <t>2</t>
    </r>
    <r>
      <rPr>
        <sz val="8"/>
        <color theme="1"/>
        <rFont val="Arial"/>
      </rPr>
      <t>O Emissions (kg)</t>
    </r>
  </si>
  <si>
    <r>
      <rPr>
        <sz val="8"/>
        <color theme="1"/>
        <rFont val="Arial"/>
      </rPr>
      <t>N</t>
    </r>
    <r>
      <rPr>
        <vertAlign val="subscript"/>
        <sz val="8"/>
        <color theme="1"/>
        <rFont val="Arial"/>
      </rPr>
      <t>2</t>
    </r>
    <r>
      <rPr>
        <sz val="8"/>
        <color theme="1"/>
        <rFont val="Arial"/>
      </rPr>
      <t>O Emissions (kg)</t>
    </r>
  </si>
  <si>
    <r>
      <rPr>
        <sz val="8"/>
        <color theme="1"/>
        <rFont val="Arial"/>
      </rPr>
      <t>N</t>
    </r>
    <r>
      <rPr>
        <vertAlign val="subscript"/>
        <sz val="8"/>
        <color theme="1"/>
        <rFont val="Arial"/>
      </rPr>
      <t>2</t>
    </r>
    <r>
      <rPr>
        <sz val="8"/>
        <color theme="1"/>
        <rFont val="Arial"/>
      </rPr>
      <t>O Emissions (kg)</t>
    </r>
  </si>
  <si>
    <r>
      <rPr>
        <sz val="8"/>
        <color theme="1"/>
        <rFont val="Arial"/>
      </rPr>
      <t>N</t>
    </r>
    <r>
      <rPr>
        <vertAlign val="subscript"/>
        <sz val="8"/>
        <color theme="1"/>
        <rFont val="Arial"/>
      </rPr>
      <t>2</t>
    </r>
    <r>
      <rPr>
        <sz val="8"/>
        <color theme="1"/>
        <rFont val="Arial"/>
      </rPr>
      <t>O Emissions (kg)</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</si>
  <si>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</si>
  <si>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</si>
  <si>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</si>
  <si>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</si>
  <si>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</si>
  <si>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</si>
  <si>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</si>
  <si>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</si>
  <si>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</si>
  <si>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r>
      <rPr>
        <sz val="8"/>
        <color theme="1"/>
        <rFont val="Arial"/>
      </rPr>
      <t>N</t>
    </r>
    <r>
      <rPr>
        <vertAlign val="subscript"/>
        <sz val="8"/>
        <color theme="1"/>
        <rFont val="Arial"/>
      </rPr>
      <t>2</t>
    </r>
    <r>
      <rPr>
        <sz val="8"/>
        <color theme="1"/>
        <rFont val="Arial"/>
      </rPr>
      <t>O Emissions (short tons)</t>
    </r>
  </si>
  <si>
    <t>Table C-1 and C-2 Data</t>
  </si>
  <si>
    <t>MSW</t>
  </si>
  <si>
    <t>NG</t>
  </si>
  <si>
    <r>
      <rPr>
        <sz val="8"/>
        <color theme="1"/>
        <rFont val="Arial"/>
      </rPr>
      <t>CO</t>
    </r>
    <r>
      <rPr>
        <vertAlign val="subscript"/>
        <sz val="8"/>
        <color theme="1"/>
        <rFont val="Arial"/>
      </rPr>
      <t>2</t>
    </r>
    <r>
      <rPr>
        <sz val="8"/>
        <color theme="1"/>
        <rFont val="Arial"/>
      </rPr>
      <t xml:space="preserve"> EF</t>
    </r>
  </si>
  <si>
    <r>
      <rPr>
        <sz val="8"/>
        <color theme="1"/>
        <rFont val="Arial"/>
      </rPr>
      <t>kg CO</t>
    </r>
    <r>
      <rPr>
        <vertAlign val="subscript"/>
        <sz val="8"/>
        <color theme="1"/>
        <rFont val="Arial"/>
      </rPr>
      <t>2</t>
    </r>
    <r>
      <rPr>
        <sz val="8"/>
        <color theme="1"/>
        <rFont val="Arial"/>
      </rPr>
      <t>/MMBTU</t>
    </r>
  </si>
  <si>
    <r>
      <rPr>
        <sz val="8"/>
        <color theme="1"/>
        <rFont val="Arial"/>
      </rPr>
      <t>CH</t>
    </r>
    <r>
      <rPr>
        <vertAlign val="subscript"/>
        <sz val="8"/>
        <color theme="1"/>
        <rFont val="Arial"/>
      </rPr>
      <t>4</t>
    </r>
    <r>
      <rPr>
        <sz val="8"/>
        <color theme="1"/>
        <rFont val="Arial"/>
      </rPr>
      <t xml:space="preserve"> EF</t>
    </r>
  </si>
  <si>
    <r>
      <rPr>
        <sz val="8"/>
        <color theme="1"/>
        <rFont val="Arial"/>
      </rPr>
      <t>kg CH</t>
    </r>
    <r>
      <rPr>
        <vertAlign val="subscript"/>
        <sz val="8"/>
        <color theme="1"/>
        <rFont val="Arial"/>
      </rPr>
      <t>4</t>
    </r>
    <r>
      <rPr>
        <sz val="8"/>
        <color theme="1"/>
        <rFont val="Arial"/>
      </rPr>
      <t>/MMBTU</t>
    </r>
  </si>
  <si>
    <r>
      <rPr>
        <sz val="8"/>
        <color theme="1"/>
        <rFont val="Arial"/>
      </rPr>
      <t>N</t>
    </r>
    <r>
      <rPr>
        <vertAlign val="subscript"/>
        <sz val="8"/>
        <color theme="1"/>
        <rFont val="Arial"/>
      </rPr>
      <t>2</t>
    </r>
    <r>
      <rPr>
        <sz val="8"/>
        <color theme="1"/>
        <rFont val="Arial"/>
      </rPr>
      <t>O Ef</t>
    </r>
  </si>
  <si>
    <r>
      <rPr>
        <sz val="8"/>
        <color theme="1"/>
        <rFont val="Arial"/>
      </rPr>
      <t>kg N</t>
    </r>
    <r>
      <rPr>
        <vertAlign val="subscript"/>
        <sz val="8"/>
        <color theme="1"/>
        <rFont val="Arial"/>
      </rPr>
      <t>2</t>
    </r>
    <r>
      <rPr>
        <sz val="8"/>
        <color theme="1"/>
        <rFont val="Arial"/>
      </rPr>
      <t>O /MMBTU</t>
    </r>
  </si>
  <si>
    <t>Table A-1 Data</t>
  </si>
  <si>
    <r>
      <rPr>
        <sz val="8"/>
        <color theme="1"/>
        <rFont val="Arial"/>
      </rPr>
      <t>CO</t>
    </r>
    <r>
      <rPr>
        <vertAlign val="subscript"/>
        <sz val="8"/>
        <color theme="1"/>
        <rFont val="Arial"/>
      </rPr>
      <t>2</t>
    </r>
    <r>
      <rPr>
        <sz val="8"/>
        <color theme="1"/>
        <rFont val="Arial"/>
      </rPr>
      <t xml:space="preserve"> GWP</t>
    </r>
  </si>
  <si>
    <r>
      <rPr>
        <sz val="8"/>
        <color theme="1"/>
        <rFont val="Arial"/>
      </rPr>
      <t>CH</t>
    </r>
    <r>
      <rPr>
        <vertAlign val="subscript"/>
        <sz val="8"/>
        <color theme="1"/>
        <rFont val="Arial"/>
      </rPr>
      <t>4</t>
    </r>
    <r>
      <rPr>
        <sz val="8"/>
        <color theme="1"/>
        <rFont val="Arial"/>
      </rPr>
      <t xml:space="preserve"> GWP</t>
    </r>
  </si>
  <si>
    <r>
      <rPr>
        <sz val="8"/>
        <color theme="1"/>
        <rFont val="Arial"/>
      </rPr>
      <t>N</t>
    </r>
    <r>
      <rPr>
        <vertAlign val="subscript"/>
        <sz val="8"/>
        <color theme="1"/>
        <rFont val="Arial"/>
      </rPr>
      <t>2</t>
    </r>
    <r>
      <rPr>
        <sz val="8"/>
        <color theme="1"/>
        <rFont val="Arial"/>
      </rPr>
      <t>O GWP</t>
    </r>
  </si>
  <si>
    <t>Uncontrolled Landfills</t>
  </si>
  <si>
    <t>Flared Landfills</t>
  </si>
  <si>
    <t>LFTGE Landfills</t>
  </si>
  <si>
    <t>Facility Name</t>
  </si>
  <si>
    <t>TOTAL Landfill Capacity (Million tons)</t>
  </si>
  <si>
    <t>Correct Capacity (MegaGrams)</t>
  </si>
  <si>
    <t>Average Acceptance / Yearly Disposal (tons/yr)</t>
  </si>
  <si>
    <t>Year Opened</t>
  </si>
  <si>
    <t>Year Closed</t>
  </si>
  <si>
    <t>Flare Control Efficeincy (%)</t>
  </si>
  <si>
    <t>Amount of CH4 Flared (tons)</t>
  </si>
  <si>
    <t>Surface Oxidation %</t>
  </si>
  <si>
    <t>Amount of CH4 Removed By Oxidation (tons)</t>
  </si>
  <si>
    <t xml:space="preserve">Total methane emissions (CO2e) </t>
  </si>
  <si>
    <t>Mountainview Municipal Landfill</t>
  </si>
  <si>
    <t>Vale Summit</t>
  </si>
  <si>
    <t>Annapolis</t>
  </si>
  <si>
    <t>Fort G. Meade Municipal Landfill</t>
  </si>
  <si>
    <t>Millersville Municipal Landfill</t>
  </si>
  <si>
    <t>Sudley Road</t>
  </si>
  <si>
    <t>Solley Road</t>
  </si>
  <si>
    <t>Glen Burnie</t>
  </si>
  <si>
    <t>Quarrantine Road Municipal Landfill</t>
  </si>
  <si>
    <t>Baltimore County</t>
  </si>
  <si>
    <t>Norris Farm</t>
  </si>
  <si>
    <t>Barstow</t>
  </si>
  <si>
    <t>Midshore I Regional Landfill</t>
  </si>
  <si>
    <t>Hoods Mill</t>
  </si>
  <si>
    <t>Northern Municpal Landfill</t>
  </si>
  <si>
    <t>Cecil County Central Landfill - Hog Hill</t>
  </si>
  <si>
    <t>Charles County Municipal LF #2</t>
  </si>
  <si>
    <t>Pisgah</t>
  </si>
  <si>
    <t xml:space="preserve">Dorchester </t>
  </si>
  <si>
    <t>Beulah HE #1</t>
  </si>
  <si>
    <t>Beulah HE #2</t>
  </si>
  <si>
    <t>Fort Detrick Municipal Landfill</t>
  </si>
  <si>
    <t>Garrett County SWD&amp;RF  or  Del Signiore</t>
  </si>
  <si>
    <t>Round Glade</t>
  </si>
  <si>
    <t>Harford W.D. Center Municipal Landfill</t>
  </si>
  <si>
    <t>Oaks Landfill</t>
  </si>
  <si>
    <t>Gude</t>
  </si>
  <si>
    <t>Alpha Ridge</t>
  </si>
  <si>
    <t>Nicholson</t>
  </si>
  <si>
    <t>Brown Station Landfill A</t>
  </si>
  <si>
    <t>Brown Station Landfill B</t>
  </si>
  <si>
    <t>CDP/Sandy Hill</t>
  </si>
  <si>
    <t>Saint Andrews 1 &amp; 2 Municipal LF</t>
  </si>
  <si>
    <t>Somerset County Municipal LF or Fairmount Rd</t>
  </si>
  <si>
    <t>Westover/Ring</t>
  </si>
  <si>
    <t>Midshore II Regional Municipal LF</t>
  </si>
  <si>
    <t>Hancock Landfill</t>
  </si>
  <si>
    <t>Forty West</t>
  </si>
  <si>
    <t>Worcester County Sanitary Landfill Cells 2 &amp; 3</t>
  </si>
  <si>
    <r>
      <rPr>
        <b/>
        <sz val="10"/>
        <color theme="1"/>
        <rFont val="Arial"/>
      </rPr>
      <t>Flared CH</t>
    </r>
    <r>
      <rPr>
        <b/>
        <vertAlign val="subscript"/>
        <sz val="10"/>
        <color theme="1"/>
        <rFont val="Arial"/>
      </rPr>
      <t>4</t>
    </r>
    <r>
      <rPr>
        <b/>
        <sz val="10"/>
        <color theme="1"/>
        <rFont val="Arial"/>
      </rPr>
      <t xml:space="preserve"> (short tons)</t>
    </r>
  </si>
  <si>
    <t>Landfill Gas-to-Energy (tons)</t>
  </si>
  <si>
    <r>
      <rPr>
        <sz val="10"/>
        <color theme="1"/>
        <rFont val="Arial"/>
      </rPr>
      <t>CH</t>
    </r>
    <r>
      <rPr>
        <vertAlign val="subscript"/>
        <sz val="10"/>
        <color theme="1"/>
        <rFont val="Arial"/>
      </rPr>
      <t>4</t>
    </r>
    <r>
      <rPr>
        <sz val="10"/>
        <color theme="1"/>
        <rFont val="Arial"/>
      </rPr>
      <t xml:space="preserve"> GWP</t>
    </r>
  </si>
  <si>
    <r>
      <rPr>
        <sz val="10"/>
        <color theme="1"/>
        <rFont val="Arial"/>
      </rPr>
      <t>CH</t>
    </r>
    <r>
      <rPr>
        <vertAlign val="subscript"/>
        <sz val="10"/>
        <color theme="1"/>
        <rFont val="Arial"/>
      </rPr>
      <t>4</t>
    </r>
    <r>
      <rPr>
        <sz val="10"/>
        <color theme="1"/>
        <rFont val="Arial"/>
      </rPr>
      <t xml:space="preserve"> GWP</t>
    </r>
  </si>
  <si>
    <r>
      <rPr>
        <sz val="10"/>
        <color theme="1"/>
        <rFont val="Arial"/>
      </rPr>
      <t>CH</t>
    </r>
    <r>
      <rPr>
        <vertAlign val="subscript"/>
        <sz val="10"/>
        <color theme="1"/>
        <rFont val="Arial"/>
      </rPr>
      <t>4</t>
    </r>
    <r>
      <rPr>
        <sz val="10"/>
        <color theme="1"/>
        <rFont val="Arial"/>
      </rPr>
      <t xml:space="preserve"> GWP</t>
    </r>
  </si>
  <si>
    <r>
      <rPr>
        <b/>
        <sz val="10"/>
        <color theme="1"/>
        <rFont val="Arial"/>
      </rPr>
      <t>Flared CH</t>
    </r>
    <r>
      <rPr>
        <b/>
        <vertAlign val="subscript"/>
        <sz val="10"/>
        <color theme="1"/>
        <rFont val="Arial"/>
      </rPr>
      <t>4</t>
    </r>
    <r>
      <rPr>
        <b/>
        <sz val="10"/>
        <color theme="1"/>
        <rFont val="Arial"/>
      </rPr>
      <t xml:space="preserve"> (MTCO</t>
    </r>
    <r>
      <rPr>
        <b/>
        <vertAlign val="subscript"/>
        <sz val="10"/>
        <color theme="1"/>
        <rFont val="Arial"/>
      </rPr>
      <t>2</t>
    </r>
    <r>
      <rPr>
        <b/>
        <sz val="10"/>
        <color theme="1"/>
        <rFont val="Arial"/>
      </rPr>
      <t>E)</t>
    </r>
  </si>
  <si>
    <r>
      <rPr>
        <b/>
        <sz val="10"/>
        <color theme="1"/>
        <rFont val="Arial"/>
      </rPr>
      <t>Landfill Gas-to-Energy (MTCO</t>
    </r>
    <r>
      <rPr>
        <b/>
        <vertAlign val="subscript"/>
        <sz val="10"/>
        <color theme="1"/>
        <rFont val="Arial"/>
      </rPr>
      <t>2</t>
    </r>
    <r>
      <rPr>
        <b/>
        <sz val="10"/>
        <color theme="1"/>
        <rFont val="Arial"/>
      </rPr>
      <t>E)</t>
    </r>
  </si>
  <si>
    <r>
      <rPr>
        <b/>
        <sz val="10"/>
        <color theme="1"/>
        <rFont val="Arial"/>
      </rPr>
      <t>Landfill Gas-to-Energy (MTC</t>
    </r>
    <r>
      <rPr>
        <b/>
        <sz val="10"/>
        <color theme="1"/>
        <rFont val="Arial"/>
      </rPr>
      <t>E)</t>
    </r>
  </si>
  <si>
    <r>
      <rPr>
        <b/>
        <sz val="10"/>
        <color theme="1"/>
        <rFont val="Arial"/>
      </rPr>
      <t>Potential CH</t>
    </r>
    <r>
      <rPr>
        <b/>
        <vertAlign val="subscript"/>
        <sz val="10"/>
        <color theme="1"/>
        <rFont val="Arial"/>
      </rPr>
      <t xml:space="preserve">4 </t>
    </r>
    <r>
      <rPr>
        <b/>
        <sz val="10"/>
        <color theme="1"/>
        <rFont val="Arial"/>
      </rPr>
      <t>(MTCO</t>
    </r>
    <r>
      <rPr>
        <b/>
        <vertAlign val="subscript"/>
        <sz val="10"/>
        <color theme="1"/>
        <rFont val="Arial"/>
      </rPr>
      <t>2</t>
    </r>
    <r>
      <rPr>
        <b/>
        <sz val="10"/>
        <color theme="1"/>
        <rFont val="Arial"/>
      </rPr>
      <t>E)</t>
    </r>
  </si>
  <si>
    <r>
      <rPr>
        <b/>
        <sz val="10"/>
        <color theme="1"/>
        <rFont val="Arial"/>
      </rPr>
      <t>CH</t>
    </r>
    <r>
      <rPr>
        <b/>
        <vertAlign val="subscript"/>
        <sz val="10"/>
        <color theme="1"/>
        <rFont val="Arial"/>
      </rPr>
      <t>4</t>
    </r>
    <r>
      <rPr>
        <b/>
        <sz val="10"/>
        <color theme="1"/>
        <rFont val="Arial"/>
      </rPr>
      <t xml:space="preserve"> Avoided (MTCO</t>
    </r>
    <r>
      <rPr>
        <b/>
        <vertAlign val="subscript"/>
        <sz val="10"/>
        <color theme="1"/>
        <rFont val="Arial"/>
      </rPr>
      <t>2</t>
    </r>
    <r>
      <rPr>
        <b/>
        <sz val="10"/>
        <color theme="1"/>
        <rFont val="Arial"/>
      </rPr>
      <t>E)</t>
    </r>
  </si>
  <si>
    <t>Oxidation at MSW Landfills (tons)</t>
  </si>
  <si>
    <r>
      <rPr>
        <sz val="10"/>
        <color theme="1"/>
        <rFont val="Arial"/>
      </rPr>
      <t>CH</t>
    </r>
    <r>
      <rPr>
        <vertAlign val="subscript"/>
        <sz val="10"/>
        <color theme="1"/>
        <rFont val="Arial"/>
      </rPr>
      <t>4</t>
    </r>
    <r>
      <rPr>
        <sz val="10"/>
        <color theme="1"/>
        <rFont val="Arial"/>
      </rPr>
      <t xml:space="preserve"> GWP</t>
    </r>
  </si>
  <si>
    <r>
      <rPr>
        <b/>
        <sz val="10"/>
        <color theme="1"/>
        <rFont val="Arial"/>
      </rPr>
      <t>Potential CH</t>
    </r>
    <r>
      <rPr>
        <b/>
        <vertAlign val="subscript"/>
        <sz val="10"/>
        <color theme="1"/>
        <rFont val="Arial"/>
      </rPr>
      <t xml:space="preserve">4 </t>
    </r>
    <r>
      <rPr>
        <b/>
        <sz val="10"/>
        <color theme="1"/>
        <rFont val="Arial"/>
      </rPr>
      <t>(MTC</t>
    </r>
    <r>
      <rPr>
        <b/>
        <sz val="10"/>
        <color theme="1"/>
        <rFont val="Arial"/>
      </rPr>
      <t>E)</t>
    </r>
  </si>
  <si>
    <r>
      <rPr>
        <b/>
        <sz val="10"/>
        <color theme="1"/>
        <rFont val="Arial"/>
      </rPr>
      <t>CH</t>
    </r>
    <r>
      <rPr>
        <b/>
        <vertAlign val="subscript"/>
        <sz val="10"/>
        <color theme="1"/>
        <rFont val="Arial"/>
      </rPr>
      <t>4</t>
    </r>
    <r>
      <rPr>
        <b/>
        <sz val="10"/>
        <color theme="1"/>
        <rFont val="Arial"/>
      </rPr>
      <t xml:space="preserve"> Avoided (MTC</t>
    </r>
    <r>
      <rPr>
        <b/>
        <sz val="10"/>
        <color theme="1"/>
        <rFont val="Arial"/>
      </rPr>
      <t>E)</t>
    </r>
  </si>
  <si>
    <r>
      <rPr>
        <b/>
        <sz val="10"/>
        <color theme="1"/>
        <rFont val="Arial"/>
      </rPr>
      <t>Oxidation at MSW Landfills (MTCO</t>
    </r>
    <r>
      <rPr>
        <b/>
        <vertAlign val="subscript"/>
        <sz val="10"/>
        <color theme="1"/>
        <rFont val="Arial"/>
      </rPr>
      <t>2</t>
    </r>
    <r>
      <rPr>
        <b/>
        <sz val="10"/>
        <color theme="1"/>
        <rFont val="Arial"/>
      </rPr>
      <t>E)</t>
    </r>
  </si>
  <si>
    <r>
      <rPr>
        <b/>
        <sz val="10"/>
        <color theme="1"/>
        <rFont val="Arial"/>
      </rPr>
      <t>Oxidation at MSW Landfills (MTC</t>
    </r>
    <r>
      <rPr>
        <b/>
        <sz val="10"/>
        <color theme="1"/>
        <rFont val="Arial"/>
      </rPr>
      <t>E)</t>
    </r>
  </si>
  <si>
    <r>
      <rPr>
        <b/>
        <sz val="10"/>
        <color theme="1"/>
        <rFont val="Arial"/>
      </rPr>
      <t>Oxidation at Industrial Landfills (MTCO</t>
    </r>
    <r>
      <rPr>
        <b/>
        <vertAlign val="subscript"/>
        <sz val="10"/>
        <color theme="1"/>
        <rFont val="Arial"/>
      </rPr>
      <t>2</t>
    </r>
    <r>
      <rPr>
        <b/>
        <sz val="10"/>
        <color theme="1"/>
        <rFont val="Arial"/>
      </rPr>
      <t>E)</t>
    </r>
  </si>
  <si>
    <r>
      <rPr>
        <b/>
        <sz val="10"/>
        <color theme="1"/>
        <rFont val="Arial"/>
      </rPr>
      <t>Oxidation at Industrial Landfills (MTC</t>
    </r>
    <r>
      <rPr>
        <b/>
        <sz val="10"/>
        <color theme="1"/>
        <rFont val="Arial"/>
      </rPr>
      <t>E)</t>
    </r>
  </si>
  <si>
    <r>
      <rPr>
        <b/>
        <sz val="10"/>
        <color theme="1"/>
        <rFont val="Arial"/>
      </rPr>
      <t>Net Total CH</t>
    </r>
    <r>
      <rPr>
        <b/>
        <vertAlign val="subscript"/>
        <sz val="10"/>
        <color theme="1"/>
        <rFont val="Arial"/>
      </rPr>
      <t>4</t>
    </r>
    <r>
      <rPr>
        <b/>
        <sz val="10"/>
        <color theme="1"/>
        <rFont val="Arial"/>
      </rPr>
      <t xml:space="preserve"> Emissions (MTCO</t>
    </r>
    <r>
      <rPr>
        <b/>
        <vertAlign val="subscript"/>
        <sz val="10"/>
        <color theme="1"/>
        <rFont val="Arial"/>
      </rPr>
      <t>2</t>
    </r>
    <r>
      <rPr>
        <b/>
        <sz val="10"/>
        <color theme="1"/>
        <rFont val="Arial"/>
      </rPr>
      <t>E)</t>
    </r>
  </si>
  <si>
    <t>CO2 Emission from (Flaring + LFGTE+Boiler ) (MMTCO2E)</t>
  </si>
  <si>
    <t>Total CO2 Emissions from Landfill (CO2 Generated + CO2 from Flares) (MMTCO2E)</t>
  </si>
  <si>
    <r>
      <rPr>
        <b/>
        <sz val="10"/>
        <color rgb="FFFF0000"/>
        <rFont val="Arial"/>
      </rPr>
      <t>Total CH</t>
    </r>
    <r>
      <rPr>
        <b/>
        <vertAlign val="subscript"/>
        <sz val="10"/>
        <color rgb="FFFF0000"/>
        <rFont val="Arial"/>
      </rPr>
      <t>4</t>
    </r>
    <r>
      <rPr>
        <b/>
        <sz val="10"/>
        <color rgb="FFFF0000"/>
        <rFont val="Arial"/>
      </rPr>
      <t xml:space="preserve"> Emissions (MMTCO</t>
    </r>
    <r>
      <rPr>
        <b/>
        <vertAlign val="subscript"/>
        <sz val="10"/>
        <color rgb="FFFF0000"/>
        <rFont val="Arial"/>
      </rPr>
      <t>2</t>
    </r>
    <r>
      <rPr>
        <b/>
        <sz val="10"/>
        <color rgb="FFFF0000"/>
        <rFont val="Arial"/>
      </rPr>
      <t>E)</t>
    </r>
  </si>
  <si>
    <r>
      <rPr>
        <sz val="11"/>
        <color theme="1"/>
        <rFont val="Calibri"/>
      </rPr>
      <t>CO</t>
    </r>
    <r>
      <rPr>
        <vertAlign val="subscript"/>
        <sz val="11"/>
        <color theme="1"/>
        <rFont val="Calibri"/>
      </rPr>
      <t>2</t>
    </r>
    <r>
      <rPr>
        <sz val="11"/>
        <color theme="1"/>
        <rFont val="Calibri"/>
      </rPr>
      <t xml:space="preserve"> molecular mass =</t>
    </r>
  </si>
  <si>
    <t>g/gmol</t>
  </si>
  <si>
    <r>
      <rPr>
        <sz val="11"/>
        <color theme="1"/>
        <rFont val="Calibri"/>
      </rPr>
      <t>CH</t>
    </r>
    <r>
      <rPr>
        <vertAlign val="subscript"/>
        <sz val="11"/>
        <color theme="1"/>
        <rFont val="Calibri"/>
      </rPr>
      <t>4</t>
    </r>
    <r>
      <rPr>
        <sz val="11"/>
        <color theme="1"/>
        <rFont val="Calibri"/>
      </rPr>
      <t xml:space="preserve"> molecular mass =</t>
    </r>
  </si>
  <si>
    <t>Universal Gas Constant =</t>
  </si>
  <si>
    <r>
      <rPr>
        <sz val="11"/>
        <color theme="1"/>
        <rFont val="Calibri"/>
      </rPr>
      <t>m</t>
    </r>
    <r>
      <rPr>
        <vertAlign val="superscript"/>
        <sz val="11"/>
        <color theme="1"/>
        <rFont val="Calibri"/>
      </rPr>
      <t>3</t>
    </r>
    <r>
      <rPr>
        <sz val="11"/>
        <color theme="1"/>
        <rFont val="Calibri"/>
      </rPr>
      <t>-atm/gmol/K</t>
    </r>
  </si>
  <si>
    <t>Gas Temperature =</t>
  </si>
  <si>
    <r>
      <rPr>
        <vertAlign val="superscript"/>
        <sz val="11"/>
        <color theme="1"/>
        <rFont val="Calibri"/>
      </rPr>
      <t>o</t>
    </r>
    <r>
      <rPr>
        <sz val="11"/>
        <color theme="1"/>
        <rFont val="Calibri"/>
      </rPr>
      <t>C</t>
    </r>
  </si>
  <si>
    <r>
      <rPr>
        <vertAlign val="superscript"/>
        <sz val="11"/>
        <color theme="1"/>
        <rFont val="Calibri"/>
      </rPr>
      <t>o</t>
    </r>
    <r>
      <rPr>
        <sz val="11"/>
        <color theme="1"/>
        <rFont val="Calibri"/>
      </rPr>
      <t>K</t>
    </r>
  </si>
  <si>
    <t>grams x 1.1023E-06 = short tons</t>
  </si>
  <si>
    <t>1 short ton = (lb *2,000)</t>
  </si>
  <si>
    <t>Pressure =</t>
  </si>
  <si>
    <t>atm</t>
  </si>
  <si>
    <r>
      <rPr>
        <sz val="11"/>
        <color theme="1"/>
        <rFont val="Calibri"/>
      </rPr>
      <t>Standard CH</t>
    </r>
    <r>
      <rPr>
        <vertAlign val="subscript"/>
        <sz val="11"/>
        <color theme="1"/>
        <rFont val="Calibri"/>
      </rPr>
      <t>4</t>
    </r>
    <r>
      <rPr>
        <sz val="11"/>
        <color theme="1"/>
        <rFont val="Calibri"/>
      </rPr>
      <t xml:space="preserve"> Heat Content =</t>
    </r>
  </si>
  <si>
    <r>
      <rPr>
        <sz val="11"/>
        <color theme="1"/>
        <rFont val="Calibri"/>
      </rPr>
      <t>AP-42 CH</t>
    </r>
    <r>
      <rPr>
        <vertAlign val="subscript"/>
        <sz val="11"/>
        <color theme="1"/>
        <rFont val="Calibri"/>
      </rPr>
      <t>4</t>
    </r>
    <r>
      <rPr>
        <sz val="11"/>
        <color theme="1"/>
        <rFont val="Calibri"/>
      </rPr>
      <t xml:space="preserve"> Destruction Efficiency =</t>
    </r>
  </si>
  <si>
    <t>AP-42 CH4 Destruction Efficiency -Boilers =</t>
  </si>
  <si>
    <t>AP -42 CH4 Destruction Efficiency- LFGTE =</t>
  </si>
  <si>
    <r>
      <rPr>
        <sz val="11"/>
        <color theme="1"/>
        <rFont val="Calibri"/>
      </rPr>
      <t>AP-42 CH</t>
    </r>
    <r>
      <rPr>
        <vertAlign val="subscript"/>
        <sz val="11"/>
        <color theme="1"/>
        <rFont val="Calibri"/>
      </rPr>
      <t>4</t>
    </r>
    <r>
      <rPr>
        <sz val="11"/>
        <color theme="1"/>
        <rFont val="Calibri"/>
      </rPr>
      <t xml:space="preserve"> Emission Factor =</t>
    </r>
  </si>
  <si>
    <t>lb/MMBTU</t>
  </si>
  <si>
    <r>
      <rPr>
        <b/>
        <sz val="11"/>
        <color theme="1"/>
        <rFont val="Calibri"/>
      </rPr>
      <t>Site-Specific CH</t>
    </r>
    <r>
      <rPr>
        <b/>
        <vertAlign val="subscript"/>
        <sz val="11"/>
        <color theme="1"/>
        <rFont val="Calibri"/>
      </rPr>
      <t>4</t>
    </r>
    <r>
      <rPr>
        <b/>
        <sz val="11"/>
        <color theme="1"/>
        <rFont val="Calibri"/>
      </rPr>
      <t xml:space="preserve"> Content (%)</t>
    </r>
  </si>
  <si>
    <r>
      <rPr>
        <b/>
        <sz val="11"/>
        <color theme="1"/>
        <rFont val="Calibri"/>
      </rPr>
      <t>Site-Specific CO</t>
    </r>
    <r>
      <rPr>
        <b/>
        <vertAlign val="subscript"/>
        <sz val="11"/>
        <color theme="1"/>
        <rFont val="Calibri"/>
      </rPr>
      <t>2</t>
    </r>
    <r>
      <rPr>
        <b/>
        <sz val="11"/>
        <color theme="1"/>
        <rFont val="Calibri"/>
      </rPr>
      <t xml:space="preserve"> Content (%)</t>
    </r>
  </si>
  <si>
    <r>
      <rPr>
        <b/>
        <sz val="11"/>
        <color theme="1"/>
        <rFont val="Calibri"/>
      </rPr>
      <t>Site -Specific CH</t>
    </r>
    <r>
      <rPr>
        <b/>
        <vertAlign val="subscript"/>
        <sz val="11"/>
        <color theme="1"/>
        <rFont val="Calibri"/>
      </rPr>
      <t>4</t>
    </r>
    <r>
      <rPr>
        <b/>
        <sz val="11"/>
        <color theme="1"/>
        <rFont val="Calibri"/>
      </rPr>
      <t xml:space="preserve"> Flow (MM scf / yr)</t>
    </r>
  </si>
  <si>
    <r>
      <rPr>
        <b/>
        <sz val="11"/>
        <color rgb="FF008000"/>
        <rFont val="Calibri"/>
      </rPr>
      <t>CH</t>
    </r>
    <r>
      <rPr>
        <b/>
        <vertAlign val="subscript"/>
        <sz val="11"/>
        <color rgb="FF008000"/>
        <rFont val="Calibri"/>
      </rPr>
      <t>4</t>
    </r>
    <r>
      <rPr>
        <b/>
        <sz val="11"/>
        <color rgb="FF008000"/>
        <rFont val="Calibri"/>
      </rPr>
      <t xml:space="preserve"> Generation Rate (MM scf/yr)- LandGEM </t>
    </r>
  </si>
  <si>
    <t>Ave. LFG Collection Efficiency</t>
  </si>
  <si>
    <r>
      <rPr>
        <b/>
        <sz val="11"/>
        <color rgb="FFFF6600"/>
        <rFont val="Calibri"/>
      </rPr>
      <t xml:space="preserve"> CO</t>
    </r>
    <r>
      <rPr>
        <b/>
        <vertAlign val="subscript"/>
        <sz val="11"/>
        <color rgb="FFFF6600"/>
        <rFont val="Calibri"/>
      </rPr>
      <t>2</t>
    </r>
    <r>
      <rPr>
        <b/>
        <sz val="11"/>
        <color rgb="FFFF6600"/>
        <rFont val="Calibri"/>
      </rPr>
      <t xml:space="preserve"> Emissions from LFG Burnt in Flares (tons)</t>
    </r>
  </si>
  <si>
    <r>
      <rPr>
        <b/>
        <sz val="11"/>
        <color rgb="FF808080"/>
        <rFont val="Calibri"/>
      </rPr>
      <t xml:space="preserve"> CO</t>
    </r>
    <r>
      <rPr>
        <b/>
        <vertAlign val="subscript"/>
        <sz val="11"/>
        <color rgb="FF808080"/>
        <rFont val="Calibri"/>
      </rPr>
      <t>2</t>
    </r>
    <r>
      <rPr>
        <b/>
        <sz val="11"/>
        <color rgb="FF808080"/>
        <rFont val="Calibri"/>
      </rPr>
      <t xml:space="preserve"> Emissions from LFG Burnt in Boilers (tons)</t>
    </r>
  </si>
  <si>
    <r>
      <rPr>
        <b/>
        <sz val="11"/>
        <color rgb="FFFF0000"/>
        <rFont val="Calibri"/>
      </rPr>
      <t xml:space="preserve"> CO</t>
    </r>
    <r>
      <rPr>
        <b/>
        <vertAlign val="subscript"/>
        <sz val="11"/>
        <color rgb="FFFF0000"/>
        <rFont val="Calibri"/>
      </rPr>
      <t>2</t>
    </r>
    <r>
      <rPr>
        <b/>
        <sz val="11"/>
        <color rgb="FFFF0000"/>
        <rFont val="Calibri"/>
      </rPr>
      <t xml:space="preserve"> Emissions from LFG Burnt at LFGTE</t>
    </r>
  </si>
  <si>
    <r>
      <rPr>
        <b/>
        <sz val="11"/>
        <color rgb="FF993300"/>
        <rFont val="Calibri"/>
      </rPr>
      <t>Fugitive CH</t>
    </r>
    <r>
      <rPr>
        <b/>
        <vertAlign val="subscript"/>
        <sz val="11"/>
        <color rgb="FF993300"/>
        <rFont val="Calibri"/>
      </rPr>
      <t>4</t>
    </r>
    <r>
      <rPr>
        <b/>
        <sz val="11"/>
        <color rgb="FF993300"/>
        <rFont val="Calibri"/>
      </rPr>
      <t xml:space="preserve"> Emissions from Landfill (tons)</t>
    </r>
  </si>
  <si>
    <r>
      <rPr>
        <b/>
        <sz val="11"/>
        <color theme="1"/>
        <rFont val="Calibri"/>
      </rPr>
      <t xml:space="preserve"> CH</t>
    </r>
    <r>
      <rPr>
        <b/>
        <vertAlign val="subscript"/>
        <sz val="11"/>
        <color theme="1"/>
        <rFont val="Calibri"/>
      </rPr>
      <t>4</t>
    </r>
    <r>
      <rPr>
        <b/>
        <sz val="11"/>
        <color theme="1"/>
        <rFont val="Calibri"/>
      </rPr>
      <t xml:space="preserve"> Emissions from LFG Burnt in Flares (tons)</t>
    </r>
  </si>
  <si>
    <r>
      <rPr>
        <b/>
        <sz val="11"/>
        <color theme="1"/>
        <rFont val="Calibri"/>
      </rPr>
      <t xml:space="preserve"> CH</t>
    </r>
    <r>
      <rPr>
        <b/>
        <vertAlign val="subscript"/>
        <sz val="11"/>
        <color theme="1"/>
        <rFont val="Calibri"/>
      </rPr>
      <t>4</t>
    </r>
    <r>
      <rPr>
        <b/>
        <sz val="11"/>
        <color theme="1"/>
        <rFont val="Calibri"/>
      </rPr>
      <t xml:space="preserve"> Emissions from LFG Burnt in Utility Boilers (tons)</t>
    </r>
  </si>
  <si>
    <r>
      <rPr>
        <b/>
        <sz val="11"/>
        <color theme="1"/>
        <rFont val="Calibri"/>
      </rPr>
      <t xml:space="preserve"> CH</t>
    </r>
    <r>
      <rPr>
        <b/>
        <vertAlign val="subscript"/>
        <sz val="11"/>
        <color theme="1"/>
        <rFont val="Calibri"/>
      </rPr>
      <t>4</t>
    </r>
    <r>
      <rPr>
        <b/>
        <sz val="11"/>
        <color theme="1"/>
        <rFont val="Calibri"/>
      </rPr>
      <t xml:space="preserve"> Emissions from LFG Burnt at LFGTE Plant</t>
    </r>
  </si>
  <si>
    <t>Flares</t>
  </si>
  <si>
    <t>Boilers</t>
  </si>
  <si>
    <t xml:space="preserve">LFGTE </t>
  </si>
  <si>
    <t>Brown Station</t>
  </si>
  <si>
    <t>Eastern Sanitary</t>
  </si>
  <si>
    <t>Gude Landfill</t>
  </si>
  <si>
    <t xml:space="preserve">Midshore I Regional </t>
  </si>
  <si>
    <t>Millersville Landfill</t>
  </si>
  <si>
    <t>Newland Park</t>
  </si>
  <si>
    <t>Quarantine Road</t>
  </si>
  <si>
    <t>Reich Ford</t>
  </si>
  <si>
    <t>Sandy Hill</t>
  </si>
  <si>
    <t>Beulah 2</t>
  </si>
  <si>
    <t>Mountainview</t>
  </si>
  <si>
    <t xml:space="preserve">Harford </t>
  </si>
  <si>
    <t>Cecil County</t>
  </si>
  <si>
    <t>Northern</t>
  </si>
  <si>
    <t>Worcester County Cells 2 &amp; 3</t>
  </si>
  <si>
    <t>Charles County</t>
  </si>
  <si>
    <t>Maryland Wastewater Emissions Summary</t>
  </si>
  <si>
    <t>Maryland Municipal Wastewater Methane Emissions</t>
  </si>
  <si>
    <r>
      <rPr>
        <b/>
        <sz val="10"/>
        <color theme="1"/>
        <rFont val="Calibri"/>
      </rPr>
      <t>Per Capita BOD</t>
    </r>
    <r>
      <rPr>
        <b/>
        <vertAlign val="subscript"/>
        <sz val="10"/>
        <color theme="1"/>
        <rFont val="Calibri"/>
      </rPr>
      <t xml:space="preserve">5
</t>
    </r>
    <r>
      <rPr>
        <b/>
        <sz val="10"/>
        <color theme="1"/>
        <rFont val="Calibri"/>
      </rPr>
      <t>(kg/day)</t>
    </r>
  </si>
  <si>
    <t>Days per Year
(days)</t>
  </si>
  <si>
    <t>Unit Conversion
(metric tons/kg)</t>
  </si>
  <si>
    <r>
      <rPr>
        <b/>
        <sz val="10"/>
        <color theme="1"/>
        <rFont val="Calibri"/>
      </rPr>
      <t>Emission Factor
(Gg CH</t>
    </r>
    <r>
      <rPr>
        <b/>
        <vertAlign val="subscript"/>
        <sz val="10"/>
        <color theme="1"/>
        <rFont val="Calibri"/>
      </rPr>
      <t>4</t>
    </r>
    <r>
      <rPr>
        <b/>
        <sz val="10"/>
        <color theme="1"/>
        <rFont val="Calibri"/>
      </rPr>
      <t>/Gg BOD</t>
    </r>
    <r>
      <rPr>
        <b/>
        <vertAlign val="subscript"/>
        <sz val="10"/>
        <color theme="1"/>
        <rFont val="Calibri"/>
      </rPr>
      <t>5</t>
    </r>
    <r>
      <rPr>
        <b/>
        <sz val="10"/>
        <color theme="1"/>
        <rFont val="Calibri"/>
      </rPr>
      <t>)</t>
    </r>
  </si>
  <si>
    <r>
      <rPr>
        <b/>
        <sz val="10"/>
        <color theme="1"/>
        <rFont val="Calibri"/>
      </rPr>
      <t>WW BOD</t>
    </r>
    <r>
      <rPr>
        <b/>
        <vertAlign val="subscript"/>
        <sz val="10"/>
        <color theme="1"/>
        <rFont val="Calibri"/>
      </rPr>
      <t>5</t>
    </r>
    <r>
      <rPr>
        <b/>
        <sz val="10"/>
        <color theme="1"/>
        <rFont val="Calibri"/>
      </rPr>
      <t xml:space="preserve"> anaerobically digested
(percent)</t>
    </r>
  </si>
  <si>
    <r>
      <rPr>
        <b/>
        <sz val="10"/>
        <color theme="1"/>
        <rFont val="Calibri"/>
      </rPr>
      <t>Emissions
(metric tons CH</t>
    </r>
    <r>
      <rPr>
        <b/>
        <vertAlign val="subscript"/>
        <sz val="10"/>
        <color theme="1"/>
        <rFont val="Calibri"/>
      </rPr>
      <t>4</t>
    </r>
    <r>
      <rPr>
        <b/>
        <sz val="10"/>
        <color theme="1"/>
        <rFont val="Calibri"/>
      </rPr>
      <t>)</t>
    </r>
  </si>
  <si>
    <r>
      <rPr>
        <b/>
        <sz val="10"/>
        <color theme="1"/>
        <rFont val="Calibri"/>
      </rPr>
      <t>CH</t>
    </r>
    <r>
      <rPr>
        <b/>
        <vertAlign val="subscript"/>
        <sz val="10"/>
        <color theme="1"/>
        <rFont val="Calibri"/>
      </rPr>
      <t xml:space="preserve">4 </t>
    </r>
    <r>
      <rPr>
        <b/>
        <sz val="10"/>
        <color theme="1"/>
        <rFont val="Calibri"/>
      </rPr>
      <t>GWP
(CO</t>
    </r>
    <r>
      <rPr>
        <b/>
        <vertAlign val="subscript"/>
        <sz val="10"/>
        <color theme="1"/>
        <rFont val="Calibri"/>
      </rPr>
      <t>2</t>
    </r>
    <r>
      <rPr>
        <b/>
        <sz val="10"/>
        <color theme="1"/>
        <rFont val="Calibri"/>
      </rPr>
      <t xml:space="preserve"> Eq.)</t>
    </r>
  </si>
  <si>
    <t>Unit Conversion
(MMT/MT)</t>
  </si>
  <si>
    <r>
      <rPr>
        <b/>
        <sz val="10"/>
        <color theme="1"/>
        <rFont val="Calibri"/>
      </rPr>
      <t>C/CO</t>
    </r>
    <r>
      <rPr>
        <b/>
        <vertAlign val="subscript"/>
        <sz val="10"/>
        <color theme="1"/>
        <rFont val="Calibri"/>
      </rPr>
      <t>2</t>
    </r>
  </si>
  <si>
    <r>
      <rPr>
        <b/>
        <sz val="10"/>
        <color theme="1"/>
        <rFont val="Calibri"/>
      </rPr>
      <t>Emissions
(MMTCO</t>
    </r>
    <r>
      <rPr>
        <b/>
        <vertAlign val="subscript"/>
        <sz val="10"/>
        <color theme="1"/>
        <rFont val="Calibri"/>
      </rPr>
      <t>2</t>
    </r>
    <r>
      <rPr>
        <b/>
        <sz val="10"/>
        <color theme="1"/>
        <rFont val="Calibri"/>
      </rPr>
      <t>E)</t>
    </r>
  </si>
  <si>
    <t>Maryland Direct Nitrous Oxide Emissions from Municipal Wastewater Treatment</t>
  </si>
  <si>
    <t>Fraction of Population not on Septic</t>
  </si>
  <si>
    <r>
      <rPr>
        <b/>
        <sz val="10"/>
        <color theme="1"/>
        <rFont val="Calibri"/>
      </rPr>
      <t>Direct N</t>
    </r>
    <r>
      <rPr>
        <b/>
        <vertAlign val="subscript"/>
        <sz val="10"/>
        <color theme="1"/>
        <rFont val="Calibri"/>
      </rPr>
      <t>2</t>
    </r>
    <r>
      <rPr>
        <b/>
        <sz val="10"/>
        <color theme="1"/>
        <rFont val="Calibri"/>
      </rPr>
      <t>O Emissions from Wastewater Treatment
 (g N</t>
    </r>
    <r>
      <rPr>
        <b/>
        <vertAlign val="subscript"/>
        <sz val="10"/>
        <color theme="1"/>
        <rFont val="Calibri"/>
      </rPr>
      <t>2</t>
    </r>
    <r>
      <rPr>
        <b/>
        <sz val="10"/>
        <color theme="1"/>
        <rFont val="Calibri"/>
      </rPr>
      <t>O/person/year)</t>
    </r>
  </si>
  <si>
    <t>Unit Conversion
(g/metric ton)</t>
  </si>
  <si>
    <r>
      <rPr>
        <b/>
        <sz val="10"/>
        <color theme="1"/>
        <rFont val="Calibri"/>
      </rPr>
      <t>Emissions
(Metric Tons N</t>
    </r>
    <r>
      <rPr>
        <b/>
        <vertAlign val="subscript"/>
        <sz val="10"/>
        <color theme="1"/>
        <rFont val="Calibri"/>
      </rPr>
      <t>2</t>
    </r>
    <r>
      <rPr>
        <b/>
        <sz val="10"/>
        <color theme="1"/>
        <rFont val="Calibri"/>
      </rPr>
      <t>O)</t>
    </r>
  </si>
  <si>
    <r>
      <rPr>
        <b/>
        <sz val="10"/>
        <color theme="1"/>
        <rFont val="Calibri"/>
      </rPr>
      <t>N</t>
    </r>
    <r>
      <rPr>
        <b/>
        <vertAlign val="subscript"/>
        <sz val="10"/>
        <color theme="1"/>
        <rFont val="Calibri"/>
      </rPr>
      <t>2</t>
    </r>
    <r>
      <rPr>
        <b/>
        <sz val="10"/>
        <color theme="1"/>
        <rFont val="Calibri"/>
      </rPr>
      <t>O GWP
(CO</t>
    </r>
    <r>
      <rPr>
        <b/>
        <vertAlign val="subscript"/>
        <sz val="10"/>
        <color theme="1"/>
        <rFont val="Calibri"/>
      </rPr>
      <t>2</t>
    </r>
    <r>
      <rPr>
        <b/>
        <sz val="10"/>
        <color theme="1"/>
        <rFont val="Calibri"/>
      </rPr>
      <t xml:space="preserve"> Eq.)</t>
    </r>
  </si>
  <si>
    <t xml:space="preserve">Unit Conversion
(MMT/MT)
</t>
  </si>
  <si>
    <r>
      <rPr>
        <b/>
        <sz val="10"/>
        <color theme="1"/>
        <rFont val="Calibri"/>
      </rPr>
      <t>C/CO</t>
    </r>
    <r>
      <rPr>
        <b/>
        <vertAlign val="subscript"/>
        <sz val="10"/>
        <color theme="1"/>
        <rFont val="Calibri"/>
      </rPr>
      <t>2</t>
    </r>
  </si>
  <si>
    <r>
      <rPr>
        <b/>
        <sz val="10"/>
        <color theme="1"/>
        <rFont val="Calibri"/>
      </rPr>
      <t>Emissions
(MMTCO</t>
    </r>
    <r>
      <rPr>
        <b/>
        <vertAlign val="subscript"/>
        <sz val="10"/>
        <color theme="1"/>
        <rFont val="Calibri"/>
      </rPr>
      <t>2</t>
    </r>
    <r>
      <rPr>
        <b/>
        <sz val="10"/>
        <color theme="1"/>
        <rFont val="Calibri"/>
      </rPr>
      <t>E)</t>
    </r>
  </si>
  <si>
    <t>Maryland Effulent Nitrous Oxide Emissions from Municipal Wastewater Treatment</t>
  </si>
  <si>
    <t>Protein
(kg/ person/ year)</t>
  </si>
  <si>
    <r>
      <rPr>
        <b/>
        <sz val="10"/>
        <color theme="1"/>
        <rFont val="Comic Sans MS"/>
      </rPr>
      <t>Frac</t>
    </r>
    <r>
      <rPr>
        <b/>
        <vertAlign val="subscript"/>
        <sz val="10"/>
        <color theme="1"/>
        <rFont val="Comic Sans MS"/>
      </rPr>
      <t xml:space="preserve">NPR 
</t>
    </r>
    <r>
      <rPr>
        <b/>
        <sz val="10"/>
        <color theme="1"/>
        <rFont val="Comic Sans MS"/>
      </rPr>
      <t xml:space="preserve">(kg N/kg protein) </t>
    </r>
  </si>
  <si>
    <t>Fraction Non-Consumption N</t>
  </si>
  <si>
    <t>N in Domestic Wastewater
(metric tons)</t>
  </si>
  <si>
    <t>Direct N Emissions from Domestic Wastewater
(metric tons)</t>
  </si>
  <si>
    <t>Biosolids Available N
(metric tons)</t>
  </si>
  <si>
    <t>Percentage of Biosolids Used as Fertilizer</t>
  </si>
  <si>
    <r>
      <rPr>
        <b/>
        <sz val="10"/>
        <color theme="1"/>
        <rFont val="Comic Sans MS"/>
      </rPr>
      <t>Emission Factor
(kg N</t>
    </r>
    <r>
      <rPr>
        <b/>
        <vertAlign val="subscript"/>
        <sz val="10"/>
        <color theme="1"/>
        <rFont val="Comic Sans MS"/>
      </rPr>
      <t>2</t>
    </r>
    <r>
      <rPr>
        <b/>
        <sz val="10"/>
        <color theme="1"/>
        <rFont val="Comic Sans MS"/>
      </rPr>
      <t xml:space="preserve">O-N/ kg sewage N-produced) </t>
    </r>
  </si>
  <si>
    <r>
      <rPr>
        <b/>
        <sz val="10"/>
        <color theme="1"/>
        <rFont val="Comic Sans MS"/>
      </rPr>
      <t>N</t>
    </r>
    <r>
      <rPr>
        <b/>
        <vertAlign val="subscript"/>
        <sz val="10"/>
        <color theme="1"/>
        <rFont val="Comic Sans MS"/>
      </rPr>
      <t>2</t>
    </r>
    <r>
      <rPr>
        <b/>
        <sz val="10"/>
        <color theme="1"/>
        <rFont val="Comic Sans MS"/>
      </rPr>
      <t>O/N</t>
    </r>
    <r>
      <rPr>
        <b/>
        <vertAlign val="subscript"/>
        <sz val="10"/>
        <color theme="1"/>
        <rFont val="Comic Sans MS"/>
      </rPr>
      <t>2</t>
    </r>
  </si>
  <si>
    <r>
      <rPr>
        <b/>
        <sz val="10"/>
        <color theme="1"/>
        <rFont val="Comic Sans MS"/>
      </rPr>
      <t>Emissions 
(metric tons N</t>
    </r>
    <r>
      <rPr>
        <b/>
        <vertAlign val="subscript"/>
        <sz val="10"/>
        <color theme="1"/>
        <rFont val="Comic Sans MS"/>
      </rPr>
      <t>2</t>
    </r>
    <r>
      <rPr>
        <b/>
        <sz val="10"/>
        <color theme="1"/>
        <rFont val="Comic Sans MS"/>
      </rPr>
      <t>O)</t>
    </r>
  </si>
  <si>
    <r>
      <rPr>
        <b/>
        <sz val="10"/>
        <color theme="1"/>
        <rFont val="Comic Sans MS"/>
      </rPr>
      <t>N</t>
    </r>
    <r>
      <rPr>
        <b/>
        <vertAlign val="subscript"/>
        <sz val="10"/>
        <color theme="1"/>
        <rFont val="Comic Sans MS"/>
      </rPr>
      <t>2</t>
    </r>
    <r>
      <rPr>
        <b/>
        <sz val="10"/>
        <color theme="1"/>
        <rFont val="Comic Sans MS"/>
      </rPr>
      <t>O GWP
(CO2 Eq.)</t>
    </r>
  </si>
  <si>
    <r>
      <rPr>
        <b/>
        <sz val="10"/>
        <color theme="1"/>
        <rFont val="Comic Sans MS"/>
      </rPr>
      <t>C/CO</t>
    </r>
    <r>
      <rPr>
        <b/>
        <vertAlign val="subscript"/>
        <sz val="10"/>
        <color theme="1"/>
        <rFont val="Comic Sans MS"/>
      </rPr>
      <t>2</t>
    </r>
  </si>
  <si>
    <t>Emissions from Biosolids
(MMTCE)</t>
  </si>
  <si>
    <t>Direct Emissions
(MMTCE)</t>
  </si>
  <si>
    <t>Total Emissions
(MMTCE)</t>
  </si>
  <si>
    <t>Emission
(MMTCO2E)</t>
  </si>
  <si>
    <t>(MMT/MT)</t>
  </si>
  <si>
    <r>
      <rPr>
        <b/>
        <sz val="10"/>
        <color rgb="FF000000"/>
        <rFont val="Comic Sans MS"/>
      </rPr>
      <t>Maryland Industrial Wastewater Methane Emissions - CH</t>
    </r>
    <r>
      <rPr>
        <b/>
        <vertAlign val="subscript"/>
        <sz val="10"/>
        <color rgb="FF000000"/>
        <rFont val="Comic Sans MS"/>
      </rPr>
      <t>4</t>
    </r>
  </si>
  <si>
    <t>Production Processed</t>
  </si>
  <si>
    <t xml:space="preserve">WW Outflow </t>
  </si>
  <si>
    <t>Unit Conversion</t>
  </si>
  <si>
    <t xml:space="preserve">COD </t>
  </si>
  <si>
    <t>COD Degraded</t>
  </si>
  <si>
    <r>
      <rPr>
        <b/>
        <sz val="10"/>
        <color theme="1"/>
        <rFont val="Comic Sans MS"/>
      </rPr>
      <t>CH</t>
    </r>
    <r>
      <rPr>
        <b/>
        <vertAlign val="subscript"/>
        <sz val="10"/>
        <color theme="1"/>
        <rFont val="Comic Sans MS"/>
      </rPr>
      <t>4</t>
    </r>
    <r>
      <rPr>
        <b/>
        <sz val="10"/>
        <color theme="1"/>
        <rFont val="Comic Sans MS"/>
      </rPr>
      <t xml:space="preserve"> GWP</t>
    </r>
  </si>
  <si>
    <r>
      <rPr>
        <b/>
        <sz val="10"/>
        <color theme="1"/>
        <rFont val="Comic Sans MS"/>
      </rPr>
      <t>C/CO</t>
    </r>
    <r>
      <rPr>
        <b/>
        <vertAlign val="subscript"/>
        <sz val="10"/>
        <color theme="1"/>
        <rFont val="Comic Sans MS"/>
      </rPr>
      <t>2</t>
    </r>
  </si>
  <si>
    <r>
      <rPr>
        <sz val="10"/>
        <color theme="1"/>
        <rFont val="Comic Sans MS"/>
      </rPr>
      <t>(m</t>
    </r>
    <r>
      <rPr>
        <vertAlign val="superscript"/>
        <sz val="10"/>
        <color theme="1"/>
        <rFont val="Comic Sans MS"/>
      </rPr>
      <t>3</t>
    </r>
    <r>
      <rPr>
        <sz val="10"/>
        <color theme="1"/>
        <rFont val="Comic Sans MS"/>
      </rPr>
      <t>/metric ton)</t>
    </r>
  </si>
  <si>
    <r>
      <rPr>
        <sz val="10"/>
        <color theme="1"/>
        <rFont val="Comic Sans MS"/>
      </rPr>
      <t>(l/m</t>
    </r>
    <r>
      <rPr>
        <vertAlign val="superscript"/>
        <sz val="10"/>
        <color theme="1"/>
        <rFont val="Comic Sans MS"/>
      </rPr>
      <t>3</t>
    </r>
    <r>
      <rPr>
        <sz val="10"/>
        <color theme="1"/>
        <rFont val="Comic Sans MS"/>
      </rPr>
      <t>)</t>
    </r>
  </si>
  <si>
    <t>(g COD/l)</t>
  </si>
  <si>
    <r>
      <rPr>
        <sz val="10"/>
        <color theme="1"/>
        <rFont val="Comic Sans MS"/>
      </rPr>
      <t>(g CH</t>
    </r>
    <r>
      <rPr>
        <vertAlign val="subscript"/>
        <sz val="10"/>
        <color theme="1"/>
        <rFont val="Comic Sans MS"/>
      </rPr>
      <t>4</t>
    </r>
    <r>
      <rPr>
        <sz val="10"/>
        <color theme="1"/>
        <rFont val="Comic Sans MS"/>
      </rPr>
      <t>/g COD)</t>
    </r>
  </si>
  <si>
    <t>(percent)</t>
  </si>
  <si>
    <r>
      <rPr>
        <sz val="10"/>
        <color theme="1"/>
        <rFont val="Comic Sans MS"/>
      </rPr>
      <t>(g CH</t>
    </r>
    <r>
      <rPr>
        <vertAlign val="subscript"/>
        <sz val="10"/>
        <color theme="1"/>
        <rFont val="Comic Sans MS"/>
      </rPr>
      <t>4</t>
    </r>
    <r>
      <rPr>
        <sz val="10"/>
        <color theme="1"/>
        <rFont val="Comic Sans MS"/>
      </rPr>
      <t>)</t>
    </r>
  </si>
  <si>
    <t>(g/Tg)</t>
  </si>
  <si>
    <r>
      <rPr>
        <sz val="10"/>
        <color theme="1"/>
        <rFont val="Comic Sans MS"/>
      </rPr>
      <t>(Tg or MMT CH</t>
    </r>
    <r>
      <rPr>
        <vertAlign val="subscript"/>
        <sz val="10"/>
        <color theme="1"/>
        <rFont val="Comic Sans MS"/>
      </rPr>
      <t>4</t>
    </r>
    <r>
      <rPr>
        <sz val="10"/>
        <color theme="1"/>
        <rFont val="Comic Sans MS"/>
      </rPr>
      <t>)</t>
    </r>
  </si>
  <si>
    <r>
      <rPr>
        <sz val="10"/>
        <color theme="1"/>
        <rFont val="Comic Sans MS"/>
      </rPr>
      <t>(CO</t>
    </r>
    <r>
      <rPr>
        <vertAlign val="subscript"/>
        <sz val="10"/>
        <color theme="1"/>
        <rFont val="Comic Sans MS"/>
      </rPr>
      <t>2</t>
    </r>
    <r>
      <rPr>
        <sz val="10"/>
        <color theme="1"/>
        <rFont val="Comic Sans MS"/>
      </rPr>
      <t xml:space="preserve"> Eq.)</t>
    </r>
  </si>
  <si>
    <r>
      <rPr>
        <sz val="10"/>
        <color theme="1"/>
        <rFont val="Comic Sans MS"/>
      </rPr>
      <t>(MMTCO</t>
    </r>
    <r>
      <rPr>
        <vertAlign val="subscript"/>
        <sz val="10"/>
        <color theme="1"/>
        <rFont val="Comic Sans MS"/>
      </rPr>
      <t>2</t>
    </r>
    <r>
      <rPr>
        <sz val="10"/>
        <color theme="1"/>
        <rFont val="Comic Sans MS"/>
      </rPr>
      <t>E)</t>
    </r>
  </si>
  <si>
    <t>Emissions were not calculated for the following sources: Industrial fruits &amp; vegetables, Industrial poultry, and Industrial pulp &amp; paper.</t>
  </si>
  <si>
    <r>
      <rPr>
        <b/>
        <sz val="10"/>
        <color theme="1"/>
        <rFont val="Comic Sans MS"/>
      </rPr>
      <t>Emissions (MMTCO</t>
    </r>
    <r>
      <rPr>
        <b/>
        <vertAlign val="subscript"/>
        <sz val="10"/>
        <color theme="1"/>
        <rFont val="Comic Sans MS"/>
      </rPr>
      <t>2</t>
    </r>
    <r>
      <rPr>
        <b/>
        <sz val="10"/>
        <color theme="1"/>
        <rFont val="Comic Sans MS"/>
      </rPr>
      <t>E)</t>
    </r>
  </si>
  <si>
    <r>
      <rPr>
        <sz val="10"/>
        <color theme="1"/>
        <rFont val="Comic Sans MS"/>
      </rPr>
      <t>Municipal CH</t>
    </r>
    <r>
      <rPr>
        <vertAlign val="subscript"/>
        <sz val="10"/>
        <color theme="1"/>
        <rFont val="Comic Sans MS"/>
      </rPr>
      <t>4</t>
    </r>
  </si>
  <si>
    <r>
      <rPr>
        <sz val="10"/>
        <color theme="1"/>
        <rFont val="Comic Sans MS"/>
      </rPr>
      <t>Municipal N</t>
    </r>
    <r>
      <rPr>
        <vertAlign val="subscript"/>
        <sz val="10"/>
        <color theme="1"/>
        <rFont val="Comic Sans MS"/>
      </rPr>
      <t>2</t>
    </r>
    <r>
      <rPr>
        <sz val="10"/>
        <color theme="1"/>
        <rFont val="Comic Sans MS"/>
      </rPr>
      <t>O</t>
    </r>
  </si>
  <si>
    <r>
      <rPr>
        <sz val="10"/>
        <color theme="1"/>
        <rFont val="Comic Sans MS"/>
      </rPr>
      <t>Industrial CH</t>
    </r>
    <r>
      <rPr>
        <vertAlign val="subscript"/>
        <sz val="10"/>
        <color theme="1"/>
        <rFont val="Comic Sans MS"/>
      </rPr>
      <t>4</t>
    </r>
  </si>
  <si>
    <t>Fruits &amp; Vegetables</t>
  </si>
  <si>
    <t>Red Meat</t>
  </si>
  <si>
    <t>Pulp &amp; Paper</t>
  </si>
  <si>
    <t>Total Emissions</t>
  </si>
  <si>
    <t>Residential Open Burning - Leaves, Brush, MSW</t>
  </si>
  <si>
    <r>
      <rPr>
        <b/>
        <sz val="11"/>
        <color theme="1"/>
        <rFont val="Calibri"/>
      </rPr>
      <t>(MMTCO</t>
    </r>
    <r>
      <rPr>
        <b/>
        <vertAlign val="subscript"/>
        <sz val="11"/>
        <color theme="1"/>
        <rFont val="Calibri"/>
      </rPr>
      <t>2</t>
    </r>
    <r>
      <rPr>
        <b/>
        <sz val="11"/>
        <color theme="1"/>
        <rFont val="Calibri"/>
      </rPr>
      <t>E)</t>
    </r>
  </si>
  <si>
    <t>Open Burning</t>
  </si>
  <si>
    <t xml:space="preserve">Net Imported Electricity </t>
  </si>
  <si>
    <t xml:space="preserve">Wood </t>
  </si>
  <si>
    <t>Natural Gas Industry</t>
  </si>
  <si>
    <t>Oil Industry</t>
  </si>
  <si>
    <t xml:space="preserve">Limestone and Dolomite </t>
  </si>
  <si>
    <t xml:space="preserve">Soda Ash </t>
  </si>
  <si>
    <t>Iron and Steel</t>
  </si>
  <si>
    <t>Electricity Transmission and Dist.</t>
  </si>
  <si>
    <t>Ammonia and Urea Production (Nonfertilizer Usage)</t>
  </si>
  <si>
    <r>
      <t>MMTCO</t>
    </r>
    <r>
      <rPr>
        <b/>
        <vertAlign val="subscript"/>
        <sz val="11"/>
        <color rgb="FFFFFFFF"/>
        <rFont val="Calibri"/>
        <family val="2"/>
      </rPr>
      <t>2</t>
    </r>
    <r>
      <rPr>
        <b/>
        <sz val="11"/>
        <color rgb="FFFFFFFF"/>
        <rFont val="Calibri"/>
        <family val="2"/>
      </rPr>
      <t>e</t>
    </r>
  </si>
  <si>
    <r>
      <t>CO</t>
    </r>
    <r>
      <rPr>
        <vertAlign val="subscript"/>
        <sz val="11"/>
        <color theme="1"/>
        <rFont val="Calibri"/>
        <family val="2"/>
      </rPr>
      <t>2</t>
    </r>
  </si>
  <si>
    <r>
      <t>CH</t>
    </r>
    <r>
      <rPr>
        <vertAlign val="subscript"/>
        <sz val="11"/>
        <color theme="1"/>
        <rFont val="Calibri"/>
        <family val="2"/>
      </rPr>
      <t>4</t>
    </r>
  </si>
  <si>
    <r>
      <t>N</t>
    </r>
    <r>
      <rPr>
        <vertAlign val="subscript"/>
        <sz val="11"/>
        <color theme="1"/>
        <rFont val="Calibri"/>
        <family val="2"/>
      </rPr>
      <t>2</t>
    </r>
    <r>
      <rPr>
        <sz val="11"/>
        <color theme="1"/>
        <rFont val="Calibri"/>
        <family val="2"/>
      </rPr>
      <t>O</t>
    </r>
  </si>
  <si>
    <r>
      <t>HFC, PFC, SF</t>
    </r>
    <r>
      <rPr>
        <vertAlign val="subscript"/>
        <sz val="11"/>
        <color theme="1"/>
        <rFont val="Calibri"/>
        <family val="2"/>
      </rPr>
      <t>6</t>
    </r>
  </si>
  <si>
    <r>
      <t>Gross Emissions</t>
    </r>
    <r>
      <rPr>
        <sz val="11"/>
        <color theme="1"/>
        <rFont val="Calibri"/>
        <family val="2"/>
      </rPr>
      <t xml:space="preserve"> (Consumption Basis; Excludes Sinks)</t>
    </r>
  </si>
  <si>
    <r>
      <t xml:space="preserve">Net Emissions </t>
    </r>
    <r>
      <rPr>
        <sz val="11"/>
        <color theme="1"/>
        <rFont val="Calibri"/>
        <family val="2"/>
      </rPr>
      <t>(Consumption Basis; Including forestry, land use, and ag sinks)</t>
    </r>
  </si>
  <si>
    <r>
      <t>Energy Use (CO</t>
    </r>
    <r>
      <rPr>
        <vertAlign val="subscript"/>
        <sz val="11"/>
        <color theme="1"/>
        <rFont val="Calibri"/>
        <family val="2"/>
      </rPr>
      <t>2</t>
    </r>
    <r>
      <rPr>
        <sz val="11"/>
        <color theme="1"/>
        <rFont val="Calibri"/>
        <family val="2"/>
      </rPr>
      <t>, CH</t>
    </r>
    <r>
      <rPr>
        <vertAlign val="subscript"/>
        <sz val="11"/>
        <color theme="1"/>
        <rFont val="Calibri"/>
        <family val="2"/>
      </rPr>
      <t>4</t>
    </r>
    <r>
      <rPr>
        <sz val="11"/>
        <color theme="1"/>
        <rFont val="Calibri"/>
        <family val="2"/>
      </rPr>
      <t>, N</t>
    </r>
    <r>
      <rPr>
        <vertAlign val="subscript"/>
        <sz val="11"/>
        <color theme="1"/>
        <rFont val="Calibri"/>
        <family val="2"/>
      </rPr>
      <t>2</t>
    </r>
    <r>
      <rPr>
        <sz val="11"/>
        <color theme="1"/>
        <rFont val="Calibri"/>
        <family val="2"/>
      </rPr>
      <t>O)</t>
    </r>
  </si>
  <si>
    <t>Agricultural Emissions in Maryland</t>
  </si>
  <si>
    <t>2020 (20-yr)</t>
  </si>
  <si>
    <t>2020 (100-yr)</t>
  </si>
  <si>
    <t>Incinerator Emissions</t>
  </si>
  <si>
    <r>
      <t>1 m</t>
    </r>
    <r>
      <rPr>
        <vertAlign val="superscript"/>
        <sz val="11"/>
        <rFont val="Calibri"/>
        <family val="2"/>
      </rPr>
      <t>3</t>
    </r>
    <r>
      <rPr>
        <sz val="11"/>
        <rFont val="Calibri"/>
        <family val="2"/>
      </rPr>
      <t xml:space="preserve"> =35.31 ft</t>
    </r>
    <r>
      <rPr>
        <vertAlign val="superscript"/>
        <sz val="11"/>
        <rFont val="Calibri"/>
        <family val="2"/>
      </rPr>
      <t>3</t>
    </r>
  </si>
  <si>
    <t>Commercial Consumption and CO2 Emissions in Maryland</t>
  </si>
  <si>
    <t>Residential Consumption and CO2 Emissions in Maryland</t>
  </si>
  <si>
    <t>Emissions in million metric tons CO2E per Year (MMTCO2E/Yr)</t>
  </si>
  <si>
    <t>Emissions in million metric tons per Year (MMT/Yr)</t>
  </si>
  <si>
    <t>2020 MD Annual On-Road Vehicle GHG Estimates using MOVES3 Model</t>
  </si>
  <si>
    <r>
      <rPr>
        <b/>
        <sz val="11"/>
        <color rgb="FF0000FF"/>
        <rFont val="Calibri"/>
        <family val="2"/>
        <scheme val="major"/>
      </rPr>
      <t xml:space="preserve">  *</t>
    </r>
    <r>
      <rPr>
        <sz val="8"/>
        <color rgb="FF000000"/>
        <rFont val="Calibri"/>
        <family val="2"/>
        <scheme val="major"/>
      </rPr>
      <t xml:space="preserve"> Per EPA's Report 'Greenhouse Gas and Energy Consumption Rates for Onroad Vehicles in MOVES3' (EPA-420-R-20-015 November 2020)</t>
    </r>
  </si>
  <si>
    <t>VMT (million miles per year)(mMi)</t>
  </si>
  <si>
    <t>Landfill Gas to Energy Emissions</t>
  </si>
  <si>
    <t>Alpha Ridge Landfill</t>
  </si>
  <si>
    <t>Site- Specific LFG Flows (MM scf/yr)</t>
  </si>
  <si>
    <t>Total  Site-Specific LFG Collected (MM scf / yr)</t>
  </si>
  <si>
    <r>
      <t>Total Site -Specific CH4 Flow (MM scf / yr</t>
    </r>
    <r>
      <rPr>
        <b/>
        <sz val="11"/>
        <color rgb="FF00CCFF"/>
        <rFont val="Calibri"/>
      </rPr>
      <t>)</t>
    </r>
  </si>
  <si>
    <t>Site -Specific CH4 Flow (short tons/yr)</t>
  </si>
  <si>
    <t>Fugitive CO2 Emissions from Landfill (m3/yr)</t>
  </si>
  <si>
    <t>Fugitive CO2 Emissions from Landfill (tons/yr)</t>
  </si>
  <si>
    <t>Landfill Emissions</t>
  </si>
  <si>
    <t>Average Acceptance / Yearly Disposal (Mg/yr)</t>
  </si>
  <si>
    <t xml:space="preserve">Total CH4 Emission, tons </t>
  </si>
  <si>
    <t>Total GHG Emissions (tons)</t>
  </si>
  <si>
    <r>
      <t>CO</t>
    </r>
    <r>
      <rPr>
        <b/>
        <vertAlign val="subscript"/>
        <sz val="9"/>
        <rFont val="Arial"/>
        <family val="2"/>
      </rPr>
      <t>2</t>
    </r>
    <r>
      <rPr>
        <b/>
        <sz val="9"/>
        <rFont val="Arial"/>
        <family val="2"/>
      </rPr>
      <t xml:space="preserve"> Generation (short tons) LandGEM 3.0</t>
    </r>
  </si>
  <si>
    <r>
      <t>CH</t>
    </r>
    <r>
      <rPr>
        <b/>
        <vertAlign val="subscript"/>
        <sz val="9"/>
        <rFont val="Arial"/>
        <family val="2"/>
      </rPr>
      <t>4</t>
    </r>
    <r>
      <rPr>
        <b/>
        <sz val="9"/>
        <rFont val="Arial"/>
        <family val="2"/>
      </rPr>
      <t xml:space="preserve"> Generation (short tons/yr) LandGEM 3.0</t>
    </r>
  </si>
  <si>
    <r>
      <t>CH</t>
    </r>
    <r>
      <rPr>
        <b/>
        <vertAlign val="subscript"/>
        <sz val="9"/>
        <rFont val="Arial"/>
        <family val="2"/>
      </rPr>
      <t>4</t>
    </r>
    <r>
      <rPr>
        <b/>
        <sz val="9"/>
        <rFont val="Arial"/>
        <family val="2"/>
      </rPr>
      <t xml:space="preserve"> Collection Efficiency (%)</t>
    </r>
  </si>
  <si>
    <r>
      <t>CH</t>
    </r>
    <r>
      <rPr>
        <b/>
        <vertAlign val="subscript"/>
        <sz val="9"/>
        <rFont val="Arial"/>
        <family val="2"/>
      </rPr>
      <t>4</t>
    </r>
    <r>
      <rPr>
        <b/>
        <sz val="9"/>
        <rFont val="Arial"/>
        <family val="2"/>
      </rPr>
      <t xml:space="preserve"> Collected (tons)</t>
    </r>
  </si>
  <si>
    <r>
      <t>CO</t>
    </r>
    <r>
      <rPr>
        <b/>
        <vertAlign val="subscript"/>
        <sz val="9"/>
        <rFont val="Arial"/>
        <family val="2"/>
      </rPr>
      <t>2</t>
    </r>
    <r>
      <rPr>
        <b/>
        <sz val="9"/>
        <rFont val="Arial"/>
        <family val="2"/>
      </rPr>
      <t xml:space="preserve"> Generated from CH4 Combustion, tons</t>
    </r>
  </si>
  <si>
    <r>
      <t>Uncombusted CH</t>
    </r>
    <r>
      <rPr>
        <b/>
        <vertAlign val="subscript"/>
        <sz val="9"/>
        <rFont val="Arial"/>
        <family val="2"/>
      </rPr>
      <t xml:space="preserve">4 </t>
    </r>
    <r>
      <rPr>
        <b/>
        <sz val="9"/>
        <rFont val="Arial"/>
        <family val="2"/>
      </rPr>
      <t xml:space="preserve"> (Flare Emission, tons)  </t>
    </r>
  </si>
  <si>
    <r>
      <t>Uncollected Landfill CH</t>
    </r>
    <r>
      <rPr>
        <b/>
        <vertAlign val="subscript"/>
        <sz val="9"/>
        <rFont val="Arial"/>
        <family val="2"/>
      </rPr>
      <t>4</t>
    </r>
  </si>
  <si>
    <r>
      <t>Fugitive Landfill CH</t>
    </r>
    <r>
      <rPr>
        <b/>
        <vertAlign val="subscript"/>
        <sz val="9"/>
        <rFont val="Arial"/>
        <family val="2"/>
      </rPr>
      <t>4</t>
    </r>
    <r>
      <rPr>
        <b/>
        <sz val="9"/>
        <rFont val="Arial"/>
        <family val="2"/>
      </rPr>
      <t xml:space="preserve"> Emission (tons)</t>
    </r>
  </si>
  <si>
    <t>Reich's Ford Site B-Cell 3 Municpal Landfill</t>
  </si>
  <si>
    <t>Resh Road 1 &amp; 2 Municipal LF</t>
  </si>
  <si>
    <t>Newland Park Municipal LF - Wicomico County Landfill</t>
  </si>
  <si>
    <t>Central Municipal LF- Worcester County Sanitary Landfill Cell 1&amp; 4</t>
  </si>
  <si>
    <t>Reich's Ford A &amp; B Municpal Landfill</t>
  </si>
  <si>
    <t>Eastern Municipal Landfill</t>
  </si>
  <si>
    <t>Appeal Municipal Landfill</t>
  </si>
  <si>
    <r>
      <rPr>
        <b/>
        <sz val="10"/>
        <color theme="1"/>
        <rFont val="Arial"/>
        <family val="2"/>
      </rPr>
      <t>MSW CH</t>
    </r>
    <r>
      <rPr>
        <b/>
        <vertAlign val="subscript"/>
        <sz val="10"/>
        <color theme="1"/>
        <rFont val="Arial"/>
        <family val="2"/>
      </rPr>
      <t>4</t>
    </r>
    <r>
      <rPr>
        <b/>
        <sz val="10"/>
        <color theme="1"/>
        <rFont val="Arial"/>
        <family val="2"/>
      </rPr>
      <t xml:space="preserve"> Generation (short ton CH</t>
    </r>
    <r>
      <rPr>
        <b/>
        <vertAlign val="subscript"/>
        <sz val="10"/>
        <color theme="1"/>
        <rFont val="Arial"/>
        <family val="2"/>
      </rPr>
      <t>4</t>
    </r>
    <r>
      <rPr>
        <b/>
        <sz val="10"/>
        <color theme="1"/>
        <rFont val="Arial"/>
        <family val="2"/>
      </rPr>
      <t>)</t>
    </r>
  </si>
  <si>
    <r>
      <t>MSW Generation (MTCO</t>
    </r>
    <r>
      <rPr>
        <b/>
        <vertAlign val="subscript"/>
        <sz val="10"/>
        <color theme="1"/>
        <rFont val="Arial"/>
      </rPr>
      <t>2</t>
    </r>
    <r>
      <rPr>
        <b/>
        <sz val="10"/>
        <color theme="1"/>
        <rFont val="Arial"/>
      </rPr>
      <t>E)</t>
    </r>
  </si>
  <si>
    <r>
      <t>Industrial Generation (MTCO</t>
    </r>
    <r>
      <rPr>
        <b/>
        <vertAlign val="subscript"/>
        <sz val="10"/>
        <color theme="1"/>
        <rFont val="Arial"/>
      </rPr>
      <t>2</t>
    </r>
    <r>
      <rPr>
        <b/>
        <sz val="10"/>
        <color theme="1"/>
        <rFont val="Arial"/>
      </rPr>
      <t>E)</t>
    </r>
  </si>
  <si>
    <t>CO2 Emission from (Flaring + LFGTE+ Boiler) (MTCO2E)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</si>
</sst>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41" formatCode="_(* #,##0_);_(* \(#,##0\);_(* &quot;-&quot;_);_(@_)"/>
    <numFmt numFmtId="43" formatCode="_(* #,##0.00_);_(* \(#,##0.00\);_(* &quot;-&quot;??_);_(@_)"/>
    <numFmt numFmtId="164" formatCode="#,##0.00000_);\(#,##0.00000\)"/>
    <numFmt numFmtId="165" formatCode="0.000000"/>
    <numFmt numFmtId="166" formatCode="#,##0.000000_);\(#,##0.000000\)"/>
    <numFmt numFmtId="167" formatCode="#,##0.0000_);\(#,##0.0000\)"/>
    <numFmt numFmtId="168" formatCode="0.000"/>
    <numFmt numFmtId="169" formatCode="_(* #,##0.00000_);_(* \(#,##0.00000\);_(* &quot;-&quot;??_);_(@_)"/>
    <numFmt numFmtId="170" formatCode="#,##0.000"/>
    <numFmt numFmtId="171" formatCode="#,##0.0000"/>
    <numFmt numFmtId="172" formatCode="#,##0.0"/>
    <numFmt numFmtId="173" formatCode="0_);\(0\)"/>
    <numFmt numFmtId="174" formatCode="#,##0.00000"/>
    <numFmt numFmtId="175" formatCode="0.0"/>
    <numFmt numFmtId="176" formatCode="_(* #,##0_);_(* \(#,##0\);_(* &quot;-&quot;??_);_(@_)"/>
    <numFmt numFmtId="177" formatCode="_(* #,##0.0_);_(* \(#,##0.0\);_(* &quot;-&quot;??_);_(@_)"/>
    <numFmt numFmtId="178" formatCode="_(#,##0.000_);\(#,##0.000\)"/>
    <numFmt numFmtId="179" formatCode="_(* #,##0.000_);_(* \(#,##0.000\);_(* &quot;-&quot;??.0_);_(@_)"/>
    <numFmt numFmtId="180" formatCode="_(* #,##0.0000_);_(* \(#,##0.0000\);_(* &quot;-&quot;??_);_(@_)"/>
    <numFmt numFmtId="181" formatCode="_(* #,##0.000_);_(* \(#,##0.000\);_(* &quot;-&quot;??_);_(@_)"/>
    <numFmt numFmtId="182" formatCode="m\-yyyy"/>
    <numFmt numFmtId="183" formatCode="_(* #,##0.00_);_(* \(#,##0.00\);_(* &quot;-&quot;??.00_);_(@_)"/>
    <numFmt numFmtId="184" formatCode="0.0000"/>
    <numFmt numFmtId="185" formatCode="#,##0.000_);\(#,##0.000\)"/>
    <numFmt numFmtId="186" formatCode="_(* #,##0.0000_);_(* \(#,##0.0000\);_(* &quot;-&quot;??.0000_);_(@_)"/>
    <numFmt numFmtId="187" formatCode="_(* #,##0.00_);_(* \(#,##0.00\);_(* &quot;-&quot;??.0_);_(@_)"/>
    <numFmt numFmtId="188" formatCode="_(* #,##0.0000_);_(* \(#,##0.0000\);_(* &quot;-&quot;??.00_);_(@_)"/>
    <numFmt numFmtId="189" formatCode="_(* #,##0.000000_);_(* \(#,##0.000000\);_(* &quot;-&quot;??????_);_(@_)"/>
    <numFmt numFmtId="190" formatCode="0.0%"/>
    <numFmt numFmtId="191" formatCode="0.000000000"/>
    <numFmt numFmtId="192" formatCode="0.00000"/>
    <numFmt numFmtId="193" formatCode="0.0000000000"/>
    <numFmt numFmtId="194" formatCode="0.00000000"/>
    <numFmt numFmtId="195" formatCode="0.00_)"/>
    <numFmt numFmtId="196" formatCode="0.000_)"/>
    <numFmt numFmtId="197" formatCode="_(* #,##0.000000_);_(* \(#,##0.000000\);_(* &quot;-&quot;??_);_(@_)"/>
    <numFmt numFmtId="198" formatCode="_(* #,##0.0000000_);_(* \(#,##0.0000000\);_(* &quot;-&quot;??_);_(@_)"/>
    <numFmt numFmtId="199" formatCode="_-* #,##0_-;\-* #,##0_-;_-* &quot;-&quot;??_-;_-@"/>
    <numFmt numFmtId="200" formatCode="_-* #,##0.0_-;\-* #,##0.0_-;_-* &quot;-&quot;??_-;_-@"/>
    <numFmt numFmtId="201" formatCode="_-* #,##0.00_-;\-* #,##0.00_-;_-* &quot;-&quot;??_-;_-@"/>
    <numFmt numFmtId="202" formatCode="_-* #,##0.00_-;\-* #,##0.00_-;_-* &quot;-&quot;??.00_-;_-@"/>
    <numFmt numFmtId="203" formatCode="0.00000000000000000%"/>
    <numFmt numFmtId="204" formatCode="0_)"/>
    <numFmt numFmtId="205" formatCode="0.0000000"/>
    <numFmt numFmtId="206" formatCode="#,##0.0_);\(#,##0.0\)"/>
    <numFmt numFmtId="207" formatCode="0E+00"/>
    <numFmt numFmtId="208" formatCode="#,##0.00000000"/>
    <numFmt numFmtId="209" formatCode="_(* #,##0.00000000_);_(* \(#,##0.00000000\);_(* &quot;-&quot;????????_);_(@_)"/>
  </numFmts>
  <fonts count="261" x14ac:knownFonts="1">
    <font>
      <sz val="8"/>
      <color rgb="FF000000"/>
      <name val="Calibri"/>
      <scheme val="minor"/>
    </font>
    <font>
      <sz val="8"/>
      <color theme="1"/>
      <name val="Calibri"/>
    </font>
    <font>
      <b/>
      <sz val="14"/>
      <color theme="1"/>
      <name val="Calibri"/>
    </font>
    <font>
      <sz val="8"/>
      <color theme="1"/>
      <name val="Calibri"/>
    </font>
    <font>
      <sz val="9"/>
      <color theme="1"/>
      <name val="Calibri"/>
    </font>
    <font>
      <sz val="8"/>
      <name val="Calibri"/>
    </font>
    <font>
      <sz val="7"/>
      <color theme="1"/>
      <name val="Calibri"/>
    </font>
    <font>
      <b/>
      <sz val="11"/>
      <color theme="1"/>
      <name val="Calibri"/>
    </font>
    <font>
      <sz val="11"/>
      <color theme="1"/>
      <name val="Calibri"/>
    </font>
    <font>
      <i/>
      <sz val="11"/>
      <color theme="1"/>
      <name val="Calibri"/>
    </font>
    <font>
      <sz val="10"/>
      <color theme="1"/>
      <name val="Calibri"/>
    </font>
    <font>
      <sz val="11"/>
      <color rgb="FFFF0000"/>
      <name val="Calibri"/>
    </font>
    <font>
      <sz val="8"/>
      <color rgb="FFFF0000"/>
      <name val="Calibri"/>
    </font>
    <font>
      <b/>
      <sz val="8"/>
      <color theme="1"/>
      <name val="Calibri"/>
    </font>
    <font>
      <b/>
      <sz val="11"/>
      <color rgb="FF1155CC"/>
      <name val="Calibri"/>
    </font>
    <font>
      <b/>
      <sz val="9"/>
      <color rgb="FF000000"/>
      <name val="Calibri"/>
    </font>
    <font>
      <sz val="9"/>
      <color rgb="FF000000"/>
      <name val="Calibri"/>
    </font>
    <font>
      <u/>
      <sz val="11"/>
      <color rgb="FF0563C1"/>
      <name val="Calibri"/>
    </font>
    <font>
      <b/>
      <sz val="9"/>
      <color theme="1"/>
      <name val="Calibri"/>
    </font>
    <font>
      <b/>
      <sz val="9"/>
      <color theme="1"/>
      <name val="Arial"/>
    </font>
    <font>
      <i/>
      <sz val="9"/>
      <color theme="1"/>
      <name val="Calibri"/>
    </font>
    <font>
      <sz val="9"/>
      <color theme="1"/>
      <name val="Arial"/>
    </font>
    <font>
      <b/>
      <sz val="8"/>
      <color theme="1"/>
      <name val="Calibri"/>
    </font>
    <font>
      <b/>
      <sz val="8"/>
      <color theme="1"/>
      <name val="Comic Sans MS"/>
    </font>
    <font>
      <sz val="8"/>
      <color theme="1"/>
      <name val="Comic Sans MS"/>
    </font>
    <font>
      <sz val="11"/>
      <color rgb="FF000000"/>
      <name val="Calibri"/>
    </font>
    <font>
      <sz val="8"/>
      <color rgb="FF000000"/>
      <name val="Arial"/>
    </font>
    <font>
      <b/>
      <sz val="16"/>
      <color rgb="FF0000FF"/>
      <name val="Calibri"/>
    </font>
    <font>
      <sz val="8"/>
      <color theme="1"/>
      <name val="Arial"/>
    </font>
    <font>
      <sz val="10"/>
      <color theme="1"/>
      <name val="Arial"/>
    </font>
    <font>
      <b/>
      <sz val="10"/>
      <color theme="1"/>
      <name val="Arial"/>
    </font>
    <font>
      <sz val="10"/>
      <color rgb="FFFF0000"/>
      <name val="Arial"/>
    </font>
    <font>
      <sz val="10"/>
      <color rgb="FFFF00FF"/>
      <name val="Arial"/>
    </font>
    <font>
      <b/>
      <sz val="10"/>
      <color rgb="FFFF00FF"/>
      <name val="Arial"/>
    </font>
    <font>
      <b/>
      <sz val="10"/>
      <color rgb="FFFF0000"/>
      <name val="Arial"/>
    </font>
    <font>
      <sz val="10"/>
      <color rgb="FFFF9900"/>
      <name val="Arial"/>
    </font>
    <font>
      <b/>
      <sz val="18"/>
      <color rgb="FF548DD4"/>
      <name val="Calibri"/>
    </font>
    <font>
      <sz val="11"/>
      <color rgb="FF548DD4"/>
      <name val="Calibri"/>
    </font>
    <font>
      <sz val="14"/>
      <color theme="1"/>
      <name val="Comic Sans MS"/>
    </font>
    <font>
      <sz val="14"/>
      <color rgb="FF000000"/>
      <name val="Comic Sans MS"/>
    </font>
    <font>
      <sz val="7"/>
      <color theme="1"/>
      <name val="Arial"/>
    </font>
    <font>
      <sz val="8"/>
      <color rgb="FF000000"/>
      <name val="Comic Sans MS"/>
    </font>
    <font>
      <sz val="11"/>
      <color theme="1"/>
      <name val="Arial"/>
    </font>
    <font>
      <b/>
      <sz val="11"/>
      <color theme="1"/>
      <name val="Arial"/>
    </font>
    <font>
      <b/>
      <sz val="11"/>
      <color rgb="FF000000"/>
      <name val="Arial"/>
    </font>
    <font>
      <sz val="18"/>
      <color rgb="FF548DD4"/>
      <name val="Calibri"/>
    </font>
    <font>
      <sz val="18"/>
      <color theme="1"/>
      <name val="Calibri"/>
    </font>
    <font>
      <b/>
      <sz val="11"/>
      <color theme="1"/>
      <name val="Comic Sans MS"/>
    </font>
    <font>
      <b/>
      <sz val="11"/>
      <color rgb="FF000000"/>
      <name val="Comic Sans MS"/>
    </font>
    <font>
      <b/>
      <sz val="7"/>
      <color theme="1"/>
      <name val="Comic Sans MS"/>
    </font>
    <font>
      <b/>
      <sz val="8"/>
      <color rgb="FF000000"/>
      <name val="Arial"/>
    </font>
    <font>
      <b/>
      <strike/>
      <sz val="10"/>
      <color rgb="FFFF0000"/>
      <name val="Arial"/>
    </font>
    <font>
      <sz val="14"/>
      <color theme="1"/>
      <name val="Calibri"/>
    </font>
    <font>
      <sz val="8"/>
      <color rgb="FF000000"/>
      <name val="Calibri"/>
    </font>
    <font>
      <i/>
      <sz val="26"/>
      <color theme="1"/>
      <name val="Calibri"/>
    </font>
    <font>
      <sz val="10"/>
      <color rgb="FF000080"/>
      <name val="Calibri"/>
    </font>
    <font>
      <b/>
      <sz val="10"/>
      <color theme="1"/>
      <name val="Calibri"/>
    </font>
    <font>
      <b/>
      <sz val="10"/>
      <color rgb="FF0000FF"/>
      <name val="Calibri"/>
    </font>
    <font>
      <sz val="10"/>
      <color rgb="FF0000FF"/>
      <name val="Calibri"/>
    </font>
    <font>
      <b/>
      <sz val="10"/>
      <color rgb="FFFF0000"/>
      <name val="Calibri"/>
    </font>
    <font>
      <sz val="10"/>
      <color rgb="FFFF0000"/>
      <name val="Calibri"/>
    </font>
    <font>
      <b/>
      <sz val="10"/>
      <color rgb="FF993366"/>
      <name val="Calibri"/>
    </font>
    <font>
      <sz val="10"/>
      <color rgb="FF993366"/>
      <name val="Calibri"/>
    </font>
    <font>
      <b/>
      <sz val="8"/>
      <color rgb="FFFF0000"/>
      <name val="Calibri"/>
    </font>
    <font>
      <sz val="8"/>
      <color rgb="FFE36C09"/>
      <name val="Calibri"/>
    </font>
    <font>
      <b/>
      <sz val="10"/>
      <color rgb="FFFF00FF"/>
      <name val="Calibri"/>
    </font>
    <font>
      <i/>
      <sz val="26"/>
      <color theme="1"/>
      <name val="Arial"/>
    </font>
    <font>
      <b/>
      <sz val="8"/>
      <color theme="1"/>
      <name val="Arial"/>
    </font>
    <font>
      <b/>
      <sz val="7"/>
      <color theme="1"/>
      <name val="Arial"/>
    </font>
    <font>
      <sz val="14"/>
      <color rgb="FF000000"/>
      <name val="Arial"/>
    </font>
    <font>
      <i/>
      <sz val="8"/>
      <color theme="1"/>
      <name val="Engravers mt"/>
    </font>
    <font>
      <sz val="8"/>
      <color rgb="FFFF0000"/>
      <name val="Arial"/>
    </font>
    <font>
      <b/>
      <sz val="8"/>
      <color rgb="FF000000"/>
      <name val="Comic Sans MS"/>
    </font>
    <font>
      <sz val="8"/>
      <color rgb="FF000000"/>
      <name val="Arial Narrow"/>
    </font>
    <font>
      <i/>
      <sz val="26"/>
      <color theme="1"/>
      <name val="Engravers mt"/>
    </font>
    <font>
      <sz val="14"/>
      <color rgb="FFFF0000"/>
      <name val="Calibri"/>
    </font>
    <font>
      <b/>
      <sz val="8"/>
      <color rgb="FFFF0000"/>
      <name val="Arial"/>
    </font>
    <font>
      <b/>
      <sz val="11"/>
      <color rgb="FFFF0000"/>
      <name val="Calibri"/>
    </font>
    <font>
      <b/>
      <sz val="14"/>
      <color rgb="FF000000"/>
      <name val="Calibri"/>
    </font>
    <font>
      <b/>
      <i/>
      <sz val="14"/>
      <color theme="1"/>
      <name val="Calibri"/>
    </font>
    <font>
      <sz val="14"/>
      <color rgb="FF000000"/>
      <name val="Calibri"/>
    </font>
    <font>
      <b/>
      <sz val="14"/>
      <color rgb="FF000000"/>
      <name val="Arial"/>
    </font>
    <font>
      <b/>
      <sz val="11"/>
      <color rgb="FF000000"/>
      <name val="Calibri"/>
    </font>
    <font>
      <b/>
      <sz val="14"/>
      <color theme="1"/>
      <name val="Comic Sans MS"/>
    </font>
    <font>
      <sz val="8"/>
      <color rgb="FF339966"/>
      <name val="Arial"/>
    </font>
    <font>
      <b/>
      <sz val="8"/>
      <color rgb="FF339966"/>
      <name val="Arial"/>
    </font>
    <font>
      <sz val="10"/>
      <color rgb="FF000000"/>
      <name val="Calibri"/>
    </font>
    <font>
      <b/>
      <sz val="10"/>
      <color rgb="FF000000"/>
      <name val="Calibri"/>
    </font>
    <font>
      <b/>
      <sz val="10"/>
      <color theme="1"/>
      <name val="Comic Sans MS"/>
    </font>
    <font>
      <sz val="10"/>
      <color theme="1"/>
      <name val="Comic Sans MS"/>
    </font>
    <font>
      <sz val="9"/>
      <color theme="1"/>
      <name val="Comic Sans MS"/>
    </font>
    <font>
      <sz val="9"/>
      <color rgb="FF000000"/>
      <name val="Arial"/>
    </font>
    <font>
      <b/>
      <sz val="9"/>
      <color theme="1"/>
      <name val="Comic Sans MS"/>
    </font>
    <font>
      <u/>
      <sz val="8"/>
      <color theme="10"/>
      <name val="Arial"/>
    </font>
    <font>
      <b/>
      <sz val="9"/>
      <color rgb="FFFF0000"/>
      <name val="Comic Sans MS"/>
    </font>
    <font>
      <b/>
      <sz val="7"/>
      <color rgb="FFFF0000"/>
      <name val="Comic Sans MS"/>
    </font>
    <font>
      <sz val="9"/>
      <color rgb="FFFF0000"/>
      <name val="Comic Sans MS"/>
    </font>
    <font>
      <sz val="7"/>
      <color rgb="FFFF0000"/>
      <name val="Comic Sans MS"/>
    </font>
    <font>
      <sz val="9"/>
      <color rgb="FF000000"/>
      <name val="Comic Sans MS"/>
    </font>
    <font>
      <sz val="7"/>
      <color rgb="FF000000"/>
      <name val="Comic Sans MS"/>
    </font>
    <font>
      <b/>
      <sz val="9"/>
      <color rgb="FF000000"/>
      <name val="Comic Sans MS"/>
    </font>
    <font>
      <b/>
      <sz val="7"/>
      <color rgb="FF000000"/>
      <name val="Comic Sans MS"/>
    </font>
    <font>
      <sz val="10"/>
      <color rgb="FFFFFFFF"/>
      <name val="Calibri"/>
    </font>
    <font>
      <b/>
      <sz val="7"/>
      <color theme="1"/>
      <name val="Calibri"/>
    </font>
    <font>
      <b/>
      <i/>
      <sz val="7"/>
      <color theme="1"/>
      <name val="Calibri"/>
    </font>
    <font>
      <b/>
      <sz val="14"/>
      <color rgb="FF000080"/>
      <name val="Calibri"/>
    </font>
    <font>
      <i/>
      <sz val="8"/>
      <color theme="1"/>
      <name val="Calibri"/>
    </font>
    <font>
      <sz val="9"/>
      <color theme="1"/>
      <name val="Times New Roman"/>
    </font>
    <font>
      <b/>
      <sz val="12"/>
      <color theme="1"/>
      <name val="Arial"/>
    </font>
    <font>
      <sz val="8"/>
      <color theme="1"/>
      <name val="Times New Roman"/>
    </font>
    <font>
      <sz val="8"/>
      <color rgb="FFFF00FF"/>
      <name val="Times New Roman"/>
    </font>
    <font>
      <b/>
      <sz val="8"/>
      <color theme="1"/>
      <name val="Times New Roman"/>
    </font>
    <font>
      <b/>
      <sz val="8"/>
      <color rgb="FFFF00FF"/>
      <name val="Times New Roman"/>
    </font>
    <font>
      <sz val="8"/>
      <color rgb="FFFF0000"/>
      <name val="Times New Roman"/>
    </font>
    <font>
      <sz val="10"/>
      <color theme="1"/>
      <name val="Times New Roman"/>
    </font>
    <font>
      <b/>
      <sz val="10"/>
      <color rgb="FFFF00FF"/>
      <name val="Times New Roman"/>
    </font>
    <font>
      <b/>
      <sz val="8"/>
      <color rgb="FFFF0000"/>
      <name val="Times New Roman"/>
    </font>
    <font>
      <b/>
      <sz val="8"/>
      <color rgb="FFFF9900"/>
      <name val="Calibri"/>
    </font>
    <font>
      <b/>
      <sz val="10"/>
      <color theme="1"/>
      <name val="Times New Roman"/>
    </font>
    <font>
      <sz val="10"/>
      <color rgb="FFFF00FF"/>
      <name val="Times New Roman"/>
    </font>
    <font>
      <sz val="7"/>
      <color theme="1"/>
      <name val="Comic Sans MS"/>
    </font>
    <font>
      <sz val="8"/>
      <color rgb="FF0000FF"/>
      <name val="Arial"/>
    </font>
    <font>
      <b/>
      <sz val="10"/>
      <color rgb="FFFFFFFF"/>
      <name val="Times New Roman"/>
    </font>
    <font>
      <sz val="12"/>
      <color theme="1"/>
      <name val="Comic Sans MS"/>
    </font>
    <font>
      <sz val="7"/>
      <color theme="1"/>
      <name val="Batang"/>
    </font>
    <font>
      <sz val="7"/>
      <color rgb="FFFFFFFF"/>
      <name val="Comic Sans MS"/>
    </font>
    <font>
      <sz val="7"/>
      <color rgb="FFFFFFFF"/>
      <name val="Arial"/>
    </font>
    <font>
      <sz val="10"/>
      <color rgb="FFFFFFFF"/>
      <name val="Arial"/>
    </font>
    <font>
      <sz val="8"/>
      <color rgb="FFFFFFFF"/>
      <name val="Calibri"/>
    </font>
    <font>
      <sz val="8"/>
      <color theme="1"/>
      <name val="Arial"/>
    </font>
    <font>
      <strike/>
      <sz val="8"/>
      <color rgb="FFFF0000"/>
      <name val="Arial"/>
    </font>
    <font>
      <b/>
      <strike/>
      <sz val="8"/>
      <color rgb="FFFF0000"/>
      <name val="Arial"/>
    </font>
    <font>
      <sz val="8"/>
      <color rgb="FFFF00FF"/>
      <name val="Arial"/>
    </font>
    <font>
      <b/>
      <sz val="8"/>
      <color rgb="FFFF00FF"/>
      <name val="Arial"/>
    </font>
    <font>
      <b/>
      <sz val="10"/>
      <color rgb="FFFF6600"/>
      <name val="Arial"/>
    </font>
    <font>
      <b/>
      <sz val="11"/>
      <color rgb="FF00CCFF"/>
      <name val="Calibri"/>
    </font>
    <font>
      <b/>
      <sz val="11"/>
      <color rgb="FF008000"/>
      <name val="Calibri"/>
    </font>
    <font>
      <b/>
      <sz val="11"/>
      <color rgb="FFFF6600"/>
      <name val="Calibri"/>
    </font>
    <font>
      <b/>
      <sz val="11"/>
      <color rgb="FF808080"/>
      <name val="Calibri"/>
    </font>
    <font>
      <b/>
      <sz val="11"/>
      <color rgb="FF993300"/>
      <name val="Calibri"/>
    </font>
    <font>
      <sz val="11"/>
      <color rgb="FF800080"/>
      <name val="Calibri"/>
    </font>
    <font>
      <sz val="11"/>
      <color rgb="FFFF6600"/>
      <name val="Calibri"/>
    </font>
    <font>
      <sz val="11"/>
      <color rgb="FF808080"/>
      <name val="Calibri"/>
    </font>
    <font>
      <sz val="11"/>
      <color rgb="FF993300"/>
      <name val="Calibri"/>
    </font>
    <font>
      <sz val="10"/>
      <color rgb="FF000000"/>
      <name val="Arial"/>
    </font>
    <font>
      <b/>
      <sz val="10"/>
      <color rgb="FF000080"/>
      <name val="Comic Sans MS"/>
    </font>
    <font>
      <i/>
      <sz val="10"/>
      <color theme="1"/>
      <name val="Engravers mt"/>
    </font>
    <font>
      <b/>
      <sz val="10"/>
      <color rgb="FF000000"/>
      <name val="Comic Sans MS"/>
    </font>
    <font>
      <sz val="10"/>
      <color rgb="FF000000"/>
      <name val="Comic Sans MS"/>
    </font>
    <font>
      <sz val="11"/>
      <color rgb="FF0000FF"/>
      <name val="Calibri"/>
    </font>
    <font>
      <b/>
      <vertAlign val="subscript"/>
      <sz val="11"/>
      <color theme="1"/>
      <name val="Calibri"/>
    </font>
    <font>
      <vertAlign val="subscript"/>
      <sz val="11"/>
      <color theme="1"/>
      <name val="Calibri"/>
    </font>
    <font>
      <sz val="11"/>
      <color rgb="FF1155CC"/>
      <name val="Calibri"/>
    </font>
    <font>
      <b/>
      <vertAlign val="subscript"/>
      <sz val="9"/>
      <color theme="1"/>
      <name val="Calibri"/>
    </font>
    <font>
      <b/>
      <vertAlign val="subscript"/>
      <sz val="10"/>
      <color theme="1"/>
      <name val="Arial"/>
    </font>
    <font>
      <b/>
      <vertAlign val="subscript"/>
      <sz val="18"/>
      <color rgb="FF548DD4"/>
      <name val="Calibri"/>
    </font>
    <font>
      <vertAlign val="subscript"/>
      <sz val="14"/>
      <color theme="1"/>
      <name val="Comic Sans MS"/>
    </font>
    <font>
      <vertAlign val="subscript"/>
      <sz val="14"/>
      <color rgb="FF000000"/>
      <name val="Comic Sans MS"/>
    </font>
    <font>
      <b/>
      <vertAlign val="subscript"/>
      <sz val="11"/>
      <color theme="1"/>
      <name val="Arial"/>
    </font>
    <font>
      <b/>
      <vertAlign val="subscript"/>
      <sz val="11"/>
      <color theme="1"/>
      <name val="Comic Sans MS"/>
    </font>
    <font>
      <vertAlign val="subscript"/>
      <sz val="10"/>
      <color theme="1"/>
      <name val="Arial"/>
    </font>
    <font>
      <vertAlign val="subscript"/>
      <sz val="10"/>
      <color rgb="FFFF0000"/>
      <name val="Arial"/>
    </font>
    <font>
      <b/>
      <vertAlign val="subscript"/>
      <sz val="10"/>
      <color rgb="FFFF0000"/>
      <name val="Arial"/>
    </font>
    <font>
      <b/>
      <sz val="10"/>
      <color rgb="FF339966"/>
      <name val="Calibri"/>
    </font>
    <font>
      <sz val="10"/>
      <color rgb="FF339966"/>
      <name val="Calibri"/>
    </font>
    <font>
      <vertAlign val="subscript"/>
      <sz val="10"/>
      <color theme="1"/>
      <name val="Calibri"/>
    </font>
    <font>
      <vertAlign val="subscript"/>
      <sz val="8"/>
      <color theme="1"/>
      <name val="Calibri"/>
    </font>
    <font>
      <b/>
      <vertAlign val="subscript"/>
      <sz val="10"/>
      <color theme="1"/>
      <name val="Calibri"/>
    </font>
    <font>
      <vertAlign val="subscript"/>
      <sz val="10"/>
      <color theme="1"/>
      <name val="MS Sans Serif"/>
    </font>
    <font>
      <b/>
      <vertAlign val="subscript"/>
      <sz val="10"/>
      <color rgb="FFFF0000"/>
      <name val="Calibri"/>
    </font>
    <font>
      <b/>
      <vertAlign val="subscript"/>
      <sz val="8"/>
      <color theme="1"/>
      <name val="Comic Sans MS"/>
    </font>
    <font>
      <b/>
      <vertAlign val="subscript"/>
      <sz val="8"/>
      <color theme="1"/>
      <name val="Arial"/>
    </font>
    <font>
      <b/>
      <vertAlign val="subscript"/>
      <sz val="8"/>
      <color rgb="FF000000"/>
      <name val="Comic Sans MS"/>
    </font>
    <font>
      <b/>
      <vertAlign val="subscript"/>
      <sz val="8"/>
      <color rgb="FF000000"/>
      <name val="Arial"/>
    </font>
    <font>
      <b/>
      <vertAlign val="subscript"/>
      <sz val="10"/>
      <color theme="1"/>
      <name val="Comic Sans MS"/>
    </font>
    <font>
      <vertAlign val="subscript"/>
      <sz val="10"/>
      <color theme="1"/>
      <name val="Comic Sans MS"/>
    </font>
    <font>
      <i/>
      <sz val="10"/>
      <color theme="1"/>
      <name val="Arial"/>
    </font>
    <font>
      <b/>
      <vertAlign val="subscript"/>
      <sz val="9"/>
      <color theme="1"/>
      <name val="Comic Sans MS"/>
    </font>
    <font>
      <vertAlign val="subscript"/>
      <sz val="9"/>
      <color theme="1"/>
      <name val="Comic Sans MS"/>
    </font>
    <font>
      <vertAlign val="subscript"/>
      <sz val="8"/>
      <color theme="1"/>
      <name val="Comic Sans MS"/>
    </font>
    <font>
      <b/>
      <vertAlign val="subscript"/>
      <sz val="14"/>
      <color theme="1"/>
      <name val="Calibri"/>
    </font>
    <font>
      <b/>
      <vertAlign val="subscript"/>
      <sz val="7"/>
      <color theme="1"/>
      <name val="Calibri"/>
    </font>
    <font>
      <b/>
      <vertAlign val="superscript"/>
      <sz val="7"/>
      <color theme="1"/>
      <name val="Calibri"/>
    </font>
    <font>
      <b/>
      <vertAlign val="subscript"/>
      <sz val="8"/>
      <color theme="1"/>
      <name val="Calibri"/>
    </font>
    <font>
      <b/>
      <vertAlign val="subscript"/>
      <sz val="14"/>
      <color theme="1"/>
      <name val="Comic Sans MS"/>
    </font>
    <font>
      <b/>
      <vertAlign val="subscript"/>
      <sz val="10"/>
      <color theme="1"/>
      <name val="Times New Roman"/>
    </font>
    <font>
      <b/>
      <vertAlign val="subscript"/>
      <sz val="7"/>
      <color theme="1"/>
      <name val="Arial"/>
    </font>
    <font>
      <b/>
      <vertAlign val="superscript"/>
      <sz val="7"/>
      <color theme="1"/>
      <name val="Comic Sans MS"/>
    </font>
    <font>
      <b/>
      <vertAlign val="subscript"/>
      <sz val="7"/>
      <color theme="1"/>
      <name val="Comic Sans MS"/>
    </font>
    <font>
      <vertAlign val="subscript"/>
      <sz val="12"/>
      <color theme="1"/>
      <name val="Comic Sans MS"/>
    </font>
    <font>
      <b/>
      <vertAlign val="subscript"/>
      <sz val="8"/>
      <color rgb="FFFF0000"/>
      <name val="Calibri"/>
    </font>
    <font>
      <vertAlign val="subscript"/>
      <sz val="8"/>
      <color theme="1"/>
      <name val="Arial"/>
    </font>
    <font>
      <vertAlign val="superscript"/>
      <sz val="11"/>
      <color theme="1"/>
      <name val="Calibri"/>
    </font>
    <font>
      <b/>
      <vertAlign val="subscript"/>
      <sz val="11"/>
      <color rgb="FF008000"/>
      <name val="Calibri"/>
    </font>
    <font>
      <b/>
      <vertAlign val="subscript"/>
      <sz val="11"/>
      <color rgb="FFFF6600"/>
      <name val="Calibri"/>
    </font>
    <font>
      <b/>
      <vertAlign val="subscript"/>
      <sz val="11"/>
      <color rgb="FF808080"/>
      <name val="Calibri"/>
    </font>
    <font>
      <b/>
      <vertAlign val="subscript"/>
      <sz val="11"/>
      <color rgb="FFFF0000"/>
      <name val="Calibri"/>
    </font>
    <font>
      <b/>
      <vertAlign val="subscript"/>
      <sz val="11"/>
      <color rgb="FF993300"/>
      <name val="Calibri"/>
    </font>
    <font>
      <b/>
      <vertAlign val="subscript"/>
      <sz val="10"/>
      <color rgb="FF000000"/>
      <name val="Comic Sans MS"/>
    </font>
    <font>
      <vertAlign val="superscript"/>
      <sz val="10"/>
      <color theme="1"/>
      <name val="Comic Sans MS"/>
    </font>
    <font>
      <sz val="8"/>
      <color theme="1"/>
      <name val="Calibri"/>
      <family val="2"/>
    </font>
    <font>
      <sz val="11"/>
      <color theme="1"/>
      <name val="Calibri"/>
      <family val="2"/>
    </font>
    <font>
      <i/>
      <sz val="11"/>
      <color theme="1"/>
      <name val="Calibri"/>
      <family val="2"/>
    </font>
    <font>
      <b/>
      <sz val="11"/>
      <color rgb="FFFFFFFF"/>
      <name val="Calibri"/>
      <family val="2"/>
    </font>
    <font>
      <b/>
      <vertAlign val="subscript"/>
      <sz val="11"/>
      <color rgb="FFFFFFFF"/>
      <name val="Calibri"/>
      <family val="2"/>
    </font>
    <font>
      <b/>
      <sz val="11"/>
      <color theme="1"/>
      <name val="Calibri"/>
      <family val="2"/>
    </font>
    <font>
      <vertAlign val="subscript"/>
      <sz val="11"/>
      <color theme="1"/>
      <name val="Calibri"/>
      <family val="2"/>
    </font>
    <font>
      <sz val="11"/>
      <color rgb="FFFF0000"/>
      <name val="Calibri"/>
      <family val="2"/>
    </font>
    <font>
      <sz val="11"/>
      <name val="Calibri"/>
      <family val="2"/>
    </font>
    <font>
      <b/>
      <sz val="8"/>
      <color theme="1"/>
      <name val="Calibri"/>
      <family val="2"/>
    </font>
    <font>
      <sz val="14"/>
      <color theme="1"/>
      <name val="Comic Sans MS"/>
      <family val="4"/>
    </font>
    <font>
      <b/>
      <sz val="14"/>
      <color theme="1"/>
      <name val="Calibri"/>
      <family val="2"/>
      <scheme val="major"/>
    </font>
    <font>
      <sz val="14"/>
      <name val="Calibri"/>
      <family val="2"/>
      <scheme val="major"/>
    </font>
    <font>
      <b/>
      <sz val="10"/>
      <name val="Calibri"/>
      <family val="2"/>
    </font>
    <font>
      <sz val="8"/>
      <name val="Calibri"/>
      <family val="2"/>
    </font>
    <font>
      <vertAlign val="superscript"/>
      <sz val="11"/>
      <name val="Calibri"/>
      <family val="2"/>
    </font>
    <font>
      <sz val="8"/>
      <name val="Calibri"/>
      <family val="2"/>
      <scheme val="minor"/>
    </font>
    <font>
      <sz val="10"/>
      <name val="Arial"/>
      <family val="2"/>
    </font>
    <font>
      <sz val="8"/>
      <name val="Arial"/>
      <family val="2"/>
    </font>
    <font>
      <b/>
      <sz val="18"/>
      <name val="Arial"/>
      <family val="2"/>
    </font>
    <font>
      <b/>
      <sz val="9"/>
      <name val="Comic Sans MS"/>
      <family val="4"/>
    </font>
    <font>
      <sz val="9"/>
      <name val="Arial"/>
      <family val="2"/>
    </font>
    <font>
      <sz val="11"/>
      <name val="Arial"/>
      <family val="2"/>
    </font>
    <font>
      <b/>
      <sz val="18"/>
      <name val="Roboto"/>
    </font>
    <font>
      <b/>
      <sz val="8"/>
      <name val="Comic Sans MS"/>
      <family val="4"/>
    </font>
    <font>
      <sz val="8"/>
      <name val="Comic Sans MS"/>
      <family val="4"/>
    </font>
    <font>
      <sz val="14"/>
      <color theme="1"/>
      <name val="Calibri"/>
      <family val="2"/>
      <scheme val="major"/>
    </font>
    <font>
      <sz val="8"/>
      <color rgb="FF000000"/>
      <name val="Calibri"/>
      <family val="2"/>
      <scheme val="major"/>
    </font>
    <font>
      <i/>
      <sz val="26"/>
      <color theme="1"/>
      <name val="Calibri"/>
      <family val="2"/>
      <scheme val="major"/>
    </font>
    <font>
      <sz val="8"/>
      <color rgb="FFFF0000"/>
      <name val="Calibri"/>
      <family val="2"/>
      <scheme val="major"/>
    </font>
    <font>
      <sz val="8"/>
      <color theme="1"/>
      <name val="Calibri"/>
      <family val="2"/>
      <scheme val="major"/>
    </font>
    <font>
      <sz val="8"/>
      <name val="Calibri"/>
      <family val="2"/>
      <scheme val="major"/>
    </font>
    <font>
      <b/>
      <sz val="11"/>
      <color rgb="FF0000FF"/>
      <name val="Calibri"/>
      <family val="2"/>
      <scheme val="major"/>
    </font>
    <font>
      <b/>
      <sz val="11"/>
      <color theme="1"/>
      <name val="Calibri"/>
      <family val="2"/>
      <scheme val="major"/>
    </font>
    <font>
      <b/>
      <sz val="11"/>
      <color rgb="FFFF0000"/>
      <name val="Calibri"/>
      <family val="2"/>
      <scheme val="major"/>
    </font>
    <font>
      <b/>
      <sz val="8"/>
      <color rgb="FFE36C09"/>
      <name val="Calibri"/>
      <family val="2"/>
      <scheme val="major"/>
    </font>
    <font>
      <sz val="11"/>
      <color theme="1"/>
      <name val="Calibri"/>
      <family val="2"/>
      <scheme val="major"/>
    </font>
    <font>
      <b/>
      <sz val="8"/>
      <color theme="1"/>
      <name val="Calibri"/>
      <family val="2"/>
      <scheme val="major"/>
    </font>
    <font>
      <b/>
      <sz val="13"/>
      <color rgb="FF0000FF"/>
      <name val="Calibri"/>
      <family val="2"/>
      <scheme val="major"/>
    </font>
    <font>
      <b/>
      <sz val="11"/>
      <name val="Calibri"/>
      <family val="2"/>
      <scheme val="major"/>
    </font>
    <font>
      <sz val="11"/>
      <name val="Calibri"/>
      <family val="2"/>
      <scheme val="major"/>
    </font>
    <font>
      <sz val="11"/>
      <color rgb="FF000000"/>
      <name val="Calibri"/>
      <family val="2"/>
      <scheme val="major"/>
    </font>
    <font>
      <b/>
      <sz val="11"/>
      <color theme="0" tint="-0.249977111117893"/>
      <name val="Calibri"/>
      <family val="2"/>
      <scheme val="major"/>
    </font>
    <font>
      <sz val="8"/>
      <color theme="0" tint="-0.249977111117893"/>
      <name val="Calibri"/>
      <family val="2"/>
      <scheme val="major"/>
    </font>
    <font>
      <b/>
      <sz val="8"/>
      <color theme="0" tint="-0.249977111117893"/>
      <name val="Calibri"/>
      <family val="2"/>
      <scheme val="major"/>
    </font>
    <font>
      <sz val="11"/>
      <color theme="0" tint="-0.249977111117893"/>
      <name val="Calibri"/>
      <family val="2"/>
      <scheme val="major"/>
    </font>
    <font>
      <b/>
      <sz val="8"/>
      <name val="Calibri"/>
      <family val="2"/>
      <scheme val="major"/>
    </font>
    <font>
      <sz val="9"/>
      <color indexed="81"/>
      <name val="Calibri"/>
      <family val="2"/>
      <scheme val="major"/>
    </font>
    <font>
      <sz val="12"/>
      <name val="Calibri"/>
      <family val="2"/>
      <scheme val="major"/>
    </font>
    <font>
      <sz val="12"/>
      <color theme="1"/>
      <name val="Calibri"/>
      <family val="2"/>
      <scheme val="major"/>
    </font>
    <font>
      <b/>
      <sz val="8"/>
      <color rgb="FF000000"/>
      <name val="Calibri"/>
      <family val="2"/>
      <scheme val="major"/>
    </font>
    <font>
      <b/>
      <sz val="11"/>
      <name val="Calibri"/>
      <family val="2"/>
    </font>
    <font>
      <b/>
      <sz val="11"/>
      <color rgb="FF00CCFF"/>
      <name val="Calibri"/>
      <family val="2"/>
    </font>
    <font>
      <b/>
      <sz val="11"/>
      <color rgb="FF800080"/>
      <name val="Calibri"/>
      <family val="2"/>
    </font>
    <font>
      <b/>
      <sz val="10"/>
      <color theme="1"/>
      <name val="Arial"/>
      <family val="2"/>
    </font>
    <font>
      <sz val="10"/>
      <color theme="1"/>
      <name val="Arial"/>
      <family val="2"/>
    </font>
    <font>
      <b/>
      <sz val="9"/>
      <name val="Arial"/>
      <family val="2"/>
    </font>
    <font>
      <b/>
      <vertAlign val="subscript"/>
      <sz val="9"/>
      <name val="Arial"/>
      <family val="2"/>
    </font>
    <font>
      <b/>
      <sz val="8"/>
      <name val="Arial"/>
      <family val="2"/>
    </font>
    <font>
      <b/>
      <vertAlign val="subscript"/>
      <sz val="10"/>
      <color theme="1"/>
      <name val="Arial"/>
      <family val="2"/>
    </font>
    <font>
      <b/>
      <sz val="10"/>
      <color rgb="FFFF6600"/>
      <name val="Arial"/>
      <family val="2"/>
    </font>
  </fonts>
  <fills count="80">
    <fill>
      <patternFill patternType="none"/>
    </fill>
    <fill>
      <patternFill patternType="gray125"/>
    </fill>
    <fill>
      <patternFill patternType="solid">
        <fgColor rgb="FFFFFFFF"/>
        <bgColor rgb="FFFFFFFF"/>
      </patternFill>
    </fill>
    <fill>
      <patternFill patternType="solid">
        <fgColor rgb="FF333333"/>
        <bgColor rgb="FF333333"/>
      </patternFill>
    </fill>
    <fill>
      <patternFill patternType="solid">
        <fgColor rgb="FFFFFF99"/>
        <bgColor rgb="FFFFFF99"/>
      </patternFill>
    </fill>
    <fill>
      <patternFill patternType="solid">
        <fgColor rgb="FFBFBFBF"/>
        <bgColor rgb="FFBFBFBF"/>
      </patternFill>
    </fill>
    <fill>
      <patternFill patternType="solid">
        <fgColor rgb="FFA4C2F4"/>
        <bgColor rgb="FFA4C2F4"/>
      </patternFill>
    </fill>
    <fill>
      <patternFill patternType="solid">
        <fgColor rgb="FFFCE4D6"/>
        <bgColor rgb="FFFCE4D6"/>
      </patternFill>
    </fill>
    <fill>
      <patternFill patternType="solid">
        <fgColor rgb="FFB7B7B7"/>
        <bgColor rgb="FFB7B7B7"/>
      </patternFill>
    </fill>
    <fill>
      <patternFill patternType="solid">
        <fgColor rgb="FF999999"/>
        <bgColor rgb="FF999999"/>
      </patternFill>
    </fill>
    <fill>
      <patternFill patternType="solid">
        <fgColor rgb="FFC0C0C0"/>
        <bgColor rgb="FFC0C0C0"/>
      </patternFill>
    </fill>
    <fill>
      <patternFill patternType="solid">
        <fgColor rgb="FFCCCCCC"/>
        <bgColor rgb="FFCCCCCC"/>
      </patternFill>
    </fill>
    <fill>
      <patternFill patternType="solid">
        <fgColor rgb="FFCCFFFF"/>
        <bgColor rgb="FFCCFFFF"/>
      </patternFill>
    </fill>
    <fill>
      <patternFill patternType="solid">
        <fgColor rgb="FF99CC00"/>
        <bgColor rgb="FF99CC00"/>
      </patternFill>
    </fill>
    <fill>
      <patternFill patternType="solid">
        <fgColor rgb="FFFFF2CC"/>
        <bgColor rgb="FFFFF2CC"/>
      </patternFill>
    </fill>
    <fill>
      <patternFill patternType="solid">
        <fgColor rgb="FFFF99CC"/>
        <bgColor rgb="FFFF99CC"/>
      </patternFill>
    </fill>
    <fill>
      <patternFill patternType="solid">
        <fgColor rgb="FFFCE5CD"/>
        <bgColor rgb="FFFCE5CD"/>
      </patternFill>
    </fill>
    <fill>
      <patternFill patternType="solid">
        <fgColor rgb="FFCFE2F3"/>
        <bgColor rgb="FFCFE2F3"/>
      </patternFill>
    </fill>
    <fill>
      <patternFill patternType="solid">
        <fgColor rgb="FFEAD1DC"/>
        <bgColor rgb="FFEAD1DC"/>
      </patternFill>
    </fill>
    <fill>
      <patternFill patternType="solid">
        <fgColor rgb="FFD9EAD3"/>
        <bgColor rgb="FFD9EAD3"/>
      </patternFill>
    </fill>
    <fill>
      <patternFill patternType="solid">
        <fgColor rgb="FFEFEFEF"/>
        <bgColor rgb="FFEFEFEF"/>
      </patternFill>
    </fill>
    <fill>
      <patternFill patternType="solid">
        <fgColor rgb="FF808080"/>
        <bgColor rgb="FF808080"/>
      </patternFill>
    </fill>
    <fill>
      <patternFill patternType="solid">
        <fgColor rgb="FF969696"/>
        <bgColor rgb="FF969696"/>
      </patternFill>
    </fill>
    <fill>
      <patternFill patternType="solid">
        <fgColor rgb="FFFFFF00"/>
        <bgColor rgb="FFFFFF00"/>
      </patternFill>
    </fill>
    <fill>
      <patternFill patternType="solid">
        <fgColor rgb="FF7F7F7F"/>
        <bgColor rgb="FF7F7F7F"/>
      </patternFill>
    </fill>
    <fill>
      <patternFill patternType="solid">
        <fgColor rgb="FFD8D8D8"/>
        <bgColor rgb="FFD8D8D8"/>
      </patternFill>
    </fill>
    <fill>
      <patternFill patternType="solid">
        <fgColor rgb="FFF3F3F3"/>
        <bgColor rgb="FFF3F3F3"/>
      </patternFill>
    </fill>
    <fill>
      <patternFill patternType="solid">
        <fgColor rgb="FFD9D9D9"/>
        <bgColor rgb="FFD9D9D9"/>
      </patternFill>
    </fill>
    <fill>
      <patternFill patternType="solid">
        <fgColor rgb="FFE6B8AF"/>
        <bgColor rgb="FFE6B8AF"/>
      </patternFill>
    </fill>
    <fill>
      <patternFill patternType="solid">
        <fgColor rgb="FFB6D7A8"/>
        <bgColor rgb="FFB6D7A8"/>
      </patternFill>
    </fill>
    <fill>
      <patternFill patternType="solid">
        <fgColor rgb="FFB8CCE4"/>
        <bgColor rgb="FFB8CCE4"/>
      </patternFill>
    </fill>
    <fill>
      <patternFill patternType="solid">
        <fgColor rgb="FF6D9EEB"/>
        <bgColor rgb="FF6D9EEB"/>
      </patternFill>
    </fill>
    <fill>
      <patternFill patternType="solid">
        <fgColor rgb="FF00FFFF"/>
        <bgColor rgb="FF00FFFF"/>
      </patternFill>
    </fill>
    <fill>
      <patternFill patternType="solid">
        <fgColor theme="0"/>
        <bgColor theme="0"/>
      </patternFill>
    </fill>
    <fill>
      <patternFill patternType="solid">
        <fgColor rgb="FF00B0F0"/>
        <bgColor rgb="FF00B0F0"/>
      </patternFill>
    </fill>
    <fill>
      <patternFill patternType="solid">
        <fgColor rgb="FF339966"/>
        <bgColor rgb="FF339966"/>
      </patternFill>
    </fill>
    <fill>
      <patternFill patternType="solid">
        <fgColor rgb="FFCC99FF"/>
        <bgColor rgb="FFCC99FF"/>
      </patternFill>
    </fill>
    <fill>
      <patternFill patternType="solid">
        <fgColor rgb="FFCCFFCC"/>
        <bgColor rgb="FFCCFFCC"/>
      </patternFill>
    </fill>
    <fill>
      <patternFill patternType="solid">
        <fgColor rgb="FFF4CCCC"/>
        <bgColor rgb="FFF4CCCC"/>
      </patternFill>
    </fill>
    <fill>
      <patternFill patternType="solid">
        <fgColor rgb="FFDBE5F1"/>
        <bgColor rgb="FFDBE5F1"/>
      </patternFill>
    </fill>
    <fill>
      <patternFill patternType="solid">
        <fgColor rgb="FF93C47D"/>
        <bgColor rgb="FF93C47D"/>
      </patternFill>
    </fill>
    <fill>
      <patternFill patternType="solid">
        <fgColor rgb="FF9FC5E8"/>
        <bgColor rgb="FF9FC5E8"/>
      </patternFill>
    </fill>
    <fill>
      <patternFill patternType="solid">
        <fgColor rgb="FF99CCFF"/>
        <bgColor rgb="FF99CCFF"/>
      </patternFill>
    </fill>
    <fill>
      <patternFill patternType="solid">
        <fgColor rgb="FFFFCC99"/>
        <bgColor rgb="FFFFCC99"/>
      </patternFill>
    </fill>
    <fill>
      <patternFill patternType="solid">
        <fgColor rgb="FFFBD4B4"/>
        <bgColor rgb="FFFBD4B4"/>
      </patternFill>
    </fill>
    <fill>
      <patternFill patternType="solid">
        <fgColor rgb="FFD6E3BC"/>
        <bgColor rgb="FFD6E3BC"/>
      </patternFill>
    </fill>
    <fill>
      <patternFill patternType="solid">
        <fgColor rgb="FFF6B26B"/>
        <bgColor rgb="FFF6B26B"/>
      </patternFill>
    </fill>
    <fill>
      <patternFill patternType="solid">
        <fgColor rgb="FF92D050"/>
        <bgColor rgb="FF92D050"/>
      </patternFill>
    </fill>
    <fill>
      <patternFill patternType="solid">
        <fgColor rgb="FFFFCC00"/>
        <bgColor rgb="FFFFCC00"/>
      </patternFill>
    </fill>
    <fill>
      <patternFill patternType="solid">
        <fgColor rgb="FF33CCCC"/>
        <bgColor rgb="FF33CCCC"/>
      </patternFill>
    </fill>
    <fill>
      <patternFill patternType="solid">
        <fgColor rgb="FF008000"/>
        <bgColor rgb="FF008000"/>
      </patternFill>
    </fill>
    <fill>
      <patternFill patternType="solid">
        <fgColor rgb="FF00FF00"/>
        <bgColor rgb="FF00FF00"/>
      </patternFill>
    </fill>
    <fill>
      <patternFill patternType="solid">
        <fgColor rgb="FFC6D9F0"/>
        <bgColor rgb="FFC6D9F0"/>
      </patternFill>
    </fill>
    <fill>
      <patternFill patternType="solid">
        <fgColor rgb="FF808000"/>
        <bgColor rgb="FF808000"/>
      </patternFill>
    </fill>
    <fill>
      <patternFill patternType="solid">
        <fgColor rgb="FFFFC000"/>
        <bgColor rgb="FFFFC000"/>
      </patternFill>
    </fill>
    <fill>
      <patternFill patternType="solid">
        <fgColor rgb="FF548DD4"/>
        <bgColor rgb="FF548DD4"/>
      </patternFill>
    </fill>
    <fill>
      <patternFill patternType="solid">
        <fgColor rgb="FFB6DDE8"/>
        <bgColor rgb="FFB6DDE8"/>
      </patternFill>
    </fill>
    <fill>
      <patternFill patternType="solid">
        <fgColor rgb="FFFF0000"/>
        <bgColor rgb="FFFF0000"/>
      </patternFill>
    </fill>
    <fill>
      <patternFill patternType="solid">
        <fgColor rgb="FFFFFF99"/>
        <bgColor indexed="64"/>
      </patternFill>
    </fill>
    <fill>
      <patternFill patternType="solid">
        <fgColor theme="0" tint="-0.249977111117893"/>
        <bgColor rgb="FFFFFF00"/>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0"/>
        <bgColor rgb="FFFFFFFF"/>
      </patternFill>
    </fill>
    <fill>
      <patternFill patternType="solid">
        <fgColor theme="0"/>
        <bgColor rgb="FFFFFF00"/>
      </patternFill>
    </fill>
    <fill>
      <patternFill patternType="solid">
        <fgColor theme="0"/>
        <bgColor rgb="FFCCCCCC"/>
      </patternFill>
    </fill>
    <fill>
      <patternFill patternType="solid">
        <fgColor rgb="FFFFFFCC"/>
        <bgColor rgb="FFFFFFCC"/>
      </patternFill>
    </fill>
    <fill>
      <patternFill patternType="solid">
        <fgColor rgb="FFFFFFCC"/>
        <bgColor indexed="64"/>
      </patternFill>
    </fill>
    <fill>
      <patternFill patternType="solid">
        <fgColor rgb="FFFFFFCC"/>
        <bgColor rgb="FFFFFFFF"/>
      </patternFill>
    </fill>
    <fill>
      <patternFill patternType="solid">
        <fgColor rgb="FFFFFFCC"/>
        <bgColor rgb="FFFFFF00"/>
      </patternFill>
    </fill>
    <fill>
      <patternFill patternType="solid">
        <fgColor rgb="FFFFFFCC"/>
        <bgColor rgb="FFA4C2F4"/>
      </patternFill>
    </fill>
    <fill>
      <patternFill patternType="solid">
        <fgColor rgb="FFCC99FF"/>
        <bgColor indexed="64"/>
      </patternFill>
    </fill>
    <fill>
      <patternFill patternType="solid">
        <fgColor rgb="FFCC99FF"/>
        <bgColor rgb="FFFFFFFF"/>
      </patternFill>
    </fill>
    <fill>
      <patternFill patternType="solid">
        <fgColor rgb="FFCC99FF"/>
        <bgColor rgb="FFFFFF00"/>
      </patternFill>
    </fill>
    <fill>
      <patternFill patternType="solid">
        <fgColor rgb="FF33CCCC"/>
        <bgColor rgb="FFD5A6BD"/>
      </patternFill>
    </fill>
    <fill>
      <patternFill patternType="solid">
        <fgColor rgb="FF33CCCC"/>
        <bgColor indexed="64"/>
      </patternFill>
    </fill>
    <fill>
      <patternFill patternType="solid">
        <fgColor rgb="FF33CCCC"/>
        <bgColor rgb="FFFFFFFF"/>
      </patternFill>
    </fill>
    <fill>
      <patternFill patternType="solid">
        <fgColor rgb="FF33CCCC"/>
        <bgColor rgb="FFFFFF00"/>
      </patternFill>
    </fill>
    <fill>
      <patternFill patternType="solid">
        <fgColor rgb="FFCC99FF"/>
        <bgColor rgb="FF00FF00"/>
      </patternFill>
    </fill>
    <fill>
      <patternFill patternType="solid">
        <fgColor rgb="FF33CCCC"/>
        <bgColor rgb="FF00FF00"/>
      </patternFill>
    </fill>
  </fills>
  <borders count="386">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C0C0C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bottom/>
      <diagonal/>
    </border>
    <border>
      <left style="medium">
        <color rgb="FF000000"/>
      </left>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style="medium">
        <color rgb="FF000000"/>
      </bottom>
      <diagonal/>
    </border>
    <border>
      <left/>
      <right/>
      <top style="medium">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medium">
        <color rgb="FF000000"/>
      </left>
      <right style="thin">
        <color rgb="FF000000"/>
      </right>
      <top/>
      <bottom style="medium">
        <color rgb="FF000000"/>
      </bottom>
      <diagonal/>
    </border>
    <border>
      <left/>
      <right style="medium">
        <color rgb="FF000000"/>
      </right>
      <top/>
      <bottom style="medium">
        <color rgb="FF000000"/>
      </bottom>
      <diagonal/>
    </border>
    <border>
      <left/>
      <right/>
      <top/>
      <bottom/>
      <diagonal/>
    </border>
    <border>
      <left style="thick">
        <color rgb="FF000000"/>
      </left>
      <right style="medium">
        <color rgb="FF000000"/>
      </right>
      <top style="thick">
        <color rgb="FF000000"/>
      </top>
      <bottom/>
      <diagonal/>
    </border>
    <border>
      <left style="medium">
        <color rgb="FF000000"/>
      </left>
      <right style="medium">
        <color rgb="FF000000"/>
      </right>
      <top style="thick">
        <color rgb="FF000000"/>
      </top>
      <bottom/>
      <diagonal/>
    </border>
    <border>
      <left style="medium">
        <color rgb="FF000000"/>
      </left>
      <right style="thick">
        <color rgb="FF000000"/>
      </right>
      <top style="thick">
        <color rgb="FF000000"/>
      </top>
      <bottom/>
      <diagonal/>
    </border>
    <border>
      <left style="thick">
        <color rgb="FF000000"/>
      </left>
      <right style="medium">
        <color rgb="FF000000"/>
      </right>
      <top/>
      <bottom/>
      <diagonal/>
    </border>
    <border>
      <left style="medium">
        <color rgb="FF000000"/>
      </left>
      <right style="thick">
        <color rgb="FF000000"/>
      </right>
      <top/>
      <bottom/>
      <diagonal/>
    </border>
    <border>
      <left style="thick">
        <color rgb="FF000000"/>
      </left>
      <right style="medium">
        <color rgb="FF000000"/>
      </right>
      <top/>
      <bottom/>
      <diagonal/>
    </border>
    <border>
      <left style="medium">
        <color rgb="FF000000"/>
      </left>
      <right style="thick">
        <color rgb="FF000000"/>
      </right>
      <top/>
      <bottom/>
      <diagonal/>
    </border>
    <border>
      <left style="thick">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thick">
        <color rgb="FF000000"/>
      </right>
      <top style="medium">
        <color rgb="FF000000"/>
      </top>
      <bottom/>
      <diagonal/>
    </border>
    <border>
      <left style="thick">
        <color rgb="FF000000"/>
      </left>
      <right style="medium">
        <color rgb="FF000000"/>
      </right>
      <top/>
      <bottom style="medium">
        <color rgb="FF000000"/>
      </bottom>
      <diagonal/>
    </border>
    <border>
      <left style="medium">
        <color rgb="FF000000"/>
      </left>
      <right style="thick">
        <color rgb="FF000000"/>
      </right>
      <top/>
      <bottom style="medium">
        <color rgb="FF000000"/>
      </bottom>
      <diagonal/>
    </border>
    <border>
      <left style="thick">
        <color rgb="FF000000"/>
      </left>
      <right style="medium">
        <color rgb="FF000000"/>
      </right>
      <top/>
      <bottom style="thick">
        <color rgb="FF000000"/>
      </bottom>
      <diagonal/>
    </border>
    <border>
      <left style="medium">
        <color rgb="FF000000"/>
      </left>
      <right style="medium">
        <color rgb="FF000000"/>
      </right>
      <top/>
      <bottom style="thick">
        <color rgb="FF000000"/>
      </bottom>
      <diagonal/>
    </border>
    <border>
      <left style="medium">
        <color rgb="FF000000"/>
      </left>
      <right style="thick">
        <color rgb="FF000000"/>
      </right>
      <top/>
      <bottom style="thick">
        <color rgb="FF000000"/>
      </bottom>
      <diagonal/>
    </border>
    <border>
      <left style="thick">
        <color rgb="FF000000"/>
      </left>
      <right style="medium">
        <color rgb="FF000000"/>
      </right>
      <top/>
      <bottom style="thin">
        <color rgb="FF000000"/>
      </bottom>
      <diagonal/>
    </border>
    <border>
      <left style="medium">
        <color rgb="FF000000"/>
      </left>
      <right style="thick">
        <color rgb="FF000000"/>
      </right>
      <top/>
      <bottom style="thin">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ck">
        <color rgb="FF000000"/>
      </left>
      <right style="medium">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style="thick">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style="thin">
        <color rgb="FF000000"/>
      </top>
      <bottom/>
      <diagonal/>
    </border>
    <border>
      <left style="thin">
        <color rgb="FF000000"/>
      </left>
      <right style="double">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medium">
        <color rgb="FF000000"/>
      </left>
      <right style="thin">
        <color rgb="FF000000"/>
      </right>
      <top style="thin">
        <color rgb="FF000000"/>
      </top>
      <bottom style="medium">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rgb="FF000000"/>
      </right>
      <top style="double">
        <color rgb="FF000000"/>
      </top>
      <bottom/>
      <diagonal/>
    </border>
    <border>
      <left style="double">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double">
        <color rgb="FF000000"/>
      </right>
      <top style="thin">
        <color rgb="FF000000"/>
      </top>
      <bottom style="thick">
        <color rgb="FF000000"/>
      </bottom>
      <diagonal/>
    </border>
    <border>
      <left style="double">
        <color rgb="FF000000"/>
      </left>
      <right style="thin">
        <color rgb="FF000000"/>
      </right>
      <top/>
      <bottom style="thin">
        <color rgb="FF000000"/>
      </bottom>
      <diagonal/>
    </border>
    <border>
      <left style="thin">
        <color rgb="FF000000"/>
      </left>
      <right style="double">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double">
        <color rgb="FF000000"/>
      </left>
      <right style="double">
        <color rgb="FF000000"/>
      </right>
      <top style="double">
        <color rgb="FF000000"/>
      </top>
      <bottom style="double">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bottom/>
      <diagonal/>
    </border>
    <border>
      <left/>
      <right/>
      <top/>
      <bottom/>
      <diagonal/>
    </border>
    <border>
      <left style="double">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double">
        <color rgb="FF000000"/>
      </right>
      <top style="medium">
        <color rgb="FF000000"/>
      </top>
      <bottom style="thin">
        <color rgb="FF000000"/>
      </bottom>
      <diagonal/>
    </border>
    <border>
      <left/>
      <right style="double">
        <color rgb="FF000000"/>
      </right>
      <top/>
      <bottom style="thin">
        <color rgb="FF000000"/>
      </bottom>
      <diagonal/>
    </border>
    <border>
      <left style="double">
        <color rgb="FF000000"/>
      </left>
      <right style="double">
        <color rgb="FF000000"/>
      </right>
      <top style="thin">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style="thin">
        <color rgb="FF000000"/>
      </right>
      <top style="thin">
        <color rgb="FF000000"/>
      </top>
      <bottom style="medium">
        <color rgb="FF000000"/>
      </bottom>
      <diagonal/>
    </border>
    <border>
      <left style="double">
        <color rgb="FF000000"/>
      </left>
      <right style="double">
        <color rgb="FF000000"/>
      </right>
      <top style="thin">
        <color rgb="FF000000"/>
      </top>
      <bottom style="medium">
        <color rgb="FF000000"/>
      </bottom>
      <diagonal/>
    </border>
    <border>
      <left/>
      <right style="double">
        <color rgb="FF000000"/>
      </right>
      <top style="thin">
        <color rgb="FF000000"/>
      </top>
      <bottom style="medium">
        <color rgb="FF000000"/>
      </bottom>
      <diagonal/>
    </border>
    <border>
      <left style="double">
        <color rgb="FF000000"/>
      </left>
      <right/>
      <top/>
      <bottom style="double">
        <color rgb="FF000000"/>
      </bottom>
      <diagonal/>
    </border>
    <border>
      <left/>
      <right/>
      <top/>
      <bottom style="double">
        <color rgb="FF000000"/>
      </bottom>
      <diagonal/>
    </border>
    <border>
      <left style="double">
        <color rgb="FF000000"/>
      </left>
      <right style="double">
        <color rgb="FF000000"/>
      </right>
      <top/>
      <bottom style="double">
        <color rgb="FF000000"/>
      </bottom>
      <diagonal/>
    </border>
    <border>
      <left/>
      <right style="double">
        <color rgb="FF000000"/>
      </right>
      <top/>
      <bottom style="double">
        <color rgb="FF000000"/>
      </bottom>
      <diagonal/>
    </border>
    <border>
      <left style="double">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double">
        <color rgb="FF000000"/>
      </left>
      <right/>
      <top style="double">
        <color rgb="FF000000"/>
      </top>
      <bottom/>
      <diagonal/>
    </border>
    <border>
      <left style="double">
        <color rgb="FF000000"/>
      </left>
      <right/>
      <top/>
      <bottom/>
      <diagonal/>
    </border>
    <border>
      <left style="thin">
        <color rgb="FF000000"/>
      </left>
      <right style="double">
        <color rgb="FF000000"/>
      </right>
      <top/>
      <bottom/>
      <diagonal/>
    </border>
    <border>
      <left style="double">
        <color rgb="FF000000"/>
      </left>
      <right style="double">
        <color rgb="FF000000"/>
      </right>
      <top/>
      <bottom style="thin">
        <color rgb="FF000000"/>
      </bottom>
      <diagonal/>
    </border>
    <border>
      <left style="thin">
        <color rgb="FF000000"/>
      </left>
      <right style="double">
        <color rgb="FF000000"/>
      </right>
      <top style="thin">
        <color rgb="FF000000"/>
      </top>
      <bottom style="medium">
        <color rgb="FF000000"/>
      </bottom>
      <diagonal/>
    </border>
    <border>
      <left style="double">
        <color rgb="FF000000"/>
      </left>
      <right/>
      <top style="double">
        <color rgb="FF000000"/>
      </top>
      <bottom/>
      <diagonal/>
    </border>
    <border>
      <left/>
      <right/>
      <top style="double">
        <color rgb="FF000000"/>
      </top>
      <bottom/>
      <diagonal/>
    </border>
    <border>
      <left/>
      <right/>
      <top style="double">
        <color rgb="FF000000"/>
      </top>
      <bottom/>
      <diagonal/>
    </border>
    <border>
      <left/>
      <right style="double">
        <color rgb="FF000000"/>
      </right>
      <top style="double">
        <color rgb="FF000000"/>
      </top>
      <bottom/>
      <diagonal/>
    </border>
    <border>
      <left/>
      <right style="double">
        <color rgb="FF000000"/>
      </right>
      <top/>
      <bottom/>
      <diagonal/>
    </border>
    <border>
      <left style="double">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double">
        <color rgb="FF000000"/>
      </left>
      <right style="double">
        <color rgb="FF000000"/>
      </right>
      <top style="medium">
        <color rgb="FF000000"/>
      </top>
      <bottom/>
      <diagonal/>
    </border>
    <border>
      <left/>
      <right style="double">
        <color rgb="FF000000"/>
      </right>
      <top style="medium">
        <color rgb="FF000000"/>
      </top>
      <bottom/>
      <diagonal/>
    </border>
    <border>
      <left style="thin">
        <color rgb="FF000000"/>
      </left>
      <right/>
      <top/>
      <bottom style="medium">
        <color rgb="FF000000"/>
      </bottom>
      <diagonal/>
    </border>
    <border>
      <left style="double">
        <color rgb="FF000000"/>
      </left>
      <right style="double">
        <color rgb="FF000000"/>
      </right>
      <top/>
      <bottom style="medium">
        <color rgb="FF000000"/>
      </bottom>
      <diagonal/>
    </border>
    <border>
      <left/>
      <right style="double">
        <color rgb="FF000000"/>
      </right>
      <top/>
      <bottom style="medium">
        <color rgb="FF000000"/>
      </bottom>
      <diagonal/>
    </border>
    <border>
      <left/>
      <right style="double">
        <color rgb="FF000000"/>
      </right>
      <top style="medium">
        <color rgb="FF000000"/>
      </top>
      <bottom style="thin">
        <color rgb="FF000000"/>
      </bottom>
      <diagonal/>
    </border>
    <border>
      <left style="thin">
        <color rgb="FF000000"/>
      </left>
      <right/>
      <top style="thin">
        <color rgb="FF000000"/>
      </top>
      <bottom/>
      <diagonal/>
    </border>
    <border>
      <left style="double">
        <color rgb="FF000000"/>
      </left>
      <right style="double">
        <color rgb="FF000000"/>
      </right>
      <top style="thin">
        <color rgb="FF000000"/>
      </top>
      <bottom/>
      <diagonal/>
    </border>
    <border>
      <left style="double">
        <color rgb="FF000000"/>
      </left>
      <right/>
      <top style="medium">
        <color rgb="FF000000"/>
      </top>
      <bottom style="medium">
        <color rgb="FF000000"/>
      </bottom>
      <diagonal/>
    </border>
    <border>
      <left style="double">
        <color rgb="FF000000"/>
      </left>
      <right style="double">
        <color rgb="FF000000"/>
      </right>
      <top style="medium">
        <color rgb="FF000000"/>
      </top>
      <bottom style="medium">
        <color rgb="FF000000"/>
      </bottom>
      <diagonal/>
    </border>
    <border>
      <left/>
      <right style="double">
        <color rgb="FF000000"/>
      </right>
      <top style="medium">
        <color rgb="FF000000"/>
      </top>
      <bottom style="medium">
        <color rgb="FF000000"/>
      </bottom>
      <diagonal/>
    </border>
    <border>
      <left style="thin">
        <color rgb="FF000000"/>
      </left>
      <right style="double">
        <color rgb="FF000000"/>
      </right>
      <top style="medium">
        <color rgb="FF000000"/>
      </top>
      <bottom/>
      <diagonal/>
    </border>
    <border>
      <left style="double">
        <color rgb="FF000000"/>
      </left>
      <right style="double">
        <color rgb="FF000000"/>
      </right>
      <top style="thin">
        <color rgb="FF000000"/>
      </top>
      <bottom style="double">
        <color rgb="FF000000"/>
      </bottom>
      <diagonal/>
    </border>
    <border>
      <left/>
      <right style="double">
        <color rgb="FF000000"/>
      </right>
      <top style="thin">
        <color rgb="FF000000"/>
      </top>
      <bottom style="double">
        <color rgb="FF000000"/>
      </bottom>
      <diagonal/>
    </border>
    <border>
      <left style="double">
        <color rgb="FF000000"/>
      </left>
      <right style="medium">
        <color rgb="FF000000"/>
      </right>
      <top style="medium">
        <color rgb="FF000000"/>
      </top>
      <bottom/>
      <diagonal/>
    </border>
    <border>
      <left style="medium">
        <color rgb="FF000000"/>
      </left>
      <right style="double">
        <color rgb="FF000000"/>
      </right>
      <top style="medium">
        <color rgb="FF000000"/>
      </top>
      <bottom/>
      <diagonal/>
    </border>
    <border>
      <left style="double">
        <color rgb="FF000000"/>
      </left>
      <right style="medium">
        <color rgb="FF000000"/>
      </right>
      <top/>
      <bottom style="medium">
        <color rgb="FF000000"/>
      </bottom>
      <diagonal/>
    </border>
    <border>
      <left style="medium">
        <color rgb="FF000000"/>
      </left>
      <right style="double">
        <color rgb="FF000000"/>
      </right>
      <top/>
      <bottom style="medium">
        <color rgb="FF000000"/>
      </bottom>
      <diagonal/>
    </border>
    <border>
      <left style="double">
        <color rgb="FF000000"/>
      </left>
      <right style="double">
        <color rgb="FF000000"/>
      </right>
      <top style="medium">
        <color rgb="FF000000"/>
      </top>
      <bottom style="double">
        <color rgb="FF000000"/>
      </bottom>
      <diagonal/>
    </border>
    <border>
      <left/>
      <right style="double">
        <color rgb="FF000000"/>
      </right>
      <top style="medium">
        <color rgb="FF000000"/>
      </top>
      <bottom style="double">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top style="double">
        <color rgb="FF000000"/>
      </top>
      <bottom style="thin">
        <color rgb="FF000000"/>
      </bottom>
      <diagonal/>
    </border>
    <border>
      <left style="double">
        <color rgb="FF000000"/>
      </left>
      <right/>
      <top style="thin">
        <color rgb="FF000000"/>
      </top>
      <bottom style="thin">
        <color rgb="FF000000"/>
      </bottom>
      <diagonal/>
    </border>
    <border>
      <left style="double">
        <color rgb="FF000000"/>
      </left>
      <right/>
      <top style="thin">
        <color rgb="FF000000"/>
      </top>
      <bottom style="medium">
        <color rgb="FF000000"/>
      </bottom>
      <diagonal/>
    </border>
    <border>
      <left style="double">
        <color rgb="FF000000"/>
      </left>
      <right/>
      <top/>
      <bottom style="thin">
        <color rgb="FF000000"/>
      </bottom>
      <diagonal/>
    </border>
    <border>
      <left/>
      <right style="double">
        <color rgb="FF000000"/>
      </right>
      <top style="thin">
        <color rgb="FF000000"/>
      </top>
      <bottom/>
      <diagonal/>
    </border>
    <border>
      <left style="double">
        <color rgb="FF000000"/>
      </left>
      <right/>
      <top style="thin">
        <color rgb="FF000000"/>
      </top>
      <bottom style="double">
        <color rgb="FF000000"/>
      </bottom>
      <diagonal/>
    </border>
    <border>
      <left/>
      <right/>
      <top style="thin">
        <color rgb="FF000000"/>
      </top>
      <bottom style="double">
        <color rgb="FF000000"/>
      </bottom>
      <diagonal/>
    </border>
    <border>
      <left/>
      <right style="double">
        <color rgb="FF000000"/>
      </right>
      <top style="medium">
        <color rgb="FF000000"/>
      </top>
      <bottom style="double">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rgb="FF000000"/>
      </right>
      <top style="double">
        <color rgb="FF000000"/>
      </top>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style="double">
        <color rgb="FF000000"/>
      </right>
      <top/>
      <bottom/>
      <diagonal/>
    </border>
    <border>
      <left style="double">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double">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double">
        <color rgb="FF000000"/>
      </right>
      <top style="medium">
        <color rgb="FF000000"/>
      </top>
      <bottom style="medium">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rgb="FF000000"/>
      </bottom>
      <diagonal/>
    </border>
    <border>
      <left style="double">
        <color rgb="FF000000"/>
      </left>
      <right/>
      <top style="medium">
        <color rgb="FF000000"/>
      </top>
      <bottom style="thin">
        <color rgb="FF000000"/>
      </bottom>
      <diagonal/>
    </border>
    <border>
      <left/>
      <right/>
      <top style="thin">
        <color rgb="FF000000"/>
      </top>
      <bottom style="thin">
        <color rgb="FF000000"/>
      </bottom>
      <diagonal/>
    </border>
    <border>
      <left/>
      <right style="double">
        <color rgb="FF000000"/>
      </right>
      <top style="thin">
        <color rgb="FF000000"/>
      </top>
      <bottom style="thin">
        <color rgb="FF000000"/>
      </bottom>
      <diagonal/>
    </border>
    <border>
      <left/>
      <right style="double">
        <color rgb="FF000000"/>
      </right>
      <top/>
      <bottom style="double">
        <color rgb="FF000000"/>
      </bottom>
      <diagonal/>
    </border>
    <border>
      <left style="thin">
        <color rgb="FF000000"/>
      </left>
      <right/>
      <top/>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top style="medium">
        <color rgb="FF000000"/>
      </top>
      <bottom style="double">
        <color rgb="FF000000"/>
      </bottom>
      <diagonal/>
    </border>
    <border>
      <left style="medium">
        <color rgb="FF000000"/>
      </left>
      <right style="medium">
        <color rgb="FF000000"/>
      </right>
      <top style="medium">
        <color rgb="FF000000"/>
      </top>
      <bottom style="double">
        <color rgb="FF000000"/>
      </bottom>
      <diagonal/>
    </border>
    <border>
      <left/>
      <right/>
      <top style="thin">
        <color rgb="FF000000"/>
      </top>
      <bottom/>
      <diagonal/>
    </border>
    <border>
      <left style="thin">
        <color rgb="FFD0D7E5"/>
      </left>
      <right style="thin">
        <color rgb="FFD0D7E5"/>
      </right>
      <top style="thin">
        <color rgb="FFD0D7E5"/>
      </top>
      <bottom style="thin">
        <color rgb="FFD0D7E5"/>
      </bottom>
      <diagonal/>
    </border>
    <border>
      <left/>
      <right style="medium">
        <color rgb="FF000000"/>
      </right>
      <top style="medium">
        <color rgb="FF000000"/>
      </top>
      <bottom/>
      <diagonal/>
    </border>
    <border>
      <left style="medium">
        <color rgb="FF000000"/>
      </left>
      <right/>
      <top style="thin">
        <color rgb="FF000000"/>
      </top>
      <bottom/>
      <diagonal/>
    </border>
    <border>
      <left style="thin">
        <color rgb="FF000000"/>
      </left>
      <right style="medium">
        <color rgb="FF000000"/>
      </right>
      <top/>
      <bottom style="medium">
        <color rgb="FF000000"/>
      </bottom>
      <diagonal/>
    </border>
    <border>
      <left/>
      <right style="thin">
        <color rgb="FF000000"/>
      </right>
      <top style="thin">
        <color rgb="FF000000"/>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ck">
        <color rgb="FFFF0000"/>
      </left>
      <right style="thin">
        <color rgb="FF000000"/>
      </right>
      <top style="medium">
        <color rgb="FF000000"/>
      </top>
      <bottom/>
      <diagonal/>
    </border>
    <border>
      <left style="thin">
        <color rgb="FF000000"/>
      </left>
      <right style="thick">
        <color rgb="FFFF0000"/>
      </right>
      <top style="medium">
        <color rgb="FF000000"/>
      </top>
      <bottom/>
      <diagonal/>
    </border>
    <border>
      <left/>
      <right/>
      <top style="medium">
        <color rgb="FF000000"/>
      </top>
      <bottom/>
      <diagonal/>
    </border>
    <border>
      <left style="thick">
        <color rgb="FF000000"/>
      </left>
      <right style="thin">
        <color rgb="FF000000"/>
      </right>
      <top/>
      <bottom style="medium">
        <color rgb="FF000000"/>
      </bottom>
      <diagonal/>
    </border>
    <border>
      <left style="thin">
        <color rgb="FF000000"/>
      </left>
      <right/>
      <top/>
      <bottom style="medium">
        <color rgb="FF000000"/>
      </bottom>
      <diagonal/>
    </border>
    <border>
      <left style="thick">
        <color rgb="FFFF0000"/>
      </left>
      <right style="thin">
        <color rgb="FF000000"/>
      </right>
      <top/>
      <bottom style="medium">
        <color rgb="FF000000"/>
      </bottom>
      <diagonal/>
    </border>
    <border>
      <left style="thin">
        <color rgb="FF000000"/>
      </left>
      <right style="thick">
        <color rgb="FFFF0000"/>
      </right>
      <top/>
      <bottom style="medium">
        <color rgb="FF000000"/>
      </bottom>
      <diagonal/>
    </border>
    <border>
      <left/>
      <right/>
      <top/>
      <bottom style="medium">
        <color rgb="FF000000"/>
      </bottom>
      <diagonal/>
    </border>
    <border>
      <left style="thick">
        <color rgb="FF000000"/>
      </left>
      <right style="thin">
        <color rgb="FF000000"/>
      </right>
      <top style="medium">
        <color rgb="FF000000"/>
      </top>
      <bottom style="thin">
        <color rgb="FF000000"/>
      </bottom>
      <diagonal/>
    </border>
    <border>
      <left style="thick">
        <color rgb="FFFF0000"/>
      </left>
      <right style="thin">
        <color rgb="FF000000"/>
      </right>
      <top style="medium">
        <color rgb="FF000000"/>
      </top>
      <bottom style="thin">
        <color rgb="FF000000"/>
      </bottom>
      <diagonal/>
    </border>
    <border>
      <left style="thin">
        <color rgb="FF000000"/>
      </left>
      <right style="thick">
        <color rgb="FFFF0000"/>
      </right>
      <top style="medium">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ck">
        <color rgb="FFFF0000"/>
      </left>
      <right style="thin">
        <color rgb="FF000000"/>
      </right>
      <top style="thin">
        <color rgb="FF000000"/>
      </top>
      <bottom style="thin">
        <color rgb="FF000000"/>
      </bottom>
      <diagonal/>
    </border>
    <border>
      <left style="thin">
        <color rgb="FF000000"/>
      </left>
      <right style="thick">
        <color rgb="FFFF0000"/>
      </right>
      <top style="thin">
        <color rgb="FF000000"/>
      </top>
      <bottom style="thin">
        <color rgb="FF000000"/>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top style="thin">
        <color rgb="FF000000"/>
      </top>
      <bottom style="thin">
        <color rgb="FF000000"/>
      </bottom>
      <diagonal/>
    </border>
    <border>
      <left style="thick">
        <color rgb="FFFF0000"/>
      </left>
      <right style="thin">
        <color rgb="FF000000"/>
      </right>
      <top style="thick">
        <color rgb="FFFF0000"/>
      </top>
      <bottom/>
      <diagonal/>
    </border>
    <border>
      <left style="thin">
        <color rgb="FF000000"/>
      </left>
      <right style="thin">
        <color rgb="FF000000"/>
      </right>
      <top style="thick">
        <color rgb="FFFF0000"/>
      </top>
      <bottom/>
      <diagonal/>
    </border>
    <border>
      <left style="thin">
        <color rgb="FF000000"/>
      </left>
      <right style="thick">
        <color rgb="FFFF0000"/>
      </right>
      <top style="thick">
        <color rgb="FFFF0000"/>
      </top>
      <bottom/>
      <diagonal/>
    </border>
    <border>
      <left style="thick">
        <color rgb="FFFF0000"/>
      </left>
      <right style="thin">
        <color rgb="FF000000"/>
      </right>
      <top style="thick">
        <color rgb="FFFF0000"/>
      </top>
      <bottom style="thin">
        <color rgb="FF000000"/>
      </bottom>
      <diagonal/>
    </border>
    <border>
      <left style="thin">
        <color rgb="FF000000"/>
      </left>
      <right style="thin">
        <color rgb="FF000000"/>
      </right>
      <top style="thick">
        <color rgb="FFFF0000"/>
      </top>
      <bottom style="thin">
        <color rgb="FF000000"/>
      </bottom>
      <diagonal/>
    </border>
    <border>
      <left style="thin">
        <color rgb="FF000000"/>
      </left>
      <right style="thick">
        <color rgb="FFFF0000"/>
      </right>
      <top style="thick">
        <color rgb="FFFF0000"/>
      </top>
      <bottom style="thin">
        <color rgb="FF000000"/>
      </bottom>
      <diagonal/>
    </border>
    <border>
      <left style="thick">
        <color rgb="FFFF0000"/>
      </left>
      <right style="thin">
        <color rgb="FF000000"/>
      </right>
      <top style="medium">
        <color rgb="FFFF0000"/>
      </top>
      <bottom style="medium">
        <color rgb="FF000000"/>
      </bottom>
      <diagonal/>
    </border>
    <border>
      <left style="thin">
        <color rgb="FF000000"/>
      </left>
      <right style="thin">
        <color rgb="FF000000"/>
      </right>
      <top style="medium">
        <color rgb="FFFF0000"/>
      </top>
      <bottom style="medium">
        <color rgb="FF000000"/>
      </bottom>
      <diagonal/>
    </border>
    <border>
      <left style="thin">
        <color rgb="FF000000"/>
      </left>
      <right style="thick">
        <color rgb="FFFF0000"/>
      </right>
      <top style="medium">
        <color rgb="FFFF0000"/>
      </top>
      <bottom style="medium">
        <color rgb="FF000000"/>
      </bottom>
      <diagonal/>
    </border>
    <border>
      <left style="thick">
        <color rgb="FFFF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ck">
        <color rgb="FFFF0000"/>
      </right>
      <top style="thin">
        <color rgb="FF000000"/>
      </top>
      <bottom/>
      <diagonal/>
    </border>
    <border>
      <left style="thick">
        <color rgb="FFFF0000"/>
      </left>
      <right style="thin">
        <color rgb="FF000000"/>
      </right>
      <top style="medium">
        <color rgb="FF000000"/>
      </top>
      <bottom style="medium">
        <color rgb="FF000000"/>
      </bottom>
      <diagonal/>
    </border>
    <border>
      <left style="thick">
        <color rgb="FFFF0000"/>
      </left>
      <right style="thin">
        <color rgb="FF000000"/>
      </right>
      <top style="thin">
        <color rgb="FF000000"/>
      </top>
      <bottom style="medium">
        <color rgb="FF000000"/>
      </bottom>
      <diagonal/>
    </border>
    <border>
      <left style="thin">
        <color rgb="FF000000"/>
      </left>
      <right style="thick">
        <color rgb="FFFF0000"/>
      </right>
      <top style="thin">
        <color rgb="FF000000"/>
      </top>
      <bottom style="medium">
        <color rgb="FF000000"/>
      </bottom>
      <diagonal/>
    </border>
    <border>
      <left/>
      <right/>
      <top style="thin">
        <color rgb="FF000000"/>
      </top>
      <bottom style="medium">
        <color rgb="FF000000"/>
      </bottom>
      <diagonal/>
    </border>
    <border>
      <left style="thin">
        <color rgb="FF000000"/>
      </left>
      <right style="thin">
        <color rgb="FF000000"/>
      </right>
      <top/>
      <bottom style="thin">
        <color rgb="FF000000"/>
      </bottom>
      <diagonal/>
    </border>
    <border>
      <left style="thick">
        <color rgb="FFFF0000"/>
      </left>
      <right style="thin">
        <color rgb="FF000000"/>
      </right>
      <top/>
      <bottom style="thin">
        <color rgb="FF000000"/>
      </bottom>
      <diagonal/>
    </border>
    <border>
      <left style="thin">
        <color rgb="FF000000"/>
      </left>
      <right style="thick">
        <color rgb="FFFF0000"/>
      </right>
      <top/>
      <bottom style="thin">
        <color rgb="FF000000"/>
      </bottom>
      <diagonal/>
    </border>
    <border>
      <left style="thick">
        <color rgb="FFFF0000"/>
      </left>
      <right style="thin">
        <color rgb="FF000000"/>
      </right>
      <top/>
      <bottom style="thin">
        <color rgb="FF000000"/>
      </bottom>
      <diagonal/>
    </border>
    <border>
      <left/>
      <right style="thick">
        <color rgb="FFFF0000"/>
      </right>
      <top/>
      <bottom/>
      <diagonal/>
    </border>
    <border>
      <left style="thick">
        <color rgb="FFFF0000"/>
      </left>
      <right style="thin">
        <color rgb="FF000000"/>
      </right>
      <top style="thin">
        <color rgb="FF000000"/>
      </top>
      <bottom style="thick">
        <color rgb="FFFF0000"/>
      </bottom>
      <diagonal/>
    </border>
    <border>
      <left style="thin">
        <color rgb="FF000000"/>
      </left>
      <right style="thin">
        <color rgb="FF000000"/>
      </right>
      <top style="thin">
        <color rgb="FF000000"/>
      </top>
      <bottom style="thick">
        <color rgb="FFFF0000"/>
      </bottom>
      <diagonal/>
    </border>
    <border>
      <left style="thin">
        <color rgb="FF000000"/>
      </left>
      <right style="thick">
        <color rgb="FFFF0000"/>
      </right>
      <top style="thin">
        <color rgb="FF000000"/>
      </top>
      <bottom style="thick">
        <color rgb="FFFF0000"/>
      </bottom>
      <diagonal/>
    </border>
    <border>
      <left style="thick">
        <color rgb="FF000000"/>
      </left>
      <right style="thin">
        <color rgb="FF000000"/>
      </right>
      <top style="thick">
        <color rgb="FF000000"/>
      </top>
      <bottom/>
      <diagonal/>
    </border>
    <border>
      <left style="thin">
        <color rgb="FF000000"/>
      </left>
      <right style="thin">
        <color rgb="FF000000"/>
      </right>
      <top style="thick">
        <color rgb="FF000000"/>
      </top>
      <bottom/>
      <diagonal/>
    </border>
    <border>
      <left style="thin">
        <color rgb="FF000000"/>
      </left>
      <right style="thick">
        <color rgb="FF000000"/>
      </right>
      <top style="thick">
        <color rgb="FF000000"/>
      </top>
      <bottom/>
      <diagonal/>
    </border>
    <border>
      <left style="thick">
        <color rgb="FF000000"/>
      </left>
      <right style="thin">
        <color rgb="FF000000"/>
      </right>
      <top/>
      <bottom/>
      <diagonal/>
    </border>
    <border>
      <left style="thin">
        <color rgb="FF000000"/>
      </left>
      <right style="thick">
        <color rgb="FF000000"/>
      </right>
      <top/>
      <bottom/>
      <diagonal/>
    </border>
    <border>
      <left style="thin">
        <color rgb="FF000000"/>
      </left>
      <right style="thick">
        <color rgb="FF000000"/>
      </right>
      <top style="medium">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double">
        <color rgb="FF000000"/>
      </left>
      <right style="double">
        <color rgb="FF000000"/>
      </right>
      <top style="double">
        <color rgb="FF000000"/>
      </top>
      <bottom/>
      <diagonal/>
    </border>
    <border>
      <left style="double">
        <color rgb="FF000000"/>
      </left>
      <right style="double">
        <color rgb="FF000000"/>
      </right>
      <top/>
      <bottom style="medium">
        <color rgb="FF000000"/>
      </bottom>
      <diagonal/>
    </border>
    <border>
      <left style="double">
        <color rgb="FF000000"/>
      </left>
      <right style="double">
        <color rgb="FF000000"/>
      </right>
      <top/>
      <bottom/>
      <diagonal/>
    </border>
    <border>
      <left/>
      <right/>
      <top style="thin">
        <color rgb="FF000000"/>
      </top>
      <bottom style="double">
        <color rgb="FF000000"/>
      </bottom>
      <diagonal/>
    </border>
    <border>
      <left style="thin">
        <color rgb="FF000000"/>
      </left>
      <right style="thin">
        <color rgb="FF000000"/>
      </right>
      <top/>
      <bottom/>
      <diagonal/>
    </border>
    <border>
      <left style="double">
        <color rgb="FF000000"/>
      </left>
      <right/>
      <top style="thin">
        <color rgb="FF000000"/>
      </top>
      <bottom style="thin">
        <color rgb="FF000000"/>
      </bottom>
      <diagonal/>
    </border>
    <border>
      <left style="medium">
        <color rgb="FF000000"/>
      </left>
      <right style="medium">
        <color rgb="FF000000"/>
      </right>
      <top style="double">
        <color rgb="FF000000"/>
      </top>
      <bottom/>
      <diagonal/>
    </border>
    <border>
      <left/>
      <right/>
      <top style="double">
        <color rgb="FF000000"/>
      </top>
      <bottom style="medium">
        <color rgb="FF000000"/>
      </bottom>
      <diagonal/>
    </border>
    <border>
      <left/>
      <right/>
      <top style="double">
        <color rgb="FF000000"/>
      </top>
      <bottom style="medium">
        <color rgb="FF000000"/>
      </bottom>
      <diagonal/>
    </border>
    <border>
      <left/>
      <right style="medium">
        <color rgb="FF000000"/>
      </right>
      <top style="double">
        <color rgb="FF000000"/>
      </top>
      <bottom style="medium">
        <color rgb="FF000000"/>
      </bottom>
      <diagonal/>
    </border>
    <border>
      <left style="medium">
        <color rgb="FF000000"/>
      </left>
      <right/>
      <top style="double">
        <color rgb="FF000000"/>
      </top>
      <bottom/>
      <diagonal/>
    </border>
    <border>
      <left style="medium">
        <color rgb="FF000000"/>
      </left>
      <right style="double">
        <color rgb="FF000000"/>
      </right>
      <top style="double">
        <color rgb="FF000000"/>
      </top>
      <bottom/>
      <diagonal/>
    </border>
    <border>
      <left style="double">
        <color rgb="FF000000"/>
      </left>
      <right/>
      <top/>
      <bottom/>
      <diagonal/>
    </border>
    <border>
      <left style="medium">
        <color rgb="FF000000"/>
      </left>
      <right style="medium">
        <color rgb="FF000000"/>
      </right>
      <top style="medium">
        <color rgb="FF000000"/>
      </top>
      <bottom/>
      <diagonal/>
    </border>
    <border>
      <left style="medium">
        <color rgb="FF000000"/>
      </left>
      <right/>
      <top/>
      <bottom/>
      <diagonal/>
    </border>
    <border>
      <left style="medium">
        <color rgb="FF000000"/>
      </left>
      <right style="double">
        <color rgb="FF000000"/>
      </right>
      <top/>
      <bottom/>
      <diagonal/>
    </border>
    <border>
      <left style="double">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double">
        <color rgb="FF000000"/>
      </right>
      <top/>
      <bottom style="medium">
        <color rgb="FF000000"/>
      </bottom>
      <diagonal/>
    </border>
    <border>
      <left/>
      <right style="medium">
        <color rgb="FF000000"/>
      </right>
      <top style="medium">
        <color rgb="FF000000"/>
      </top>
      <bottom style="double">
        <color rgb="FF000000"/>
      </bottom>
      <diagonal/>
    </border>
    <border>
      <left style="medium">
        <color rgb="FF000000"/>
      </left>
      <right style="medium">
        <color rgb="FF000000"/>
      </right>
      <top/>
      <bottom style="double">
        <color rgb="FF000000"/>
      </bottom>
      <diagonal/>
    </border>
    <border>
      <left style="medium">
        <color rgb="FF000000"/>
      </left>
      <right/>
      <top/>
      <bottom style="double">
        <color rgb="FF000000"/>
      </bottom>
      <diagonal/>
    </border>
    <border>
      <left style="medium">
        <color rgb="FF000000"/>
      </left>
      <right style="double">
        <color rgb="FF000000"/>
      </right>
      <top/>
      <bottom style="double">
        <color rgb="FF000000"/>
      </bottom>
      <diagonal/>
    </border>
    <border>
      <left style="double">
        <color rgb="FF000000"/>
      </left>
      <right/>
      <top style="double">
        <color rgb="FF000000"/>
      </top>
      <bottom style="medium">
        <color rgb="FF000000"/>
      </bottom>
      <diagonal/>
    </border>
    <border>
      <left/>
      <right style="double">
        <color rgb="FF000000"/>
      </right>
      <top style="double">
        <color rgb="FF000000"/>
      </top>
      <bottom style="medium">
        <color rgb="FF000000"/>
      </bottom>
      <diagonal/>
    </border>
    <border>
      <left style="double">
        <color rgb="FF000000"/>
      </left>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double">
        <color rgb="FF000000"/>
      </top>
      <bottom style="thin">
        <color rgb="FF000000"/>
      </bottom>
      <diagonal/>
    </border>
    <border>
      <left style="thin">
        <color rgb="FF000000"/>
      </left>
      <right style="medium">
        <color rgb="FF000000"/>
      </right>
      <top style="double">
        <color rgb="FF000000"/>
      </top>
      <bottom style="thin">
        <color rgb="FF000000"/>
      </bottom>
      <diagonal/>
    </border>
    <border>
      <left style="medium">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n">
        <color rgb="FF000000"/>
      </left>
      <right style="thick">
        <color rgb="FF000000"/>
      </right>
      <top style="thin">
        <color rgb="FF000000"/>
      </top>
      <bottom style="thin">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double">
        <color rgb="FF000000"/>
      </left>
      <right style="thin">
        <color rgb="FF000000"/>
      </right>
      <top style="thick">
        <color rgb="FF000000"/>
      </top>
      <bottom style="thin">
        <color rgb="FF000000"/>
      </bottom>
      <diagonal/>
    </border>
    <border>
      <left style="thin">
        <color rgb="FF000000"/>
      </left>
      <right style="double">
        <color rgb="FF000000"/>
      </right>
      <top style="thick">
        <color rgb="FF000000"/>
      </top>
      <bottom style="thin">
        <color rgb="FF000000"/>
      </bottom>
      <diagonal/>
    </border>
    <border>
      <left style="double">
        <color rgb="FF000000"/>
      </left>
      <right style="thin">
        <color rgb="FF000000"/>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style="thin">
        <color rgb="FF000000"/>
      </left>
      <right style="double">
        <color rgb="FF000000"/>
      </right>
      <top style="thick">
        <color rgb="FF000000"/>
      </top>
      <bottom style="thick">
        <color rgb="FF000000"/>
      </bottom>
      <diagonal/>
    </border>
    <border>
      <left style="double">
        <color rgb="FF000000"/>
      </left>
      <right style="thin">
        <color rgb="FF000000"/>
      </right>
      <top/>
      <bottom/>
      <diagonal/>
    </border>
    <border>
      <left style="double">
        <color rgb="FF000000"/>
      </left>
      <right style="thin">
        <color rgb="FF000000"/>
      </right>
      <top style="medium">
        <color rgb="FF000000"/>
      </top>
      <bottom style="medium">
        <color rgb="FF000000"/>
      </bottom>
      <diagonal/>
    </border>
    <border>
      <left style="double">
        <color rgb="FF000000"/>
      </left>
      <right/>
      <top/>
      <bottom style="thick">
        <color rgb="FF000000"/>
      </bottom>
      <diagonal/>
    </border>
    <border>
      <left/>
      <right style="double">
        <color rgb="FF000000"/>
      </right>
      <top/>
      <bottom style="thick">
        <color rgb="FF000000"/>
      </bottom>
      <diagonal/>
    </border>
    <border>
      <left style="double">
        <color rgb="FF000000"/>
      </left>
      <right style="thin">
        <color rgb="FF000000"/>
      </right>
      <top style="thin">
        <color rgb="FF000000"/>
      </top>
      <bottom/>
      <diagonal/>
    </border>
    <border>
      <left style="thin">
        <color rgb="FF000000"/>
      </left>
      <right style="double">
        <color rgb="FF000000"/>
      </right>
      <top style="thin">
        <color rgb="FF000000"/>
      </top>
      <bottom/>
      <diagonal/>
    </border>
    <border>
      <left style="thin">
        <color rgb="FF000000"/>
      </left>
      <right style="thin">
        <color rgb="FF000000"/>
      </right>
      <top/>
      <bottom style="thick">
        <color rgb="FF000000"/>
      </bottom>
      <diagonal/>
    </border>
    <border>
      <left style="double">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n">
        <color rgb="FF000000"/>
      </left>
      <right/>
      <top/>
      <bottom/>
      <diagonal/>
    </border>
    <border>
      <left style="thin">
        <color rgb="FF000000"/>
      </left>
      <right/>
      <top style="medium">
        <color rgb="FF000000"/>
      </top>
      <bottom style="medium">
        <color rgb="FF000000"/>
      </bottom>
      <diagonal/>
    </border>
    <border>
      <left style="medium">
        <color rgb="FF000000"/>
      </left>
      <right style="thin">
        <color rgb="FF000000"/>
      </right>
      <top style="thick">
        <color rgb="FF000000"/>
      </top>
      <bottom style="thin">
        <color rgb="FF000000"/>
      </bottom>
      <diagonal/>
    </border>
    <border>
      <left style="thin">
        <color rgb="FF000000"/>
      </left>
      <right/>
      <top style="thick">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style="medium">
        <color rgb="FF000000"/>
      </top>
      <bottom style="thin">
        <color rgb="FF000000"/>
      </bottom>
      <diagonal/>
    </border>
    <border>
      <left style="medium">
        <color rgb="FF000000"/>
      </left>
      <right/>
      <top style="medium">
        <color rgb="FF000000"/>
      </top>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right/>
      <top/>
      <bottom style="double">
        <color rgb="FF000000"/>
      </bottom>
      <diagonal/>
    </border>
    <border>
      <left/>
      <right/>
      <top/>
      <bottom style="double">
        <color rgb="FF000000"/>
      </bottom>
      <diagonal/>
    </border>
    <border>
      <left style="double">
        <color rgb="FF000000"/>
      </left>
      <right style="thin">
        <color rgb="FF000000"/>
      </right>
      <top/>
      <bottom style="double">
        <color rgb="FF000000"/>
      </bottom>
      <diagonal/>
    </border>
    <border>
      <left/>
      <right style="thin">
        <color rgb="FF000000"/>
      </right>
      <top style="medium">
        <color rgb="FF000000"/>
      </top>
      <bottom style="medium">
        <color rgb="FF000000"/>
      </bottom>
      <diagonal/>
    </border>
    <border>
      <left style="thin">
        <color rgb="FF000000"/>
      </left>
      <right/>
      <top/>
      <bottom style="thin">
        <color rgb="FF000000"/>
      </bottom>
      <diagonal/>
    </border>
    <border>
      <left/>
      <right style="medium">
        <color rgb="FF000000"/>
      </right>
      <top/>
      <bottom/>
      <diagonal/>
    </border>
    <border>
      <left style="thin">
        <color rgb="FF000000"/>
      </left>
      <right/>
      <top style="medium">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ck">
        <color rgb="FF000000"/>
      </top>
      <bottom style="thin">
        <color rgb="FF000000"/>
      </bottom>
      <diagonal/>
    </border>
    <border>
      <left style="thick">
        <color rgb="FF000000"/>
      </left>
      <right style="thin">
        <color rgb="FF000000"/>
      </right>
      <top style="thin">
        <color rgb="FF000000"/>
      </top>
      <bottom style="medium">
        <color rgb="FF000000"/>
      </bottom>
      <diagonal/>
    </border>
    <border>
      <left style="medium">
        <color rgb="FF000000"/>
      </left>
      <right/>
      <top/>
      <bottom style="thin">
        <color rgb="FF000000"/>
      </bottom>
      <diagonal/>
    </border>
    <border>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style="medium">
        <color rgb="FF000000"/>
      </left>
      <right style="medium">
        <color rgb="FF000000"/>
      </right>
      <top style="thin">
        <color rgb="FF000000"/>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style="thick">
        <color rgb="FF000000"/>
      </left>
      <right/>
      <top style="thick">
        <color rgb="FF000000"/>
      </top>
      <bottom style="thick">
        <color rgb="FF000000"/>
      </bottom>
      <diagonal/>
    </border>
    <border>
      <left style="medium">
        <color indexed="64"/>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indexed="64"/>
      </right>
      <top style="medium">
        <color indexed="64"/>
      </top>
      <bottom style="thin">
        <color rgb="FF000000"/>
      </bottom>
      <diagonal/>
    </border>
    <border>
      <left style="medium">
        <color indexed="64"/>
      </left>
      <right/>
      <top style="medium">
        <color rgb="FF000000"/>
      </top>
      <bottom style="thin">
        <color rgb="FF000000"/>
      </bottom>
      <diagonal/>
    </border>
    <border>
      <left style="medium">
        <color indexed="64"/>
      </left>
      <right style="medium">
        <color rgb="FFC0C0C0"/>
      </right>
      <top/>
      <bottom style="thin">
        <color rgb="FF000000"/>
      </bottom>
      <diagonal/>
    </border>
    <border>
      <left style="medium">
        <color rgb="FF000000"/>
      </left>
      <right style="medium">
        <color indexed="64"/>
      </right>
      <top style="thin">
        <color rgb="FF000000"/>
      </top>
      <bottom style="thin">
        <color rgb="FF000000"/>
      </bottom>
      <diagonal/>
    </border>
    <border>
      <left style="medium">
        <color indexed="64"/>
      </left>
      <right/>
      <top style="thin">
        <color rgb="FF000000"/>
      </top>
      <bottom style="thin">
        <color rgb="FFC0C0C0"/>
      </bottom>
      <diagonal/>
    </border>
    <border>
      <left style="medium">
        <color indexed="64"/>
      </left>
      <right/>
      <top style="thin">
        <color rgb="FFC0C0C0"/>
      </top>
      <bottom style="thin">
        <color rgb="FFC0C0C0"/>
      </bottom>
      <diagonal/>
    </border>
    <border>
      <left style="medium">
        <color indexed="64"/>
      </left>
      <right/>
      <top style="thin">
        <color rgb="FFC0C0C0"/>
      </top>
      <bottom style="thin">
        <color rgb="FF000000"/>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medium">
        <color auto="1"/>
      </left>
      <right style="thin">
        <color auto="1"/>
      </right>
      <top style="thin">
        <color auto="1"/>
      </top>
      <bottom style="thin">
        <color auto="1"/>
      </bottom>
      <diagonal/>
    </border>
    <border>
      <left style="medium">
        <color rgb="FF000000"/>
      </left>
      <right style="medium">
        <color indexed="64"/>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style="medium">
        <color rgb="FF000000"/>
      </right>
      <top style="thin">
        <color rgb="FF000000"/>
      </top>
      <bottom style="medium">
        <color indexed="64"/>
      </bottom>
      <diagonal/>
    </border>
    <border>
      <left style="medium">
        <color indexed="64"/>
      </left>
      <right/>
      <top style="thin">
        <color rgb="FF000000"/>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rgb="FF000000"/>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indexed="64"/>
      </left>
      <right style="medium">
        <color rgb="FF000000"/>
      </right>
      <top style="thin">
        <color rgb="FF000000"/>
      </top>
      <bottom/>
      <diagonal/>
    </border>
    <border>
      <left style="medium">
        <color rgb="FF000000"/>
      </left>
      <right style="medium">
        <color indexed="64"/>
      </right>
      <top/>
      <bottom/>
      <diagonal/>
    </border>
    <border>
      <left style="medium">
        <color rgb="FF000000"/>
      </left>
      <right style="medium">
        <color indexed="64"/>
      </right>
      <top style="thin">
        <color rgb="FF000000"/>
      </top>
      <bottom/>
      <diagonal/>
    </border>
    <border>
      <left style="medium">
        <color indexed="64"/>
      </left>
      <right style="medium">
        <color rgb="FF000000"/>
      </right>
      <top style="thin">
        <color rgb="FF000000"/>
      </top>
      <bottom style="medium">
        <color indexed="64"/>
      </bottom>
      <diagonal/>
    </border>
    <border>
      <left style="medium">
        <color rgb="FF000000"/>
      </left>
      <right style="medium">
        <color rgb="FF000000"/>
      </right>
      <top style="thin">
        <color rgb="FF000000"/>
      </top>
      <bottom style="medium">
        <color indexed="64"/>
      </bottom>
      <diagonal/>
    </border>
  </borders>
  <cellStyleXfs count="1">
    <xf numFmtId="0" fontId="0" fillId="0" borderId="0"/>
  </cellStyleXfs>
  <cellXfs count="3073">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0" fontId="4" fillId="0" borderId="3" xfId="0" applyFont="1" applyBorder="1" applyAlignment="1">
      <alignment horizontal="right"/>
    </xf>
    <xf numFmtId="0" fontId="4" fillId="0" borderId="4" xfId="0" applyFont="1" applyBorder="1" applyAlignment="1">
      <alignment horizontal="center"/>
    </xf>
    <xf numFmtId="165" fontId="8" fillId="0" borderId="0" xfId="0" applyNumberFormat="1" applyFont="1"/>
    <xf numFmtId="0" fontId="8" fillId="0" borderId="0" xfId="0" applyFont="1"/>
    <xf numFmtId="164" fontId="3" fillId="0" borderId="0" xfId="0" applyNumberFormat="1" applyFont="1"/>
    <xf numFmtId="165" fontId="3" fillId="0" borderId="0" xfId="0" applyNumberFormat="1" applyFont="1"/>
    <xf numFmtId="0" fontId="3" fillId="2" borderId="4" xfId="0" applyFont="1" applyFill="1" applyBorder="1" applyAlignment="1">
      <alignment horizontal="left"/>
    </xf>
    <xf numFmtId="0" fontId="3" fillId="2" borderId="4" xfId="0" applyFont="1" applyFill="1" applyBorder="1" applyAlignment="1">
      <alignment horizontal="right"/>
    </xf>
    <xf numFmtId="3" fontId="3" fillId="2" borderId="4" xfId="0" applyNumberFormat="1" applyFont="1" applyFill="1" applyBorder="1" applyAlignment="1">
      <alignment horizontal="right"/>
    </xf>
    <xf numFmtId="0" fontId="7" fillId="6" borderId="0" xfId="0" applyFont="1" applyFill="1"/>
    <xf numFmtId="0" fontId="8" fillId="6" borderId="0" xfId="0" applyFont="1" applyFill="1"/>
    <xf numFmtId="0" fontId="14" fillId="0" borderId="0" xfId="0" applyFont="1"/>
    <xf numFmtId="0" fontId="15" fillId="0" borderId="0" xfId="0" applyFont="1" applyAlignment="1">
      <alignment horizontal="center" wrapText="1"/>
    </xf>
    <xf numFmtId="0" fontId="15" fillId="7" borderId="4" xfId="0" applyFont="1" applyFill="1" applyBorder="1" applyAlignment="1">
      <alignment horizontal="center" wrapText="1"/>
    </xf>
    <xf numFmtId="0" fontId="16" fillId="0" borderId="4" xfId="0" applyFont="1" applyBorder="1" applyAlignment="1">
      <alignment horizontal="center" wrapText="1"/>
    </xf>
    <xf numFmtId="0" fontId="8" fillId="2" borderId="0" xfId="0" applyFont="1" applyFill="1"/>
    <xf numFmtId="0" fontId="18" fillId="0" borderId="0" xfId="0" applyFont="1"/>
    <xf numFmtId="0" fontId="18" fillId="0" borderId="4" xfId="0" applyFont="1" applyBorder="1"/>
    <xf numFmtId="0" fontId="18" fillId="0" borderId="1" xfId="0" applyFont="1" applyBorder="1"/>
    <xf numFmtId="0" fontId="18" fillId="8" borderId="4" xfId="0" applyFont="1" applyFill="1" applyBorder="1" applyAlignment="1">
      <alignment horizontal="center"/>
    </xf>
    <xf numFmtId="0" fontId="4" fillId="0" borderId="4" xfId="0" applyFont="1" applyBorder="1"/>
    <xf numFmtId="0" fontId="4" fillId="0" borderId="0" xfId="0" applyFont="1" applyAlignment="1">
      <alignment horizontal="center"/>
    </xf>
    <xf numFmtId="0" fontId="18" fillId="9" borderId="4" xfId="0" applyFont="1" applyFill="1" applyBorder="1"/>
    <xf numFmtId="168" fontId="4" fillId="0" borderId="4" xfId="0" applyNumberFormat="1" applyFont="1" applyBorder="1"/>
    <xf numFmtId="0" fontId="15" fillId="0" borderId="4" xfId="0" applyFont="1" applyBorder="1"/>
    <xf numFmtId="0" fontId="15" fillId="10" borderId="4" xfId="0" applyFont="1" applyFill="1" applyBorder="1"/>
    <xf numFmtId="0" fontId="18" fillId="11" borderId="4" xfId="0" applyFont="1" applyFill="1" applyBorder="1" applyAlignment="1">
      <alignment horizontal="center"/>
    </xf>
    <xf numFmtId="0" fontId="18" fillId="2" borderId="28" xfId="0" applyFont="1" applyFill="1" applyBorder="1"/>
    <xf numFmtId="169" fontId="19" fillId="2" borderId="29" xfId="0" applyNumberFormat="1" applyFont="1" applyFill="1" applyBorder="1" applyAlignment="1">
      <alignment horizontal="right"/>
    </xf>
    <xf numFmtId="0" fontId="20" fillId="0" borderId="28" xfId="0" applyFont="1" applyBorder="1"/>
    <xf numFmtId="169" fontId="21" fillId="0" borderId="29" xfId="0" applyNumberFormat="1" applyFont="1" applyBorder="1" applyAlignment="1">
      <alignment horizontal="right"/>
    </xf>
    <xf numFmtId="0" fontId="8" fillId="0" borderId="30" xfId="0" applyFont="1" applyBorder="1"/>
    <xf numFmtId="0" fontId="8" fillId="0" borderId="28" xfId="0" applyFont="1" applyBorder="1"/>
    <xf numFmtId="0" fontId="23" fillId="8" borderId="29" xfId="0" applyFont="1" applyFill="1" applyBorder="1" applyAlignment="1">
      <alignment horizontal="right"/>
    </xf>
    <xf numFmtId="0" fontId="23" fillId="8" borderId="30" xfId="0" applyFont="1" applyFill="1" applyBorder="1" applyAlignment="1">
      <alignment horizontal="right"/>
    </xf>
    <xf numFmtId="0" fontId="23" fillId="0" borderId="28" xfId="0" applyFont="1" applyBorder="1" applyAlignment="1">
      <alignment horizontal="left"/>
    </xf>
    <xf numFmtId="0" fontId="24" fillId="2" borderId="29" xfId="0" applyFont="1" applyFill="1" applyBorder="1" applyAlignment="1">
      <alignment horizontal="right"/>
    </xf>
    <xf numFmtId="0" fontId="24" fillId="2" borderId="30" xfId="0" applyFont="1" applyFill="1" applyBorder="1" applyAlignment="1">
      <alignment horizontal="right"/>
    </xf>
    <xf numFmtId="0" fontId="4" fillId="0" borderId="4" xfId="0" applyFont="1" applyBorder="1" applyAlignment="1">
      <alignment horizontal="center" wrapText="1"/>
    </xf>
    <xf numFmtId="0" fontId="4" fillId="0" borderId="2" xfId="0" applyFont="1" applyBorder="1" applyAlignment="1">
      <alignment horizontal="center" wrapText="1"/>
    </xf>
    <xf numFmtId="3" fontId="4" fillId="0" borderId="29" xfId="0" applyNumberFormat="1" applyFont="1" applyBorder="1" applyAlignment="1">
      <alignment horizontal="center" wrapText="1"/>
    </xf>
    <xf numFmtId="9" fontId="4" fillId="0" borderId="29" xfId="0" applyNumberFormat="1" applyFont="1" applyBorder="1" applyAlignment="1">
      <alignment horizontal="center" wrapText="1"/>
    </xf>
    <xf numFmtId="0" fontId="4" fillId="0" borderId="29" xfId="0" applyFont="1" applyBorder="1" applyAlignment="1">
      <alignment horizontal="center" wrapText="1"/>
    </xf>
    <xf numFmtId="170" fontId="4" fillId="0" borderId="29" xfId="0" applyNumberFormat="1" applyFont="1" applyBorder="1" applyAlignment="1">
      <alignment horizontal="center" wrapText="1"/>
    </xf>
    <xf numFmtId="3" fontId="4" fillId="0" borderId="4" xfId="0" applyNumberFormat="1" applyFont="1" applyBorder="1" applyAlignment="1">
      <alignment horizontal="center" wrapText="1"/>
    </xf>
    <xf numFmtId="9" fontId="4" fillId="0" borderId="4" xfId="0" applyNumberFormat="1" applyFont="1" applyBorder="1" applyAlignment="1">
      <alignment horizontal="center" wrapText="1"/>
    </xf>
    <xf numFmtId="0" fontId="8" fillId="0" borderId="4" xfId="0" applyFont="1" applyBorder="1"/>
    <xf numFmtId="0" fontId="13" fillId="9" borderId="29" xfId="0" applyFont="1" applyFill="1" applyBorder="1" applyAlignment="1">
      <alignment horizontal="center"/>
    </xf>
    <xf numFmtId="0" fontId="13" fillId="0" borderId="28" xfId="0" applyFont="1" applyBorder="1" applyAlignment="1">
      <alignment horizontal="center"/>
    </xf>
    <xf numFmtId="0" fontId="3" fillId="0" borderId="29" xfId="0" applyFont="1" applyBorder="1" applyAlignment="1">
      <alignment horizontal="center"/>
    </xf>
    <xf numFmtId="0" fontId="13" fillId="0" borderId="28" xfId="0" applyFont="1" applyBorder="1" applyAlignment="1">
      <alignment horizontal="center" wrapText="1"/>
    </xf>
    <xf numFmtId="3" fontId="3" fillId="0" borderId="29" xfId="0" applyNumberFormat="1" applyFont="1" applyBorder="1" applyAlignment="1">
      <alignment horizontal="center"/>
    </xf>
    <xf numFmtId="9" fontId="3" fillId="0" borderId="29" xfId="0" applyNumberFormat="1" applyFont="1" applyBorder="1" applyAlignment="1">
      <alignment horizontal="center"/>
    </xf>
    <xf numFmtId="171" fontId="13" fillId="0" borderId="29" xfId="0" applyNumberFormat="1" applyFont="1" applyBorder="1" applyAlignment="1">
      <alignment horizontal="center"/>
    </xf>
    <xf numFmtId="3" fontId="8" fillId="2" borderId="29" xfId="0" applyNumberFormat="1" applyFont="1" applyFill="1" applyBorder="1"/>
    <xf numFmtId="172" fontId="13" fillId="0" borderId="29" xfId="0" applyNumberFormat="1" applyFont="1" applyBorder="1" applyAlignment="1">
      <alignment horizontal="center"/>
    </xf>
    <xf numFmtId="172" fontId="3" fillId="0" borderId="29" xfId="0" applyNumberFormat="1" applyFont="1" applyBorder="1" applyAlignment="1">
      <alignment horizontal="center"/>
    </xf>
    <xf numFmtId="171" fontId="13" fillId="2" borderId="29" xfId="0" applyNumberFormat="1" applyFont="1" applyFill="1" applyBorder="1" applyAlignment="1">
      <alignment horizontal="center"/>
    </xf>
    <xf numFmtId="171" fontId="3" fillId="0" borderId="29" xfId="0" applyNumberFormat="1" applyFont="1" applyBorder="1" applyAlignment="1">
      <alignment horizontal="center"/>
    </xf>
    <xf numFmtId="0" fontId="3" fillId="0" borderId="28" xfId="0" applyFont="1" applyBorder="1"/>
    <xf numFmtId="0" fontId="18" fillId="0" borderId="30" xfId="0" applyFont="1" applyBorder="1"/>
    <xf numFmtId="0" fontId="23" fillId="11" borderId="29" xfId="0" applyFont="1" applyFill="1" applyBorder="1" applyAlignment="1">
      <alignment horizontal="center"/>
    </xf>
    <xf numFmtId="0" fontId="23" fillId="0" borderId="28" xfId="0" applyFont="1" applyBorder="1" applyAlignment="1">
      <alignment horizontal="center"/>
    </xf>
    <xf numFmtId="0" fontId="23" fillId="2" borderId="29" xfId="0" applyFont="1" applyFill="1" applyBorder="1" applyAlignment="1">
      <alignment horizontal="center"/>
    </xf>
    <xf numFmtId="0" fontId="18" fillId="14" borderId="4" xfId="0" applyFont="1" applyFill="1" applyBorder="1"/>
    <xf numFmtId="0" fontId="1" fillId="0" borderId="4" xfId="0" applyFont="1" applyBorder="1"/>
    <xf numFmtId="0" fontId="18" fillId="9" borderId="29" xfId="0" applyFont="1" applyFill="1" applyBorder="1" applyAlignment="1">
      <alignment horizontal="center"/>
    </xf>
    <xf numFmtId="3" fontId="4" fillId="0" borderId="29" xfId="0" applyNumberFormat="1" applyFont="1" applyBorder="1" applyAlignment="1">
      <alignment horizontal="right"/>
    </xf>
    <xf numFmtId="3" fontId="4" fillId="0" borderId="3" xfId="0" applyNumberFormat="1" applyFont="1" applyBorder="1" applyAlignment="1">
      <alignment horizontal="right"/>
    </xf>
    <xf numFmtId="3" fontId="4" fillId="0" borderId="31" xfId="0" applyNumberFormat="1" applyFont="1" applyBorder="1" applyAlignment="1">
      <alignment horizontal="right"/>
    </xf>
    <xf numFmtId="0" fontId="18" fillId="0" borderId="4" xfId="0" applyFont="1" applyBorder="1" applyAlignment="1">
      <alignment horizontal="center"/>
    </xf>
    <xf numFmtId="0" fontId="4" fillId="0" borderId="28" xfId="0" applyFont="1" applyBorder="1"/>
    <xf numFmtId="4" fontId="4" fillId="0" borderId="29" xfId="0" applyNumberFormat="1" applyFont="1" applyBorder="1" applyAlignment="1">
      <alignment horizontal="right"/>
    </xf>
    <xf numFmtId="0" fontId="4" fillId="0" borderId="32" xfId="0" applyFont="1" applyBorder="1"/>
    <xf numFmtId="4" fontId="4" fillId="0" borderId="3" xfId="0" applyNumberFormat="1" applyFont="1" applyBorder="1" applyAlignment="1">
      <alignment horizontal="right"/>
    </xf>
    <xf numFmtId="0" fontId="4" fillId="0" borderId="33" xfId="0" applyFont="1" applyBorder="1"/>
    <xf numFmtId="0" fontId="8" fillId="0" borderId="33" xfId="0" applyFont="1" applyBorder="1"/>
    <xf numFmtId="0" fontId="18" fillId="0" borderId="29" xfId="0" applyFont="1" applyBorder="1" applyAlignment="1">
      <alignment horizontal="center"/>
    </xf>
    <xf numFmtId="170" fontId="4" fillId="0" borderId="29" xfId="0" applyNumberFormat="1" applyFont="1" applyBorder="1" applyAlignment="1">
      <alignment horizontal="right"/>
    </xf>
    <xf numFmtId="0" fontId="4" fillId="14" borderId="4" xfId="0" applyFont="1" applyFill="1" applyBorder="1"/>
    <xf numFmtId="0" fontId="18" fillId="0" borderId="4" xfId="0" applyFont="1" applyBorder="1" applyAlignment="1">
      <alignment wrapText="1"/>
    </xf>
    <xf numFmtId="3" fontId="18" fillId="0" borderId="4" xfId="0" applyNumberFormat="1" applyFont="1" applyBorder="1" applyAlignment="1">
      <alignment horizontal="right" wrapText="1"/>
    </xf>
    <xf numFmtId="3" fontId="4" fillId="0" borderId="4" xfId="0" applyNumberFormat="1" applyFont="1" applyBorder="1" applyAlignment="1">
      <alignment horizontal="right" wrapText="1"/>
    </xf>
    <xf numFmtId="173" fontId="18" fillId="0" borderId="4" xfId="0" applyNumberFormat="1" applyFont="1" applyBorder="1" applyAlignment="1">
      <alignment horizontal="right" wrapText="1"/>
    </xf>
    <xf numFmtId="173" fontId="4" fillId="0" borderId="4" xfId="0" applyNumberFormat="1" applyFont="1" applyBorder="1" applyAlignment="1">
      <alignment horizontal="right" wrapText="1"/>
    </xf>
    <xf numFmtId="0" fontId="4" fillId="0" borderId="34" xfId="0" applyFont="1" applyBorder="1"/>
    <xf numFmtId="0" fontId="1" fillId="0" borderId="34" xfId="0" applyFont="1" applyBorder="1"/>
    <xf numFmtId="173" fontId="4" fillId="0" borderId="34" xfId="0" applyNumberFormat="1" applyFont="1" applyBorder="1" applyAlignment="1">
      <alignment horizontal="right" wrapText="1"/>
    </xf>
    <xf numFmtId="0" fontId="4" fillId="0" borderId="35" xfId="0" applyFont="1" applyBorder="1"/>
    <xf numFmtId="0" fontId="1" fillId="0" borderId="35" xfId="0" applyFont="1" applyBorder="1"/>
    <xf numFmtId="3" fontId="4" fillId="0" borderId="35" xfId="0" applyNumberFormat="1" applyFont="1" applyBorder="1" applyAlignment="1">
      <alignment horizontal="right"/>
    </xf>
    <xf numFmtId="0" fontId="15" fillId="0" borderId="0" xfId="0" applyFont="1" applyAlignment="1">
      <alignment horizontal="center"/>
    </xf>
    <xf numFmtId="0" fontId="15" fillId="0" borderId="37" xfId="0" applyFont="1" applyBorder="1" applyAlignment="1">
      <alignment horizontal="center"/>
    </xf>
    <xf numFmtId="0" fontId="15" fillId="0" borderId="29" xfId="0" applyFont="1" applyBorder="1" applyAlignment="1">
      <alignment horizontal="center"/>
    </xf>
    <xf numFmtId="0" fontId="15" fillId="0" borderId="17" xfId="0" applyFont="1" applyBorder="1" applyAlignment="1">
      <alignment horizontal="center"/>
    </xf>
    <xf numFmtId="0" fontId="16" fillId="0" borderId="1" xfId="0" applyFont="1" applyBorder="1" applyAlignment="1">
      <alignment horizontal="right"/>
    </xf>
    <xf numFmtId="0" fontId="16" fillId="0" borderId="38" xfId="0" applyFont="1" applyBorder="1"/>
    <xf numFmtId="0" fontId="16" fillId="0" borderId="2" xfId="0" applyFont="1" applyBorder="1" applyAlignment="1">
      <alignment horizontal="right"/>
    </xf>
    <xf numFmtId="0" fontId="16" fillId="0" borderId="2" xfId="0" applyFont="1" applyBorder="1"/>
    <xf numFmtId="2" fontId="4" fillId="0" borderId="17" xfId="0" applyNumberFormat="1" applyFont="1" applyBorder="1" applyAlignment="1">
      <alignment horizontal="right"/>
    </xf>
    <xf numFmtId="3" fontId="4" fillId="0" borderId="37" xfId="0" applyNumberFormat="1" applyFont="1" applyBorder="1" applyAlignment="1">
      <alignment horizontal="right"/>
    </xf>
    <xf numFmtId="3" fontId="4" fillId="0" borderId="17" xfId="0" applyNumberFormat="1" applyFont="1" applyBorder="1" applyAlignment="1">
      <alignment horizontal="right"/>
    </xf>
    <xf numFmtId="3" fontId="4" fillId="0" borderId="0" xfId="0" applyNumberFormat="1" applyFont="1" applyAlignment="1">
      <alignment horizontal="right"/>
    </xf>
    <xf numFmtId="0" fontId="16" fillId="0" borderId="39" xfId="0" applyFont="1" applyBorder="1" applyAlignment="1">
      <alignment horizontal="right"/>
    </xf>
    <xf numFmtId="0" fontId="16" fillId="0" borderId="37" xfId="0" applyFont="1" applyBorder="1"/>
    <xf numFmtId="0" fontId="16" fillId="0" borderId="29" xfId="0" applyFont="1" applyBorder="1" applyAlignment="1">
      <alignment horizontal="right"/>
    </xf>
    <xf numFmtId="0" fontId="16" fillId="0" borderId="29" xfId="0" applyFont="1" applyBorder="1"/>
    <xf numFmtId="0" fontId="4" fillId="0" borderId="39" xfId="0" applyFont="1" applyBorder="1" applyAlignment="1">
      <alignment horizontal="right"/>
    </xf>
    <xf numFmtId="0" fontId="4" fillId="0" borderId="37" xfId="0" applyFont="1" applyBorder="1"/>
    <xf numFmtId="0" fontId="4" fillId="0" borderId="29" xfId="0" applyFont="1" applyBorder="1" applyAlignment="1">
      <alignment horizontal="right"/>
    </xf>
    <xf numFmtId="9" fontId="16" fillId="0" borderId="29" xfId="0" applyNumberFormat="1" applyFont="1" applyBorder="1" applyAlignment="1">
      <alignment horizontal="right"/>
    </xf>
    <xf numFmtId="0" fontId="16" fillId="0" borderId="17" xfId="0" applyFont="1" applyBorder="1"/>
    <xf numFmtId="0" fontId="16" fillId="0" borderId="40" xfId="0" applyFont="1" applyBorder="1"/>
    <xf numFmtId="0" fontId="16" fillId="0" borderId="5" xfId="0" applyFont="1" applyBorder="1" applyAlignment="1">
      <alignment horizontal="right"/>
    </xf>
    <xf numFmtId="0" fontId="16" fillId="0" borderId="5" xfId="0" applyFont="1" applyBorder="1"/>
    <xf numFmtId="2" fontId="4" fillId="0" borderId="41" xfId="0" applyNumberFormat="1" applyFont="1" applyBorder="1" applyAlignment="1">
      <alignment horizontal="right"/>
    </xf>
    <xf numFmtId="3" fontId="4" fillId="0" borderId="40" xfId="0" applyNumberFormat="1" applyFont="1" applyBorder="1" applyAlignment="1">
      <alignment horizontal="right"/>
    </xf>
    <xf numFmtId="3" fontId="4" fillId="0" borderId="5" xfId="0" applyNumberFormat="1" applyFont="1" applyBorder="1" applyAlignment="1">
      <alignment horizontal="right"/>
    </xf>
    <xf numFmtId="3" fontId="4" fillId="0" borderId="41" xfId="0" applyNumberFormat="1" applyFont="1" applyBorder="1" applyAlignment="1">
      <alignment horizontal="right"/>
    </xf>
    <xf numFmtId="174" fontId="18" fillId="0" borderId="4" xfId="0" applyNumberFormat="1" applyFont="1" applyBorder="1" applyAlignment="1">
      <alignment horizontal="center"/>
    </xf>
    <xf numFmtId="49" fontId="16" fillId="0" borderId="4" xfId="0" applyNumberFormat="1" applyFont="1" applyBorder="1"/>
    <xf numFmtId="174" fontId="4" fillId="0" borderId="4" xfId="0" applyNumberFormat="1" applyFont="1" applyBorder="1" applyAlignment="1">
      <alignment horizontal="center"/>
    </xf>
    <xf numFmtId="0" fontId="7" fillId="0" borderId="0" xfId="0" applyFont="1"/>
    <xf numFmtId="0" fontId="7" fillId="20" borderId="4" xfId="0" applyFont="1" applyFill="1" applyBorder="1" applyAlignment="1">
      <alignment horizontal="center"/>
    </xf>
    <xf numFmtId="0" fontId="7" fillId="11" borderId="4" xfId="0" applyFont="1" applyFill="1" applyBorder="1"/>
    <xf numFmtId="171" fontId="7" fillId="11" borderId="4" xfId="0" applyNumberFormat="1" applyFont="1" applyFill="1" applyBorder="1" applyAlignment="1">
      <alignment horizontal="center"/>
    </xf>
    <xf numFmtId="0" fontId="7" fillId="0" borderId="4" xfId="0" applyFont="1" applyBorder="1"/>
    <xf numFmtId="171" fontId="7" fillId="0" borderId="4" xfId="0" applyNumberFormat="1" applyFont="1" applyBorder="1" applyAlignment="1">
      <alignment horizontal="center"/>
    </xf>
    <xf numFmtId="0" fontId="25" fillId="0" borderId="0" xfId="0" applyFont="1"/>
    <xf numFmtId="49" fontId="8" fillId="0" borderId="4" xfId="0" applyNumberFormat="1" applyFont="1" applyBorder="1" applyAlignment="1">
      <alignment horizontal="left"/>
    </xf>
    <xf numFmtId="171" fontId="8" fillId="0" borderId="4" xfId="0" applyNumberFormat="1" applyFont="1" applyBorder="1" applyAlignment="1">
      <alignment horizontal="center"/>
    </xf>
    <xf numFmtId="49" fontId="7" fillId="0" borderId="0" xfId="0" applyNumberFormat="1" applyFont="1"/>
    <xf numFmtId="0" fontId="7" fillId="0" borderId="4" xfId="0" applyFont="1" applyBorder="1" applyAlignment="1">
      <alignment horizontal="left"/>
    </xf>
    <xf numFmtId="0" fontId="10" fillId="0" borderId="0" xfId="0" applyFont="1"/>
    <xf numFmtId="0" fontId="10" fillId="2" borderId="0" xfId="0" applyFont="1" applyFill="1"/>
    <xf numFmtId="0" fontId="26" fillId="0" borderId="0" xfId="0" applyFont="1"/>
    <xf numFmtId="0" fontId="27" fillId="21" borderId="42" xfId="0" applyFont="1" applyFill="1" applyBorder="1"/>
    <xf numFmtId="0" fontId="28" fillId="21" borderId="42" xfId="0" applyFont="1" applyFill="1" applyBorder="1"/>
    <xf numFmtId="0" fontId="29" fillId="0" borderId="0" xfId="0" applyFont="1"/>
    <xf numFmtId="0" fontId="29" fillId="22" borderId="43" xfId="0" applyFont="1" applyFill="1" applyBorder="1" applyAlignment="1">
      <alignment horizontal="center"/>
    </xf>
    <xf numFmtId="0" fontId="30" fillId="22" borderId="44" xfId="0" applyFont="1" applyFill="1" applyBorder="1" applyAlignment="1">
      <alignment horizontal="center"/>
    </xf>
    <xf numFmtId="175" fontId="30" fillId="22" borderId="44" xfId="0" applyNumberFormat="1" applyFont="1" applyFill="1" applyBorder="1" applyAlignment="1">
      <alignment horizontal="center"/>
    </xf>
    <xf numFmtId="0" fontId="30" fillId="22" borderId="45" xfId="0" applyFont="1" applyFill="1" applyBorder="1" applyAlignment="1">
      <alignment horizontal="center"/>
    </xf>
    <xf numFmtId="0" fontId="29" fillId="22" borderId="46" xfId="0" applyFont="1" applyFill="1" applyBorder="1" applyAlignment="1">
      <alignment horizontal="center"/>
    </xf>
    <xf numFmtId="0" fontId="30" fillId="22" borderId="13" xfId="0" applyFont="1" applyFill="1" applyBorder="1" applyAlignment="1">
      <alignment horizontal="center"/>
    </xf>
    <xf numFmtId="0" fontId="30" fillId="22" borderId="47" xfId="0" applyFont="1" applyFill="1" applyBorder="1" applyAlignment="1">
      <alignment horizontal="center"/>
    </xf>
    <xf numFmtId="0" fontId="29" fillId="0" borderId="48" xfId="0" applyFont="1" applyBorder="1"/>
    <xf numFmtId="0" fontId="29" fillId="0" borderId="16" xfId="0" applyFont="1" applyBorder="1"/>
    <xf numFmtId="176" fontId="31" fillId="0" borderId="16" xfId="0" applyNumberFormat="1" applyFont="1" applyBorder="1"/>
    <xf numFmtId="0" fontId="29" fillId="0" borderId="49" xfId="0" applyFont="1" applyBorder="1"/>
    <xf numFmtId="0" fontId="29" fillId="0" borderId="50" xfId="0" applyFont="1" applyBorder="1"/>
    <xf numFmtId="0" fontId="30" fillId="0" borderId="51" xfId="0" applyFont="1" applyBorder="1"/>
    <xf numFmtId="0" fontId="29" fillId="0" borderId="51" xfId="0" applyFont="1" applyBorder="1" applyAlignment="1">
      <alignment horizontal="center" vertical="center"/>
    </xf>
    <xf numFmtId="176" fontId="29" fillId="0" borderId="51" xfId="0" applyNumberFormat="1" applyFont="1" applyBorder="1"/>
    <xf numFmtId="0" fontId="29" fillId="0" borderId="52" xfId="0" applyFont="1" applyBorder="1" applyAlignment="1">
      <alignment horizontal="center" vertical="center"/>
    </xf>
    <xf numFmtId="0" fontId="29" fillId="0" borderId="16" xfId="0" applyFont="1" applyBorder="1" applyAlignment="1">
      <alignment horizontal="center" vertical="center"/>
    </xf>
    <xf numFmtId="176" fontId="32" fillId="0" borderId="16" xfId="0" applyNumberFormat="1" applyFont="1" applyBorder="1"/>
    <xf numFmtId="176" fontId="32" fillId="0" borderId="16" xfId="0" applyNumberFormat="1" applyFont="1" applyBorder="1" applyAlignment="1">
      <alignment horizontal="center" vertical="center"/>
    </xf>
    <xf numFmtId="177" fontId="32" fillId="0" borderId="16" xfId="0" applyNumberFormat="1" applyFont="1" applyBorder="1" applyAlignment="1">
      <alignment horizontal="center" vertical="center"/>
    </xf>
    <xf numFmtId="177" fontId="29" fillId="0" borderId="16" xfId="0" applyNumberFormat="1" applyFont="1" applyBorder="1" applyAlignment="1">
      <alignment horizontal="center" vertical="center"/>
    </xf>
    <xf numFmtId="177" fontId="29" fillId="0" borderId="49" xfId="0" applyNumberFormat="1" applyFont="1" applyBorder="1" applyAlignment="1">
      <alignment horizontal="center" vertical="center"/>
    </xf>
    <xf numFmtId="0" fontId="29" fillId="0" borderId="53" xfId="0" applyFont="1" applyBorder="1"/>
    <xf numFmtId="0" fontId="29" fillId="0" borderId="23" xfId="0" applyFont="1" applyBorder="1"/>
    <xf numFmtId="0" fontId="29" fillId="0" borderId="23" xfId="0" applyFont="1" applyBorder="1" applyAlignment="1">
      <alignment horizontal="center" vertical="center"/>
    </xf>
    <xf numFmtId="176" fontId="31" fillId="0" borderId="23" xfId="0" applyNumberFormat="1" applyFont="1" applyBorder="1"/>
    <xf numFmtId="176" fontId="29" fillId="0" borderId="23" xfId="0" applyNumberFormat="1" applyFont="1" applyBorder="1" applyAlignment="1">
      <alignment horizontal="center" vertical="center"/>
    </xf>
    <xf numFmtId="3" fontId="30" fillId="0" borderId="23" xfId="0" applyNumberFormat="1" applyFont="1" applyBorder="1" applyAlignment="1">
      <alignment horizontal="center" vertical="center"/>
    </xf>
    <xf numFmtId="39" fontId="29" fillId="0" borderId="23" xfId="0" applyNumberFormat="1" applyFont="1" applyBorder="1" applyAlignment="1">
      <alignment horizontal="center" vertical="center"/>
    </xf>
    <xf numFmtId="0" fontId="29" fillId="0" borderId="54" xfId="0" applyFont="1" applyBorder="1" applyAlignment="1">
      <alignment horizontal="center" vertical="center"/>
    </xf>
    <xf numFmtId="176" fontId="29" fillId="0" borderId="16" xfId="0" applyNumberFormat="1" applyFont="1" applyBorder="1"/>
    <xf numFmtId="176" fontId="29" fillId="0" borderId="16" xfId="0" applyNumberFormat="1" applyFont="1" applyBorder="1" applyAlignment="1">
      <alignment horizontal="center" vertical="center"/>
    </xf>
    <xf numFmtId="176" fontId="29" fillId="0" borderId="51" xfId="0" applyNumberFormat="1" applyFont="1" applyBorder="1" applyAlignment="1">
      <alignment horizontal="center" vertical="center"/>
    </xf>
    <xf numFmtId="43" fontId="29" fillId="0" borderId="16" xfId="0" applyNumberFormat="1" applyFont="1" applyBorder="1" applyAlignment="1">
      <alignment horizontal="center" vertical="center"/>
    </xf>
    <xf numFmtId="0" fontId="29" fillId="0" borderId="49" xfId="0" applyFont="1" applyBorder="1" applyAlignment="1">
      <alignment horizontal="center" vertical="center"/>
    </xf>
    <xf numFmtId="0" fontId="30" fillId="0" borderId="16" xfId="0" applyFont="1" applyBorder="1"/>
    <xf numFmtId="176" fontId="31" fillId="0" borderId="16" xfId="0" applyNumberFormat="1" applyFont="1" applyBorder="1" applyAlignment="1">
      <alignment horizontal="center" vertical="center"/>
    </xf>
    <xf numFmtId="177" fontId="30" fillId="0" borderId="16" xfId="0" applyNumberFormat="1" applyFont="1" applyBorder="1" applyAlignment="1">
      <alignment horizontal="center" vertical="center"/>
    </xf>
    <xf numFmtId="178" fontId="32" fillId="0" borderId="16" xfId="0" applyNumberFormat="1" applyFont="1" applyBorder="1" applyAlignment="1">
      <alignment horizontal="center" vertical="center"/>
    </xf>
    <xf numFmtId="168" fontId="32" fillId="0" borderId="49" xfId="0" applyNumberFormat="1" applyFont="1" applyBorder="1" applyAlignment="1">
      <alignment horizontal="center" vertical="center"/>
    </xf>
    <xf numFmtId="176" fontId="30" fillId="0" borderId="16" xfId="0" applyNumberFormat="1" applyFont="1" applyBorder="1" applyAlignment="1">
      <alignment horizontal="center" vertical="center"/>
    </xf>
    <xf numFmtId="179" fontId="32" fillId="0" borderId="16" xfId="0" applyNumberFormat="1" applyFont="1" applyBorder="1" applyAlignment="1">
      <alignment horizontal="center" vertical="center"/>
    </xf>
    <xf numFmtId="0" fontId="32" fillId="0" borderId="49" xfId="0" applyFont="1" applyBorder="1" applyAlignment="1">
      <alignment horizontal="center" vertical="center"/>
    </xf>
    <xf numFmtId="43" fontId="29" fillId="0" borderId="51" xfId="0" applyNumberFormat="1" applyFont="1" applyBorder="1" applyAlignment="1">
      <alignment horizontal="center" vertical="center"/>
    </xf>
    <xf numFmtId="43" fontId="29" fillId="0" borderId="49" xfId="0" applyNumberFormat="1" applyFont="1" applyBorder="1" applyAlignment="1">
      <alignment horizontal="center" vertical="center"/>
    </xf>
    <xf numFmtId="2" fontId="29" fillId="0" borderId="49" xfId="0" applyNumberFormat="1" applyFont="1" applyBorder="1" applyAlignment="1">
      <alignment horizontal="center" vertical="center"/>
    </xf>
    <xf numFmtId="0" fontId="29" fillId="0" borderId="51" xfId="0" applyFont="1" applyBorder="1"/>
    <xf numFmtId="176" fontId="31" fillId="0" borderId="51" xfId="0" applyNumberFormat="1" applyFont="1" applyBorder="1"/>
    <xf numFmtId="43" fontId="31" fillId="0" borderId="16" xfId="0" applyNumberFormat="1" applyFont="1" applyBorder="1" applyAlignment="1">
      <alignment horizontal="center" vertical="center"/>
    </xf>
    <xf numFmtId="2" fontId="32" fillId="0" borderId="16" xfId="0" applyNumberFormat="1" applyFont="1" applyBorder="1" applyAlignment="1">
      <alignment horizontal="center" vertical="center"/>
    </xf>
    <xf numFmtId="3" fontId="32" fillId="0" borderId="16" xfId="0" applyNumberFormat="1" applyFont="1" applyBorder="1"/>
    <xf numFmtId="3" fontId="32" fillId="0" borderId="16" xfId="0" applyNumberFormat="1" applyFont="1" applyBorder="1" applyAlignment="1">
      <alignment horizontal="center" vertical="center"/>
    </xf>
    <xf numFmtId="2" fontId="29" fillId="0" borderId="16" xfId="0" applyNumberFormat="1" applyFont="1" applyBorder="1" applyAlignment="1">
      <alignment horizontal="center" vertical="center"/>
    </xf>
    <xf numFmtId="3" fontId="29" fillId="0" borderId="16" xfId="0" applyNumberFormat="1" applyFont="1" applyBorder="1" applyAlignment="1">
      <alignment horizontal="center" vertical="center"/>
    </xf>
    <xf numFmtId="43" fontId="30" fillId="23" borderId="13" xfId="0" applyNumberFormat="1" applyFont="1" applyFill="1" applyBorder="1" applyAlignment="1">
      <alignment horizontal="center" vertical="center"/>
    </xf>
    <xf numFmtId="43" fontId="29" fillId="23" borderId="13" xfId="0" applyNumberFormat="1" applyFont="1" applyFill="1" applyBorder="1" applyAlignment="1">
      <alignment horizontal="center" vertical="center"/>
    </xf>
    <xf numFmtId="43" fontId="30" fillId="23" borderId="47" xfId="0" applyNumberFormat="1" applyFont="1" applyFill="1" applyBorder="1" applyAlignment="1">
      <alignment horizontal="center" vertical="center"/>
    </xf>
    <xf numFmtId="0" fontId="29" fillId="0" borderId="55" xfId="0" applyFont="1" applyBorder="1"/>
    <xf numFmtId="0" fontId="29" fillId="0" borderId="56" xfId="0" applyFont="1" applyBorder="1"/>
    <xf numFmtId="0" fontId="29" fillId="0" borderId="56" xfId="0" applyFont="1" applyBorder="1" applyAlignment="1">
      <alignment horizontal="center" vertical="center"/>
    </xf>
    <xf numFmtId="0" fontId="29" fillId="0" borderId="57" xfId="0" applyFont="1" applyBorder="1" applyAlignment="1">
      <alignment horizontal="center" vertical="center"/>
    </xf>
    <xf numFmtId="0" fontId="27" fillId="24" borderId="42" xfId="0" applyFont="1" applyFill="1" applyBorder="1"/>
    <xf numFmtId="0" fontId="28" fillId="24" borderId="42" xfId="0" applyFont="1" applyFill="1" applyBorder="1"/>
    <xf numFmtId="0" fontId="29" fillId="24" borderId="42" xfId="0" applyFont="1" applyFill="1" applyBorder="1"/>
    <xf numFmtId="0" fontId="29" fillId="0" borderId="52" xfId="0" applyFont="1" applyBorder="1"/>
    <xf numFmtId="176" fontId="32" fillId="0" borderId="16" xfId="0" applyNumberFormat="1" applyFont="1" applyBorder="1" applyAlignment="1">
      <alignment vertical="center"/>
    </xf>
    <xf numFmtId="0" fontId="33" fillId="0" borderId="16" xfId="0" applyFont="1" applyBorder="1"/>
    <xf numFmtId="177" fontId="29" fillId="0" borderId="16" xfId="0" applyNumberFormat="1" applyFont="1" applyBorder="1"/>
    <xf numFmtId="177" fontId="29" fillId="0" borderId="49" xfId="0" applyNumberFormat="1" applyFont="1" applyBorder="1"/>
    <xf numFmtId="4" fontId="33" fillId="0" borderId="16" xfId="0" applyNumberFormat="1" applyFont="1" applyBorder="1"/>
    <xf numFmtId="4" fontId="33" fillId="0" borderId="49" xfId="0" applyNumberFormat="1" applyFont="1" applyBorder="1"/>
    <xf numFmtId="176" fontId="31" fillId="0" borderId="23" xfId="0" applyNumberFormat="1" applyFont="1" applyBorder="1" applyAlignment="1">
      <alignment vertical="center"/>
    </xf>
    <xf numFmtId="176" fontId="29" fillId="0" borderId="23" xfId="0" applyNumberFormat="1" applyFont="1" applyBorder="1"/>
    <xf numFmtId="3" fontId="30" fillId="0" borderId="23" xfId="0" applyNumberFormat="1" applyFont="1" applyBorder="1"/>
    <xf numFmtId="39" fontId="29" fillId="0" borderId="23" xfId="0" applyNumberFormat="1" applyFont="1" applyBorder="1"/>
    <xf numFmtId="0" fontId="29" fillId="0" borderId="54" xfId="0" applyFont="1" applyBorder="1"/>
    <xf numFmtId="176" fontId="29" fillId="0" borderId="16" xfId="0" applyNumberFormat="1" applyFont="1" applyBorder="1" applyAlignment="1">
      <alignment vertical="center"/>
    </xf>
    <xf numFmtId="43" fontId="29" fillId="0" borderId="16" xfId="0" applyNumberFormat="1" applyFont="1" applyBorder="1"/>
    <xf numFmtId="0" fontId="29" fillId="0" borderId="16" xfId="0" applyFont="1" applyBorder="1" applyAlignment="1">
      <alignment horizontal="center"/>
    </xf>
    <xf numFmtId="180" fontId="29" fillId="0" borderId="16" xfId="0" applyNumberFormat="1" applyFont="1" applyBorder="1"/>
    <xf numFmtId="43" fontId="31" fillId="0" borderId="16" xfId="0" applyNumberFormat="1" applyFont="1" applyBorder="1"/>
    <xf numFmtId="177" fontId="30" fillId="0" borderId="16" xfId="0" applyNumberFormat="1" applyFont="1" applyBorder="1"/>
    <xf numFmtId="178" fontId="32" fillId="0" borderId="16" xfId="0" applyNumberFormat="1" applyFont="1" applyBorder="1"/>
    <xf numFmtId="168" fontId="32" fillId="0" borderId="49" xfId="0" applyNumberFormat="1" applyFont="1" applyBorder="1"/>
    <xf numFmtId="181" fontId="29" fillId="0" borderId="16" xfId="0" applyNumberFormat="1" applyFont="1" applyBorder="1"/>
    <xf numFmtId="176" fontId="30" fillId="0" borderId="16" xfId="0" applyNumberFormat="1" applyFont="1" applyBorder="1"/>
    <xf numFmtId="179" fontId="32" fillId="0" borderId="16" xfId="0" applyNumberFormat="1" applyFont="1" applyBorder="1"/>
    <xf numFmtId="0" fontId="32" fillId="0" borderId="49" xfId="0" applyFont="1" applyBorder="1"/>
    <xf numFmtId="182" fontId="29" fillId="0" borderId="16" xfId="0" applyNumberFormat="1" applyFont="1" applyBorder="1" applyAlignment="1">
      <alignment horizontal="left"/>
    </xf>
    <xf numFmtId="170" fontId="29" fillId="0" borderId="16" xfId="0" applyNumberFormat="1" applyFont="1" applyBorder="1"/>
    <xf numFmtId="183" fontId="33" fillId="0" borderId="16" xfId="0" applyNumberFormat="1" applyFont="1" applyBorder="1"/>
    <xf numFmtId="11" fontId="32" fillId="0" borderId="16" xfId="0" applyNumberFormat="1" applyFont="1" applyBorder="1"/>
    <xf numFmtId="184" fontId="32" fillId="0" borderId="49" xfId="0" applyNumberFormat="1" applyFont="1" applyBorder="1"/>
    <xf numFmtId="176" fontId="29" fillId="0" borderId="51" xfId="0" applyNumberFormat="1" applyFont="1" applyBorder="1" applyAlignment="1">
      <alignment vertical="center"/>
    </xf>
    <xf numFmtId="43" fontId="29" fillId="0" borderId="51" xfId="0" applyNumberFormat="1" applyFont="1" applyBorder="1"/>
    <xf numFmtId="43" fontId="29" fillId="0" borderId="49" xfId="0" applyNumberFormat="1" applyFont="1" applyBorder="1"/>
    <xf numFmtId="0" fontId="29" fillId="0" borderId="15" xfId="0" applyFont="1" applyBorder="1"/>
    <xf numFmtId="2" fontId="29" fillId="0" borderId="49" xfId="0" applyNumberFormat="1" applyFont="1" applyBorder="1" applyAlignment="1">
      <alignment horizontal="center"/>
    </xf>
    <xf numFmtId="0" fontId="30" fillId="0" borderId="16" xfId="0" applyFont="1" applyBorder="1" applyAlignment="1">
      <alignment horizontal="center"/>
    </xf>
    <xf numFmtId="176" fontId="33" fillId="0" borderId="16" xfId="0" applyNumberFormat="1" applyFont="1" applyBorder="1"/>
    <xf numFmtId="2" fontId="33" fillId="0" borderId="49" xfId="0" applyNumberFormat="1" applyFont="1" applyBorder="1" applyAlignment="1">
      <alignment horizontal="center"/>
    </xf>
    <xf numFmtId="180" fontId="34" fillId="0" borderId="16" xfId="0" applyNumberFormat="1" applyFont="1" applyBorder="1"/>
    <xf numFmtId="2" fontId="34" fillId="0" borderId="49" xfId="0" applyNumberFormat="1" applyFont="1" applyBorder="1" applyAlignment="1">
      <alignment horizontal="center"/>
    </xf>
    <xf numFmtId="43" fontId="33" fillId="0" borderId="16" xfId="0" applyNumberFormat="1" applyFont="1" applyBorder="1"/>
    <xf numFmtId="2" fontId="31" fillId="0" borderId="49" xfId="0" applyNumberFormat="1" applyFont="1" applyBorder="1" applyAlignment="1">
      <alignment horizontal="center"/>
    </xf>
    <xf numFmtId="176" fontId="31" fillId="0" borderId="16" xfId="0" applyNumberFormat="1" applyFont="1" applyBorder="1" applyAlignment="1">
      <alignment vertical="center"/>
    </xf>
    <xf numFmtId="176" fontId="31" fillId="0" borderId="51" xfId="0" applyNumberFormat="1" applyFont="1" applyBorder="1" applyAlignment="1">
      <alignment vertical="center"/>
    </xf>
    <xf numFmtId="181" fontId="31" fillId="0" borderId="16" xfId="0" applyNumberFormat="1" applyFont="1" applyBorder="1"/>
    <xf numFmtId="185" fontId="33" fillId="0" borderId="16" xfId="0" applyNumberFormat="1" applyFont="1" applyBorder="1"/>
    <xf numFmtId="11" fontId="33" fillId="0" borderId="49" xfId="0" applyNumberFormat="1" applyFont="1" applyBorder="1"/>
    <xf numFmtId="176" fontId="34" fillId="0" borderId="16" xfId="0" applyNumberFormat="1" applyFont="1" applyBorder="1"/>
    <xf numFmtId="185" fontId="34" fillId="0" borderId="16" xfId="0" applyNumberFormat="1" applyFont="1" applyBorder="1"/>
    <xf numFmtId="181" fontId="31" fillId="0" borderId="51" xfId="0" applyNumberFormat="1" applyFont="1" applyBorder="1"/>
    <xf numFmtId="176" fontId="30" fillId="0" borderId="51" xfId="0" applyNumberFormat="1" applyFont="1" applyBorder="1"/>
    <xf numFmtId="176" fontId="34" fillId="0" borderId="51" xfId="0" applyNumberFormat="1" applyFont="1" applyBorder="1"/>
    <xf numFmtId="185" fontId="34" fillId="0" borderId="51" xfId="0" applyNumberFormat="1" applyFont="1" applyBorder="1"/>
    <xf numFmtId="2" fontId="29" fillId="0" borderId="49" xfId="0" applyNumberFormat="1" applyFont="1" applyBorder="1"/>
    <xf numFmtId="39" fontId="33" fillId="0" borderId="16" xfId="0" applyNumberFormat="1" applyFont="1" applyBorder="1"/>
    <xf numFmtId="39" fontId="33" fillId="0" borderId="49" xfId="0" applyNumberFormat="1" applyFont="1" applyBorder="1"/>
    <xf numFmtId="4" fontId="32" fillId="0" borderId="16" xfId="0" applyNumberFormat="1" applyFont="1" applyBorder="1" applyAlignment="1">
      <alignment vertical="center"/>
    </xf>
    <xf numFmtId="37" fontId="30" fillId="0" borderId="16" xfId="0" applyNumberFormat="1" applyFont="1" applyBorder="1"/>
    <xf numFmtId="37" fontId="33" fillId="0" borderId="16" xfId="0" applyNumberFormat="1" applyFont="1" applyBorder="1"/>
    <xf numFmtId="43" fontId="30" fillId="0" borderId="16" xfId="0" applyNumberFormat="1" applyFont="1" applyBorder="1"/>
    <xf numFmtId="38" fontId="29" fillId="0" borderId="51" xfId="0" applyNumberFormat="1" applyFont="1" applyBorder="1"/>
    <xf numFmtId="0" fontId="29" fillId="0" borderId="16" xfId="0" applyFont="1" applyBorder="1" applyAlignment="1">
      <alignment vertical="center"/>
    </xf>
    <xf numFmtId="3" fontId="32" fillId="0" borderId="16" xfId="0" applyNumberFormat="1" applyFont="1" applyBorder="1" applyAlignment="1">
      <alignment vertical="center"/>
    </xf>
    <xf numFmtId="3" fontId="29" fillId="0" borderId="16" xfId="0" applyNumberFormat="1" applyFont="1" applyBorder="1"/>
    <xf numFmtId="1" fontId="29" fillId="0" borderId="16" xfId="0" applyNumberFormat="1" applyFont="1" applyBorder="1"/>
    <xf numFmtId="2" fontId="32" fillId="0" borderId="16" xfId="0" applyNumberFormat="1" applyFont="1" applyBorder="1"/>
    <xf numFmtId="2" fontId="32" fillId="0" borderId="49" xfId="0" applyNumberFormat="1" applyFont="1" applyBorder="1"/>
    <xf numFmtId="2" fontId="33" fillId="0" borderId="49" xfId="0" applyNumberFormat="1" applyFont="1" applyBorder="1"/>
    <xf numFmtId="3" fontId="29" fillId="0" borderId="16" xfId="0" applyNumberFormat="1" applyFont="1" applyBorder="1" applyAlignment="1">
      <alignment vertical="center"/>
    </xf>
    <xf numFmtId="0" fontId="34" fillId="0" borderId="16" xfId="0" applyFont="1" applyBorder="1"/>
    <xf numFmtId="0" fontId="29" fillId="0" borderId="51" xfId="0" applyFont="1" applyBorder="1" applyAlignment="1">
      <alignment vertical="center"/>
    </xf>
    <xf numFmtId="2" fontId="29" fillId="0" borderId="16" xfId="0" applyNumberFormat="1" applyFont="1" applyBorder="1"/>
    <xf numFmtId="2" fontId="33" fillId="0" borderId="16" xfId="0" applyNumberFormat="1" applyFont="1" applyBorder="1"/>
    <xf numFmtId="183" fontId="33" fillId="0" borderId="49" xfId="0" applyNumberFormat="1" applyFont="1" applyBorder="1"/>
    <xf numFmtId="3" fontId="35" fillId="0" borderId="16" xfId="0" applyNumberFormat="1" applyFont="1" applyBorder="1" applyAlignment="1">
      <alignment vertical="center"/>
    </xf>
    <xf numFmtId="182" fontId="29" fillId="0" borderId="16" xfId="0" applyNumberFormat="1" applyFont="1" applyBorder="1"/>
    <xf numFmtId="183" fontId="32" fillId="0" borderId="16" xfId="0" applyNumberFormat="1" applyFont="1" applyBorder="1"/>
    <xf numFmtId="186" fontId="33" fillId="0" borderId="16" xfId="0" applyNumberFormat="1" applyFont="1" applyBorder="1"/>
    <xf numFmtId="186" fontId="33" fillId="0" borderId="49" xfId="0" applyNumberFormat="1" applyFont="1" applyBorder="1"/>
    <xf numFmtId="4" fontId="29" fillId="0" borderId="16" xfId="0" applyNumberFormat="1" applyFont="1" applyBorder="1"/>
    <xf numFmtId="187" fontId="32" fillId="0" borderId="16" xfId="0" applyNumberFormat="1" applyFont="1" applyBorder="1"/>
    <xf numFmtId="187" fontId="32" fillId="0" borderId="49" xfId="0" applyNumberFormat="1" applyFont="1" applyBorder="1"/>
    <xf numFmtId="175" fontId="32" fillId="0" borderId="16" xfId="0" applyNumberFormat="1" applyFont="1" applyBorder="1"/>
    <xf numFmtId="0" fontId="32" fillId="0" borderId="16" xfId="0" applyFont="1" applyBorder="1"/>
    <xf numFmtId="184" fontId="32" fillId="0" borderId="16" xfId="0" applyNumberFormat="1" applyFont="1" applyBorder="1"/>
    <xf numFmtId="177" fontId="32" fillId="0" borderId="16" xfId="0" applyNumberFormat="1" applyFont="1" applyBorder="1"/>
    <xf numFmtId="168" fontId="32" fillId="0" borderId="16" xfId="0" applyNumberFormat="1" applyFont="1" applyBorder="1"/>
    <xf numFmtId="37" fontId="32" fillId="0" borderId="16" xfId="0" applyNumberFormat="1" applyFont="1" applyBorder="1"/>
    <xf numFmtId="39" fontId="29" fillId="0" borderId="16" xfId="0" applyNumberFormat="1" applyFont="1" applyBorder="1"/>
    <xf numFmtId="43" fontId="32" fillId="0" borderId="16" xfId="0" applyNumberFormat="1" applyFont="1" applyBorder="1"/>
    <xf numFmtId="43" fontId="30" fillId="23" borderId="13" xfId="0" applyNumberFormat="1" applyFont="1" applyFill="1" applyBorder="1" applyAlignment="1">
      <alignment vertical="center"/>
    </xf>
    <xf numFmtId="43" fontId="30" fillId="23" borderId="13" xfId="0" applyNumberFormat="1" applyFont="1" applyFill="1" applyBorder="1"/>
    <xf numFmtId="43" fontId="30" fillId="23" borderId="47" xfId="0" applyNumberFormat="1" applyFont="1" applyFill="1" applyBorder="1" applyAlignment="1">
      <alignment vertical="center"/>
    </xf>
    <xf numFmtId="0" fontId="29" fillId="0" borderId="57" xfId="0" applyFont="1" applyBorder="1"/>
    <xf numFmtId="0" fontId="30" fillId="0" borderId="0" xfId="0" applyFont="1"/>
    <xf numFmtId="4" fontId="32" fillId="0" borderId="16" xfId="0" applyNumberFormat="1" applyFont="1" applyBorder="1"/>
    <xf numFmtId="170" fontId="32" fillId="0" borderId="16" xfId="0" applyNumberFormat="1" applyFont="1" applyBorder="1"/>
    <xf numFmtId="0" fontId="31" fillId="0" borderId="16" xfId="0" applyFont="1" applyBorder="1"/>
    <xf numFmtId="0" fontId="31" fillId="0" borderId="49" xfId="0" applyFont="1" applyBorder="1"/>
    <xf numFmtId="3" fontId="33" fillId="0" borderId="16" xfId="0" applyNumberFormat="1" applyFont="1" applyBorder="1"/>
    <xf numFmtId="11" fontId="32" fillId="0" borderId="49" xfId="0" applyNumberFormat="1" applyFont="1" applyBorder="1"/>
    <xf numFmtId="0" fontId="29" fillId="0" borderId="58" xfId="0" applyFont="1" applyBorder="1"/>
    <xf numFmtId="0" fontId="29" fillId="0" borderId="22" xfId="0" applyFont="1" applyBorder="1"/>
    <xf numFmtId="0" fontId="29" fillId="0" borderId="59" xfId="0" applyFont="1" applyBorder="1"/>
    <xf numFmtId="43" fontId="33" fillId="23" borderId="13" xfId="0" applyNumberFormat="1" applyFont="1" applyFill="1" applyBorder="1"/>
    <xf numFmtId="0" fontId="29" fillId="0" borderId="60" xfId="0" applyFont="1" applyBorder="1"/>
    <xf numFmtId="43" fontId="33" fillId="0" borderId="0" xfId="0" applyNumberFormat="1" applyFont="1"/>
    <xf numFmtId="3" fontId="30" fillId="0" borderId="61" xfId="0" applyNumberFormat="1" applyFont="1" applyBorder="1"/>
    <xf numFmtId="3" fontId="31" fillId="0" borderId="16" xfId="0" applyNumberFormat="1" applyFont="1" applyBorder="1"/>
    <xf numFmtId="181" fontId="32" fillId="0" borderId="16" xfId="0" applyNumberFormat="1" applyFont="1" applyBorder="1"/>
    <xf numFmtId="0" fontId="33" fillId="0" borderId="49" xfId="0" applyFont="1" applyBorder="1"/>
    <xf numFmtId="4" fontId="32" fillId="0" borderId="49" xfId="0" applyNumberFormat="1" applyFont="1" applyBorder="1"/>
    <xf numFmtId="176" fontId="29" fillId="0" borderId="52" xfId="0" applyNumberFormat="1" applyFont="1" applyBorder="1"/>
    <xf numFmtId="168" fontId="29" fillId="0" borderId="16" xfId="0" applyNumberFormat="1" applyFont="1" applyBorder="1"/>
    <xf numFmtId="0" fontId="29" fillId="0" borderId="62" xfId="0" applyFont="1" applyBorder="1"/>
    <xf numFmtId="0" fontId="29" fillId="0" borderId="63" xfId="0" applyFont="1" applyBorder="1"/>
    <xf numFmtId="0" fontId="29" fillId="0" borderId="64" xfId="0" applyFont="1" applyBorder="1"/>
    <xf numFmtId="0" fontId="29" fillId="0" borderId="16" xfId="0" applyFont="1" applyBorder="1" applyAlignment="1">
      <alignment horizontal="left"/>
    </xf>
    <xf numFmtId="0" fontId="36" fillId="25" borderId="65" xfId="0" applyFont="1" applyFill="1" applyBorder="1"/>
    <xf numFmtId="0" fontId="37" fillId="25" borderId="66" xfId="0" applyFont="1" applyFill="1" applyBorder="1"/>
    <xf numFmtId="0" fontId="28" fillId="0" borderId="0" xfId="0" applyFont="1"/>
    <xf numFmtId="0" fontId="27" fillId="0" borderId="0" xfId="0" applyFont="1"/>
    <xf numFmtId="0" fontId="38" fillId="0" borderId="0" xfId="0" applyFont="1"/>
    <xf numFmtId="0" fontId="39" fillId="0" borderId="0" xfId="0" applyFont="1"/>
    <xf numFmtId="0" fontId="7" fillId="0" borderId="67" xfId="0" applyFont="1" applyBorder="1"/>
    <xf numFmtId="0" fontId="7" fillId="0" borderId="68" xfId="0" applyFont="1" applyBorder="1" applyAlignment="1">
      <alignment horizontal="center"/>
    </xf>
    <xf numFmtId="0" fontId="7" fillId="0" borderId="69" xfId="0" applyFont="1" applyBorder="1" applyAlignment="1">
      <alignment horizontal="center"/>
    </xf>
    <xf numFmtId="0" fontId="7" fillId="0" borderId="70" xfId="0" applyFont="1" applyBorder="1"/>
    <xf numFmtId="0" fontId="7" fillId="0" borderId="34" xfId="0" applyFont="1" applyBorder="1" applyAlignment="1">
      <alignment horizontal="center"/>
    </xf>
    <xf numFmtId="0" fontId="7" fillId="0" borderId="71" xfId="0" applyFont="1" applyBorder="1" applyAlignment="1">
      <alignment horizontal="center"/>
    </xf>
    <xf numFmtId="0" fontId="8" fillId="0" borderId="67" xfId="0" applyFont="1" applyBorder="1"/>
    <xf numFmtId="176" fontId="8" fillId="0" borderId="68" xfId="0" applyNumberFormat="1" applyFont="1" applyBorder="1" applyAlignment="1">
      <alignment horizontal="left"/>
    </xf>
    <xf numFmtId="176" fontId="8" fillId="0" borderId="68" xfId="0" applyNumberFormat="1" applyFont="1" applyBorder="1"/>
    <xf numFmtId="43" fontId="8" fillId="0" borderId="68" xfId="0" applyNumberFormat="1" applyFont="1" applyBorder="1"/>
    <xf numFmtId="168" fontId="8" fillId="0" borderId="69" xfId="0" applyNumberFormat="1" applyFont="1" applyBorder="1" applyAlignment="1">
      <alignment horizontal="center"/>
    </xf>
    <xf numFmtId="0" fontId="8" fillId="0" borderId="73" xfId="0" applyFont="1" applyBorder="1"/>
    <xf numFmtId="176" fontId="8" fillId="0" borderId="28" xfId="0" applyNumberFormat="1" applyFont="1" applyBorder="1" applyAlignment="1">
      <alignment horizontal="left"/>
    </xf>
    <xf numFmtId="176" fontId="8" fillId="0" borderId="4" xfId="0" applyNumberFormat="1" applyFont="1" applyBorder="1"/>
    <xf numFmtId="43" fontId="8" fillId="0" borderId="4" xfId="0" applyNumberFormat="1" applyFont="1" applyBorder="1"/>
    <xf numFmtId="168" fontId="8" fillId="0" borderId="74" xfId="0" applyNumberFormat="1" applyFont="1" applyBorder="1" applyAlignment="1">
      <alignment horizontal="center"/>
    </xf>
    <xf numFmtId="0" fontId="7" fillId="25" borderId="75" xfId="0" applyFont="1" applyFill="1" applyBorder="1"/>
    <xf numFmtId="0" fontId="8" fillId="25" borderId="76" xfId="0" applyFont="1" applyFill="1" applyBorder="1"/>
    <xf numFmtId="176" fontId="7" fillId="25" borderId="76" xfId="0" applyNumberFormat="1" applyFont="1" applyFill="1" applyBorder="1" applyAlignment="1">
      <alignment horizontal="left"/>
    </xf>
    <xf numFmtId="176" fontId="8" fillId="25" borderId="76" xfId="0" applyNumberFormat="1" applyFont="1" applyFill="1" applyBorder="1"/>
    <xf numFmtId="2" fontId="7" fillId="25" borderId="76" xfId="0" applyNumberFormat="1" applyFont="1" applyFill="1" applyBorder="1"/>
    <xf numFmtId="168" fontId="8" fillId="25" borderId="77" xfId="0" applyNumberFormat="1" applyFont="1" applyFill="1" applyBorder="1" applyAlignment="1">
      <alignment horizontal="center"/>
    </xf>
    <xf numFmtId="0" fontId="36" fillId="25" borderId="66" xfId="0" applyFont="1" applyFill="1" applyBorder="1"/>
    <xf numFmtId="0" fontId="41" fillId="0" borderId="0" xfId="0" applyFont="1"/>
    <xf numFmtId="0" fontId="42" fillId="0" borderId="79" xfId="0" applyFont="1" applyBorder="1"/>
    <xf numFmtId="0" fontId="43" fillId="0" borderId="80" xfId="0" applyFont="1" applyBorder="1" applyAlignment="1">
      <alignment horizontal="center"/>
    </xf>
    <xf numFmtId="0" fontId="42" fillId="0" borderId="80" xfId="0" applyFont="1" applyBorder="1" applyAlignment="1">
      <alignment horizontal="center"/>
    </xf>
    <xf numFmtId="0" fontId="43" fillId="0" borderId="81" xfId="0" applyFont="1" applyBorder="1"/>
    <xf numFmtId="0" fontId="42" fillId="0" borderId="82" xfId="0" applyFont="1" applyBorder="1"/>
    <xf numFmtId="0" fontId="44" fillId="0" borderId="83" xfId="0" applyFont="1" applyBorder="1" applyAlignment="1">
      <alignment horizontal="center"/>
    </xf>
    <xf numFmtId="0" fontId="42" fillId="0" borderId="83" xfId="0" applyFont="1" applyBorder="1" applyAlignment="1">
      <alignment horizontal="center"/>
    </xf>
    <xf numFmtId="0" fontId="42" fillId="0" borderId="83" xfId="0" applyFont="1" applyBorder="1"/>
    <xf numFmtId="0" fontId="42" fillId="0" borderId="84" xfId="0" applyFont="1" applyBorder="1"/>
    <xf numFmtId="0" fontId="8" fillId="0" borderId="85" xfId="0" applyFont="1" applyBorder="1"/>
    <xf numFmtId="39" fontId="8" fillId="0" borderId="28" xfId="0" applyNumberFormat="1" applyFont="1" applyBorder="1"/>
    <xf numFmtId="177" fontId="8" fillId="0" borderId="28" xfId="0" applyNumberFormat="1" applyFont="1" applyBorder="1"/>
    <xf numFmtId="0" fontId="8" fillId="0" borderId="28" xfId="0" applyFont="1" applyBorder="1" applyAlignment="1">
      <alignment horizontal="center"/>
    </xf>
    <xf numFmtId="0" fontId="8" fillId="0" borderId="86" xfId="0" applyFont="1" applyBorder="1"/>
    <xf numFmtId="39" fontId="8" fillId="0" borderId="4" xfId="0" applyNumberFormat="1" applyFont="1" applyBorder="1"/>
    <xf numFmtId="0" fontId="8" fillId="0" borderId="4" xfId="0" applyFont="1" applyBorder="1" applyAlignment="1">
      <alignment horizontal="center"/>
    </xf>
    <xf numFmtId="0" fontId="8" fillId="0" borderId="74" xfId="0" applyFont="1" applyBorder="1"/>
    <xf numFmtId="43" fontId="7" fillId="25" borderId="76" xfId="0" applyNumberFormat="1" applyFont="1" applyFill="1" applyBorder="1"/>
    <xf numFmtId="0" fontId="7" fillId="25" borderId="77" xfId="0" applyFont="1" applyFill="1" applyBorder="1"/>
    <xf numFmtId="0" fontId="45" fillId="25" borderId="65" xfId="0" applyFont="1" applyFill="1" applyBorder="1"/>
    <xf numFmtId="0" fontId="46" fillId="25" borderId="66" xfId="0" applyFont="1" applyFill="1" applyBorder="1"/>
    <xf numFmtId="0" fontId="24" fillId="0" borderId="0" xfId="0" applyFont="1"/>
    <xf numFmtId="0" fontId="42" fillId="0" borderId="67" xfId="0" applyFont="1" applyBorder="1"/>
    <xf numFmtId="0" fontId="42" fillId="0" borderId="68" xfId="0" applyFont="1" applyBorder="1" applyAlignment="1">
      <alignment horizontal="center"/>
    </xf>
    <xf numFmtId="0" fontId="47" fillId="0" borderId="68" xfId="0" applyFont="1" applyBorder="1" applyAlignment="1">
      <alignment horizontal="center"/>
    </xf>
    <xf numFmtId="0" fontId="47" fillId="0" borderId="69" xfId="0" applyFont="1" applyBorder="1"/>
    <xf numFmtId="0" fontId="48" fillId="0" borderId="83" xfId="0" applyFont="1" applyBorder="1" applyAlignment="1">
      <alignment horizontal="center"/>
    </xf>
    <xf numFmtId="43" fontId="8" fillId="0" borderId="28" xfId="0" applyNumberFormat="1" applyFont="1" applyBorder="1" applyAlignment="1">
      <alignment horizontal="center" vertical="top"/>
    </xf>
    <xf numFmtId="43" fontId="8" fillId="0" borderId="28" xfId="0" applyNumberFormat="1" applyFont="1" applyBorder="1"/>
    <xf numFmtId="43" fontId="8" fillId="0" borderId="28" xfId="0" applyNumberFormat="1" applyFont="1" applyBorder="1" applyAlignment="1">
      <alignment horizontal="center"/>
    </xf>
    <xf numFmtId="43" fontId="8" fillId="0" borderId="4" xfId="0" applyNumberFormat="1" applyFont="1" applyBorder="1" applyAlignment="1">
      <alignment horizontal="center" vertical="top"/>
    </xf>
    <xf numFmtId="43" fontId="8" fillId="0" borderId="4" xfId="0" applyNumberFormat="1" applyFont="1" applyBorder="1" applyAlignment="1">
      <alignment horizontal="center"/>
    </xf>
    <xf numFmtId="0" fontId="49" fillId="0" borderId="0" xfId="0" applyFont="1" applyAlignment="1">
      <alignment horizontal="center"/>
    </xf>
    <xf numFmtId="184" fontId="50" fillId="0" borderId="0" xfId="0" applyNumberFormat="1" applyFont="1"/>
    <xf numFmtId="0" fontId="27" fillId="5" borderId="65" xfId="0" applyFont="1" applyFill="1" applyBorder="1"/>
    <xf numFmtId="0" fontId="26" fillId="5" borderId="66" xfId="0" applyFont="1" applyFill="1" applyBorder="1"/>
    <xf numFmtId="0" fontId="42" fillId="0" borderId="68" xfId="0" applyFont="1" applyBorder="1"/>
    <xf numFmtId="0" fontId="43" fillId="0" borderId="68" xfId="0" applyFont="1" applyBorder="1" applyAlignment="1">
      <alignment horizontal="center"/>
    </xf>
    <xf numFmtId="0" fontId="43" fillId="0" borderId="69" xfId="0" applyFont="1" applyBorder="1" applyAlignment="1">
      <alignment horizontal="center"/>
    </xf>
    <xf numFmtId="0" fontId="42" fillId="0" borderId="73" xfId="0" applyFont="1" applyBorder="1"/>
    <xf numFmtId="0" fontId="44" fillId="0" borderId="4" xfId="0" applyFont="1" applyBorder="1" applyAlignment="1">
      <alignment horizontal="center"/>
    </xf>
    <xf numFmtId="0" fontId="43" fillId="0" borderId="4" xfId="0" applyFont="1" applyBorder="1" applyAlignment="1">
      <alignment horizontal="center"/>
    </xf>
    <xf numFmtId="0" fontId="43" fillId="0" borderId="74" xfId="0" applyFont="1" applyBorder="1" applyAlignment="1">
      <alignment horizontal="center"/>
    </xf>
    <xf numFmtId="0" fontId="43" fillId="0" borderId="82" xfId="0" applyFont="1" applyBorder="1"/>
    <xf numFmtId="0" fontId="43" fillId="0" borderId="83" xfId="0" applyFont="1" applyBorder="1" applyAlignment="1">
      <alignment horizontal="center"/>
    </xf>
    <xf numFmtId="0" fontId="43" fillId="0" borderId="84" xfId="0" applyFont="1" applyBorder="1" applyAlignment="1">
      <alignment horizontal="center"/>
    </xf>
    <xf numFmtId="43" fontId="8" fillId="0" borderId="28" xfId="0" applyNumberFormat="1" applyFont="1" applyBorder="1" applyAlignment="1">
      <alignment horizontal="center" vertical="center"/>
    </xf>
    <xf numFmtId="43" fontId="8" fillId="0" borderId="28" xfId="0" applyNumberFormat="1" applyFont="1" applyBorder="1" applyAlignment="1">
      <alignment vertical="top"/>
    </xf>
    <xf numFmtId="0" fontId="8" fillId="0" borderId="28" xfId="0" applyFont="1" applyBorder="1" applyAlignment="1">
      <alignment horizontal="center" vertical="center"/>
    </xf>
    <xf numFmtId="43" fontId="8" fillId="0" borderId="86" xfId="0" applyNumberFormat="1" applyFont="1" applyBorder="1" applyAlignment="1">
      <alignment horizontal="center" vertical="center"/>
    </xf>
    <xf numFmtId="43" fontId="8" fillId="0" borderId="4" xfId="0" applyNumberFormat="1" applyFont="1" applyBorder="1" applyAlignment="1">
      <alignment horizontal="center" vertical="center"/>
    </xf>
    <xf numFmtId="43" fontId="8" fillId="0" borderId="4" xfId="0" applyNumberFormat="1" applyFont="1" applyBorder="1" applyAlignment="1">
      <alignment vertical="top"/>
    </xf>
    <xf numFmtId="0" fontId="8" fillId="0" borderId="4" xfId="0" applyFont="1" applyBorder="1" applyAlignment="1">
      <alignment horizontal="center" vertical="center"/>
    </xf>
    <xf numFmtId="43" fontId="8" fillId="0" borderId="74" xfId="0" applyNumberFormat="1" applyFont="1" applyBorder="1" applyAlignment="1">
      <alignment horizontal="center" vertical="center"/>
    </xf>
    <xf numFmtId="0" fontId="7" fillId="22" borderId="75" xfId="0" applyFont="1" applyFill="1" applyBorder="1"/>
    <xf numFmtId="0" fontId="8" fillId="22" borderId="76" xfId="0" applyFont="1" applyFill="1" applyBorder="1" applyAlignment="1">
      <alignment horizontal="center" vertical="center"/>
    </xf>
    <xf numFmtId="184" fontId="7" fillId="22" borderId="76" xfId="0" applyNumberFormat="1" applyFont="1" applyFill="1" applyBorder="1" applyAlignment="1">
      <alignment horizontal="center" vertical="center"/>
    </xf>
    <xf numFmtId="184" fontId="7" fillId="22" borderId="77" xfId="0" applyNumberFormat="1" applyFont="1" applyFill="1" applyBorder="1" applyAlignment="1">
      <alignment horizontal="center" vertical="center"/>
    </xf>
    <xf numFmtId="177" fontId="32" fillId="0" borderId="0" xfId="0" applyNumberFormat="1" applyFont="1"/>
    <xf numFmtId="3" fontId="33" fillId="0" borderId="0" xfId="0" applyNumberFormat="1" applyFont="1"/>
    <xf numFmtId="3" fontId="30" fillId="0" borderId="21" xfId="0" applyNumberFormat="1" applyFont="1" applyBorder="1"/>
    <xf numFmtId="0" fontId="29" fillId="0" borderId="21" xfId="0" applyFont="1" applyBorder="1"/>
    <xf numFmtId="4" fontId="29" fillId="0" borderId="49" xfId="0" applyNumberFormat="1" applyFont="1" applyBorder="1" applyAlignment="1">
      <alignment horizontal="center"/>
    </xf>
    <xf numFmtId="0" fontId="33" fillId="0" borderId="0" xfId="0" applyFont="1"/>
    <xf numFmtId="4" fontId="29" fillId="0" borderId="49" xfId="0" applyNumberFormat="1" applyFont="1" applyBorder="1"/>
    <xf numFmtId="0" fontId="29" fillId="0" borderId="4" xfId="0" applyFont="1" applyBorder="1"/>
    <xf numFmtId="168" fontId="33" fillId="0" borderId="49" xfId="0" applyNumberFormat="1" applyFont="1" applyBorder="1"/>
    <xf numFmtId="11" fontId="29" fillId="0" borderId="4" xfId="0" applyNumberFormat="1" applyFont="1" applyBorder="1"/>
    <xf numFmtId="0" fontId="29" fillId="0" borderId="51" xfId="0" applyFont="1" applyBorder="1" applyAlignment="1">
      <alignment horizontal="center"/>
    </xf>
    <xf numFmtId="0" fontId="51" fillId="0" borderId="16" xfId="0" applyFont="1" applyBorder="1"/>
    <xf numFmtId="4" fontId="31" fillId="0" borderId="16" xfId="0" applyNumberFormat="1" applyFont="1" applyBorder="1"/>
    <xf numFmtId="4" fontId="30" fillId="0" borderId="16" xfId="0" applyNumberFormat="1" applyFont="1" applyBorder="1"/>
    <xf numFmtId="4" fontId="34" fillId="0" borderId="16" xfId="0" applyNumberFormat="1" applyFont="1" applyBorder="1"/>
    <xf numFmtId="4" fontId="34" fillId="0" borderId="49" xfId="0" applyNumberFormat="1" applyFont="1" applyBorder="1"/>
    <xf numFmtId="4" fontId="31" fillId="0" borderId="49" xfId="0" applyNumberFormat="1" applyFont="1" applyBorder="1"/>
    <xf numFmtId="0" fontId="31" fillId="0" borderId="0" xfId="0" applyFont="1"/>
    <xf numFmtId="43" fontId="29" fillId="0" borderId="0" xfId="0" applyNumberFormat="1" applyFont="1"/>
    <xf numFmtId="43" fontId="34" fillId="0" borderId="16" xfId="0" applyNumberFormat="1" applyFont="1" applyBorder="1"/>
    <xf numFmtId="0" fontId="29" fillId="0" borderId="87" xfId="0" applyFont="1" applyBorder="1"/>
    <xf numFmtId="0" fontId="30" fillId="0" borderId="33" xfId="0" applyFont="1" applyBorder="1"/>
    <xf numFmtId="0" fontId="30" fillId="0" borderId="88" xfId="0" applyFont="1" applyBorder="1"/>
    <xf numFmtId="0" fontId="29" fillId="0" borderId="78" xfId="0" applyFont="1" applyBorder="1"/>
    <xf numFmtId="0" fontId="30" fillId="0" borderId="89" xfId="0" applyFont="1" applyBorder="1" applyAlignment="1">
      <alignment horizontal="center"/>
    </xf>
    <xf numFmtId="0" fontId="30" fillId="0" borderId="90" xfId="0" applyFont="1" applyBorder="1" applyAlignment="1">
      <alignment horizontal="center"/>
    </xf>
    <xf numFmtId="0" fontId="29" fillId="0" borderId="37" xfId="0" applyFont="1" applyBorder="1"/>
    <xf numFmtId="0" fontId="29" fillId="0" borderId="28" xfId="0" applyFont="1" applyBorder="1"/>
    <xf numFmtId="11" fontId="29" fillId="0" borderId="28" xfId="0" applyNumberFormat="1" applyFont="1" applyBorder="1"/>
    <xf numFmtId="11" fontId="29" fillId="0" borderId="91" xfId="0" applyNumberFormat="1" applyFont="1" applyBorder="1"/>
    <xf numFmtId="0" fontId="29" fillId="0" borderId="38" xfId="0" applyFont="1" applyBorder="1"/>
    <xf numFmtId="11" fontId="29" fillId="0" borderId="72" xfId="0" applyNumberFormat="1" applyFont="1" applyBorder="1"/>
    <xf numFmtId="2" fontId="29" fillId="0" borderId="89" xfId="0" applyNumberFormat="1" applyFont="1" applyBorder="1"/>
    <xf numFmtId="11" fontId="29" fillId="0" borderId="89" xfId="0" applyNumberFormat="1" applyFont="1" applyBorder="1"/>
    <xf numFmtId="11" fontId="29" fillId="0" borderId="90" xfId="0" applyNumberFormat="1" applyFont="1" applyBorder="1"/>
    <xf numFmtId="179" fontId="33" fillId="0" borderId="16" xfId="0" applyNumberFormat="1" applyFont="1" applyBorder="1"/>
    <xf numFmtId="43" fontId="33" fillId="0" borderId="49" xfId="0" applyNumberFormat="1" applyFont="1" applyBorder="1"/>
    <xf numFmtId="39" fontId="34" fillId="0" borderId="16" xfId="0" applyNumberFormat="1" applyFont="1" applyBorder="1"/>
    <xf numFmtId="39" fontId="34" fillId="0" borderId="49" xfId="0" applyNumberFormat="1" applyFont="1" applyBorder="1"/>
    <xf numFmtId="43" fontId="30" fillId="0" borderId="51" xfId="0" applyNumberFormat="1" applyFont="1" applyBorder="1"/>
    <xf numFmtId="0" fontId="51" fillId="0" borderId="0" xfId="0" applyFont="1"/>
    <xf numFmtId="4" fontId="32" fillId="0" borderId="0" xfId="0" applyNumberFormat="1" applyFont="1"/>
    <xf numFmtId="38" fontId="29" fillId="0" borderId="16" xfId="0" applyNumberFormat="1" applyFont="1" applyBorder="1"/>
    <xf numFmtId="3" fontId="30" fillId="0" borderId="16" xfId="0" applyNumberFormat="1" applyFont="1" applyBorder="1"/>
    <xf numFmtId="11" fontId="29" fillId="0" borderId="16" xfId="0" applyNumberFormat="1" applyFont="1" applyBorder="1"/>
    <xf numFmtId="0" fontId="29" fillId="0" borderId="92" xfId="0" applyFont="1" applyBorder="1"/>
    <xf numFmtId="0" fontId="30" fillId="0" borderId="32" xfId="0" applyFont="1" applyBorder="1" applyAlignment="1">
      <alignment horizontal="center"/>
    </xf>
    <xf numFmtId="0" fontId="30" fillId="0" borderId="93" xfId="0" applyFont="1" applyBorder="1" applyAlignment="1">
      <alignment horizontal="center"/>
    </xf>
    <xf numFmtId="3" fontId="29" fillId="0" borderId="0" xfId="0" applyNumberFormat="1" applyFont="1"/>
    <xf numFmtId="176" fontId="29" fillId="0" borderId="0" xfId="0" applyNumberFormat="1" applyFont="1"/>
    <xf numFmtId="3" fontId="34" fillId="0" borderId="16" xfId="0" applyNumberFormat="1" applyFont="1" applyBorder="1"/>
    <xf numFmtId="2" fontId="34" fillId="0" borderId="16" xfId="0" applyNumberFormat="1" applyFont="1" applyBorder="1"/>
    <xf numFmtId="2" fontId="31" fillId="0" borderId="49" xfId="0" applyNumberFormat="1" applyFont="1" applyBorder="1"/>
    <xf numFmtId="3" fontId="35" fillId="0" borderId="16" xfId="0" applyNumberFormat="1" applyFont="1" applyBorder="1"/>
    <xf numFmtId="0" fontId="29" fillId="0" borderId="4" xfId="0" applyFont="1" applyBorder="1" applyAlignment="1">
      <alignment horizontal="center"/>
    </xf>
    <xf numFmtId="0" fontId="29" fillId="0" borderId="32" xfId="0" applyFont="1" applyBorder="1" applyAlignment="1">
      <alignment horizontal="center"/>
    </xf>
    <xf numFmtId="175" fontId="29" fillId="0" borderId="32" xfId="0" applyNumberFormat="1" applyFont="1" applyBorder="1" applyAlignment="1">
      <alignment horizontal="center"/>
    </xf>
    <xf numFmtId="0" fontId="29" fillId="0" borderId="28" xfId="0" applyFont="1" applyBorder="1" applyAlignment="1">
      <alignment horizontal="center"/>
    </xf>
    <xf numFmtId="43" fontId="29" fillId="0" borderId="4" xfId="0" applyNumberFormat="1" applyFont="1" applyBorder="1" applyAlignment="1">
      <alignment horizontal="center"/>
    </xf>
    <xf numFmtId="176" fontId="29" fillId="0" borderId="49" xfId="0" applyNumberFormat="1" applyFont="1" applyBorder="1"/>
    <xf numFmtId="43" fontId="30" fillId="0" borderId="94" xfId="0" applyNumberFormat="1" applyFont="1" applyBorder="1"/>
    <xf numFmtId="0" fontId="52" fillId="0" borderId="0" xfId="0" applyFont="1"/>
    <xf numFmtId="0" fontId="52" fillId="0" borderId="0" xfId="0" applyFont="1" applyAlignment="1">
      <alignment vertical="top"/>
    </xf>
    <xf numFmtId="0" fontId="53" fillId="0" borderId="0" xfId="0" applyFont="1"/>
    <xf numFmtId="0" fontId="54" fillId="0" borderId="0" xfId="0" applyFont="1"/>
    <xf numFmtId="0" fontId="52" fillId="8" borderId="42" xfId="0" applyFont="1" applyFill="1" applyBorder="1" applyAlignment="1">
      <alignment vertical="top"/>
    </xf>
    <xf numFmtId="0" fontId="53" fillId="8" borderId="42" xfId="0" applyFont="1" applyFill="1" applyBorder="1"/>
    <xf numFmtId="0" fontId="55" fillId="0" borderId="0" xfId="0" applyFont="1" applyAlignment="1">
      <alignment horizontal="left" vertical="top" wrapText="1"/>
    </xf>
    <xf numFmtId="0" fontId="10" fillId="0" borderId="0" xfId="0" applyFont="1" applyAlignment="1">
      <alignment wrapText="1"/>
    </xf>
    <xf numFmtId="0" fontId="56" fillId="2" borderId="42" xfId="0" applyFont="1" applyFill="1" applyBorder="1"/>
    <xf numFmtId="0" fontId="3" fillId="2" borderId="42" xfId="0" applyFont="1" applyFill="1" applyBorder="1"/>
    <xf numFmtId="0" fontId="56" fillId="23" borderId="65" xfId="0" applyFont="1" applyFill="1" applyBorder="1"/>
    <xf numFmtId="0" fontId="3" fillId="23" borderId="95" xfId="0" applyFont="1" applyFill="1" applyBorder="1"/>
    <xf numFmtId="0" fontId="3" fillId="23" borderId="66" xfId="0" applyFont="1" applyFill="1" applyBorder="1"/>
    <xf numFmtId="0" fontId="56" fillId="0" borderId="0" xfId="0" applyFont="1"/>
    <xf numFmtId="0" fontId="3" fillId="26" borderId="87" xfId="0" applyFont="1" applyFill="1" applyBorder="1"/>
    <xf numFmtId="0" fontId="56" fillId="26" borderId="33" xfId="0" applyFont="1" applyFill="1" applyBorder="1" applyAlignment="1">
      <alignment horizontal="center"/>
    </xf>
    <xf numFmtId="0" fontId="13" fillId="26" borderId="33" xfId="0" applyFont="1" applyFill="1" applyBorder="1" applyAlignment="1">
      <alignment horizontal="center"/>
    </xf>
    <xf numFmtId="0" fontId="13" fillId="26" borderId="88" xfId="0" applyFont="1" applyFill="1" applyBorder="1" applyAlignment="1">
      <alignment horizontal="center"/>
    </xf>
    <xf numFmtId="0" fontId="3" fillId="0" borderId="38" xfId="0" applyFont="1" applyBorder="1"/>
    <xf numFmtId="0" fontId="3" fillId="0" borderId="4" xfId="0" applyFont="1" applyBorder="1" applyAlignment="1">
      <alignment horizontal="center"/>
    </xf>
    <xf numFmtId="0" fontId="3" fillId="0" borderId="72" xfId="0" applyFont="1" applyBorder="1" applyAlignment="1">
      <alignment horizontal="center"/>
    </xf>
    <xf numFmtId="0" fontId="10" fillId="0" borderId="38" xfId="0" quotePrefix="1" applyFont="1" applyBorder="1" applyAlignment="1">
      <alignment horizontal="left" vertical="center"/>
    </xf>
    <xf numFmtId="3" fontId="10" fillId="0" borderId="4" xfId="0" applyNumberFormat="1" applyFont="1" applyBorder="1" applyAlignment="1">
      <alignment horizontal="center"/>
    </xf>
    <xf numFmtId="3" fontId="10" fillId="0" borderId="72" xfId="0" applyNumberFormat="1" applyFont="1" applyBorder="1" applyAlignment="1">
      <alignment horizontal="center"/>
    </xf>
    <xf numFmtId="0" fontId="10" fillId="0" borderId="78" xfId="0" quotePrefix="1" applyFont="1" applyBorder="1" applyAlignment="1">
      <alignment horizontal="left" vertical="center"/>
    </xf>
    <xf numFmtId="3" fontId="10" fillId="0" borderId="89" xfId="0" applyNumberFormat="1" applyFont="1" applyBorder="1" applyAlignment="1">
      <alignment horizontal="center"/>
    </xf>
    <xf numFmtId="3" fontId="3" fillId="0" borderId="89" xfId="0" applyNumberFormat="1" applyFont="1" applyBorder="1" applyAlignment="1">
      <alignment horizontal="center"/>
    </xf>
    <xf numFmtId="3" fontId="3" fillId="0" borderId="90" xfId="0" applyNumberFormat="1" applyFont="1" applyBorder="1" applyAlignment="1">
      <alignment horizontal="center"/>
    </xf>
    <xf numFmtId="0" fontId="57" fillId="0" borderId="8" xfId="0" applyFont="1" applyBorder="1"/>
    <xf numFmtId="0" fontId="58" fillId="0" borderId="96" xfId="0" applyFont="1" applyBorder="1"/>
    <xf numFmtId="0" fontId="58" fillId="0" borderId="9" xfId="0" applyFont="1" applyBorder="1"/>
    <xf numFmtId="0" fontId="58" fillId="0" borderId="0" xfId="0" applyFont="1"/>
    <xf numFmtId="0" fontId="3" fillId="26" borderId="87" xfId="0" applyFont="1" applyFill="1" applyBorder="1" applyAlignment="1">
      <alignment horizontal="center"/>
    </xf>
    <xf numFmtId="0" fontId="59" fillId="26" borderId="33" xfId="0" applyFont="1" applyFill="1" applyBorder="1" applyAlignment="1">
      <alignment horizontal="center"/>
    </xf>
    <xf numFmtId="0" fontId="59" fillId="26" borderId="88" xfId="0" applyFont="1" applyFill="1" applyBorder="1" applyAlignment="1">
      <alignment horizontal="center"/>
    </xf>
    <xf numFmtId="0" fontId="3" fillId="0" borderId="38" xfId="0" applyFont="1" applyBorder="1" applyAlignment="1">
      <alignment horizontal="center" vertical="center"/>
    </xf>
    <xf numFmtId="176" fontId="10" fillId="0" borderId="4" xfId="0" applyNumberFormat="1" applyFont="1" applyBorder="1" applyAlignment="1">
      <alignment horizontal="center"/>
    </xf>
    <xf numFmtId="176" fontId="60" fillId="0" borderId="4" xfId="0" applyNumberFormat="1" applyFont="1" applyBorder="1" applyAlignment="1">
      <alignment horizontal="center"/>
    </xf>
    <xf numFmtId="3" fontId="60" fillId="0" borderId="72" xfId="0" applyNumberFormat="1" applyFont="1" applyBorder="1" applyAlignment="1">
      <alignment horizontal="center"/>
    </xf>
    <xf numFmtId="2" fontId="10" fillId="0" borderId="4" xfId="0" applyNumberFormat="1" applyFont="1" applyBorder="1" applyAlignment="1">
      <alignment horizontal="center"/>
    </xf>
    <xf numFmtId="0" fontId="10" fillId="0" borderId="38" xfId="0" applyFont="1" applyBorder="1" applyAlignment="1">
      <alignment horizontal="center" vertical="center"/>
    </xf>
    <xf numFmtId="0" fontId="3" fillId="27" borderId="78" xfId="0" applyFont="1" applyFill="1" applyBorder="1" applyAlignment="1">
      <alignment horizontal="center"/>
    </xf>
    <xf numFmtId="3" fontId="10" fillId="27" borderId="89" xfId="0" applyNumberFormat="1" applyFont="1" applyFill="1" applyBorder="1" applyAlignment="1">
      <alignment horizontal="center"/>
    </xf>
    <xf numFmtId="176" fontId="10" fillId="27" borderId="89" xfId="0" applyNumberFormat="1" applyFont="1" applyFill="1" applyBorder="1" applyAlignment="1">
      <alignment horizontal="center"/>
    </xf>
    <xf numFmtId="176" fontId="60" fillId="27" borderId="89" xfId="0" applyNumberFormat="1" applyFont="1" applyFill="1" applyBorder="1" applyAlignment="1">
      <alignment horizontal="center"/>
    </xf>
    <xf numFmtId="3" fontId="60" fillId="27" borderId="90" xfId="0" applyNumberFormat="1" applyFont="1" applyFill="1" applyBorder="1" applyAlignment="1">
      <alignment horizontal="center"/>
    </xf>
    <xf numFmtId="0" fontId="59" fillId="0" borderId="8" xfId="0" applyFont="1" applyBorder="1"/>
    <xf numFmtId="0" fontId="60" fillId="0" borderId="96" xfId="0" applyFont="1" applyBorder="1"/>
    <xf numFmtId="0" fontId="60" fillId="0" borderId="9" xfId="0" applyFont="1" applyBorder="1"/>
    <xf numFmtId="0" fontId="60" fillId="0" borderId="0" xfId="0" applyFont="1"/>
    <xf numFmtId="0" fontId="56" fillId="26" borderId="88" xfId="0" applyFont="1" applyFill="1" applyBorder="1" applyAlignment="1">
      <alignment horizontal="center"/>
    </xf>
    <xf numFmtId="0" fontId="56" fillId="28" borderId="78" xfId="0" applyFont="1" applyFill="1" applyBorder="1"/>
    <xf numFmtId="176" fontId="10" fillId="28" borderId="89" xfId="0" applyNumberFormat="1" applyFont="1" applyFill="1" applyBorder="1" applyAlignment="1">
      <alignment horizontal="center"/>
    </xf>
    <xf numFmtId="43" fontId="10" fillId="28" borderId="89" xfId="0" applyNumberFormat="1" applyFont="1" applyFill="1" applyBorder="1" applyAlignment="1">
      <alignment horizontal="center"/>
    </xf>
    <xf numFmtId="176" fontId="10" fillId="28" borderId="90" xfId="0" applyNumberFormat="1" applyFont="1" applyFill="1" applyBorder="1" applyAlignment="1">
      <alignment horizontal="center"/>
    </xf>
    <xf numFmtId="0" fontId="56" fillId="0" borderId="8" xfId="0" applyFont="1" applyBorder="1"/>
    <xf numFmtId="0" fontId="3" fillId="0" borderId="96" xfId="0" applyFont="1" applyBorder="1"/>
    <xf numFmtId="0" fontId="3" fillId="0" borderId="96" xfId="0" applyFont="1" applyBorder="1" applyAlignment="1">
      <alignment shrinkToFit="1"/>
    </xf>
    <xf numFmtId="0" fontId="3" fillId="0" borderId="9" xfId="0" applyFont="1" applyBorder="1" applyAlignment="1">
      <alignment shrinkToFit="1"/>
    </xf>
    <xf numFmtId="0" fontId="3" fillId="0" borderId="0" xfId="0" applyFont="1" applyAlignment="1">
      <alignment shrinkToFit="1"/>
    </xf>
    <xf numFmtId="0" fontId="56" fillId="29" borderId="78" xfId="0" applyFont="1" applyFill="1" applyBorder="1"/>
    <xf numFmtId="176" fontId="10" fillId="29" borderId="89" xfId="0" applyNumberFormat="1" applyFont="1" applyFill="1" applyBorder="1" applyAlignment="1">
      <alignment horizontal="center"/>
    </xf>
    <xf numFmtId="176" fontId="10" fillId="29" borderId="90" xfId="0" applyNumberFormat="1" applyFont="1" applyFill="1" applyBorder="1" applyAlignment="1">
      <alignment horizontal="center"/>
    </xf>
    <xf numFmtId="0" fontId="61" fillId="0" borderId="8" xfId="0" applyFont="1" applyBorder="1"/>
    <xf numFmtId="0" fontId="62" fillId="0" borderId="96" xfId="0" applyFont="1" applyBorder="1"/>
    <xf numFmtId="0" fontId="62" fillId="0" borderId="9" xfId="0" applyFont="1" applyBorder="1"/>
    <xf numFmtId="175" fontId="10" fillId="0" borderId="4" xfId="0" applyNumberFormat="1" applyFont="1" applyBorder="1" applyAlignment="1">
      <alignment horizontal="center"/>
    </xf>
    <xf numFmtId="175" fontId="60" fillId="0" borderId="4" xfId="0" applyNumberFormat="1" applyFont="1" applyBorder="1" applyAlignment="1">
      <alignment horizontal="center"/>
    </xf>
    <xf numFmtId="0" fontId="56" fillId="30" borderId="38" xfId="0" applyFont="1" applyFill="1" applyBorder="1"/>
    <xf numFmtId="176" fontId="10" fillId="30" borderId="4" xfId="0" applyNumberFormat="1" applyFont="1" applyFill="1" applyBorder="1" applyAlignment="1">
      <alignment horizontal="center"/>
    </xf>
    <xf numFmtId="3" fontId="10" fillId="30" borderId="4" xfId="0" applyNumberFormat="1" applyFont="1" applyFill="1" applyBorder="1" applyAlignment="1">
      <alignment horizontal="center"/>
    </xf>
    <xf numFmtId="176" fontId="60" fillId="30" borderId="4" xfId="0" applyNumberFormat="1" applyFont="1" applyFill="1" applyBorder="1" applyAlignment="1">
      <alignment horizontal="center"/>
    </xf>
    <xf numFmtId="3" fontId="60" fillId="30" borderId="72" xfId="0" applyNumberFormat="1" applyFont="1" applyFill="1" applyBorder="1" applyAlignment="1">
      <alignment horizontal="center"/>
    </xf>
    <xf numFmtId="0" fontId="56" fillId="31" borderId="78" xfId="0" applyFont="1" applyFill="1" applyBorder="1"/>
    <xf numFmtId="176" fontId="10" fillId="31" borderId="89" xfId="0" applyNumberFormat="1" applyFont="1" applyFill="1" applyBorder="1" applyAlignment="1">
      <alignment horizontal="center"/>
    </xf>
    <xf numFmtId="176" fontId="60" fillId="31" borderId="89" xfId="0" applyNumberFormat="1" applyFont="1" applyFill="1" applyBorder="1" applyAlignment="1">
      <alignment horizontal="center"/>
    </xf>
    <xf numFmtId="3" fontId="10" fillId="31" borderId="89" xfId="0" applyNumberFormat="1" applyFont="1" applyFill="1" applyBorder="1" applyAlignment="1">
      <alignment horizontal="center"/>
    </xf>
    <xf numFmtId="3" fontId="60" fillId="31" borderId="90" xfId="0" applyNumberFormat="1" applyFont="1" applyFill="1" applyBorder="1" applyAlignment="1">
      <alignment horizontal="center"/>
    </xf>
    <xf numFmtId="0" fontId="3" fillId="0" borderId="87" xfId="0" applyFont="1" applyBorder="1"/>
    <xf numFmtId="0" fontId="56" fillId="32" borderId="78" xfId="0" applyFont="1" applyFill="1" applyBorder="1"/>
    <xf numFmtId="176" fontId="10" fillId="32" borderId="89" xfId="0" applyNumberFormat="1" applyFont="1" applyFill="1" applyBorder="1" applyAlignment="1">
      <alignment horizontal="center"/>
    </xf>
    <xf numFmtId="176" fontId="60" fillId="32" borderId="89" xfId="0" applyNumberFormat="1" applyFont="1" applyFill="1" applyBorder="1" applyAlignment="1">
      <alignment horizontal="center"/>
    </xf>
    <xf numFmtId="176" fontId="60" fillId="33" borderId="90" xfId="0" applyNumberFormat="1" applyFont="1" applyFill="1" applyBorder="1" applyAlignment="1">
      <alignment horizontal="center"/>
    </xf>
    <xf numFmtId="43" fontId="3" fillId="0" borderId="0" xfId="0" applyNumberFormat="1" applyFont="1"/>
    <xf numFmtId="0" fontId="56" fillId="34" borderId="65" xfId="0" applyFont="1" applyFill="1" applyBorder="1"/>
    <xf numFmtId="0" fontId="3" fillId="34" borderId="95" xfId="0" applyFont="1" applyFill="1" applyBorder="1"/>
    <xf numFmtId="0" fontId="3" fillId="34" borderId="66" xfId="0" applyFont="1" applyFill="1" applyBorder="1"/>
    <xf numFmtId="49" fontId="56" fillId="0" borderId="10" xfId="0" applyNumberFormat="1" applyFont="1" applyBorder="1" applyAlignment="1">
      <alignment horizontal="center" vertical="center"/>
    </xf>
    <xf numFmtId="0" fontId="3" fillId="0" borderId="0" xfId="0" applyFont="1" applyAlignment="1">
      <alignment horizontal="center" vertical="center"/>
    </xf>
    <xf numFmtId="0" fontId="3" fillId="0" borderId="10" xfId="0" applyFont="1" applyBorder="1" applyAlignment="1">
      <alignment horizontal="center" vertical="center"/>
    </xf>
    <xf numFmtId="4" fontId="3" fillId="0" borderId="0" xfId="0" applyNumberFormat="1" applyFont="1"/>
    <xf numFmtId="0" fontId="3" fillId="0" borderId="15" xfId="0" applyFont="1" applyBorder="1" applyAlignment="1">
      <alignment horizontal="center" vertical="center"/>
    </xf>
    <xf numFmtId="0" fontId="3" fillId="33" borderId="42" xfId="0" applyFont="1" applyFill="1" applyBorder="1" applyAlignment="1">
      <alignment horizontal="center" vertical="center"/>
    </xf>
    <xf numFmtId="3" fontId="63" fillId="0" borderId="97" xfId="0" applyNumberFormat="1" applyFont="1" applyBorder="1" applyAlignment="1">
      <alignment horizontal="center" vertical="center"/>
    </xf>
    <xf numFmtId="3" fontId="64" fillId="33" borderId="42" xfId="0" applyNumberFormat="1" applyFont="1" applyFill="1" applyBorder="1" applyAlignment="1">
      <alignment horizontal="center" vertical="center"/>
    </xf>
    <xf numFmtId="176" fontId="3" fillId="0" borderId="97" xfId="0" applyNumberFormat="1" applyFont="1" applyBorder="1" applyAlignment="1">
      <alignment horizontal="center" vertical="center"/>
    </xf>
    <xf numFmtId="43" fontId="3" fillId="0" borderId="0" xfId="0" applyNumberFormat="1" applyFont="1" applyAlignment="1">
      <alignment horizontal="center"/>
    </xf>
    <xf numFmtId="0" fontId="56" fillId="10" borderId="87" xfId="0" applyFont="1" applyFill="1" applyBorder="1"/>
    <xf numFmtId="0" fontId="56" fillId="10" borderId="33" xfId="0" applyFont="1" applyFill="1" applyBorder="1" applyAlignment="1">
      <alignment horizontal="center" vertical="center"/>
    </xf>
    <xf numFmtId="0" fontId="56" fillId="10" borderId="88" xfId="0" applyFont="1" applyFill="1" applyBorder="1" applyAlignment="1">
      <alignment horizontal="center" vertical="center"/>
    </xf>
    <xf numFmtId="0" fontId="10" fillId="0" borderId="38" xfId="0" applyFont="1" applyBorder="1"/>
    <xf numFmtId="0" fontId="10" fillId="0" borderId="4" xfId="0" applyFont="1" applyBorder="1" applyAlignment="1">
      <alignment horizontal="center" vertical="center"/>
    </xf>
    <xf numFmtId="0" fontId="10" fillId="0" borderId="72" xfId="0" applyFont="1" applyBorder="1" applyAlignment="1">
      <alignment horizontal="center" vertical="center"/>
    </xf>
    <xf numFmtId="0" fontId="56" fillId="13" borderId="38" xfId="0" applyFont="1" applyFill="1" applyBorder="1" applyAlignment="1">
      <alignment wrapText="1"/>
    </xf>
    <xf numFmtId="175" fontId="65" fillId="0" borderId="4" xfId="0" applyNumberFormat="1" applyFont="1" applyBorder="1" applyAlignment="1">
      <alignment horizontal="center" vertical="center"/>
    </xf>
    <xf numFmtId="0" fontId="65" fillId="0" borderId="4" xfId="0" applyFont="1" applyBorder="1" applyAlignment="1">
      <alignment horizontal="center" vertical="center"/>
    </xf>
    <xf numFmtId="1" fontId="65" fillId="0" borderId="72" xfId="0" applyNumberFormat="1" applyFont="1" applyBorder="1" applyAlignment="1">
      <alignment horizontal="center" vertical="center"/>
    </xf>
    <xf numFmtId="176" fontId="10" fillId="0" borderId="4" xfId="0" applyNumberFormat="1" applyFont="1" applyBorder="1" applyAlignment="1">
      <alignment horizontal="center" vertical="center"/>
    </xf>
    <xf numFmtId="176" fontId="10" fillId="0" borderId="72" xfId="0" applyNumberFormat="1" applyFont="1" applyBorder="1" applyAlignment="1">
      <alignment horizontal="center" vertical="center"/>
    </xf>
    <xf numFmtId="0" fontId="10" fillId="0" borderId="98" xfId="0" applyFont="1" applyBorder="1"/>
    <xf numFmtId="176" fontId="10" fillId="0" borderId="34" xfId="0" applyNumberFormat="1" applyFont="1" applyBorder="1" applyAlignment="1">
      <alignment horizontal="center" vertical="center"/>
    </xf>
    <xf numFmtId="176" fontId="10" fillId="0" borderId="99" xfId="0" applyNumberFormat="1" applyFont="1" applyBorder="1" applyAlignment="1">
      <alignment horizontal="center" vertical="center"/>
    </xf>
    <xf numFmtId="184" fontId="30" fillId="0" borderId="4" xfId="0" applyNumberFormat="1" applyFont="1" applyBorder="1" applyAlignment="1">
      <alignment horizontal="center" vertical="center"/>
    </xf>
    <xf numFmtId="0" fontId="29" fillId="35" borderId="4" xfId="0" applyFont="1" applyFill="1" applyBorder="1" applyAlignment="1">
      <alignment horizontal="center" vertical="center"/>
    </xf>
    <xf numFmtId="188" fontId="30" fillId="0" borderId="4" xfId="0" applyNumberFormat="1" applyFont="1" applyBorder="1" applyAlignment="1">
      <alignment horizontal="center" vertical="center"/>
    </xf>
    <xf numFmtId="0" fontId="29" fillId="0" borderId="72" xfId="0" applyFont="1" applyBorder="1" applyAlignment="1">
      <alignment horizontal="center" vertical="center"/>
    </xf>
    <xf numFmtId="0" fontId="29" fillId="0" borderId="4" xfId="0" applyFont="1" applyBorder="1" applyAlignment="1">
      <alignment horizontal="center" vertical="center"/>
    </xf>
    <xf numFmtId="176" fontId="29" fillId="0" borderId="4" xfId="0" applyNumberFormat="1" applyFont="1" applyBorder="1" applyAlignment="1">
      <alignment horizontal="center" vertical="center"/>
    </xf>
    <xf numFmtId="176" fontId="30" fillId="0" borderId="72" xfId="0" applyNumberFormat="1" applyFont="1" applyBorder="1" applyAlignment="1">
      <alignment horizontal="center" vertical="center"/>
    </xf>
    <xf numFmtId="43" fontId="29" fillId="0" borderId="4" xfId="0" applyNumberFormat="1" applyFont="1" applyBorder="1" applyAlignment="1">
      <alignment horizontal="center" vertical="center"/>
    </xf>
    <xf numFmtId="189" fontId="29" fillId="0" borderId="72" xfId="0" applyNumberFormat="1" applyFont="1" applyBorder="1" applyAlignment="1">
      <alignment horizontal="center" vertical="center"/>
    </xf>
    <xf numFmtId="43" fontId="29" fillId="0" borderId="0" xfId="0" applyNumberFormat="1" applyFont="1" applyAlignment="1">
      <alignment horizontal="center" vertical="center"/>
    </xf>
    <xf numFmtId="0" fontId="29" fillId="33" borderId="42" xfId="0" applyFont="1" applyFill="1" applyBorder="1" applyAlignment="1">
      <alignment horizontal="center" vertical="center"/>
    </xf>
    <xf numFmtId="43" fontId="29" fillId="33" borderId="42" xfId="0" applyNumberFormat="1" applyFont="1" applyFill="1" applyBorder="1" applyAlignment="1">
      <alignment horizontal="center" vertical="center"/>
    </xf>
    <xf numFmtId="189" fontId="29" fillId="33" borderId="42" xfId="0" applyNumberFormat="1" applyFont="1" applyFill="1" applyBorder="1" applyAlignment="1">
      <alignment horizontal="center" vertical="center"/>
    </xf>
    <xf numFmtId="0" fontId="3" fillId="26" borderId="4" xfId="0" applyFont="1" applyFill="1" applyBorder="1"/>
    <xf numFmtId="0" fontId="56" fillId="26" borderId="4" xfId="0" applyFont="1" applyFill="1" applyBorder="1"/>
    <xf numFmtId="0" fontId="59" fillId="26" borderId="4" xfId="0" applyFont="1" applyFill="1" applyBorder="1"/>
    <xf numFmtId="0" fontId="3" fillId="0" borderId="4" xfId="0" applyFont="1" applyBorder="1"/>
    <xf numFmtId="184" fontId="10" fillId="0" borderId="4" xfId="0" applyNumberFormat="1" applyFont="1" applyBorder="1"/>
    <xf numFmtId="184" fontId="60" fillId="0" borderId="4" xfId="0" applyNumberFormat="1" applyFont="1" applyBorder="1"/>
    <xf numFmtId="189" fontId="3" fillId="0" borderId="0" xfId="0" applyNumberFormat="1" applyFont="1"/>
    <xf numFmtId="0" fontId="38" fillId="0" borderId="0" xfId="0" applyFont="1" applyAlignment="1">
      <alignment vertical="top"/>
    </xf>
    <xf numFmtId="0" fontId="66" fillId="0" borderId="0" xfId="0" applyFont="1"/>
    <xf numFmtId="0" fontId="38" fillId="23" borderId="42" xfId="0" applyFont="1" applyFill="1" applyBorder="1"/>
    <xf numFmtId="0" fontId="28" fillId="23" borderId="42" xfId="0" applyFont="1" applyFill="1" applyBorder="1"/>
    <xf numFmtId="0" fontId="28" fillId="0" borderId="79" xfId="0" applyFont="1" applyBorder="1"/>
    <xf numFmtId="0" fontId="23" fillId="0" borderId="80" xfId="0" applyFont="1" applyBorder="1" applyAlignment="1">
      <alignment horizontal="center"/>
    </xf>
    <xf numFmtId="0" fontId="23" fillId="0" borderId="81" xfId="0" applyFont="1" applyBorder="1" applyAlignment="1">
      <alignment horizontal="center"/>
    </xf>
    <xf numFmtId="0" fontId="23" fillId="0" borderId="102" xfId="0" applyFont="1" applyBorder="1"/>
    <xf numFmtId="0" fontId="23" fillId="0" borderId="103" xfId="0" applyFont="1" applyBorder="1" applyAlignment="1">
      <alignment horizontal="center"/>
    </xf>
    <xf numFmtId="0" fontId="23" fillId="0" borderId="104" xfId="0" applyFont="1" applyBorder="1" applyAlignment="1">
      <alignment horizontal="center"/>
    </xf>
    <xf numFmtId="0" fontId="24" fillId="0" borderId="85" xfId="0" applyFont="1" applyBorder="1"/>
    <xf numFmtId="37" fontId="28" fillId="0" borderId="28" xfId="0" applyNumberFormat="1" applyFont="1" applyBorder="1"/>
    <xf numFmtId="2" fontId="28" fillId="0" borderId="28" xfId="0" applyNumberFormat="1" applyFont="1" applyBorder="1"/>
    <xf numFmtId="190" fontId="28" fillId="0" borderId="39" xfId="0" applyNumberFormat="1" applyFont="1" applyBorder="1"/>
    <xf numFmtId="43" fontId="28" fillId="0" borderId="105" xfId="0" applyNumberFormat="1" applyFont="1" applyBorder="1"/>
    <xf numFmtId="191" fontId="28" fillId="0" borderId="106" xfId="0" applyNumberFormat="1" applyFont="1" applyBorder="1"/>
    <xf numFmtId="0" fontId="28" fillId="0" borderId="0" xfId="0" applyFont="1" applyAlignment="1">
      <alignment horizontal="center"/>
    </xf>
    <xf numFmtId="168" fontId="40" fillId="0" borderId="0" xfId="0" applyNumberFormat="1" applyFont="1"/>
    <xf numFmtId="0" fontId="24" fillId="0" borderId="73" xfId="0" applyFont="1" applyBorder="1"/>
    <xf numFmtId="176" fontId="28" fillId="0" borderId="4" xfId="0" applyNumberFormat="1" applyFont="1" applyBorder="1"/>
    <xf numFmtId="2" fontId="28" fillId="0" borderId="4" xfId="0" applyNumberFormat="1" applyFont="1" applyBorder="1"/>
    <xf numFmtId="190" fontId="28" fillId="0" borderId="1" xfId="0" applyNumberFormat="1" applyFont="1" applyBorder="1"/>
    <xf numFmtId="43" fontId="28" fillId="0" borderId="107" xfId="0" applyNumberFormat="1" applyFont="1" applyBorder="1"/>
    <xf numFmtId="191" fontId="28" fillId="0" borderId="108" xfId="0" applyNumberFormat="1" applyFont="1" applyBorder="1"/>
    <xf numFmtId="0" fontId="24" fillId="0" borderId="109" xfId="0" applyFont="1" applyBorder="1"/>
    <xf numFmtId="176" fontId="28" fillId="0" borderId="89" xfId="0" applyNumberFormat="1" applyFont="1" applyBorder="1"/>
    <xf numFmtId="2" fontId="28" fillId="0" borderId="89" xfId="0" applyNumberFormat="1" applyFont="1" applyBorder="1"/>
    <xf numFmtId="190" fontId="28" fillId="0" borderId="6" xfId="0" applyNumberFormat="1" applyFont="1" applyBorder="1"/>
    <xf numFmtId="43" fontId="28" fillId="0" borderId="110" xfId="0" applyNumberFormat="1" applyFont="1" applyBorder="1"/>
    <xf numFmtId="191" fontId="28" fillId="0" borderId="111" xfId="0" applyNumberFormat="1" applyFont="1" applyBorder="1"/>
    <xf numFmtId="0" fontId="28" fillId="0" borderId="112" xfId="0" applyFont="1" applyBorder="1"/>
    <xf numFmtId="0" fontId="28" fillId="0" borderId="113" xfId="0" applyFont="1" applyBorder="1"/>
    <xf numFmtId="0" fontId="67" fillId="0" borderId="113" xfId="0" applyFont="1" applyBorder="1"/>
    <xf numFmtId="0" fontId="67" fillId="25" borderId="114" xfId="0" applyFont="1" applyFill="1" applyBorder="1"/>
    <xf numFmtId="191" fontId="67" fillId="25" borderId="115" xfId="0" applyNumberFormat="1" applyFont="1" applyFill="1" applyBorder="1"/>
    <xf numFmtId="0" fontId="39" fillId="23" borderId="42" xfId="0" applyFont="1" applyFill="1" applyBorder="1"/>
    <xf numFmtId="0" fontId="24" fillId="0" borderId="116" xfId="0" applyFont="1" applyBorder="1"/>
    <xf numFmtId="37" fontId="28" fillId="0" borderId="33" xfId="0" applyNumberFormat="1" applyFont="1" applyBorder="1"/>
    <xf numFmtId="192" fontId="28" fillId="0" borderId="33" xfId="0" applyNumberFormat="1" applyFont="1" applyBorder="1"/>
    <xf numFmtId="180" fontId="28" fillId="0" borderId="117" xfId="0" applyNumberFormat="1" applyFont="1" applyBorder="1"/>
    <xf numFmtId="176" fontId="28" fillId="0" borderId="105" xfId="0" applyNumberFormat="1" applyFont="1" applyBorder="1"/>
    <xf numFmtId="167" fontId="28" fillId="0" borderId="105" xfId="0" applyNumberFormat="1" applyFont="1" applyBorder="1" applyAlignment="1">
      <alignment horizontal="right"/>
    </xf>
    <xf numFmtId="176" fontId="40" fillId="0" borderId="0" xfId="0" applyNumberFormat="1" applyFont="1" applyAlignment="1">
      <alignment horizontal="center"/>
    </xf>
    <xf numFmtId="184" fontId="40" fillId="0" borderId="0" xfId="0" applyNumberFormat="1" applyFont="1"/>
    <xf numFmtId="192" fontId="28" fillId="0" borderId="4" xfId="0" applyNumberFormat="1" applyFont="1" applyBorder="1"/>
    <xf numFmtId="180" fontId="28" fillId="0" borderId="1" xfId="0" applyNumberFormat="1" applyFont="1" applyBorder="1"/>
    <xf numFmtId="176" fontId="28" fillId="0" borderId="107" xfId="0" applyNumberFormat="1" applyFont="1" applyBorder="1"/>
    <xf numFmtId="180" fontId="28" fillId="0" borderId="107" xfId="0" applyNumberFormat="1" applyFont="1" applyBorder="1" applyAlignment="1">
      <alignment horizontal="center"/>
    </xf>
    <xf numFmtId="192" fontId="28" fillId="0" borderId="89" xfId="0" applyNumberFormat="1" applyFont="1" applyBorder="1"/>
    <xf numFmtId="180" fontId="28" fillId="0" borderId="6" xfId="0" applyNumberFormat="1" applyFont="1" applyBorder="1"/>
    <xf numFmtId="176" fontId="28" fillId="0" borderId="110" xfId="0" applyNumberFormat="1" applyFont="1" applyBorder="1"/>
    <xf numFmtId="180" fontId="28" fillId="0" borderId="110" xfId="0" applyNumberFormat="1" applyFont="1" applyBorder="1" applyAlignment="1">
      <alignment horizontal="center"/>
    </xf>
    <xf numFmtId="180" fontId="67" fillId="25" borderId="114" xfId="0" applyNumberFormat="1" applyFont="1" applyFill="1" applyBorder="1"/>
    <xf numFmtId="168" fontId="68" fillId="0" borderId="0" xfId="0" applyNumberFormat="1" applyFont="1"/>
    <xf numFmtId="184" fontId="68" fillId="0" borderId="0" xfId="0" applyNumberFormat="1" applyFont="1"/>
    <xf numFmtId="192" fontId="28" fillId="0" borderId="28" xfId="0" applyNumberFormat="1" applyFont="1" applyBorder="1"/>
    <xf numFmtId="185" fontId="28" fillId="0" borderId="39" xfId="0" applyNumberFormat="1" applyFont="1" applyBorder="1"/>
    <xf numFmtId="167" fontId="28" fillId="0" borderId="106" xfId="0" applyNumberFormat="1" applyFont="1" applyBorder="1"/>
    <xf numFmtId="181" fontId="28" fillId="0" borderId="1" xfId="0" applyNumberFormat="1" applyFont="1" applyBorder="1"/>
    <xf numFmtId="180" fontId="28" fillId="0" borderId="108" xfId="0" applyNumberFormat="1" applyFont="1" applyBorder="1"/>
    <xf numFmtId="181" fontId="28" fillId="0" borderId="6" xfId="0" applyNumberFormat="1" applyFont="1" applyBorder="1"/>
    <xf numFmtId="180" fontId="28" fillId="0" borderId="111" xfId="0" applyNumberFormat="1" applyFont="1" applyBorder="1"/>
    <xf numFmtId="0" fontId="23" fillId="25" borderId="114" xfId="0" applyFont="1" applyFill="1" applyBorder="1" applyAlignment="1">
      <alignment horizontal="center"/>
    </xf>
    <xf numFmtId="180" fontId="67" fillId="25" borderId="115" xfId="0" applyNumberFormat="1" applyFont="1" applyFill="1" applyBorder="1"/>
    <xf numFmtId="0" fontId="38" fillId="36" borderId="42" xfId="0" applyFont="1" applyFill="1" applyBorder="1"/>
    <xf numFmtId="0" fontId="28" fillId="36" borderId="42" xfId="0" applyFont="1" applyFill="1" applyBorder="1"/>
    <xf numFmtId="0" fontId="39" fillId="36" borderId="42" xfId="0" applyFont="1" applyFill="1" applyBorder="1"/>
    <xf numFmtId="0" fontId="28" fillId="0" borderId="118" xfId="0" applyFont="1" applyBorder="1"/>
    <xf numFmtId="0" fontId="67" fillId="0" borderId="81" xfId="0" applyFont="1" applyBorder="1" applyAlignment="1">
      <alignment horizontal="center"/>
    </xf>
    <xf numFmtId="0" fontId="28" fillId="0" borderId="119" xfId="0" applyFont="1" applyBorder="1"/>
    <xf numFmtId="0" fontId="67" fillId="0" borderId="120" xfId="0" applyFont="1" applyBorder="1" applyAlignment="1">
      <alignment horizontal="center"/>
    </xf>
    <xf numFmtId="0" fontId="67" fillId="0" borderId="104" xfId="0" applyFont="1" applyBorder="1" applyAlignment="1">
      <alignment horizontal="center"/>
    </xf>
    <xf numFmtId="193" fontId="28" fillId="0" borderId="86" xfId="0" applyNumberFormat="1" applyFont="1" applyBorder="1"/>
    <xf numFmtId="193" fontId="28" fillId="0" borderId="121" xfId="0" applyNumberFormat="1" applyFont="1" applyBorder="1" applyAlignment="1">
      <alignment horizontal="center"/>
    </xf>
    <xf numFmtId="180" fontId="40" fillId="0" borderId="0" xfId="0" applyNumberFormat="1" applyFont="1"/>
    <xf numFmtId="193" fontId="28" fillId="0" borderId="74" xfId="0" applyNumberFormat="1" applyFont="1" applyBorder="1"/>
    <xf numFmtId="193" fontId="28" fillId="0" borderId="107" xfId="0" applyNumberFormat="1" applyFont="1" applyBorder="1" applyAlignment="1">
      <alignment horizontal="center"/>
    </xf>
    <xf numFmtId="193" fontId="28" fillId="0" borderId="122" xfId="0" applyNumberFormat="1" applyFont="1" applyBorder="1"/>
    <xf numFmtId="193" fontId="28" fillId="0" borderId="110" xfId="0" applyNumberFormat="1" applyFont="1" applyBorder="1" applyAlignment="1">
      <alignment horizontal="center"/>
    </xf>
    <xf numFmtId="0" fontId="67" fillId="25" borderId="114" xfId="0" applyFont="1" applyFill="1" applyBorder="1" applyAlignment="1">
      <alignment horizontal="center"/>
    </xf>
    <xf numFmtId="43" fontId="67" fillId="25" borderId="114" xfId="0" applyNumberFormat="1" applyFont="1" applyFill="1" applyBorder="1"/>
    <xf numFmtId="180" fontId="67" fillId="0" borderId="0" xfId="0" applyNumberFormat="1" applyFont="1"/>
    <xf numFmtId="0" fontId="38" fillId="23" borderId="123" xfId="0" applyFont="1" applyFill="1" applyBorder="1"/>
    <xf numFmtId="0" fontId="28" fillId="23" borderId="124" xfId="0" applyFont="1" applyFill="1" applyBorder="1"/>
    <xf numFmtId="0" fontId="38" fillId="23" borderId="124" xfId="0" applyFont="1" applyFill="1" applyBorder="1"/>
    <xf numFmtId="0" fontId="38" fillId="0" borderId="125" xfId="0" applyFont="1" applyBorder="1"/>
    <xf numFmtId="0" fontId="28" fillId="0" borderId="125" xfId="0" applyFont="1" applyBorder="1"/>
    <xf numFmtId="0" fontId="28" fillId="0" borderId="126" xfId="0" applyFont="1" applyBorder="1"/>
    <xf numFmtId="0" fontId="28" fillId="0" borderId="127" xfId="0" applyFont="1" applyBorder="1"/>
    <xf numFmtId="0" fontId="28" fillId="0" borderId="128" xfId="0" applyFont="1" applyBorder="1"/>
    <xf numFmtId="0" fontId="23" fillId="0" borderId="129" xfId="0" applyFont="1" applyBorder="1" applyAlignment="1">
      <alignment horizontal="center"/>
    </xf>
    <xf numFmtId="0" fontId="23" fillId="0" borderId="130" xfId="0" applyFont="1" applyBorder="1" applyAlignment="1">
      <alignment horizontal="center"/>
    </xf>
    <xf numFmtId="0" fontId="23" fillId="0" borderId="131" xfId="0" applyFont="1" applyBorder="1" applyAlignment="1">
      <alignment horizontal="center"/>
    </xf>
    <xf numFmtId="0" fontId="23" fillId="0" borderId="132" xfId="0" applyFont="1" applyBorder="1" applyAlignment="1">
      <alignment horizontal="center"/>
    </xf>
    <xf numFmtId="0" fontId="23" fillId="0" borderId="133" xfId="0" applyFont="1" applyBorder="1" applyAlignment="1">
      <alignment horizontal="center"/>
    </xf>
    <xf numFmtId="0" fontId="23" fillId="0" borderId="134" xfId="0" applyFont="1" applyBorder="1" applyAlignment="1">
      <alignment horizontal="center"/>
    </xf>
    <xf numFmtId="0" fontId="23" fillId="0" borderId="135" xfId="0" applyFont="1" applyBorder="1" applyAlignment="1">
      <alignment horizontal="center"/>
    </xf>
    <xf numFmtId="39" fontId="28" fillId="0" borderId="121" xfId="0" applyNumberFormat="1" applyFont="1" applyBorder="1"/>
    <xf numFmtId="184" fontId="28" fillId="0" borderId="136" xfId="0" applyNumberFormat="1" applyFont="1" applyBorder="1"/>
    <xf numFmtId="184" fontId="28" fillId="0" borderId="108" xfId="0" applyNumberFormat="1" applyFont="1" applyBorder="1"/>
    <xf numFmtId="176" fontId="28" fillId="0" borderId="34" xfId="0" applyNumberFormat="1" applyFont="1" applyBorder="1"/>
    <xf numFmtId="190" fontId="28" fillId="0" borderId="137" xfId="0" applyNumberFormat="1" applyFont="1" applyBorder="1"/>
    <xf numFmtId="43" fontId="28" fillId="0" borderId="138" xfId="0" applyNumberFormat="1" applyFont="1" applyBorder="1"/>
    <xf numFmtId="184" fontId="28" fillId="0" borderId="111" xfId="0" applyNumberFormat="1" applyFont="1" applyBorder="1"/>
    <xf numFmtId="0" fontId="28" fillId="0" borderId="139" xfId="0" applyFont="1" applyBorder="1"/>
    <xf numFmtId="0" fontId="28" fillId="0" borderId="96" xfId="0" applyFont="1" applyBorder="1"/>
    <xf numFmtId="0" fontId="23" fillId="25" borderId="140" xfId="0" applyFont="1" applyFill="1" applyBorder="1" applyAlignment="1">
      <alignment horizontal="center"/>
    </xf>
    <xf numFmtId="184" fontId="67" fillId="25" borderId="141" xfId="0" applyNumberFormat="1" applyFont="1" applyFill="1" applyBorder="1"/>
    <xf numFmtId="0" fontId="23" fillId="0" borderId="142" xfId="0" applyFont="1" applyBorder="1" applyAlignment="1">
      <alignment horizontal="center"/>
    </xf>
    <xf numFmtId="181" fontId="28" fillId="0" borderId="39" xfId="0" applyNumberFormat="1" applyFont="1" applyBorder="1"/>
    <xf numFmtId="0" fontId="40" fillId="0" borderId="0" xfId="0" applyFont="1" applyAlignment="1">
      <alignment horizontal="center"/>
    </xf>
    <xf numFmtId="176" fontId="28" fillId="0" borderId="113" xfId="0" applyNumberFormat="1" applyFont="1" applyBorder="1"/>
    <xf numFmtId="0" fontId="23" fillId="25" borderId="143" xfId="0" applyFont="1" applyFill="1" applyBorder="1" applyAlignment="1">
      <alignment horizontal="center"/>
    </xf>
    <xf numFmtId="184" fontId="67" fillId="25" borderId="144" xfId="0" applyNumberFormat="1" applyFont="1" applyFill="1" applyBorder="1"/>
    <xf numFmtId="0" fontId="28" fillId="0" borderId="145" xfId="0" applyFont="1" applyBorder="1"/>
    <xf numFmtId="0" fontId="23" fillId="0" borderId="51" xfId="0" applyFont="1" applyBorder="1" applyAlignment="1">
      <alignment horizontal="center"/>
    </xf>
    <xf numFmtId="0" fontId="23" fillId="0" borderId="146" xfId="0" applyFont="1" applyBorder="1" applyAlignment="1">
      <alignment horizontal="center"/>
    </xf>
    <xf numFmtId="0" fontId="23" fillId="0" borderId="147" xfId="0" applyFont="1" applyBorder="1"/>
    <xf numFmtId="0" fontId="23" fillId="0" borderId="23" xfId="0" applyFont="1" applyBorder="1" applyAlignment="1">
      <alignment horizontal="center"/>
    </xf>
    <xf numFmtId="0" fontId="23" fillId="0" borderId="148" xfId="0" applyFont="1" applyBorder="1" applyAlignment="1">
      <alignment horizontal="center"/>
    </xf>
    <xf numFmtId="43" fontId="24" fillId="0" borderId="117" xfId="0" applyNumberFormat="1" applyFont="1" applyBorder="1" applyAlignment="1">
      <alignment horizontal="center"/>
    </xf>
    <xf numFmtId="0" fontId="28" fillId="0" borderId="136" xfId="0" applyFont="1" applyBorder="1"/>
    <xf numFmtId="43" fontId="24" fillId="0" borderId="1" xfId="0" applyNumberFormat="1" applyFont="1" applyBorder="1" applyAlignment="1">
      <alignment horizontal="center"/>
    </xf>
    <xf numFmtId="0" fontId="28" fillId="0" borderId="108" xfId="0" applyFont="1" applyBorder="1"/>
    <xf numFmtId="176" fontId="28" fillId="0" borderId="138" xfId="0" applyNumberFormat="1" applyFont="1" applyBorder="1"/>
    <xf numFmtId="0" fontId="28" fillId="0" borderId="111" xfId="0" applyFont="1" applyBorder="1"/>
    <xf numFmtId="0" fontId="23" fillId="25" borderId="149" xfId="0" applyFont="1" applyFill="1" applyBorder="1" applyAlignment="1">
      <alignment horizontal="center"/>
    </xf>
    <xf numFmtId="0" fontId="67" fillId="25" borderId="150" xfId="0" applyFont="1" applyFill="1" applyBorder="1"/>
    <xf numFmtId="0" fontId="38" fillId="36" borderId="151" xfId="0" applyFont="1" applyFill="1" applyBorder="1"/>
    <xf numFmtId="0" fontId="28" fillId="36" borderId="152" xfId="0" applyFont="1" applyFill="1" applyBorder="1"/>
    <xf numFmtId="0" fontId="28" fillId="36" borderId="153" xfId="0" applyFont="1" applyFill="1" applyBorder="1"/>
    <xf numFmtId="0" fontId="28" fillId="0" borderId="154" xfId="0" applyFont="1" applyBorder="1"/>
    <xf numFmtId="0" fontId="28" fillId="0" borderId="68" xfId="0" applyFont="1" applyBorder="1"/>
    <xf numFmtId="0" fontId="67" fillId="0" borderId="80" xfId="0" applyFont="1" applyBorder="1" applyAlignment="1">
      <alignment horizontal="center"/>
    </xf>
    <xf numFmtId="0" fontId="28" fillId="0" borderId="155" xfId="0" applyFont="1" applyBorder="1"/>
    <xf numFmtId="0" fontId="23" fillId="0" borderId="4" xfId="0" applyFont="1" applyBorder="1" applyAlignment="1">
      <alignment horizontal="center"/>
    </xf>
    <xf numFmtId="0" fontId="23" fillId="0" borderId="32" xfId="0" applyFont="1" applyBorder="1" applyAlignment="1">
      <alignment horizontal="center"/>
    </xf>
    <xf numFmtId="0" fontId="23" fillId="0" borderId="120" xfId="0" applyFont="1" applyBorder="1" applyAlignment="1">
      <alignment horizontal="center"/>
    </xf>
    <xf numFmtId="0" fontId="23" fillId="0" borderId="156" xfId="0" applyFont="1" applyBorder="1"/>
    <xf numFmtId="0" fontId="23" fillId="0" borderId="89" xfId="0" applyFont="1" applyBorder="1" applyAlignment="1">
      <alignment horizontal="center"/>
    </xf>
    <xf numFmtId="0" fontId="24" fillId="0" borderId="157" xfId="0" applyFont="1" applyBorder="1"/>
    <xf numFmtId="194" fontId="28" fillId="0" borderId="28" xfId="0" applyNumberFormat="1" applyFont="1" applyBorder="1"/>
    <xf numFmtId="0" fontId="28" fillId="0" borderId="30" xfId="0" applyFont="1" applyBorder="1" applyAlignment="1">
      <alignment horizontal="center"/>
    </xf>
    <xf numFmtId="194" fontId="28" fillId="0" borderId="121" xfId="0" applyNumberFormat="1" applyFont="1" applyBorder="1"/>
    <xf numFmtId="184" fontId="28" fillId="0" borderId="106" xfId="0" applyNumberFormat="1" applyFont="1" applyBorder="1"/>
    <xf numFmtId="0" fontId="24" fillId="0" borderId="155" xfId="0" applyFont="1" applyBorder="1"/>
    <xf numFmtId="194" fontId="28" fillId="0" borderId="4" xfId="0" applyNumberFormat="1" applyFont="1" applyBorder="1"/>
    <xf numFmtId="0" fontId="28" fillId="0" borderId="27" xfId="0" applyFont="1" applyBorder="1" applyAlignment="1">
      <alignment horizontal="center"/>
    </xf>
    <xf numFmtId="194" fontId="28" fillId="0" borderId="107" xfId="0" applyNumberFormat="1" applyFont="1" applyBorder="1"/>
    <xf numFmtId="0" fontId="28" fillId="0" borderId="4" xfId="0" applyFont="1" applyBorder="1"/>
    <xf numFmtId="184" fontId="28" fillId="0" borderId="158" xfId="0" applyNumberFormat="1" applyFont="1" applyBorder="1"/>
    <xf numFmtId="0" fontId="28" fillId="0" borderId="159" xfId="0" applyFont="1" applyBorder="1"/>
    <xf numFmtId="0" fontId="28" fillId="0" borderId="160" xfId="0" applyFont="1" applyBorder="1"/>
    <xf numFmtId="0" fontId="23" fillId="0" borderId="149" xfId="0" applyFont="1" applyBorder="1" applyAlignment="1">
      <alignment horizontal="center"/>
    </xf>
    <xf numFmtId="184" fontId="67" fillId="0" borderId="161" xfId="0" applyNumberFormat="1" applyFont="1" applyBorder="1"/>
    <xf numFmtId="0" fontId="69" fillId="0" borderId="0" xfId="0" applyFont="1"/>
    <xf numFmtId="0" fontId="70" fillId="0" borderId="0" xfId="0" applyFont="1"/>
    <xf numFmtId="0" fontId="72" fillId="23" borderId="42" xfId="0" applyFont="1" applyFill="1" applyBorder="1"/>
    <xf numFmtId="0" fontId="26" fillId="23" borderId="42" xfId="0" applyFont="1" applyFill="1" applyBorder="1"/>
    <xf numFmtId="0" fontId="41" fillId="23" borderId="42" xfId="0" applyFont="1" applyFill="1" applyBorder="1"/>
    <xf numFmtId="0" fontId="41" fillId="25" borderId="162" xfId="0" applyFont="1" applyFill="1" applyBorder="1"/>
    <xf numFmtId="0" fontId="72" fillId="25" borderId="163" xfId="0" applyFont="1" applyFill="1" applyBorder="1" applyAlignment="1">
      <alignment horizontal="center"/>
    </xf>
    <xf numFmtId="0" fontId="26" fillId="25" borderId="163" xfId="0" applyFont="1" applyFill="1" applyBorder="1"/>
    <xf numFmtId="0" fontId="26" fillId="25" borderId="164" xfId="0" applyFont="1" applyFill="1" applyBorder="1"/>
    <xf numFmtId="0" fontId="26" fillId="25" borderId="165" xfId="0" applyFont="1" applyFill="1" applyBorder="1"/>
    <xf numFmtId="0" fontId="72" fillId="25" borderId="166" xfId="0" applyFont="1" applyFill="1" applyBorder="1" applyAlignment="1">
      <alignment horizontal="center"/>
    </xf>
    <xf numFmtId="0" fontId="26" fillId="25" borderId="166" xfId="0" applyFont="1" applyFill="1" applyBorder="1"/>
    <xf numFmtId="0" fontId="23" fillId="25" borderId="166" xfId="0" applyFont="1" applyFill="1" applyBorder="1" applyAlignment="1">
      <alignment horizontal="center"/>
    </xf>
    <xf numFmtId="0" fontId="23" fillId="25" borderId="167" xfId="0" applyFont="1" applyFill="1" applyBorder="1" applyAlignment="1">
      <alignment horizontal="center"/>
    </xf>
    <xf numFmtId="0" fontId="23" fillId="0" borderId="0" xfId="0" applyFont="1" applyAlignment="1">
      <alignment horizontal="center"/>
    </xf>
    <xf numFmtId="0" fontId="72" fillId="25" borderId="168" xfId="0" applyFont="1" applyFill="1" applyBorder="1"/>
    <xf numFmtId="0" fontId="72" fillId="25" borderId="169" xfId="0" applyFont="1" applyFill="1" applyBorder="1" applyAlignment="1">
      <alignment horizontal="center"/>
    </xf>
    <xf numFmtId="0" fontId="23" fillId="25" borderId="170" xfId="0" applyFont="1" applyFill="1" applyBorder="1" applyAlignment="1">
      <alignment horizontal="center"/>
    </xf>
    <xf numFmtId="0" fontId="72" fillId="0" borderId="0" xfId="0" applyFont="1" applyAlignment="1">
      <alignment horizontal="center"/>
    </xf>
    <xf numFmtId="0" fontId="41" fillId="0" borderId="85" xfId="0" applyFont="1" applyBorder="1"/>
    <xf numFmtId="37" fontId="26" fillId="0" borderId="28" xfId="0" applyNumberFormat="1" applyFont="1" applyBorder="1"/>
    <xf numFmtId="176" fontId="73" fillId="37" borderId="4" xfId="0" applyNumberFormat="1" applyFont="1" applyFill="1" applyBorder="1"/>
    <xf numFmtId="37" fontId="26" fillId="0" borderId="28" xfId="0" applyNumberFormat="1" applyFont="1" applyBorder="1" applyAlignment="1">
      <alignment horizontal="center"/>
    </xf>
    <xf numFmtId="9" fontId="26" fillId="0" borderId="28" xfId="0" applyNumberFormat="1" applyFont="1" applyBorder="1" applyAlignment="1">
      <alignment horizontal="center"/>
    </xf>
    <xf numFmtId="2" fontId="26" fillId="0" borderId="28" xfId="0" applyNumberFormat="1" applyFont="1" applyBorder="1" applyAlignment="1">
      <alignment horizontal="center"/>
    </xf>
    <xf numFmtId="190" fontId="26" fillId="0" borderId="28" xfId="0" applyNumberFormat="1" applyFont="1" applyBorder="1" applyAlignment="1">
      <alignment horizontal="center"/>
    </xf>
    <xf numFmtId="39" fontId="28" fillId="0" borderId="28" xfId="0" applyNumberFormat="1" applyFont="1" applyBorder="1"/>
    <xf numFmtId="167" fontId="28" fillId="0" borderId="86" xfId="0" applyNumberFormat="1" applyFont="1" applyBorder="1"/>
    <xf numFmtId="0" fontId="26" fillId="0" borderId="0" xfId="0" applyFont="1" applyAlignment="1">
      <alignment horizontal="center"/>
    </xf>
    <xf numFmtId="1" fontId="26" fillId="0" borderId="0" xfId="0" applyNumberFormat="1" applyFont="1" applyAlignment="1">
      <alignment horizontal="center"/>
    </xf>
    <xf numFmtId="168" fontId="28" fillId="0" borderId="0" xfId="0" applyNumberFormat="1" applyFont="1"/>
    <xf numFmtId="0" fontId="41" fillId="0" borderId="73" xfId="0" applyFont="1" applyBorder="1"/>
    <xf numFmtId="176" fontId="26" fillId="23" borderId="4" xfId="0" applyNumberFormat="1" applyFont="1" applyFill="1" applyBorder="1"/>
    <xf numFmtId="9" fontId="73" fillId="37" borderId="4" xfId="0" applyNumberFormat="1" applyFont="1" applyFill="1" applyBorder="1"/>
    <xf numFmtId="37" fontId="26" fillId="0" borderId="4" xfId="0" applyNumberFormat="1" applyFont="1" applyBorder="1" applyAlignment="1">
      <alignment horizontal="center"/>
    </xf>
    <xf numFmtId="9" fontId="26" fillId="0" borderId="4" xfId="0" applyNumberFormat="1" applyFont="1" applyBorder="1" applyAlignment="1">
      <alignment horizontal="center"/>
    </xf>
    <xf numFmtId="2" fontId="26" fillId="0" borderId="4" xfId="0" applyNumberFormat="1" applyFont="1" applyBorder="1" applyAlignment="1">
      <alignment horizontal="center"/>
    </xf>
    <xf numFmtId="190" fontId="26" fillId="0" borderId="4" xfId="0" applyNumberFormat="1" applyFont="1" applyBorder="1" applyAlignment="1">
      <alignment horizontal="center"/>
    </xf>
    <xf numFmtId="39" fontId="28" fillId="0" borderId="4" xfId="0" applyNumberFormat="1" applyFont="1" applyBorder="1"/>
    <xf numFmtId="180" fontId="28" fillId="0" borderId="74" xfId="0" applyNumberFormat="1" applyFont="1" applyBorder="1"/>
    <xf numFmtId="0" fontId="41" fillId="0" borderId="73" xfId="0" applyFont="1" applyBorder="1" applyAlignment="1">
      <alignment wrapText="1"/>
    </xf>
    <xf numFmtId="37" fontId="26" fillId="0" borderId="4" xfId="0" applyNumberFormat="1" applyFont="1" applyBorder="1"/>
    <xf numFmtId="167" fontId="28" fillId="0" borderId="74" xfId="0" applyNumberFormat="1" applyFont="1" applyBorder="1"/>
    <xf numFmtId="2" fontId="28" fillId="0" borderId="4" xfId="0" applyNumberFormat="1" applyFont="1" applyBorder="1" applyAlignment="1">
      <alignment horizontal="center"/>
    </xf>
    <xf numFmtId="37" fontId="26" fillId="2" borderId="4" xfId="0" applyNumberFormat="1" applyFont="1" applyFill="1" applyBorder="1"/>
    <xf numFmtId="176" fontId="26" fillId="0" borderId="4" xfId="0" applyNumberFormat="1" applyFont="1" applyBorder="1"/>
    <xf numFmtId="4" fontId="26" fillId="38" borderId="4" xfId="0" applyNumberFormat="1" applyFont="1" applyFill="1" applyBorder="1"/>
    <xf numFmtId="176" fontId="26" fillId="2" borderId="4" xfId="0" applyNumberFormat="1" applyFont="1" applyFill="1" applyBorder="1"/>
    <xf numFmtId="176" fontId="26" fillId="0" borderId="4" xfId="0" applyNumberFormat="1" applyFont="1" applyBorder="1" applyAlignment="1">
      <alignment horizontal="center"/>
    </xf>
    <xf numFmtId="190" fontId="26" fillId="0" borderId="3" xfId="0" applyNumberFormat="1" applyFont="1" applyBorder="1" applyAlignment="1">
      <alignment horizontal="center"/>
    </xf>
    <xf numFmtId="43" fontId="28" fillId="0" borderId="0" xfId="0" applyNumberFormat="1" applyFont="1"/>
    <xf numFmtId="180" fontId="28" fillId="0" borderId="120" xfId="0" applyNumberFormat="1" applyFont="1" applyBorder="1"/>
    <xf numFmtId="0" fontId="26" fillId="0" borderId="73" xfId="0" applyFont="1" applyBorder="1"/>
    <xf numFmtId="0" fontId="26" fillId="0" borderId="4" xfId="0" applyFont="1" applyBorder="1"/>
    <xf numFmtId="0" fontId="73" fillId="0" borderId="4" xfId="0" applyFont="1" applyBorder="1"/>
    <xf numFmtId="0" fontId="50" fillId="25" borderId="171" xfId="0" applyFont="1" applyFill="1" applyBorder="1"/>
    <xf numFmtId="43" fontId="28" fillId="25" borderId="172" xfId="0" applyNumberFormat="1" applyFont="1" applyFill="1" applyBorder="1"/>
    <xf numFmtId="180" fontId="50" fillId="25" borderId="173" xfId="0" applyNumberFormat="1" applyFont="1" applyFill="1" applyBorder="1"/>
    <xf numFmtId="0" fontId="28" fillId="0" borderId="75" xfId="0" applyFont="1" applyBorder="1"/>
    <xf numFmtId="0" fontId="28" fillId="0" borderId="76" xfId="0" applyFont="1" applyBorder="1"/>
    <xf numFmtId="0" fontId="28" fillId="0" borderId="174" xfId="0" applyFont="1" applyBorder="1"/>
    <xf numFmtId="0" fontId="28" fillId="0" borderId="175" xfId="0" applyFont="1" applyBorder="1"/>
    <xf numFmtId="0" fontId="23" fillId="23" borderId="42" xfId="0" applyFont="1" applyFill="1" applyBorder="1"/>
    <xf numFmtId="0" fontId="24" fillId="25" borderId="162" xfId="0" applyFont="1" applyFill="1" applyBorder="1"/>
    <xf numFmtId="0" fontId="28" fillId="25" borderId="165" xfId="0" applyFont="1" applyFill="1" applyBorder="1"/>
    <xf numFmtId="0" fontId="23" fillId="25" borderId="168" xfId="0" applyFont="1" applyFill="1" applyBorder="1"/>
    <xf numFmtId="0" fontId="23" fillId="25" borderId="169" xfId="0" applyFont="1" applyFill="1" applyBorder="1" applyAlignment="1">
      <alignment horizontal="center"/>
    </xf>
    <xf numFmtId="3" fontId="26" fillId="0" borderId="28" xfId="0" applyNumberFormat="1" applyFont="1" applyBorder="1" applyAlignment="1">
      <alignment horizontal="center"/>
    </xf>
    <xf numFmtId="192" fontId="41" fillId="0" borderId="28" xfId="0" applyNumberFormat="1" applyFont="1" applyBorder="1" applyAlignment="1">
      <alignment horizontal="center"/>
    </xf>
    <xf numFmtId="2" fontId="26" fillId="0" borderId="28" xfId="0" applyNumberFormat="1" applyFont="1" applyBorder="1"/>
    <xf numFmtId="176" fontId="26" fillId="0" borderId="28" xfId="0" applyNumberFormat="1" applyFont="1" applyBorder="1"/>
    <xf numFmtId="184" fontId="28" fillId="0" borderId="86" xfId="0" applyNumberFormat="1" applyFont="1" applyBorder="1" applyAlignment="1">
      <alignment horizontal="center"/>
    </xf>
    <xf numFmtId="3" fontId="26" fillId="0" borderId="4" xfId="0" applyNumberFormat="1" applyFont="1" applyBorder="1" applyAlignment="1">
      <alignment horizontal="center"/>
    </xf>
    <xf numFmtId="192" fontId="41" fillId="0" borderId="4" xfId="0" applyNumberFormat="1" applyFont="1" applyBorder="1" applyAlignment="1">
      <alignment horizontal="center"/>
    </xf>
    <xf numFmtId="2" fontId="26" fillId="0" borderId="4" xfId="0" applyNumberFormat="1" applyFont="1" applyBorder="1"/>
    <xf numFmtId="184" fontId="28" fillId="0" borderId="74" xfId="0" applyNumberFormat="1" applyFont="1" applyBorder="1" applyAlignment="1">
      <alignment horizontal="center"/>
    </xf>
    <xf numFmtId="0" fontId="28" fillId="0" borderId="73" xfId="0" applyFont="1" applyBorder="1"/>
    <xf numFmtId="0" fontId="23" fillId="25" borderId="4" xfId="0" applyFont="1" applyFill="1" applyBorder="1" applyAlignment="1">
      <alignment horizontal="center"/>
    </xf>
    <xf numFmtId="180" fontId="67" fillId="25" borderId="74" xfId="0" applyNumberFormat="1" applyFont="1" applyFill="1" applyBorder="1" applyAlignment="1">
      <alignment horizontal="center"/>
    </xf>
    <xf numFmtId="168" fontId="67" fillId="0" borderId="0" xfId="0" applyNumberFormat="1" applyFont="1"/>
    <xf numFmtId="0" fontId="28" fillId="0" borderId="77" xfId="0" applyFont="1" applyBorder="1"/>
    <xf numFmtId="0" fontId="41" fillId="0" borderId="176" xfId="0" applyFont="1" applyBorder="1"/>
    <xf numFmtId="37" fontId="26" fillId="2" borderId="33" xfId="0" applyNumberFormat="1" applyFont="1" applyFill="1" applyBorder="1" applyAlignment="1">
      <alignment horizontal="center"/>
    </xf>
    <xf numFmtId="192" fontId="41" fillId="0" borderId="33" xfId="0" applyNumberFormat="1" applyFont="1" applyBorder="1" applyAlignment="1">
      <alignment horizontal="center"/>
    </xf>
    <xf numFmtId="180" fontId="26" fillId="0" borderId="36" xfId="0" applyNumberFormat="1" applyFont="1" applyBorder="1" applyAlignment="1">
      <alignment horizontal="center"/>
    </xf>
    <xf numFmtId="176" fontId="26" fillId="0" borderId="33" xfId="0" applyNumberFormat="1" applyFont="1" applyBorder="1"/>
    <xf numFmtId="167" fontId="28" fillId="0" borderId="136" xfId="0" applyNumberFormat="1" applyFont="1" applyBorder="1"/>
    <xf numFmtId="0" fontId="41" fillId="0" borderId="155" xfId="0" applyFont="1" applyBorder="1"/>
    <xf numFmtId="37" fontId="26" fillId="2" borderId="4" xfId="0" applyNumberFormat="1" applyFont="1" applyFill="1" applyBorder="1" applyAlignment="1">
      <alignment horizontal="center"/>
    </xf>
    <xf numFmtId="180" fontId="26" fillId="0" borderId="27" xfId="0" applyNumberFormat="1" applyFont="1" applyBorder="1" applyAlignment="1">
      <alignment horizontal="center"/>
    </xf>
    <xf numFmtId="0" fontId="41" fillId="0" borderId="155" xfId="0" applyFont="1" applyBorder="1" applyAlignment="1">
      <alignment wrapText="1"/>
    </xf>
    <xf numFmtId="167" fontId="28" fillId="0" borderId="108" xfId="0" applyNumberFormat="1" applyFont="1" applyBorder="1"/>
    <xf numFmtId="176" fontId="26" fillId="2" borderId="4" xfId="0" applyNumberFormat="1" applyFont="1" applyFill="1" applyBorder="1" applyAlignment="1">
      <alignment horizontal="center"/>
    </xf>
    <xf numFmtId="0" fontId="26" fillId="0" borderId="155" xfId="0" applyFont="1" applyBorder="1"/>
    <xf numFmtId="0" fontId="26" fillId="0" borderId="27" xfId="0" applyFont="1" applyBorder="1"/>
    <xf numFmtId="0" fontId="23" fillId="25" borderId="177" xfId="0" applyFont="1" applyFill="1" applyBorder="1" applyAlignment="1">
      <alignment horizontal="center"/>
    </xf>
    <xf numFmtId="180" fontId="67" fillId="25" borderId="178" xfId="0" applyNumberFormat="1" applyFont="1" applyFill="1" applyBorder="1"/>
    <xf numFmtId="0" fontId="26" fillId="0" borderId="112" xfId="0" applyFont="1" applyBorder="1"/>
    <xf numFmtId="0" fontId="26" fillId="0" borderId="113" xfId="0" applyFont="1" applyBorder="1"/>
    <xf numFmtId="0" fontId="26" fillId="0" borderId="179" xfId="0" applyFont="1" applyBorder="1"/>
    <xf numFmtId="0" fontId="72" fillId="36" borderId="42" xfId="0" applyFont="1" applyFill="1" applyBorder="1"/>
    <xf numFmtId="0" fontId="26" fillId="36" borderId="42" xfId="0" applyFont="1" applyFill="1" applyBorder="1"/>
    <xf numFmtId="0" fontId="41" fillId="36" borderId="42" xfId="0" applyFont="1" applyFill="1" applyBorder="1"/>
    <xf numFmtId="0" fontId="41" fillId="25" borderId="67" xfId="0" applyFont="1" applyFill="1" applyBorder="1"/>
    <xf numFmtId="0" fontId="72" fillId="25" borderId="68" xfId="0" applyFont="1" applyFill="1" applyBorder="1" applyAlignment="1">
      <alignment horizontal="center"/>
    </xf>
    <xf numFmtId="0" fontId="50" fillId="25" borderId="68" xfId="0" applyFont="1" applyFill="1" applyBorder="1" applyAlignment="1">
      <alignment horizontal="center"/>
    </xf>
    <xf numFmtId="0" fontId="50" fillId="25" borderId="69" xfId="0" applyFont="1" applyFill="1" applyBorder="1" applyAlignment="1">
      <alignment horizontal="center"/>
    </xf>
    <xf numFmtId="0" fontId="26" fillId="25" borderId="73" xfId="0" applyFont="1" applyFill="1" applyBorder="1"/>
    <xf numFmtId="0" fontId="72" fillId="25" borderId="4" xfId="0" applyFont="1" applyFill="1" applyBorder="1" applyAlignment="1">
      <alignment horizontal="center"/>
    </xf>
    <xf numFmtId="0" fontId="23" fillId="25" borderId="74" xfId="0" applyFont="1" applyFill="1" applyBorder="1" applyAlignment="1">
      <alignment horizontal="center"/>
    </xf>
    <xf numFmtId="0" fontId="72" fillId="25" borderId="73" xfId="0" applyFont="1" applyFill="1" applyBorder="1"/>
    <xf numFmtId="3" fontId="26" fillId="2" borderId="4" xfId="0" applyNumberFormat="1" applyFont="1" applyFill="1" applyBorder="1" applyAlignment="1">
      <alignment horizontal="center"/>
    </xf>
    <xf numFmtId="167" fontId="26" fillId="0" borderId="4" xfId="0" applyNumberFormat="1" applyFont="1" applyBorder="1" applyAlignment="1">
      <alignment horizontal="center"/>
    </xf>
    <xf numFmtId="167" fontId="26" fillId="0" borderId="4" xfId="0" applyNumberFormat="1" applyFont="1" applyBorder="1"/>
    <xf numFmtId="0" fontId="26" fillId="0" borderId="75" xfId="0" applyFont="1" applyBorder="1"/>
    <xf numFmtId="0" fontId="26" fillId="0" borderId="76" xfId="0" applyFont="1" applyBorder="1"/>
    <xf numFmtId="167" fontId="50" fillId="0" borderId="76" xfId="0" applyNumberFormat="1" applyFont="1" applyBorder="1" applyAlignment="1">
      <alignment horizontal="center"/>
    </xf>
    <xf numFmtId="180" fontId="50" fillId="0" borderId="76" xfId="0" applyNumberFormat="1" applyFont="1" applyBorder="1" applyAlignment="1">
      <alignment horizontal="center"/>
    </xf>
    <xf numFmtId="167" fontId="67" fillId="0" borderId="76" xfId="0" applyNumberFormat="1" applyFont="1" applyBorder="1" applyAlignment="1">
      <alignment horizontal="center"/>
    </xf>
    <xf numFmtId="167" fontId="67" fillId="5" borderId="77" xfId="0" applyNumberFormat="1" applyFont="1" applyFill="1" applyBorder="1" applyAlignment="1">
      <alignment horizontal="center"/>
    </xf>
    <xf numFmtId="0" fontId="74" fillId="0" borderId="0" xfId="0" applyFont="1"/>
    <xf numFmtId="0" fontId="71" fillId="0" borderId="0" xfId="0" applyFont="1"/>
    <xf numFmtId="0" fontId="26" fillId="0" borderId="137" xfId="0" applyFont="1" applyBorder="1"/>
    <xf numFmtId="176" fontId="3" fillId="0" borderId="4" xfId="0" applyNumberFormat="1" applyFont="1" applyBorder="1"/>
    <xf numFmtId="0" fontId="2" fillId="5" borderId="42" xfId="0" applyFont="1" applyFill="1" applyBorder="1"/>
    <xf numFmtId="0" fontId="78" fillId="5" borderId="42" xfId="0" applyFont="1" applyFill="1" applyBorder="1"/>
    <xf numFmtId="0" fontId="79" fillId="5" borderId="42" xfId="0" applyFont="1" applyFill="1" applyBorder="1"/>
    <xf numFmtId="0" fontId="80" fillId="0" borderId="0" xfId="0" applyFont="1"/>
    <xf numFmtId="0" fontId="7" fillId="10" borderId="87" xfId="0" applyFont="1" applyFill="1" applyBorder="1" applyAlignment="1">
      <alignment horizontal="center" vertical="center" wrapText="1"/>
    </xf>
    <xf numFmtId="0" fontId="7" fillId="10" borderId="33" xfId="0" applyFont="1" applyFill="1" applyBorder="1" applyAlignment="1">
      <alignment horizontal="center" vertical="center" wrapText="1"/>
    </xf>
    <xf numFmtId="0" fontId="7" fillId="10" borderId="88" xfId="0" applyFont="1" applyFill="1" applyBorder="1" applyAlignment="1">
      <alignment horizontal="center" vertical="center" wrapText="1"/>
    </xf>
    <xf numFmtId="0" fontId="26" fillId="0" borderId="38" xfId="0" applyFont="1" applyBorder="1" applyAlignment="1">
      <alignment horizontal="center" vertical="center" wrapText="1"/>
    </xf>
    <xf numFmtId="0" fontId="26" fillId="0" borderId="4" xfId="0" applyFont="1" applyBorder="1" applyAlignment="1">
      <alignment horizontal="center" vertical="center" wrapText="1"/>
    </xf>
    <xf numFmtId="4" fontId="26" fillId="0" borderId="4" xfId="0" applyNumberFormat="1" applyFont="1" applyBorder="1" applyAlignment="1">
      <alignment horizontal="center" vertical="center" wrapText="1"/>
    </xf>
    <xf numFmtId="0" fontId="26" fillId="0" borderId="4" xfId="0" applyFont="1" applyBorder="1" applyAlignment="1">
      <alignment horizontal="center" vertical="center"/>
    </xf>
    <xf numFmtId="0" fontId="26" fillId="0" borderId="72" xfId="0" applyFont="1" applyBorder="1" applyAlignment="1">
      <alignment horizontal="center" vertical="center"/>
    </xf>
    <xf numFmtId="0" fontId="26" fillId="18" borderId="4" xfId="0" applyFont="1" applyFill="1" applyBorder="1" applyAlignment="1">
      <alignment horizontal="center" vertical="center" wrapText="1"/>
    </xf>
    <xf numFmtId="4" fontId="11" fillId="18" borderId="4" xfId="0" applyNumberFormat="1" applyFont="1" applyFill="1" applyBorder="1" applyAlignment="1">
      <alignment horizontal="center" vertical="center" wrapText="1"/>
    </xf>
    <xf numFmtId="0" fontId="77" fillId="18" borderId="4" xfId="0" applyFont="1" applyFill="1" applyBorder="1" applyAlignment="1">
      <alignment horizontal="center" vertical="center"/>
    </xf>
    <xf numFmtId="0" fontId="77" fillId="18" borderId="72" xfId="0" applyFont="1" applyFill="1" applyBorder="1" applyAlignment="1">
      <alignment horizontal="center" vertical="center"/>
    </xf>
    <xf numFmtId="0" fontId="26" fillId="41" borderId="4" xfId="0" applyFont="1" applyFill="1" applyBorder="1" applyAlignment="1">
      <alignment horizontal="center" vertical="center" wrapText="1"/>
    </xf>
    <xf numFmtId="4" fontId="11" fillId="41" borderId="4" xfId="0" applyNumberFormat="1" applyFont="1" applyFill="1" applyBorder="1" applyAlignment="1">
      <alignment horizontal="center" vertical="center" wrapText="1"/>
    </xf>
    <xf numFmtId="0" fontId="77" fillId="41" borderId="4" xfId="0" applyFont="1" applyFill="1" applyBorder="1" applyAlignment="1">
      <alignment horizontal="center" vertical="center"/>
    </xf>
    <xf numFmtId="0" fontId="77" fillId="41" borderId="72" xfId="0" applyFont="1" applyFill="1" applyBorder="1" applyAlignment="1">
      <alignment horizontal="center" vertical="center"/>
    </xf>
    <xf numFmtId="0" fontId="26" fillId="0" borderId="38" xfId="0" applyFont="1" applyBorder="1" applyAlignment="1">
      <alignment horizontal="center" vertical="center"/>
    </xf>
    <xf numFmtId="0" fontId="26" fillId="14" borderId="4" xfId="0" applyFont="1" applyFill="1" applyBorder="1" applyAlignment="1">
      <alignment horizontal="center" vertical="center" wrapText="1"/>
    </xf>
    <xf numFmtId="4" fontId="26" fillId="14" borderId="4" xfId="0" applyNumberFormat="1" applyFont="1" applyFill="1" applyBorder="1" applyAlignment="1">
      <alignment horizontal="center" vertical="center" wrapText="1"/>
    </xf>
    <xf numFmtId="0" fontId="77" fillId="14" borderId="4" xfId="0" applyFont="1" applyFill="1" applyBorder="1" applyAlignment="1">
      <alignment horizontal="center" vertical="center"/>
    </xf>
    <xf numFmtId="0" fontId="77" fillId="14" borderId="72" xfId="0" applyFont="1" applyFill="1" applyBorder="1" applyAlignment="1">
      <alignment horizontal="center" vertical="center"/>
    </xf>
    <xf numFmtId="0" fontId="71" fillId="13" borderId="4" xfId="0" applyFont="1" applyFill="1" applyBorder="1" applyAlignment="1">
      <alignment horizontal="center" vertical="center" wrapText="1"/>
    </xf>
    <xf numFmtId="4" fontId="71" fillId="13" borderId="4" xfId="0" applyNumberFormat="1" applyFont="1" applyFill="1" applyBorder="1" applyAlignment="1">
      <alignment horizontal="center" vertical="center" wrapText="1"/>
    </xf>
    <xf numFmtId="0" fontId="77" fillId="13" borderId="4" xfId="0" applyFont="1" applyFill="1" applyBorder="1" applyAlignment="1">
      <alignment horizontal="center" vertical="center"/>
    </xf>
    <xf numFmtId="0" fontId="77" fillId="13" borderId="72" xfId="0" applyFont="1" applyFill="1" applyBorder="1" applyAlignment="1">
      <alignment horizontal="center" vertical="center"/>
    </xf>
    <xf numFmtId="0" fontId="26" fillId="42" borderId="4" xfId="0" applyFont="1" applyFill="1" applyBorder="1" applyAlignment="1">
      <alignment horizontal="center" vertical="center"/>
    </xf>
    <xf numFmtId="4" fontId="77" fillId="42" borderId="4" xfId="0" applyNumberFormat="1" applyFont="1" applyFill="1" applyBorder="1" applyAlignment="1">
      <alignment horizontal="center" vertical="center"/>
    </xf>
    <xf numFmtId="0" fontId="77" fillId="42" borderId="4" xfId="0" applyFont="1" applyFill="1" applyBorder="1" applyAlignment="1">
      <alignment horizontal="center" vertical="center"/>
    </xf>
    <xf numFmtId="0" fontId="77" fillId="42" borderId="72" xfId="0" applyFont="1" applyFill="1" applyBorder="1" applyAlignment="1">
      <alignment horizontal="center" vertical="center"/>
    </xf>
    <xf numFmtId="4" fontId="26" fillId="0" borderId="4" xfId="0" applyNumberFormat="1" applyFont="1" applyBorder="1" applyAlignment="1">
      <alignment horizontal="center" vertical="center"/>
    </xf>
    <xf numFmtId="0" fontId="26" fillId="0" borderId="78" xfId="0" applyFont="1" applyBorder="1" applyAlignment="1">
      <alignment horizontal="center" vertical="center"/>
    </xf>
    <xf numFmtId="0" fontId="26" fillId="0" borderId="89" xfId="0" applyFont="1" applyBorder="1" applyAlignment="1">
      <alignment horizontal="center" vertical="center"/>
    </xf>
    <xf numFmtId="0" fontId="26" fillId="0" borderId="90" xfId="0" applyFont="1" applyBorder="1" applyAlignment="1">
      <alignment horizontal="center" vertical="center"/>
    </xf>
    <xf numFmtId="0" fontId="82" fillId="10" borderId="4" xfId="0" applyFont="1" applyFill="1" applyBorder="1" applyAlignment="1">
      <alignment horizontal="center" vertical="center"/>
    </xf>
    <xf numFmtId="0" fontId="7" fillId="10" borderId="4" xfId="0" applyFont="1" applyFill="1" applyBorder="1" applyAlignment="1">
      <alignment horizontal="center" vertical="center"/>
    </xf>
    <xf numFmtId="0" fontId="25" fillId="0" borderId="187" xfId="0" applyFont="1" applyBorder="1" applyAlignment="1">
      <alignment vertical="center" wrapText="1"/>
    </xf>
    <xf numFmtId="0" fontId="25" fillId="0" borderId="187" xfId="0" applyFont="1" applyBorder="1" applyAlignment="1">
      <alignment horizontal="right" vertical="center" wrapText="1"/>
    </xf>
    <xf numFmtId="0" fontId="83" fillId="5" borderId="42" xfId="0" applyFont="1" applyFill="1" applyBorder="1"/>
    <xf numFmtId="0" fontId="50" fillId="5" borderId="42" xfId="0" applyFont="1" applyFill="1" applyBorder="1"/>
    <xf numFmtId="0" fontId="83" fillId="0" borderId="0" xfId="0" applyFont="1"/>
    <xf numFmtId="0" fontId="50" fillId="0" borderId="0" xfId="0" applyFont="1"/>
    <xf numFmtId="0" fontId="38" fillId="0" borderId="60" xfId="0" applyFont="1" applyBorder="1"/>
    <xf numFmtId="0" fontId="28" fillId="0" borderId="24" xfId="0" applyFont="1" applyBorder="1"/>
    <xf numFmtId="0" fontId="28" fillId="0" borderId="188" xfId="0" applyFont="1" applyBorder="1"/>
    <xf numFmtId="0" fontId="2" fillId="35" borderId="38" xfId="0" applyFont="1" applyFill="1" applyBorder="1"/>
    <xf numFmtId="0" fontId="2" fillId="35" borderId="4" xfId="0" applyFont="1" applyFill="1" applyBorder="1" applyAlignment="1">
      <alignment horizontal="center"/>
    </xf>
    <xf numFmtId="176" fontId="2" fillId="35" borderId="72" xfId="0" applyNumberFormat="1" applyFont="1" applyFill="1" applyBorder="1" applyAlignment="1">
      <alignment horizontal="center"/>
    </xf>
    <xf numFmtId="0" fontId="28" fillId="0" borderId="38" xfId="0" applyFont="1" applyBorder="1"/>
    <xf numFmtId="176" fontId="28" fillId="0" borderId="72" xfId="0" applyNumberFormat="1" applyFont="1" applyBorder="1"/>
    <xf numFmtId="4" fontId="28" fillId="0" borderId="0" xfId="0" applyNumberFormat="1" applyFont="1"/>
    <xf numFmtId="176" fontId="84" fillId="0" borderId="4" xfId="0" applyNumberFormat="1" applyFont="1" applyBorder="1"/>
    <xf numFmtId="176" fontId="85" fillId="0" borderId="72" xfId="0" applyNumberFormat="1" applyFont="1" applyBorder="1"/>
    <xf numFmtId="176" fontId="71" fillId="0" borderId="0" xfId="0" applyNumberFormat="1" applyFont="1"/>
    <xf numFmtId="0" fontId="28" fillId="0" borderId="98" xfId="0" applyFont="1" applyBorder="1"/>
    <xf numFmtId="176" fontId="26" fillId="0" borderId="34" xfId="0" applyNumberFormat="1" applyFont="1" applyBorder="1"/>
    <xf numFmtId="176" fontId="26" fillId="0" borderId="99" xfId="0" applyNumberFormat="1" applyFont="1" applyBorder="1"/>
    <xf numFmtId="0" fontId="28" fillId="0" borderId="189" xfId="0" applyFont="1" applyBorder="1"/>
    <xf numFmtId="176" fontId="28" fillId="0" borderId="99" xfId="0" applyNumberFormat="1" applyFont="1" applyBorder="1"/>
    <xf numFmtId="0" fontId="86" fillId="0" borderId="18" xfId="0" applyFont="1" applyBorder="1"/>
    <xf numFmtId="176" fontId="71" fillId="0" borderId="4" xfId="0" applyNumberFormat="1" applyFont="1" applyBorder="1"/>
    <xf numFmtId="0" fontId="28" fillId="0" borderId="27" xfId="0" applyFont="1" applyBorder="1"/>
    <xf numFmtId="0" fontId="60" fillId="0" borderId="18" xfId="0" applyFont="1" applyBorder="1"/>
    <xf numFmtId="0" fontId="28" fillId="0" borderId="40" xfId="0" applyFont="1" applyBorder="1"/>
    <xf numFmtId="176" fontId="71" fillId="0" borderId="103" xfId="0" applyNumberFormat="1" applyFont="1" applyBorder="1"/>
    <xf numFmtId="0" fontId="28" fillId="0" borderId="25" xfId="0" applyFont="1" applyBorder="1"/>
    <xf numFmtId="176" fontId="71" fillId="0" borderId="190" xfId="0" applyNumberFormat="1" applyFont="1" applyBorder="1"/>
    <xf numFmtId="176" fontId="28" fillId="0" borderId="0" xfId="0" applyNumberFormat="1" applyFont="1"/>
    <xf numFmtId="0" fontId="8" fillId="0" borderId="20" xfId="0" applyFont="1" applyBorder="1"/>
    <xf numFmtId="0" fontId="8" fillId="10" borderId="191" xfId="0" applyFont="1" applyFill="1" applyBorder="1"/>
    <xf numFmtId="176" fontId="8" fillId="0" borderId="0" xfId="0" applyNumberFormat="1" applyFont="1"/>
    <xf numFmtId="0" fontId="8" fillId="0" borderId="31" xfId="0" applyFont="1" applyBorder="1" applyAlignment="1">
      <alignment horizontal="left"/>
    </xf>
    <xf numFmtId="3" fontId="8" fillId="0" borderId="33" xfId="0" applyNumberFormat="1" applyFont="1" applyBorder="1" applyAlignment="1">
      <alignment horizontal="center"/>
    </xf>
    <xf numFmtId="0" fontId="8" fillId="0" borderId="88" xfId="0" applyFont="1" applyBorder="1"/>
    <xf numFmtId="0" fontId="8" fillId="0" borderId="7" xfId="0" applyFont="1" applyBorder="1" applyAlignment="1">
      <alignment horizontal="left"/>
    </xf>
    <xf numFmtId="3" fontId="8" fillId="0" borderId="89" xfId="0" applyNumberFormat="1" applyFont="1" applyBorder="1" applyAlignment="1">
      <alignment horizontal="center"/>
    </xf>
    <xf numFmtId="0" fontId="8" fillId="0" borderId="89" xfId="0" applyFont="1" applyBorder="1"/>
    <xf numFmtId="0" fontId="8" fillId="0" borderId="90" xfId="0" applyFont="1" applyBorder="1"/>
    <xf numFmtId="0" fontId="38" fillId="0" borderId="192" xfId="0" applyFont="1" applyBorder="1"/>
    <xf numFmtId="0" fontId="8" fillId="0" borderId="193" xfId="0" applyFont="1" applyBorder="1"/>
    <xf numFmtId="0" fontId="28" fillId="0" borderId="193" xfId="0" applyFont="1" applyBorder="1"/>
    <xf numFmtId="0" fontId="8" fillId="0" borderId="194" xfId="0" applyFont="1" applyBorder="1"/>
    <xf numFmtId="0" fontId="80" fillId="15" borderId="195" xfId="0" applyFont="1" applyFill="1" applyBorder="1"/>
    <xf numFmtId="0" fontId="26" fillId="15" borderId="42" xfId="0" applyFont="1" applyFill="1" applyBorder="1"/>
    <xf numFmtId="0" fontId="39" fillId="15" borderId="42" xfId="0" applyFont="1" applyFill="1" applyBorder="1"/>
    <xf numFmtId="0" fontId="28" fillId="0" borderId="196" xfId="0" applyFont="1" applyBorder="1"/>
    <xf numFmtId="0" fontId="41" fillId="0" borderId="197" xfId="0" applyFont="1" applyBorder="1"/>
    <xf numFmtId="0" fontId="26" fillId="35" borderId="198" xfId="0" applyFont="1" applyFill="1" applyBorder="1"/>
    <xf numFmtId="0" fontId="26" fillId="35" borderId="199" xfId="0" applyFont="1" applyFill="1" applyBorder="1"/>
    <xf numFmtId="0" fontId="50" fillId="35" borderId="199" xfId="0" applyFont="1" applyFill="1" applyBorder="1" applyAlignment="1">
      <alignment horizontal="center"/>
    </xf>
    <xf numFmtId="0" fontId="26" fillId="35" borderId="200" xfId="0" applyFont="1" applyFill="1" applyBorder="1"/>
    <xf numFmtId="0" fontId="28" fillId="35" borderId="199" xfId="0" applyFont="1" applyFill="1" applyBorder="1"/>
    <xf numFmtId="0" fontId="28" fillId="35" borderId="200" xfId="0" applyFont="1" applyFill="1" applyBorder="1"/>
    <xf numFmtId="0" fontId="28" fillId="35" borderId="198" xfId="0" applyFont="1" applyFill="1" applyBorder="1"/>
    <xf numFmtId="0" fontId="50" fillId="35" borderId="199" xfId="0" applyFont="1" applyFill="1" applyBorder="1" applyAlignment="1">
      <alignment horizontal="left"/>
    </xf>
    <xf numFmtId="0" fontId="86" fillId="25" borderId="201" xfId="0" applyFont="1" applyFill="1" applyBorder="1"/>
    <xf numFmtId="0" fontId="87" fillId="25" borderId="202" xfId="0" applyFont="1" applyFill="1" applyBorder="1" applyAlignment="1">
      <alignment horizontal="center"/>
    </xf>
    <xf numFmtId="0" fontId="10" fillId="25" borderId="202" xfId="0" applyFont="1" applyFill="1" applyBorder="1"/>
    <xf numFmtId="0" fontId="86" fillId="25" borderId="202" xfId="0" applyFont="1" applyFill="1" applyBorder="1"/>
    <xf numFmtId="0" fontId="86" fillId="25" borderId="203" xfId="0" applyFont="1" applyFill="1" applyBorder="1"/>
    <xf numFmtId="0" fontId="56" fillId="25" borderId="204" xfId="0" applyFont="1" applyFill="1" applyBorder="1" applyAlignment="1">
      <alignment horizontal="center"/>
    </xf>
    <xf numFmtId="0" fontId="56" fillId="25" borderId="202" xfId="0" applyFont="1" applyFill="1" applyBorder="1" applyAlignment="1">
      <alignment horizontal="center"/>
    </xf>
    <xf numFmtId="0" fontId="56" fillId="25" borderId="205" xfId="0" applyFont="1" applyFill="1" applyBorder="1" applyAlignment="1">
      <alignment horizontal="center"/>
    </xf>
    <xf numFmtId="0" fontId="86" fillId="25" borderId="206" xfId="0" applyFont="1" applyFill="1" applyBorder="1"/>
    <xf numFmtId="0" fontId="86" fillId="25" borderId="204" xfId="0" applyFont="1" applyFill="1" applyBorder="1"/>
    <xf numFmtId="0" fontId="10" fillId="25" borderId="205" xfId="0" applyFont="1" applyFill="1" applyBorder="1"/>
    <xf numFmtId="0" fontId="10" fillId="25" borderId="206" xfId="0" applyFont="1" applyFill="1" applyBorder="1"/>
    <xf numFmtId="0" fontId="10" fillId="25" borderId="204" xfId="0" applyFont="1" applyFill="1" applyBorder="1"/>
    <xf numFmtId="0" fontId="10" fillId="0" borderId="196" xfId="0" applyFont="1" applyBorder="1"/>
    <xf numFmtId="0" fontId="87" fillId="25" borderId="207" xfId="0" applyFont="1" applyFill="1" applyBorder="1"/>
    <xf numFmtId="0" fontId="87" fillId="25" borderId="169" xfId="0" applyFont="1" applyFill="1" applyBorder="1" applyAlignment="1">
      <alignment horizontal="center"/>
    </xf>
    <xf numFmtId="0" fontId="10" fillId="25" borderId="169" xfId="0" applyFont="1" applyFill="1" applyBorder="1"/>
    <xf numFmtId="0" fontId="86" fillId="25" borderId="169" xfId="0" applyFont="1" applyFill="1" applyBorder="1"/>
    <xf numFmtId="0" fontId="86" fillId="25" borderId="208" xfId="0" applyFont="1" applyFill="1" applyBorder="1"/>
    <xf numFmtId="0" fontId="87" fillId="25" borderId="209" xfId="0" applyFont="1" applyFill="1" applyBorder="1" applyAlignment="1">
      <alignment horizontal="center"/>
    </xf>
    <xf numFmtId="0" fontId="56" fillId="25" borderId="210" xfId="0" applyFont="1" applyFill="1" applyBorder="1" applyAlignment="1">
      <alignment horizontal="center"/>
    </xf>
    <xf numFmtId="0" fontId="86" fillId="25" borderId="211" xfId="0" applyFont="1" applyFill="1" applyBorder="1"/>
    <xf numFmtId="0" fontId="67" fillId="25" borderId="209" xfId="0" applyFont="1" applyFill="1" applyBorder="1" applyAlignment="1">
      <alignment horizontal="center" wrapText="1"/>
    </xf>
    <xf numFmtId="0" fontId="67" fillId="25" borderId="169" xfId="0" applyFont="1" applyFill="1" applyBorder="1" applyAlignment="1">
      <alignment horizontal="center" wrapText="1"/>
    </xf>
    <xf numFmtId="0" fontId="67" fillId="25" borderId="210" xfId="0" applyFont="1" applyFill="1" applyBorder="1" applyAlignment="1">
      <alignment horizontal="center" wrapText="1"/>
    </xf>
    <xf numFmtId="0" fontId="67" fillId="25" borderId="211" xfId="0" applyFont="1" applyFill="1" applyBorder="1" applyAlignment="1">
      <alignment horizontal="center" wrapText="1"/>
    </xf>
    <xf numFmtId="0" fontId="86" fillId="0" borderId="212" xfId="0" applyFont="1" applyBorder="1"/>
    <xf numFmtId="176" fontId="10" fillId="0" borderId="33" xfId="0" applyNumberFormat="1" applyFont="1" applyBorder="1"/>
    <xf numFmtId="0" fontId="10" fillId="0" borderId="33" xfId="0" applyFont="1" applyBorder="1"/>
    <xf numFmtId="176" fontId="86" fillId="15" borderId="33" xfId="0" applyNumberFormat="1" applyFont="1" applyFill="1" applyBorder="1"/>
    <xf numFmtId="0" fontId="86" fillId="0" borderId="33" xfId="0" applyFont="1" applyBorder="1" applyAlignment="1">
      <alignment horizontal="center"/>
    </xf>
    <xf numFmtId="2" fontId="86" fillId="0" borderId="33" xfId="0" applyNumberFormat="1" applyFont="1" applyBorder="1"/>
    <xf numFmtId="190" fontId="86" fillId="0" borderId="33" xfId="0" applyNumberFormat="1" applyFont="1" applyBorder="1"/>
    <xf numFmtId="0" fontId="86" fillId="0" borderId="117" xfId="0" quotePrefix="1" applyFont="1" applyBorder="1" applyAlignment="1">
      <alignment horizontal="center"/>
    </xf>
    <xf numFmtId="176" fontId="86" fillId="0" borderId="213" xfId="0" applyNumberFormat="1" applyFont="1" applyBorder="1"/>
    <xf numFmtId="0" fontId="86" fillId="0" borderId="33" xfId="0" quotePrefix="1" applyFont="1" applyBorder="1" applyAlignment="1">
      <alignment horizontal="center"/>
    </xf>
    <xf numFmtId="168" fontId="10" fillId="0" borderId="33" xfId="0" applyNumberFormat="1" applyFont="1" applyBorder="1"/>
    <xf numFmtId="168" fontId="10" fillId="0" borderId="214" xfId="0" applyNumberFormat="1" applyFont="1" applyBorder="1"/>
    <xf numFmtId="0" fontId="86" fillId="0" borderId="36" xfId="0" applyFont="1" applyBorder="1"/>
    <xf numFmtId="43" fontId="28" fillId="4" borderId="213" xfId="0" applyNumberFormat="1" applyFont="1" applyFill="1" applyBorder="1"/>
    <xf numFmtId="195" fontId="28" fillId="4" borderId="33" xfId="0" applyNumberFormat="1" applyFont="1" applyFill="1" applyBorder="1" applyAlignment="1">
      <alignment horizontal="right"/>
    </xf>
    <xf numFmtId="193" fontId="10" fillId="0" borderId="33" xfId="0" applyNumberFormat="1" applyFont="1" applyBorder="1"/>
    <xf numFmtId="184" fontId="28" fillId="0" borderId="33" xfId="0" applyNumberFormat="1" applyFont="1" applyBorder="1"/>
    <xf numFmtId="184" fontId="28" fillId="0" borderId="214" xfId="0" applyNumberFormat="1" applyFont="1" applyBorder="1"/>
    <xf numFmtId="166" fontId="28" fillId="0" borderId="36" xfId="0" applyNumberFormat="1" applyFont="1" applyBorder="1"/>
    <xf numFmtId="195" fontId="28" fillId="4" borderId="213" xfId="0" applyNumberFormat="1" applyFont="1" applyFill="1" applyBorder="1"/>
    <xf numFmtId="194" fontId="10" fillId="0" borderId="33" xfId="0" applyNumberFormat="1" applyFont="1" applyBorder="1"/>
    <xf numFmtId="166" fontId="28" fillId="0" borderId="33" xfId="0" applyNumberFormat="1" applyFont="1" applyBorder="1"/>
    <xf numFmtId="166" fontId="28" fillId="0" borderId="214" xfId="0" applyNumberFormat="1" applyFont="1" applyBorder="1"/>
    <xf numFmtId="0" fontId="86" fillId="0" borderId="215" xfId="0" applyFont="1" applyBorder="1"/>
    <xf numFmtId="176" fontId="10" fillId="0" borderId="4" xfId="0" applyNumberFormat="1" applyFont="1" applyBorder="1"/>
    <xf numFmtId="0" fontId="10" fillId="0" borderId="4" xfId="0" applyFont="1" applyBorder="1"/>
    <xf numFmtId="176" fontId="86" fillId="15" borderId="4" xfId="0" applyNumberFormat="1" applyFont="1" applyFill="1" applyBorder="1"/>
    <xf numFmtId="0" fontId="86" fillId="0" borderId="4" xfId="0" applyFont="1" applyBorder="1" applyAlignment="1">
      <alignment horizontal="center"/>
    </xf>
    <xf numFmtId="2" fontId="10" fillId="0" borderId="4" xfId="0" applyNumberFormat="1" applyFont="1" applyBorder="1"/>
    <xf numFmtId="190" fontId="86" fillId="0" borderId="4" xfId="0" applyNumberFormat="1" applyFont="1" applyBorder="1"/>
    <xf numFmtId="0" fontId="86" fillId="0" borderId="1" xfId="0" quotePrefix="1" applyFont="1" applyBorder="1" applyAlignment="1">
      <alignment horizontal="center"/>
    </xf>
    <xf numFmtId="176" fontId="86" fillId="0" borderId="216" xfId="0" applyNumberFormat="1" applyFont="1" applyBorder="1"/>
    <xf numFmtId="0" fontId="86" fillId="0" borderId="4" xfId="0" quotePrefix="1" applyFont="1" applyBorder="1" applyAlignment="1">
      <alignment horizontal="center"/>
    </xf>
    <xf numFmtId="168" fontId="10" fillId="0" borderId="4" xfId="0" applyNumberFormat="1" applyFont="1" applyBorder="1"/>
    <xf numFmtId="168" fontId="10" fillId="0" borderId="217" xfId="0" applyNumberFormat="1" applyFont="1" applyBorder="1"/>
    <xf numFmtId="0" fontId="86" fillId="0" borderId="27" xfId="0" applyFont="1" applyBorder="1"/>
    <xf numFmtId="43" fontId="28" fillId="4" borderId="216" xfId="0" applyNumberFormat="1" applyFont="1" applyFill="1" applyBorder="1"/>
    <xf numFmtId="195" fontId="28" fillId="4" borderId="4" xfId="0" applyNumberFormat="1" applyFont="1" applyFill="1" applyBorder="1" applyAlignment="1">
      <alignment horizontal="right"/>
    </xf>
    <xf numFmtId="193" fontId="10" fillId="0" borderId="4" xfId="0" applyNumberFormat="1" applyFont="1" applyBorder="1"/>
    <xf numFmtId="184" fontId="28" fillId="0" borderId="4" xfId="0" applyNumberFormat="1" applyFont="1" applyBorder="1"/>
    <xf numFmtId="184" fontId="28" fillId="0" borderId="217" xfId="0" applyNumberFormat="1" applyFont="1" applyBorder="1"/>
    <xf numFmtId="0" fontId="10" fillId="0" borderId="27" xfId="0" applyFont="1" applyBorder="1"/>
    <xf numFmtId="195" fontId="28" fillId="4" borderId="216" xfId="0" applyNumberFormat="1" applyFont="1" applyFill="1" applyBorder="1"/>
    <xf numFmtId="194" fontId="10" fillId="0" borderId="4" xfId="0" applyNumberFormat="1" applyFont="1" applyBorder="1"/>
    <xf numFmtId="166" fontId="28" fillId="0" borderId="4" xfId="0" applyNumberFormat="1" applyFont="1" applyBorder="1"/>
    <xf numFmtId="166" fontId="28" fillId="0" borderId="217" xfId="0" applyNumberFormat="1" applyFont="1" applyBorder="1"/>
    <xf numFmtId="41" fontId="10" fillId="0" borderId="4" xfId="0" applyNumberFormat="1" applyFont="1" applyBorder="1"/>
    <xf numFmtId="2" fontId="86" fillId="0" borderId="4" xfId="0" applyNumberFormat="1" applyFont="1" applyBorder="1"/>
    <xf numFmtId="0" fontId="10" fillId="0" borderId="216" xfId="0" applyFont="1" applyBorder="1"/>
    <xf numFmtId="196" fontId="28" fillId="4" borderId="4" xfId="0" applyNumberFormat="1" applyFont="1" applyFill="1" applyBorder="1"/>
    <xf numFmtId="195" fontId="28" fillId="4" borderId="4" xfId="0" applyNumberFormat="1" applyFont="1" applyFill="1" applyBorder="1"/>
    <xf numFmtId="168" fontId="28" fillId="0" borderId="217" xfId="0" applyNumberFormat="1" applyFont="1" applyBorder="1"/>
    <xf numFmtId="39" fontId="28" fillId="0" borderId="197" xfId="0" applyNumberFormat="1" applyFont="1" applyBorder="1"/>
    <xf numFmtId="176" fontId="86" fillId="0" borderId="4" xfId="0" applyNumberFormat="1" applyFont="1" applyBorder="1"/>
    <xf numFmtId="0" fontId="86" fillId="0" borderId="4" xfId="0" applyFont="1" applyBorder="1"/>
    <xf numFmtId="0" fontId="86" fillId="0" borderId="1" xfId="0" applyFont="1" applyBorder="1" applyAlignment="1">
      <alignment horizontal="center"/>
    </xf>
    <xf numFmtId="168" fontId="56" fillId="10" borderId="217" xfId="0" applyNumberFormat="1" applyFont="1" applyFill="1" applyBorder="1"/>
    <xf numFmtId="0" fontId="86" fillId="0" borderId="216" xfId="0" applyFont="1" applyBorder="1"/>
    <xf numFmtId="184" fontId="56" fillId="0" borderId="4" xfId="0" applyNumberFormat="1" applyFont="1" applyBorder="1"/>
    <xf numFmtId="184" fontId="67" fillId="25" borderId="217" xfId="0" applyNumberFormat="1" applyFont="1" applyFill="1" applyBorder="1"/>
    <xf numFmtId="0" fontId="56" fillId="0" borderId="4" xfId="0" applyFont="1" applyBorder="1"/>
    <xf numFmtId="166" fontId="67" fillId="25" borderId="217" xfId="0" applyNumberFormat="1" applyFont="1" applyFill="1" applyBorder="1"/>
    <xf numFmtId="0" fontId="86" fillId="0" borderId="197" xfId="0" applyFont="1" applyBorder="1"/>
    <xf numFmtId="41" fontId="10" fillId="0" borderId="0" xfId="0" applyNumberFormat="1" applyFont="1"/>
    <xf numFmtId="0" fontId="86" fillId="0" borderId="0" xfId="0" applyFont="1"/>
    <xf numFmtId="0" fontId="86" fillId="0" borderId="218" xfId="0" applyFont="1" applyBorder="1"/>
    <xf numFmtId="0" fontId="86" fillId="0" borderId="219" xfId="0" applyFont="1" applyBorder="1" applyAlignment="1">
      <alignment horizontal="center"/>
    </xf>
    <xf numFmtId="0" fontId="86" fillId="0" borderId="219" xfId="0" applyFont="1" applyBorder="1"/>
    <xf numFmtId="0" fontId="86" fillId="0" borderId="219" xfId="0" applyFont="1" applyBorder="1" applyAlignment="1">
      <alignment horizontal="left"/>
    </xf>
    <xf numFmtId="168" fontId="86" fillId="0" borderId="220" xfId="0" applyNumberFormat="1" applyFont="1" applyBorder="1"/>
    <xf numFmtId="0" fontId="10" fillId="0" borderId="219" xfId="0" applyFont="1" applyBorder="1"/>
    <xf numFmtId="184" fontId="10" fillId="0" borderId="219" xfId="0" applyNumberFormat="1" applyFont="1" applyBorder="1"/>
    <xf numFmtId="0" fontId="10" fillId="0" borderId="220" xfId="0" applyFont="1" applyBorder="1"/>
    <xf numFmtId="0" fontId="10" fillId="0" borderId="218" xfId="0" applyFont="1" applyBorder="1"/>
    <xf numFmtId="0" fontId="28" fillId="0" borderId="221" xfId="0" applyFont="1" applyBorder="1"/>
    <xf numFmtId="0" fontId="28" fillId="0" borderId="222" xfId="0" applyFont="1" applyBorder="1"/>
    <xf numFmtId="184" fontId="28" fillId="0" borderId="222" xfId="0" applyNumberFormat="1" applyFont="1" applyBorder="1"/>
    <xf numFmtId="0" fontId="28" fillId="0" borderId="223" xfId="0" applyFont="1" applyBorder="1"/>
    <xf numFmtId="184" fontId="28" fillId="0" borderId="0" xfId="0" applyNumberFormat="1" applyFont="1"/>
    <xf numFmtId="0" fontId="38" fillId="0" borderId="87" xfId="0" applyFont="1" applyBorder="1"/>
    <xf numFmtId="0" fontId="28" fillId="0" borderId="33" xfId="0" applyFont="1" applyBorder="1"/>
    <xf numFmtId="0" fontId="28" fillId="0" borderId="129" xfId="0" applyFont="1" applyBorder="1"/>
    <xf numFmtId="0" fontId="8" fillId="0" borderId="129" xfId="0" applyFont="1" applyBorder="1"/>
    <xf numFmtId="184" fontId="8" fillId="0" borderId="129" xfId="0" applyNumberFormat="1" applyFont="1" applyBorder="1"/>
    <xf numFmtId="0" fontId="28" fillId="0" borderId="88" xfId="0" applyFont="1" applyBorder="1"/>
    <xf numFmtId="0" fontId="80" fillId="15" borderId="38" xfId="0" applyFont="1" applyFill="1" applyBorder="1"/>
    <xf numFmtId="0" fontId="26" fillId="15" borderId="4" xfId="0" applyFont="1" applyFill="1" applyBorder="1"/>
    <xf numFmtId="0" fontId="39" fillId="15" borderId="4" xfId="0" applyFont="1" applyFill="1" applyBorder="1"/>
    <xf numFmtId="0" fontId="26" fillId="15" borderId="224" xfId="0" applyFont="1" applyFill="1" applyBorder="1"/>
    <xf numFmtId="0" fontId="26" fillId="15" borderId="225" xfId="0" applyFont="1" applyFill="1" applyBorder="1"/>
    <xf numFmtId="0" fontId="26" fillId="15" borderId="226" xfId="0" applyFont="1" applyFill="1" applyBorder="1"/>
    <xf numFmtId="0" fontId="26" fillId="15" borderId="227" xfId="0" applyFont="1" applyFill="1" applyBorder="1"/>
    <xf numFmtId="0" fontId="8" fillId="0" borderId="27" xfId="0" applyFont="1" applyBorder="1"/>
    <xf numFmtId="0" fontId="8" fillId="0" borderId="228" xfId="0" applyFont="1" applyBorder="1"/>
    <xf numFmtId="0" fontId="8" fillId="0" borderId="229" xfId="0" applyFont="1" applyBorder="1"/>
    <xf numFmtId="0" fontId="28" fillId="0" borderId="229" xfId="0" applyFont="1" applyBorder="1"/>
    <xf numFmtId="184" fontId="28" fillId="0" borderId="229" xfId="0" applyNumberFormat="1" applyFont="1" applyBorder="1"/>
    <xf numFmtId="0" fontId="28" fillId="0" borderId="230" xfId="0" applyFont="1" applyBorder="1"/>
    <xf numFmtId="0" fontId="28" fillId="0" borderId="228" xfId="0" applyFont="1" applyBorder="1"/>
    <xf numFmtId="0" fontId="28" fillId="0" borderId="19" xfId="0" applyFont="1" applyBorder="1"/>
    <xf numFmtId="0" fontId="41" fillId="0" borderId="98" xfId="0" applyFont="1" applyBorder="1"/>
    <xf numFmtId="0" fontId="28" fillId="0" borderId="34" xfId="0" applyFont="1" applyBorder="1"/>
    <xf numFmtId="0" fontId="26" fillId="0" borderId="34" xfId="0" applyFont="1" applyBorder="1"/>
    <xf numFmtId="0" fontId="41" fillId="0" borderId="34" xfId="0" applyFont="1" applyBorder="1"/>
    <xf numFmtId="0" fontId="26" fillId="35" borderId="231" xfId="0" applyFont="1" applyFill="1" applyBorder="1"/>
    <xf numFmtId="0" fontId="26" fillId="35" borderId="232" xfId="0" applyFont="1" applyFill="1" applyBorder="1"/>
    <xf numFmtId="0" fontId="50" fillId="35" borderId="232" xfId="0" applyFont="1" applyFill="1" applyBorder="1" applyAlignment="1">
      <alignment horizontal="center"/>
    </xf>
    <xf numFmtId="0" fontId="26" fillId="35" borderId="233" xfId="0" applyFont="1" applyFill="1" applyBorder="1"/>
    <xf numFmtId="0" fontId="26" fillId="0" borderId="186" xfId="0" applyFont="1" applyBorder="1"/>
    <xf numFmtId="0" fontId="26" fillId="35" borderId="234" xfId="0" applyFont="1" applyFill="1" applyBorder="1"/>
    <xf numFmtId="0" fontId="26" fillId="35" borderId="235" xfId="0" applyFont="1" applyFill="1" applyBorder="1"/>
    <xf numFmtId="0" fontId="50" fillId="35" borderId="235" xfId="0" applyFont="1" applyFill="1" applyBorder="1" applyAlignment="1">
      <alignment horizontal="center"/>
    </xf>
    <xf numFmtId="0" fontId="28" fillId="35" borderId="235" xfId="0" applyFont="1" applyFill="1" applyBorder="1"/>
    <xf numFmtId="184" fontId="28" fillId="35" borderId="235" xfId="0" applyNumberFormat="1" applyFont="1" applyFill="1" applyBorder="1"/>
    <xf numFmtId="0" fontId="28" fillId="35" borderId="236" xfId="0" applyFont="1" applyFill="1" applyBorder="1"/>
    <xf numFmtId="0" fontId="28" fillId="0" borderId="186" xfId="0" applyFont="1" applyBorder="1"/>
    <xf numFmtId="0" fontId="28" fillId="35" borderId="234" xfId="0" applyFont="1" applyFill="1" applyBorder="1"/>
    <xf numFmtId="0" fontId="50" fillId="35" borderId="235" xfId="0" applyFont="1" applyFill="1" applyBorder="1" applyAlignment="1">
      <alignment horizontal="left"/>
    </xf>
    <xf numFmtId="0" fontId="86" fillId="25" borderId="87" xfId="0" applyFont="1" applyFill="1" applyBorder="1"/>
    <xf numFmtId="0" fontId="87" fillId="25" borderId="33" xfId="0" applyFont="1" applyFill="1" applyBorder="1" applyAlignment="1">
      <alignment horizontal="center"/>
    </xf>
    <xf numFmtId="0" fontId="10" fillId="25" borderId="33" xfId="0" applyFont="1" applyFill="1" applyBorder="1"/>
    <xf numFmtId="0" fontId="86" fillId="25" borderId="33" xfId="0" applyFont="1" applyFill="1" applyBorder="1"/>
    <xf numFmtId="0" fontId="86" fillId="0" borderId="117" xfId="0" applyFont="1" applyBorder="1"/>
    <xf numFmtId="0" fontId="56" fillId="25" borderId="213" xfId="0" applyFont="1" applyFill="1" applyBorder="1" applyAlignment="1">
      <alignment horizontal="center"/>
    </xf>
    <xf numFmtId="0" fontId="56" fillId="25" borderId="33" xfId="0" applyFont="1" applyFill="1" applyBorder="1" applyAlignment="1">
      <alignment horizontal="center"/>
    </xf>
    <xf numFmtId="0" fontId="56" fillId="25" borderId="214" xfId="0" applyFont="1" applyFill="1" applyBorder="1" applyAlignment="1">
      <alignment horizontal="center"/>
    </xf>
    <xf numFmtId="0" fontId="67" fillId="25" borderId="237" xfId="0" applyFont="1" applyFill="1" applyBorder="1" applyAlignment="1">
      <alignment horizontal="center" wrapText="1"/>
    </xf>
    <xf numFmtId="0" fontId="67" fillId="25" borderId="35" xfId="0" applyFont="1" applyFill="1" applyBorder="1" applyAlignment="1">
      <alignment horizontal="center" wrapText="1"/>
    </xf>
    <xf numFmtId="184" fontId="10" fillId="25" borderId="33" xfId="0" applyNumberFormat="1" applyFont="1" applyFill="1" applyBorder="1"/>
    <xf numFmtId="0" fontId="10" fillId="25" borderId="214" xfId="0" applyFont="1" applyFill="1" applyBorder="1"/>
    <xf numFmtId="0" fontId="10" fillId="0" borderId="36" xfId="0" applyFont="1" applyBorder="1"/>
    <xf numFmtId="0" fontId="10" fillId="0" borderId="213" xfId="0" applyFont="1" applyBorder="1"/>
    <xf numFmtId="0" fontId="10" fillId="0" borderId="214" xfId="0" applyFont="1" applyBorder="1"/>
    <xf numFmtId="0" fontId="87" fillId="25" borderId="78" xfId="0" applyFont="1" applyFill="1" applyBorder="1"/>
    <xf numFmtId="0" fontId="87" fillId="25" borderId="89" xfId="0" applyFont="1" applyFill="1" applyBorder="1" applyAlignment="1">
      <alignment horizontal="center"/>
    </xf>
    <xf numFmtId="0" fontId="10" fillId="25" borderId="89" xfId="0" applyFont="1" applyFill="1" applyBorder="1"/>
    <xf numFmtId="0" fontId="86" fillId="25" borderId="89" xfId="0" applyFont="1" applyFill="1" applyBorder="1"/>
    <xf numFmtId="0" fontId="86" fillId="0" borderId="6" xfId="0" applyFont="1" applyBorder="1"/>
    <xf numFmtId="0" fontId="87" fillId="25" borderId="238" xfId="0" applyFont="1" applyFill="1" applyBorder="1" applyAlignment="1">
      <alignment horizontal="center"/>
    </xf>
    <xf numFmtId="0" fontId="56" fillId="25" borderId="239" xfId="0" applyFont="1" applyFill="1" applyBorder="1" applyAlignment="1">
      <alignment horizontal="center"/>
    </xf>
    <xf numFmtId="0" fontId="86" fillId="0" borderId="240" xfId="0" applyFont="1" applyBorder="1"/>
    <xf numFmtId="0" fontId="67" fillId="25" borderId="238" xfId="0" applyFont="1" applyFill="1" applyBorder="1" applyAlignment="1">
      <alignment horizontal="center" wrapText="1"/>
    </xf>
    <xf numFmtId="0" fontId="67" fillId="25" borderId="89" xfId="0" applyFont="1" applyFill="1" applyBorder="1" applyAlignment="1">
      <alignment horizontal="center" wrapText="1"/>
    </xf>
    <xf numFmtId="184" fontId="67" fillId="25" borderId="89" xfId="0" applyNumberFormat="1" applyFont="1" applyFill="1" applyBorder="1" applyAlignment="1">
      <alignment horizontal="center" wrapText="1"/>
    </xf>
    <xf numFmtId="0" fontId="67" fillId="25" borderId="239" xfId="0" applyFont="1" applyFill="1" applyBorder="1" applyAlignment="1">
      <alignment horizontal="center" wrapText="1"/>
    </xf>
    <xf numFmtId="0" fontId="67" fillId="0" borderId="240" xfId="0" applyFont="1" applyBorder="1" applyAlignment="1">
      <alignment horizontal="center" wrapText="1"/>
    </xf>
    <xf numFmtId="0" fontId="86" fillId="0" borderId="37" xfId="0" applyFont="1" applyBorder="1"/>
    <xf numFmtId="41" fontId="10" fillId="0" borderId="28" xfId="0" applyNumberFormat="1" applyFont="1" applyBorder="1"/>
    <xf numFmtId="0" fontId="10" fillId="0" borderId="28" xfId="0" applyFont="1" applyBorder="1"/>
    <xf numFmtId="176" fontId="86" fillId="15" borderId="241" xfId="0" applyNumberFormat="1" applyFont="1" applyFill="1" applyBorder="1"/>
    <xf numFmtId="0" fontId="86" fillId="0" borderId="28" xfId="0" applyFont="1" applyBorder="1" applyAlignment="1">
      <alignment horizontal="center"/>
    </xf>
    <xf numFmtId="2" fontId="86" fillId="0" borderId="28" xfId="0" applyNumberFormat="1" applyFont="1" applyBorder="1"/>
    <xf numFmtId="190" fontId="86" fillId="0" borderId="28" xfId="0" applyNumberFormat="1" applyFont="1" applyBorder="1"/>
    <xf numFmtId="0" fontId="86" fillId="0" borderId="39" xfId="0" quotePrefix="1" applyFont="1" applyBorder="1" applyAlignment="1">
      <alignment horizontal="center"/>
    </xf>
    <xf numFmtId="176" fontId="86" fillId="0" borderId="242" xfId="0" applyNumberFormat="1" applyFont="1" applyBorder="1"/>
    <xf numFmtId="0" fontId="86" fillId="0" borderId="28" xfId="0" quotePrefix="1" applyFont="1" applyBorder="1" applyAlignment="1">
      <alignment horizontal="center"/>
    </xf>
    <xf numFmtId="168" fontId="10" fillId="0" borderId="28" xfId="0" applyNumberFormat="1" applyFont="1" applyBorder="1"/>
    <xf numFmtId="168" fontId="10" fillId="0" borderId="243" xfId="0" applyNumberFormat="1" applyFont="1" applyBorder="1"/>
    <xf numFmtId="0" fontId="86" fillId="0" borderId="30" xfId="0" applyFont="1" applyBorder="1"/>
    <xf numFmtId="0" fontId="10" fillId="0" borderId="242" xfId="0" applyFont="1" applyBorder="1"/>
    <xf numFmtId="196" fontId="28" fillId="4" borderId="241" xfId="0" applyNumberFormat="1" applyFont="1" applyFill="1" applyBorder="1"/>
    <xf numFmtId="195" fontId="28" fillId="4" borderId="241" xfId="0" applyNumberFormat="1" applyFont="1" applyFill="1" applyBorder="1"/>
    <xf numFmtId="193" fontId="10" fillId="0" borderId="28" xfId="0" applyNumberFormat="1" applyFont="1" applyBorder="1"/>
    <xf numFmtId="184" fontId="28" fillId="0" borderId="28" xfId="0" applyNumberFormat="1" applyFont="1" applyBorder="1"/>
    <xf numFmtId="168" fontId="28" fillId="0" borderId="243" xfId="0" applyNumberFormat="1" applyFont="1" applyBorder="1"/>
    <xf numFmtId="0" fontId="10" fillId="0" borderId="30" xfId="0" applyFont="1" applyBorder="1"/>
    <xf numFmtId="195" fontId="28" fillId="4" borderId="244" xfId="0" applyNumberFormat="1" applyFont="1" applyFill="1" applyBorder="1"/>
    <xf numFmtId="194" fontId="10" fillId="0" borderId="28" xfId="0" applyNumberFormat="1" applyFont="1" applyBorder="1"/>
    <xf numFmtId="166" fontId="28" fillId="0" borderId="28" xfId="0" applyNumberFormat="1" applyFont="1" applyBorder="1"/>
    <xf numFmtId="166" fontId="28" fillId="0" borderId="243" xfId="0" applyNumberFormat="1" applyFont="1" applyBorder="1"/>
    <xf numFmtId="0" fontId="86" fillId="0" borderId="38" xfId="0" applyFont="1" applyBorder="1"/>
    <xf numFmtId="168" fontId="67" fillId="25" borderId="245" xfId="0" applyNumberFormat="1" applyFont="1" applyFill="1" applyBorder="1"/>
    <xf numFmtId="166" fontId="67" fillId="25" borderId="245" xfId="0" applyNumberFormat="1" applyFont="1" applyFill="1" applyBorder="1"/>
    <xf numFmtId="0" fontId="86" fillId="0" borderId="1" xfId="0" applyFont="1" applyBorder="1"/>
    <xf numFmtId="0" fontId="86" fillId="0" borderId="246" xfId="0" applyFont="1" applyBorder="1"/>
    <xf numFmtId="0" fontId="86" fillId="0" borderId="247" xfId="0" applyFont="1" applyBorder="1" applyAlignment="1">
      <alignment horizontal="center"/>
    </xf>
    <xf numFmtId="0" fontId="86" fillId="0" borderId="247" xfId="0" applyFont="1" applyBorder="1"/>
    <xf numFmtId="0" fontId="86" fillId="0" borderId="247" xfId="0" applyFont="1" applyBorder="1" applyAlignment="1">
      <alignment horizontal="left"/>
    </xf>
    <xf numFmtId="0" fontId="28" fillId="0" borderId="220" xfId="0" applyFont="1" applyBorder="1"/>
    <xf numFmtId="0" fontId="10" fillId="0" borderId="247" xfId="0" applyFont="1" applyBorder="1"/>
    <xf numFmtId="0" fontId="10" fillId="0" borderId="248" xfId="0" applyFont="1" applyBorder="1"/>
    <xf numFmtId="0" fontId="10" fillId="0" borderId="246" xfId="0" applyFont="1" applyBorder="1"/>
    <xf numFmtId="0" fontId="28" fillId="0" borderId="21" xfId="0" applyFont="1" applyBorder="1"/>
    <xf numFmtId="0" fontId="28" fillId="0" borderId="61" xfId="0" applyFont="1" applyBorder="1"/>
    <xf numFmtId="0" fontId="28" fillId="0" borderId="41" xfId="0" applyFont="1" applyBorder="1"/>
    <xf numFmtId="0" fontId="86" fillId="25" borderId="249" xfId="0" applyFont="1" applyFill="1" applyBorder="1"/>
    <xf numFmtId="0" fontId="86" fillId="25" borderId="250" xfId="0" applyFont="1" applyFill="1" applyBorder="1"/>
    <xf numFmtId="0" fontId="87" fillId="25" borderId="250" xfId="0" applyFont="1" applyFill="1" applyBorder="1" applyAlignment="1">
      <alignment horizontal="center"/>
    </xf>
    <xf numFmtId="0" fontId="86" fillId="25" borderId="250" xfId="0" applyFont="1" applyFill="1" applyBorder="1" applyAlignment="1">
      <alignment horizontal="center"/>
    </xf>
    <xf numFmtId="0" fontId="86" fillId="25" borderId="250" xfId="0" applyFont="1" applyFill="1" applyBorder="1" applyAlignment="1">
      <alignment horizontal="left"/>
    </xf>
    <xf numFmtId="0" fontId="28" fillId="25" borderId="250" xfId="0" applyFont="1" applyFill="1" applyBorder="1"/>
    <xf numFmtId="0" fontId="28" fillId="25" borderId="251" xfId="0" applyFont="1" applyFill="1" applyBorder="1"/>
    <xf numFmtId="0" fontId="10" fillId="0" borderId="197" xfId="0" applyFont="1" applyBorder="1"/>
    <xf numFmtId="0" fontId="86" fillId="25" borderId="252" xfId="0" applyFont="1" applyFill="1" applyBorder="1"/>
    <xf numFmtId="0" fontId="87" fillId="25" borderId="166" xfId="0" applyFont="1" applyFill="1" applyBorder="1" applyAlignment="1">
      <alignment horizontal="center"/>
    </xf>
    <xf numFmtId="0" fontId="86" fillId="25" borderId="166" xfId="0" applyFont="1" applyFill="1" applyBorder="1"/>
    <xf numFmtId="0" fontId="56" fillId="25" borderId="166" xfId="0" applyFont="1" applyFill="1" applyBorder="1" applyAlignment="1">
      <alignment horizontal="center"/>
    </xf>
    <xf numFmtId="0" fontId="56" fillId="25" borderId="253" xfId="0" applyFont="1" applyFill="1" applyBorder="1" applyAlignment="1">
      <alignment horizontal="center"/>
    </xf>
    <xf numFmtId="0" fontId="87" fillId="0" borderId="212" xfId="0" applyFont="1" applyBorder="1"/>
    <xf numFmtId="9" fontId="86" fillId="0" borderId="33" xfId="0" applyNumberFormat="1" applyFont="1" applyBorder="1"/>
    <xf numFmtId="176" fontId="86" fillId="0" borderId="33" xfId="0" applyNumberFormat="1" applyFont="1" applyBorder="1"/>
    <xf numFmtId="168" fontId="56" fillId="10" borderId="254" xfId="0" applyNumberFormat="1" applyFont="1" applyFill="1" applyBorder="1"/>
    <xf numFmtId="0" fontId="86" fillId="0" borderId="255" xfId="0" applyFont="1" applyBorder="1"/>
    <xf numFmtId="176" fontId="86" fillId="0" borderId="83" xfId="0" applyNumberFormat="1" applyFont="1" applyBorder="1"/>
    <xf numFmtId="0" fontId="86" fillId="0" borderId="83" xfId="0" applyFont="1" applyBorder="1" applyAlignment="1">
      <alignment horizontal="center"/>
    </xf>
    <xf numFmtId="9" fontId="86" fillId="0" borderId="83" xfId="0" applyNumberFormat="1" applyFont="1" applyBorder="1"/>
    <xf numFmtId="2" fontId="86" fillId="0" borderId="83" xfId="0" applyNumberFormat="1" applyFont="1" applyBorder="1"/>
    <xf numFmtId="190" fontId="86" fillId="0" borderId="83" xfId="0" applyNumberFormat="1" applyFont="1" applyBorder="1"/>
    <xf numFmtId="168" fontId="10" fillId="0" borderId="83" xfId="0" applyNumberFormat="1" applyFont="1" applyBorder="1"/>
    <xf numFmtId="168" fontId="10" fillId="0" borderId="256" xfId="0" applyNumberFormat="1" applyFont="1" applyBorder="1"/>
    <xf numFmtId="176" fontId="86" fillId="0" borderId="0" xfId="0" applyNumberFormat="1" applyFont="1"/>
    <xf numFmtId="0" fontId="86" fillId="0" borderId="0" xfId="0" applyFont="1" applyAlignment="1">
      <alignment horizontal="center"/>
    </xf>
    <xf numFmtId="9" fontId="86" fillId="0" borderId="0" xfId="0" applyNumberFormat="1" applyFont="1"/>
    <xf numFmtId="2" fontId="86" fillId="0" borderId="0" xfId="0" applyNumberFormat="1" applyFont="1"/>
    <xf numFmtId="190" fontId="86" fillId="0" borderId="0" xfId="0" applyNumberFormat="1" applyFont="1"/>
    <xf numFmtId="168" fontId="10" fillId="0" borderId="0" xfId="0" applyNumberFormat="1" applyFont="1"/>
    <xf numFmtId="0" fontId="10" fillId="25" borderId="257" xfId="0" applyFont="1" applyFill="1" applyBorder="1"/>
    <xf numFmtId="0" fontId="56" fillId="25" borderId="124" xfId="0" applyFont="1" applyFill="1" applyBorder="1" applyAlignment="1">
      <alignment horizontal="center"/>
    </xf>
    <xf numFmtId="0" fontId="56" fillId="25" borderId="257" xfId="0" applyFont="1" applyFill="1" applyBorder="1" applyAlignment="1">
      <alignment horizontal="center"/>
    </xf>
    <xf numFmtId="0" fontId="28" fillId="25" borderId="124" xfId="0" applyFont="1" applyFill="1" applyBorder="1"/>
    <xf numFmtId="0" fontId="56" fillId="0" borderId="0" xfId="0" applyFont="1" applyAlignment="1">
      <alignment horizontal="center"/>
    </xf>
    <xf numFmtId="0" fontId="56" fillId="25" borderId="258" xfId="0" applyFont="1" applyFill="1" applyBorder="1"/>
    <xf numFmtId="0" fontId="56" fillId="25" borderId="211" xfId="0" applyFont="1" applyFill="1" applyBorder="1" applyAlignment="1">
      <alignment horizontal="center"/>
    </xf>
    <xf numFmtId="0" fontId="56" fillId="25" borderId="258" xfId="0" applyFont="1" applyFill="1" applyBorder="1" applyAlignment="1">
      <alignment horizontal="center"/>
    </xf>
    <xf numFmtId="0" fontId="28" fillId="25" borderId="211" xfId="0" applyFont="1" applyFill="1" applyBorder="1"/>
    <xf numFmtId="0" fontId="86" fillId="0" borderId="121" xfId="0" applyFont="1" applyBorder="1"/>
    <xf numFmtId="184" fontId="10" fillId="0" borderId="30" xfId="0" applyNumberFormat="1" applyFont="1" applyBorder="1" applyAlignment="1">
      <alignment horizontal="center"/>
    </xf>
    <xf numFmtId="184" fontId="10" fillId="0" borderId="121" xfId="0" applyNumberFormat="1" applyFont="1" applyBorder="1" applyAlignment="1">
      <alignment horizontal="center"/>
    </xf>
    <xf numFmtId="184" fontId="28" fillId="0" borderId="30" xfId="0" applyNumberFormat="1" applyFont="1" applyBorder="1"/>
    <xf numFmtId="193" fontId="10" fillId="0" borderId="0" xfId="0" applyNumberFormat="1" applyFont="1" applyAlignment="1">
      <alignment horizontal="center"/>
    </xf>
    <xf numFmtId="0" fontId="86" fillId="0" borderId="107" xfId="0" applyFont="1" applyBorder="1"/>
    <xf numFmtId="0" fontId="56" fillId="0" borderId="107" xfId="0" applyFont="1" applyBorder="1"/>
    <xf numFmtId="0" fontId="28" fillId="0" borderId="259" xfId="0" applyFont="1" applyBorder="1"/>
    <xf numFmtId="0" fontId="87" fillId="25" borderId="143" xfId="0" applyFont="1" applyFill="1" applyBorder="1"/>
    <xf numFmtId="184" fontId="10" fillId="25" borderId="260" xfId="0" applyNumberFormat="1" applyFont="1" applyFill="1" applyBorder="1" applyAlignment="1">
      <alignment horizontal="center"/>
    </xf>
    <xf numFmtId="184" fontId="10" fillId="25" borderId="143" xfId="0" applyNumberFormat="1" applyFont="1" applyFill="1" applyBorder="1"/>
    <xf numFmtId="184" fontId="10" fillId="25" borderId="143" xfId="0" applyNumberFormat="1" applyFont="1" applyFill="1" applyBorder="1" applyAlignment="1">
      <alignment horizontal="center"/>
    </xf>
    <xf numFmtId="184" fontId="56" fillId="25" borderId="260" xfId="0" applyNumberFormat="1" applyFont="1" applyFill="1" applyBorder="1"/>
    <xf numFmtId="184" fontId="29" fillId="25" borderId="143" xfId="0" applyNumberFormat="1" applyFont="1" applyFill="1" applyBorder="1" applyAlignment="1">
      <alignment horizontal="center"/>
    </xf>
    <xf numFmtId="184" fontId="28" fillId="25" borderId="260" xfId="0" applyNumberFormat="1" applyFont="1" applyFill="1" applyBorder="1"/>
    <xf numFmtId="184" fontId="56" fillId="25" borderId="143" xfId="0" applyNumberFormat="1" applyFont="1" applyFill="1" applyBorder="1" applyAlignment="1">
      <alignment horizontal="center"/>
    </xf>
    <xf numFmtId="43" fontId="56" fillId="0" borderId="0" xfId="0" applyNumberFormat="1" applyFont="1"/>
    <xf numFmtId="0" fontId="38" fillId="5" borderId="42" xfId="0" applyFont="1" applyFill="1" applyBorder="1" applyAlignment="1">
      <alignment vertical="top"/>
    </xf>
    <xf numFmtId="0" fontId="26" fillId="5" borderId="42" xfId="0" applyFont="1" applyFill="1" applyBorder="1"/>
    <xf numFmtId="0" fontId="23" fillId="0" borderId="0" xfId="0" applyFont="1"/>
    <xf numFmtId="0" fontId="24" fillId="0" borderId="0" xfId="0" applyFont="1" applyAlignment="1">
      <alignment horizontal="center"/>
    </xf>
    <xf numFmtId="176" fontId="23" fillId="0" borderId="0" xfId="0" applyNumberFormat="1" applyFont="1"/>
    <xf numFmtId="176" fontId="24" fillId="0" borderId="0" xfId="0" applyNumberFormat="1" applyFont="1" applyAlignment="1">
      <alignment horizontal="center"/>
    </xf>
    <xf numFmtId="169" fontId="23" fillId="0" borderId="0" xfId="0" applyNumberFormat="1" applyFont="1"/>
    <xf numFmtId="0" fontId="39" fillId="43" borderId="42" xfId="0" applyFont="1" applyFill="1" applyBorder="1"/>
    <xf numFmtId="0" fontId="24" fillId="43" borderId="42" xfId="0" applyFont="1" applyFill="1" applyBorder="1"/>
    <xf numFmtId="0" fontId="24" fillId="43" borderId="42" xfId="0" applyFont="1" applyFill="1" applyBorder="1" applyAlignment="1">
      <alignment horizontal="center"/>
    </xf>
    <xf numFmtId="0" fontId="88" fillId="25" borderId="163" xfId="0" applyFont="1" applyFill="1" applyBorder="1" applyAlignment="1">
      <alignment horizontal="center"/>
    </xf>
    <xf numFmtId="0" fontId="88" fillId="25" borderId="163" xfId="0" applyFont="1" applyFill="1" applyBorder="1" applyAlignment="1">
      <alignment vertical="center"/>
    </xf>
    <xf numFmtId="0" fontId="88" fillId="25" borderId="164" xfId="0" applyFont="1" applyFill="1" applyBorder="1" applyAlignment="1">
      <alignment horizontal="center"/>
    </xf>
    <xf numFmtId="0" fontId="89" fillId="25" borderId="168" xfId="0" applyFont="1" applyFill="1" applyBorder="1"/>
    <xf numFmtId="0" fontId="89" fillId="25" borderId="169" xfId="0" applyFont="1" applyFill="1" applyBorder="1"/>
    <xf numFmtId="0" fontId="89" fillId="25" borderId="169" xfId="0" applyFont="1" applyFill="1" applyBorder="1" applyAlignment="1">
      <alignment wrapText="1"/>
    </xf>
    <xf numFmtId="0" fontId="89" fillId="25" borderId="170" xfId="0" applyFont="1" applyFill="1" applyBorder="1"/>
    <xf numFmtId="0" fontId="90" fillId="0" borderId="85" xfId="0" applyFont="1" applyBorder="1" applyAlignment="1">
      <alignment vertical="top" wrapText="1"/>
    </xf>
    <xf numFmtId="176" fontId="91" fillId="0" borderId="28" xfId="0" applyNumberFormat="1" applyFont="1" applyBorder="1"/>
    <xf numFmtId="2" fontId="90" fillId="0" borderId="28" xfId="0" applyNumberFormat="1" applyFont="1" applyBorder="1"/>
    <xf numFmtId="180" fontId="90" fillId="0" borderId="28" xfId="0" applyNumberFormat="1" applyFont="1" applyBorder="1"/>
    <xf numFmtId="169" fontId="90" fillId="0" borderId="86" xfId="0" applyNumberFormat="1" applyFont="1" applyBorder="1"/>
    <xf numFmtId="0" fontId="90" fillId="0" borderId="73" xfId="0" applyFont="1" applyBorder="1" applyAlignment="1">
      <alignment vertical="top" wrapText="1"/>
    </xf>
    <xf numFmtId="176" fontId="90" fillId="0" borderId="4" xfId="0" applyNumberFormat="1" applyFont="1" applyBorder="1"/>
    <xf numFmtId="2" fontId="90" fillId="0" borderId="4" xfId="0" applyNumberFormat="1" applyFont="1" applyBorder="1"/>
    <xf numFmtId="180" fontId="90" fillId="0" borderId="4" xfId="0" applyNumberFormat="1" applyFont="1" applyBorder="1"/>
    <xf numFmtId="169" fontId="90" fillId="0" borderId="74" xfId="0" applyNumberFormat="1" applyFont="1" applyBorder="1"/>
    <xf numFmtId="0" fontId="92" fillId="0" borderId="73" xfId="0" applyFont="1" applyBorder="1"/>
    <xf numFmtId="0" fontId="90" fillId="0" borderId="1" xfId="0" applyFont="1" applyBorder="1"/>
    <xf numFmtId="0" fontId="90" fillId="0" borderId="2" xfId="0" applyFont="1" applyBorder="1"/>
    <xf numFmtId="180" fontId="92" fillId="0" borderId="4" xfId="0" applyNumberFormat="1" applyFont="1" applyBorder="1"/>
    <xf numFmtId="169" fontId="92" fillId="0" borderId="74" xfId="0" applyNumberFormat="1" applyFont="1" applyBorder="1"/>
    <xf numFmtId="0" fontId="28" fillId="0" borderId="179" xfId="0" applyFont="1" applyBorder="1"/>
    <xf numFmtId="0" fontId="93" fillId="0" borderId="0" xfId="0" applyFont="1"/>
    <xf numFmtId="0" fontId="28" fillId="0" borderId="0" xfId="0" applyFont="1" applyAlignment="1">
      <alignment wrapText="1"/>
    </xf>
    <xf numFmtId="0" fontId="39" fillId="37" borderId="42" xfId="0" applyFont="1" applyFill="1" applyBorder="1"/>
    <xf numFmtId="0" fontId="24" fillId="37" borderId="42" xfId="0" applyFont="1" applyFill="1" applyBorder="1"/>
    <xf numFmtId="0" fontId="90" fillId="25" borderId="67" xfId="0" applyFont="1" applyFill="1" applyBorder="1"/>
    <xf numFmtId="0" fontId="92" fillId="25" borderId="68" xfId="0" applyFont="1" applyFill="1" applyBorder="1" applyAlignment="1">
      <alignment horizontal="center"/>
    </xf>
    <xf numFmtId="0" fontId="92" fillId="25" borderId="69" xfId="0" applyFont="1" applyFill="1" applyBorder="1" applyAlignment="1">
      <alignment horizontal="center"/>
    </xf>
    <xf numFmtId="0" fontId="92" fillId="25" borderId="73" xfId="0" applyFont="1" applyFill="1" applyBorder="1" applyAlignment="1">
      <alignment horizontal="left"/>
    </xf>
    <xf numFmtId="0" fontId="90" fillId="25" borderId="4" xfId="0" applyFont="1" applyFill="1" applyBorder="1"/>
    <xf numFmtId="0" fontId="90" fillId="25" borderId="4" xfId="0" applyFont="1" applyFill="1" applyBorder="1" applyAlignment="1">
      <alignment horizontal="center" wrapText="1"/>
    </xf>
    <xf numFmtId="0" fontId="94" fillId="25" borderId="4" xfId="0" applyFont="1" applyFill="1" applyBorder="1"/>
    <xf numFmtId="0" fontId="94" fillId="25" borderId="74" xfId="0" applyFont="1" applyFill="1" applyBorder="1"/>
    <xf numFmtId="0" fontId="95" fillId="0" borderId="0" xfId="0" applyFont="1"/>
    <xf numFmtId="0" fontId="92" fillId="0" borderId="73" xfId="0" applyFont="1" applyBorder="1" applyAlignment="1">
      <alignment horizontal="left"/>
    </xf>
    <xf numFmtId="0" fontId="90" fillId="0" borderId="4" xfId="0" applyFont="1" applyBorder="1"/>
    <xf numFmtId="0" fontId="96" fillId="0" borderId="4" xfId="0" applyFont="1" applyBorder="1"/>
    <xf numFmtId="0" fontId="96" fillId="0" borderId="74" xfId="0" applyFont="1" applyBorder="1"/>
    <xf numFmtId="0" fontId="97" fillId="0" borderId="0" xfId="0" applyFont="1"/>
    <xf numFmtId="0" fontId="24" fillId="0" borderId="73" xfId="0" applyFont="1" applyBorder="1" applyAlignment="1">
      <alignment horizontal="left" vertical="top" wrapText="1"/>
    </xf>
    <xf numFmtId="176" fontId="16" fillId="0" borderId="4" xfId="0" applyNumberFormat="1" applyFont="1" applyBorder="1" applyAlignment="1">
      <alignment horizontal="center" vertical="center"/>
    </xf>
    <xf numFmtId="2" fontId="90" fillId="0" borderId="4" xfId="0" applyNumberFormat="1" applyFont="1" applyBorder="1" applyAlignment="1">
      <alignment horizontal="center" vertical="center"/>
    </xf>
    <xf numFmtId="43" fontId="98" fillId="0" borderId="4" xfId="0" applyNumberFormat="1" applyFont="1" applyBorder="1" applyAlignment="1">
      <alignment horizontal="center" vertical="center"/>
    </xf>
    <xf numFmtId="181" fontId="98" fillId="0" borderId="74" xfId="0" applyNumberFormat="1" applyFont="1" applyBorder="1" applyAlignment="1">
      <alignment horizontal="center" vertical="center"/>
    </xf>
    <xf numFmtId="181" fontId="99" fillId="0" borderId="119" xfId="0" applyNumberFormat="1" applyFont="1" applyBorder="1"/>
    <xf numFmtId="176" fontId="98" fillId="0" borderId="4" xfId="0" applyNumberFormat="1" applyFont="1" applyBorder="1" applyAlignment="1">
      <alignment horizontal="center" vertical="center"/>
    </xf>
    <xf numFmtId="0" fontId="23" fillId="0" borderId="73" xfId="0" applyFont="1" applyBorder="1" applyAlignment="1">
      <alignment horizontal="left"/>
    </xf>
    <xf numFmtId="176" fontId="91" fillId="0" borderId="4" xfId="0" applyNumberFormat="1" applyFont="1" applyBorder="1" applyAlignment="1">
      <alignment horizontal="center" vertical="center"/>
    </xf>
    <xf numFmtId="169" fontId="98" fillId="0" borderId="74" xfId="0" applyNumberFormat="1" applyFont="1" applyBorder="1" applyAlignment="1">
      <alignment horizontal="center" vertical="center"/>
    </xf>
    <xf numFmtId="0" fontId="23" fillId="25" borderId="75" xfId="0" applyFont="1" applyFill="1" applyBorder="1"/>
    <xf numFmtId="0" fontId="90" fillId="25" borderId="76" xfId="0" applyFont="1" applyFill="1" applyBorder="1" applyAlignment="1">
      <alignment horizontal="center" vertical="center"/>
    </xf>
    <xf numFmtId="176" fontId="100" fillId="25" borderId="76" xfId="0" applyNumberFormat="1" applyFont="1" applyFill="1" applyBorder="1" applyAlignment="1">
      <alignment horizontal="center" vertical="center"/>
    </xf>
    <xf numFmtId="181" fontId="100" fillId="25" borderId="77" xfId="0" applyNumberFormat="1" applyFont="1" applyFill="1" applyBorder="1" applyAlignment="1">
      <alignment horizontal="center" vertical="center"/>
    </xf>
    <xf numFmtId="181" fontId="101" fillId="0" borderId="119" xfId="0" applyNumberFormat="1" applyFont="1" applyBorder="1"/>
    <xf numFmtId="0" fontId="39" fillId="12" borderId="42" xfId="0" applyFont="1" applyFill="1" applyBorder="1"/>
    <xf numFmtId="0" fontId="24" fillId="12" borderId="42" xfId="0" applyFont="1" applyFill="1" applyBorder="1" applyAlignment="1">
      <alignment horizontal="center"/>
    </xf>
    <xf numFmtId="0" fontId="24" fillId="12" borderId="42" xfId="0" applyFont="1" applyFill="1" applyBorder="1"/>
    <xf numFmtId="0" fontId="23" fillId="25" borderId="163" xfId="0" applyFont="1" applyFill="1" applyBorder="1" applyAlignment="1">
      <alignment horizontal="center"/>
    </xf>
    <xf numFmtId="0" fontId="23" fillId="25" borderId="163" xfId="0" applyFont="1" applyFill="1" applyBorder="1" applyAlignment="1">
      <alignment horizontal="center" vertical="center"/>
    </xf>
    <xf numFmtId="0" fontId="23" fillId="25" borderId="164" xfId="0" applyFont="1" applyFill="1" applyBorder="1" applyAlignment="1">
      <alignment horizontal="center" vertical="center"/>
    </xf>
    <xf numFmtId="0" fontId="24" fillId="25" borderId="165" xfId="0" applyFont="1" applyFill="1" applyBorder="1"/>
    <xf numFmtId="0" fontId="24" fillId="25" borderId="166" xfId="0" applyFont="1" applyFill="1" applyBorder="1"/>
    <xf numFmtId="0" fontId="24" fillId="25" borderId="167" xfId="0" applyFont="1" applyFill="1" applyBorder="1"/>
    <xf numFmtId="0" fontId="24" fillId="25" borderId="168" xfId="0" applyFont="1" applyFill="1" applyBorder="1"/>
    <xf numFmtId="176" fontId="24" fillId="25" borderId="169" xfId="0" applyNumberFormat="1" applyFont="1" applyFill="1" applyBorder="1"/>
    <xf numFmtId="176" fontId="24" fillId="25" borderId="170" xfId="0" applyNumberFormat="1" applyFont="1" applyFill="1" applyBorder="1"/>
    <xf numFmtId="0" fontId="24" fillId="0" borderId="85" xfId="0" applyFont="1" applyBorder="1" applyAlignment="1">
      <alignment vertical="top" wrapText="1"/>
    </xf>
    <xf numFmtId="176" fontId="8" fillId="0" borderId="28" xfId="0" applyNumberFormat="1" applyFont="1" applyBorder="1"/>
    <xf numFmtId="184" fontId="24" fillId="0" borderId="28" xfId="0" applyNumberFormat="1" applyFont="1" applyBorder="1"/>
    <xf numFmtId="176" fontId="24" fillId="0" borderId="28" xfId="0" applyNumberFormat="1" applyFont="1" applyBorder="1"/>
    <xf numFmtId="169" fontId="24" fillId="0" borderId="86" xfId="0" applyNumberFormat="1" applyFont="1" applyBorder="1"/>
    <xf numFmtId="0" fontId="24" fillId="0" borderId="73" xfId="0" applyFont="1" applyBorder="1" applyAlignment="1">
      <alignment vertical="top" wrapText="1"/>
    </xf>
    <xf numFmtId="175" fontId="24" fillId="0" borderId="4" xfId="0" applyNumberFormat="1" applyFont="1" applyBorder="1"/>
    <xf numFmtId="176" fontId="24" fillId="0" borderId="4" xfId="0" applyNumberFormat="1" applyFont="1" applyBorder="1"/>
    <xf numFmtId="169" fontId="24" fillId="0" borderId="74" xfId="0" applyNumberFormat="1" applyFont="1" applyBorder="1"/>
    <xf numFmtId="0" fontId="23" fillId="25" borderId="262" xfId="0" applyFont="1" applyFill="1" applyBorder="1"/>
    <xf numFmtId="0" fontId="24" fillId="25" borderId="177" xfId="0" applyFont="1" applyFill="1" applyBorder="1"/>
    <xf numFmtId="176" fontId="23" fillId="25" borderId="4" xfId="0" applyNumberFormat="1" applyFont="1" applyFill="1" applyBorder="1"/>
    <xf numFmtId="169" fontId="23" fillId="25" borderId="74" xfId="0" applyNumberFormat="1" applyFont="1" applyFill="1" applyBorder="1"/>
    <xf numFmtId="176" fontId="23" fillId="0" borderId="0" xfId="0" applyNumberFormat="1" applyFont="1" applyAlignment="1">
      <alignment horizontal="center"/>
    </xf>
    <xf numFmtId="0" fontId="24" fillId="25" borderId="123" xfId="0" applyFont="1" applyFill="1" applyBorder="1"/>
    <xf numFmtId="0" fontId="88" fillId="25" borderId="263" xfId="0" applyFont="1" applyFill="1" applyBorder="1" applyAlignment="1">
      <alignment horizontal="center"/>
    </xf>
    <xf numFmtId="0" fontId="88" fillId="25" borderId="267" xfId="0" applyFont="1" applyFill="1" applyBorder="1" applyAlignment="1">
      <alignment horizontal="center" vertical="center"/>
    </xf>
    <xf numFmtId="0" fontId="88" fillId="25" borderId="263" xfId="0" applyFont="1" applyFill="1" applyBorder="1" applyAlignment="1">
      <alignment vertical="center"/>
    </xf>
    <xf numFmtId="0" fontId="88" fillId="25" borderId="124" xfId="0" applyFont="1" applyFill="1" applyBorder="1" applyAlignment="1">
      <alignment vertical="center"/>
    </xf>
    <xf numFmtId="0" fontId="88" fillId="25" borderId="267" xfId="0" applyFont="1" applyFill="1" applyBorder="1" applyAlignment="1">
      <alignment vertical="center"/>
    </xf>
    <xf numFmtId="0" fontId="88" fillId="25" borderId="268" xfId="0" applyFont="1" applyFill="1" applyBorder="1" applyAlignment="1">
      <alignment vertical="center"/>
    </xf>
    <xf numFmtId="0" fontId="88" fillId="25" borderId="269" xfId="0" applyFont="1" applyFill="1" applyBorder="1" applyAlignment="1">
      <alignment horizontal="left"/>
    </xf>
    <xf numFmtId="0" fontId="24" fillId="25" borderId="13" xfId="0" applyFont="1" applyFill="1" applyBorder="1"/>
    <xf numFmtId="0" fontId="88" fillId="25" borderId="270" xfId="0" applyFont="1" applyFill="1" applyBorder="1" applyAlignment="1">
      <alignment vertical="center"/>
    </xf>
    <xf numFmtId="0" fontId="88" fillId="25" borderId="42" xfId="0" applyFont="1" applyFill="1" applyBorder="1" applyAlignment="1">
      <alignment horizontal="center" vertical="center"/>
    </xf>
    <xf numFmtId="0" fontId="88" fillId="25" borderId="13" xfId="0" applyFont="1" applyFill="1" applyBorder="1" applyAlignment="1">
      <alignment vertical="center"/>
    </xf>
    <xf numFmtId="0" fontId="88" fillId="25" borderId="42" xfId="0" applyFont="1" applyFill="1" applyBorder="1" applyAlignment="1">
      <alignment vertical="center"/>
    </xf>
    <xf numFmtId="0" fontId="88" fillId="25" borderId="271" xfId="0" applyFont="1" applyFill="1" applyBorder="1" applyAlignment="1">
      <alignment vertical="center"/>
    </xf>
    <xf numFmtId="0" fontId="24" fillId="25" borderId="272" xfId="0" applyFont="1" applyFill="1" applyBorder="1" applyAlignment="1">
      <alignment vertical="center"/>
    </xf>
    <xf numFmtId="0" fontId="24" fillId="25" borderId="273" xfId="0" applyFont="1" applyFill="1" applyBorder="1"/>
    <xf numFmtId="0" fontId="24" fillId="25" borderId="274" xfId="0" applyFont="1" applyFill="1" applyBorder="1"/>
    <xf numFmtId="0" fontId="24" fillId="25" borderId="274" xfId="0" applyFont="1" applyFill="1" applyBorder="1" applyAlignment="1">
      <alignment vertical="center"/>
    </xf>
    <xf numFmtId="0" fontId="24" fillId="25" borderId="211" xfId="0" applyFont="1" applyFill="1" applyBorder="1" applyAlignment="1">
      <alignment horizontal="center" vertical="center"/>
    </xf>
    <xf numFmtId="0" fontId="24" fillId="25" borderId="211" xfId="0" applyFont="1" applyFill="1" applyBorder="1" applyAlignment="1">
      <alignment vertical="center"/>
    </xf>
    <xf numFmtId="0" fontId="24" fillId="25" borderId="275" xfId="0" applyFont="1" applyFill="1" applyBorder="1" applyAlignment="1">
      <alignment vertical="center"/>
    </xf>
    <xf numFmtId="0" fontId="24" fillId="25" borderId="276" xfId="0" applyFont="1" applyFill="1" applyBorder="1" applyAlignment="1">
      <alignment vertical="center"/>
    </xf>
    <xf numFmtId="0" fontId="24" fillId="0" borderId="184" xfId="0" applyFont="1" applyBorder="1"/>
    <xf numFmtId="43" fontId="7" fillId="0" borderId="185" xfId="0" applyNumberFormat="1" applyFont="1" applyBorder="1"/>
    <xf numFmtId="0" fontId="24" fillId="0" borderId="185" xfId="0" applyFont="1" applyBorder="1"/>
    <xf numFmtId="192" fontId="24" fillId="0" borderId="185" xfId="0" applyNumberFormat="1" applyFont="1" applyBorder="1"/>
    <xf numFmtId="9" fontId="24" fillId="0" borderId="277" xfId="0" applyNumberFormat="1" applyFont="1" applyBorder="1" applyAlignment="1">
      <alignment horizontal="center"/>
    </xf>
    <xf numFmtId="197" fontId="24" fillId="0" borderId="278" xfId="0" applyNumberFormat="1" applyFont="1" applyBorder="1"/>
    <xf numFmtId="198" fontId="24" fillId="0" borderId="113" xfId="0" applyNumberFormat="1" applyFont="1" applyBorder="1"/>
    <xf numFmtId="197" fontId="24" fillId="0" borderId="279" xfId="0" applyNumberFormat="1" applyFont="1" applyBorder="1"/>
    <xf numFmtId="197" fontId="23" fillId="0" borderId="280" xfId="0" applyNumberFormat="1" applyFont="1" applyBorder="1"/>
    <xf numFmtId="0" fontId="23" fillId="25" borderId="283" xfId="0" applyFont="1" applyFill="1" applyBorder="1"/>
    <xf numFmtId="0" fontId="23" fillId="25" borderId="173" xfId="0" applyFont="1" applyFill="1" applyBorder="1" applyAlignment="1">
      <alignment horizontal="center"/>
    </xf>
    <xf numFmtId="0" fontId="23" fillId="0" borderId="116" xfId="0" applyFont="1" applyBorder="1"/>
    <xf numFmtId="180" fontId="67" fillId="0" borderId="86" xfId="0" applyNumberFormat="1" applyFont="1" applyBorder="1" applyAlignment="1">
      <alignment horizontal="center" vertical="center"/>
    </xf>
    <xf numFmtId="0" fontId="24" fillId="0" borderId="73" xfId="0" applyFont="1" applyBorder="1" applyAlignment="1">
      <alignment horizontal="left"/>
    </xf>
    <xf numFmtId="180" fontId="28" fillId="0" borderId="74" xfId="0" applyNumberFormat="1" applyFont="1" applyBorder="1" applyAlignment="1">
      <alignment horizontal="center" vertical="center"/>
    </xf>
    <xf numFmtId="0" fontId="23" fillId="0" borderId="75" xfId="0" applyFont="1" applyBorder="1"/>
    <xf numFmtId="180" fontId="67" fillId="0" borderId="77" xfId="0" applyNumberFormat="1" applyFont="1" applyBorder="1" applyAlignment="1">
      <alignment horizontal="center" vertical="center"/>
    </xf>
    <xf numFmtId="0" fontId="38" fillId="5" borderId="42" xfId="0" applyFont="1" applyFill="1" applyBorder="1"/>
    <xf numFmtId="0" fontId="24" fillId="0" borderId="0" xfId="0" applyFont="1" applyAlignment="1">
      <alignment horizontal="left" vertical="top" wrapText="1"/>
    </xf>
    <xf numFmtId="0" fontId="40" fillId="0" borderId="0" xfId="0" applyFont="1"/>
    <xf numFmtId="0" fontId="2" fillId="44" borderId="42" xfId="0" applyFont="1" applyFill="1" applyBorder="1"/>
    <xf numFmtId="0" fontId="13" fillId="44" borderId="42" xfId="0" applyFont="1" applyFill="1" applyBorder="1"/>
    <xf numFmtId="0" fontId="102" fillId="0" borderId="0" xfId="0" applyFont="1"/>
    <xf numFmtId="0" fontId="13" fillId="25" borderId="284" xfId="0" applyFont="1" applyFill="1" applyBorder="1" applyAlignment="1">
      <alignment horizontal="left"/>
    </xf>
    <xf numFmtId="0" fontId="13" fillId="25" borderId="202" xfId="0" applyFont="1" applyFill="1" applyBorder="1" applyAlignment="1">
      <alignment horizontal="center" wrapText="1"/>
    </xf>
    <xf numFmtId="0" fontId="103" fillId="25" borderId="202" xfId="0" applyFont="1" applyFill="1" applyBorder="1" applyAlignment="1">
      <alignment horizontal="center" wrapText="1"/>
    </xf>
    <xf numFmtId="0" fontId="13" fillId="25" borderId="202" xfId="0" applyFont="1" applyFill="1" applyBorder="1"/>
    <xf numFmtId="0" fontId="3" fillId="25" borderId="202" xfId="0" applyFont="1" applyFill="1" applyBorder="1"/>
    <xf numFmtId="0" fontId="103" fillId="25" borderId="285" xfId="0" applyFont="1" applyFill="1" applyBorder="1" applyAlignment="1">
      <alignment horizontal="center" wrapText="1"/>
    </xf>
    <xf numFmtId="0" fontId="103" fillId="0" borderId="286" xfId="0" applyFont="1" applyBorder="1" applyAlignment="1">
      <alignment horizontal="left"/>
    </xf>
    <xf numFmtId="0" fontId="103" fillId="0" borderId="68" xfId="0" applyFont="1" applyBorder="1"/>
    <xf numFmtId="0" fontId="6" fillId="0" borderId="68" xfId="0" applyFont="1" applyBorder="1" applyAlignment="1">
      <alignment horizontal="center"/>
    </xf>
    <xf numFmtId="0" fontId="3" fillId="0" borderId="68" xfId="0" applyFont="1" applyBorder="1" applyAlignment="1">
      <alignment horizontal="center"/>
    </xf>
    <xf numFmtId="0" fontId="3" fillId="0" borderId="68" xfId="0" applyFont="1" applyBorder="1"/>
    <xf numFmtId="0" fontId="6" fillId="0" borderId="68" xfId="0" applyFont="1" applyBorder="1"/>
    <xf numFmtId="0" fontId="3" fillId="0" borderId="287" xfId="0" applyFont="1" applyBorder="1"/>
    <xf numFmtId="0" fontId="104" fillId="0" borderId="38" xfId="0" applyFont="1" applyBorder="1" applyAlignment="1">
      <alignment horizontal="left"/>
    </xf>
    <xf numFmtId="0" fontId="103" fillId="0" borderId="4" xfId="0" applyFont="1" applyBorder="1" applyAlignment="1">
      <alignment horizontal="left"/>
    </xf>
    <xf numFmtId="3" fontId="6" fillId="36" borderId="4" xfId="0" applyNumberFormat="1" applyFont="1" applyFill="1" applyBorder="1" applyAlignment="1">
      <alignment horizontal="center"/>
    </xf>
    <xf numFmtId="4" fontId="3" fillId="0" borderId="4" xfId="0" applyNumberFormat="1" applyFont="1" applyBorder="1" applyAlignment="1">
      <alignment horizontal="center"/>
    </xf>
    <xf numFmtId="4" fontId="6" fillId="0" borderId="4" xfId="0" applyNumberFormat="1" applyFont="1" applyBorder="1"/>
    <xf numFmtId="176" fontId="6" fillId="0" borderId="4" xfId="0" applyNumberFormat="1" applyFont="1" applyBorder="1"/>
    <xf numFmtId="176" fontId="6" fillId="0" borderId="72" xfId="0" applyNumberFormat="1" applyFont="1" applyBorder="1"/>
    <xf numFmtId="0" fontId="103" fillId="0" borderId="288" xfId="0" applyFont="1" applyBorder="1" applyAlignment="1">
      <alignment horizontal="left"/>
    </xf>
    <xf numFmtId="0" fontId="103" fillId="0" borderId="76" xfId="0" applyFont="1" applyBorder="1" applyAlignment="1">
      <alignment horizontal="left"/>
    </xf>
    <xf numFmtId="3" fontId="6" fillId="0" borderId="76" xfId="0" applyNumberFormat="1" applyFont="1" applyBorder="1" applyAlignment="1">
      <alignment horizontal="center"/>
    </xf>
    <xf numFmtId="0" fontId="3" fillId="0" borderId="76" xfId="0" applyFont="1" applyBorder="1" applyAlignment="1">
      <alignment horizontal="center"/>
    </xf>
    <xf numFmtId="0" fontId="6" fillId="0" borderId="76" xfId="0" applyFont="1" applyBorder="1" applyAlignment="1">
      <alignment horizontal="center"/>
    </xf>
    <xf numFmtId="176" fontId="6" fillId="0" borderId="76" xfId="0" applyNumberFormat="1" applyFont="1" applyBorder="1"/>
    <xf numFmtId="184" fontId="6" fillId="0" borderId="76" xfId="0" applyNumberFormat="1" applyFont="1" applyBorder="1"/>
    <xf numFmtId="168" fontId="6" fillId="0" borderId="76" xfId="0" applyNumberFormat="1" applyFont="1" applyBorder="1"/>
    <xf numFmtId="168" fontId="6" fillId="0" borderId="289" xfId="0" applyNumberFormat="1" applyFont="1" applyBorder="1"/>
    <xf numFmtId="0" fontId="6" fillId="0" borderId="286" xfId="0" applyFont="1" applyBorder="1" applyAlignment="1">
      <alignment horizontal="left"/>
    </xf>
    <xf numFmtId="0" fontId="6" fillId="0" borderId="68" xfId="0" applyFont="1" applyBorder="1" applyAlignment="1">
      <alignment horizontal="left"/>
    </xf>
    <xf numFmtId="3" fontId="103" fillId="0" borderId="68" xfId="0" applyNumberFormat="1" applyFont="1" applyBorder="1" applyAlignment="1">
      <alignment horizontal="center" wrapText="1"/>
    </xf>
    <xf numFmtId="0" fontId="103" fillId="0" borderId="68" xfId="0" applyFont="1" applyBorder="1" applyAlignment="1">
      <alignment horizontal="center" wrapText="1"/>
    </xf>
    <xf numFmtId="168" fontId="6" fillId="0" borderId="287" xfId="0" applyNumberFormat="1" applyFont="1" applyBorder="1"/>
    <xf numFmtId="0" fontId="6" fillId="0" borderId="4" xfId="0" applyFont="1" applyBorder="1" applyAlignment="1">
      <alignment horizontal="left"/>
    </xf>
    <xf numFmtId="175" fontId="6" fillId="0" borderId="4" xfId="0" applyNumberFormat="1" applyFont="1" applyBorder="1" applyAlignment="1">
      <alignment horizontal="center"/>
    </xf>
    <xf numFmtId="168" fontId="6" fillId="0" borderId="72" xfId="0" applyNumberFormat="1" applyFont="1" applyBorder="1"/>
    <xf numFmtId="0" fontId="6" fillId="0" borderId="76" xfId="0" applyFont="1" applyBorder="1" applyAlignment="1">
      <alignment horizontal="left"/>
    </xf>
    <xf numFmtId="37" fontId="6" fillId="36" borderId="76" xfId="0" applyNumberFormat="1" applyFont="1" applyFill="1" applyBorder="1" applyAlignment="1">
      <alignment horizontal="center"/>
    </xf>
    <xf numFmtId="175" fontId="6" fillId="0" borderId="76" xfId="0" applyNumberFormat="1" applyFont="1" applyBorder="1" applyAlignment="1">
      <alignment horizontal="center"/>
    </xf>
    <xf numFmtId="176" fontId="6" fillId="0" borderId="76" xfId="0" applyNumberFormat="1" applyFont="1" applyBorder="1" applyAlignment="1">
      <alignment horizontal="right"/>
    </xf>
    <xf numFmtId="176" fontId="3" fillId="0" borderId="76" xfId="0" applyNumberFormat="1" applyFont="1" applyBorder="1" applyAlignment="1">
      <alignment horizontal="center"/>
    </xf>
    <xf numFmtId="0" fontId="3" fillId="0" borderId="286" xfId="0" applyFont="1" applyBorder="1"/>
    <xf numFmtId="175" fontId="3" fillId="0" borderId="68" xfId="0" applyNumberFormat="1" applyFont="1" applyBorder="1"/>
    <xf numFmtId="0" fontId="103" fillId="25" borderId="38" xfId="0" applyFont="1" applyFill="1" applyBorder="1" applyAlignment="1">
      <alignment horizontal="left"/>
    </xf>
    <xf numFmtId="0" fontId="103" fillId="25" borderId="4" xfId="0" applyFont="1" applyFill="1" applyBorder="1"/>
    <xf numFmtId="3" fontId="103" fillId="25" borderId="4" xfId="0" applyNumberFormat="1" applyFont="1" applyFill="1" applyBorder="1" applyAlignment="1">
      <alignment horizontal="center" wrapText="1"/>
    </xf>
    <xf numFmtId="0" fontId="3" fillId="25" borderId="4" xfId="0" applyFont="1" applyFill="1" applyBorder="1" applyAlignment="1">
      <alignment horizontal="center"/>
    </xf>
    <xf numFmtId="175" fontId="103" fillId="25" borderId="4" xfId="0" applyNumberFormat="1" applyFont="1" applyFill="1" applyBorder="1" applyAlignment="1">
      <alignment horizontal="center" wrapText="1"/>
    </xf>
    <xf numFmtId="0" fontId="103" fillId="25" borderId="4" xfId="0" applyFont="1" applyFill="1" applyBorder="1" applyAlignment="1">
      <alignment horizontal="center" wrapText="1"/>
    </xf>
    <xf numFmtId="0" fontId="3" fillId="25" borderId="4" xfId="0" applyFont="1" applyFill="1" applyBorder="1"/>
    <xf numFmtId="0" fontId="103" fillId="25" borderId="72" xfId="0" applyFont="1" applyFill="1" applyBorder="1" applyAlignment="1">
      <alignment horizontal="center" wrapText="1"/>
    </xf>
    <xf numFmtId="176" fontId="3" fillId="0" borderId="4" xfId="0" applyNumberFormat="1" applyFont="1" applyBorder="1" applyAlignment="1">
      <alignment horizontal="center"/>
    </xf>
    <xf numFmtId="0" fontId="103" fillId="0" borderId="38" xfId="0" applyFont="1" applyBorder="1" applyAlignment="1">
      <alignment horizontal="left"/>
    </xf>
    <xf numFmtId="176" fontId="6" fillId="0" borderId="4" xfId="0" applyNumberFormat="1" applyFont="1" applyBorder="1" applyAlignment="1">
      <alignment horizontal="right"/>
    </xf>
    <xf numFmtId="176" fontId="6" fillId="0" borderId="4" xfId="0" quotePrefix="1" applyNumberFormat="1" applyFont="1" applyBorder="1" applyAlignment="1">
      <alignment horizontal="right"/>
    </xf>
    <xf numFmtId="0" fontId="6" fillId="0" borderId="4" xfId="0" applyFont="1" applyBorder="1" applyAlignment="1">
      <alignment horizontal="center"/>
    </xf>
    <xf numFmtId="176" fontId="6" fillId="25" borderId="4" xfId="0" applyNumberFormat="1" applyFont="1" applyFill="1" applyBorder="1"/>
    <xf numFmtId="176" fontId="3" fillId="25" borderId="4" xfId="0" applyNumberFormat="1" applyFont="1" applyFill="1" applyBorder="1" applyAlignment="1">
      <alignment horizontal="center"/>
    </xf>
    <xf numFmtId="0" fontId="3" fillId="25" borderId="72" xfId="0" applyFont="1" applyFill="1" applyBorder="1"/>
    <xf numFmtId="0" fontId="3" fillId="0" borderId="288" xfId="0" applyFont="1" applyBorder="1"/>
    <xf numFmtId="0" fontId="3" fillId="0" borderId="76" xfId="0" applyFont="1" applyBorder="1"/>
    <xf numFmtId="0" fontId="3" fillId="0" borderId="289" xfId="0" applyFont="1" applyBorder="1"/>
    <xf numFmtId="0" fontId="103" fillId="5" borderId="290" xfId="0" applyFont="1" applyFill="1" applyBorder="1"/>
    <xf numFmtId="0" fontId="103" fillId="5" borderId="241" xfId="0" applyFont="1" applyFill="1" applyBorder="1" applyAlignment="1">
      <alignment vertical="center"/>
    </xf>
    <xf numFmtId="176" fontId="103" fillId="5" borderId="241" xfId="0" applyNumberFormat="1" applyFont="1" applyFill="1" applyBorder="1" applyAlignment="1">
      <alignment horizontal="center"/>
    </xf>
    <xf numFmtId="0" fontId="3" fillId="5" borderId="241" xfId="0" applyFont="1" applyFill="1" applyBorder="1"/>
    <xf numFmtId="43" fontId="3" fillId="5" borderId="241" xfId="0" applyNumberFormat="1" applyFont="1" applyFill="1" applyBorder="1"/>
    <xf numFmtId="0" fontId="3" fillId="5" borderId="291" xfId="0" applyFont="1" applyFill="1" applyBorder="1"/>
    <xf numFmtId="0" fontId="104" fillId="0" borderId="4" xfId="0" applyFont="1" applyBorder="1" applyAlignment="1">
      <alignment horizontal="left"/>
    </xf>
    <xf numFmtId="176" fontId="6" fillId="0" borderId="4" xfId="0" applyNumberFormat="1" applyFont="1" applyBorder="1" applyAlignment="1">
      <alignment horizontal="center"/>
    </xf>
    <xf numFmtId="0" fontId="3" fillId="0" borderId="72" xfId="0" applyFont="1" applyBorder="1"/>
    <xf numFmtId="3" fontId="3" fillId="0" borderId="4" xfId="0" applyNumberFormat="1" applyFont="1" applyBorder="1"/>
    <xf numFmtId="0" fontId="3" fillId="0" borderId="78" xfId="0" applyFont="1" applyBorder="1"/>
    <xf numFmtId="0" fontId="6" fillId="0" borderId="89" xfId="0" applyFont="1" applyBorder="1"/>
    <xf numFmtId="0" fontId="3" fillId="0" borderId="89" xfId="0" applyFont="1" applyBorder="1"/>
    <xf numFmtId="0" fontId="3" fillId="0" borderId="90" xfId="0" applyFont="1" applyBorder="1"/>
    <xf numFmtId="0" fontId="6" fillId="0" borderId="0" xfId="0" applyFont="1"/>
    <xf numFmtId="0" fontId="105" fillId="44" borderId="42" xfId="0" applyFont="1" applyFill="1" applyBorder="1"/>
    <xf numFmtId="0" fontId="3" fillId="44" borderId="42" xfId="0" applyFont="1" applyFill="1" applyBorder="1"/>
    <xf numFmtId="0" fontId="3" fillId="0" borderId="292" xfId="0" applyFont="1" applyBorder="1" applyAlignment="1">
      <alignment horizontal="left" vertical="top" wrapText="1"/>
    </xf>
    <xf numFmtId="0" fontId="3" fillId="0" borderId="293" xfId="0" applyFont="1" applyBorder="1"/>
    <xf numFmtId="0" fontId="103" fillId="0" borderId="293" xfId="0" applyFont="1" applyBorder="1" applyAlignment="1">
      <alignment horizontal="center" vertical="center" wrapText="1"/>
    </xf>
    <xf numFmtId="0" fontId="13" fillId="0" borderId="293" xfId="0" applyFont="1" applyBorder="1"/>
    <xf numFmtId="0" fontId="13" fillId="0" borderId="293" xfId="0" applyFont="1" applyBorder="1" applyAlignment="1">
      <alignment horizontal="center" wrapText="1"/>
    </xf>
    <xf numFmtId="0" fontId="3" fillId="0" borderId="293" xfId="0" applyFont="1" applyBorder="1" applyAlignment="1">
      <alignment vertical="center"/>
    </xf>
    <xf numFmtId="0" fontId="3" fillId="0" borderId="294" xfId="0" applyFont="1" applyBorder="1"/>
    <xf numFmtId="0" fontId="3" fillId="0" borderId="215" xfId="0" applyFont="1" applyBorder="1"/>
    <xf numFmtId="0" fontId="13" fillId="0" borderId="4" xfId="0" applyFont="1" applyBorder="1" applyAlignment="1">
      <alignment horizontal="center" vertical="center" wrapText="1"/>
    </xf>
    <xf numFmtId="0" fontId="6" fillId="0" borderId="4" xfId="0" applyFont="1" applyBorder="1"/>
    <xf numFmtId="10" fontId="3" fillId="0" borderId="4" xfId="0" applyNumberFormat="1" applyFont="1" applyBorder="1"/>
    <xf numFmtId="4" fontId="3" fillId="0" borderId="4" xfId="0" applyNumberFormat="1" applyFont="1" applyBorder="1"/>
    <xf numFmtId="0" fontId="3" fillId="0" borderId="295" xfId="0" applyFont="1" applyBorder="1"/>
    <xf numFmtId="0" fontId="3" fillId="0" borderId="255" xfId="0" applyFont="1" applyBorder="1"/>
    <xf numFmtId="0" fontId="13" fillId="0" borderId="83" xfId="0" applyFont="1" applyBorder="1" applyAlignment="1">
      <alignment horizontal="center" vertical="center" wrapText="1"/>
    </xf>
    <xf numFmtId="0" fontId="6" fillId="0" borderId="83" xfId="0" applyFont="1" applyBorder="1"/>
    <xf numFmtId="0" fontId="3" fillId="0" borderId="83" xfId="0" applyFont="1" applyBorder="1" applyAlignment="1">
      <alignment horizontal="center"/>
    </xf>
    <xf numFmtId="10" fontId="3" fillId="0" borderId="83" xfId="0" applyNumberFormat="1" applyFont="1" applyBorder="1"/>
    <xf numFmtId="4" fontId="3" fillId="0" borderId="83" xfId="0" applyNumberFormat="1" applyFont="1" applyBorder="1"/>
    <xf numFmtId="0" fontId="3" fillId="0" borderId="83" xfId="0" applyFont="1" applyBorder="1"/>
    <xf numFmtId="0" fontId="3" fillId="0" borderId="256" xfId="0" applyFont="1" applyBorder="1"/>
    <xf numFmtId="0" fontId="3" fillId="0" borderId="0" xfId="0" applyFont="1" applyAlignment="1">
      <alignment horizontal="left" vertical="top" wrapText="1"/>
    </xf>
    <xf numFmtId="0" fontId="105" fillId="0" borderId="0" xfId="0" applyFont="1"/>
    <xf numFmtId="0" fontId="13" fillId="25" borderId="65" xfId="0" applyFont="1" applyFill="1" applyBorder="1"/>
    <xf numFmtId="0" fontId="6" fillId="25" borderId="296" xfId="0" applyFont="1" applyFill="1" applyBorder="1"/>
    <xf numFmtId="0" fontId="13" fillId="0" borderId="26" xfId="0" applyFont="1" applyBorder="1"/>
    <xf numFmtId="0" fontId="13" fillId="0" borderId="16" xfId="0" applyFont="1" applyBorder="1"/>
    <xf numFmtId="169" fontId="3" fillId="0" borderId="16" xfId="0" applyNumberFormat="1" applyFont="1" applyBorder="1"/>
    <xf numFmtId="192" fontId="3" fillId="0" borderId="0" xfId="0" applyNumberFormat="1" applyFont="1"/>
    <xf numFmtId="0" fontId="106" fillId="0" borderId="16" xfId="0" applyFont="1" applyBorder="1"/>
    <xf numFmtId="0" fontId="3" fillId="0" borderId="23" xfId="0" applyFont="1" applyBorder="1" applyAlignment="1">
      <alignment wrapText="1"/>
    </xf>
    <xf numFmtId="0" fontId="6" fillId="0" borderId="23" xfId="0" applyFont="1" applyBorder="1"/>
    <xf numFmtId="0" fontId="13" fillId="0" borderId="8" xfId="0" applyFont="1" applyBorder="1"/>
    <xf numFmtId="0" fontId="13" fillId="0" borderId="9" xfId="0" applyFont="1" applyBorder="1"/>
    <xf numFmtId="0" fontId="3" fillId="0" borderId="21" xfId="0" applyFont="1" applyBorder="1"/>
    <xf numFmtId="176" fontId="3" fillId="0" borderId="20" xfId="0" applyNumberFormat="1" applyFont="1" applyBorder="1"/>
    <xf numFmtId="0" fontId="106" fillId="0" borderId="21" xfId="0" applyFont="1" applyBorder="1" applyAlignment="1">
      <alignment horizontal="left"/>
    </xf>
    <xf numFmtId="0" fontId="13" fillId="0" borderId="61" xfId="0" applyFont="1" applyBorder="1"/>
    <xf numFmtId="176" fontId="3" fillId="0" borderId="41" xfId="0" applyNumberFormat="1" applyFont="1" applyBorder="1"/>
    <xf numFmtId="0" fontId="13" fillId="25" borderId="297" xfId="0" applyFont="1" applyFill="1" applyBorder="1"/>
    <xf numFmtId="0" fontId="106" fillId="0" borderId="61" xfId="0" applyFont="1" applyBorder="1" applyAlignment="1">
      <alignment horizontal="left"/>
    </xf>
    <xf numFmtId="0" fontId="67" fillId="0" borderId="68" xfId="0" applyFont="1" applyBorder="1" applyAlignment="1">
      <alignment horizontal="center" vertical="top" wrapText="1"/>
    </xf>
    <xf numFmtId="0" fontId="67" fillId="0" borderId="69" xfId="0" applyFont="1" applyBorder="1" applyAlignment="1">
      <alignment horizontal="center" vertical="top" wrapText="1"/>
    </xf>
    <xf numFmtId="0" fontId="107" fillId="0" borderId="73" xfId="0" applyFont="1" applyBorder="1" applyAlignment="1">
      <alignment vertical="top" wrapText="1"/>
    </xf>
    <xf numFmtId="0" fontId="67" fillId="0" borderId="34" xfId="0" applyFont="1" applyBorder="1" applyAlignment="1">
      <alignment horizontal="center" vertical="top" wrapText="1"/>
    </xf>
    <xf numFmtId="0" fontId="67" fillId="0" borderId="71" xfId="0" applyFont="1" applyBorder="1" applyAlignment="1">
      <alignment horizontal="center" vertical="top" wrapText="1"/>
    </xf>
    <xf numFmtId="0" fontId="108" fillId="0" borderId="0" xfId="0" quotePrefix="1" applyFont="1"/>
    <xf numFmtId="0" fontId="30" fillId="10" borderId="298" xfId="0" applyFont="1" applyFill="1" applyBorder="1"/>
    <xf numFmtId="0" fontId="109" fillId="10" borderId="293" xfId="0" applyFont="1" applyFill="1" applyBorder="1" applyAlignment="1">
      <alignment wrapText="1"/>
    </xf>
    <xf numFmtId="0" fontId="109" fillId="10" borderId="299" xfId="0" applyFont="1" applyFill="1" applyBorder="1" applyAlignment="1">
      <alignment wrapText="1"/>
    </xf>
    <xf numFmtId="0" fontId="108" fillId="0" borderId="0" xfId="0" applyFont="1"/>
    <xf numFmtId="0" fontId="30" fillId="0" borderId="85" xfId="0" applyFont="1" applyBorder="1"/>
    <xf numFmtId="0" fontId="109" fillId="0" borderId="28" xfId="0" applyFont="1" applyBorder="1" applyAlignment="1">
      <alignment wrapText="1"/>
    </xf>
    <xf numFmtId="4" fontId="109" fillId="0" borderId="28" xfId="0" applyNumberFormat="1" applyFont="1" applyBorder="1" applyAlignment="1">
      <alignment horizontal="center" wrapText="1"/>
    </xf>
    <xf numFmtId="4" fontId="109" fillId="0" borderId="86" xfId="0" applyNumberFormat="1" applyFont="1" applyBorder="1" applyAlignment="1">
      <alignment horizontal="center" wrapText="1"/>
    </xf>
    <xf numFmtId="0" fontId="28" fillId="0" borderId="73" xfId="0" applyFont="1" applyBorder="1" applyAlignment="1">
      <alignment wrapText="1"/>
    </xf>
    <xf numFmtId="199" fontId="110" fillId="0" borderId="4" xfId="0" applyNumberFormat="1" applyFont="1" applyBorder="1" applyAlignment="1">
      <alignment wrapText="1"/>
    </xf>
    <xf numFmtId="0" fontId="71" fillId="0" borderId="4" xfId="0" applyFont="1" applyBorder="1" applyAlignment="1">
      <alignment horizontal="center" vertical="top" wrapText="1"/>
    </xf>
    <xf numFmtId="200" fontId="109" fillId="0" borderId="4" xfId="0" applyNumberFormat="1" applyFont="1" applyBorder="1" applyAlignment="1">
      <alignment wrapText="1"/>
    </xf>
    <xf numFmtId="4" fontId="109" fillId="0" borderId="4" xfId="0" applyNumberFormat="1" applyFont="1" applyBorder="1" applyAlignment="1">
      <alignment horizontal="center" wrapText="1"/>
    </xf>
    <xf numFmtId="4" fontId="110" fillId="0" borderId="4" xfId="0" applyNumberFormat="1" applyFont="1" applyBorder="1" applyAlignment="1">
      <alignment horizontal="center" wrapText="1"/>
    </xf>
    <xf numFmtId="4" fontId="110" fillId="0" borderId="74" xfId="0" applyNumberFormat="1" applyFont="1" applyBorder="1" applyAlignment="1">
      <alignment horizontal="center" wrapText="1"/>
    </xf>
    <xf numFmtId="199" fontId="109" fillId="0" borderId="4" xfId="0" applyNumberFormat="1" applyFont="1" applyBorder="1" applyAlignment="1">
      <alignment wrapText="1"/>
    </xf>
    <xf numFmtId="201" fontId="109" fillId="0" borderId="4" xfId="0" applyNumberFormat="1" applyFont="1" applyBorder="1" applyAlignment="1">
      <alignment wrapText="1"/>
    </xf>
    <xf numFmtId="4" fontId="109" fillId="0" borderId="74" xfId="0" applyNumberFormat="1" applyFont="1" applyBorder="1" applyAlignment="1">
      <alignment horizontal="center" wrapText="1"/>
    </xf>
    <xf numFmtId="0" fontId="28" fillId="0" borderId="73" xfId="0" applyFont="1" applyBorder="1" applyAlignment="1">
      <alignment horizontal="left" wrapText="1"/>
    </xf>
    <xf numFmtId="4" fontId="110" fillId="0" borderId="4" xfId="0" applyNumberFormat="1" applyFont="1" applyBorder="1" applyAlignment="1">
      <alignment wrapText="1"/>
    </xf>
    <xf numFmtId="190" fontId="111" fillId="0" borderId="4" xfId="0" applyNumberFormat="1" applyFont="1" applyBorder="1" applyAlignment="1">
      <alignment wrapText="1"/>
    </xf>
    <xf numFmtId="4" fontId="112" fillId="45" borderId="4" xfId="0" applyNumberFormat="1" applyFont="1" applyFill="1" applyBorder="1" applyAlignment="1">
      <alignment horizontal="center" wrapText="1"/>
    </xf>
    <xf numFmtId="4" fontId="110" fillId="45" borderId="4" xfId="0" applyNumberFormat="1" applyFont="1" applyFill="1" applyBorder="1" applyAlignment="1">
      <alignment horizontal="center" wrapText="1"/>
    </xf>
    <xf numFmtId="4" fontId="110" fillId="45" borderId="74" xfId="0" applyNumberFormat="1" applyFont="1" applyFill="1" applyBorder="1" applyAlignment="1">
      <alignment horizontal="center" wrapText="1"/>
    </xf>
    <xf numFmtId="10" fontId="28" fillId="0" borderId="0" xfId="0" applyNumberFormat="1" applyFont="1"/>
    <xf numFmtId="199" fontId="113" fillId="0" borderId="4" xfId="0" applyNumberFormat="1" applyFont="1" applyBorder="1" applyAlignment="1">
      <alignment wrapText="1"/>
    </xf>
    <xf numFmtId="4" fontId="114" fillId="0" borderId="4" xfId="0" applyNumberFormat="1" applyFont="1" applyBorder="1" applyAlignment="1">
      <alignment horizontal="center"/>
    </xf>
    <xf numFmtId="0" fontId="28" fillId="0" borderId="70" xfId="0" applyFont="1" applyBorder="1" applyAlignment="1">
      <alignment wrapText="1"/>
    </xf>
    <xf numFmtId="199" fontId="109" fillId="0" borderId="34" xfId="0" applyNumberFormat="1" applyFont="1" applyBorder="1" applyAlignment="1">
      <alignment wrapText="1"/>
    </xf>
    <xf numFmtId="200" fontId="109" fillId="0" borderId="34" xfId="0" applyNumberFormat="1" applyFont="1" applyBorder="1" applyAlignment="1">
      <alignment wrapText="1"/>
    </xf>
    <xf numFmtId="4" fontId="114" fillId="0" borderId="34" xfId="0" applyNumberFormat="1" applyFont="1" applyBorder="1" applyAlignment="1">
      <alignment horizontal="center"/>
    </xf>
    <xf numFmtId="4" fontId="109" fillId="0" borderId="34" xfId="0" applyNumberFormat="1" applyFont="1" applyBorder="1" applyAlignment="1">
      <alignment horizontal="center" wrapText="1"/>
    </xf>
    <xf numFmtId="4" fontId="109" fillId="0" borderId="71" xfId="0" applyNumberFormat="1" applyFont="1" applyBorder="1" applyAlignment="1">
      <alignment horizontal="center" wrapText="1"/>
    </xf>
    <xf numFmtId="0" fontId="67" fillId="43" borderId="300" xfId="0" applyFont="1" applyFill="1" applyBorder="1" applyAlignment="1">
      <alignment horizontal="left" wrapText="1"/>
    </xf>
    <xf numFmtId="199" fontId="109" fillId="43" borderId="301" xfId="0" applyNumberFormat="1" applyFont="1" applyFill="1" applyBorder="1" applyAlignment="1">
      <alignment wrapText="1"/>
    </xf>
    <xf numFmtId="200" fontId="109" fillId="43" borderId="301" xfId="0" applyNumberFormat="1" applyFont="1" applyFill="1" applyBorder="1" applyAlignment="1">
      <alignment wrapText="1"/>
    </xf>
    <xf numFmtId="4" fontId="115" fillId="43" borderId="301" xfId="0" applyNumberFormat="1" applyFont="1" applyFill="1" applyBorder="1" applyAlignment="1">
      <alignment horizontal="center"/>
    </xf>
    <xf numFmtId="4" fontId="112" fillId="43" borderId="301" xfId="0" applyNumberFormat="1" applyFont="1" applyFill="1" applyBorder="1" applyAlignment="1">
      <alignment horizontal="center" wrapText="1"/>
    </xf>
    <xf numFmtId="4" fontId="112" fillId="43" borderId="302" xfId="0" applyNumberFormat="1" applyFont="1" applyFill="1" applyBorder="1" applyAlignment="1">
      <alignment horizontal="center" wrapText="1"/>
    </xf>
    <xf numFmtId="0" fontId="28" fillId="0" borderId="303" xfId="0" applyFont="1" applyBorder="1" applyAlignment="1">
      <alignment wrapText="1"/>
    </xf>
    <xf numFmtId="199" fontId="109" fillId="0" borderId="32" xfId="0" applyNumberFormat="1" applyFont="1" applyBorder="1" applyAlignment="1">
      <alignment wrapText="1"/>
    </xf>
    <xf numFmtId="200" fontId="109" fillId="0" borderId="32" xfId="0" applyNumberFormat="1" applyFont="1" applyBorder="1" applyAlignment="1">
      <alignment wrapText="1"/>
    </xf>
    <xf numFmtId="4" fontId="114" fillId="0" borderId="32" xfId="0" applyNumberFormat="1" applyFont="1" applyBorder="1" applyAlignment="1">
      <alignment horizontal="center"/>
    </xf>
    <xf numFmtId="4" fontId="109" fillId="0" borderId="32" xfId="0" applyNumberFormat="1" applyFont="1" applyBorder="1" applyAlignment="1">
      <alignment horizontal="center" wrapText="1"/>
    </xf>
    <xf numFmtId="4" fontId="109" fillId="0" borderId="120" xfId="0" applyNumberFormat="1" applyFont="1" applyBorder="1" applyAlignment="1">
      <alignment horizontal="center" wrapText="1"/>
    </xf>
    <xf numFmtId="0" fontId="67" fillId="23" borderId="304" xfId="0" applyFont="1" applyFill="1" applyBorder="1" applyAlignment="1">
      <alignment horizontal="left" wrapText="1"/>
    </xf>
    <xf numFmtId="199" fontId="109" fillId="23" borderId="35" xfId="0" applyNumberFormat="1" applyFont="1" applyFill="1" applyBorder="1" applyAlignment="1">
      <alignment wrapText="1"/>
    </xf>
    <xf numFmtId="200" fontId="109" fillId="23" borderId="35" xfId="0" applyNumberFormat="1" applyFont="1" applyFill="1" applyBorder="1" applyAlignment="1">
      <alignment wrapText="1"/>
    </xf>
    <xf numFmtId="4" fontId="112" fillId="23" borderId="35" xfId="0" applyNumberFormat="1" applyFont="1" applyFill="1" applyBorder="1" applyAlignment="1">
      <alignment horizontal="center" wrapText="1"/>
    </xf>
    <xf numFmtId="4" fontId="116" fillId="23" borderId="35" xfId="0" applyNumberFormat="1" applyFont="1" applyFill="1" applyBorder="1" applyAlignment="1">
      <alignment horizontal="center" wrapText="1"/>
    </xf>
    <xf numFmtId="4" fontId="116" fillId="23" borderId="173" xfId="0" applyNumberFormat="1" applyFont="1" applyFill="1" applyBorder="1" applyAlignment="1">
      <alignment horizontal="center" wrapText="1"/>
    </xf>
    <xf numFmtId="0" fontId="67" fillId="29" borderId="304" xfId="0" applyFont="1" applyFill="1" applyBorder="1" applyAlignment="1">
      <alignment horizontal="left"/>
    </xf>
    <xf numFmtId="199" fontId="111" fillId="29" borderId="35" xfId="0" applyNumberFormat="1" applyFont="1" applyFill="1" applyBorder="1" applyAlignment="1">
      <alignment wrapText="1"/>
    </xf>
    <xf numFmtId="200" fontId="111" fillId="29" borderId="35" xfId="0" applyNumberFormat="1" applyFont="1" applyFill="1" applyBorder="1" applyAlignment="1">
      <alignment wrapText="1"/>
    </xf>
    <xf numFmtId="4" fontId="111" fillId="29" borderId="35" xfId="0" applyNumberFormat="1" applyFont="1" applyFill="1" applyBorder="1" applyAlignment="1">
      <alignment horizontal="center" wrapText="1"/>
    </xf>
    <xf numFmtId="4" fontId="109" fillId="29" borderId="35" xfId="0" applyNumberFormat="1" applyFont="1" applyFill="1" applyBorder="1" applyAlignment="1">
      <alignment horizontal="center" wrapText="1"/>
    </xf>
    <xf numFmtId="4" fontId="109" fillId="29" borderId="173" xfId="0" applyNumberFormat="1" applyFont="1" applyFill="1" applyBorder="1" applyAlignment="1">
      <alignment horizontal="center" wrapText="1"/>
    </xf>
    <xf numFmtId="0" fontId="67" fillId="0" borderId="85" xfId="0" applyFont="1" applyBorder="1" applyAlignment="1">
      <alignment horizontal="center" wrapText="1"/>
    </xf>
    <xf numFmtId="199" fontId="111" fillId="0" borderId="28" xfId="0" applyNumberFormat="1" applyFont="1" applyBorder="1" applyAlignment="1">
      <alignment wrapText="1"/>
    </xf>
    <xf numFmtId="200" fontId="111" fillId="0" borderId="28" xfId="0" applyNumberFormat="1" applyFont="1" applyBorder="1" applyAlignment="1">
      <alignment wrapText="1"/>
    </xf>
    <xf numFmtId="4" fontId="111" fillId="0" borderId="28" xfId="0" applyNumberFormat="1" applyFont="1" applyBorder="1" applyAlignment="1">
      <alignment horizontal="center" wrapText="1"/>
    </xf>
    <xf numFmtId="0" fontId="30" fillId="10" borderId="73" xfId="0" applyFont="1" applyFill="1" applyBorder="1" applyAlignment="1">
      <alignment horizontal="left" wrapText="1"/>
    </xf>
    <xf numFmtId="199" fontId="111" fillId="10" borderId="4" xfId="0" applyNumberFormat="1" applyFont="1" applyFill="1" applyBorder="1" applyAlignment="1">
      <alignment wrapText="1"/>
    </xf>
    <xf numFmtId="200" fontId="111" fillId="10" borderId="4" xfId="0" applyNumberFormat="1" applyFont="1" applyFill="1" applyBorder="1" applyAlignment="1">
      <alignment wrapText="1"/>
    </xf>
    <xf numFmtId="4" fontId="111" fillId="10" borderId="4" xfId="0" applyNumberFormat="1" applyFont="1" applyFill="1" applyBorder="1" applyAlignment="1">
      <alignment horizontal="center" wrapText="1"/>
    </xf>
    <xf numFmtId="4" fontId="109" fillId="10" borderId="4" xfId="0" applyNumberFormat="1" applyFont="1" applyFill="1" applyBorder="1" applyAlignment="1">
      <alignment horizontal="center" wrapText="1"/>
    </xf>
    <xf numFmtId="4" fontId="109" fillId="10" borderId="74" xfId="0" applyNumberFormat="1" applyFont="1" applyFill="1" applyBorder="1" applyAlignment="1">
      <alignment horizontal="center" wrapText="1"/>
    </xf>
    <xf numFmtId="0" fontId="67" fillId="0" borderId="303" xfId="0" applyFont="1" applyBorder="1" applyAlignment="1">
      <alignment horizontal="left" wrapText="1"/>
    </xf>
    <xf numFmtId="199" fontId="111" fillId="0" borderId="32" xfId="0" applyNumberFormat="1" applyFont="1" applyBorder="1" applyAlignment="1">
      <alignment wrapText="1"/>
    </xf>
    <xf numFmtId="200" fontId="111" fillId="0" borderId="32" xfId="0" applyNumberFormat="1" applyFont="1" applyBorder="1" applyAlignment="1">
      <alignment wrapText="1"/>
    </xf>
    <xf numFmtId="4" fontId="111" fillId="0" borderId="32" xfId="0" applyNumberFormat="1" applyFont="1" applyBorder="1" applyAlignment="1">
      <alignment horizontal="center" wrapText="1"/>
    </xf>
    <xf numFmtId="0" fontId="67" fillId="0" borderId="304" xfId="0" applyFont="1" applyBorder="1" applyAlignment="1">
      <alignment wrapText="1"/>
    </xf>
    <xf numFmtId="199" fontId="110" fillId="0" borderId="35" xfId="0" applyNumberFormat="1" applyFont="1" applyBorder="1" applyAlignment="1">
      <alignment wrapText="1"/>
    </xf>
    <xf numFmtId="199" fontId="109" fillId="0" borderId="35" xfId="0" applyNumberFormat="1" applyFont="1" applyBorder="1" applyAlignment="1">
      <alignment wrapText="1"/>
    </xf>
    <xf numFmtId="201" fontId="109" fillId="0" borderId="35" xfId="0" applyNumberFormat="1" applyFont="1" applyBorder="1" applyAlignment="1">
      <alignment wrapText="1"/>
    </xf>
    <xf numFmtId="4" fontId="112" fillId="0" borderId="35" xfId="0" applyNumberFormat="1" applyFont="1" applyBorder="1" applyAlignment="1">
      <alignment horizontal="center" wrapText="1"/>
    </xf>
    <xf numFmtId="4" fontId="112" fillId="0" borderId="35" xfId="0" applyNumberFormat="1" applyFont="1" applyBorder="1" applyAlignment="1">
      <alignment horizontal="center"/>
    </xf>
    <xf numFmtId="170" fontId="112" fillId="0" borderId="173" xfId="0" applyNumberFormat="1" applyFont="1" applyBorder="1" applyAlignment="1">
      <alignment horizontal="center" wrapText="1"/>
    </xf>
    <xf numFmtId="0" fontId="67" fillId="0" borderId="303" xfId="0" applyFont="1" applyBorder="1" applyAlignment="1">
      <alignment wrapText="1"/>
    </xf>
    <xf numFmtId="0" fontId="67" fillId="42" borderId="304" xfId="0" applyFont="1" applyFill="1" applyBorder="1" applyAlignment="1">
      <alignment horizontal="left" wrapText="1"/>
    </xf>
    <xf numFmtId="199" fontId="109" fillId="42" borderId="35" xfId="0" applyNumberFormat="1" applyFont="1" applyFill="1" applyBorder="1" applyAlignment="1">
      <alignment wrapText="1"/>
    </xf>
    <xf numFmtId="200" fontId="111" fillId="42" borderId="35" xfId="0" applyNumberFormat="1" applyFont="1" applyFill="1" applyBorder="1" applyAlignment="1">
      <alignment wrapText="1"/>
    </xf>
    <xf numFmtId="4" fontId="111" fillId="42" borderId="35" xfId="0" applyNumberFormat="1" applyFont="1" applyFill="1" applyBorder="1" applyAlignment="1">
      <alignment horizontal="center" wrapText="1"/>
    </xf>
    <xf numFmtId="4" fontId="111" fillId="42" borderId="173" xfId="0" applyNumberFormat="1" applyFont="1" applyFill="1" applyBorder="1" applyAlignment="1">
      <alignment horizontal="center" wrapText="1"/>
    </xf>
    <xf numFmtId="0" fontId="13" fillId="0" borderId="0" xfId="0" applyFont="1"/>
    <xf numFmtId="4" fontId="13" fillId="0" borderId="0" xfId="0" applyNumberFormat="1" applyFont="1" applyAlignment="1">
      <alignment horizontal="center"/>
    </xf>
    <xf numFmtId="0" fontId="67" fillId="21" borderId="165" xfId="0" applyFont="1" applyFill="1" applyBorder="1" applyAlignment="1">
      <alignment horizontal="left" wrapText="1"/>
    </xf>
    <xf numFmtId="199" fontId="109" fillId="21" borderId="166" xfId="0" applyNumberFormat="1" applyFont="1" applyFill="1" applyBorder="1" applyAlignment="1">
      <alignment wrapText="1"/>
    </xf>
    <xf numFmtId="199" fontId="111" fillId="21" borderId="166" xfId="0" applyNumberFormat="1" applyFont="1" applyFill="1" applyBorder="1" applyAlignment="1">
      <alignment wrapText="1"/>
    </xf>
    <xf numFmtId="200" fontId="111" fillId="21" borderId="166" xfId="0" applyNumberFormat="1" applyFont="1" applyFill="1" applyBorder="1" applyAlignment="1">
      <alignment wrapText="1"/>
    </xf>
    <xf numFmtId="4" fontId="109" fillId="21" borderId="166" xfId="0" applyNumberFormat="1" applyFont="1" applyFill="1" applyBorder="1" applyAlignment="1">
      <alignment horizontal="center" wrapText="1"/>
    </xf>
    <xf numFmtId="4" fontId="109" fillId="21" borderId="167" xfId="0" applyNumberFormat="1" applyFont="1" applyFill="1" applyBorder="1" applyAlignment="1">
      <alignment horizontal="center" wrapText="1"/>
    </xf>
    <xf numFmtId="0" fontId="3" fillId="0" borderId="0" xfId="0" applyFont="1" applyAlignment="1">
      <alignment horizontal="center"/>
    </xf>
    <xf numFmtId="170" fontId="117" fillId="0" borderId="0" xfId="0" applyNumberFormat="1" applyFont="1" applyAlignment="1">
      <alignment horizontal="center"/>
    </xf>
    <xf numFmtId="170" fontId="3" fillId="0" borderId="0" xfId="0" applyNumberFormat="1" applyFont="1" applyAlignment="1">
      <alignment horizontal="center"/>
    </xf>
    <xf numFmtId="4" fontId="118" fillId="43" borderId="301" xfId="0" applyNumberFormat="1" applyFont="1" applyFill="1" applyBorder="1" applyAlignment="1">
      <alignment horizontal="center"/>
    </xf>
    <xf numFmtId="4" fontId="111" fillId="43" borderId="301" xfId="0" applyNumberFormat="1" applyFont="1" applyFill="1" applyBorder="1" applyAlignment="1">
      <alignment horizontal="center" wrapText="1"/>
    </xf>
    <xf numFmtId="4" fontId="111" fillId="43" borderId="302" xfId="0" applyNumberFormat="1" applyFont="1" applyFill="1" applyBorder="1" applyAlignment="1">
      <alignment horizontal="center" wrapText="1"/>
    </xf>
    <xf numFmtId="0" fontId="28" fillId="0" borderId="85" xfId="0" applyFont="1" applyBorder="1" applyAlignment="1">
      <alignment wrapText="1"/>
    </xf>
    <xf numFmtId="0" fontId="67" fillId="23" borderId="300" xfId="0" applyFont="1" applyFill="1" applyBorder="1" applyAlignment="1">
      <alignment horizontal="left" wrapText="1"/>
    </xf>
    <xf numFmtId="4" fontId="109" fillId="23" borderId="35" xfId="0" applyNumberFormat="1" applyFont="1" applyFill="1" applyBorder="1" applyAlignment="1">
      <alignment horizontal="center" wrapText="1"/>
    </xf>
    <xf numFmtId="4" fontId="109" fillId="23" borderId="173" xfId="0" applyNumberFormat="1" applyFont="1" applyFill="1" applyBorder="1" applyAlignment="1">
      <alignment horizontal="center" wrapText="1"/>
    </xf>
    <xf numFmtId="0" fontId="67" fillId="29" borderId="304" xfId="0" applyFont="1" applyFill="1" applyBorder="1" applyAlignment="1">
      <alignment horizontal="left" wrapText="1"/>
    </xf>
    <xf numFmtId="4" fontId="112" fillId="29" borderId="35" xfId="0" applyNumberFormat="1" applyFont="1" applyFill="1" applyBorder="1" applyAlignment="1">
      <alignment horizontal="center" wrapText="1"/>
    </xf>
    <xf numFmtId="0" fontId="67" fillId="0" borderId="303" xfId="0" applyFont="1" applyBorder="1" applyAlignment="1">
      <alignment horizontal="center" wrapText="1"/>
    </xf>
    <xf numFmtId="4" fontId="110" fillId="42" borderId="35" xfId="0" applyNumberFormat="1" applyFont="1" applyFill="1" applyBorder="1" applyAlignment="1">
      <alignment horizontal="center" wrapText="1"/>
    </xf>
    <xf numFmtId="4" fontId="109" fillId="42" borderId="35" xfId="0" applyNumberFormat="1" applyFont="1" applyFill="1" applyBorder="1" applyAlignment="1">
      <alignment horizontal="center" wrapText="1"/>
    </xf>
    <xf numFmtId="4" fontId="109" fillId="42" borderId="173" xfId="0" applyNumberFormat="1" applyFont="1" applyFill="1" applyBorder="1" applyAlignment="1">
      <alignment horizontal="center" wrapText="1"/>
    </xf>
    <xf numFmtId="0" fontId="28" fillId="0" borderId="305" xfId="0" applyFont="1" applyBorder="1"/>
    <xf numFmtId="0" fontId="28" fillId="0" borderId="306" xfId="0" applyFont="1" applyBorder="1"/>
    <xf numFmtId="0" fontId="30" fillId="22" borderId="298" xfId="0" applyFont="1" applyFill="1" applyBorder="1" applyAlignment="1">
      <alignment vertical="center"/>
    </xf>
    <xf numFmtId="0" fontId="67" fillId="22" borderId="293" xfId="0" applyFont="1" applyFill="1" applyBorder="1" applyAlignment="1">
      <alignment horizontal="center" vertical="top" wrapText="1"/>
    </xf>
    <xf numFmtId="0" fontId="28" fillId="22" borderId="250" xfId="0" applyFont="1" applyFill="1" applyBorder="1"/>
    <xf numFmtId="0" fontId="67" fillId="22" borderId="299" xfId="0" applyFont="1" applyFill="1" applyBorder="1" applyAlignment="1">
      <alignment horizontal="center" vertical="top" wrapText="1"/>
    </xf>
    <xf numFmtId="0" fontId="107" fillId="0" borderId="73" xfId="0" applyFont="1" applyBorder="1" applyAlignment="1">
      <alignment horizontal="center" vertical="top" wrapText="1"/>
    </xf>
    <xf numFmtId="0" fontId="67" fillId="0" borderId="4" xfId="0" applyFont="1" applyBorder="1" applyAlignment="1">
      <alignment horizontal="center" vertical="top" wrapText="1"/>
    </xf>
    <xf numFmtId="0" fontId="67" fillId="0" borderId="74" xfId="0" applyFont="1" applyBorder="1" applyAlignment="1">
      <alignment horizontal="center" vertical="top" wrapText="1"/>
    </xf>
    <xf numFmtId="0" fontId="67" fillId="10" borderId="73" xfId="0" applyFont="1" applyFill="1" applyBorder="1" applyAlignment="1">
      <alignment wrapText="1"/>
    </xf>
    <xf numFmtId="0" fontId="109" fillId="10" borderId="4" xfId="0" applyFont="1" applyFill="1" applyBorder="1" applyAlignment="1">
      <alignment wrapText="1"/>
    </xf>
    <xf numFmtId="0" fontId="28" fillId="10" borderId="4" xfId="0" applyFont="1" applyFill="1" applyBorder="1"/>
    <xf numFmtId="0" fontId="67" fillId="0" borderId="73" xfId="0" applyFont="1" applyBorder="1" applyAlignment="1">
      <alignment wrapText="1"/>
    </xf>
    <xf numFmtId="0" fontId="109" fillId="0" borderId="4" xfId="0" applyFont="1" applyBorder="1" applyAlignment="1">
      <alignment wrapText="1"/>
    </xf>
    <xf numFmtId="0" fontId="109" fillId="0" borderId="74" xfId="0" applyFont="1" applyBorder="1" applyAlignment="1">
      <alignment wrapText="1"/>
    </xf>
    <xf numFmtId="0" fontId="28" fillId="0" borderId="4" xfId="0" applyFont="1" applyBorder="1" applyAlignment="1">
      <alignment horizontal="center" vertical="top" wrapText="1"/>
    </xf>
    <xf numFmtId="3" fontId="3" fillId="0" borderId="0" xfId="0" applyNumberFormat="1" applyFont="1" applyAlignment="1">
      <alignment horizontal="center"/>
    </xf>
    <xf numFmtId="4" fontId="3" fillId="0" borderId="0" xfId="0" applyNumberFormat="1" applyFont="1" applyAlignment="1">
      <alignment horizontal="center"/>
    </xf>
    <xf numFmtId="0" fontId="28" fillId="0" borderId="89" xfId="0" applyFont="1" applyBorder="1"/>
    <xf numFmtId="0" fontId="67" fillId="46" borderId="304" xfId="0" applyFont="1" applyFill="1" applyBorder="1" applyAlignment="1">
      <alignment horizontal="left" wrapText="1"/>
    </xf>
    <xf numFmtId="199" fontId="109" fillId="46" borderId="35" xfId="0" applyNumberFormat="1" applyFont="1" applyFill="1" applyBorder="1" applyAlignment="1">
      <alignment wrapText="1"/>
    </xf>
    <xf numFmtId="0" fontId="28" fillId="46" borderId="35" xfId="0" applyFont="1" applyFill="1" applyBorder="1"/>
    <xf numFmtId="4" fontId="112" fillId="46" borderId="35" xfId="0" applyNumberFormat="1" applyFont="1" applyFill="1" applyBorder="1" applyAlignment="1">
      <alignment horizontal="center" wrapText="1"/>
    </xf>
    <xf numFmtId="4" fontId="119" fillId="46" borderId="35" xfId="0" applyNumberFormat="1" applyFont="1" applyFill="1" applyBorder="1" applyAlignment="1">
      <alignment horizontal="center"/>
    </xf>
    <xf numFmtId="4" fontId="110" fillId="46" borderId="173" xfId="0" applyNumberFormat="1" applyFont="1" applyFill="1" applyBorder="1" applyAlignment="1">
      <alignment horizontal="center" wrapText="1"/>
    </xf>
    <xf numFmtId="199" fontId="109" fillId="0" borderId="28" xfId="0" applyNumberFormat="1" applyFont="1" applyBorder="1" applyAlignment="1">
      <alignment wrapText="1"/>
    </xf>
    <xf numFmtId="0" fontId="28" fillId="0" borderId="28" xfId="0" applyFont="1" applyBorder="1"/>
    <xf numFmtId="200" fontId="111" fillId="0" borderId="86" xfId="0" applyNumberFormat="1" applyFont="1" applyBorder="1" applyAlignment="1">
      <alignment wrapText="1"/>
    </xf>
    <xf numFmtId="0" fontId="67" fillId="10" borderId="307" xfId="0" applyFont="1" applyFill="1" applyBorder="1" applyAlignment="1">
      <alignment wrapText="1"/>
    </xf>
    <xf numFmtId="199" fontId="109" fillId="10" borderId="235" xfId="0" applyNumberFormat="1" applyFont="1" applyFill="1" applyBorder="1" applyAlignment="1">
      <alignment wrapText="1"/>
    </xf>
    <xf numFmtId="0" fontId="28" fillId="10" borderId="42" xfId="0" applyFont="1" applyFill="1" applyBorder="1"/>
    <xf numFmtId="201" fontId="111" fillId="10" borderId="235" xfId="0" applyNumberFormat="1" applyFont="1" applyFill="1" applyBorder="1" applyAlignment="1">
      <alignment wrapText="1"/>
    </xf>
    <xf numFmtId="199" fontId="111" fillId="10" borderId="235" xfId="0" applyNumberFormat="1" applyFont="1" applyFill="1" applyBorder="1" applyAlignment="1">
      <alignment wrapText="1"/>
    </xf>
    <xf numFmtId="200" fontId="111" fillId="10" borderId="308" xfId="0" applyNumberFormat="1" applyFont="1" applyFill="1" applyBorder="1" applyAlignment="1">
      <alignment wrapText="1"/>
    </xf>
    <xf numFmtId="201" fontId="111" fillId="0" borderId="32" xfId="0" applyNumberFormat="1" applyFont="1" applyBorder="1" applyAlignment="1">
      <alignment wrapText="1"/>
    </xf>
    <xf numFmtId="200" fontId="111" fillId="0" borderId="120" xfId="0" applyNumberFormat="1" applyFont="1" applyBorder="1" applyAlignment="1">
      <alignment wrapText="1"/>
    </xf>
    <xf numFmtId="0" fontId="28" fillId="0" borderId="304" xfId="0" applyFont="1" applyBorder="1" applyAlignment="1">
      <alignment horizontal="left" wrapText="1"/>
    </xf>
    <xf numFmtId="3" fontId="113" fillId="0" borderId="35" xfId="0" applyNumberFormat="1" applyFont="1" applyBorder="1" applyAlignment="1">
      <alignment wrapText="1"/>
    </xf>
    <xf numFmtId="0" fontId="28" fillId="0" borderId="35" xfId="0" applyFont="1" applyBorder="1"/>
    <xf numFmtId="4" fontId="112" fillId="0" borderId="35" xfId="0" applyNumberFormat="1" applyFont="1" applyBorder="1" applyAlignment="1">
      <alignment wrapText="1"/>
    </xf>
    <xf numFmtId="2" fontId="116" fillId="0" borderId="35" xfId="0" applyNumberFormat="1" applyFont="1" applyBorder="1" applyAlignment="1">
      <alignment wrapText="1"/>
    </xf>
    <xf numFmtId="2" fontId="116" fillId="0" borderId="173" xfId="0" applyNumberFormat="1" applyFont="1" applyBorder="1" applyAlignment="1">
      <alignment wrapText="1"/>
    </xf>
    <xf numFmtId="0" fontId="67" fillId="23" borderId="304" xfId="0" applyFont="1" applyFill="1" applyBorder="1" applyAlignment="1">
      <alignment horizontal="left"/>
    </xf>
    <xf numFmtId="0" fontId="28" fillId="4" borderId="35" xfId="0" applyFont="1" applyFill="1" applyBorder="1"/>
    <xf numFmtId="202" fontId="112" fillId="23" borderId="35" xfId="0" applyNumberFormat="1" applyFont="1" applyFill="1" applyBorder="1" applyAlignment="1">
      <alignment wrapText="1"/>
    </xf>
    <xf numFmtId="201" fontId="116" fillId="23" borderId="35" xfId="0" applyNumberFormat="1" applyFont="1" applyFill="1" applyBorder="1" applyAlignment="1">
      <alignment wrapText="1"/>
    </xf>
    <xf numFmtId="4" fontId="116" fillId="23" borderId="173" xfId="0" applyNumberFormat="1" applyFont="1" applyFill="1" applyBorder="1" applyAlignment="1">
      <alignment wrapText="1"/>
    </xf>
    <xf numFmtId="0" fontId="67" fillId="0" borderId="303" xfId="0" applyFont="1" applyBorder="1" applyAlignment="1">
      <alignment horizontal="left"/>
    </xf>
    <xf numFmtId="0" fontId="67" fillId="43" borderId="304" xfId="0" applyFont="1" applyFill="1" applyBorder="1" applyAlignment="1">
      <alignment horizontal="center" wrapText="1"/>
    </xf>
    <xf numFmtId="199" fontId="109" fillId="43" borderId="35" xfId="0" applyNumberFormat="1" applyFont="1" applyFill="1" applyBorder="1" applyAlignment="1">
      <alignment wrapText="1"/>
    </xf>
    <xf numFmtId="0" fontId="28" fillId="43" borderId="35" xfId="0" applyFont="1" applyFill="1" applyBorder="1"/>
    <xf numFmtId="199" fontId="111" fillId="43" borderId="35" xfId="0" applyNumberFormat="1" applyFont="1" applyFill="1" applyBorder="1" applyAlignment="1">
      <alignment wrapText="1"/>
    </xf>
    <xf numFmtId="201" fontId="111" fillId="43" borderId="35" xfId="0" applyNumberFormat="1" applyFont="1" applyFill="1" applyBorder="1" applyAlignment="1">
      <alignment wrapText="1"/>
    </xf>
    <xf numFmtId="201" fontId="111" fillId="43" borderId="173" xfId="0" applyNumberFormat="1" applyFont="1" applyFill="1" applyBorder="1" applyAlignment="1">
      <alignment wrapText="1"/>
    </xf>
    <xf numFmtId="0" fontId="67" fillId="35" borderId="304" xfId="0" applyFont="1" applyFill="1" applyBorder="1"/>
    <xf numFmtId="199" fontId="109" fillId="35" borderId="35" xfId="0" applyNumberFormat="1" applyFont="1" applyFill="1" applyBorder="1" applyAlignment="1">
      <alignment wrapText="1"/>
    </xf>
    <xf numFmtId="0" fontId="28" fillId="35" borderId="35" xfId="0" applyFont="1" applyFill="1" applyBorder="1"/>
    <xf numFmtId="199" fontId="111" fillId="35" borderId="35" xfId="0" applyNumberFormat="1" applyFont="1" applyFill="1" applyBorder="1" applyAlignment="1">
      <alignment wrapText="1"/>
    </xf>
    <xf numFmtId="4" fontId="111" fillId="35" borderId="35" xfId="0" applyNumberFormat="1" applyFont="1" applyFill="1" applyBorder="1" applyAlignment="1">
      <alignment wrapText="1"/>
    </xf>
    <xf numFmtId="4" fontId="111" fillId="35" borderId="173" xfId="0" applyNumberFormat="1" applyFont="1" applyFill="1" applyBorder="1" applyAlignment="1">
      <alignment wrapText="1"/>
    </xf>
    <xf numFmtId="0" fontId="67" fillId="42" borderId="304" xfId="0" applyFont="1" applyFill="1" applyBorder="1"/>
    <xf numFmtId="0" fontId="28" fillId="42" borderId="35" xfId="0" applyFont="1" applyFill="1" applyBorder="1"/>
    <xf numFmtId="201" fontId="111" fillId="42" borderId="35" xfId="0" applyNumberFormat="1" applyFont="1" applyFill="1" applyBorder="1" applyAlignment="1">
      <alignment wrapText="1"/>
    </xf>
    <xf numFmtId="201" fontId="111" fillId="42" borderId="173" xfId="0" applyNumberFormat="1" applyFont="1" applyFill="1" applyBorder="1" applyAlignment="1">
      <alignment wrapText="1"/>
    </xf>
    <xf numFmtId="0" fontId="67" fillId="0" borderId="303" xfId="0" applyFont="1" applyBorder="1"/>
    <xf numFmtId="201" fontId="111" fillId="0" borderId="120" xfId="0" applyNumberFormat="1" applyFont="1" applyBorder="1" applyAlignment="1">
      <alignment wrapText="1"/>
    </xf>
    <xf numFmtId="0" fontId="67" fillId="21" borderId="165" xfId="0" applyFont="1" applyFill="1" applyBorder="1"/>
    <xf numFmtId="201" fontId="111" fillId="21" borderId="166" xfId="0" applyNumberFormat="1" applyFont="1" applyFill="1" applyBorder="1" applyAlignment="1">
      <alignment wrapText="1"/>
    </xf>
    <xf numFmtId="201" fontId="111" fillId="21" borderId="167" xfId="0" applyNumberFormat="1" applyFont="1" applyFill="1" applyBorder="1" applyAlignment="1">
      <alignment wrapText="1"/>
    </xf>
    <xf numFmtId="199" fontId="109" fillId="4" borderId="35" xfId="0" applyNumberFormat="1" applyFont="1" applyFill="1" applyBorder="1" applyAlignment="1">
      <alignment wrapText="1"/>
    </xf>
    <xf numFmtId="199" fontId="112" fillId="4" borderId="35" xfId="0" applyNumberFormat="1" applyFont="1" applyFill="1" applyBorder="1" applyAlignment="1">
      <alignment wrapText="1"/>
    </xf>
    <xf numFmtId="201" fontId="116" fillId="4" borderId="35" xfId="0" applyNumberFormat="1" applyFont="1" applyFill="1" applyBorder="1" applyAlignment="1">
      <alignment wrapText="1"/>
    </xf>
    <xf numFmtId="4" fontId="116" fillId="4" borderId="173" xfId="0" applyNumberFormat="1" applyFont="1" applyFill="1" applyBorder="1" applyAlignment="1">
      <alignment wrapText="1"/>
    </xf>
    <xf numFmtId="200" fontId="111" fillId="43" borderId="35" xfId="0" applyNumberFormat="1" applyFont="1" applyFill="1" applyBorder="1" applyAlignment="1">
      <alignment wrapText="1"/>
    </xf>
    <xf numFmtId="200" fontId="111" fillId="43" borderId="173" xfId="0" applyNumberFormat="1" applyFont="1" applyFill="1" applyBorder="1" applyAlignment="1">
      <alignment wrapText="1"/>
    </xf>
    <xf numFmtId="201" fontId="111" fillId="35" borderId="35" xfId="0" applyNumberFormat="1" applyFont="1" applyFill="1" applyBorder="1" applyAlignment="1">
      <alignment wrapText="1"/>
    </xf>
    <xf numFmtId="0" fontId="28" fillId="0" borderId="82" xfId="0" applyFont="1" applyBorder="1"/>
    <xf numFmtId="0" fontId="28" fillId="0" borderId="83" xfId="0" applyFont="1" applyBorder="1"/>
    <xf numFmtId="0" fontId="28" fillId="0" borderId="309" xfId="0" applyFont="1" applyBorder="1"/>
    <xf numFmtId="0" fontId="28" fillId="0" borderId="84" xfId="0" applyFont="1" applyBorder="1"/>
    <xf numFmtId="0" fontId="67" fillId="22" borderId="310" xfId="0" applyFont="1" applyFill="1" applyBorder="1"/>
    <xf numFmtId="0" fontId="28" fillId="22" borderId="311" xfId="0" applyFont="1" applyFill="1" applyBorder="1"/>
    <xf numFmtId="176" fontId="67" fillId="22" borderId="312" xfId="0" applyNumberFormat="1" applyFont="1" applyFill="1" applyBorder="1"/>
    <xf numFmtId="0" fontId="67" fillId="0" borderId="119" xfId="0" applyFont="1" applyBorder="1"/>
    <xf numFmtId="43" fontId="67" fillId="0" borderId="0" xfId="0" applyNumberFormat="1" applyFont="1"/>
    <xf numFmtId="176" fontId="67" fillId="0" borderId="0" xfId="0" applyNumberFormat="1" applyFont="1"/>
    <xf numFmtId="0" fontId="38" fillId="25" borderId="65" xfId="0" applyFont="1" applyFill="1" applyBorder="1"/>
    <xf numFmtId="0" fontId="28" fillId="25" borderId="95" xfId="0" applyFont="1" applyFill="1" applyBorder="1"/>
    <xf numFmtId="0" fontId="28" fillId="25" borderId="66" xfId="0" applyFont="1" applyFill="1" applyBorder="1"/>
    <xf numFmtId="0" fontId="4" fillId="0" borderId="21" xfId="0" applyFont="1" applyBorder="1"/>
    <xf numFmtId="0" fontId="18" fillId="0" borderId="28" xfId="0" applyFont="1" applyBorder="1" applyAlignment="1">
      <alignment horizontal="center" vertical="center" wrapText="1"/>
    </xf>
    <xf numFmtId="0" fontId="18" fillId="0" borderId="0" xfId="0" applyFont="1" applyAlignment="1">
      <alignment horizontal="center"/>
    </xf>
    <xf numFmtId="0" fontId="18" fillId="0" borderId="28" xfId="0" applyFont="1" applyBorder="1" applyAlignment="1">
      <alignment horizontal="center" wrapText="1"/>
    </xf>
    <xf numFmtId="0" fontId="4" fillId="0" borderId="20" xfId="0" applyFont="1" applyBorder="1"/>
    <xf numFmtId="176" fontId="4" fillId="0" borderId="4" xfId="0" applyNumberFormat="1" applyFont="1" applyBorder="1"/>
    <xf numFmtId="184" fontId="4" fillId="0" borderId="4" xfId="0" applyNumberFormat="1" applyFont="1" applyBorder="1"/>
    <xf numFmtId="0" fontId="4" fillId="0" borderId="0" xfId="0" quotePrefix="1" applyFont="1" applyAlignment="1">
      <alignment horizontal="center"/>
    </xf>
    <xf numFmtId="43" fontId="4" fillId="0" borderId="0" xfId="0" applyNumberFormat="1" applyFont="1"/>
    <xf numFmtId="176" fontId="4" fillId="0" borderId="4" xfId="0" applyNumberFormat="1" applyFont="1" applyBorder="1" applyAlignment="1">
      <alignment horizontal="right"/>
    </xf>
    <xf numFmtId="0" fontId="4" fillId="0" borderId="21" xfId="0" applyFont="1" applyBorder="1" applyAlignment="1">
      <alignment horizontal="left"/>
    </xf>
    <xf numFmtId="175" fontId="4" fillId="0" borderId="4" xfId="0" applyNumberFormat="1" applyFont="1" applyBorder="1"/>
    <xf numFmtId="176" fontId="4" fillId="0" borderId="72" xfId="0" applyNumberFormat="1" applyFont="1" applyBorder="1"/>
    <xf numFmtId="43" fontId="4" fillId="0" borderId="4" xfId="0" applyNumberFormat="1" applyFont="1" applyBorder="1"/>
    <xf numFmtId="0" fontId="4" fillId="0" borderId="0" xfId="0" applyFont="1" applyAlignment="1">
      <alignment wrapText="1"/>
    </xf>
    <xf numFmtId="0" fontId="18" fillId="0" borderId="4" xfId="0" applyFont="1" applyBorder="1" applyAlignment="1">
      <alignment horizontal="right"/>
    </xf>
    <xf numFmtId="0" fontId="18" fillId="27" borderId="4" xfId="0" applyFont="1" applyFill="1" applyBorder="1"/>
    <xf numFmtId="0" fontId="4" fillId="0" borderId="38" xfId="0" applyFont="1" applyBorder="1" applyAlignment="1">
      <alignment horizontal="center"/>
    </xf>
    <xf numFmtId="9" fontId="4" fillId="0" borderId="4" xfId="0" applyNumberFormat="1" applyFont="1" applyBorder="1"/>
    <xf numFmtId="176" fontId="18" fillId="0" borderId="72" xfId="0" applyNumberFormat="1" applyFont="1" applyBorder="1"/>
    <xf numFmtId="0" fontId="4" fillId="0" borderId="1" xfId="0" applyFont="1" applyBorder="1" applyAlignment="1">
      <alignment horizontal="right"/>
    </xf>
    <xf numFmtId="0" fontId="28" fillId="0" borderId="1" xfId="0" applyFont="1" applyBorder="1" applyAlignment="1">
      <alignment horizontal="right"/>
    </xf>
    <xf numFmtId="0" fontId="18" fillId="0" borderId="0" xfId="0" applyFont="1" applyAlignment="1">
      <alignment horizontal="center" vertical="center"/>
    </xf>
    <xf numFmtId="0" fontId="4" fillId="0" borderId="0" xfId="0" applyFont="1" applyAlignment="1">
      <alignment vertical="center"/>
    </xf>
    <xf numFmtId="0" fontId="18" fillId="0" borderId="28" xfId="0" applyFont="1" applyBorder="1" applyAlignment="1">
      <alignment horizontal="center" vertical="center"/>
    </xf>
    <xf numFmtId="0" fontId="4" fillId="0" borderId="21" xfId="0" applyFont="1" applyBorder="1" applyAlignment="1">
      <alignment horizontal="center"/>
    </xf>
    <xf numFmtId="180" fontId="4" fillId="0" borderId="4" xfId="0" applyNumberFormat="1" applyFont="1" applyBorder="1"/>
    <xf numFmtId="0" fontId="18" fillId="0" borderId="26" xfId="0" applyFont="1" applyBorder="1" applyAlignment="1">
      <alignment horizontal="center" vertical="center" wrapText="1"/>
    </xf>
    <xf numFmtId="37" fontId="40" fillId="0" borderId="28" xfId="0" applyNumberFormat="1" applyFont="1" applyBorder="1" applyAlignment="1">
      <alignment horizontal="right"/>
    </xf>
    <xf numFmtId="0" fontId="120" fillId="0" borderId="0" xfId="0" applyFont="1" applyAlignment="1">
      <alignment horizontal="center"/>
    </xf>
    <xf numFmtId="184" fontId="40" fillId="0" borderId="28" xfId="0" applyNumberFormat="1" applyFont="1" applyBorder="1"/>
    <xf numFmtId="0" fontId="28" fillId="0" borderId="0" xfId="0" quotePrefix="1" applyFont="1" applyAlignment="1">
      <alignment horizontal="center"/>
    </xf>
    <xf numFmtId="176" fontId="40" fillId="0" borderId="28" xfId="0" applyNumberFormat="1" applyFont="1" applyBorder="1"/>
    <xf numFmtId="176" fontId="40" fillId="0" borderId="91" xfId="0" applyNumberFormat="1" applyFont="1" applyBorder="1"/>
    <xf numFmtId="0" fontId="24" fillId="0" borderId="67" xfId="0" applyFont="1" applyBorder="1"/>
    <xf numFmtId="0" fontId="23" fillId="0" borderId="69" xfId="0" applyFont="1" applyBorder="1" applyAlignment="1">
      <alignment horizontal="center"/>
    </xf>
    <xf numFmtId="0" fontId="24" fillId="12" borderId="73" xfId="0" applyFont="1" applyFill="1" applyBorder="1"/>
    <xf numFmtId="176" fontId="24" fillId="12" borderId="74" xfId="0" applyNumberFormat="1" applyFont="1" applyFill="1" applyBorder="1" applyAlignment="1">
      <alignment horizontal="right"/>
    </xf>
    <xf numFmtId="37" fontId="24" fillId="0" borderId="74" xfId="0" applyNumberFormat="1" applyFont="1" applyBorder="1" applyAlignment="1">
      <alignment horizontal="right"/>
    </xf>
    <xf numFmtId="176" fontId="24" fillId="0" borderId="74" xfId="0" applyNumberFormat="1" applyFont="1" applyBorder="1" applyAlignment="1">
      <alignment horizontal="right"/>
    </xf>
    <xf numFmtId="0" fontId="24" fillId="37" borderId="73" xfId="0" applyFont="1" applyFill="1" applyBorder="1"/>
    <xf numFmtId="37" fontId="24" fillId="37" borderId="74" xfId="0" applyNumberFormat="1" applyFont="1" applyFill="1" applyBorder="1" applyAlignment="1">
      <alignment horizontal="right"/>
    </xf>
    <xf numFmtId="0" fontId="24" fillId="36" borderId="73" xfId="0" applyFont="1" applyFill="1" applyBorder="1"/>
    <xf numFmtId="176" fontId="24" fillId="36" borderId="74" xfId="0" applyNumberFormat="1" applyFont="1" applyFill="1" applyBorder="1" applyAlignment="1">
      <alignment horizontal="right"/>
    </xf>
    <xf numFmtId="0" fontId="24" fillId="0" borderId="73" xfId="0" applyFont="1" applyBorder="1" applyAlignment="1">
      <alignment horizontal="left" wrapText="1"/>
    </xf>
    <xf numFmtId="0" fontId="23" fillId="4" borderId="75" xfId="0" applyFont="1" applyFill="1" applyBorder="1"/>
    <xf numFmtId="176" fontId="24" fillId="4" borderId="77" xfId="0" applyNumberFormat="1" applyFont="1" applyFill="1" applyBorder="1" applyAlignment="1">
      <alignment horizontal="right"/>
    </xf>
    <xf numFmtId="0" fontId="28" fillId="0" borderId="87" xfId="0" applyFont="1" applyBorder="1"/>
    <xf numFmtId="0" fontId="28" fillId="0" borderId="99" xfId="0" applyFont="1" applyBorder="1"/>
    <xf numFmtId="0" fontId="28" fillId="0" borderId="72" xfId="0" applyFont="1" applyBorder="1"/>
    <xf numFmtId="0" fontId="30" fillId="25" borderId="38" xfId="0" applyFont="1" applyFill="1" applyBorder="1"/>
    <xf numFmtId="0" fontId="28" fillId="25" borderId="4" xfId="0" applyFont="1" applyFill="1" applyBorder="1"/>
    <xf numFmtId="2" fontId="28" fillId="25" borderId="4" xfId="0" applyNumberFormat="1" applyFont="1" applyFill="1" applyBorder="1" applyAlignment="1">
      <alignment horizontal="center"/>
    </xf>
    <xf numFmtId="0" fontId="28" fillId="25" borderId="72" xfId="0" applyFont="1" applyFill="1" applyBorder="1"/>
    <xf numFmtId="0" fontId="30" fillId="0" borderId="78" xfId="0" applyFont="1" applyBorder="1"/>
    <xf numFmtId="2" fontId="28" fillId="0" borderId="34" xfId="0" applyNumberFormat="1" applyFont="1" applyBorder="1" applyAlignment="1">
      <alignment horizontal="center"/>
    </xf>
    <xf numFmtId="0" fontId="30" fillId="0" borderId="92" xfId="0" applyFont="1" applyBorder="1"/>
    <xf numFmtId="2" fontId="28" fillId="0" borderId="130" xfId="0" applyNumberFormat="1" applyFont="1" applyBorder="1" applyAlignment="1">
      <alignment horizontal="center"/>
    </xf>
    <xf numFmtId="0" fontId="28" fillId="0" borderId="10" xfId="0" applyFont="1" applyBorder="1"/>
    <xf numFmtId="0" fontId="67" fillId="25" borderId="38" xfId="0" applyFont="1" applyFill="1" applyBorder="1"/>
    <xf numFmtId="2" fontId="28" fillId="25" borderId="313" xfId="0" applyNumberFormat="1" applyFont="1" applyFill="1" applyBorder="1" applyAlignment="1">
      <alignment horizontal="center"/>
    </xf>
    <xf numFmtId="0" fontId="28" fillId="25" borderId="15" xfId="0" applyFont="1" applyFill="1" applyBorder="1"/>
    <xf numFmtId="2" fontId="28" fillId="0" borderId="180" xfId="0" applyNumberFormat="1" applyFont="1" applyBorder="1" applyAlignment="1">
      <alignment horizontal="center"/>
    </xf>
    <xf numFmtId="0" fontId="28" fillId="0" borderId="63" xfId="0" applyFont="1" applyBorder="1"/>
    <xf numFmtId="0" fontId="30" fillId="25" borderId="171" xfId="0" applyFont="1" applyFill="1" applyBorder="1"/>
    <xf numFmtId="0" fontId="28" fillId="25" borderId="35" xfId="0" applyFont="1" applyFill="1" applyBorder="1"/>
    <xf numFmtId="2" fontId="28" fillId="25" borderId="314" xfId="0" applyNumberFormat="1" applyFont="1" applyFill="1" applyBorder="1" applyAlignment="1">
      <alignment horizontal="center"/>
    </xf>
    <xf numFmtId="0" fontId="28" fillId="25" borderId="270" xfId="0" applyFont="1" applyFill="1" applyBorder="1"/>
    <xf numFmtId="0" fontId="28" fillId="0" borderId="32" xfId="0" applyFont="1" applyBorder="1"/>
    <xf numFmtId="0" fontId="28" fillId="0" borderId="26" xfId="0" applyFont="1" applyBorder="1"/>
    <xf numFmtId="0" fontId="28" fillId="25" borderId="26" xfId="0" applyFont="1" applyFill="1" applyBorder="1"/>
    <xf numFmtId="0" fontId="28" fillId="47" borderId="315" xfId="0" applyFont="1" applyFill="1" applyBorder="1"/>
    <xf numFmtId="0" fontId="28" fillId="47" borderId="293" xfId="0" applyFont="1" applyFill="1" applyBorder="1"/>
    <xf numFmtId="2" fontId="28" fillId="47" borderId="316" xfId="0" applyNumberFormat="1" applyFont="1" applyFill="1" applyBorder="1" applyAlignment="1">
      <alignment horizontal="center"/>
    </xf>
    <xf numFmtId="0" fontId="28" fillId="47" borderId="317" xfId="0" applyFont="1" applyFill="1" applyBorder="1"/>
    <xf numFmtId="0" fontId="30" fillId="47" borderId="38" xfId="0" applyFont="1" applyFill="1" applyBorder="1"/>
    <xf numFmtId="0" fontId="28" fillId="47" borderId="4" xfId="0" applyFont="1" applyFill="1" applyBorder="1"/>
    <xf numFmtId="2" fontId="28" fillId="47" borderId="224" xfId="0" applyNumberFormat="1" applyFont="1" applyFill="1" applyBorder="1" applyAlignment="1">
      <alignment horizontal="center"/>
    </xf>
    <xf numFmtId="0" fontId="28" fillId="47" borderId="15" xfId="0" applyFont="1" applyFill="1" applyBorder="1"/>
    <xf numFmtId="0" fontId="28" fillId="47" borderId="318" xfId="0" applyFont="1" applyFill="1" applyBorder="1"/>
    <xf numFmtId="0" fontId="28" fillId="47" borderId="83" xfId="0" applyFont="1" applyFill="1" applyBorder="1"/>
    <xf numFmtId="2" fontId="28" fillId="47" borderId="319" xfId="0" applyNumberFormat="1" applyFont="1" applyFill="1" applyBorder="1" applyAlignment="1">
      <alignment horizontal="center"/>
    </xf>
    <xf numFmtId="0" fontId="28" fillId="47" borderId="97" xfId="0" applyFont="1" applyFill="1" applyBorder="1"/>
    <xf numFmtId="0" fontId="28" fillId="0" borderId="103" xfId="0" applyFont="1" applyBorder="1"/>
    <xf numFmtId="0" fontId="28" fillId="0" borderId="133" xfId="0" applyFont="1" applyBorder="1"/>
    <xf numFmtId="0" fontId="28" fillId="0" borderId="23" xfId="0" applyFont="1" applyBorder="1"/>
    <xf numFmtId="0" fontId="121" fillId="0" borderId="0" xfId="0" applyFont="1" applyAlignment="1">
      <alignment wrapText="1"/>
    </xf>
    <xf numFmtId="0" fontId="28" fillId="0" borderId="0" xfId="0" applyFont="1" applyAlignment="1">
      <alignment horizontal="left" wrapText="1"/>
    </xf>
    <xf numFmtId="0" fontId="114" fillId="0" borderId="292" xfId="0" applyFont="1" applyBorder="1"/>
    <xf numFmtId="0" fontId="114" fillId="0" borderId="293" xfId="0" applyFont="1" applyBorder="1"/>
    <xf numFmtId="0" fontId="118" fillId="0" borderId="293" xfId="0" applyFont="1" applyBorder="1" applyAlignment="1">
      <alignment horizontal="center"/>
    </xf>
    <xf numFmtId="0" fontId="118" fillId="0" borderId="294" xfId="0" applyFont="1" applyBorder="1" applyAlignment="1">
      <alignment horizontal="center"/>
    </xf>
    <xf numFmtId="0" fontId="118" fillId="0" borderId="215" xfId="0" applyFont="1" applyBorder="1"/>
    <xf numFmtId="0" fontId="114" fillId="0" borderId="4" xfId="0" applyFont="1" applyBorder="1"/>
    <xf numFmtId="0" fontId="118" fillId="0" borderId="4" xfId="0" applyFont="1" applyBorder="1" applyAlignment="1">
      <alignment horizontal="center"/>
    </xf>
    <xf numFmtId="0" fontId="118" fillId="0" borderId="295" xfId="0" applyFont="1" applyBorder="1" applyAlignment="1">
      <alignment horizontal="center"/>
    </xf>
    <xf numFmtId="0" fontId="118" fillId="0" borderId="4" xfId="0" applyFont="1" applyBorder="1"/>
    <xf numFmtId="0" fontId="114" fillId="0" borderId="295" xfId="0" applyFont="1" applyBorder="1"/>
    <xf numFmtId="0" fontId="114" fillId="0" borderId="215" xfId="0" applyFont="1" applyBorder="1" applyAlignment="1">
      <alignment horizontal="center"/>
    </xf>
    <xf numFmtId="0" fontId="114" fillId="0" borderId="4" xfId="0" applyFont="1" applyBorder="1" applyAlignment="1">
      <alignment horizontal="center"/>
    </xf>
    <xf numFmtId="9" fontId="114" fillId="0" borderId="4" xfId="0" applyNumberFormat="1" applyFont="1" applyBorder="1"/>
    <xf numFmtId="0" fontId="118" fillId="0" borderId="215" xfId="0" applyFont="1" applyBorder="1" applyAlignment="1">
      <alignment horizontal="center"/>
    </xf>
    <xf numFmtId="0" fontId="114" fillId="0" borderId="4" xfId="0" applyFont="1" applyBorder="1" applyAlignment="1">
      <alignment horizontal="left"/>
    </xf>
    <xf numFmtId="176" fontId="114" fillId="12" borderId="4" xfId="0" applyNumberFormat="1" applyFont="1" applyFill="1" applyBorder="1"/>
    <xf numFmtId="175" fontId="114" fillId="0" borderId="4" xfId="0" applyNumberFormat="1" applyFont="1" applyBorder="1"/>
    <xf numFmtId="176" fontId="114" fillId="0" borderId="4" xfId="0" applyNumberFormat="1" applyFont="1" applyBorder="1"/>
    <xf numFmtId="176" fontId="114" fillId="0" borderId="295" xfId="0" applyNumberFormat="1" applyFont="1" applyBorder="1"/>
    <xf numFmtId="176" fontId="40" fillId="0" borderId="0" xfId="0" applyNumberFormat="1" applyFont="1"/>
    <xf numFmtId="0" fontId="122" fillId="0" borderId="215" xfId="0" applyFont="1" applyBorder="1" applyAlignment="1">
      <alignment horizontal="center"/>
    </xf>
    <xf numFmtId="43" fontId="114" fillId="0" borderId="4" xfId="0" applyNumberFormat="1" applyFont="1" applyBorder="1"/>
    <xf numFmtId="194" fontId="114" fillId="0" borderId="295" xfId="0" applyNumberFormat="1" applyFont="1" applyBorder="1" applyAlignment="1">
      <alignment horizontal="center"/>
    </xf>
    <xf numFmtId="0" fontId="114" fillId="0" borderId="255" xfId="0" applyFont="1" applyBorder="1" applyAlignment="1">
      <alignment horizontal="center"/>
    </xf>
    <xf numFmtId="0" fontId="114" fillId="0" borderId="83" xfId="0" applyFont="1" applyBorder="1" applyAlignment="1">
      <alignment horizontal="center"/>
    </xf>
    <xf numFmtId="0" fontId="114" fillId="0" borderId="83" xfId="0" applyFont="1" applyBorder="1"/>
    <xf numFmtId="9" fontId="114" fillId="0" borderId="83" xfId="0" applyNumberFormat="1" applyFont="1" applyBorder="1"/>
    <xf numFmtId="0" fontId="114" fillId="0" borderId="256" xfId="0" applyFont="1" applyBorder="1"/>
    <xf numFmtId="0" fontId="123" fillId="43" borderId="87" xfId="0" applyFont="1" applyFill="1" applyBorder="1"/>
    <xf numFmtId="0" fontId="28" fillId="43" borderId="33" xfId="0" applyFont="1" applyFill="1" applyBorder="1"/>
    <xf numFmtId="0" fontId="28" fillId="43" borderId="88" xfId="0" applyFont="1" applyFill="1" applyBorder="1"/>
    <xf numFmtId="0" fontId="68" fillId="10" borderId="4" xfId="0" applyFont="1" applyFill="1" applyBorder="1" applyAlignment="1">
      <alignment horizontal="center" wrapText="1"/>
    </xf>
    <xf numFmtId="0" fontId="30" fillId="10" borderId="4" xfId="0" applyFont="1" applyFill="1" applyBorder="1"/>
    <xf numFmtId="0" fontId="68" fillId="10" borderId="72" xfId="0" applyFont="1" applyFill="1" applyBorder="1" applyAlignment="1">
      <alignment horizontal="center" wrapText="1"/>
    </xf>
    <xf numFmtId="0" fontId="49" fillId="0" borderId="38" xfId="0" applyFont="1" applyBorder="1"/>
    <xf numFmtId="0" fontId="40" fillId="0" borderId="4" xfId="0" applyFont="1" applyBorder="1" applyAlignment="1">
      <alignment horizontal="center"/>
    </xf>
    <xf numFmtId="0" fontId="120" fillId="0" borderId="4" xfId="0" applyFont="1" applyBorder="1" applyAlignment="1">
      <alignment horizontal="center"/>
    </xf>
    <xf numFmtId="0" fontId="120" fillId="0" borderId="4" xfId="0" applyFont="1" applyBorder="1"/>
    <xf numFmtId="0" fontId="120" fillId="0" borderId="38" xfId="0" applyFont="1" applyBorder="1" applyAlignment="1">
      <alignment horizontal="left"/>
    </xf>
    <xf numFmtId="172" fontId="124" fillId="43" borderId="4" xfId="0" applyNumberFormat="1" applyFont="1" applyFill="1" applyBorder="1" applyAlignment="1">
      <alignment horizontal="center"/>
    </xf>
    <xf numFmtId="175" fontId="120" fillId="0" borderId="4" xfId="0" applyNumberFormat="1" applyFont="1" applyBorder="1" applyAlignment="1">
      <alignment horizontal="center"/>
    </xf>
    <xf numFmtId="176" fontId="120" fillId="0" borderId="4" xfId="0" applyNumberFormat="1" applyFont="1" applyBorder="1"/>
    <xf numFmtId="184" fontId="120" fillId="0" borderId="4" xfId="0" applyNumberFormat="1" applyFont="1" applyBorder="1"/>
    <xf numFmtId="168" fontId="120" fillId="0" borderId="4" xfId="0" applyNumberFormat="1" applyFont="1" applyBorder="1"/>
    <xf numFmtId="168" fontId="120" fillId="0" borderId="72" xfId="0" applyNumberFormat="1" applyFont="1" applyBorder="1"/>
    <xf numFmtId="172" fontId="40" fillId="43" borderId="4" xfId="0" applyNumberFormat="1" applyFont="1" applyFill="1" applyBorder="1" applyAlignment="1">
      <alignment horizontal="center"/>
    </xf>
    <xf numFmtId="3" fontId="40" fillId="0" borderId="4" xfId="0" applyNumberFormat="1" applyFont="1" applyBorder="1" applyAlignment="1">
      <alignment horizontal="center"/>
    </xf>
    <xf numFmtId="172" fontId="40" fillId="42" borderId="4" xfId="0" applyNumberFormat="1" applyFont="1" applyFill="1" applyBorder="1" applyAlignment="1">
      <alignment horizontal="center"/>
    </xf>
    <xf numFmtId="172" fontId="40" fillId="0" borderId="4" xfId="0" applyNumberFormat="1" applyFont="1" applyBorder="1" applyAlignment="1">
      <alignment horizontal="center"/>
    </xf>
    <xf numFmtId="0" fontId="49" fillId="10" borderId="78" xfId="0" applyFont="1" applyFill="1" applyBorder="1"/>
    <xf numFmtId="0" fontId="40" fillId="10" borderId="89" xfId="0" applyFont="1" applyFill="1" applyBorder="1" applyAlignment="1">
      <alignment horizontal="center"/>
    </xf>
    <xf numFmtId="0" fontId="120" fillId="10" borderId="89" xfId="0" applyFont="1" applyFill="1" applyBorder="1" applyAlignment="1">
      <alignment horizontal="center"/>
    </xf>
    <xf numFmtId="176" fontId="49" fillId="10" borderId="89" xfId="0" applyNumberFormat="1" applyFont="1" applyFill="1" applyBorder="1"/>
    <xf numFmtId="0" fontId="49" fillId="10" borderId="89" xfId="0" applyFont="1" applyFill="1" applyBorder="1" applyAlignment="1">
      <alignment horizontal="center"/>
    </xf>
    <xf numFmtId="184" fontId="49" fillId="10" borderId="89" xfId="0" applyNumberFormat="1" applyFont="1" applyFill="1" applyBorder="1"/>
    <xf numFmtId="168" fontId="49" fillId="10" borderId="89" xfId="0" applyNumberFormat="1" applyFont="1" applyFill="1" applyBorder="1"/>
    <xf numFmtId="0" fontId="28" fillId="10" borderId="89" xfId="0" applyFont="1" applyFill="1" applyBorder="1"/>
    <xf numFmtId="168" fontId="49" fillId="10" borderId="90" xfId="0" applyNumberFormat="1" applyFont="1" applyFill="1" applyBorder="1"/>
    <xf numFmtId="0" fontId="49" fillId="0" borderId="0" xfId="0" applyFont="1"/>
    <xf numFmtId="176" fontId="49" fillId="0" borderId="0" xfId="0" applyNumberFormat="1" applyFont="1"/>
    <xf numFmtId="184" fontId="49" fillId="0" borderId="0" xfId="0" applyNumberFormat="1" applyFont="1"/>
    <xf numFmtId="168" fontId="49" fillId="0" borderId="0" xfId="0" applyNumberFormat="1" applyFont="1"/>
    <xf numFmtId="0" fontId="49" fillId="0" borderId="25" xfId="0" applyFont="1" applyBorder="1"/>
    <xf numFmtId="0" fontId="40" fillId="0" borderId="25" xfId="0" applyFont="1" applyBorder="1" applyAlignment="1">
      <alignment horizontal="center"/>
    </xf>
    <xf numFmtId="0" fontId="120" fillId="0" borderId="25" xfId="0" applyFont="1" applyBorder="1" applyAlignment="1">
      <alignment horizontal="center"/>
    </xf>
    <xf numFmtId="176" fontId="49" fillId="0" borderId="25" xfId="0" applyNumberFormat="1" applyFont="1" applyBorder="1"/>
    <xf numFmtId="0" fontId="49" fillId="0" borderId="25" xfId="0" applyFont="1" applyBorder="1" applyAlignment="1">
      <alignment horizontal="center"/>
    </xf>
    <xf numFmtId="184" fontId="49" fillId="0" borderId="25" xfId="0" applyNumberFormat="1" applyFont="1" applyBorder="1"/>
    <xf numFmtId="168" fontId="49" fillId="0" borderId="25" xfId="0" applyNumberFormat="1" applyFont="1" applyBorder="1"/>
    <xf numFmtId="0" fontId="40" fillId="43" borderId="33" xfId="0" applyFont="1" applyFill="1" applyBorder="1" applyAlignment="1">
      <alignment horizontal="center"/>
    </xf>
    <xf numFmtId="0" fontId="120" fillId="43" borderId="33" xfId="0" applyFont="1" applyFill="1" applyBorder="1" applyAlignment="1">
      <alignment horizontal="center"/>
    </xf>
    <xf numFmtId="176" fontId="49" fillId="43" borderId="33" xfId="0" applyNumberFormat="1" applyFont="1" applyFill="1" applyBorder="1"/>
    <xf numFmtId="0" fontId="49" fillId="43" borderId="33" xfId="0" applyFont="1" applyFill="1" applyBorder="1" applyAlignment="1">
      <alignment horizontal="center"/>
    </xf>
    <xf numFmtId="184" fontId="49" fillId="43" borderId="33" xfId="0" applyNumberFormat="1" applyFont="1" applyFill="1" applyBorder="1"/>
    <xf numFmtId="168" fontId="49" fillId="43" borderId="33" xfId="0" applyNumberFormat="1" applyFont="1" applyFill="1" applyBorder="1"/>
    <xf numFmtId="0" fontId="49" fillId="10" borderId="89" xfId="0" applyFont="1" applyFill="1" applyBorder="1" applyAlignment="1">
      <alignment horizontal="center" vertical="center" wrapText="1"/>
    </xf>
    <xf numFmtId="0" fontId="88" fillId="10" borderId="89" xfId="0" applyFont="1" applyFill="1" applyBorder="1" applyAlignment="1">
      <alignment vertical="center"/>
    </xf>
    <xf numFmtId="0" fontId="68" fillId="10" borderId="89" xfId="0" applyFont="1" applyFill="1" applyBorder="1" applyAlignment="1">
      <alignment horizontal="center" wrapText="1"/>
    </xf>
    <xf numFmtId="0" fontId="49" fillId="10" borderId="90" xfId="0" applyFont="1" applyFill="1" applyBorder="1" applyAlignment="1">
      <alignment horizontal="center" vertical="center" wrapText="1"/>
    </xf>
    <xf numFmtId="0" fontId="68" fillId="0" borderId="37" xfId="0" applyFont="1" applyBorder="1"/>
    <xf numFmtId="0" fontId="49" fillId="0" borderId="117" xfId="0" applyFont="1" applyBorder="1" applyAlignment="1">
      <alignment horizontal="center" vertical="center" wrapText="1"/>
    </xf>
    <xf numFmtId="0" fontId="89" fillId="0" borderId="36" xfId="0" applyFont="1" applyBorder="1" applyAlignment="1">
      <alignment vertical="center"/>
    </xf>
    <xf numFmtId="0" fontId="89" fillId="0" borderId="36" xfId="0" applyFont="1" applyBorder="1" applyAlignment="1">
      <alignment horizontal="center" vertical="center"/>
    </xf>
    <xf numFmtId="0" fontId="49" fillId="0" borderId="36" xfId="0" applyFont="1" applyBorder="1" applyAlignment="1">
      <alignment horizontal="center" vertical="center" wrapText="1"/>
    </xf>
    <xf numFmtId="0" fontId="120" fillId="0" borderId="36" xfId="0" applyFont="1" applyBorder="1" applyAlignment="1">
      <alignment horizontal="center"/>
    </xf>
    <xf numFmtId="168" fontId="95" fillId="0" borderId="36" xfId="0" applyNumberFormat="1" applyFont="1" applyBorder="1" applyAlignment="1">
      <alignment horizontal="center" vertical="center" wrapText="1"/>
    </xf>
    <xf numFmtId="0" fontId="120" fillId="0" borderId="36" xfId="0" applyFont="1" applyBorder="1" applyAlignment="1">
      <alignment horizontal="center" vertical="center" wrapText="1"/>
    </xf>
    <xf numFmtId="0" fontId="40" fillId="0" borderId="36" xfId="0" applyFont="1" applyBorder="1" applyAlignment="1">
      <alignment horizontal="center"/>
    </xf>
    <xf numFmtId="0" fontId="49" fillId="0" borderId="12" xfId="0" applyFont="1" applyBorder="1" applyAlignment="1">
      <alignment horizontal="center" vertical="center" wrapText="1"/>
    </xf>
    <xf numFmtId="172" fontId="120" fillId="43" borderId="4" xfId="0" applyNumberFormat="1" applyFont="1" applyFill="1" applyBorder="1" applyAlignment="1">
      <alignment horizontal="center"/>
    </xf>
    <xf numFmtId="3" fontId="120" fillId="0" borderId="4" xfId="0" applyNumberFormat="1" applyFont="1" applyBorder="1" applyAlignment="1">
      <alignment horizontal="center"/>
    </xf>
    <xf numFmtId="172" fontId="120" fillId="0" borderId="4" xfId="0" applyNumberFormat="1" applyFont="1" applyBorder="1" applyAlignment="1">
      <alignment horizontal="center"/>
    </xf>
    <xf numFmtId="176" fontId="120" fillId="0" borderId="4" xfId="0" applyNumberFormat="1" applyFont="1" applyBorder="1" applyAlignment="1">
      <alignment horizontal="center"/>
    </xf>
    <xf numFmtId="2" fontId="120" fillId="0" borderId="4" xfId="0" applyNumberFormat="1" applyFont="1" applyBorder="1" applyAlignment="1">
      <alignment horizontal="center"/>
    </xf>
    <xf numFmtId="0" fontId="120" fillId="0" borderId="4" xfId="0" applyFont="1" applyBorder="1" applyAlignment="1">
      <alignment horizontal="center" vertical="center"/>
    </xf>
    <xf numFmtId="168" fontId="120" fillId="0" borderId="4" xfId="0" applyNumberFormat="1" applyFont="1" applyBorder="1" applyAlignment="1">
      <alignment horizontal="center" vertical="center"/>
    </xf>
    <xf numFmtId="176" fontId="40" fillId="0" borderId="4" xfId="0" applyNumberFormat="1" applyFont="1" applyBorder="1" applyAlignment="1">
      <alignment horizontal="center"/>
    </xf>
    <xf numFmtId="168" fontId="40" fillId="0" borderId="4" xfId="0" applyNumberFormat="1" applyFont="1" applyBorder="1" applyAlignment="1">
      <alignment horizontal="right"/>
    </xf>
    <xf numFmtId="168" fontId="40" fillId="0" borderId="72" xfId="0" applyNumberFormat="1" applyFont="1" applyBorder="1" applyAlignment="1">
      <alignment horizontal="right"/>
    </xf>
    <xf numFmtId="0" fontId="40" fillId="0" borderId="38" xfId="0" applyFont="1" applyBorder="1" applyAlignment="1">
      <alignment horizontal="left"/>
    </xf>
    <xf numFmtId="0" fontId="68" fillId="0" borderId="38" xfId="0" applyFont="1" applyBorder="1"/>
    <xf numFmtId="3" fontId="120" fillId="43" borderId="224" xfId="0" applyNumberFormat="1" applyFont="1" applyFill="1" applyBorder="1" applyAlignment="1">
      <alignment horizontal="center"/>
    </xf>
    <xf numFmtId="0" fontId="120" fillId="0" borderId="27" xfId="0" applyFont="1" applyBorder="1" applyAlignment="1">
      <alignment horizontal="center"/>
    </xf>
    <xf numFmtId="3" fontId="120" fillId="0" borderId="27" xfId="0" applyNumberFormat="1" applyFont="1" applyBorder="1" applyAlignment="1">
      <alignment horizontal="center"/>
    </xf>
    <xf numFmtId="172" fontId="120" fillId="0" borderId="27" xfId="0" applyNumberFormat="1" applyFont="1" applyBorder="1" applyAlignment="1">
      <alignment horizontal="center"/>
    </xf>
    <xf numFmtId="176" fontId="120" fillId="0" borderId="27" xfId="0" applyNumberFormat="1" applyFont="1" applyBorder="1" applyAlignment="1">
      <alignment horizontal="center"/>
    </xf>
    <xf numFmtId="2" fontId="120" fillId="0" borderId="27" xfId="0" applyNumberFormat="1" applyFont="1" applyBorder="1" applyAlignment="1">
      <alignment horizontal="center"/>
    </xf>
    <xf numFmtId="176" fontId="40" fillId="0" borderId="27" xfId="0" applyNumberFormat="1" applyFont="1" applyBorder="1" applyAlignment="1">
      <alignment horizontal="center"/>
    </xf>
    <xf numFmtId="168" fontId="40" fillId="0" borderId="27" xfId="0" applyNumberFormat="1" applyFont="1" applyBorder="1" applyAlignment="1">
      <alignment horizontal="right"/>
    </xf>
    <xf numFmtId="168" fontId="40" fillId="0" borderId="19" xfId="0" applyNumberFormat="1" applyFont="1" applyBorder="1" applyAlignment="1">
      <alignment horizontal="right"/>
    </xf>
    <xf numFmtId="172" fontId="120" fillId="44" borderId="4" xfId="0" applyNumberFormat="1" applyFont="1" applyFill="1" applyBorder="1" applyAlignment="1">
      <alignment horizontal="center"/>
    </xf>
    <xf numFmtId="190" fontId="120" fillId="0" borderId="4" xfId="0" applyNumberFormat="1" applyFont="1" applyBorder="1" applyAlignment="1">
      <alignment horizontal="center"/>
    </xf>
    <xf numFmtId="175" fontId="120" fillId="0" borderId="27" xfId="0" applyNumberFormat="1" applyFont="1" applyBorder="1" applyAlignment="1">
      <alignment horizontal="center"/>
    </xf>
    <xf numFmtId="190" fontId="120" fillId="0" borderId="27" xfId="0" applyNumberFormat="1" applyFont="1" applyBorder="1" applyAlignment="1">
      <alignment horizontal="center"/>
    </xf>
    <xf numFmtId="3" fontId="120" fillId="43" borderId="4" xfId="0" applyNumberFormat="1" applyFont="1" applyFill="1" applyBorder="1" applyAlignment="1">
      <alignment horizontal="center"/>
    </xf>
    <xf numFmtId="0" fontId="120" fillId="0" borderId="1" xfId="0" applyFont="1" applyBorder="1" applyAlignment="1">
      <alignment horizontal="center"/>
    </xf>
    <xf numFmtId="168" fontId="120" fillId="0" borderId="27" xfId="0" applyNumberFormat="1" applyFont="1" applyBorder="1" applyAlignment="1">
      <alignment horizontal="center"/>
    </xf>
    <xf numFmtId="3" fontId="125" fillId="43" borderId="4" xfId="0" applyNumberFormat="1" applyFont="1" applyFill="1" applyBorder="1" applyAlignment="1">
      <alignment horizontal="center"/>
    </xf>
    <xf numFmtId="0" fontId="125" fillId="2" borderId="4" xfId="0" applyFont="1" applyFill="1" applyBorder="1" applyAlignment="1">
      <alignment horizontal="center"/>
    </xf>
    <xf numFmtId="3" fontId="125" fillId="2" borderId="4" xfId="0" applyNumberFormat="1" applyFont="1" applyFill="1" applyBorder="1" applyAlignment="1">
      <alignment horizontal="center"/>
    </xf>
    <xf numFmtId="176" fontId="125" fillId="2" borderId="4" xfId="0" applyNumberFormat="1" applyFont="1" applyFill="1" applyBorder="1" applyAlignment="1">
      <alignment horizontal="center"/>
    </xf>
    <xf numFmtId="2" fontId="125" fillId="2" borderId="4" xfId="0" applyNumberFormat="1" applyFont="1" applyFill="1" applyBorder="1" applyAlignment="1">
      <alignment horizontal="center"/>
    </xf>
    <xf numFmtId="168" fontId="125" fillId="2" borderId="4" xfId="0" applyNumberFormat="1" applyFont="1" applyFill="1" applyBorder="1" applyAlignment="1">
      <alignment horizontal="center" vertical="center"/>
    </xf>
    <xf numFmtId="176" fontId="126" fillId="2" borderId="4" xfId="0" applyNumberFormat="1" applyFont="1" applyFill="1" applyBorder="1" applyAlignment="1">
      <alignment horizontal="center"/>
    </xf>
    <xf numFmtId="168" fontId="126" fillId="2" borderId="4" xfId="0" applyNumberFormat="1" applyFont="1" applyFill="1" applyBorder="1" applyAlignment="1">
      <alignment horizontal="right"/>
    </xf>
    <xf numFmtId="168" fontId="126" fillId="2" borderId="72" xfId="0" applyNumberFormat="1" applyFont="1" applyFill="1" applyBorder="1" applyAlignment="1">
      <alignment horizontal="right"/>
    </xf>
    <xf numFmtId="168" fontId="120" fillId="0" borderId="4" xfId="0" applyNumberFormat="1" applyFont="1" applyBorder="1" applyAlignment="1">
      <alignment horizontal="center"/>
    </xf>
    <xf numFmtId="0" fontId="40" fillId="0" borderId="1" xfId="0" applyFont="1" applyBorder="1" applyAlignment="1">
      <alignment horizontal="center"/>
    </xf>
    <xf numFmtId="0" fontId="40" fillId="0" borderId="27" xfId="0" applyFont="1" applyBorder="1" applyAlignment="1">
      <alignment horizontal="center"/>
    </xf>
    <xf numFmtId="172" fontId="40" fillId="44" borderId="4" xfId="0" applyNumberFormat="1" applyFont="1" applyFill="1" applyBorder="1" applyAlignment="1">
      <alignment horizontal="center"/>
    </xf>
    <xf numFmtId="0" fontId="29" fillId="10" borderId="89" xfId="0" applyFont="1" applyFill="1" applyBorder="1"/>
    <xf numFmtId="0" fontId="29" fillId="10" borderId="89" xfId="0" applyFont="1" applyFill="1" applyBorder="1" applyAlignment="1">
      <alignment horizontal="center"/>
    </xf>
    <xf numFmtId="176" fontId="49" fillId="10" borderId="89" xfId="0" applyNumberFormat="1" applyFont="1" applyFill="1" applyBorder="1" applyAlignment="1">
      <alignment horizontal="center"/>
    </xf>
    <xf numFmtId="176" fontId="68" fillId="10" borderId="89" xfId="0" applyNumberFormat="1" applyFont="1" applyFill="1" applyBorder="1" applyAlignment="1">
      <alignment horizontal="center"/>
    </xf>
    <xf numFmtId="168" fontId="68" fillId="10" borderId="89" xfId="0" applyNumberFormat="1" applyFont="1" applyFill="1" applyBorder="1" applyAlignment="1">
      <alignment horizontal="right"/>
    </xf>
    <xf numFmtId="168" fontId="68" fillId="10" borderId="90" xfId="0" applyNumberFormat="1" applyFont="1" applyFill="1" applyBorder="1" applyAlignment="1">
      <alignment horizontal="right"/>
    </xf>
    <xf numFmtId="0" fontId="29" fillId="0" borderId="0" xfId="0" applyFont="1" applyAlignment="1">
      <alignment horizontal="center"/>
    </xf>
    <xf numFmtId="176" fontId="49" fillId="0" borderId="0" xfId="0" applyNumberFormat="1" applyFont="1" applyAlignment="1">
      <alignment horizontal="center"/>
    </xf>
    <xf numFmtId="176" fontId="68" fillId="0" borderId="0" xfId="0" applyNumberFormat="1" applyFont="1" applyAlignment="1">
      <alignment horizontal="center"/>
    </xf>
    <xf numFmtId="168" fontId="68" fillId="0" borderId="0" xfId="0" applyNumberFormat="1" applyFont="1" applyAlignment="1">
      <alignment horizontal="right"/>
    </xf>
    <xf numFmtId="172" fontId="68" fillId="10" borderId="4" xfId="0" applyNumberFormat="1" applyFont="1" applyFill="1" applyBorder="1" applyAlignment="1">
      <alignment horizontal="center" wrapText="1"/>
    </xf>
    <xf numFmtId="0" fontId="88" fillId="10" borderId="4" xfId="0" applyFont="1" applyFill="1" applyBorder="1" applyAlignment="1">
      <alignment vertical="center"/>
    </xf>
    <xf numFmtId="0" fontId="30" fillId="10" borderId="4" xfId="0" applyFont="1" applyFill="1" applyBorder="1" applyAlignment="1">
      <alignment horizontal="center"/>
    </xf>
    <xf numFmtId="172" fontId="49" fillId="0" borderId="1" xfId="0" applyNumberFormat="1" applyFont="1" applyBorder="1" applyAlignment="1">
      <alignment horizontal="center" vertical="center" wrapText="1"/>
    </xf>
    <xf numFmtId="0" fontId="89" fillId="0" borderId="27" xfId="0" applyFont="1" applyBorder="1" applyAlignment="1">
      <alignment vertical="center"/>
    </xf>
    <xf numFmtId="0" fontId="49" fillId="0" borderId="27" xfId="0" applyFont="1" applyBorder="1"/>
    <xf numFmtId="0" fontId="29" fillId="0" borderId="27" xfId="0" applyFont="1" applyBorder="1"/>
    <xf numFmtId="0" fontId="23" fillId="0" borderId="27" xfId="0" applyFont="1" applyBorder="1"/>
    <xf numFmtId="0" fontId="29" fillId="0" borderId="27" xfId="0" applyFont="1" applyBorder="1" applyAlignment="1">
      <alignment horizontal="center"/>
    </xf>
    <xf numFmtId="43" fontId="29" fillId="0" borderId="27" xfId="0" applyNumberFormat="1" applyFont="1" applyBorder="1"/>
    <xf numFmtId="43" fontId="29" fillId="0" borderId="19" xfId="0" applyNumberFormat="1" applyFont="1" applyBorder="1"/>
    <xf numFmtId="169" fontId="120" fillId="0" borderId="4" xfId="0" applyNumberFormat="1" applyFont="1" applyBorder="1" applyAlignment="1">
      <alignment horizontal="center"/>
    </xf>
    <xf numFmtId="169" fontId="120" fillId="0" borderId="72" xfId="0" applyNumberFormat="1" applyFont="1" applyBorder="1" applyAlignment="1">
      <alignment horizontal="center"/>
    </xf>
    <xf numFmtId="172" fontId="120" fillId="0" borderId="1" xfId="0" applyNumberFormat="1" applyFont="1" applyBorder="1" applyAlignment="1">
      <alignment horizontal="center"/>
    </xf>
    <xf numFmtId="176" fontId="120" fillId="0" borderId="27" xfId="0" applyNumberFormat="1" applyFont="1" applyBorder="1"/>
    <xf numFmtId="176" fontId="120" fillId="0" borderId="19" xfId="0" applyNumberFormat="1" applyFont="1" applyBorder="1" applyAlignment="1">
      <alignment horizontal="center"/>
    </xf>
    <xf numFmtId="169" fontId="120" fillId="0" borderId="27" xfId="0" applyNumberFormat="1" applyFont="1" applyBorder="1" applyAlignment="1">
      <alignment horizontal="center"/>
    </xf>
    <xf numFmtId="172" fontId="120" fillId="42" borderId="4" xfId="0" applyNumberFormat="1" applyFont="1" applyFill="1" applyBorder="1" applyAlignment="1">
      <alignment horizontal="center"/>
    </xf>
    <xf numFmtId="172" fontId="125" fillId="2" borderId="4" xfId="0" applyNumberFormat="1" applyFont="1" applyFill="1" applyBorder="1" applyAlignment="1">
      <alignment horizontal="center"/>
    </xf>
    <xf numFmtId="0" fontId="127" fillId="2" borderId="4" xfId="0" applyFont="1" applyFill="1" applyBorder="1"/>
    <xf numFmtId="176" fontId="125" fillId="2" borderId="4" xfId="0" applyNumberFormat="1" applyFont="1" applyFill="1" applyBorder="1"/>
    <xf numFmtId="176" fontId="125" fillId="2" borderId="72" xfId="0" applyNumberFormat="1" applyFont="1" applyFill="1" applyBorder="1" applyAlignment="1">
      <alignment horizontal="center"/>
    </xf>
    <xf numFmtId="0" fontId="49" fillId="10" borderId="38" xfId="0" applyFont="1" applyFill="1" applyBorder="1"/>
    <xf numFmtId="3" fontId="29" fillId="10" borderId="4" xfId="0" applyNumberFormat="1" applyFont="1" applyFill="1" applyBorder="1" applyAlignment="1">
      <alignment horizontal="center"/>
    </xf>
    <xf numFmtId="0" fontId="29" fillId="10" borderId="4" xfId="0" applyFont="1" applyFill="1" applyBorder="1"/>
    <xf numFmtId="176" fontId="49" fillId="10" borderId="4" xfId="0" applyNumberFormat="1" applyFont="1" applyFill="1" applyBorder="1" applyAlignment="1">
      <alignment horizontal="center"/>
    </xf>
    <xf numFmtId="176" fontId="120" fillId="10" borderId="4" xfId="0" applyNumberFormat="1" applyFont="1" applyFill="1" applyBorder="1"/>
    <xf numFmtId="176" fontId="120" fillId="10" borderId="4" xfId="0" applyNumberFormat="1" applyFont="1" applyFill="1" applyBorder="1" applyAlignment="1">
      <alignment horizontal="center"/>
    </xf>
    <xf numFmtId="169" fontId="49" fillId="10" borderId="4" xfId="0" applyNumberFormat="1" applyFont="1" applyFill="1" applyBorder="1" applyAlignment="1">
      <alignment horizontal="center"/>
    </xf>
    <xf numFmtId="169" fontId="49" fillId="10" borderId="72" xfId="0" applyNumberFormat="1" applyFont="1" applyFill="1" applyBorder="1" applyAlignment="1">
      <alignment horizontal="center"/>
    </xf>
    <xf numFmtId="0" fontId="49" fillId="0" borderId="78" xfId="0" applyFont="1" applyBorder="1"/>
    <xf numFmtId="0" fontId="40" fillId="0" borderId="89" xfId="0" applyFont="1" applyBorder="1" applyAlignment="1">
      <alignment horizontal="center"/>
    </xf>
    <xf numFmtId="0" fontId="120" fillId="0" borderId="89" xfId="0" applyFont="1" applyBorder="1" applyAlignment="1">
      <alignment horizontal="center"/>
    </xf>
    <xf numFmtId="176" fontId="49" fillId="0" borderId="89" xfId="0" applyNumberFormat="1" applyFont="1" applyBorder="1"/>
    <xf numFmtId="0" fontId="49" fillId="0" borderId="89" xfId="0" applyFont="1" applyBorder="1" applyAlignment="1">
      <alignment horizontal="center"/>
    </xf>
    <xf numFmtId="184" fontId="49" fillId="0" borderId="89" xfId="0" applyNumberFormat="1" applyFont="1" applyBorder="1"/>
    <xf numFmtId="168" fontId="49" fillId="0" borderId="89" xfId="0" applyNumberFormat="1" applyFont="1" applyBorder="1"/>
    <xf numFmtId="0" fontId="28" fillId="0" borderId="90" xfId="0" applyFont="1" applyBorder="1"/>
    <xf numFmtId="0" fontId="123" fillId="43" borderId="65" xfId="0" applyFont="1" applyFill="1" applyBorder="1" applyAlignment="1">
      <alignment horizontal="left"/>
    </xf>
    <xf numFmtId="0" fontId="40" fillId="43" borderId="95" xfId="0" applyFont="1" applyFill="1" applyBorder="1" applyAlignment="1">
      <alignment horizontal="center"/>
    </xf>
    <xf numFmtId="0" fontId="120" fillId="43" borderId="95" xfId="0" applyFont="1" applyFill="1" applyBorder="1" applyAlignment="1">
      <alignment horizontal="center"/>
    </xf>
    <xf numFmtId="0" fontId="120" fillId="43" borderId="66" xfId="0" applyFont="1" applyFill="1" applyBorder="1" applyAlignment="1">
      <alignment horizontal="center"/>
    </xf>
    <xf numFmtId="176" fontId="49" fillId="43" borderId="95" xfId="0" applyNumberFormat="1" applyFont="1" applyFill="1" applyBorder="1"/>
    <xf numFmtId="0" fontId="49" fillId="43" borderId="95" xfId="0" applyFont="1" applyFill="1" applyBorder="1" applyAlignment="1">
      <alignment horizontal="center"/>
    </xf>
    <xf numFmtId="184" fontId="49" fillId="43" borderId="95" xfId="0" applyNumberFormat="1" applyFont="1" applyFill="1" applyBorder="1"/>
    <xf numFmtId="168" fontId="49" fillId="43" borderId="95" xfId="0" applyNumberFormat="1" applyFont="1" applyFill="1" applyBorder="1"/>
    <xf numFmtId="0" fontId="28" fillId="43" borderId="95" xfId="0" applyFont="1" applyFill="1" applyBorder="1"/>
    <xf numFmtId="0" fontId="28" fillId="43" borderId="66" xfId="0" applyFont="1" applyFill="1" applyBorder="1"/>
    <xf numFmtId="0" fontId="13" fillId="4" borderId="13" xfId="0" applyFont="1" applyFill="1" applyBorder="1"/>
    <xf numFmtId="0" fontId="3" fillId="0" borderId="25" xfId="0" applyFont="1" applyBorder="1"/>
    <xf numFmtId="176" fontId="3" fillId="0" borderId="25" xfId="0" applyNumberFormat="1" applyFont="1" applyBorder="1"/>
    <xf numFmtId="177" fontId="3" fillId="0" borderId="25" xfId="0" applyNumberFormat="1" applyFont="1" applyBorder="1"/>
    <xf numFmtId="0" fontId="3" fillId="0" borderId="41" xfId="0" applyFont="1" applyBorder="1"/>
    <xf numFmtId="0" fontId="63" fillId="10" borderId="171" xfId="0" applyFont="1" applyFill="1" applyBorder="1" applyAlignment="1">
      <alignment wrapText="1"/>
    </xf>
    <xf numFmtId="0" fontId="13" fillId="10" borderId="35" xfId="0" applyFont="1" applyFill="1" applyBorder="1" applyAlignment="1">
      <alignment horizontal="center" wrapText="1"/>
    </xf>
    <xf numFmtId="0" fontId="13" fillId="10" borderId="35" xfId="0" applyFont="1" applyFill="1" applyBorder="1"/>
    <xf numFmtId="0" fontId="13" fillId="10" borderId="35" xfId="0" applyFont="1" applyFill="1" applyBorder="1" applyAlignment="1">
      <alignment horizontal="center"/>
    </xf>
    <xf numFmtId="0" fontId="3" fillId="0" borderId="35" xfId="0" applyFont="1" applyBorder="1"/>
    <xf numFmtId="0" fontId="3" fillId="10" borderId="35" xfId="0" applyFont="1" applyFill="1" applyBorder="1"/>
    <xf numFmtId="0" fontId="3" fillId="10" borderId="35" xfId="0" applyFont="1" applyFill="1" applyBorder="1" applyAlignment="1">
      <alignment horizontal="center"/>
    </xf>
    <xf numFmtId="177" fontId="13" fillId="10" borderId="35" xfId="0" applyNumberFormat="1" applyFont="1" applyFill="1" applyBorder="1" applyAlignment="1">
      <alignment horizontal="center" wrapText="1"/>
    </xf>
    <xf numFmtId="0" fontId="13" fillId="10" borderId="320" xfId="0" applyFont="1" applyFill="1" applyBorder="1" applyAlignment="1">
      <alignment horizontal="center" wrapText="1"/>
    </xf>
    <xf numFmtId="0" fontId="28" fillId="0" borderId="87" xfId="0" applyFont="1" applyBorder="1" applyAlignment="1">
      <alignment vertical="center" wrapText="1"/>
    </xf>
    <xf numFmtId="0" fontId="28" fillId="0" borderId="33" xfId="0" quotePrefix="1" applyFont="1" applyBorder="1" applyAlignment="1">
      <alignment horizontal="left" wrapText="1"/>
    </xf>
    <xf numFmtId="0" fontId="67" fillId="0" borderId="33" xfId="0" applyFont="1" applyBorder="1" applyAlignment="1">
      <alignment horizontal="center" wrapText="1"/>
    </xf>
    <xf numFmtId="176" fontId="28" fillId="35" borderId="33" xfId="0" applyNumberFormat="1" applyFont="1" applyFill="1" applyBorder="1" applyAlignment="1">
      <alignment wrapText="1"/>
    </xf>
    <xf numFmtId="0" fontId="67" fillId="0" borderId="33" xfId="0" applyFont="1" applyBorder="1" applyAlignment="1">
      <alignment wrapText="1"/>
    </xf>
    <xf numFmtId="184" fontId="28" fillId="0" borderId="33" xfId="0" applyNumberFormat="1" applyFont="1" applyBorder="1" applyAlignment="1">
      <alignment horizontal="center" vertical="center"/>
    </xf>
    <xf numFmtId="0" fontId="28" fillId="0" borderId="33" xfId="0" applyFont="1" applyBorder="1" applyAlignment="1">
      <alignment horizontal="center" vertical="center"/>
    </xf>
    <xf numFmtId="176" fontId="28" fillId="0" borderId="33" xfId="0" applyNumberFormat="1" applyFont="1" applyBorder="1" applyAlignment="1">
      <alignment vertical="center"/>
    </xf>
    <xf numFmtId="176" fontId="67" fillId="0" borderId="33" xfId="0" applyNumberFormat="1" applyFont="1" applyBorder="1" applyAlignment="1">
      <alignment horizontal="center" wrapText="1"/>
    </xf>
    <xf numFmtId="176" fontId="28" fillId="0" borderId="33" xfId="0" applyNumberFormat="1" applyFont="1" applyBorder="1" applyAlignment="1">
      <alignment horizontal="center" vertical="center"/>
    </xf>
    <xf numFmtId="0" fontId="28" fillId="0" borderId="33" xfId="0" applyFont="1" applyBorder="1" applyAlignment="1">
      <alignment horizontal="center"/>
    </xf>
    <xf numFmtId="176" fontId="28" fillId="0" borderId="33" xfId="0" applyNumberFormat="1" applyFont="1" applyBorder="1" applyAlignment="1">
      <alignment horizontal="center"/>
    </xf>
    <xf numFmtId="0" fontId="67" fillId="10" borderId="33" xfId="0" applyFont="1" applyFill="1" applyBorder="1" applyAlignment="1">
      <alignment horizontal="right"/>
    </xf>
    <xf numFmtId="177" fontId="67" fillId="0" borderId="33" xfId="0" applyNumberFormat="1" applyFont="1" applyBorder="1" applyAlignment="1">
      <alignment horizontal="center"/>
    </xf>
    <xf numFmtId="180" fontId="67" fillId="0" borderId="33" xfId="0" applyNumberFormat="1" applyFont="1" applyBorder="1" applyAlignment="1">
      <alignment horizontal="center"/>
    </xf>
    <xf numFmtId="180" fontId="67" fillId="10" borderId="88" xfId="0" applyNumberFormat="1" applyFont="1" applyFill="1" applyBorder="1" applyAlignment="1">
      <alignment horizontal="center"/>
    </xf>
    <xf numFmtId="0" fontId="28" fillId="0" borderId="4" xfId="0" quotePrefix="1" applyFont="1" applyBorder="1" applyAlignment="1">
      <alignment horizontal="left" wrapText="1"/>
    </xf>
    <xf numFmtId="0" fontId="28" fillId="0" borderId="4" xfId="0" applyFont="1" applyBorder="1" applyAlignment="1">
      <alignment horizontal="left" wrapText="1"/>
    </xf>
    <xf numFmtId="176" fontId="28" fillId="35" borderId="4" xfId="0" applyNumberFormat="1" applyFont="1" applyFill="1" applyBorder="1"/>
    <xf numFmtId="184" fontId="28" fillId="0" borderId="4" xfId="0" applyNumberFormat="1" applyFont="1" applyBorder="1" applyAlignment="1">
      <alignment horizontal="center" vertical="center"/>
    </xf>
    <xf numFmtId="0" fontId="28" fillId="0" borderId="4" xfId="0" applyFont="1" applyBorder="1" applyAlignment="1">
      <alignment horizontal="center" vertical="center"/>
    </xf>
    <xf numFmtId="176" fontId="28" fillId="0" borderId="4" xfId="0" applyNumberFormat="1" applyFont="1" applyBorder="1" applyAlignment="1">
      <alignment vertical="center"/>
    </xf>
    <xf numFmtId="176" fontId="28" fillId="0" borderId="4" xfId="0" applyNumberFormat="1" applyFont="1" applyBorder="1" applyAlignment="1">
      <alignment horizontal="center"/>
    </xf>
    <xf numFmtId="176" fontId="28" fillId="0" borderId="4" xfId="0" applyNumberFormat="1" applyFont="1" applyBorder="1" applyAlignment="1">
      <alignment horizontal="center" vertical="center"/>
    </xf>
    <xf numFmtId="0" fontId="28" fillId="0" borderId="4" xfId="0" applyFont="1" applyBorder="1" applyAlignment="1">
      <alignment horizontal="center"/>
    </xf>
    <xf numFmtId="0" fontId="67" fillId="10" borderId="4" xfId="0" applyFont="1" applyFill="1" applyBorder="1" applyAlignment="1">
      <alignment horizontal="right"/>
    </xf>
    <xf numFmtId="177" fontId="67" fillId="0" borderId="4" xfId="0" applyNumberFormat="1" applyFont="1" applyBorder="1" applyAlignment="1">
      <alignment horizontal="center"/>
    </xf>
    <xf numFmtId="180" fontId="67" fillId="0" borderId="4" xfId="0" applyNumberFormat="1" applyFont="1" applyBorder="1" applyAlignment="1">
      <alignment horizontal="center"/>
    </xf>
    <xf numFmtId="180" fontId="67" fillId="10" borderId="72" xfId="0" applyNumberFormat="1" applyFont="1" applyFill="1" applyBorder="1" applyAlignment="1">
      <alignment horizontal="center"/>
    </xf>
    <xf numFmtId="0" fontId="67" fillId="0" borderId="4" xfId="0" applyFont="1" applyBorder="1"/>
    <xf numFmtId="177" fontId="28" fillId="0" borderId="4" xfId="0" applyNumberFormat="1" applyFont="1" applyBorder="1"/>
    <xf numFmtId="176" fontId="28" fillId="35" borderId="4" xfId="0" applyNumberFormat="1" applyFont="1" applyFill="1" applyBorder="1" applyAlignment="1">
      <alignment wrapText="1"/>
    </xf>
    <xf numFmtId="0" fontId="28" fillId="0" borderId="38" xfId="0" applyFont="1" applyBorder="1" applyAlignment="1">
      <alignment wrapText="1"/>
    </xf>
    <xf numFmtId="0" fontId="28" fillId="0" borderId="4" xfId="0" applyFont="1" applyBorder="1" applyAlignment="1">
      <alignment vertical="top" wrapText="1"/>
    </xf>
    <xf numFmtId="0" fontId="13" fillId="10" borderId="78" xfId="0" applyFont="1" applyFill="1" applyBorder="1"/>
    <xf numFmtId="0" fontId="13" fillId="10" borderId="89" xfId="0" applyFont="1" applyFill="1" applyBorder="1"/>
    <xf numFmtId="0" fontId="3" fillId="10" borderId="89" xfId="0" applyFont="1" applyFill="1" applyBorder="1"/>
    <xf numFmtId="176" fontId="13" fillId="10" borderId="89" xfId="0" applyNumberFormat="1" applyFont="1" applyFill="1" applyBorder="1" applyAlignment="1">
      <alignment vertical="center"/>
    </xf>
    <xf numFmtId="176" fontId="13" fillId="10" borderId="89" xfId="0" applyNumberFormat="1" applyFont="1" applyFill="1" applyBorder="1" applyAlignment="1">
      <alignment horizontal="center" vertical="center"/>
    </xf>
    <xf numFmtId="0" fontId="13" fillId="10" borderId="89" xfId="0" applyFont="1" applyFill="1" applyBorder="1" applyAlignment="1">
      <alignment horizontal="center" vertical="center"/>
    </xf>
    <xf numFmtId="176" fontId="13" fillId="10" borderId="89" xfId="0" applyNumberFormat="1" applyFont="1" applyFill="1" applyBorder="1" applyAlignment="1">
      <alignment horizontal="center" wrapText="1"/>
    </xf>
    <xf numFmtId="177" fontId="3" fillId="10" borderId="89" xfId="0" applyNumberFormat="1" applyFont="1" applyFill="1" applyBorder="1"/>
    <xf numFmtId="0" fontId="3" fillId="10" borderId="90" xfId="0" applyFont="1" applyFill="1" applyBorder="1"/>
    <xf numFmtId="176" fontId="13" fillId="0" borderId="0" xfId="0" applyNumberFormat="1" applyFont="1" applyAlignment="1">
      <alignment horizontal="center" vertical="center"/>
    </xf>
    <xf numFmtId="0" fontId="13" fillId="0" borderId="0" xfId="0" applyFont="1" applyAlignment="1">
      <alignment horizontal="center" vertical="center"/>
    </xf>
    <xf numFmtId="176" fontId="13" fillId="0" borderId="0" xfId="0" applyNumberFormat="1" applyFont="1" applyAlignment="1">
      <alignment horizontal="center" vertical="center" wrapText="1"/>
    </xf>
    <xf numFmtId="177" fontId="3" fillId="0" borderId="0" xfId="0" applyNumberFormat="1" applyFont="1"/>
    <xf numFmtId="0" fontId="28" fillId="0" borderId="20" xfId="0" applyFont="1" applyBorder="1"/>
    <xf numFmtId="0" fontId="13" fillId="4" borderId="275" xfId="0" applyFont="1" applyFill="1" applyBorder="1" applyAlignment="1">
      <alignment vertical="center"/>
    </xf>
    <xf numFmtId="1" fontId="13" fillId="4" borderId="297" xfId="0" applyNumberFormat="1" applyFont="1" applyFill="1" applyBorder="1" applyAlignment="1">
      <alignment horizontal="center"/>
    </xf>
    <xf numFmtId="176" fontId="3" fillId="0" borderId="0" xfId="0" applyNumberFormat="1" applyFont="1"/>
    <xf numFmtId="0" fontId="3" fillId="0" borderId="0" xfId="0" applyFont="1" applyAlignment="1">
      <alignment vertical="center"/>
    </xf>
    <xf numFmtId="0" fontId="13" fillId="10" borderId="87" xfId="0" applyFont="1" applyFill="1" applyBorder="1" applyAlignment="1">
      <alignment horizontal="left" vertical="center"/>
    </xf>
    <xf numFmtId="176" fontId="13" fillId="10" borderId="33" xfId="0" applyNumberFormat="1" applyFont="1" applyFill="1" applyBorder="1" applyAlignment="1">
      <alignment horizontal="center" vertical="center" wrapText="1"/>
    </xf>
    <xf numFmtId="176" fontId="13" fillId="10" borderId="88" xfId="0" applyNumberFormat="1" applyFont="1" applyFill="1" applyBorder="1" applyAlignment="1">
      <alignment horizontal="center" vertical="center" wrapText="1"/>
    </xf>
    <xf numFmtId="176" fontId="13" fillId="10" borderId="321" xfId="0" applyNumberFormat="1" applyFont="1" applyFill="1" applyBorder="1" applyAlignment="1">
      <alignment horizontal="center" vertical="center" wrapText="1"/>
    </xf>
    <xf numFmtId="0" fontId="13" fillId="10" borderId="33" xfId="0" applyFont="1" applyFill="1" applyBorder="1" applyAlignment="1">
      <alignment horizontal="center" vertical="center" wrapText="1"/>
    </xf>
    <xf numFmtId="0" fontId="3" fillId="10" borderId="33" xfId="0" applyFont="1" applyFill="1" applyBorder="1" applyAlignment="1">
      <alignment vertical="center"/>
    </xf>
    <xf numFmtId="0" fontId="3" fillId="10" borderId="33" xfId="0" applyFont="1" applyFill="1" applyBorder="1" applyAlignment="1">
      <alignment vertical="center" wrapText="1"/>
    </xf>
    <xf numFmtId="0" fontId="13" fillId="10" borderId="33" xfId="0" applyFont="1" applyFill="1" applyBorder="1" applyAlignment="1">
      <alignment horizontal="left" vertical="center" wrapText="1"/>
    </xf>
    <xf numFmtId="177" fontId="13" fillId="10" borderId="33" xfId="0" applyNumberFormat="1" applyFont="1" applyFill="1" applyBorder="1" applyAlignment="1">
      <alignment horizontal="center" vertical="center" wrapText="1"/>
    </xf>
    <xf numFmtId="0" fontId="13" fillId="10" borderId="88" xfId="0" applyFont="1" applyFill="1" applyBorder="1" applyAlignment="1">
      <alignment horizontal="center" vertical="center" wrapText="1"/>
    </xf>
    <xf numFmtId="0" fontId="13" fillId="0" borderId="38" xfId="0" applyFont="1" applyBorder="1" applyAlignment="1">
      <alignment horizontal="left" wrapText="1"/>
    </xf>
    <xf numFmtId="176" fontId="3" fillId="35" borderId="4" xfId="0" applyNumberFormat="1" applyFont="1" applyFill="1" applyBorder="1"/>
    <xf numFmtId="176" fontId="53" fillId="0" borderId="72" xfId="0" applyNumberFormat="1" applyFont="1" applyBorder="1" applyAlignment="1">
      <alignment horizontal="center"/>
    </xf>
    <xf numFmtId="176" fontId="3" fillId="0" borderId="2" xfId="0" applyNumberFormat="1" applyFont="1" applyBorder="1"/>
    <xf numFmtId="9" fontId="3" fillId="0" borderId="4" xfId="0" applyNumberFormat="1" applyFont="1" applyBorder="1" applyAlignment="1">
      <alignment horizontal="center"/>
    </xf>
    <xf numFmtId="176" fontId="3" fillId="0" borderId="4" xfId="0" applyNumberFormat="1" applyFont="1" applyBorder="1" applyAlignment="1">
      <alignment horizontal="center" wrapText="1"/>
    </xf>
    <xf numFmtId="176" fontId="13" fillId="0" borderId="4" xfId="0" applyNumberFormat="1" applyFont="1" applyBorder="1" applyAlignment="1">
      <alignment horizontal="center"/>
    </xf>
    <xf numFmtId="0" fontId="3" fillId="0" borderId="4" xfId="0" applyFont="1" applyBorder="1" applyAlignment="1">
      <alignment horizontal="center" wrapText="1"/>
    </xf>
    <xf numFmtId="169" fontId="13" fillId="0" borderId="4" xfId="0" applyNumberFormat="1" applyFont="1" applyBorder="1" applyAlignment="1">
      <alignment horizontal="center"/>
    </xf>
    <xf numFmtId="169" fontId="3" fillId="0" borderId="4" xfId="0" applyNumberFormat="1" applyFont="1" applyBorder="1" applyAlignment="1">
      <alignment horizontal="center" wrapText="1"/>
    </xf>
    <xf numFmtId="180" fontId="13" fillId="10" borderId="4" xfId="0" applyNumberFormat="1" applyFont="1" applyFill="1" applyBorder="1" applyAlignment="1">
      <alignment horizontal="center"/>
    </xf>
    <xf numFmtId="0" fontId="3" fillId="10" borderId="4" xfId="0" applyFont="1" applyFill="1" applyBorder="1"/>
    <xf numFmtId="180" fontId="13" fillId="10" borderId="72" xfId="0" applyNumberFormat="1" applyFont="1" applyFill="1" applyBorder="1" applyAlignment="1">
      <alignment horizontal="center"/>
    </xf>
    <xf numFmtId="176" fontId="3" fillId="0" borderId="7" xfId="0" applyNumberFormat="1" applyFont="1" applyBorder="1" applyAlignment="1">
      <alignment horizontal="center"/>
    </xf>
    <xf numFmtId="9" fontId="3" fillId="0" borderId="89" xfId="0" applyNumberFormat="1" applyFont="1" applyBorder="1" applyAlignment="1">
      <alignment horizontal="center"/>
    </xf>
    <xf numFmtId="176" fontId="3" fillId="38" borderId="89" xfId="0" applyNumberFormat="1" applyFont="1" applyFill="1" applyBorder="1" applyAlignment="1">
      <alignment horizontal="center" wrapText="1"/>
    </xf>
    <xf numFmtId="176" fontId="3" fillId="0" borderId="89" xfId="0" applyNumberFormat="1" applyFont="1" applyBorder="1" applyAlignment="1">
      <alignment horizontal="center" wrapText="1"/>
    </xf>
    <xf numFmtId="0" fontId="3" fillId="0" borderId="89" xfId="0" applyFont="1" applyBorder="1" applyAlignment="1">
      <alignment horizontal="center" wrapText="1"/>
    </xf>
    <xf numFmtId="0" fontId="3" fillId="0" borderId="38" xfId="0" applyFont="1" applyBorder="1" applyAlignment="1">
      <alignment horizontal="left"/>
    </xf>
    <xf numFmtId="176" fontId="3" fillId="0" borderId="0" xfId="0" applyNumberFormat="1" applyFont="1" applyAlignment="1">
      <alignment horizontal="center"/>
    </xf>
    <xf numFmtId="9" fontId="3" fillId="0" borderId="0" xfId="0" applyNumberFormat="1" applyFont="1" applyAlignment="1">
      <alignment horizontal="center"/>
    </xf>
    <xf numFmtId="0" fontId="106" fillId="0" borderId="38" xfId="0" applyFont="1" applyBorder="1"/>
    <xf numFmtId="9" fontId="3" fillId="0" borderId="4" xfId="0" applyNumberFormat="1" applyFont="1" applyBorder="1"/>
    <xf numFmtId="9" fontId="53" fillId="0" borderId="72" xfId="0" applyNumberFormat="1" applyFont="1" applyBorder="1"/>
    <xf numFmtId="176" fontId="53" fillId="0" borderId="72" xfId="0" applyNumberFormat="1" applyFont="1" applyBorder="1"/>
    <xf numFmtId="176" fontId="3" fillId="0" borderId="72" xfId="0" applyNumberFormat="1" applyFont="1" applyBorder="1"/>
    <xf numFmtId="0" fontId="3" fillId="0" borderId="98" xfId="0" applyFont="1" applyBorder="1"/>
    <xf numFmtId="0" fontId="3" fillId="0" borderId="34" xfId="0" applyFont="1" applyBorder="1"/>
    <xf numFmtId="0" fontId="13" fillId="4" borderId="171" xfId="0" applyFont="1" applyFill="1" applyBorder="1" applyAlignment="1">
      <alignment vertical="center"/>
    </xf>
    <xf numFmtId="1" fontId="13" fillId="4" borderId="320" xfId="0" applyNumberFormat="1" applyFont="1" applyFill="1" applyBorder="1" applyAlignment="1">
      <alignment horizontal="center"/>
    </xf>
    <xf numFmtId="0" fontId="3" fillId="0" borderId="2" xfId="0" applyFont="1" applyBorder="1" applyAlignment="1">
      <alignment horizontal="center"/>
    </xf>
    <xf numFmtId="0" fontId="13" fillId="0" borderId="37" xfId="0" applyFont="1" applyBorder="1" applyAlignment="1">
      <alignment horizontal="left" vertical="center"/>
    </xf>
    <xf numFmtId="176" fontId="13" fillId="0" borderId="28" xfId="0" applyNumberFormat="1" applyFont="1" applyBorder="1" applyAlignment="1">
      <alignment horizontal="center" vertical="center" wrapText="1"/>
    </xf>
    <xf numFmtId="176" fontId="13" fillId="0" borderId="4" xfId="0" applyNumberFormat="1" applyFont="1" applyBorder="1" applyAlignment="1">
      <alignment horizontal="center" vertical="center" wrapText="1"/>
    </xf>
    <xf numFmtId="176" fontId="13" fillId="0" borderId="72" xfId="0" applyNumberFormat="1" applyFont="1" applyBorder="1" applyAlignment="1">
      <alignment horizontal="center" wrapText="1"/>
    </xf>
    <xf numFmtId="176" fontId="3" fillId="0" borderId="72" xfId="0" applyNumberFormat="1" applyFont="1" applyBorder="1" applyAlignment="1">
      <alignment horizontal="center"/>
    </xf>
    <xf numFmtId="0" fontId="106" fillId="0" borderId="78" xfId="0" applyFont="1" applyBorder="1"/>
    <xf numFmtId="176" fontId="3" fillId="0" borderId="89" xfId="0" applyNumberFormat="1" applyFont="1" applyBorder="1"/>
    <xf numFmtId="176" fontId="3" fillId="0" borderId="90" xfId="0" applyNumberFormat="1" applyFont="1" applyBorder="1"/>
    <xf numFmtId="0" fontId="123" fillId="43" borderId="322" xfId="0" applyFont="1" applyFill="1" applyBorder="1" applyAlignment="1">
      <alignment horizontal="left"/>
    </xf>
    <xf numFmtId="0" fontId="40" fillId="43" borderId="206" xfId="0" applyFont="1" applyFill="1" applyBorder="1" applyAlignment="1">
      <alignment horizontal="center"/>
    </xf>
    <xf numFmtId="0" fontId="120" fillId="43" borderId="206" xfId="0" applyFont="1" applyFill="1" applyBorder="1" applyAlignment="1">
      <alignment horizontal="center"/>
    </xf>
    <xf numFmtId="176" fontId="49" fillId="43" borderId="206" xfId="0" applyNumberFormat="1" applyFont="1" applyFill="1" applyBorder="1"/>
    <xf numFmtId="0" fontId="67" fillId="0" borderId="0" xfId="0" applyFont="1"/>
    <xf numFmtId="0" fontId="3" fillId="0" borderId="8" xfId="0" applyFont="1" applyBorder="1" applyAlignment="1">
      <alignment horizontal="left"/>
    </xf>
    <xf numFmtId="176" fontId="3" fillId="0" borderId="96" xfId="0" applyNumberFormat="1" applyFont="1" applyBorder="1"/>
    <xf numFmtId="0" fontId="3" fillId="0" borderId="96" xfId="0" applyFont="1" applyBorder="1" applyAlignment="1">
      <alignment horizontal="center"/>
    </xf>
    <xf numFmtId="0" fontId="3" fillId="10" borderId="65" xfId="0" applyFont="1" applyFill="1" applyBorder="1"/>
    <xf numFmtId="0" fontId="3" fillId="10" borderId="95" xfId="0" applyFont="1" applyFill="1" applyBorder="1"/>
    <xf numFmtId="0" fontId="13" fillId="10" borderId="95" xfId="0" applyFont="1" applyFill="1" applyBorder="1" applyAlignment="1">
      <alignment horizontal="center"/>
    </xf>
    <xf numFmtId="0" fontId="13" fillId="10" borderId="66" xfId="0" applyFont="1" applyFill="1" applyBorder="1" applyAlignment="1">
      <alignment horizontal="center"/>
    </xf>
    <xf numFmtId="0" fontId="13" fillId="0" borderId="96" xfId="0" applyFont="1" applyBorder="1" applyAlignment="1">
      <alignment horizontal="center"/>
    </xf>
    <xf numFmtId="0" fontId="13" fillId="10" borderId="171" xfId="0" applyFont="1" applyFill="1" applyBorder="1" applyAlignment="1">
      <alignment horizontal="center"/>
    </xf>
    <xf numFmtId="0" fontId="3" fillId="10" borderId="320" xfId="0" applyFont="1" applyFill="1" applyBorder="1"/>
    <xf numFmtId="0" fontId="3" fillId="0" borderId="9" xfId="0" applyFont="1" applyBorder="1"/>
    <xf numFmtId="203" fontId="28" fillId="0" borderId="0" xfId="0" applyNumberFormat="1" applyFont="1" applyAlignment="1">
      <alignment horizontal="left"/>
    </xf>
    <xf numFmtId="0" fontId="3" fillId="0" borderId="323" xfId="0" applyFont="1" applyBorder="1" applyAlignment="1">
      <alignment horizontal="center" wrapText="1"/>
    </xf>
    <xf numFmtId="176" fontId="13" fillId="0" borderId="129" xfId="0" applyNumberFormat="1" applyFont="1" applyBorder="1" applyAlignment="1">
      <alignment horizontal="center" vertical="center" wrapText="1"/>
    </xf>
    <xf numFmtId="0" fontId="13" fillId="0" borderId="129" xfId="0" applyFont="1" applyBorder="1" applyAlignment="1">
      <alignment horizontal="center" wrapText="1"/>
    </xf>
    <xf numFmtId="0" fontId="13" fillId="0" borderId="129" xfId="0" applyFont="1" applyBorder="1" applyAlignment="1">
      <alignment horizontal="center" vertical="center" wrapText="1"/>
    </xf>
    <xf numFmtId="0" fontId="3" fillId="0" borderId="129" xfId="0" applyFont="1" applyBorder="1"/>
    <xf numFmtId="0" fontId="3" fillId="0" borderId="130" xfId="0" applyFont="1" applyBorder="1" applyAlignment="1">
      <alignment horizontal="center" wrapText="1"/>
    </xf>
    <xf numFmtId="0" fontId="13" fillId="10" borderId="171" xfId="0" applyFont="1" applyFill="1" applyBorder="1" applyAlignment="1">
      <alignment horizontal="center" wrapText="1"/>
    </xf>
    <xf numFmtId="0" fontId="3" fillId="10" borderId="35" xfId="0" applyFont="1" applyFill="1" applyBorder="1" applyAlignment="1">
      <alignment horizontal="center" wrapText="1"/>
    </xf>
    <xf numFmtId="0" fontId="13" fillId="10" borderId="35" xfId="0" applyFont="1" applyFill="1" applyBorder="1" applyAlignment="1">
      <alignment horizontal="center" vertical="center" wrapText="1"/>
    </xf>
    <xf numFmtId="0" fontId="13" fillId="0" borderId="0" xfId="0" applyFont="1" applyAlignment="1">
      <alignment horizontal="center" wrapText="1"/>
    </xf>
    <xf numFmtId="0" fontId="3" fillId="0" borderId="324" xfId="0" applyFont="1" applyBorder="1" applyAlignment="1">
      <alignment horizontal="center" wrapText="1"/>
    </xf>
    <xf numFmtId="0" fontId="3" fillId="0" borderId="129" xfId="0" applyFont="1" applyBorder="1" applyAlignment="1">
      <alignment horizontal="center" wrapText="1"/>
    </xf>
    <xf numFmtId="0" fontId="3" fillId="0" borderId="325" xfId="0" applyFont="1" applyBorder="1"/>
    <xf numFmtId="0" fontId="67" fillId="0" borderId="0" xfId="0" applyFont="1" applyAlignment="1">
      <alignment horizontal="center" vertical="top" wrapText="1"/>
    </xf>
    <xf numFmtId="0" fontId="13" fillId="0" borderId="87" xfId="0" applyFont="1" applyBorder="1"/>
    <xf numFmtId="176" fontId="13" fillId="0" borderId="117" xfId="0" applyNumberFormat="1" applyFont="1" applyBorder="1" applyAlignment="1">
      <alignment horizontal="center" wrapText="1"/>
    </xf>
    <xf numFmtId="0" fontId="13" fillId="0" borderId="36" xfId="0" applyFont="1" applyBorder="1" applyAlignment="1">
      <alignment horizontal="center" vertical="center" wrapText="1"/>
    </xf>
    <xf numFmtId="0" fontId="3" fillId="0" borderId="36" xfId="0" applyFont="1" applyBorder="1"/>
    <xf numFmtId="0" fontId="13" fillId="0" borderId="36" xfId="0" applyFont="1" applyBorder="1" applyAlignment="1">
      <alignment horizontal="center" wrapText="1"/>
    </xf>
    <xf numFmtId="0" fontId="3" fillId="0" borderId="36" xfId="0" applyFont="1" applyBorder="1" applyAlignment="1">
      <alignment horizontal="center" wrapText="1"/>
    </xf>
    <xf numFmtId="0" fontId="3" fillId="0" borderId="36" xfId="0" applyFont="1" applyBorder="1" applyAlignment="1">
      <alignment horizontal="left"/>
    </xf>
    <xf numFmtId="0" fontId="3" fillId="0" borderId="30" xfId="0" applyFont="1" applyBorder="1" applyAlignment="1">
      <alignment horizontal="center" wrapText="1"/>
    </xf>
    <xf numFmtId="0" fontId="3" fillId="0" borderId="30" xfId="0" applyFont="1" applyBorder="1" applyAlignment="1">
      <alignment horizontal="left"/>
    </xf>
    <xf numFmtId="0" fontId="3" fillId="0" borderId="30" xfId="0" applyFont="1" applyBorder="1"/>
    <xf numFmtId="0" fontId="3" fillId="0" borderId="27" xfId="0" applyFont="1" applyBorder="1"/>
    <xf numFmtId="0" fontId="3" fillId="0" borderId="19" xfId="0" applyFont="1" applyBorder="1"/>
    <xf numFmtId="9" fontId="67" fillId="0" borderId="154" xfId="0" applyNumberFormat="1" applyFont="1" applyBorder="1" applyAlignment="1">
      <alignment horizontal="left" wrapText="1"/>
    </xf>
    <xf numFmtId="9" fontId="67" fillId="0" borderId="68" xfId="0" applyNumberFormat="1" applyFont="1" applyBorder="1" applyAlignment="1">
      <alignment horizontal="center" wrapText="1"/>
    </xf>
    <xf numFmtId="9" fontId="67" fillId="0" borderId="69" xfId="0" applyNumberFormat="1" applyFont="1" applyBorder="1" applyAlignment="1">
      <alignment horizontal="center" wrapText="1"/>
    </xf>
    <xf numFmtId="0" fontId="67" fillId="0" borderId="67" xfId="0" applyFont="1" applyBorder="1" applyAlignment="1">
      <alignment horizontal="center" wrapText="1"/>
    </xf>
    <xf numFmtId="9" fontId="67" fillId="0" borderId="67" xfId="0" applyNumberFormat="1" applyFont="1" applyBorder="1" applyAlignment="1">
      <alignment horizontal="center" wrapText="1"/>
    </xf>
    <xf numFmtId="0" fontId="67" fillId="0" borderId="119" xfId="0" applyFont="1" applyBorder="1" applyAlignment="1">
      <alignment horizontal="center" wrapText="1"/>
    </xf>
    <xf numFmtId="0" fontId="67" fillId="0" borderId="68" xfId="0" applyFont="1" applyBorder="1" applyAlignment="1">
      <alignment horizontal="center" wrapText="1"/>
    </xf>
    <xf numFmtId="0" fontId="67" fillId="0" borderId="69" xfId="0" applyFont="1" applyBorder="1" applyAlignment="1">
      <alignment horizontal="center" wrapText="1"/>
    </xf>
    <xf numFmtId="9" fontId="67" fillId="0" borderId="67" xfId="0" applyNumberFormat="1" applyFont="1" applyBorder="1" applyAlignment="1">
      <alignment horizontal="left" wrapText="1"/>
    </xf>
    <xf numFmtId="0" fontId="67" fillId="0" borderId="68" xfId="0" applyFont="1" applyBorder="1" applyAlignment="1">
      <alignment horizontal="center" vertical="center" wrapText="1"/>
    </xf>
    <xf numFmtId="0" fontId="67" fillId="0" borderId="69" xfId="0" applyFont="1" applyBorder="1" applyAlignment="1">
      <alignment horizontal="center" vertical="center" wrapText="1"/>
    </xf>
    <xf numFmtId="0" fontId="67" fillId="0" borderId="127" xfId="0" applyFont="1" applyBorder="1" applyAlignment="1">
      <alignment horizontal="center" wrapText="1"/>
    </xf>
    <xf numFmtId="204" fontId="53" fillId="0" borderId="38" xfId="0" applyNumberFormat="1" applyFont="1" applyBorder="1" applyAlignment="1">
      <alignment horizontal="left"/>
    </xf>
    <xf numFmtId="0" fontId="3" fillId="0" borderId="4" xfId="0" applyFont="1" applyBorder="1" applyAlignment="1">
      <alignment horizontal="center" vertical="center"/>
    </xf>
    <xf numFmtId="3" fontId="3" fillId="0" borderId="4" xfId="0" applyNumberFormat="1" applyFont="1" applyBorder="1" applyAlignment="1">
      <alignment horizontal="center"/>
    </xf>
    <xf numFmtId="176" fontId="3" fillId="38" borderId="4" xfId="0" applyNumberFormat="1" applyFont="1" applyFill="1" applyBorder="1" applyAlignment="1">
      <alignment horizontal="right"/>
    </xf>
    <xf numFmtId="9" fontId="28" fillId="0" borderId="159" xfId="0" applyNumberFormat="1" applyFont="1" applyBorder="1" applyAlignment="1">
      <alignment horizontal="left" vertical="top" wrapText="1"/>
    </xf>
    <xf numFmtId="9" fontId="28" fillId="0" borderId="76" xfId="0" applyNumberFormat="1" applyFont="1" applyBorder="1" applyAlignment="1">
      <alignment horizontal="center"/>
    </xf>
    <xf numFmtId="9" fontId="28" fillId="0" borderId="77" xfId="0" applyNumberFormat="1" applyFont="1" applyBorder="1" applyAlignment="1">
      <alignment horizontal="center"/>
    </xf>
    <xf numFmtId="9" fontId="28" fillId="0" borderId="75" xfId="0" applyNumberFormat="1" applyFont="1" applyBorder="1" applyAlignment="1">
      <alignment horizontal="left" vertical="top" wrapText="1"/>
    </xf>
    <xf numFmtId="10" fontId="28" fillId="0" borderId="77" xfId="0" applyNumberFormat="1" applyFont="1" applyBorder="1" applyAlignment="1">
      <alignment horizontal="center"/>
    </xf>
    <xf numFmtId="9" fontId="28" fillId="0" borderId="76" xfId="0" applyNumberFormat="1" applyFont="1" applyBorder="1" applyAlignment="1">
      <alignment horizontal="center" vertical="top" wrapText="1"/>
    </xf>
    <xf numFmtId="0" fontId="28" fillId="0" borderId="75" xfId="0" applyFont="1" applyBorder="1" applyAlignment="1">
      <alignment horizontal="center"/>
    </xf>
    <xf numFmtId="0" fontId="3" fillId="0" borderId="328" xfId="0" applyFont="1" applyBorder="1"/>
    <xf numFmtId="9" fontId="3" fillId="0" borderId="175" xfId="0" applyNumberFormat="1" applyFont="1" applyBorder="1"/>
    <xf numFmtId="0" fontId="3" fillId="0" borderId="75" xfId="0" applyFont="1" applyBorder="1"/>
    <xf numFmtId="9" fontId="3" fillId="0" borderId="76" xfId="0" applyNumberFormat="1" applyFont="1" applyBorder="1"/>
    <xf numFmtId="9" fontId="3" fillId="0" borderId="77" xfId="0" applyNumberFormat="1" applyFont="1" applyBorder="1"/>
    <xf numFmtId="9" fontId="3" fillId="0" borderId="174" xfId="0" applyNumberFormat="1" applyFont="1" applyBorder="1"/>
    <xf numFmtId="176" fontId="3" fillId="38" borderId="235" xfId="0" applyNumberFormat="1" applyFont="1" applyFill="1" applyBorder="1" applyAlignment="1">
      <alignment horizontal="right"/>
    </xf>
    <xf numFmtId="0" fontId="13" fillId="0" borderId="34" xfId="0" applyFont="1" applyBorder="1"/>
    <xf numFmtId="0" fontId="3" fillId="0" borderId="99" xfId="0" applyFont="1" applyBorder="1"/>
    <xf numFmtId="0" fontId="13" fillId="0" borderId="38" xfId="0" applyFont="1" applyBorder="1"/>
    <xf numFmtId="177" fontId="3" fillId="0" borderId="1" xfId="0" applyNumberFormat="1" applyFont="1" applyBorder="1" applyAlignment="1">
      <alignment horizontal="center"/>
    </xf>
    <xf numFmtId="0" fontId="3" fillId="0" borderId="27" xfId="0" applyFont="1" applyBorder="1" applyAlignment="1">
      <alignment horizontal="center"/>
    </xf>
    <xf numFmtId="0" fontId="3" fillId="0" borderId="27" xfId="0" applyFont="1" applyBorder="1" applyAlignment="1">
      <alignment horizontal="center" vertical="center"/>
    </xf>
    <xf numFmtId="176" fontId="3" fillId="0" borderId="27" xfId="0" applyNumberFormat="1" applyFont="1" applyBorder="1" applyAlignment="1">
      <alignment horizontal="center"/>
    </xf>
    <xf numFmtId="176" fontId="3" fillId="0" borderId="27" xfId="0" applyNumberFormat="1" applyFont="1" applyBorder="1"/>
    <xf numFmtId="3" fontId="3" fillId="0" borderId="27" xfId="0" applyNumberFormat="1" applyFont="1" applyBorder="1" applyAlignment="1">
      <alignment horizontal="center"/>
    </xf>
    <xf numFmtId="176" fontId="13" fillId="10" borderId="35" xfId="0" applyNumberFormat="1" applyFont="1" applyFill="1" applyBorder="1" applyAlignment="1">
      <alignment horizontal="right"/>
    </xf>
    <xf numFmtId="0" fontId="3" fillId="0" borderId="4" xfId="0" applyFont="1" applyBorder="1" applyAlignment="1">
      <alignment horizontal="right"/>
    </xf>
    <xf numFmtId="0" fontId="13" fillId="0" borderId="38" xfId="0" applyFont="1" applyBorder="1" applyAlignment="1">
      <alignment horizontal="left"/>
    </xf>
    <xf numFmtId="176" fontId="3" fillId="0" borderId="28" xfId="0" applyNumberFormat="1" applyFont="1" applyBorder="1" applyAlignment="1">
      <alignment horizontal="right"/>
    </xf>
    <xf numFmtId="0" fontId="3" fillId="0" borderId="91" xfId="0" applyFont="1" applyBorder="1"/>
    <xf numFmtId="176" fontId="3" fillId="0" borderId="34" xfId="0" applyNumberFormat="1" applyFont="1" applyBorder="1" applyAlignment="1">
      <alignment horizontal="right"/>
    </xf>
    <xf numFmtId="176" fontId="3" fillId="0" borderId="4" xfId="0" applyNumberFormat="1" applyFont="1" applyBorder="1" applyAlignment="1">
      <alignment horizontal="right"/>
    </xf>
    <xf numFmtId="176" fontId="3" fillId="0" borderId="32" xfId="0" applyNumberFormat="1" applyFont="1" applyBorder="1" applyAlignment="1">
      <alignment horizontal="right"/>
    </xf>
    <xf numFmtId="0" fontId="3" fillId="0" borderId="32" xfId="0" applyFont="1" applyBorder="1"/>
    <xf numFmtId="0" fontId="13" fillId="0" borderId="32" xfId="0" applyFont="1" applyBorder="1"/>
    <xf numFmtId="0" fontId="3" fillId="0" borderId="93" xfId="0" applyFont="1" applyBorder="1"/>
    <xf numFmtId="9" fontId="3" fillId="0" borderId="103" xfId="0" applyNumberFormat="1" applyFont="1" applyBorder="1"/>
    <xf numFmtId="0" fontId="3" fillId="0" borderId="103" xfId="0" applyFont="1" applyBorder="1"/>
    <xf numFmtId="0" fontId="3" fillId="0" borderId="190" xfId="0" applyFont="1" applyBorder="1"/>
    <xf numFmtId="177" fontId="3" fillId="43" borderId="4" xfId="0" applyNumberFormat="1" applyFont="1" applyFill="1" applyBorder="1" applyAlignment="1">
      <alignment vertical="center"/>
    </xf>
    <xf numFmtId="0" fontId="3" fillId="0" borderId="20" xfId="0" applyFont="1" applyBorder="1"/>
    <xf numFmtId="9" fontId="3" fillId="0" borderId="0" xfId="0" applyNumberFormat="1" applyFont="1"/>
    <xf numFmtId="0" fontId="3" fillId="0" borderId="20" xfId="0" applyFont="1" applyBorder="1" applyAlignment="1">
      <alignment horizontal="left"/>
    </xf>
    <xf numFmtId="0" fontId="13" fillId="0" borderId="20" xfId="0" applyFont="1" applyBorder="1" applyAlignment="1">
      <alignment horizontal="left"/>
    </xf>
    <xf numFmtId="177" fontId="3" fillId="0" borderId="4" xfId="0" applyNumberFormat="1" applyFont="1" applyBorder="1" applyAlignment="1">
      <alignment horizontal="center"/>
    </xf>
    <xf numFmtId="176" fontId="3" fillId="10" borderId="89" xfId="0" applyNumberFormat="1" applyFont="1" applyFill="1" applyBorder="1" applyAlignment="1">
      <alignment horizontal="center"/>
    </xf>
    <xf numFmtId="0" fontId="3" fillId="10" borderId="89" xfId="0" applyFont="1" applyFill="1" applyBorder="1" applyAlignment="1">
      <alignment horizontal="center"/>
    </xf>
    <xf numFmtId="176" fontId="13" fillId="10" borderId="89" xfId="0" applyNumberFormat="1" applyFont="1" applyFill="1" applyBorder="1" applyAlignment="1">
      <alignment horizontal="center"/>
    </xf>
    <xf numFmtId="3" fontId="13" fillId="10" borderId="89" xfId="0" applyNumberFormat="1" applyFont="1" applyFill="1" applyBorder="1" applyAlignment="1">
      <alignment horizontal="center"/>
    </xf>
    <xf numFmtId="176" fontId="13" fillId="10" borderId="90" xfId="0" applyNumberFormat="1" applyFont="1" applyFill="1" applyBorder="1" applyAlignment="1">
      <alignment horizontal="center"/>
    </xf>
    <xf numFmtId="0" fontId="3" fillId="0" borderId="23" xfId="0" applyFont="1" applyBorder="1"/>
    <xf numFmtId="0" fontId="13" fillId="0" borderId="329" xfId="0" applyFont="1" applyBorder="1"/>
    <xf numFmtId="176" fontId="3" fillId="0" borderId="32" xfId="0" applyNumberFormat="1" applyFont="1" applyBorder="1" applyAlignment="1">
      <alignment horizontal="center"/>
    </xf>
    <xf numFmtId="0" fontId="3" fillId="0" borderId="32" xfId="0" applyFont="1" applyBorder="1" applyAlignment="1">
      <alignment horizontal="center"/>
    </xf>
    <xf numFmtId="0" fontId="13" fillId="0" borderId="32" xfId="0" applyFont="1" applyBorder="1" applyAlignment="1">
      <alignment horizontal="center"/>
    </xf>
    <xf numFmtId="0" fontId="3" fillId="0" borderId="180" xfId="0" applyFont="1" applyBorder="1"/>
    <xf numFmtId="0" fontId="3" fillId="0" borderId="24" xfId="0" applyFont="1" applyBorder="1"/>
    <xf numFmtId="0" fontId="13" fillId="4" borderId="171" xfId="0" applyFont="1" applyFill="1" applyBorder="1"/>
    <xf numFmtId="176" fontId="3" fillId="4" borderId="35" xfId="0" applyNumberFormat="1" applyFont="1" applyFill="1" applyBorder="1"/>
    <xf numFmtId="0" fontId="3" fillId="4" borderId="35" xfId="0" applyFont="1" applyFill="1" applyBorder="1"/>
    <xf numFmtId="0" fontId="3" fillId="4" borderId="314" xfId="0" applyFont="1" applyFill="1" applyBorder="1"/>
    <xf numFmtId="0" fontId="3" fillId="4" borderId="95" xfId="0" applyFont="1" applyFill="1" applyBorder="1"/>
    <xf numFmtId="0" fontId="13" fillId="4" borderId="35" xfId="0" applyFont="1" applyFill="1" applyBorder="1" applyAlignment="1">
      <alignment horizontal="center"/>
    </xf>
    <xf numFmtId="0" fontId="3" fillId="4" borderId="66" xfId="0" applyFont="1" applyFill="1" applyBorder="1"/>
    <xf numFmtId="0" fontId="3" fillId="0" borderId="37" xfId="0" applyFont="1" applyBorder="1"/>
    <xf numFmtId="176" fontId="13" fillId="0" borderId="28" xfId="0" applyNumberFormat="1" applyFont="1" applyBorder="1" applyAlignment="1">
      <alignment horizontal="center" vertical="center"/>
    </xf>
    <xf numFmtId="0" fontId="13" fillId="0" borderId="28" xfId="0" applyFont="1" applyBorder="1" applyAlignment="1">
      <alignment horizontal="center" vertical="center"/>
    </xf>
    <xf numFmtId="0" fontId="3" fillId="0" borderId="28" xfId="0" applyFont="1" applyBorder="1" applyAlignment="1">
      <alignment horizontal="center"/>
    </xf>
    <xf numFmtId="0" fontId="13" fillId="10" borderId="241" xfId="0" applyFont="1" applyFill="1" applyBorder="1" applyAlignment="1">
      <alignment horizontal="center" vertical="center" wrapText="1"/>
    </xf>
    <xf numFmtId="0" fontId="13" fillId="10" borderId="241" xfId="0" applyFont="1" applyFill="1" applyBorder="1"/>
    <xf numFmtId="0" fontId="13" fillId="10" borderId="330" xfId="0" applyFont="1" applyFill="1" applyBorder="1" applyAlignment="1">
      <alignment horizontal="center"/>
    </xf>
    <xf numFmtId="0" fontId="13" fillId="10" borderId="203" xfId="0" applyFont="1" applyFill="1" applyBorder="1" applyAlignment="1">
      <alignment horizontal="center" vertical="center" wrapText="1"/>
    </xf>
    <xf numFmtId="0" fontId="13" fillId="10" borderId="202" xfId="0" applyFont="1" applyFill="1" applyBorder="1"/>
    <xf numFmtId="0" fontId="13" fillId="10" borderId="206" xfId="0" applyFont="1" applyFill="1" applyBorder="1" applyAlignment="1">
      <alignment horizontal="center" vertical="center" wrapText="1"/>
    </xf>
    <xf numFmtId="0" fontId="13" fillId="10" borderId="166" xfId="0" applyFont="1" applyFill="1" applyBorder="1" applyAlignment="1">
      <alignment horizontal="center"/>
    </xf>
    <xf numFmtId="0" fontId="13" fillId="10" borderId="331" xfId="0" applyFont="1" applyFill="1" applyBorder="1" applyAlignment="1">
      <alignment horizontal="center" vertical="center" wrapText="1"/>
    </xf>
    <xf numFmtId="0" fontId="63" fillId="0" borderId="4" xfId="0" applyFont="1" applyBorder="1" applyAlignment="1">
      <alignment horizontal="center"/>
    </xf>
    <xf numFmtId="176" fontId="63" fillId="0" borderId="4" xfId="0" applyNumberFormat="1" applyFont="1" applyBorder="1" applyAlignment="1">
      <alignment horizontal="center"/>
    </xf>
    <xf numFmtId="0" fontId="63" fillId="0" borderId="4" xfId="0" applyFont="1" applyBorder="1"/>
    <xf numFmtId="169" fontId="63" fillId="0" borderId="4" xfId="0" applyNumberFormat="1" applyFont="1" applyBorder="1" applyAlignment="1">
      <alignment horizontal="center"/>
    </xf>
    <xf numFmtId="0" fontId="12" fillId="0" borderId="4" xfId="0" applyFont="1" applyBorder="1"/>
    <xf numFmtId="0" fontId="63" fillId="0" borderId="1" xfId="0" applyFont="1" applyBorder="1" applyAlignment="1">
      <alignment horizontal="right" vertical="center"/>
    </xf>
    <xf numFmtId="176" fontId="63" fillId="0" borderId="1" xfId="0" applyNumberFormat="1" applyFont="1" applyBorder="1" applyAlignment="1">
      <alignment horizontal="center"/>
    </xf>
    <xf numFmtId="169" fontId="63" fillId="0" borderId="27" xfId="0" applyNumberFormat="1" applyFont="1" applyBorder="1" applyAlignment="1">
      <alignment horizontal="center"/>
    </xf>
    <xf numFmtId="169" fontId="63" fillId="0" borderId="2" xfId="0" applyNumberFormat="1" applyFont="1" applyBorder="1" applyAlignment="1">
      <alignment horizontal="center"/>
    </xf>
    <xf numFmtId="0" fontId="13" fillId="0" borderId="4" xfId="0" applyFont="1" applyBorder="1"/>
    <xf numFmtId="0" fontId="13" fillId="0" borderId="4" xfId="0" applyFont="1" applyBorder="1" applyAlignment="1">
      <alignment horizontal="right"/>
    </xf>
    <xf numFmtId="169" fontId="3" fillId="0" borderId="4" xfId="0" applyNumberFormat="1" applyFont="1" applyBorder="1" applyAlignment="1">
      <alignment horizontal="center"/>
    </xf>
    <xf numFmtId="0" fontId="3" fillId="0" borderId="1" xfId="0" applyFont="1" applyBorder="1" applyAlignment="1">
      <alignment horizontal="right"/>
    </xf>
    <xf numFmtId="176" fontId="3" fillId="0" borderId="1" xfId="0" applyNumberFormat="1" applyFont="1" applyBorder="1" applyAlignment="1">
      <alignment horizontal="center"/>
    </xf>
    <xf numFmtId="176" fontId="3" fillId="0" borderId="19" xfId="0" applyNumberFormat="1" applyFont="1" applyBorder="1" applyAlignment="1">
      <alignment horizontal="center"/>
    </xf>
    <xf numFmtId="0" fontId="12" fillId="0" borderId="4" xfId="0" applyFont="1" applyBorder="1" applyAlignment="1">
      <alignment horizontal="center"/>
    </xf>
    <xf numFmtId="0" fontId="13" fillId="0" borderId="78" xfId="0" applyFont="1" applyBorder="1" applyAlignment="1">
      <alignment horizontal="left" wrapText="1"/>
    </xf>
    <xf numFmtId="0" fontId="13" fillId="0" borderId="89" xfId="0" applyFont="1" applyBorder="1" applyAlignment="1">
      <alignment horizontal="right" wrapText="1"/>
    </xf>
    <xf numFmtId="0" fontId="3" fillId="0" borderId="89" xfId="0" applyFont="1" applyBorder="1" applyAlignment="1">
      <alignment horizontal="center"/>
    </xf>
    <xf numFmtId="176" fontId="13" fillId="0" borderId="89" xfId="0" applyNumberFormat="1" applyFont="1" applyBorder="1" applyAlignment="1">
      <alignment horizontal="center"/>
    </xf>
    <xf numFmtId="169" fontId="13" fillId="0" borderId="89" xfId="0" applyNumberFormat="1" applyFont="1" applyBorder="1" applyAlignment="1">
      <alignment horizontal="center"/>
    </xf>
    <xf numFmtId="0" fontId="3" fillId="0" borderId="103" xfId="0" applyFont="1" applyBorder="1" applyAlignment="1">
      <alignment horizontal="center"/>
    </xf>
    <xf numFmtId="0" fontId="3" fillId="0" borderId="25" xfId="0" applyFont="1" applyBorder="1" applyAlignment="1">
      <alignment horizontal="center"/>
    </xf>
    <xf numFmtId="0" fontId="13" fillId="0" borderId="0" xfId="0" applyFont="1" applyAlignment="1">
      <alignment horizontal="left" wrapText="1"/>
    </xf>
    <xf numFmtId="0" fontId="13" fillId="0" borderId="0" xfId="0" applyFont="1" applyAlignment="1">
      <alignment horizontal="right" wrapText="1"/>
    </xf>
    <xf numFmtId="176" fontId="13" fillId="0" borderId="0" xfId="0" applyNumberFormat="1" applyFont="1" applyAlignment="1">
      <alignment horizontal="center"/>
    </xf>
    <xf numFmtId="169" fontId="13" fillId="0" borderId="0" xfId="0" applyNumberFormat="1" applyFont="1" applyAlignment="1">
      <alignment horizontal="center"/>
    </xf>
    <xf numFmtId="0" fontId="38" fillId="43" borderId="87" xfId="0" applyFont="1" applyFill="1" applyBorder="1"/>
    <xf numFmtId="0" fontId="28" fillId="43" borderId="332" xfId="0" applyFont="1" applyFill="1" applyBorder="1"/>
    <xf numFmtId="0" fontId="128" fillId="0" borderId="0" xfId="0" applyFont="1"/>
    <xf numFmtId="0" fontId="13" fillId="10" borderId="38" xfId="0" applyFont="1" applyFill="1" applyBorder="1" applyAlignment="1">
      <alignment horizontal="left"/>
    </xf>
    <xf numFmtId="0" fontId="13" fillId="10" borderId="4" xfId="0" applyFont="1" applyFill="1" applyBorder="1" applyAlignment="1">
      <alignment horizontal="center"/>
    </xf>
    <xf numFmtId="0" fontId="13" fillId="10" borderId="4" xfId="0" applyFont="1" applyFill="1" applyBorder="1" applyAlignment="1">
      <alignment horizontal="center" wrapText="1"/>
    </xf>
    <xf numFmtId="0" fontId="13" fillId="10" borderId="4" xfId="0" applyFont="1" applyFill="1" applyBorder="1"/>
    <xf numFmtId="176" fontId="13" fillId="10" borderId="4" xfId="0" applyNumberFormat="1" applyFont="1" applyFill="1" applyBorder="1" applyAlignment="1">
      <alignment horizontal="center" wrapText="1"/>
    </xf>
    <xf numFmtId="0" fontId="13" fillId="10" borderId="224" xfId="0" applyFont="1" applyFill="1" applyBorder="1" applyAlignment="1">
      <alignment horizontal="center" wrapText="1"/>
    </xf>
    <xf numFmtId="0" fontId="3" fillId="0" borderId="1" xfId="0" applyFont="1" applyBorder="1"/>
    <xf numFmtId="0" fontId="3" fillId="0" borderId="4" xfId="0" quotePrefix="1" applyFont="1" applyBorder="1"/>
    <xf numFmtId="3" fontId="3" fillId="43" borderId="4" xfId="0" applyNumberFormat="1" applyFont="1" applyFill="1" applyBorder="1" applyAlignment="1">
      <alignment horizontal="center"/>
    </xf>
    <xf numFmtId="177" fontId="3" fillId="0" borderId="4" xfId="0" applyNumberFormat="1" applyFont="1" applyBorder="1"/>
    <xf numFmtId="43" fontId="3" fillId="0" borderId="4" xfId="0" applyNumberFormat="1" applyFont="1" applyBorder="1"/>
    <xf numFmtId="168" fontId="3" fillId="0" borderId="4" xfId="0" applyNumberFormat="1" applyFont="1" applyBorder="1"/>
    <xf numFmtId="180" fontId="3" fillId="0" borderId="4" xfId="0" applyNumberFormat="1" applyFont="1" applyBorder="1" applyAlignment="1">
      <alignment horizontal="center"/>
    </xf>
    <xf numFmtId="43" fontId="120" fillId="0" borderId="4" xfId="0" applyNumberFormat="1" applyFont="1" applyBorder="1" applyAlignment="1">
      <alignment horizontal="center"/>
    </xf>
    <xf numFmtId="43" fontId="3" fillId="0" borderId="4" xfId="0" applyNumberFormat="1" applyFont="1" applyBorder="1" applyAlignment="1">
      <alignment horizontal="center"/>
    </xf>
    <xf numFmtId="198" fontId="3" fillId="0" borderId="4" xfId="0" applyNumberFormat="1" applyFont="1" applyBorder="1" applyAlignment="1">
      <alignment horizontal="center"/>
    </xf>
    <xf numFmtId="198" fontId="3" fillId="0" borderId="1" xfId="0" applyNumberFormat="1" applyFont="1" applyBorder="1" applyAlignment="1">
      <alignment horizontal="center"/>
    </xf>
    <xf numFmtId="177" fontId="3" fillId="48" borderId="4" xfId="0" applyNumberFormat="1" applyFont="1" applyFill="1" applyBorder="1"/>
    <xf numFmtId="43" fontId="3" fillId="48" borderId="4" xfId="0" applyNumberFormat="1" applyFont="1" applyFill="1" applyBorder="1"/>
    <xf numFmtId="2" fontId="3" fillId="48" borderId="4" xfId="0" applyNumberFormat="1" applyFont="1" applyFill="1" applyBorder="1" applyAlignment="1">
      <alignment horizontal="center"/>
    </xf>
    <xf numFmtId="168" fontId="3" fillId="48" borderId="4" xfId="0" applyNumberFormat="1" applyFont="1" applyFill="1" applyBorder="1"/>
    <xf numFmtId="181" fontId="3" fillId="48" borderId="4" xfId="0" applyNumberFormat="1" applyFont="1" applyFill="1" applyBorder="1"/>
    <xf numFmtId="180" fontId="3" fillId="48" borderId="4" xfId="0" applyNumberFormat="1" applyFont="1" applyFill="1" applyBorder="1" applyAlignment="1">
      <alignment horizontal="center"/>
    </xf>
    <xf numFmtId="184" fontId="3" fillId="0" borderId="4" xfId="0" applyNumberFormat="1" applyFont="1" applyBorder="1"/>
    <xf numFmtId="176" fontId="13" fillId="10" borderId="89" xfId="0" applyNumberFormat="1" applyFont="1" applyFill="1" applyBorder="1"/>
    <xf numFmtId="0" fontId="13" fillId="10" borderId="89" xfId="0" applyFont="1" applyFill="1" applyBorder="1" applyAlignment="1">
      <alignment horizontal="center"/>
    </xf>
    <xf numFmtId="168" fontId="13" fillId="10" borderId="89" xfId="0" applyNumberFormat="1" applyFont="1" applyFill="1" applyBorder="1"/>
    <xf numFmtId="43" fontId="13" fillId="10" borderId="89" xfId="0" applyNumberFormat="1" applyFont="1" applyFill="1" applyBorder="1"/>
    <xf numFmtId="168" fontId="13" fillId="10" borderId="333" xfId="0" applyNumberFormat="1" applyFont="1" applyFill="1" applyBorder="1"/>
    <xf numFmtId="0" fontId="38" fillId="43" borderId="321" xfId="0" applyFont="1" applyFill="1" applyBorder="1"/>
    <xf numFmtId="0" fontId="28" fillId="0" borderId="9" xfId="0" applyFont="1" applyBorder="1"/>
    <xf numFmtId="0" fontId="128" fillId="0" borderId="20" xfId="0" applyFont="1" applyBorder="1"/>
    <xf numFmtId="0" fontId="13" fillId="10" borderId="334" xfId="0" applyFont="1" applyFill="1" applyBorder="1" applyAlignment="1">
      <alignment horizontal="left"/>
    </xf>
    <xf numFmtId="0" fontId="13" fillId="10" borderId="72" xfId="0" applyFont="1" applyFill="1" applyBorder="1" applyAlignment="1">
      <alignment horizontal="center" wrapText="1"/>
    </xf>
    <xf numFmtId="0" fontId="3" fillId="0" borderId="2" xfId="0" applyFont="1" applyBorder="1"/>
    <xf numFmtId="0" fontId="3" fillId="0" borderId="2" xfId="0" applyFont="1" applyBorder="1" applyAlignment="1">
      <alignment horizontal="left"/>
    </xf>
    <xf numFmtId="176" fontId="3" fillId="43" borderId="4" xfId="0" applyNumberFormat="1" applyFont="1" applyFill="1" applyBorder="1" applyAlignment="1">
      <alignment horizontal="center"/>
    </xf>
    <xf numFmtId="181" fontId="120" fillId="0" borderId="4" xfId="0" applyNumberFormat="1" applyFont="1" applyBorder="1"/>
    <xf numFmtId="205" fontId="3" fillId="0" borderId="4" xfId="0" applyNumberFormat="1" applyFont="1" applyBorder="1"/>
    <xf numFmtId="205" fontId="3" fillId="0" borderId="72" xfId="0" applyNumberFormat="1" applyFont="1" applyBorder="1"/>
    <xf numFmtId="176" fontId="3" fillId="2" borderId="4" xfId="0" applyNumberFormat="1" applyFont="1" applyFill="1" applyBorder="1" applyAlignment="1">
      <alignment horizontal="center"/>
    </xf>
    <xf numFmtId="0" fontId="13" fillId="0" borderId="2" xfId="0" applyFont="1" applyBorder="1"/>
    <xf numFmtId="181" fontId="3" fillId="0" borderId="4" xfId="0" applyNumberFormat="1" applyFont="1" applyBorder="1"/>
    <xf numFmtId="0" fontId="13" fillId="10" borderId="334" xfId="0" applyFont="1" applyFill="1" applyBorder="1"/>
    <xf numFmtId="0" fontId="3" fillId="10" borderId="4" xfId="0" applyFont="1" applyFill="1" applyBorder="1" applyAlignment="1">
      <alignment horizontal="center"/>
    </xf>
    <xf numFmtId="176" fontId="13" fillId="10" borderId="4" xfId="0" applyNumberFormat="1" applyFont="1" applyFill="1" applyBorder="1"/>
    <xf numFmtId="168" fontId="13" fillId="10" borderId="4" xfId="0" applyNumberFormat="1" applyFont="1" applyFill="1" applyBorder="1"/>
    <xf numFmtId="43" fontId="13" fillId="10" borderId="4" xfId="0" applyNumberFormat="1" applyFont="1" applyFill="1" applyBorder="1"/>
    <xf numFmtId="181" fontId="13" fillId="10" borderId="4" xfId="0" applyNumberFormat="1" applyFont="1" applyFill="1" applyBorder="1"/>
    <xf numFmtId="192" fontId="13" fillId="10" borderId="4" xfId="0" applyNumberFormat="1" applyFont="1" applyFill="1" applyBorder="1"/>
    <xf numFmtId="192" fontId="13" fillId="10" borderId="72" xfId="0" applyNumberFormat="1" applyFont="1" applyFill="1" applyBorder="1"/>
    <xf numFmtId="0" fontId="49" fillId="0" borderId="7" xfId="0" applyFont="1" applyBorder="1"/>
    <xf numFmtId="0" fontId="4" fillId="43" borderId="65" xfId="0" applyFont="1" applyFill="1" applyBorder="1" applyAlignment="1">
      <alignment horizontal="left"/>
    </xf>
    <xf numFmtId="0" fontId="4" fillId="43" borderId="95" xfId="0" applyFont="1" applyFill="1" applyBorder="1" applyAlignment="1">
      <alignment horizontal="center"/>
    </xf>
    <xf numFmtId="0" fontId="4" fillId="43" borderId="66" xfId="0" applyFont="1" applyFill="1" applyBorder="1" applyAlignment="1">
      <alignment horizontal="center"/>
    </xf>
    <xf numFmtId="0" fontId="18" fillId="10" borderId="292" xfId="0" applyFont="1" applyFill="1" applyBorder="1"/>
    <xf numFmtId="0" fontId="18" fillId="10" borderId="293" xfId="0" applyFont="1" applyFill="1" applyBorder="1" applyAlignment="1">
      <alignment horizontal="center" wrapText="1"/>
    </xf>
    <xf numFmtId="0" fontId="4" fillId="10" borderId="293" xfId="0" applyFont="1" applyFill="1" applyBorder="1"/>
    <xf numFmtId="0" fontId="18" fillId="10" borderId="335" xfId="0" applyFont="1" applyFill="1" applyBorder="1" applyAlignment="1">
      <alignment horizontal="center" vertical="center" wrapText="1"/>
    </xf>
    <xf numFmtId="0" fontId="4" fillId="0" borderId="215" xfId="0" applyFont="1" applyBorder="1"/>
    <xf numFmtId="194" fontId="4" fillId="0" borderId="4" xfId="0" applyNumberFormat="1" applyFont="1" applyBorder="1"/>
    <xf numFmtId="168" fontId="4" fillId="0" borderId="72" xfId="0" applyNumberFormat="1" applyFont="1" applyBorder="1" applyAlignment="1">
      <alignment horizontal="center"/>
    </xf>
    <xf numFmtId="181" fontId="4" fillId="0" borderId="4" xfId="0" applyNumberFormat="1" applyFont="1" applyBorder="1"/>
    <xf numFmtId="189" fontId="28" fillId="0" borderId="0" xfId="0" applyNumberFormat="1" applyFont="1"/>
    <xf numFmtId="0" fontId="18" fillId="10" borderId="215" xfId="0" applyFont="1" applyFill="1" applyBorder="1"/>
    <xf numFmtId="181" fontId="18" fillId="10" borderId="4" xfId="0" applyNumberFormat="1" applyFont="1" applyFill="1" applyBorder="1"/>
    <xf numFmtId="168" fontId="18" fillId="10" borderId="72" xfId="0" applyNumberFormat="1" applyFont="1" applyFill="1" applyBorder="1" applyAlignment="1">
      <alignment horizontal="center"/>
    </xf>
    <xf numFmtId="0" fontId="18" fillId="0" borderId="215" xfId="0" applyFont="1" applyBorder="1"/>
    <xf numFmtId="0" fontId="4" fillId="0" borderId="72" xfId="0" applyFont="1" applyBorder="1" applyAlignment="1">
      <alignment horizontal="center"/>
    </xf>
    <xf numFmtId="0" fontId="18" fillId="10" borderId="215" xfId="0" applyFont="1" applyFill="1" applyBorder="1" applyAlignment="1">
      <alignment wrapText="1"/>
    </xf>
    <xf numFmtId="0" fontId="18" fillId="10" borderId="4" xfId="0" applyFont="1" applyFill="1" applyBorder="1"/>
    <xf numFmtId="0" fontId="18" fillId="10" borderId="72" xfId="0" applyFont="1" applyFill="1" applyBorder="1" applyAlignment="1">
      <alignment horizontal="center" vertical="center" wrapText="1"/>
    </xf>
    <xf numFmtId="181" fontId="18" fillId="0" borderId="4" xfId="0" applyNumberFormat="1" applyFont="1" applyBorder="1"/>
    <xf numFmtId="168" fontId="18" fillId="0" borderId="72" xfId="0" applyNumberFormat="1" applyFont="1" applyBorder="1" applyAlignment="1">
      <alignment horizontal="center"/>
    </xf>
    <xf numFmtId="0" fontId="4" fillId="0" borderId="215" xfId="0" applyFont="1" applyBorder="1" applyAlignment="1">
      <alignment horizontal="left"/>
    </xf>
    <xf numFmtId="0" fontId="18" fillId="0" borderId="215" xfId="0" applyFont="1" applyBorder="1" applyAlignment="1">
      <alignment horizontal="left"/>
    </xf>
    <xf numFmtId="0" fontId="4" fillId="0" borderId="72" xfId="0" applyFont="1" applyBorder="1"/>
    <xf numFmtId="0" fontId="18" fillId="10" borderId="72" xfId="0" applyFont="1" applyFill="1" applyBorder="1"/>
    <xf numFmtId="176" fontId="18" fillId="0" borderId="4" xfId="0" applyNumberFormat="1" applyFont="1" applyBorder="1"/>
    <xf numFmtId="177" fontId="4" fillId="0" borderId="72" xfId="0" applyNumberFormat="1" applyFont="1" applyBorder="1"/>
    <xf numFmtId="0" fontId="20" fillId="0" borderId="215" xfId="0" applyFont="1" applyBorder="1" applyAlignment="1">
      <alignment horizontal="left"/>
    </xf>
    <xf numFmtId="0" fontId="18" fillId="10" borderId="336" xfId="0" applyFont="1" applyFill="1" applyBorder="1"/>
    <xf numFmtId="176" fontId="18" fillId="10" borderId="89" xfId="0" applyNumberFormat="1" applyFont="1" applyFill="1" applyBorder="1"/>
    <xf numFmtId="176" fontId="18" fillId="0" borderId="89" xfId="0" applyNumberFormat="1" applyFont="1" applyBorder="1"/>
    <xf numFmtId="176" fontId="18" fillId="0" borderId="90" xfId="0" applyNumberFormat="1" applyFont="1" applyBorder="1"/>
    <xf numFmtId="0" fontId="1" fillId="0" borderId="0" xfId="0" applyFont="1" applyAlignment="1">
      <alignment wrapText="1"/>
    </xf>
    <xf numFmtId="0" fontId="129" fillId="0" borderId="0" xfId="0" applyFont="1"/>
    <xf numFmtId="168" fontId="92" fillId="2" borderId="0" xfId="0" applyNumberFormat="1" applyFont="1" applyFill="1" applyAlignment="1">
      <alignment horizontal="center"/>
    </xf>
    <xf numFmtId="0" fontId="67" fillId="0" borderId="33" xfId="0" applyFont="1" applyBorder="1"/>
    <xf numFmtId="0" fontId="28" fillId="0" borderId="67" xfId="0" applyFont="1" applyBorder="1"/>
    <xf numFmtId="0" fontId="28" fillId="0" borderId="69" xfId="0" applyFont="1" applyBorder="1"/>
    <xf numFmtId="0" fontId="130" fillId="10" borderId="38" xfId="0" applyFont="1" applyFill="1" applyBorder="1"/>
    <xf numFmtId="0" fontId="67" fillId="10" borderId="73" xfId="0" applyFont="1" applyFill="1" applyBorder="1"/>
    <xf numFmtId="0" fontId="28" fillId="0" borderId="74" xfId="0" applyFont="1" applyBorder="1"/>
    <xf numFmtId="0" fontId="67" fillId="10" borderId="38" xfId="0" applyFont="1" applyFill="1" applyBorder="1"/>
    <xf numFmtId="0" fontId="67" fillId="0" borderId="4" xfId="0" applyFont="1" applyBorder="1" applyAlignment="1">
      <alignment horizontal="center"/>
    </xf>
    <xf numFmtId="0" fontId="28" fillId="0" borderId="72" xfId="0" applyFont="1" applyBorder="1" applyAlignment="1">
      <alignment horizontal="center"/>
    </xf>
    <xf numFmtId="0" fontId="131" fillId="2" borderId="38" xfId="0" applyFont="1" applyFill="1" applyBorder="1"/>
    <xf numFmtId="176" fontId="132" fillId="0" borderId="4" xfId="0" applyNumberFormat="1" applyFont="1" applyBorder="1" applyAlignment="1">
      <alignment horizontal="center"/>
    </xf>
    <xf numFmtId="176" fontId="133" fillId="0" borderId="4" xfId="0" applyNumberFormat="1" applyFont="1" applyBorder="1" applyAlignment="1">
      <alignment horizontal="center"/>
    </xf>
    <xf numFmtId="176" fontId="132" fillId="0" borderId="4" xfId="0" applyNumberFormat="1" applyFont="1" applyBorder="1"/>
    <xf numFmtId="176" fontId="67" fillId="0" borderId="4" xfId="0" applyNumberFormat="1" applyFont="1" applyBorder="1"/>
    <xf numFmtId="0" fontId="71" fillId="0" borderId="38" xfId="0" applyFont="1" applyBorder="1"/>
    <xf numFmtId="4" fontId="71" fillId="0" borderId="4" xfId="0" applyNumberFormat="1" applyFont="1" applyBorder="1"/>
    <xf numFmtId="4" fontId="76" fillId="0" borderId="4" xfId="0" applyNumberFormat="1" applyFont="1" applyBorder="1"/>
    <xf numFmtId="37" fontId="133" fillId="0" borderId="4" xfId="0" applyNumberFormat="1" applyFont="1" applyBorder="1"/>
    <xf numFmtId="43" fontId="28" fillId="0" borderId="4" xfId="0" applyNumberFormat="1" applyFont="1" applyBorder="1"/>
    <xf numFmtId="43" fontId="28" fillId="0" borderId="4" xfId="0" applyNumberFormat="1" applyFont="1" applyBorder="1" applyAlignment="1">
      <alignment horizontal="center"/>
    </xf>
    <xf numFmtId="43" fontId="67" fillId="0" borderId="4" xfId="0" applyNumberFormat="1" applyFont="1" applyBorder="1" applyAlignment="1">
      <alignment horizontal="center"/>
    </xf>
    <xf numFmtId="43" fontId="132" fillId="0" borderId="4" xfId="0" applyNumberFormat="1" applyFont="1" applyBorder="1" applyAlignment="1">
      <alignment horizontal="center"/>
    </xf>
    <xf numFmtId="0" fontId="132" fillId="0" borderId="72" xfId="0" applyFont="1" applyBorder="1" applyAlignment="1">
      <alignment horizontal="center"/>
    </xf>
    <xf numFmtId="0" fontId="28" fillId="10" borderId="72" xfId="0" applyFont="1" applyFill="1" applyBorder="1"/>
    <xf numFmtId="206" fontId="28" fillId="0" borderId="4" xfId="0" applyNumberFormat="1" applyFont="1" applyBorder="1"/>
    <xf numFmtId="0" fontId="28" fillId="10" borderId="38" xfId="0" applyFont="1" applyFill="1" applyBorder="1"/>
    <xf numFmtId="43" fontId="28" fillId="10" borderId="4" xfId="0" applyNumberFormat="1" applyFont="1" applyFill="1" applyBorder="1" applyAlignment="1">
      <alignment horizontal="center"/>
    </xf>
    <xf numFmtId="43" fontId="67" fillId="10" borderId="4" xfId="0" applyNumberFormat="1" applyFont="1" applyFill="1" applyBorder="1" applyAlignment="1">
      <alignment horizontal="center"/>
    </xf>
    <xf numFmtId="0" fontId="28" fillId="10" borderId="72" xfId="0" applyFont="1" applyFill="1" applyBorder="1" applyAlignment="1">
      <alignment horizontal="center"/>
    </xf>
    <xf numFmtId="43" fontId="132" fillId="10" borderId="4" xfId="0" applyNumberFormat="1" applyFont="1" applyFill="1" applyBorder="1"/>
    <xf numFmtId="43" fontId="133" fillId="10" borderId="4" xfId="0" applyNumberFormat="1" applyFont="1" applyFill="1" applyBorder="1"/>
    <xf numFmtId="0" fontId="71" fillId="10" borderId="72" xfId="0" applyFont="1" applyFill="1" applyBorder="1"/>
    <xf numFmtId="4" fontId="132" fillId="10" borderId="4" xfId="0" applyNumberFormat="1" applyFont="1" applyFill="1" applyBorder="1"/>
    <xf numFmtId="4" fontId="133" fillId="10" borderId="4" xfId="0" applyNumberFormat="1" applyFont="1" applyFill="1" applyBorder="1"/>
    <xf numFmtId="206" fontId="133" fillId="10" borderId="4" xfId="0" applyNumberFormat="1" applyFont="1" applyFill="1" applyBorder="1"/>
    <xf numFmtId="0" fontId="28" fillId="10" borderId="73" xfId="0" applyFont="1" applyFill="1" applyBorder="1"/>
    <xf numFmtId="176" fontId="133" fillId="2" borderId="4" xfId="0" applyNumberFormat="1" applyFont="1" applyFill="1" applyBorder="1"/>
    <xf numFmtId="0" fontId="28" fillId="42" borderId="38" xfId="0" applyFont="1" applyFill="1" applyBorder="1"/>
    <xf numFmtId="43" fontId="132" fillId="42" borderId="4" xfId="0" applyNumberFormat="1" applyFont="1" applyFill="1" applyBorder="1" applyAlignment="1">
      <alignment horizontal="center"/>
    </xf>
    <xf numFmtId="43" fontId="133" fillId="42" borderId="4" xfId="0" applyNumberFormat="1" applyFont="1" applyFill="1" applyBorder="1" applyAlignment="1">
      <alignment horizontal="center"/>
    </xf>
    <xf numFmtId="0" fontId="132" fillId="42" borderId="72" xfId="0" applyFont="1" applyFill="1" applyBorder="1" applyAlignment="1">
      <alignment horizontal="center"/>
    </xf>
    <xf numFmtId="0" fontId="28" fillId="6" borderId="38" xfId="0" applyFont="1" applyFill="1" applyBorder="1"/>
    <xf numFmtId="180" fontId="133" fillId="6" borderId="4" xfId="0" applyNumberFormat="1" applyFont="1" applyFill="1" applyBorder="1"/>
    <xf numFmtId="180" fontId="132" fillId="6" borderId="4" xfId="0" applyNumberFormat="1" applyFont="1" applyFill="1" applyBorder="1"/>
    <xf numFmtId="0" fontId="28" fillId="6" borderId="72" xfId="0" applyFont="1" applyFill="1" applyBorder="1"/>
    <xf numFmtId="11" fontId="132" fillId="6" borderId="4" xfId="0" applyNumberFormat="1" applyFont="1" applyFill="1" applyBorder="1"/>
    <xf numFmtId="2" fontId="133" fillId="6" borderId="4" xfId="0" applyNumberFormat="1" applyFont="1" applyFill="1" applyBorder="1"/>
    <xf numFmtId="0" fontId="132" fillId="6" borderId="72" xfId="0" applyFont="1" applyFill="1" applyBorder="1"/>
    <xf numFmtId="4" fontId="133" fillId="2" borderId="4" xfId="0" applyNumberFormat="1" applyFont="1" applyFill="1" applyBorder="1"/>
    <xf numFmtId="0" fontId="28" fillId="42" borderId="72" xfId="0" applyFont="1" applyFill="1" applyBorder="1"/>
    <xf numFmtId="0" fontId="28" fillId="42" borderId="73" xfId="0" applyFont="1" applyFill="1" applyBorder="1"/>
    <xf numFmtId="43" fontId="67" fillId="42" borderId="4" xfId="0" applyNumberFormat="1" applyFont="1" applyFill="1" applyBorder="1"/>
    <xf numFmtId="4" fontId="28" fillId="2" borderId="4" xfId="0" applyNumberFormat="1" applyFont="1" applyFill="1" applyBorder="1"/>
    <xf numFmtId="180" fontId="28" fillId="0" borderId="4" xfId="0" applyNumberFormat="1" applyFont="1" applyBorder="1" applyAlignment="1">
      <alignment horizontal="center"/>
    </xf>
    <xf numFmtId="180" fontId="28" fillId="0" borderId="4" xfId="0" applyNumberFormat="1" applyFont="1" applyBorder="1"/>
    <xf numFmtId="0" fontId="28" fillId="0" borderId="70" xfId="0" applyFont="1" applyBorder="1"/>
    <xf numFmtId="0" fontId="28" fillId="0" borderId="71" xfId="0" applyFont="1" applyBorder="1"/>
    <xf numFmtId="0" fontId="28" fillId="18" borderId="337" xfId="0" applyFont="1" applyFill="1" applyBorder="1"/>
    <xf numFmtId="2" fontId="132" fillId="18" borderId="4" xfId="0" applyNumberFormat="1" applyFont="1" applyFill="1" applyBorder="1" applyAlignment="1">
      <alignment horizontal="center"/>
    </xf>
    <xf numFmtId="2" fontId="133" fillId="18" borderId="4" xfId="0" applyNumberFormat="1" applyFont="1" applyFill="1" applyBorder="1" applyAlignment="1">
      <alignment horizontal="center"/>
    </xf>
    <xf numFmtId="0" fontId="132" fillId="18" borderId="72" xfId="0" applyFont="1" applyFill="1" applyBorder="1" applyAlignment="1">
      <alignment horizontal="center"/>
    </xf>
    <xf numFmtId="0" fontId="3" fillId="18" borderId="42" xfId="0" applyFont="1" applyFill="1" applyBorder="1"/>
    <xf numFmtId="0" fontId="28" fillId="18" borderId="38" xfId="0" applyFont="1" applyFill="1" applyBorder="1"/>
    <xf numFmtId="43" fontId="133" fillId="18" borderId="4" xfId="0" applyNumberFormat="1" applyFont="1" applyFill="1" applyBorder="1"/>
    <xf numFmtId="0" fontId="28" fillId="18" borderId="72" xfId="0" applyFont="1" applyFill="1" applyBorder="1"/>
    <xf numFmtId="2" fontId="132" fillId="18" borderId="4" xfId="0" applyNumberFormat="1" applyFont="1" applyFill="1" applyBorder="1"/>
    <xf numFmtId="2" fontId="133" fillId="18" borderId="4" xfId="0" applyNumberFormat="1" applyFont="1" applyFill="1" applyBorder="1"/>
    <xf numFmtId="0" fontId="132" fillId="18" borderId="72" xfId="0" applyFont="1" applyFill="1" applyBorder="1"/>
    <xf numFmtId="206" fontId="133" fillId="18" borderId="4" xfId="0" applyNumberFormat="1" applyFont="1" applyFill="1" applyBorder="1"/>
    <xf numFmtId="0" fontId="28" fillId="18" borderId="73" xfId="0" applyFont="1" applyFill="1" applyBorder="1"/>
    <xf numFmtId="43" fontId="67" fillId="18" borderId="4" xfId="0" applyNumberFormat="1" applyFont="1" applyFill="1" applyBorder="1"/>
    <xf numFmtId="0" fontId="28" fillId="0" borderId="89" xfId="0" applyFont="1" applyBorder="1" applyAlignment="1">
      <alignment horizontal="center"/>
    </xf>
    <xf numFmtId="0" fontId="28" fillId="0" borderId="90" xfId="0" applyFont="1" applyBorder="1" applyAlignment="1">
      <alignment horizontal="center"/>
    </xf>
    <xf numFmtId="0" fontId="28" fillId="0" borderId="338" xfId="0" applyFont="1" applyBorder="1"/>
    <xf numFmtId="0" fontId="28" fillId="0" borderId="339" xfId="0" applyFont="1" applyBorder="1"/>
    <xf numFmtId="0" fontId="28" fillId="0" borderId="240" xfId="0" applyFont="1" applyBorder="1"/>
    <xf numFmtId="0" fontId="28" fillId="0" borderId="180" xfId="0" applyFont="1" applyBorder="1"/>
    <xf numFmtId="0" fontId="71" fillId="0" borderId="180" xfId="0" applyFont="1" applyBorder="1"/>
    <xf numFmtId="0" fontId="28" fillId="49" borderId="42" xfId="0" applyFont="1" applyFill="1" applyBorder="1"/>
    <xf numFmtId="49" fontId="28" fillId="0" borderId="0" xfId="0" applyNumberFormat="1" applyFont="1"/>
    <xf numFmtId="49" fontId="28" fillId="0" borderId="0" xfId="0" applyNumberFormat="1" applyFont="1" applyAlignment="1">
      <alignment horizontal="center"/>
    </xf>
    <xf numFmtId="49" fontId="31" fillId="0" borderId="0" xfId="0" applyNumberFormat="1" applyFont="1" applyAlignment="1">
      <alignment horizontal="center"/>
    </xf>
    <xf numFmtId="3" fontId="28" fillId="0" borderId="0" xfId="0" applyNumberFormat="1" applyFont="1"/>
    <xf numFmtId="177" fontId="28" fillId="0" borderId="0" xfId="0" applyNumberFormat="1" applyFont="1"/>
    <xf numFmtId="3" fontId="30" fillId="49" borderId="68" xfId="0" applyNumberFormat="1" applyFont="1" applyFill="1" applyBorder="1"/>
    <xf numFmtId="0" fontId="28" fillId="49" borderId="68" xfId="0" applyFont="1" applyFill="1" applyBorder="1"/>
    <xf numFmtId="3" fontId="29" fillId="49" borderId="68" xfId="0" applyNumberFormat="1" applyFont="1" applyFill="1" applyBorder="1"/>
    <xf numFmtId="43" fontId="30" fillId="0" borderId="0" xfId="0" applyNumberFormat="1" applyFont="1"/>
    <xf numFmtId="0" fontId="29" fillId="0" borderId="73" xfId="0" applyFont="1" applyBorder="1"/>
    <xf numFmtId="0" fontId="29" fillId="0" borderId="74" xfId="0" applyFont="1" applyBorder="1"/>
    <xf numFmtId="0" fontId="30" fillId="52" borderId="4" xfId="0" applyFont="1" applyFill="1" applyBorder="1"/>
    <xf numFmtId="176" fontId="29" fillId="49" borderId="4" xfId="0" applyNumberFormat="1" applyFont="1" applyFill="1" applyBorder="1"/>
    <xf numFmtId="176" fontId="30" fillId="36" borderId="74" xfId="0" applyNumberFormat="1" applyFont="1" applyFill="1" applyBorder="1"/>
    <xf numFmtId="0" fontId="30" fillId="53" borderId="4" xfId="0" applyFont="1" applyFill="1" applyBorder="1"/>
    <xf numFmtId="176" fontId="29" fillId="0" borderId="4" xfId="0" applyNumberFormat="1" applyFont="1" applyBorder="1"/>
    <xf numFmtId="3" fontId="29" fillId="0" borderId="4" xfId="0" applyNumberFormat="1" applyFont="1" applyBorder="1"/>
    <xf numFmtId="176" fontId="30" fillId="0" borderId="74" xfId="0" applyNumberFormat="1" applyFont="1" applyBorder="1"/>
    <xf numFmtId="0" fontId="30" fillId="54" borderId="4" xfId="0" applyFont="1" applyFill="1" applyBorder="1"/>
    <xf numFmtId="176" fontId="30" fillId="55" borderId="4" xfId="0" applyNumberFormat="1" applyFont="1" applyFill="1" applyBorder="1"/>
    <xf numFmtId="4" fontId="29" fillId="47" borderId="74" xfId="0" applyNumberFormat="1" applyFont="1" applyFill="1" applyBorder="1"/>
    <xf numFmtId="0" fontId="28" fillId="48" borderId="4" xfId="0" applyFont="1" applyFill="1" applyBorder="1"/>
    <xf numFmtId="176" fontId="30" fillId="47" borderId="74" xfId="0" applyNumberFormat="1" applyFont="1" applyFill="1" applyBorder="1"/>
    <xf numFmtId="176" fontId="30" fillId="22" borderId="74" xfId="0" applyNumberFormat="1" applyFont="1" applyFill="1" applyBorder="1"/>
    <xf numFmtId="176" fontId="30" fillId="38" borderId="74" xfId="0" applyNumberFormat="1" applyFont="1" applyFill="1" applyBorder="1"/>
    <xf numFmtId="176" fontId="134" fillId="0" borderId="74" xfId="0" applyNumberFormat="1" applyFont="1" applyBorder="1"/>
    <xf numFmtId="167" fontId="134" fillId="0" borderId="74" xfId="0" applyNumberFormat="1" applyFont="1" applyBorder="1"/>
    <xf numFmtId="180" fontId="34" fillId="56" borderId="74" xfId="0" applyNumberFormat="1" applyFont="1" applyFill="1" applyBorder="1"/>
    <xf numFmtId="0" fontId="8" fillId="0" borderId="293" xfId="0" applyFont="1" applyBorder="1"/>
    <xf numFmtId="0" fontId="8" fillId="0" borderId="295" xfId="0" applyFont="1" applyBorder="1"/>
    <xf numFmtId="0" fontId="8" fillId="0" borderId="256" xfId="0" applyFont="1" applyBorder="1"/>
    <xf numFmtId="0" fontId="8" fillId="0" borderId="0" xfId="0" applyFont="1" applyAlignment="1">
      <alignment textRotation="90"/>
    </xf>
    <xf numFmtId="0" fontId="28" fillId="0" borderId="0" xfId="0" applyFont="1" applyAlignment="1">
      <alignment textRotation="90"/>
    </xf>
    <xf numFmtId="0" fontId="8" fillId="0" borderId="15" xfId="0" applyFont="1" applyBorder="1" applyAlignment="1">
      <alignment horizontal="center"/>
    </xf>
    <xf numFmtId="176" fontId="8" fillId="0" borderId="15" xfId="0" applyNumberFormat="1" applyFont="1" applyBorder="1" applyAlignment="1">
      <alignment horizontal="center"/>
    </xf>
    <xf numFmtId="10" fontId="8" fillId="0" borderId="15" xfId="0" applyNumberFormat="1" applyFont="1" applyBorder="1" applyAlignment="1">
      <alignment horizontal="center"/>
    </xf>
    <xf numFmtId="2" fontId="8" fillId="0" borderId="15" xfId="0" applyNumberFormat="1" applyFont="1" applyBorder="1" applyAlignment="1">
      <alignment horizontal="center"/>
    </xf>
    <xf numFmtId="2" fontId="135" fillId="0" borderId="15" xfId="0" applyNumberFormat="1" applyFont="1" applyBorder="1" applyAlignment="1">
      <alignment horizontal="center"/>
    </xf>
    <xf numFmtId="4" fontId="8" fillId="51" borderId="15" xfId="0" applyNumberFormat="1" applyFont="1" applyFill="1" applyBorder="1" applyAlignment="1">
      <alignment horizontal="center"/>
    </xf>
    <xf numFmtId="175" fontId="136" fillId="0" borderId="15" xfId="0" applyNumberFormat="1" applyFont="1" applyBorder="1" applyAlignment="1">
      <alignment horizontal="center"/>
    </xf>
    <xf numFmtId="176" fontId="140" fillId="0" borderId="15" xfId="0" applyNumberFormat="1" applyFont="1" applyBorder="1" applyAlignment="1">
      <alignment horizontal="center"/>
    </xf>
    <xf numFmtId="176" fontId="141" fillId="0" borderId="15" xfId="0" applyNumberFormat="1" applyFont="1" applyBorder="1" applyAlignment="1">
      <alignment horizontal="center"/>
    </xf>
    <xf numFmtId="37" fontId="142" fillId="0" borderId="15" xfId="0" applyNumberFormat="1" applyFont="1" applyBorder="1" applyAlignment="1">
      <alignment horizontal="center"/>
    </xf>
    <xf numFmtId="176" fontId="11" fillId="0" borderId="15" xfId="0" applyNumberFormat="1" applyFont="1" applyBorder="1" applyAlignment="1">
      <alignment horizontal="center"/>
    </xf>
    <xf numFmtId="176" fontId="143" fillId="0" borderId="15" xfId="0" applyNumberFormat="1" applyFont="1" applyBorder="1" applyAlignment="1">
      <alignment horizontal="center"/>
    </xf>
    <xf numFmtId="177" fontId="8" fillId="0" borderId="15" xfId="0" applyNumberFormat="1" applyFont="1" applyBorder="1" applyAlignment="1">
      <alignment horizontal="center"/>
    </xf>
    <xf numFmtId="206" fontId="8" fillId="0" borderId="15" xfId="0" applyNumberFormat="1" applyFont="1" applyBorder="1" applyAlignment="1">
      <alignment horizontal="center"/>
    </xf>
    <xf numFmtId="4" fontId="8" fillId="26" borderId="15" xfId="0" applyNumberFormat="1" applyFont="1" applyFill="1" applyBorder="1" applyAlignment="1">
      <alignment horizontal="center"/>
    </xf>
    <xf numFmtId="0" fontId="8" fillId="23" borderId="342" xfId="0" applyFont="1" applyFill="1" applyBorder="1" applyAlignment="1">
      <alignment horizontal="center"/>
    </xf>
    <xf numFmtId="10" fontId="8" fillId="23" borderId="342" xfId="0" applyNumberFormat="1" applyFont="1" applyFill="1" applyBorder="1" applyAlignment="1">
      <alignment horizontal="center"/>
    </xf>
    <xf numFmtId="4" fontId="7" fillId="23" borderId="342" xfId="0" applyNumberFormat="1" applyFont="1" applyFill="1" applyBorder="1" applyAlignment="1">
      <alignment horizontal="center"/>
    </xf>
    <xf numFmtId="4" fontId="8" fillId="23" borderId="342" xfId="0" applyNumberFormat="1" applyFont="1" applyFill="1" applyBorder="1" applyAlignment="1">
      <alignment horizontal="center"/>
    </xf>
    <xf numFmtId="4" fontId="77" fillId="23" borderId="342" xfId="0" applyNumberFormat="1" applyFont="1" applyFill="1" applyBorder="1" applyAlignment="1">
      <alignment horizontal="center"/>
    </xf>
    <xf numFmtId="3" fontId="8" fillId="0" borderId="0" xfId="0" applyNumberFormat="1" applyFont="1"/>
    <xf numFmtId="0" fontId="144" fillId="0" borderId="0" xfId="0" applyFont="1"/>
    <xf numFmtId="0" fontId="145" fillId="0" borderId="0" xfId="0" applyFont="1"/>
    <xf numFmtId="0" fontId="145" fillId="0" borderId="0" xfId="0" applyFont="1" applyAlignment="1">
      <alignment vertical="center"/>
    </xf>
    <xf numFmtId="0" fontId="146" fillId="0" borderId="0" xfId="0" applyFont="1"/>
    <xf numFmtId="0" fontId="29" fillId="25" borderId="311" xfId="0" applyFont="1" applyFill="1" applyBorder="1"/>
    <xf numFmtId="0" fontId="29" fillId="25" borderId="312" xfId="0" applyFont="1" applyFill="1" applyBorder="1"/>
    <xf numFmtId="0" fontId="56" fillId="0" borderId="292" xfId="0" applyFont="1" applyBorder="1" applyAlignment="1">
      <alignment horizontal="center" vertical="center" wrapText="1"/>
    </xf>
    <xf numFmtId="0" fontId="56" fillId="0" borderId="293" xfId="0" applyFont="1" applyBorder="1" applyAlignment="1">
      <alignment horizontal="center" vertical="center" wrapText="1"/>
    </xf>
    <xf numFmtId="0" fontId="56" fillId="0" borderId="293" xfId="0" applyFont="1" applyBorder="1" applyAlignment="1">
      <alignment horizontal="center" wrapText="1"/>
    </xf>
    <xf numFmtId="0" fontId="10" fillId="0" borderId="293" xfId="0" applyFont="1" applyBorder="1" applyAlignment="1">
      <alignment horizontal="center" wrapText="1"/>
    </xf>
    <xf numFmtId="0" fontId="10" fillId="0" borderId="293" xfId="0" applyFont="1" applyBorder="1"/>
    <xf numFmtId="0" fontId="56" fillId="0" borderId="294" xfId="0" applyFont="1" applyBorder="1" applyAlignment="1">
      <alignment horizontal="center" vertical="center" wrapText="1"/>
    </xf>
    <xf numFmtId="0" fontId="56" fillId="0" borderId="215" xfId="0" applyFont="1" applyBorder="1" applyAlignment="1">
      <alignment horizontal="center"/>
    </xf>
    <xf numFmtId="176" fontId="56" fillId="0" borderId="4" xfId="0" applyNumberFormat="1" applyFont="1" applyBorder="1"/>
    <xf numFmtId="0" fontId="56" fillId="0" borderId="4" xfId="0" applyFont="1" applyBorder="1" applyAlignment="1">
      <alignment horizontal="center"/>
    </xf>
    <xf numFmtId="1" fontId="56" fillId="0" borderId="4" xfId="0" applyNumberFormat="1" applyFont="1" applyBorder="1"/>
    <xf numFmtId="181" fontId="56" fillId="0" borderId="4" xfId="0" applyNumberFormat="1" applyFont="1" applyBorder="1"/>
    <xf numFmtId="43" fontId="56" fillId="0" borderId="4" xfId="0" applyNumberFormat="1" applyFont="1" applyBorder="1"/>
    <xf numFmtId="10" fontId="56" fillId="0" borderId="4" xfId="0" applyNumberFormat="1" applyFont="1" applyBorder="1"/>
    <xf numFmtId="0" fontId="56" fillId="0" borderId="4" xfId="0" quotePrefix="1" applyFont="1" applyBorder="1" applyAlignment="1">
      <alignment horizontal="center"/>
    </xf>
    <xf numFmtId="197" fontId="56" fillId="0" borderId="4" xfId="0" applyNumberFormat="1" applyFont="1" applyBorder="1"/>
    <xf numFmtId="184" fontId="56" fillId="0" borderId="295" xfId="0" applyNumberFormat="1" applyFont="1" applyBorder="1"/>
    <xf numFmtId="0" fontId="29" fillId="0" borderId="221" xfId="0" applyFont="1" applyBorder="1"/>
    <xf numFmtId="0" fontId="29" fillId="0" borderId="222" xfId="0" applyFont="1" applyBorder="1"/>
    <xf numFmtId="0" fontId="29" fillId="0" borderId="223" xfId="0" applyFont="1" applyBorder="1"/>
    <xf numFmtId="0" fontId="147" fillId="25" borderId="345" xfId="0" applyFont="1" applyFill="1" applyBorder="1" applyAlignment="1">
      <alignment vertical="center"/>
    </xf>
    <xf numFmtId="176" fontId="56" fillId="0" borderId="4" xfId="0" applyNumberFormat="1" applyFont="1" applyBorder="1" applyAlignment="1">
      <alignment horizontal="center"/>
    </xf>
    <xf numFmtId="9" fontId="56" fillId="0" borderId="4" xfId="0" applyNumberFormat="1" applyFont="1" applyBorder="1" applyAlignment="1">
      <alignment horizontal="center"/>
    </xf>
    <xf numFmtId="177" fontId="56" fillId="0" borderId="4" xfId="0" applyNumberFormat="1" applyFont="1" applyBorder="1" applyAlignment="1">
      <alignment vertical="center"/>
    </xf>
    <xf numFmtId="207" fontId="56" fillId="0" borderId="4" xfId="0" applyNumberFormat="1" applyFont="1" applyBorder="1" applyAlignment="1">
      <alignment horizontal="center"/>
    </xf>
    <xf numFmtId="2" fontId="56" fillId="0" borderId="4" xfId="0" applyNumberFormat="1" applyFont="1" applyBorder="1" applyAlignment="1">
      <alignment horizontal="center"/>
    </xf>
    <xf numFmtId="197" fontId="56" fillId="0" borderId="4" xfId="0" applyNumberFormat="1" applyFont="1" applyBorder="1" applyAlignment="1">
      <alignment horizontal="center"/>
    </xf>
    <xf numFmtId="43" fontId="56" fillId="0" borderId="4" xfId="0" applyNumberFormat="1" applyFont="1" applyBorder="1" applyAlignment="1">
      <alignment horizontal="center"/>
    </xf>
    <xf numFmtId="168" fontId="56" fillId="0" borderId="4" xfId="0" applyNumberFormat="1" applyFont="1" applyBorder="1" applyAlignment="1">
      <alignment horizontal="center"/>
    </xf>
    <xf numFmtId="0" fontId="56" fillId="0" borderId="196" xfId="0" applyFont="1" applyBorder="1"/>
    <xf numFmtId="0" fontId="10" fillId="0" borderId="221" xfId="0" applyFont="1" applyBorder="1"/>
    <xf numFmtId="0" fontId="10" fillId="0" borderId="222" xfId="0" applyFont="1" applyBorder="1"/>
    <xf numFmtId="0" fontId="10" fillId="0" borderId="223" xfId="0" applyFont="1" applyBorder="1"/>
    <xf numFmtId="0" fontId="88" fillId="0" borderId="293" xfId="0" applyFont="1" applyBorder="1" applyAlignment="1">
      <alignment horizontal="center" vertical="center" wrapText="1"/>
    </xf>
    <xf numFmtId="0" fontId="89" fillId="0" borderId="293" xfId="0" applyFont="1" applyBorder="1"/>
    <xf numFmtId="0" fontId="89" fillId="0" borderId="293" xfId="0" applyFont="1" applyBorder="1" applyAlignment="1">
      <alignment horizontal="center" wrapText="1"/>
    </xf>
    <xf numFmtId="0" fontId="88" fillId="0" borderId="293" xfId="0" applyFont="1" applyBorder="1" applyAlignment="1">
      <alignment horizontal="center" wrapText="1"/>
    </xf>
    <xf numFmtId="0" fontId="88" fillId="0" borderId="294" xfId="0" applyFont="1" applyBorder="1" applyAlignment="1">
      <alignment horizontal="center" vertical="center" wrapText="1"/>
    </xf>
    <xf numFmtId="0" fontId="29" fillId="0" borderId="215" xfId="0" applyFont="1" applyBorder="1"/>
    <xf numFmtId="0" fontId="89" fillId="0" borderId="4" xfId="0" applyFont="1" applyBorder="1" applyAlignment="1">
      <alignment horizontal="center"/>
    </xf>
    <xf numFmtId="0" fontId="89" fillId="0" borderId="4" xfId="0" applyFont="1" applyBorder="1" applyAlignment="1">
      <alignment horizontal="center" vertical="top" wrapText="1"/>
    </xf>
    <xf numFmtId="0" fontId="89" fillId="0" borderId="4" xfId="0" applyFont="1" applyBorder="1" applyAlignment="1">
      <alignment horizontal="center" vertical="top"/>
    </xf>
    <xf numFmtId="0" fontId="89" fillId="0" borderId="295" xfId="0" applyFont="1" applyBorder="1" applyAlignment="1">
      <alignment horizontal="center" vertical="top"/>
    </xf>
    <xf numFmtId="9" fontId="56" fillId="0" borderId="4" xfId="0" applyNumberFormat="1" applyFont="1" applyBorder="1"/>
    <xf numFmtId="2" fontId="56" fillId="0" borderId="4" xfId="0" applyNumberFormat="1" applyFont="1" applyBorder="1"/>
    <xf numFmtId="176" fontId="56" fillId="0" borderId="4" xfId="0" quotePrefix="1" applyNumberFormat="1" applyFont="1" applyBorder="1" applyAlignment="1">
      <alignment horizontal="center"/>
    </xf>
    <xf numFmtId="168" fontId="56" fillId="0" borderId="4" xfId="0" applyNumberFormat="1" applyFont="1" applyBorder="1"/>
    <xf numFmtId="168" fontId="56" fillId="0" borderId="4" xfId="0" quotePrefix="1" applyNumberFormat="1" applyFont="1" applyBorder="1" applyAlignment="1">
      <alignment horizontal="center"/>
    </xf>
    <xf numFmtId="0" fontId="56" fillId="0" borderId="221" xfId="0" applyFont="1" applyBorder="1" applyAlignment="1">
      <alignment horizontal="center"/>
    </xf>
    <xf numFmtId="176" fontId="56" fillId="0" borderId="222" xfId="0" applyNumberFormat="1" applyFont="1" applyBorder="1"/>
    <xf numFmtId="0" fontId="56" fillId="0" borderId="222" xfId="0" applyFont="1" applyBorder="1" applyAlignment="1">
      <alignment horizontal="center"/>
    </xf>
    <xf numFmtId="43" fontId="56" fillId="0" borderId="222" xfId="0" applyNumberFormat="1" applyFont="1" applyBorder="1"/>
    <xf numFmtId="9" fontId="56" fillId="0" borderId="222" xfId="0" applyNumberFormat="1" applyFont="1" applyBorder="1"/>
    <xf numFmtId="2" fontId="56" fillId="0" borderId="222" xfId="0" applyNumberFormat="1" applyFont="1" applyBorder="1"/>
    <xf numFmtId="181" fontId="56" fillId="0" borderId="222" xfId="0" applyNumberFormat="1" applyFont="1" applyBorder="1"/>
    <xf numFmtId="176" fontId="56" fillId="0" borderId="222" xfId="0" applyNumberFormat="1" applyFont="1" applyBorder="1" applyAlignment="1">
      <alignment horizontal="center"/>
    </xf>
    <xf numFmtId="168" fontId="56" fillId="0" borderId="222" xfId="0" applyNumberFormat="1" applyFont="1" applyBorder="1"/>
    <xf numFmtId="197" fontId="56" fillId="0" borderId="222" xfId="0" applyNumberFormat="1" applyFont="1" applyBorder="1"/>
    <xf numFmtId="168" fontId="56" fillId="0" borderId="222" xfId="0" applyNumberFormat="1" applyFont="1" applyBorder="1" applyAlignment="1">
      <alignment horizontal="center"/>
    </xf>
    <xf numFmtId="194" fontId="56" fillId="0" borderId="223" xfId="0" applyNumberFormat="1" applyFont="1" applyBorder="1"/>
    <xf numFmtId="176" fontId="56" fillId="0" borderId="0" xfId="0" applyNumberFormat="1" applyFont="1"/>
    <xf numFmtId="9" fontId="56" fillId="0" borderId="0" xfId="0" applyNumberFormat="1" applyFont="1"/>
    <xf numFmtId="2" fontId="56" fillId="0" borderId="0" xfId="0" applyNumberFormat="1" applyFont="1"/>
    <xf numFmtId="181" fontId="56" fillId="0" borderId="0" xfId="0" applyNumberFormat="1" applyFont="1"/>
    <xf numFmtId="176" fontId="56" fillId="0" borderId="0" xfId="0" applyNumberFormat="1" applyFont="1" applyAlignment="1">
      <alignment horizontal="center"/>
    </xf>
    <xf numFmtId="168" fontId="56" fillId="0" borderId="0" xfId="0" applyNumberFormat="1" applyFont="1"/>
    <xf numFmtId="197" fontId="56" fillId="0" borderId="0" xfId="0" applyNumberFormat="1" applyFont="1"/>
    <xf numFmtId="168" fontId="56" fillId="0" borderId="0" xfId="0" applyNumberFormat="1" applyFont="1" applyAlignment="1">
      <alignment horizontal="center"/>
    </xf>
    <xf numFmtId="194" fontId="56" fillId="0" borderId="0" xfId="0" applyNumberFormat="1" applyFont="1"/>
    <xf numFmtId="0" fontId="10" fillId="25" borderId="311" xfId="0" applyFont="1" applyFill="1" applyBorder="1"/>
    <xf numFmtId="0" fontId="10" fillId="25" borderId="312" xfId="0" applyFont="1" applyFill="1" applyBorder="1"/>
    <xf numFmtId="0" fontId="56" fillId="0" borderId="292" xfId="0" applyFont="1" applyBorder="1" applyAlignment="1">
      <alignment horizontal="center" wrapText="1"/>
    </xf>
    <xf numFmtId="0" fontId="88" fillId="0" borderId="294" xfId="0" applyFont="1" applyBorder="1" applyAlignment="1">
      <alignment horizontal="center" wrapText="1"/>
    </xf>
    <xf numFmtId="0" fontId="89" fillId="0" borderId="4" xfId="0" applyFont="1" applyBorder="1"/>
    <xf numFmtId="0" fontId="89" fillId="0" borderId="295" xfId="0" applyFont="1" applyBorder="1" applyAlignment="1">
      <alignment horizontal="center"/>
    </xf>
    <xf numFmtId="175" fontId="56" fillId="0" borderId="4" xfId="0" applyNumberFormat="1" applyFont="1" applyBorder="1"/>
    <xf numFmtId="176" fontId="56" fillId="0" borderId="4" xfId="0" applyNumberFormat="1" applyFont="1" applyBorder="1" applyAlignment="1">
      <alignment horizontal="left"/>
    </xf>
    <xf numFmtId="0" fontId="56" fillId="0" borderId="4" xfId="0" applyFont="1" applyBorder="1" applyAlignment="1">
      <alignment horizontal="right"/>
    </xf>
    <xf numFmtId="165" fontId="56" fillId="0" borderId="295" xfId="0" applyNumberFormat="1" applyFont="1" applyBorder="1"/>
    <xf numFmtId="0" fontId="88" fillId="25" borderId="67" xfId="0" applyFont="1" applyFill="1" applyBorder="1"/>
    <xf numFmtId="0" fontId="88" fillId="25" borderId="69" xfId="0" applyFont="1" applyFill="1" applyBorder="1" applyAlignment="1">
      <alignment vertical="center"/>
    </xf>
    <xf numFmtId="0" fontId="89" fillId="0" borderId="73" xfId="0" applyFont="1" applyBorder="1"/>
    <xf numFmtId="194" fontId="89" fillId="0" borderId="74" xfId="0" applyNumberFormat="1" applyFont="1" applyBorder="1" applyAlignment="1">
      <alignment vertical="center"/>
    </xf>
    <xf numFmtId="194" fontId="29" fillId="0" borderId="0" xfId="0" applyNumberFormat="1" applyFont="1"/>
    <xf numFmtId="194" fontId="148" fillId="0" borderId="74" xfId="0" applyNumberFormat="1" applyFont="1" applyBorder="1" applyAlignment="1">
      <alignment vertical="center"/>
    </xf>
    <xf numFmtId="0" fontId="89" fillId="0" borderId="73" xfId="0" applyFont="1" applyBorder="1" applyAlignment="1">
      <alignment horizontal="left"/>
    </xf>
    <xf numFmtId="208" fontId="89" fillId="0" borderId="74" xfId="0" applyNumberFormat="1" applyFont="1" applyBorder="1" applyAlignment="1">
      <alignment vertical="center"/>
    </xf>
    <xf numFmtId="0" fontId="88" fillId="25" borderId="75" xfId="0" applyFont="1" applyFill="1" applyBorder="1"/>
    <xf numFmtId="194" fontId="88" fillId="25" borderId="77" xfId="0" applyNumberFormat="1" applyFont="1" applyFill="1" applyBorder="1" applyAlignment="1">
      <alignment vertical="center"/>
    </xf>
    <xf numFmtId="209" fontId="29" fillId="0" borderId="0" xfId="0" applyNumberFormat="1" applyFont="1"/>
    <xf numFmtId="0" fontId="149" fillId="0" borderId="0" xfId="0" applyFont="1" applyAlignment="1">
      <alignment wrapText="1"/>
    </xf>
    <xf numFmtId="0" fontId="8" fillId="0" borderId="0" xfId="0" applyFont="1" applyAlignment="1">
      <alignment wrapText="1"/>
    </xf>
    <xf numFmtId="0" fontId="8" fillId="0" borderId="0" xfId="0" applyFont="1" applyAlignment="1">
      <alignment horizontal="left" wrapText="1"/>
    </xf>
    <xf numFmtId="0" fontId="8" fillId="0" borderId="292" xfId="0" applyFont="1" applyBorder="1"/>
    <xf numFmtId="0" fontId="7" fillId="0" borderId="294" xfId="0" applyFont="1" applyBorder="1" applyAlignment="1">
      <alignment horizontal="center"/>
    </xf>
    <xf numFmtId="0" fontId="7" fillId="0" borderId="215" xfId="0" applyFont="1" applyBorder="1"/>
    <xf numFmtId="0" fontId="7" fillId="0" borderId="295" xfId="0" applyFont="1" applyBorder="1" applyAlignment="1">
      <alignment horizontal="center"/>
    </xf>
    <xf numFmtId="0" fontId="8" fillId="0" borderId="215" xfId="0" applyFont="1" applyBorder="1" applyAlignment="1">
      <alignment horizontal="center"/>
    </xf>
    <xf numFmtId="0" fontId="7" fillId="0" borderId="215" xfId="0" applyFont="1" applyBorder="1" applyAlignment="1">
      <alignment horizontal="center"/>
    </xf>
    <xf numFmtId="0" fontId="8" fillId="0" borderId="4" xfId="0" applyFont="1" applyBorder="1" applyAlignment="1">
      <alignment horizontal="left"/>
    </xf>
    <xf numFmtId="0" fontId="8" fillId="0" borderId="255" xfId="0" applyFont="1" applyBorder="1" applyAlignment="1">
      <alignment horizontal="center"/>
    </xf>
    <xf numFmtId="0" fontId="8" fillId="0" borderId="83" xfId="0" applyFont="1" applyBorder="1" applyAlignment="1">
      <alignment horizontal="center"/>
    </xf>
    <xf numFmtId="0" fontId="6" fillId="0" borderId="0" xfId="0" applyFont="1" applyAlignment="1">
      <alignment horizontal="left"/>
    </xf>
    <xf numFmtId="0" fontId="1" fillId="0" borderId="101" xfId="0" applyFont="1" applyBorder="1"/>
    <xf numFmtId="0" fontId="8" fillId="0" borderId="101" xfId="0" applyFont="1" applyBorder="1"/>
    <xf numFmtId="165" fontId="8" fillId="0" borderId="101" xfId="0" applyNumberFormat="1" applyFont="1" applyBorder="1"/>
    <xf numFmtId="0" fontId="201" fillId="0" borderId="224" xfId="0" applyFont="1" applyBorder="1"/>
    <xf numFmtId="0" fontId="202" fillId="0" borderId="224" xfId="0" applyFont="1" applyBorder="1"/>
    <xf numFmtId="0" fontId="201" fillId="0" borderId="224" xfId="0" applyFont="1" applyBorder="1" applyAlignment="1">
      <alignment horizontal="left"/>
    </xf>
    <xf numFmtId="1" fontId="205" fillId="4" borderId="348" xfId="0" applyNumberFormat="1" applyFont="1" applyFill="1" applyBorder="1" applyAlignment="1">
      <alignment horizontal="center"/>
    </xf>
    <xf numFmtId="0" fontId="205" fillId="0" borderId="350" xfId="0" applyFont="1" applyBorder="1"/>
    <xf numFmtId="0" fontId="201" fillId="0" borderId="14" xfId="0" applyFont="1" applyBorder="1"/>
    <xf numFmtId="0" fontId="201" fillId="0" borderId="352" xfId="0" applyFont="1" applyBorder="1"/>
    <xf numFmtId="0" fontId="201" fillId="0" borderId="353" xfId="0" applyFont="1" applyBorder="1"/>
    <xf numFmtId="0" fontId="201" fillId="0" borderId="224" xfId="0" applyFont="1" applyBorder="1" applyAlignment="1">
      <alignment horizontal="left" indent="2"/>
    </xf>
    <xf numFmtId="0" fontId="201" fillId="0" borderId="354" xfId="0" applyFont="1" applyBorder="1"/>
    <xf numFmtId="0" fontId="205" fillId="0" borderId="14" xfId="0" applyFont="1" applyBorder="1"/>
    <xf numFmtId="0" fontId="205" fillId="0" borderId="355" xfId="0" applyFont="1" applyBorder="1"/>
    <xf numFmtId="0" fontId="205" fillId="0" borderId="224" xfId="0" applyFont="1" applyBorder="1"/>
    <xf numFmtId="0" fontId="205" fillId="0" borderId="356" xfId="0" applyFont="1" applyBorder="1"/>
    <xf numFmtId="0" fontId="202" fillId="0" borderId="19" xfId="0" applyFont="1" applyBorder="1"/>
    <xf numFmtId="164" fontId="201" fillId="0" borderId="358" xfId="0" applyNumberFormat="1" applyFont="1" applyBorder="1"/>
    <xf numFmtId="10" fontId="207" fillId="0" borderId="351" xfId="0" applyNumberFormat="1" applyFont="1" applyBorder="1"/>
    <xf numFmtId="0" fontId="209" fillId="5" borderId="361" xfId="0" applyFont="1" applyFill="1" applyBorder="1" applyAlignment="1">
      <alignment horizontal="center"/>
    </xf>
    <xf numFmtId="0" fontId="209" fillId="5" borderId="362" xfId="0" applyFont="1" applyFill="1" applyBorder="1" applyAlignment="1">
      <alignment horizontal="center"/>
    </xf>
    <xf numFmtId="192" fontId="200" fillId="0" borderId="359" xfId="0" applyNumberFormat="1" applyFont="1" applyBorder="1" applyAlignment="1">
      <alignment horizontal="center"/>
    </xf>
    <xf numFmtId="192" fontId="200" fillId="0" borderId="363" xfId="0" applyNumberFormat="1" applyFont="1" applyBorder="1" applyAlignment="1">
      <alignment horizontal="center"/>
    </xf>
    <xf numFmtId="192" fontId="200" fillId="0" borderId="365" xfId="0" applyNumberFormat="1" applyFont="1" applyBorder="1" applyAlignment="1">
      <alignment horizontal="center"/>
    </xf>
    <xf numFmtId="192" fontId="200" fillId="0" borderId="366" xfId="0" applyNumberFormat="1" applyFont="1" applyBorder="1" applyAlignment="1">
      <alignment horizontal="center"/>
    </xf>
    <xf numFmtId="0" fontId="200" fillId="0" borderId="360" xfId="0" applyFont="1" applyBorder="1"/>
    <xf numFmtId="0" fontId="200" fillId="0" borderId="357" xfId="0" applyFont="1" applyBorder="1"/>
    <xf numFmtId="0" fontId="200" fillId="0" borderId="364" xfId="0" applyFont="1" applyBorder="1"/>
    <xf numFmtId="0" fontId="4" fillId="0" borderId="101" xfId="0" applyFont="1" applyBorder="1" applyAlignment="1">
      <alignment horizontal="right"/>
    </xf>
    <xf numFmtId="0" fontId="4" fillId="0" borderId="241" xfId="0" applyFont="1" applyBorder="1" applyAlignment="1">
      <alignment horizontal="center"/>
    </xf>
    <xf numFmtId="3" fontId="4" fillId="0" borderId="235" xfId="0" applyNumberFormat="1" applyFont="1" applyBorder="1" applyAlignment="1">
      <alignment horizontal="center"/>
    </xf>
    <xf numFmtId="192" fontId="205" fillId="4" borderId="351" xfId="0" applyNumberFormat="1" applyFont="1" applyFill="1" applyBorder="1" applyAlignment="1">
      <alignment horizontal="center"/>
    </xf>
    <xf numFmtId="192" fontId="201" fillId="4" borderId="351" xfId="0" applyNumberFormat="1" applyFont="1" applyFill="1" applyBorder="1" applyAlignment="1">
      <alignment horizontal="center"/>
    </xf>
    <xf numFmtId="192" fontId="201" fillId="0" borderId="351" xfId="0" applyNumberFormat="1" applyFont="1" applyBorder="1" applyAlignment="1">
      <alignment horizontal="center"/>
    </xf>
    <xf numFmtId="192" fontId="205" fillId="4" borderId="351" xfId="0" applyNumberFormat="1" applyFont="1" applyFill="1" applyBorder="1" applyAlignment="1">
      <alignment horizontal="center" wrapText="1"/>
    </xf>
    <xf numFmtId="192" fontId="207" fillId="0" borderId="351" xfId="0" applyNumberFormat="1" applyFont="1" applyBorder="1" applyAlignment="1">
      <alignment horizontal="center"/>
    </xf>
    <xf numFmtId="192" fontId="201" fillId="58" borderId="351" xfId="0" applyNumberFormat="1" applyFont="1" applyFill="1" applyBorder="1" applyAlignment="1">
      <alignment horizontal="center"/>
    </xf>
    <xf numFmtId="0" fontId="200" fillId="0" borderId="0" xfId="0" applyFont="1"/>
    <xf numFmtId="0" fontId="18" fillId="0" borderId="0" xfId="0" applyFont="1" applyAlignment="1">
      <alignment horizontal="right"/>
    </xf>
    <xf numFmtId="0" fontId="4" fillId="0" borderId="0" xfId="0" applyFont="1" applyAlignment="1">
      <alignment horizontal="right"/>
    </xf>
    <xf numFmtId="0" fontId="210" fillId="0" borderId="0" xfId="0" applyFont="1"/>
    <xf numFmtId="0" fontId="205" fillId="0" borderId="369" xfId="0" applyFont="1" applyBorder="1"/>
    <xf numFmtId="0" fontId="202" fillId="0" borderId="368" xfId="0" applyFont="1" applyBorder="1"/>
    <xf numFmtId="176" fontId="213" fillId="0" borderId="4" xfId="0" applyNumberFormat="1" applyFont="1" applyBorder="1"/>
    <xf numFmtId="176" fontId="213" fillId="0" borderId="4" xfId="0" applyNumberFormat="1" applyFont="1" applyBorder="1" applyAlignment="1">
      <alignment horizontal="center"/>
    </xf>
    <xf numFmtId="0" fontId="200" fillId="2" borderId="4" xfId="0" applyFont="1" applyFill="1" applyBorder="1" applyAlignment="1">
      <alignment horizontal="left"/>
    </xf>
    <xf numFmtId="0" fontId="200" fillId="2" borderId="4" xfId="0" applyFont="1" applyFill="1" applyBorder="1" applyAlignment="1">
      <alignment horizontal="right"/>
    </xf>
    <xf numFmtId="3" fontId="200" fillId="2" borderId="4" xfId="0" applyNumberFormat="1" applyFont="1" applyFill="1" applyBorder="1" applyAlignment="1">
      <alignment horizontal="right"/>
    </xf>
    <xf numFmtId="0" fontId="216" fillId="0" borderId="0" xfId="0" applyFont="1"/>
    <xf numFmtId="0" fontId="218" fillId="0" borderId="0" xfId="0" applyFont="1"/>
    <xf numFmtId="0" fontId="219" fillId="9" borderId="4" xfId="0" applyFont="1" applyFill="1" applyBorder="1"/>
    <xf numFmtId="0" fontId="219" fillId="9" borderId="0" xfId="0" applyFont="1" applyFill="1"/>
    <xf numFmtId="0" fontId="218" fillId="0" borderId="4" xfId="0" applyFont="1" applyBorder="1"/>
    <xf numFmtId="0" fontId="220" fillId="8" borderId="4" xfId="0" applyFont="1" applyFill="1" applyBorder="1" applyAlignment="1">
      <alignment horizontal="center"/>
    </xf>
    <xf numFmtId="0" fontId="218" fillId="8" borderId="4" xfId="0" applyFont="1" applyFill="1" applyBorder="1"/>
    <xf numFmtId="0" fontId="220" fillId="0" borderId="4" xfId="0" applyFont="1" applyBorder="1"/>
    <xf numFmtId="4" fontId="221" fillId="48" borderId="4" xfId="0" applyNumberFormat="1" applyFont="1" applyFill="1" applyBorder="1" applyAlignment="1">
      <alignment horizontal="center"/>
    </xf>
    <xf numFmtId="4" fontId="218" fillId="0" borderId="4" xfId="0" applyNumberFormat="1" applyFont="1" applyBorder="1" applyAlignment="1">
      <alignment horizontal="center"/>
    </xf>
    <xf numFmtId="171" fontId="218" fillId="0" borderId="4" xfId="0" applyNumberFormat="1" applyFont="1" applyBorder="1" applyAlignment="1">
      <alignment horizontal="center"/>
    </xf>
    <xf numFmtId="0" fontId="223" fillId="8" borderId="4" xfId="0" applyFont="1" applyFill="1" applyBorder="1"/>
    <xf numFmtId="0" fontId="218" fillId="8" borderId="0" xfId="0" applyFont="1" applyFill="1"/>
    <xf numFmtId="0" fontId="224" fillId="11" borderId="4" xfId="0" applyFont="1" applyFill="1" applyBorder="1" applyAlignment="1">
      <alignment horizontal="center"/>
    </xf>
    <xf numFmtId="0" fontId="218" fillId="11" borderId="4" xfId="0" applyFont="1" applyFill="1" applyBorder="1"/>
    <xf numFmtId="0" fontId="224" fillId="0" borderId="4" xfId="0" applyFont="1" applyBorder="1"/>
    <xf numFmtId="3" fontId="225" fillId="0" borderId="4" xfId="0" applyNumberFormat="1" applyFont="1" applyBorder="1"/>
    <xf numFmtId="0" fontId="218" fillId="12" borderId="4" xfId="0" applyFont="1" applyFill="1" applyBorder="1" applyAlignment="1">
      <alignment horizontal="right"/>
    </xf>
    <xf numFmtId="0" fontId="218" fillId="0" borderId="4" xfId="0" applyFont="1" applyBorder="1" applyAlignment="1">
      <alignment horizontal="right"/>
    </xf>
    <xf numFmtId="3" fontId="218" fillId="0" borderId="4" xfId="0" applyNumberFormat="1" applyFont="1" applyBorder="1" applyAlignment="1">
      <alignment horizontal="right"/>
    </xf>
    <xf numFmtId="0" fontId="225" fillId="0" borderId="4" xfId="0" applyFont="1" applyBorder="1"/>
    <xf numFmtId="0" fontId="29" fillId="0" borderId="101" xfId="0" applyFont="1" applyBorder="1"/>
    <xf numFmtId="192" fontId="4" fillId="0" borderId="0" xfId="0" applyNumberFormat="1" applyFont="1"/>
    <xf numFmtId="192" fontId="1" fillId="0" borderId="0" xfId="0" applyNumberFormat="1" applyFont="1"/>
    <xf numFmtId="0" fontId="226" fillId="0" borderId="0" xfId="0" applyFont="1"/>
    <xf numFmtId="0" fontId="226" fillId="0" borderId="0" xfId="0" applyFont="1" applyAlignment="1">
      <alignment horizontal="center"/>
    </xf>
    <xf numFmtId="0" fontId="227" fillId="0" borderId="0" xfId="0" applyFont="1" applyAlignment="1">
      <alignment horizontal="center"/>
    </xf>
    <xf numFmtId="0" fontId="228" fillId="0" borderId="0" xfId="0" applyFont="1" applyAlignment="1">
      <alignment horizontal="center"/>
    </xf>
    <xf numFmtId="0" fontId="227" fillId="0" borderId="0" xfId="0" applyFont="1"/>
    <xf numFmtId="0" fontId="228" fillId="0" borderId="0" xfId="0" applyFont="1"/>
    <xf numFmtId="0" fontId="230" fillId="0" borderId="0" xfId="0" applyFont="1"/>
    <xf numFmtId="0" fontId="229" fillId="0" borderId="0" xfId="0" applyFont="1"/>
    <xf numFmtId="0" fontId="233" fillId="0" borderId="4" xfId="0" applyFont="1" applyBorder="1" applyAlignment="1">
      <alignment horizontal="center"/>
    </xf>
    <xf numFmtId="0" fontId="230" fillId="2" borderId="4" xfId="0" applyFont="1" applyFill="1" applyBorder="1" applyAlignment="1">
      <alignment horizontal="left"/>
    </xf>
    <xf numFmtId="0" fontId="230" fillId="2" borderId="4" xfId="0" applyFont="1" applyFill="1" applyBorder="1" applyAlignment="1">
      <alignment horizontal="right"/>
    </xf>
    <xf numFmtId="3" fontId="230" fillId="2" borderId="4" xfId="0" applyNumberFormat="1" applyFont="1" applyFill="1" applyBorder="1" applyAlignment="1">
      <alignment horizontal="right"/>
    </xf>
    <xf numFmtId="0" fontId="235" fillId="0" borderId="4" xfId="0" applyFont="1" applyBorder="1"/>
    <xf numFmtId="0" fontId="227" fillId="0" borderId="34" xfId="0" applyFont="1" applyBorder="1" applyAlignment="1">
      <alignment horizontal="center"/>
    </xf>
    <xf numFmtId="0" fontId="227" fillId="0" borderId="4" xfId="0" applyFont="1" applyBorder="1"/>
    <xf numFmtId="0" fontId="227" fillId="0" borderId="4" xfId="0" applyFont="1" applyBorder="1" applyAlignment="1">
      <alignment horizontal="center"/>
    </xf>
    <xf numFmtId="0" fontId="227" fillId="0" borderId="137" xfId="0" applyFont="1" applyBorder="1"/>
    <xf numFmtId="0" fontId="227" fillId="0" borderId="186" xfId="0" applyFont="1" applyBorder="1" applyAlignment="1">
      <alignment horizontal="center"/>
    </xf>
    <xf numFmtId="0" fontId="229" fillId="0" borderId="180" xfId="0" applyFont="1" applyBorder="1" applyAlignment="1">
      <alignment horizontal="center"/>
    </xf>
    <xf numFmtId="0" fontId="227" fillId="0" borderId="39" xfId="0" applyFont="1" applyBorder="1"/>
    <xf numFmtId="0" fontId="227" fillId="0" borderId="30" xfId="0" applyFont="1" applyBorder="1" applyAlignment="1">
      <alignment horizontal="center"/>
    </xf>
    <xf numFmtId="0" fontId="232" fillId="0" borderId="4" xfId="0" applyFont="1" applyBorder="1" applyAlignment="1">
      <alignment horizontal="center"/>
    </xf>
    <xf numFmtId="0" fontId="234" fillId="0" borderId="4" xfId="0" applyFont="1" applyBorder="1" applyAlignment="1">
      <alignment horizontal="center"/>
    </xf>
    <xf numFmtId="176" fontId="227" fillId="0" borderId="4" xfId="0" applyNumberFormat="1" applyFont="1" applyBorder="1"/>
    <xf numFmtId="0" fontId="230" fillId="0" borderId="4" xfId="0" applyFont="1" applyBorder="1"/>
    <xf numFmtId="0" fontId="230" fillId="0" borderId="4" xfId="0" applyFont="1" applyBorder="1" applyAlignment="1">
      <alignment horizontal="center"/>
    </xf>
    <xf numFmtId="176" fontId="230" fillId="0" borderId="4" xfId="0" applyNumberFormat="1" applyFont="1" applyBorder="1" applyAlignment="1">
      <alignment horizontal="right"/>
    </xf>
    <xf numFmtId="0" fontId="237" fillId="39" borderId="4" xfId="0" applyFont="1" applyFill="1" applyBorder="1" applyAlignment="1">
      <alignment horizontal="center"/>
    </xf>
    <xf numFmtId="176" fontId="237" fillId="39" borderId="4" xfId="0" applyNumberFormat="1" applyFont="1" applyFill="1" applyBorder="1" applyAlignment="1">
      <alignment horizontal="right"/>
    </xf>
    <xf numFmtId="0" fontId="230" fillId="39" borderId="4" xfId="0" applyFont="1" applyFill="1" applyBorder="1"/>
    <xf numFmtId="0" fontId="230" fillId="2" borderId="4" xfId="0" applyFont="1" applyFill="1" applyBorder="1"/>
    <xf numFmtId="176" fontId="230" fillId="0" borderId="4" xfId="0" applyNumberFormat="1" applyFont="1" applyBorder="1"/>
    <xf numFmtId="0" fontId="230" fillId="0" borderId="0" xfId="0" applyFont="1" applyFill="1"/>
    <xf numFmtId="0" fontId="227" fillId="0" borderId="0" xfId="0" applyFont="1" applyFill="1"/>
    <xf numFmtId="0" fontId="236" fillId="0" borderId="0" xfId="0" applyFont="1"/>
    <xf numFmtId="0" fontId="236" fillId="0" borderId="4" xfId="0" applyFont="1" applyBorder="1"/>
    <xf numFmtId="0" fontId="241" fillId="0" borderId="0" xfId="0" applyFont="1"/>
    <xf numFmtId="0" fontId="234" fillId="0" borderId="4" xfId="0" applyFont="1" applyFill="1" applyBorder="1" applyAlignment="1">
      <alignment horizontal="center"/>
    </xf>
    <xf numFmtId="0" fontId="239" fillId="8" borderId="4" xfId="0" applyFont="1" applyFill="1" applyBorder="1"/>
    <xf numFmtId="184" fontId="239" fillId="8" borderId="4" xfId="0" applyNumberFormat="1" applyFont="1" applyFill="1" applyBorder="1" applyAlignment="1">
      <alignment horizontal="center"/>
    </xf>
    <xf numFmtId="0" fontId="240" fillId="2" borderId="4" xfId="0" applyFont="1" applyFill="1" applyBorder="1"/>
    <xf numFmtId="0" fontId="242" fillId="0" borderId="4" xfId="0" applyFont="1" applyBorder="1" applyAlignment="1">
      <alignment horizontal="center"/>
    </xf>
    <xf numFmtId="176" fontId="243" fillId="0" borderId="4" xfId="0" applyNumberFormat="1" applyFont="1" applyBorder="1" applyAlignment="1">
      <alignment horizontal="right"/>
    </xf>
    <xf numFmtId="176" fontId="244" fillId="39" borderId="4" xfId="0" applyNumberFormat="1" applyFont="1" applyFill="1" applyBorder="1" applyAlignment="1">
      <alignment horizontal="right"/>
    </xf>
    <xf numFmtId="191" fontId="236" fillId="0" borderId="4" xfId="0" applyNumberFormat="1" applyFont="1" applyBorder="1" applyAlignment="1">
      <alignment horizontal="center"/>
    </xf>
    <xf numFmtId="191" fontId="236" fillId="0" borderId="4" xfId="0" applyNumberFormat="1" applyFont="1" applyBorder="1"/>
    <xf numFmtId="0" fontId="236" fillId="0" borderId="4" xfId="0" applyFont="1" applyFill="1" applyBorder="1"/>
    <xf numFmtId="191" fontId="245" fillId="0" borderId="4" xfId="0" applyNumberFormat="1" applyFont="1" applyBorder="1" applyAlignment="1">
      <alignment horizontal="center"/>
    </xf>
    <xf numFmtId="0" fontId="211" fillId="0" borderId="101" xfId="0" applyFont="1" applyFill="1" applyBorder="1" applyAlignment="1"/>
    <xf numFmtId="0" fontId="227" fillId="0" borderId="359" xfId="0" applyFont="1" applyBorder="1" applyAlignment="1">
      <alignment horizontal="center"/>
    </xf>
    <xf numFmtId="0" fontId="246" fillId="0" borderId="359" xfId="0" applyFont="1" applyBorder="1" applyAlignment="1">
      <alignment vertical="center" wrapText="1"/>
    </xf>
    <xf numFmtId="0" fontId="227" fillId="0" borderId="359" xfId="0" applyFont="1" applyBorder="1"/>
    <xf numFmtId="3" fontId="231" fillId="0" borderId="359" xfId="0" applyNumberFormat="1" applyFont="1" applyBorder="1" applyAlignment="1">
      <alignment horizontal="right" vertical="center"/>
    </xf>
    <xf numFmtId="0" fontId="227" fillId="61" borderId="359" xfId="0" applyFont="1" applyFill="1" applyBorder="1"/>
    <xf numFmtId="176" fontId="246" fillId="61" borderId="359" xfId="0" applyNumberFormat="1" applyFont="1" applyFill="1" applyBorder="1" applyAlignment="1">
      <alignment horizontal="right" vertical="center"/>
    </xf>
    <xf numFmtId="0" fontId="248" fillId="0" borderId="0" xfId="0" quotePrefix="1" applyFont="1"/>
    <xf numFmtId="0" fontId="233" fillId="0" borderId="359" xfId="0" applyFont="1" applyBorder="1" applyAlignment="1">
      <alignment horizontal="center"/>
    </xf>
    <xf numFmtId="0" fontId="232" fillId="0" borderId="359" xfId="0" applyFont="1" applyBorder="1" applyAlignment="1">
      <alignment horizontal="center"/>
    </xf>
    <xf numFmtId="0" fontId="234" fillId="0" borderId="359" xfId="0" applyFont="1" applyBorder="1" applyAlignment="1">
      <alignment horizontal="center"/>
    </xf>
    <xf numFmtId="3" fontId="227" fillId="0" borderId="359" xfId="0" applyNumberFormat="1" applyFont="1" applyBorder="1" applyAlignment="1">
      <alignment horizontal="center"/>
    </xf>
    <xf numFmtId="3" fontId="237" fillId="39" borderId="359" xfId="0" applyNumberFormat="1" applyFont="1" applyFill="1" applyBorder="1" applyAlignment="1">
      <alignment horizontal="center"/>
    </xf>
    <xf numFmtId="0" fontId="230" fillId="33" borderId="4" xfId="0" applyFont="1" applyFill="1" applyBorder="1"/>
    <xf numFmtId="0" fontId="38" fillId="0" borderId="101" xfId="0" applyFont="1" applyFill="1" applyBorder="1" applyAlignment="1">
      <alignment vertical="top"/>
    </xf>
    <xf numFmtId="0" fontId="8" fillId="0" borderId="101" xfId="0" applyFont="1" applyFill="1" applyBorder="1"/>
    <xf numFmtId="0" fontId="28" fillId="0" borderId="101" xfId="0" applyFont="1" applyFill="1" applyBorder="1"/>
    <xf numFmtId="11" fontId="8" fillId="0" borderId="101" xfId="0" applyNumberFormat="1" applyFont="1" applyBorder="1"/>
    <xf numFmtId="0" fontId="82" fillId="0" borderId="101" xfId="0" applyFont="1" applyBorder="1"/>
    <xf numFmtId="10" fontId="8" fillId="0" borderId="101" xfId="0" applyNumberFormat="1" applyFont="1" applyBorder="1"/>
    <xf numFmtId="0" fontId="8" fillId="0" borderId="372" xfId="0" applyFont="1" applyBorder="1"/>
    <xf numFmtId="0" fontId="8" fillId="0" borderId="373" xfId="0" applyFont="1" applyBorder="1"/>
    <xf numFmtId="0" fontId="8" fillId="0" borderId="375" xfId="0" applyFont="1" applyBorder="1"/>
    <xf numFmtId="0" fontId="8" fillId="0" borderId="374" xfId="0" applyFont="1" applyBorder="1"/>
    <xf numFmtId="0" fontId="8" fillId="0" borderId="376" xfId="0" applyFont="1" applyBorder="1"/>
    <xf numFmtId="0" fontId="8" fillId="0" borderId="377" xfId="0" applyFont="1" applyBorder="1"/>
    <xf numFmtId="0" fontId="8" fillId="0" borderId="378" xfId="0" applyFont="1" applyBorder="1"/>
    <xf numFmtId="0" fontId="8" fillId="0" borderId="317" xfId="0" applyFont="1" applyBorder="1" applyAlignment="1">
      <alignment horizontal="center"/>
    </xf>
    <xf numFmtId="0" fontId="8" fillId="0" borderId="356" xfId="0" applyFont="1" applyBorder="1" applyAlignment="1">
      <alignment horizontal="center"/>
    </xf>
    <xf numFmtId="177" fontId="8" fillId="0" borderId="351" xfId="0" applyNumberFormat="1" applyFont="1" applyBorder="1" applyAlignment="1">
      <alignment horizontal="center"/>
    </xf>
    <xf numFmtId="0" fontId="201" fillId="0" borderId="379" xfId="0" applyFont="1" applyBorder="1" applyAlignment="1">
      <alignment horizontal="left"/>
    </xf>
    <xf numFmtId="0" fontId="8" fillId="0" borderId="356" xfId="0" applyFont="1" applyBorder="1" applyAlignment="1">
      <alignment horizontal="left"/>
    </xf>
    <xf numFmtId="2" fontId="8" fillId="0" borderId="356" xfId="0" applyNumberFormat="1" applyFont="1" applyBorder="1" applyAlignment="1">
      <alignment horizontal="left"/>
    </xf>
    <xf numFmtId="0" fontId="8" fillId="0" borderId="379" xfId="0" applyFont="1" applyBorder="1" applyAlignment="1">
      <alignment horizontal="left"/>
    </xf>
    <xf numFmtId="0" fontId="7" fillId="26" borderId="379" xfId="0" applyFont="1" applyFill="1" applyBorder="1" applyAlignment="1">
      <alignment horizontal="left"/>
    </xf>
    <xf numFmtId="0" fontId="77" fillId="0" borderId="381" xfId="0" applyFont="1" applyBorder="1" applyAlignment="1">
      <alignment horizontal="left"/>
    </xf>
    <xf numFmtId="0" fontId="208" fillId="0" borderId="381" xfId="0" applyFont="1" applyBorder="1" applyAlignment="1">
      <alignment horizontal="left"/>
    </xf>
    <xf numFmtId="0" fontId="77" fillId="23" borderId="379" xfId="0" applyFont="1" applyFill="1" applyBorder="1" applyAlignment="1">
      <alignment horizontal="center"/>
    </xf>
    <xf numFmtId="4" fontId="8" fillId="23" borderId="383" xfId="0" applyNumberFormat="1" applyFont="1" applyFill="1" applyBorder="1" applyAlignment="1">
      <alignment horizontal="center"/>
    </xf>
    <xf numFmtId="0" fontId="7" fillId="20" borderId="384" xfId="0" applyFont="1" applyFill="1" applyBorder="1" applyAlignment="1">
      <alignment horizontal="center"/>
    </xf>
    <xf numFmtId="0" fontId="7" fillId="20" borderId="385" xfId="0" applyFont="1" applyFill="1" applyBorder="1" applyAlignment="1">
      <alignment horizontal="center"/>
    </xf>
    <xf numFmtId="3" fontId="7" fillId="20" borderId="385" xfId="0" applyNumberFormat="1" applyFont="1" applyFill="1" applyBorder="1" applyAlignment="1">
      <alignment horizontal="center"/>
    </xf>
    <xf numFmtId="4" fontId="7" fillId="20" borderId="385" xfId="0" applyNumberFormat="1" applyFont="1" applyFill="1" applyBorder="1" applyAlignment="1">
      <alignment horizontal="center"/>
    </xf>
    <xf numFmtId="3" fontId="7" fillId="20" borderId="358" xfId="0" applyNumberFormat="1" applyFont="1" applyFill="1" applyBorder="1" applyAlignment="1">
      <alignment horizontal="center"/>
    </xf>
    <xf numFmtId="0" fontId="8" fillId="0" borderId="355" xfId="0" applyFont="1" applyBorder="1" applyAlignment="1">
      <alignment horizontal="center"/>
    </xf>
    <xf numFmtId="0" fontId="8" fillId="57" borderId="317" xfId="0" applyFont="1" applyFill="1" applyBorder="1" applyAlignment="1">
      <alignment horizontal="center"/>
    </xf>
    <xf numFmtId="0" fontId="8" fillId="50" borderId="317" xfId="0" applyFont="1" applyFill="1" applyBorder="1" applyAlignment="1">
      <alignment horizontal="center"/>
    </xf>
    <xf numFmtId="0" fontId="8" fillId="13" borderId="317" xfId="0" applyFont="1" applyFill="1" applyBorder="1" applyAlignment="1">
      <alignment horizontal="center"/>
    </xf>
    <xf numFmtId="0" fontId="135" fillId="0" borderId="317" xfId="0" applyFont="1" applyBorder="1" applyAlignment="1">
      <alignment horizontal="center"/>
    </xf>
    <xf numFmtId="0" fontId="7" fillId="57" borderId="317" xfId="0" applyFont="1" applyFill="1" applyBorder="1" applyAlignment="1">
      <alignment horizontal="center"/>
    </xf>
    <xf numFmtId="0" fontId="7" fillId="50" borderId="317" xfId="0" applyFont="1" applyFill="1" applyBorder="1" applyAlignment="1">
      <alignment horizontal="center"/>
    </xf>
    <xf numFmtId="0" fontId="7" fillId="13" borderId="317" xfId="0" applyFont="1" applyFill="1" applyBorder="1" applyAlignment="1">
      <alignment horizontal="center"/>
    </xf>
    <xf numFmtId="0" fontId="136" fillId="0" borderId="317" xfId="0" applyFont="1" applyBorder="1"/>
    <xf numFmtId="0" fontId="8" fillId="0" borderId="317" xfId="0" applyFont="1" applyBorder="1"/>
    <xf numFmtId="0" fontId="140" fillId="0" borderId="317" xfId="0" applyFont="1" applyBorder="1"/>
    <xf numFmtId="0" fontId="141" fillId="0" borderId="317" xfId="0" applyFont="1" applyBorder="1"/>
    <xf numFmtId="0" fontId="142" fillId="0" borderId="317" xfId="0" applyFont="1" applyBorder="1"/>
    <xf numFmtId="0" fontId="11" fillId="0" borderId="317" xfId="0" applyFont="1" applyBorder="1"/>
    <xf numFmtId="0" fontId="143" fillId="0" borderId="317" xfId="0" applyFont="1" applyBorder="1"/>
    <xf numFmtId="0" fontId="8" fillId="0" borderId="380" xfId="0" applyFont="1" applyBorder="1"/>
    <xf numFmtId="0" fontId="8" fillId="0" borderId="370" xfId="0" applyFont="1" applyBorder="1"/>
    <xf numFmtId="0" fontId="205" fillId="0" borderId="370" xfId="0" applyFont="1" applyBorder="1" applyAlignment="1">
      <alignment horizontal="center" textRotation="90"/>
    </xf>
    <xf numFmtId="0" fontId="7" fillId="0" borderId="370" xfId="0" applyFont="1" applyBorder="1" applyAlignment="1">
      <alignment horizontal="center" textRotation="90"/>
    </xf>
    <xf numFmtId="0" fontId="252" fillId="0" borderId="370" xfId="0" applyFont="1" applyBorder="1" applyAlignment="1">
      <alignment horizontal="center" textRotation="90"/>
    </xf>
    <xf numFmtId="0" fontId="136" fillId="0" borderId="370" xfId="0" applyFont="1" applyBorder="1" applyAlignment="1">
      <alignment horizontal="center" textRotation="90"/>
    </xf>
    <xf numFmtId="0" fontId="251" fillId="0" borderId="370" xfId="0" applyFont="1" applyBorder="1" applyAlignment="1">
      <alignment horizontal="center" textRotation="90"/>
    </xf>
    <xf numFmtId="0" fontId="253" fillId="0" borderId="370" xfId="0" applyFont="1" applyBorder="1" applyAlignment="1">
      <alignment horizontal="center" textRotation="90" wrapText="1"/>
    </xf>
    <xf numFmtId="0" fontId="137" fillId="0" borderId="370" xfId="0" applyFont="1" applyBorder="1" applyAlignment="1">
      <alignment horizontal="center" textRotation="90"/>
    </xf>
    <xf numFmtId="0" fontId="138" fillId="0" borderId="370" xfId="0" applyFont="1" applyBorder="1" applyAlignment="1">
      <alignment horizontal="center" textRotation="90"/>
    </xf>
    <xf numFmtId="0" fontId="77" fillId="0" borderId="370" xfId="0" applyFont="1" applyBorder="1" applyAlignment="1">
      <alignment horizontal="center" textRotation="90"/>
    </xf>
    <xf numFmtId="0" fontId="139" fillId="0" borderId="370" xfId="0" applyFont="1" applyBorder="1" applyAlignment="1">
      <alignment horizontal="center" textRotation="90"/>
    </xf>
    <xf numFmtId="4" fontId="208" fillId="0" borderId="15" xfId="0" applyNumberFormat="1" applyFont="1" applyBorder="1" applyAlignment="1">
      <alignment horizontal="center"/>
    </xf>
    <xf numFmtId="0" fontId="208" fillId="0" borderId="15" xfId="0" applyFont="1" applyBorder="1" applyAlignment="1">
      <alignment horizontal="center"/>
    </xf>
    <xf numFmtId="10" fontId="208" fillId="0" borderId="15" xfId="0" applyNumberFormat="1" applyFont="1" applyBorder="1" applyAlignment="1">
      <alignment horizontal="center"/>
    </xf>
    <xf numFmtId="0" fontId="208" fillId="26" borderId="15" xfId="0" applyFont="1" applyFill="1" applyBorder="1" applyAlignment="1">
      <alignment horizontal="center"/>
    </xf>
    <xf numFmtId="10" fontId="208" fillId="26" borderId="15" xfId="0" applyNumberFormat="1" applyFont="1" applyFill="1" applyBorder="1" applyAlignment="1">
      <alignment horizontal="center"/>
    </xf>
    <xf numFmtId="0" fontId="208" fillId="0" borderId="342" xfId="0" applyFont="1" applyBorder="1" applyAlignment="1">
      <alignment horizontal="center"/>
    </xf>
    <xf numFmtId="10" fontId="208" fillId="0" borderId="342" xfId="0" applyNumberFormat="1" applyFont="1" applyBorder="1" applyAlignment="1">
      <alignment horizontal="center"/>
    </xf>
    <xf numFmtId="4" fontId="208" fillId="0" borderId="342" xfId="0" applyNumberFormat="1" applyFont="1" applyBorder="1" applyAlignment="1">
      <alignment horizontal="center"/>
    </xf>
    <xf numFmtId="0" fontId="208" fillId="2" borderId="342" xfId="0" applyFont="1" applyFill="1" applyBorder="1" applyAlignment="1">
      <alignment horizontal="center"/>
    </xf>
    <xf numFmtId="4" fontId="208" fillId="62" borderId="15" xfId="0" applyNumberFormat="1" applyFont="1" applyFill="1" applyBorder="1" applyAlignment="1">
      <alignment horizontal="center"/>
    </xf>
    <xf numFmtId="0" fontId="208" fillId="62" borderId="15" xfId="0" applyFont="1" applyFill="1" applyBorder="1" applyAlignment="1">
      <alignment horizontal="center"/>
    </xf>
    <xf numFmtId="176" fontId="208" fillId="62" borderId="15" xfId="0" applyNumberFormat="1" applyFont="1" applyFill="1" applyBorder="1" applyAlignment="1">
      <alignment horizontal="center"/>
    </xf>
    <xf numFmtId="10" fontId="208" fillId="62" borderId="15" xfId="0" applyNumberFormat="1" applyFont="1" applyFill="1" applyBorder="1" applyAlignment="1">
      <alignment horizontal="center"/>
    </xf>
    <xf numFmtId="2" fontId="208" fillId="62" borderId="15" xfId="0" applyNumberFormat="1" applyFont="1" applyFill="1" applyBorder="1" applyAlignment="1">
      <alignment horizontal="center"/>
    </xf>
    <xf numFmtId="0" fontId="208" fillId="63" borderId="15" xfId="0" applyFont="1" applyFill="1" applyBorder="1" applyAlignment="1">
      <alignment horizontal="center"/>
    </xf>
    <xf numFmtId="0" fontId="208" fillId="62" borderId="342" xfId="0" applyFont="1" applyFill="1" applyBorder="1" applyAlignment="1">
      <alignment horizontal="center"/>
    </xf>
    <xf numFmtId="10" fontId="208" fillId="62" borderId="342" xfId="0" applyNumberFormat="1" applyFont="1" applyFill="1" applyBorder="1" applyAlignment="1">
      <alignment horizontal="center"/>
    </xf>
    <xf numFmtId="2" fontId="208" fillId="64" borderId="342" xfId="0" applyNumberFormat="1" applyFont="1" applyFill="1" applyBorder="1" applyAlignment="1">
      <alignment horizontal="center"/>
    </xf>
    <xf numFmtId="2" fontId="208" fillId="62" borderId="342" xfId="0" applyNumberFormat="1" applyFont="1" applyFill="1" applyBorder="1" applyAlignment="1">
      <alignment horizontal="center"/>
    </xf>
    <xf numFmtId="10" fontId="208" fillId="64" borderId="342" xfId="0" applyNumberFormat="1" applyFont="1" applyFill="1" applyBorder="1" applyAlignment="1">
      <alignment horizontal="center"/>
    </xf>
    <xf numFmtId="4" fontId="208" fillId="62" borderId="342" xfId="0" applyNumberFormat="1" applyFont="1" applyFill="1" applyBorder="1" applyAlignment="1">
      <alignment horizontal="center"/>
    </xf>
    <xf numFmtId="176" fontId="208" fillId="62" borderId="342" xfId="0" applyNumberFormat="1" applyFont="1" applyFill="1" applyBorder="1" applyAlignment="1">
      <alignment horizontal="center"/>
    </xf>
    <xf numFmtId="2" fontId="208" fillId="63" borderId="342" xfId="0" applyNumberFormat="1" applyFont="1" applyFill="1" applyBorder="1" applyAlignment="1">
      <alignment horizontal="center"/>
    </xf>
    <xf numFmtId="192" fontId="208" fillId="62" borderId="342" xfId="0" applyNumberFormat="1" applyFont="1" applyFill="1" applyBorder="1" applyAlignment="1">
      <alignment horizontal="center"/>
    </xf>
    <xf numFmtId="0" fontId="208" fillId="63" borderId="342" xfId="0" applyFont="1" applyFill="1" applyBorder="1" applyAlignment="1">
      <alignment horizontal="center"/>
    </xf>
    <xf numFmtId="184" fontId="208" fillId="63" borderId="342" xfId="0" applyNumberFormat="1" applyFont="1" applyFill="1" applyBorder="1" applyAlignment="1">
      <alignment horizontal="center"/>
    </xf>
    <xf numFmtId="4" fontId="208" fillId="51" borderId="15" xfId="0" applyNumberFormat="1" applyFont="1" applyFill="1" applyBorder="1" applyAlignment="1">
      <alignment horizontal="center"/>
    </xf>
    <xf numFmtId="3" fontId="208" fillId="0" borderId="15" xfId="0" applyNumberFormat="1" applyFont="1" applyBorder="1" applyAlignment="1">
      <alignment horizontal="center"/>
    </xf>
    <xf numFmtId="4" fontId="208" fillId="0" borderId="351" xfId="0" applyNumberFormat="1" applyFont="1" applyBorder="1" applyAlignment="1">
      <alignment horizontal="center"/>
    </xf>
    <xf numFmtId="4" fontId="208" fillId="0" borderId="380" xfId="0" applyNumberFormat="1" applyFont="1" applyBorder="1" applyAlignment="1">
      <alignment horizontal="center"/>
    </xf>
    <xf numFmtId="3" fontId="208" fillId="26" borderId="15" xfId="0" applyNumberFormat="1" applyFont="1" applyFill="1" applyBorder="1" applyAlignment="1">
      <alignment horizontal="center"/>
    </xf>
    <xf numFmtId="4" fontId="214" fillId="26" borderId="380" xfId="0" applyNumberFormat="1" applyFont="1" applyFill="1" applyBorder="1" applyAlignment="1">
      <alignment horizontal="center"/>
    </xf>
    <xf numFmtId="3" fontId="208" fillId="0" borderId="342" xfId="0" applyNumberFormat="1" applyFont="1" applyBorder="1" applyAlignment="1">
      <alignment horizontal="center"/>
    </xf>
    <xf numFmtId="4" fontId="214" fillId="0" borderId="380" xfId="0" applyNumberFormat="1" applyFont="1" applyBorder="1" applyAlignment="1">
      <alignment horizontal="center"/>
    </xf>
    <xf numFmtId="168" fontId="208" fillId="2" borderId="342" xfId="0" applyNumberFormat="1" applyFont="1" applyFill="1" applyBorder="1" applyAlignment="1">
      <alignment horizontal="center"/>
    </xf>
    <xf numFmtId="4" fontId="208" fillId="0" borderId="382" xfId="0" applyNumberFormat="1" applyFont="1" applyBorder="1" applyAlignment="1">
      <alignment horizontal="center"/>
    </xf>
    <xf numFmtId="175" fontId="208" fillId="0" borderId="15" xfId="0" applyNumberFormat="1" applyFont="1" applyBorder="1" applyAlignment="1">
      <alignment horizontal="center"/>
    </xf>
    <xf numFmtId="175" fontId="208" fillId="2" borderId="15" xfId="0" applyNumberFormat="1" applyFont="1" applyFill="1" applyBorder="1" applyAlignment="1">
      <alignment horizontal="center"/>
    </xf>
    <xf numFmtId="4" fontId="208" fillId="26" borderId="15" xfId="0" applyNumberFormat="1" applyFont="1" applyFill="1" applyBorder="1" applyAlignment="1">
      <alignment horizontal="center"/>
    </xf>
    <xf numFmtId="175" fontId="208" fillId="0" borderId="342" xfId="0" applyNumberFormat="1" applyFont="1" applyBorder="1" applyAlignment="1">
      <alignment horizontal="center"/>
    </xf>
    <xf numFmtId="10" fontId="208" fillId="65" borderId="15" xfId="0" applyNumberFormat="1" applyFont="1" applyFill="1" applyBorder="1" applyAlignment="1">
      <alignment horizontal="center"/>
    </xf>
    <xf numFmtId="0" fontId="255" fillId="0" borderId="4" xfId="0" applyFont="1" applyBorder="1"/>
    <xf numFmtId="0" fontId="256" fillId="0" borderId="67" xfId="0" applyFont="1" applyBorder="1" applyAlignment="1">
      <alignment horizontal="center"/>
    </xf>
    <xf numFmtId="0" fontId="256" fillId="0" borderId="163" xfId="0" applyFont="1" applyBorder="1" applyAlignment="1">
      <alignment horizontal="center"/>
    </xf>
    <xf numFmtId="0" fontId="256" fillId="0" borderId="68" xfId="0" applyFont="1" applyBorder="1" applyAlignment="1">
      <alignment horizontal="center" wrapText="1"/>
    </xf>
    <xf numFmtId="49" fontId="256" fillId="0" borderId="68" xfId="0" applyNumberFormat="1" applyFont="1" applyBorder="1" applyAlignment="1">
      <alignment horizontal="center" wrapText="1"/>
    </xf>
    <xf numFmtId="0" fontId="256" fillId="66" borderId="68" xfId="0" applyFont="1" applyFill="1" applyBorder="1" applyAlignment="1">
      <alignment horizontal="center" wrapText="1"/>
    </xf>
    <xf numFmtId="0" fontId="256" fillId="0" borderId="69" xfId="0" applyFont="1" applyBorder="1" applyAlignment="1">
      <alignment horizontal="center" wrapText="1"/>
    </xf>
    <xf numFmtId="0" fontId="218" fillId="0" borderId="73" xfId="0" applyFont="1" applyBorder="1"/>
    <xf numFmtId="0" fontId="218" fillId="0" borderId="4" xfId="0" applyFont="1" applyBorder="1" applyAlignment="1">
      <alignment horizontal="center"/>
    </xf>
    <xf numFmtId="0" fontId="258" fillId="0" borderId="73" xfId="0" applyFont="1" applyBorder="1"/>
    <xf numFmtId="9" fontId="218" fillId="2" borderId="4" xfId="0" applyNumberFormat="1" applyFont="1" applyFill="1" applyBorder="1" applyAlignment="1">
      <alignment horizontal="center"/>
    </xf>
    <xf numFmtId="168" fontId="218" fillId="0" borderId="4" xfId="0" applyNumberFormat="1" applyFont="1" applyBorder="1"/>
    <xf numFmtId="3" fontId="218" fillId="0" borderId="4" xfId="0" applyNumberFormat="1" applyFont="1" applyBorder="1" applyAlignment="1">
      <alignment horizontal="center"/>
    </xf>
    <xf numFmtId="1" fontId="218" fillId="0" borderId="4" xfId="0" applyNumberFormat="1" applyFont="1" applyBorder="1" applyAlignment="1">
      <alignment horizontal="center"/>
    </xf>
    <xf numFmtId="9" fontId="218" fillId="0" borderId="4" xfId="0" applyNumberFormat="1" applyFont="1" applyBorder="1" applyAlignment="1">
      <alignment horizontal="center"/>
    </xf>
    <xf numFmtId="0" fontId="218" fillId="2" borderId="4" xfId="0" applyFont="1" applyFill="1" applyBorder="1"/>
    <xf numFmtId="168" fontId="218" fillId="2" borderId="4" xfId="0" applyNumberFormat="1" applyFont="1" applyFill="1" applyBorder="1"/>
    <xf numFmtId="3" fontId="218" fillId="2" borderId="4" xfId="0" applyNumberFormat="1" applyFont="1" applyFill="1" applyBorder="1" applyAlignment="1">
      <alignment horizontal="center"/>
    </xf>
    <xf numFmtId="0" fontId="218" fillId="2" borderId="4" xfId="0" applyFont="1" applyFill="1" applyBorder="1" applyAlignment="1">
      <alignment horizontal="center"/>
    </xf>
    <xf numFmtId="1" fontId="218" fillId="2" borderId="4" xfId="0" applyNumberFormat="1" applyFont="1" applyFill="1" applyBorder="1" applyAlignment="1">
      <alignment horizontal="center"/>
    </xf>
    <xf numFmtId="0" fontId="218" fillId="0" borderId="75" xfId="0" applyFont="1" applyBorder="1"/>
    <xf numFmtId="0" fontId="218" fillId="0" borderId="76" xfId="0" applyFont="1" applyBorder="1"/>
    <xf numFmtId="0" fontId="218" fillId="0" borderId="76" xfId="0" applyFont="1" applyBorder="1" applyAlignment="1">
      <alignment horizontal="center"/>
    </xf>
    <xf numFmtId="0" fontId="218" fillId="0" borderId="73" xfId="0" applyFont="1" applyFill="1" applyBorder="1"/>
    <xf numFmtId="0" fontId="218" fillId="0" borderId="4" xfId="0" applyFont="1" applyFill="1" applyBorder="1"/>
    <xf numFmtId="49" fontId="218" fillId="0" borderId="4" xfId="0" applyNumberFormat="1" applyFont="1" applyFill="1" applyBorder="1" applyAlignment="1">
      <alignment horizontal="center"/>
    </xf>
    <xf numFmtId="0" fontId="218" fillId="0" borderId="4" xfId="0" applyFont="1" applyFill="1" applyBorder="1" applyAlignment="1">
      <alignment horizontal="center"/>
    </xf>
    <xf numFmtId="49" fontId="218" fillId="0" borderId="4" xfId="0" applyNumberFormat="1" applyFont="1" applyFill="1" applyBorder="1"/>
    <xf numFmtId="3" fontId="218" fillId="0" borderId="4" xfId="0" applyNumberFormat="1" applyFont="1" applyBorder="1"/>
    <xf numFmtId="3" fontId="218" fillId="0" borderId="4" xfId="0" applyNumberFormat="1" applyFont="1" applyFill="1" applyBorder="1"/>
    <xf numFmtId="0" fontId="218" fillId="0" borderId="76" xfId="0" applyFont="1" applyFill="1" applyBorder="1"/>
    <xf numFmtId="3" fontId="218" fillId="0" borderId="4" xfId="0" applyNumberFormat="1" applyFont="1" applyFill="1" applyBorder="1" applyAlignment="1">
      <alignment horizontal="center"/>
    </xf>
    <xf numFmtId="1" fontId="218" fillId="0" borderId="4" xfId="0" applyNumberFormat="1" applyFont="1" applyFill="1" applyBorder="1" applyAlignment="1">
      <alignment horizontal="center"/>
    </xf>
    <xf numFmtId="0" fontId="218" fillId="67" borderId="4" xfId="0" applyFont="1" applyFill="1" applyBorder="1"/>
    <xf numFmtId="3" fontId="218" fillId="68" borderId="4" xfId="0" applyNumberFormat="1" applyFont="1" applyFill="1" applyBorder="1"/>
    <xf numFmtId="3" fontId="258" fillId="69" borderId="76" xfId="0" applyNumberFormat="1" applyFont="1" applyFill="1" applyBorder="1"/>
    <xf numFmtId="3" fontId="258" fillId="2" borderId="76" xfId="0" applyNumberFormat="1" applyFont="1" applyFill="1" applyBorder="1" applyAlignment="1">
      <alignment horizontal="center"/>
    </xf>
    <xf numFmtId="3" fontId="218" fillId="0" borderId="74" xfId="0" applyNumberFormat="1" applyFont="1" applyFill="1" applyBorder="1" applyAlignment="1">
      <alignment horizontal="center"/>
    </xf>
    <xf numFmtId="3" fontId="218" fillId="0" borderId="74" xfId="0" applyNumberFormat="1" applyFont="1" applyBorder="1" applyAlignment="1">
      <alignment horizontal="center"/>
    </xf>
    <xf numFmtId="3" fontId="218" fillId="2" borderId="74" xfId="0" applyNumberFormat="1" applyFont="1" applyFill="1" applyBorder="1" applyAlignment="1">
      <alignment horizontal="center"/>
    </xf>
    <xf numFmtId="3" fontId="218" fillId="67" borderId="4" xfId="0" applyNumberFormat="1" applyFont="1" applyFill="1" applyBorder="1" applyAlignment="1">
      <alignment horizontal="center"/>
    </xf>
    <xf numFmtId="3" fontId="218" fillId="69" borderId="4" xfId="0" applyNumberFormat="1" applyFont="1" applyFill="1" applyBorder="1" applyAlignment="1">
      <alignment horizontal="center"/>
    </xf>
    <xf numFmtId="3" fontId="218" fillId="68" borderId="4" xfId="0" applyNumberFormat="1" applyFont="1" applyFill="1" applyBorder="1" applyAlignment="1">
      <alignment horizontal="center"/>
    </xf>
    <xf numFmtId="3" fontId="258" fillId="69" borderId="76" xfId="0" applyNumberFormat="1" applyFont="1" applyFill="1" applyBorder="1" applyAlignment="1">
      <alignment horizontal="center"/>
    </xf>
    <xf numFmtId="3" fontId="218" fillId="70" borderId="4" xfId="0" applyNumberFormat="1" applyFont="1" applyFill="1" applyBorder="1" applyAlignment="1">
      <alignment horizontal="center"/>
    </xf>
    <xf numFmtId="3" fontId="258" fillId="70" borderId="76" xfId="0" applyNumberFormat="1" applyFont="1" applyFill="1" applyBorder="1" applyAlignment="1">
      <alignment horizontal="center"/>
    </xf>
    <xf numFmtId="3" fontId="218" fillId="71" borderId="4" xfId="0" applyNumberFormat="1" applyFont="1" applyFill="1" applyBorder="1"/>
    <xf numFmtId="3" fontId="218" fillId="71" borderId="4" xfId="0" applyNumberFormat="1" applyFont="1" applyFill="1" applyBorder="1" applyAlignment="1">
      <alignment horizontal="center"/>
    </xf>
    <xf numFmtId="0" fontId="218" fillId="71" borderId="4" xfId="0" applyFont="1" applyFill="1" applyBorder="1" applyAlignment="1">
      <alignment horizontal="center"/>
    </xf>
    <xf numFmtId="3" fontId="218" fillId="72" borderId="4" xfId="0" applyNumberFormat="1" applyFont="1" applyFill="1" applyBorder="1"/>
    <xf numFmtId="9" fontId="218" fillId="72" borderId="4" xfId="0" applyNumberFormat="1" applyFont="1" applyFill="1" applyBorder="1" applyAlignment="1">
      <alignment horizontal="center"/>
    </xf>
    <xf numFmtId="3" fontId="218" fillId="73" borderId="4" xfId="0" applyNumberFormat="1" applyFont="1" applyFill="1" applyBorder="1" applyAlignment="1">
      <alignment horizontal="center"/>
    </xf>
    <xf numFmtId="0" fontId="218" fillId="74" borderId="4" xfId="0" applyFont="1" applyFill="1" applyBorder="1"/>
    <xf numFmtId="168" fontId="218" fillId="74" borderId="4" xfId="0" applyNumberFormat="1" applyFont="1" applyFill="1" applyBorder="1"/>
    <xf numFmtId="3" fontId="218" fillId="75" borderId="4" xfId="0" applyNumberFormat="1" applyFont="1" applyFill="1" applyBorder="1"/>
    <xf numFmtId="3" fontId="218" fillId="74" borderId="4" xfId="0" applyNumberFormat="1" applyFont="1" applyFill="1" applyBorder="1" applyAlignment="1">
      <alignment horizontal="center"/>
    </xf>
    <xf numFmtId="3" fontId="218" fillId="75" borderId="4" xfId="0" applyNumberFormat="1" applyFont="1" applyFill="1" applyBorder="1" applyAlignment="1">
      <alignment horizontal="center"/>
    </xf>
    <xf numFmtId="0" fontId="218" fillId="75" borderId="4" xfId="0" applyFont="1" applyFill="1" applyBorder="1" applyAlignment="1">
      <alignment horizontal="center"/>
    </xf>
    <xf numFmtId="1" fontId="218" fillId="74" borderId="4" xfId="0" applyNumberFormat="1" applyFont="1" applyFill="1" applyBorder="1" applyAlignment="1">
      <alignment horizontal="center"/>
    </xf>
    <xf numFmtId="3" fontId="218" fillId="76" borderId="4" xfId="0" applyNumberFormat="1" applyFont="1" applyFill="1" applyBorder="1"/>
    <xf numFmtId="9" fontId="218" fillId="76" borderId="4" xfId="0" applyNumberFormat="1" applyFont="1" applyFill="1" applyBorder="1" applyAlignment="1">
      <alignment horizontal="center"/>
    </xf>
    <xf numFmtId="9" fontId="218" fillId="74" borderId="4" xfId="0" applyNumberFormat="1" applyFont="1" applyFill="1" applyBorder="1" applyAlignment="1">
      <alignment horizontal="center"/>
    </xf>
    <xf numFmtId="3" fontId="218" fillId="77" borderId="4" xfId="0" applyNumberFormat="1" applyFont="1" applyFill="1" applyBorder="1" applyAlignment="1">
      <alignment horizontal="center"/>
    </xf>
    <xf numFmtId="3" fontId="218" fillId="74" borderId="74" xfId="0" applyNumberFormat="1" applyFont="1" applyFill="1" applyBorder="1" applyAlignment="1">
      <alignment horizontal="center"/>
    </xf>
    <xf numFmtId="0" fontId="218" fillId="78" borderId="4" xfId="0" applyFont="1" applyFill="1" applyBorder="1"/>
    <xf numFmtId="0" fontId="218" fillId="79" borderId="4" xfId="0" applyFont="1" applyFill="1" applyBorder="1"/>
    <xf numFmtId="168" fontId="218" fillId="78" borderId="4" xfId="0" applyNumberFormat="1" applyFont="1" applyFill="1" applyBorder="1"/>
    <xf numFmtId="3" fontId="218" fillId="78" borderId="4" xfId="0" applyNumberFormat="1" applyFont="1" applyFill="1" applyBorder="1" applyAlignment="1">
      <alignment horizontal="center"/>
    </xf>
    <xf numFmtId="1" fontId="218" fillId="78" borderId="4" xfId="0" applyNumberFormat="1" applyFont="1" applyFill="1" applyBorder="1" applyAlignment="1">
      <alignment horizontal="center"/>
    </xf>
    <xf numFmtId="3" fontId="218" fillId="78" borderId="4" xfId="0" applyNumberFormat="1" applyFont="1" applyFill="1" applyBorder="1"/>
    <xf numFmtId="9" fontId="218" fillId="78" borderId="4" xfId="0" applyNumberFormat="1" applyFont="1" applyFill="1" applyBorder="1" applyAlignment="1">
      <alignment horizontal="center"/>
    </xf>
    <xf numFmtId="10" fontId="218" fillId="78" borderId="4" xfId="0" applyNumberFormat="1" applyFont="1" applyFill="1" applyBorder="1" applyAlignment="1">
      <alignment horizontal="center"/>
    </xf>
    <xf numFmtId="3" fontId="218" fillId="78" borderId="74" xfId="0" applyNumberFormat="1" applyFont="1" applyFill="1" applyBorder="1" applyAlignment="1">
      <alignment horizontal="center"/>
    </xf>
    <xf numFmtId="3" fontId="218" fillId="79" borderId="4" xfId="0" applyNumberFormat="1" applyFont="1" applyFill="1" applyBorder="1" applyAlignment="1">
      <alignment horizontal="center"/>
    </xf>
    <xf numFmtId="1" fontId="218" fillId="79" borderId="4" xfId="0" applyNumberFormat="1" applyFont="1" applyFill="1" applyBorder="1" applyAlignment="1">
      <alignment horizontal="center"/>
    </xf>
    <xf numFmtId="3" fontId="218" fillId="79" borderId="4" xfId="0" applyNumberFormat="1" applyFont="1" applyFill="1" applyBorder="1"/>
    <xf numFmtId="9" fontId="218" fillId="79" borderId="4" xfId="0" applyNumberFormat="1" applyFont="1" applyFill="1" applyBorder="1" applyAlignment="1">
      <alignment horizontal="center"/>
    </xf>
    <xf numFmtId="9" fontId="218" fillId="79" borderId="334" xfId="0" applyNumberFormat="1" applyFont="1" applyFill="1" applyBorder="1" applyAlignment="1">
      <alignment horizontal="center"/>
    </xf>
    <xf numFmtId="3" fontId="218" fillId="79" borderId="334" xfId="0" applyNumberFormat="1" applyFont="1" applyFill="1" applyBorder="1" applyAlignment="1">
      <alignment horizontal="center"/>
    </xf>
    <xf numFmtId="3" fontId="218" fillId="77" borderId="334" xfId="0" applyNumberFormat="1" applyFont="1" applyFill="1" applyBorder="1" applyAlignment="1">
      <alignment horizontal="center"/>
    </xf>
    <xf numFmtId="3" fontId="218" fillId="79" borderId="178" xfId="0" applyNumberFormat="1" applyFont="1" applyFill="1" applyBorder="1" applyAlignment="1">
      <alignment horizontal="center"/>
    </xf>
    <xf numFmtId="190" fontId="218" fillId="78" borderId="4" xfId="0" applyNumberFormat="1" applyFont="1" applyFill="1" applyBorder="1" applyAlignment="1">
      <alignment horizontal="center"/>
    </xf>
    <xf numFmtId="0" fontId="218" fillId="75" borderId="4" xfId="0" applyFont="1" applyFill="1" applyBorder="1"/>
    <xf numFmtId="10" fontId="218" fillId="74" borderId="4" xfId="0" applyNumberFormat="1" applyFont="1" applyFill="1" applyBorder="1" applyAlignment="1">
      <alignment horizontal="center"/>
    </xf>
    <xf numFmtId="168" fontId="218" fillId="79" borderId="4" xfId="0" applyNumberFormat="1" applyFont="1" applyFill="1" applyBorder="1"/>
    <xf numFmtId="3" fontId="218" fillId="79" borderId="74" xfId="0" applyNumberFormat="1" applyFont="1" applyFill="1" applyBorder="1" applyAlignment="1">
      <alignment horizontal="center"/>
    </xf>
    <xf numFmtId="3" fontId="255" fillId="0" borderId="68" xfId="0" applyNumberFormat="1" applyFont="1" applyBorder="1" applyAlignment="1">
      <alignment horizontal="right"/>
    </xf>
    <xf numFmtId="3" fontId="255" fillId="0" borderId="4" xfId="0" applyNumberFormat="1" applyFont="1" applyBorder="1" applyAlignment="1">
      <alignment horizontal="right"/>
    </xf>
    <xf numFmtId="176" fontId="254" fillId="52" borderId="4" xfId="0" applyNumberFormat="1" applyFont="1" applyFill="1" applyBorder="1" applyAlignment="1">
      <alignment horizontal="right"/>
    </xf>
    <xf numFmtId="176" fontId="254" fillId="53" borderId="4" xfId="0" applyNumberFormat="1" applyFont="1" applyFill="1" applyBorder="1" applyAlignment="1">
      <alignment horizontal="right"/>
    </xf>
    <xf numFmtId="176" fontId="255" fillId="0" borderId="4" xfId="0" applyNumberFormat="1" applyFont="1" applyBorder="1"/>
    <xf numFmtId="176" fontId="254" fillId="54" borderId="4" xfId="0" applyNumberFormat="1" applyFont="1" applyFill="1" applyBorder="1" applyAlignment="1">
      <alignment horizontal="right"/>
    </xf>
    <xf numFmtId="176" fontId="254" fillId="48" borderId="4" xfId="0" applyNumberFormat="1" applyFont="1" applyFill="1" applyBorder="1" applyAlignment="1">
      <alignment horizontal="right"/>
    </xf>
    <xf numFmtId="3" fontId="29" fillId="36" borderId="69" xfId="0" applyNumberFormat="1" applyFont="1" applyFill="1" applyBorder="1"/>
    <xf numFmtId="180" fontId="260" fillId="0" borderId="74" xfId="0" applyNumberFormat="1" applyFont="1" applyBorder="1" applyAlignment="1">
      <alignment horizontal="right"/>
    </xf>
    <xf numFmtId="0" fontId="205" fillId="0" borderId="355" xfId="0" applyFont="1" applyBorder="1"/>
    <xf numFmtId="0" fontId="208" fillId="0" borderId="17" xfId="0" applyFont="1" applyBorder="1"/>
    <xf numFmtId="0" fontId="205" fillId="0" borderId="356" xfId="0" applyFont="1" applyBorder="1"/>
    <xf numFmtId="0" fontId="208" fillId="0" borderId="19" xfId="0" applyFont="1" applyBorder="1"/>
    <xf numFmtId="0" fontId="4" fillId="2" borderId="359" xfId="0" applyFont="1" applyFill="1" applyBorder="1" applyAlignment="1">
      <alignment horizontal="center"/>
    </xf>
    <xf numFmtId="3" fontId="4" fillId="0" borderId="367" xfId="0" applyNumberFormat="1" applyFont="1" applyBorder="1" applyAlignment="1">
      <alignment horizontal="center"/>
    </xf>
    <xf numFmtId="0" fontId="203" fillId="3" borderId="346" xfId="0" applyFont="1" applyFill="1" applyBorder="1"/>
    <xf numFmtId="0" fontId="208" fillId="0" borderId="347" xfId="0" applyFont="1" applyBorder="1"/>
    <xf numFmtId="0" fontId="201" fillId="0" borderId="349" xfId="0" applyFont="1" applyBorder="1"/>
    <xf numFmtId="0" fontId="208" fillId="0" borderId="12" xfId="0" applyFont="1" applyBorder="1"/>
    <xf numFmtId="0" fontId="200" fillId="2" borderId="224" xfId="0" applyFont="1" applyFill="1" applyBorder="1" applyAlignment="1">
      <alignment horizontal="center"/>
    </xf>
    <xf numFmtId="0" fontId="214" fillId="0" borderId="334" xfId="0" applyFont="1" applyBorder="1"/>
    <xf numFmtId="0" fontId="30" fillId="0" borderId="101" xfId="0" applyFont="1" applyBorder="1"/>
    <xf numFmtId="0" fontId="0" fillId="0" borderId="101" xfId="0" applyBorder="1"/>
    <xf numFmtId="0" fontId="56" fillId="0" borderId="8" xfId="0" applyFont="1" applyBorder="1" applyAlignment="1">
      <alignment horizontal="center" shrinkToFit="1"/>
    </xf>
    <xf numFmtId="0" fontId="5" fillId="0" borderId="96" xfId="0" applyFont="1" applyBorder="1"/>
    <xf numFmtId="0" fontId="5" fillId="0" borderId="9" xfId="0" applyFont="1" applyBorder="1"/>
    <xf numFmtId="0" fontId="59" fillId="11" borderId="100" xfId="0" applyFont="1" applyFill="1" applyBorder="1"/>
    <xf numFmtId="0" fontId="5" fillId="0" borderId="101" xfId="0" applyFont="1" applyBorder="1"/>
    <xf numFmtId="0" fontId="71" fillId="0" borderId="0" xfId="0" applyFont="1" applyAlignment="1">
      <alignment horizontal="left" wrapText="1"/>
    </xf>
    <xf numFmtId="0" fontId="0" fillId="0" borderId="0" xfId="0"/>
    <xf numFmtId="0" fontId="230" fillId="2" borderId="224" xfId="0" applyFont="1" applyFill="1" applyBorder="1" applyAlignment="1">
      <alignment horizontal="center"/>
    </xf>
    <xf numFmtId="0" fontId="231" fillId="0" borderId="334" xfId="0" applyFont="1" applyBorder="1"/>
    <xf numFmtId="0" fontId="231" fillId="0" borderId="34" xfId="0" applyFont="1" applyFill="1" applyBorder="1" applyAlignment="1">
      <alignment wrapText="1"/>
    </xf>
    <xf numFmtId="0" fontId="231" fillId="0" borderId="32" xfId="0" applyFont="1" applyFill="1" applyBorder="1"/>
    <xf numFmtId="0" fontId="231" fillId="0" borderId="28" xfId="0" applyFont="1" applyFill="1" applyBorder="1"/>
    <xf numFmtId="0" fontId="234" fillId="25" borderId="1" xfId="0" applyFont="1" applyFill="1" applyBorder="1" applyAlignment="1">
      <alignment horizontal="center"/>
    </xf>
    <xf numFmtId="0" fontId="240" fillId="0" borderId="27" xfId="0" applyFont="1" applyBorder="1"/>
    <xf numFmtId="0" fontId="240" fillId="0" borderId="2" xfId="0" applyFont="1" applyBorder="1"/>
    <xf numFmtId="0" fontId="238" fillId="25" borderId="1" xfId="0" applyFont="1" applyFill="1" applyBorder="1" applyAlignment="1">
      <alignment horizontal="center"/>
    </xf>
    <xf numFmtId="0" fontId="231" fillId="0" borderId="27" xfId="0" applyFont="1" applyBorder="1"/>
    <xf numFmtId="0" fontId="231" fillId="0" borderId="2" xfId="0" applyFont="1" applyBorder="1"/>
    <xf numFmtId="0" fontId="238" fillId="18" borderId="1" xfId="0" applyFont="1" applyFill="1" applyBorder="1" applyAlignment="1">
      <alignment horizontal="center"/>
    </xf>
    <xf numFmtId="176" fontId="250" fillId="0" borderId="34" xfId="0" applyNumberFormat="1" applyFont="1" applyBorder="1" applyAlignment="1">
      <alignment wrapText="1"/>
    </xf>
    <xf numFmtId="0" fontId="231" fillId="0" borderId="32" xfId="0" applyFont="1" applyBorder="1"/>
    <xf numFmtId="0" fontId="231" fillId="0" borderId="28" xfId="0" applyFont="1" applyBorder="1"/>
    <xf numFmtId="176" fontId="237" fillId="0" borderId="34" xfId="0" applyNumberFormat="1" applyFont="1" applyBorder="1" applyAlignment="1">
      <alignment wrapText="1"/>
    </xf>
    <xf numFmtId="0" fontId="239" fillId="10" borderId="359" xfId="0" applyFont="1" applyFill="1" applyBorder="1" applyAlignment="1">
      <alignment horizontal="center"/>
    </xf>
    <xf numFmtId="0" fontId="231" fillId="0" borderId="359" xfId="0" applyFont="1" applyBorder="1"/>
    <xf numFmtId="0" fontId="232" fillId="40" borderId="330" xfId="0" applyFont="1" applyFill="1" applyBorder="1" applyAlignment="1">
      <alignment horizontal="center"/>
    </xf>
    <xf numFmtId="0" fontId="231" fillId="0" borderId="30" xfId="0" applyFont="1" applyBorder="1"/>
    <xf numFmtId="0" fontId="231" fillId="0" borderId="29" xfId="0" applyFont="1" applyBorder="1"/>
    <xf numFmtId="0" fontId="234" fillId="5" borderId="1" xfId="0" applyFont="1" applyFill="1" applyBorder="1" applyAlignment="1">
      <alignment horizontal="center"/>
    </xf>
    <xf numFmtId="0" fontId="249" fillId="25" borderId="359" xfId="0" applyFont="1" applyFill="1" applyBorder="1" applyAlignment="1">
      <alignment horizontal="center"/>
    </xf>
    <xf numFmtId="0" fontId="248" fillId="0" borderId="359" xfId="0" applyFont="1" applyBorder="1"/>
    <xf numFmtId="0" fontId="26" fillId="0" borderId="1" xfId="0" applyFont="1" applyBorder="1" applyAlignment="1">
      <alignment horizontal="center" vertical="center"/>
    </xf>
    <xf numFmtId="0" fontId="5" fillId="0" borderId="2" xfId="0" applyFont="1" applyBorder="1"/>
    <xf numFmtId="0" fontId="26" fillId="0" borderId="6" xfId="0" applyFont="1" applyBorder="1" applyAlignment="1">
      <alignment horizontal="center" vertical="center"/>
    </xf>
    <xf numFmtId="0" fontId="5" fillId="0" borderId="7" xfId="0" applyFont="1" applyBorder="1"/>
    <xf numFmtId="0" fontId="77" fillId="14" borderId="1" xfId="0" applyFont="1" applyFill="1" applyBorder="1" applyAlignment="1">
      <alignment horizontal="center" vertical="center" wrapText="1"/>
    </xf>
    <xf numFmtId="0" fontId="77" fillId="13" borderId="1" xfId="0" applyFont="1" applyFill="1" applyBorder="1" applyAlignment="1">
      <alignment horizontal="center" vertical="center" wrapText="1"/>
    </xf>
    <xf numFmtId="0" fontId="26" fillId="0" borderId="1" xfId="0" applyFont="1" applyBorder="1" applyAlignment="1">
      <alignment horizontal="center" vertical="center" wrapText="1"/>
    </xf>
    <xf numFmtId="0" fontId="77" fillId="42" borderId="1" xfId="0" applyFont="1" applyFill="1" applyBorder="1" applyAlignment="1">
      <alignment horizontal="center" vertical="center"/>
    </xf>
    <xf numFmtId="0" fontId="26" fillId="41" borderId="1" xfId="0" applyFont="1" applyFill="1" applyBorder="1" applyAlignment="1">
      <alignment horizontal="center" vertical="center" wrapText="1"/>
    </xf>
    <xf numFmtId="0" fontId="77" fillId="18" borderId="1" xfId="0" applyFont="1" applyFill="1" applyBorder="1" applyAlignment="1">
      <alignment horizontal="center" vertical="center" wrapText="1"/>
    </xf>
    <xf numFmtId="0" fontId="75" fillId="0" borderId="0" xfId="0" applyFont="1" applyAlignment="1">
      <alignment horizontal="left" wrapText="1"/>
    </xf>
    <xf numFmtId="0" fontId="81" fillId="5" borderId="100" xfId="0" applyFont="1" applyFill="1" applyBorder="1" applyAlignment="1">
      <alignment vertical="center"/>
    </xf>
    <xf numFmtId="0" fontId="7" fillId="10" borderId="117" xfId="0" applyFont="1" applyFill="1" applyBorder="1" applyAlignment="1">
      <alignment horizontal="center" vertical="center" wrapText="1"/>
    </xf>
    <xf numFmtId="0" fontId="5" fillId="0" borderId="31" xfId="0" applyFont="1" applyBorder="1"/>
    <xf numFmtId="0" fontId="8" fillId="0" borderId="0" xfId="0" applyFont="1"/>
    <xf numFmtId="0" fontId="28" fillId="0" borderId="0" xfId="0" applyFont="1" applyAlignment="1">
      <alignment wrapText="1"/>
    </xf>
    <xf numFmtId="0" fontId="23" fillId="25" borderId="281" xfId="0" applyFont="1" applyFill="1" applyBorder="1" applyAlignment="1">
      <alignment horizontal="center"/>
    </xf>
    <xf numFmtId="0" fontId="5" fillId="0" borderId="282" xfId="0" applyFont="1" applyBorder="1"/>
    <xf numFmtId="0" fontId="24" fillId="25" borderId="261" xfId="0" applyFont="1" applyFill="1" applyBorder="1" applyAlignment="1">
      <alignment horizontal="center" vertical="center" wrapText="1"/>
    </xf>
    <xf numFmtId="0" fontId="5" fillId="0" borderId="103" xfId="0" applyFont="1" applyBorder="1"/>
    <xf numFmtId="0" fontId="88" fillId="25" borderId="264" xfId="0" applyFont="1" applyFill="1" applyBorder="1"/>
    <xf numFmtId="0" fontId="5" fillId="0" borderId="265" xfId="0" applyFont="1" applyBorder="1"/>
    <xf numFmtId="0" fontId="5" fillId="0" borderId="266" xfId="0" applyFont="1" applyBorder="1"/>
    <xf numFmtId="0" fontId="113" fillId="10" borderId="1" xfId="0" quotePrefix="1" applyFont="1" applyFill="1" applyBorder="1" applyAlignment="1">
      <alignment horizontal="center" wrapText="1"/>
    </xf>
    <xf numFmtId="0" fontId="5" fillId="0" borderId="27" xfId="0" applyFont="1" applyBorder="1"/>
    <xf numFmtId="0" fontId="5" fillId="0" borderId="108" xfId="0" applyFont="1" applyBorder="1"/>
    <xf numFmtId="0" fontId="67" fillId="2" borderId="326" xfId="0" applyFont="1" applyFill="1" applyBorder="1" applyAlignment="1">
      <alignment horizontal="center" vertical="top" wrapText="1"/>
    </xf>
    <xf numFmtId="0" fontId="5" fillId="0" borderId="327" xfId="0" applyFont="1" applyBorder="1"/>
    <xf numFmtId="0" fontId="63" fillId="0" borderId="1" xfId="0" applyFont="1" applyBorder="1" applyAlignment="1">
      <alignment horizontal="right" wrapText="1"/>
    </xf>
    <xf numFmtId="0" fontId="24" fillId="0" borderId="0" xfId="0" applyFont="1"/>
    <xf numFmtId="9" fontId="67" fillId="0" borderId="113" xfId="0" applyNumberFormat="1" applyFont="1" applyBorder="1" applyAlignment="1">
      <alignment horizontal="center"/>
    </xf>
    <xf numFmtId="0" fontId="5" fillId="0" borderId="113" xfId="0" applyFont="1" applyBorder="1"/>
    <xf numFmtId="0" fontId="67" fillId="0" borderId="0" xfId="0" applyFont="1" applyAlignment="1">
      <alignment horizontal="center"/>
    </xf>
    <xf numFmtId="0" fontId="67" fillId="0" borderId="113" xfId="0" applyFont="1" applyBorder="1" applyAlignment="1">
      <alignment horizontal="center" vertical="top" wrapText="1"/>
    </xf>
    <xf numFmtId="0" fontId="67" fillId="0" borderId="0" xfId="0" applyFont="1" applyAlignment="1">
      <alignment horizontal="center" vertical="top" wrapText="1"/>
    </xf>
    <xf numFmtId="0" fontId="217" fillId="59" borderId="1" xfId="0" applyFont="1" applyFill="1" applyBorder="1" applyAlignment="1">
      <alignment wrapText="1"/>
    </xf>
    <xf numFmtId="0" fontId="214" fillId="60" borderId="27" xfId="0" applyFont="1" applyFill="1" applyBorder="1"/>
    <xf numFmtId="0" fontId="214" fillId="60" borderId="2" xfId="0" applyFont="1" applyFill="1" applyBorder="1"/>
    <xf numFmtId="0" fontId="222" fillId="59" borderId="1" xfId="0" applyFont="1" applyFill="1" applyBorder="1" applyAlignment="1">
      <alignment wrapText="1"/>
    </xf>
    <xf numFmtId="171" fontId="218" fillId="0" borderId="34" xfId="0" applyNumberFormat="1" applyFont="1" applyBorder="1" applyAlignment="1">
      <alignment horizontal="center"/>
    </xf>
    <xf numFmtId="0" fontId="214" fillId="0" borderId="28" xfId="0" applyFont="1" applyBorder="1"/>
    <xf numFmtId="0" fontId="28" fillId="0" borderId="1" xfId="0" applyFont="1" applyBorder="1"/>
    <xf numFmtId="0" fontId="34" fillId="56" borderId="1" xfId="0" applyFont="1" applyFill="1" applyBorder="1"/>
    <xf numFmtId="0" fontId="28" fillId="0" borderId="340" xfId="0" applyFont="1" applyBorder="1"/>
    <xf numFmtId="0" fontId="5" fillId="0" borderId="160" xfId="0" applyFont="1" applyBorder="1"/>
    <xf numFmtId="0" fontId="5" fillId="0" borderId="341" xfId="0" applyFont="1" applyBorder="1"/>
    <xf numFmtId="0" fontId="30" fillId="22" borderId="1" xfId="0" applyFont="1" applyFill="1" applyBorder="1"/>
    <xf numFmtId="0" fontId="30" fillId="38" borderId="1" xfId="0" applyFont="1" applyFill="1" applyBorder="1"/>
    <xf numFmtId="0" fontId="134" fillId="0" borderId="1" xfId="0" applyFont="1" applyBorder="1"/>
    <xf numFmtId="0" fontId="260" fillId="0" borderId="224" xfId="0" applyFont="1" applyBorder="1"/>
    <xf numFmtId="0" fontId="214" fillId="0" borderId="177" xfId="0" applyFont="1" applyBorder="1"/>
    <xf numFmtId="0" fontId="29" fillId="0" borderId="1" xfId="0" applyFont="1" applyBorder="1"/>
    <xf numFmtId="0" fontId="30" fillId="0" borderId="1" xfId="0" applyFont="1" applyBorder="1"/>
    <xf numFmtId="0" fontId="254" fillId="53" borderId="155" xfId="0" applyFont="1" applyFill="1" applyBorder="1"/>
    <xf numFmtId="0" fontId="30" fillId="54" borderId="155" xfId="0" applyFont="1" applyFill="1" applyBorder="1"/>
    <xf numFmtId="0" fontId="30" fillId="48" borderId="155" xfId="0" applyFont="1" applyFill="1" applyBorder="1"/>
    <xf numFmtId="0" fontId="30" fillId="36" borderId="1" xfId="0" applyFont="1" applyFill="1" applyBorder="1"/>
    <xf numFmtId="3" fontId="30" fillId="55" borderId="1" xfId="0" applyNumberFormat="1" applyFont="1" applyFill="1" applyBorder="1"/>
    <xf numFmtId="0" fontId="29" fillId="47" borderId="1" xfId="0" applyFont="1" applyFill="1" applyBorder="1"/>
    <xf numFmtId="0" fontId="30" fillId="47" borderId="1" xfId="0" applyFont="1" applyFill="1" applyBorder="1"/>
    <xf numFmtId="0" fontId="254" fillId="0" borderId="154" xfId="0" applyFont="1" applyBorder="1"/>
    <xf numFmtId="0" fontId="214" fillId="0" borderId="182" xfId="0" applyFont="1" applyBorder="1"/>
    <xf numFmtId="0" fontId="214" fillId="0" borderId="183" xfId="0" applyFont="1" applyBorder="1"/>
    <xf numFmtId="0" fontId="30" fillId="36" borderId="181" xfId="0" applyFont="1" applyFill="1" applyBorder="1"/>
    <xf numFmtId="0" fontId="5" fillId="0" borderId="182" xfId="0" applyFont="1" applyBorder="1"/>
    <xf numFmtId="0" fontId="5" fillId="0" borderId="183" xfId="0" applyFont="1" applyBorder="1"/>
    <xf numFmtId="0" fontId="254" fillId="52" borderId="155" xfId="0" applyFont="1" applyFill="1" applyBorder="1"/>
    <xf numFmtId="3" fontId="30" fillId="49" borderId="1" xfId="0" applyNumberFormat="1" applyFont="1" applyFill="1" applyBorder="1"/>
    <xf numFmtId="0" fontId="208" fillId="0" borderId="374" xfId="0" applyFont="1" applyBorder="1"/>
    <xf numFmtId="0" fontId="214" fillId="0" borderId="101" xfId="0" applyFont="1" applyBorder="1"/>
    <xf numFmtId="0" fontId="8" fillId="0" borderId="374" xfId="0" applyFont="1" applyBorder="1"/>
    <xf numFmtId="0" fontId="251" fillId="10" borderId="370" xfId="0" applyFont="1" applyFill="1" applyBorder="1" applyAlignment="1">
      <alignment horizontal="center" vertical="center"/>
    </xf>
    <xf numFmtId="0" fontId="214" fillId="0" borderId="370" xfId="0" applyFont="1" applyBorder="1" applyAlignment="1"/>
    <xf numFmtId="0" fontId="77" fillId="0" borderId="374" xfId="0" applyFont="1" applyBorder="1"/>
    <xf numFmtId="0" fontId="205" fillId="0" borderId="370" xfId="0" applyFont="1" applyBorder="1" applyAlignment="1">
      <alignment horizontal="center" vertical="center"/>
    </xf>
    <xf numFmtId="0" fontId="214" fillId="0" borderId="370" xfId="0" applyFont="1" applyBorder="1"/>
    <xf numFmtId="0" fontId="7" fillId="10" borderId="370" xfId="0" applyFont="1" applyFill="1" applyBorder="1" applyAlignment="1">
      <alignment horizontal="center" vertical="center"/>
    </xf>
    <xf numFmtId="0" fontId="5" fillId="0" borderId="370" xfId="0" applyFont="1" applyBorder="1" applyAlignment="1"/>
    <xf numFmtId="0" fontId="8" fillId="0" borderId="371" xfId="0" applyFont="1" applyBorder="1"/>
    <xf numFmtId="0" fontId="5" fillId="0" borderId="372" xfId="0" applyFont="1" applyBorder="1"/>
    <xf numFmtId="0" fontId="147" fillId="25" borderId="343" xfId="0" applyFont="1" applyFill="1" applyBorder="1" applyAlignment="1">
      <alignment vertical="center"/>
    </xf>
    <xf numFmtId="0" fontId="5" fillId="0" borderId="344" xfId="0" applyFont="1" applyBorder="1"/>
    <xf numFmtId="0" fontId="89" fillId="0" borderId="0" xfId="0" applyFont="1" applyAlignment="1">
      <alignment horizontal="left" wrapText="1"/>
    </xf>
    <xf numFmtId="0" fontId="15" fillId="18" borderId="11" xfId="0" applyFont="1" applyFill="1" applyBorder="1" applyAlignment="1">
      <alignment horizontal="center"/>
    </xf>
    <xf numFmtId="0" fontId="5" fillId="0" borderId="36" xfId="0" applyFont="1" applyBorder="1"/>
    <xf numFmtId="0" fontId="5" fillId="0" borderId="12" xfId="0" applyFont="1" applyBorder="1"/>
    <xf numFmtId="0" fontId="15" fillId="16" borderId="11" xfId="0" applyFont="1" applyFill="1" applyBorder="1" applyAlignment="1">
      <alignment horizontal="center"/>
    </xf>
    <xf numFmtId="0" fontId="15" fillId="17" borderId="11" xfId="0" applyFont="1" applyFill="1" applyBorder="1" applyAlignment="1">
      <alignment horizontal="center"/>
    </xf>
    <xf numFmtId="0" fontId="15" fillId="19" borderId="11" xfId="0" applyFont="1" applyFill="1" applyBorder="1" applyAlignment="1">
      <alignment horizontal="center"/>
    </xf>
    <xf numFmtId="0" fontId="8" fillId="2" borderId="0" xfId="0" applyFont="1" applyFill="1"/>
    <xf numFmtId="0" fontId="18" fillId="13" borderId="1" xfId="0" applyFont="1" applyFill="1" applyBorder="1" applyAlignment="1">
      <alignment horizontal="center"/>
    </xf>
    <xf numFmtId="0" fontId="4" fillId="0" borderId="1" xfId="0" applyFont="1" applyBorder="1"/>
    <xf numFmtId="0" fontId="18" fillId="7" borderId="0" xfId="0" applyFont="1" applyFill="1"/>
    <xf numFmtId="0" fontId="22" fillId="0" borderId="30" xfId="0" applyFont="1" applyBorder="1"/>
    <xf numFmtId="0" fontId="5" fillId="0" borderId="30" xfId="0" applyFont="1" applyBorder="1"/>
    <xf numFmtId="0" fontId="13" fillId="12" borderId="1" xfId="0" applyFont="1" applyFill="1" applyBorder="1" applyAlignment="1">
      <alignment horizontal="center"/>
    </xf>
    <xf numFmtId="0" fontId="13" fillId="12" borderId="30" xfId="0" applyFont="1" applyFill="1" applyBorder="1" applyAlignment="1">
      <alignment horizontal="center"/>
    </xf>
    <xf numFmtId="0" fontId="5" fillId="0" borderId="29" xfId="0" applyFont="1" applyBorder="1"/>
    <xf numFmtId="0" fontId="18" fillId="0" borderId="1" xfId="0" applyFont="1" applyBorder="1"/>
    <xf numFmtId="0" fontId="211" fillId="5" borderId="1" xfId="0" applyFont="1" applyFill="1" applyBorder="1"/>
    <xf numFmtId="0" fontId="212" fillId="0" borderId="27" xfId="0" applyFont="1" applyBorder="1"/>
    <xf numFmtId="0" fontId="212" fillId="0" borderId="2" xfId="0" applyFont="1" applyBorder="1"/>
    <xf numFmtId="0" fontId="3" fillId="2" borderId="1" xfId="0" applyFont="1" applyFill="1" applyBorder="1" applyAlignment="1">
      <alignment horizontal="center"/>
    </xf>
    <xf numFmtId="0" fontId="17" fillId="0" borderId="0" xfId="0" applyFont="1"/>
    <xf numFmtId="0" fontId="9" fillId="0" borderId="0" xfId="0" applyFont="1"/>
  </cellXfs>
  <cellStyles count="1">
    <cellStyle name="Normal" xfId="0" builtinId="0"/>
  </cellStyles>
  <dxfs count="2">
    <dxf>
      <fill>
        <patternFill patternType="solid">
          <fgColor rgb="FFFFFF99"/>
          <bgColor rgb="FFFFFF99"/>
        </patternFill>
      </fill>
      <border>
        <left style="thin">
          <color rgb="FF000000"/>
        </left>
        <right style="thin">
          <color rgb="FF000000"/>
        </right>
        <top style="thin">
          <color rgb="FF000000"/>
        </top>
        <bottom style="thin">
          <color rgb="FF000000"/>
        </bottom>
      </border>
    </dxf>
    <dxf>
      <font>
        <color rgb="FFFFFFFF"/>
      </font>
      <fill>
        <patternFill patternType="none"/>
      </fill>
    </dxf>
  </dxfs>
  <tableStyles count="0" defaultTableStyle="TableStyleMedium2" defaultPivotStyle="PivotStyleLight16"/>
  <colors>
    <mruColors>
      <color rgb="FF33CCCC"/>
      <color rgb="FFCC99FF"/>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0.xml.rels><?xml version="1.0" encoding="UTF-8" standalone="yes"?>
<Relationships xmlns="http://schemas.openxmlformats.org/package/2006/relationships"><Relationship Id="rId1" Type="http://customschemas.google.com/relationships/workbookmetadata" Target="commentsmeta7"/></Relationships>
</file>

<file path=xl/_rels/comments11.xml.rels><?xml version="1.0" encoding="UTF-8" standalone="yes"?>
<Relationships xmlns="http://schemas.openxmlformats.org/package/2006/relationships"><Relationship Id="rId1" Type="http://customschemas.google.com/relationships/workbookmetadata" Target="commentsmeta8"/></Relationships>
</file>

<file path=xl/_rels/comments12.xml.rels><?xml version="1.0" encoding="UTF-8" standalone="yes"?>
<Relationships xmlns="http://schemas.openxmlformats.org/package/2006/relationships"><Relationship Id="rId1" Type="http://customschemas.google.com/relationships/workbookmetadata" Target="commentsmeta9"/></Relationships>
</file>

<file path=xl/_rels/comments13.xml.rels><?xml version="1.0" encoding="UTF-8" standalone="yes"?>
<Relationships xmlns="http://schemas.openxmlformats.org/package/2006/relationships"><Relationship Id="rId1" Type="http://customschemas.google.com/relationships/workbookmetadata" Target="commentsmeta10"/></Relationships>
</file>

<file path=xl/_rels/comments14.xml.rels><?xml version="1.0" encoding="UTF-8" standalone="yes"?>
<Relationships xmlns="http://schemas.openxmlformats.org/package/2006/relationships"><Relationship Id="rId1" Type="http://customschemas.google.com/relationships/workbookmetadata" Target="commentsmeta12"/></Relationships>
</file>

<file path=xl/_rels/comments15.xml.rels><?xml version="1.0" encoding="UTF-8" standalone="yes"?>
<Relationships xmlns="http://schemas.openxmlformats.org/package/2006/relationships"><Relationship Id="rId1" Type="http://customschemas.google.com/relationships/workbookmetadata" Target="commentsmeta13"/></Relationships>
</file>

<file path=xl/_rels/comments16.xml.rels><?xml version="1.0" encoding="UTF-8" standalone="yes"?>
<Relationships xmlns="http://schemas.openxmlformats.org/package/2006/relationships"><Relationship Id="rId1" Type="http://customschemas.google.com/relationships/workbookmetadata" Target="commentsmeta14"/></Relationships>
</file>

<file path=xl/_rels/comments17.xml.rels><?xml version="1.0" encoding="UTF-8" standalone="yes"?>
<Relationships xmlns="http://schemas.openxmlformats.org/package/2006/relationships"><Relationship Id="rId1" Type="http://customschemas.google.com/relationships/workbookmetadata" Target="commentsmeta15"/></Relationships>
</file>

<file path=xl/_rels/comments18.xml.rels><?xml version="1.0" encoding="UTF-8" standalone="yes"?>
<Relationships xmlns="http://schemas.openxmlformats.org/package/2006/relationships"><Relationship Id="rId1" Type="http://customschemas.google.com/relationships/workbookmetadata" Target="commentsmeta16"/></Relationships>
</file>

<file path=xl/_rels/comments19.xml.rels><?xml version="1.0" encoding="UTF-8" standalone="yes"?>
<Relationships xmlns="http://schemas.openxmlformats.org/package/2006/relationships"><Relationship Id="rId1" Type="http://customschemas.google.com/relationships/workbookmetadata" Target="commentsmeta17"/></Relationships>
</file>

<file path=xl/_rels/comments2.xml.rels><?xml version="1.0" encoding="UTF-8" standalone="yes"?>
<Relationships xmlns="http://schemas.openxmlformats.org/package/2006/relationships"><Relationship Id="rId1" Type="http://customschemas.google.com/relationships/workbookmetadata" Target="commentsmeta0"/></Relationships>
</file>

<file path=xl/_rels/comments3.xml.rels><?xml version="1.0" encoding="UTF-8" standalone="yes"?>
<Relationships xmlns="http://schemas.openxmlformats.org/package/2006/relationships"><Relationship Id="rId1" Type="http://customschemas.google.com/relationships/workbookmetadata" Target="commentsmeta1"/></Relationships>
</file>

<file path=xl/_rels/comments4.xml.rels><?xml version="1.0" encoding="UTF-8" standalone="yes"?>
<Relationships xmlns="http://schemas.openxmlformats.org/package/2006/relationships"><Relationship Id="rId1" Type="http://customschemas.google.com/relationships/workbookmetadata" Target="commentsmeta2"/></Relationships>
</file>

<file path=xl/_rels/comments5.xml.rels><?xml version="1.0" encoding="UTF-8" standalone="yes"?>
<Relationships xmlns="http://schemas.openxmlformats.org/package/2006/relationships"><Relationship Id="rId1" Type="http://customschemas.google.com/relationships/workbookmetadata" Target="commentsmeta3"/></Relationships>
</file>

<file path=xl/_rels/comments6.xml.rels><?xml version="1.0" encoding="UTF-8" standalone="yes"?>
<Relationships xmlns="http://schemas.openxmlformats.org/package/2006/relationships"><Relationship Id="rId1" Type="http://customschemas.google.com/relationships/workbookmetadata" Target="commentsmeta4"/></Relationships>
</file>

<file path=xl/_rels/comments7.xml.rels><?xml version="1.0" encoding="UTF-8" standalone="yes"?>
<Relationships xmlns="http://schemas.openxmlformats.org/package/2006/relationships"><Relationship Id="rId1" Type="http://customschemas.google.com/relationships/workbookmetadata" Target="commentsmeta5"/></Relationships>
</file>

<file path=xl/_rels/comments9.xml.rels><?xml version="1.0" encoding="UTF-8" standalone="yes"?>
<Relationships xmlns="http://schemas.openxmlformats.org/package/2006/relationships"><Relationship Id="rId1" Type="http://customschemas.google.com/relationships/workbookmetadata" Target="commentsmeta6"/></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styles" Target="styles.xml"/><Relationship Id="rId35"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oneCellAnchor>
    <xdr:from>
      <xdr:col>1</xdr:col>
      <xdr:colOff>0</xdr:colOff>
      <xdr:row>2</xdr:row>
      <xdr:rowOff>28575</xdr:rowOff>
    </xdr:from>
    <xdr:ext cx="13906500" cy="752475"/>
    <xdr:sp macro="" textlink="">
      <xdr:nvSpPr>
        <xdr:cNvPr id="3" name="Shape 3">
          <a:extLst>
            <a:ext uri="{FF2B5EF4-FFF2-40B4-BE49-F238E27FC236}">
              <a16:creationId xmlns:a16="http://schemas.microsoft.com/office/drawing/2014/main" id="{00000000-0008-0000-0400-000003000000}"/>
            </a:ext>
          </a:extLst>
        </xdr:cNvPr>
        <xdr:cNvSpPr txBox="1"/>
      </xdr:nvSpPr>
      <xdr:spPr>
        <a:xfrm>
          <a:off x="0" y="3408525"/>
          <a:ext cx="10692000" cy="7429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Maryland is a net importer of electricity, meaning that the State consumes more electricity than is produced in the State. For this analysis, it was assumed that all power generated in Maryland was consumed in Maryland, and that remaining electricity demand was met by imported power.  The electricity imported to meet Maryland demand was assume to come from the PJM Interconnection.</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The fuel mix within the PJM region required to generate the electricity was obtained and CO2 emission rates per fuel type were calculated.  These emission rates were applied to the amount of electricity Maryland imported to meet demand.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285750</xdr:colOff>
      <xdr:row>3</xdr:row>
      <xdr:rowOff>0</xdr:rowOff>
    </xdr:from>
    <xdr:ext cx="9677400" cy="1009650"/>
    <xdr:sp macro="" textlink="">
      <xdr:nvSpPr>
        <xdr:cNvPr id="15" name="Shape 15">
          <a:extLst>
            <a:ext uri="{FF2B5EF4-FFF2-40B4-BE49-F238E27FC236}">
              <a16:creationId xmlns:a16="http://schemas.microsoft.com/office/drawing/2014/main" id="{00000000-0008-0000-0D00-00000F000000}"/>
            </a:ext>
          </a:extLst>
        </xdr:cNvPr>
        <xdr:cNvSpPr txBox="1"/>
      </xdr:nvSpPr>
      <xdr:spPr>
        <a:xfrm>
          <a:off x="512063" y="3279938"/>
          <a:ext cx="9667875" cy="100012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cement production consist of CO2 emissions produced from the following processes that follow the EPA Mandatory Greenhouse Gases Reporting  Methodolgy.</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Raw materials converted to Clinker;</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Calcinations of Clinker Kiln Dust (CKD) leaving the Kiln system;</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Organic carbon content of Raw Meal.</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masonry cement are accounted for in the Lime Production estimates).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457200</xdr:colOff>
      <xdr:row>2</xdr:row>
      <xdr:rowOff>9525</xdr:rowOff>
    </xdr:from>
    <xdr:ext cx="10010775" cy="2571750"/>
    <xdr:sp macro="" textlink="">
      <xdr:nvSpPr>
        <xdr:cNvPr id="16" name="Shape 16">
          <a:extLst>
            <a:ext uri="{FF2B5EF4-FFF2-40B4-BE49-F238E27FC236}">
              <a16:creationId xmlns:a16="http://schemas.microsoft.com/office/drawing/2014/main" id="{00000000-0008-0000-0E00-000010000000}"/>
            </a:ext>
          </a:extLst>
        </xdr:cNvPr>
        <xdr:cNvSpPr txBox="1"/>
      </xdr:nvSpPr>
      <xdr:spPr>
        <a:xfrm>
          <a:off x="345375" y="2498888"/>
          <a:ext cx="10001250" cy="256222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Limestone</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limestone and dolomite use result from industrial consumption.  The quantities of limestone consumed for industrial purposes, dolomite consumed for industrial purposes, and magnesium produced from dolomite are multiplied by their respective emission factors.  Industrial uses include the consumption of limestone and dolomite for flux stone production, glass manufacturing, flue gas desulfurization (FGD), Mg production through the thermic reduction of dolomite, chemical stone manufacturing, mine dusting or acid water treatment, acid neutralization, and sugar refining.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Soda Ash</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soda ash manufacture and consumption are calculated by multiplying the quantity of soda ash manufactured and the quantity of soda ash consumed by their respective emission factors.  Maryland does not manufacture soda ash.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Electric Power Transmission and Distribution</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electric power transmission and distribution are calculated by multiplying the quantity of SF6 consumed by an emission factor.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ODS</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of HFCs, PFCs, and SF6 from ODS substitute production are estimated by apportioning national emissions to each state based on population.  State population data was provided by the U.S. Census Bureau (http://www.census.gov).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All emissions are then converted from metric tons of carbon equivalents (MTCE) to metric tons of carbon dioxide equivalents (MTCO2E).  Additional information on these calculations is available in the EPA SIT tool Industrial Processes Chapter of the User's Guide.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409575</xdr:colOff>
      <xdr:row>1</xdr:row>
      <xdr:rowOff>0</xdr:rowOff>
    </xdr:from>
    <xdr:ext cx="7324725" cy="876300"/>
    <xdr:sp macro="" textlink="">
      <xdr:nvSpPr>
        <xdr:cNvPr id="17" name="Shape 17">
          <a:extLst>
            <a:ext uri="{FF2B5EF4-FFF2-40B4-BE49-F238E27FC236}">
              <a16:creationId xmlns:a16="http://schemas.microsoft.com/office/drawing/2014/main" id="{00000000-0008-0000-0F00-000011000000}"/>
            </a:ext>
          </a:extLst>
        </xdr:cNvPr>
        <xdr:cNvSpPr txBox="1"/>
      </xdr:nvSpPr>
      <xdr:spPr>
        <a:xfrm>
          <a:off x="1688400" y="3346613"/>
          <a:ext cx="7315200" cy="8667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iron &amp; steel production processes produce greenhouse gas emissions. Predominant sources of process-related CO2 emissions in the iron and steel manufacturing industry include:</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Sinter Strand;</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L-Blast Furnace (Iron production);</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Basic Oxygen Furnace –Steel Production (BOF).</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0</xdr:col>
      <xdr:colOff>-25298400</xdr:colOff>
      <xdr:row>15</xdr:row>
      <xdr:rowOff>-30441900</xdr:rowOff>
    </xdr:from>
    <xdr:ext cx="62112525" cy="62112525"/>
    <xdr:sp macro="" textlink="">
      <xdr:nvSpPr>
        <xdr:cNvPr id="18" name="Shape 18">
          <a:extLst>
            <a:ext uri="{FF2B5EF4-FFF2-40B4-BE49-F238E27FC236}">
              <a16:creationId xmlns:a16="http://schemas.microsoft.com/office/drawing/2014/main" id="{00000000-0008-0000-0F00-000012000000}"/>
            </a:ext>
          </a:extLst>
        </xdr:cNvPr>
        <xdr:cNvSpPr/>
      </xdr:nvSpPr>
      <xdr:spPr>
        <a:xfrm rot="-189803">
          <a:off x="8123" y="-11462"/>
          <a:ext cx="10675754" cy="7582924"/>
        </a:xfrm>
        <a:prstGeom prst="rect">
          <a:avLst/>
        </a:prstGeom>
        <a:noFill/>
        <a:ln>
          <a:noFill/>
        </a:ln>
        <a:effectLst>
          <a:outerShdw blurRad="149987" dist="250190" dir="8460000" algn="ctr">
            <a:srgbClr val="000000">
              <a:alpha val="24313"/>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466725</xdr:colOff>
      <xdr:row>2</xdr:row>
      <xdr:rowOff>123825</xdr:rowOff>
    </xdr:from>
    <xdr:ext cx="7934325" cy="704850"/>
    <xdr:sp macro="" textlink="">
      <xdr:nvSpPr>
        <xdr:cNvPr id="19" name="Shape 19">
          <a:extLst>
            <a:ext uri="{FF2B5EF4-FFF2-40B4-BE49-F238E27FC236}">
              <a16:creationId xmlns:a16="http://schemas.microsoft.com/office/drawing/2014/main" id="{00000000-0008-0000-1000-000013000000}"/>
            </a:ext>
          </a:extLst>
        </xdr:cNvPr>
        <xdr:cNvSpPr txBox="1"/>
      </xdr:nvSpPr>
      <xdr:spPr>
        <a:xfrm>
          <a:off x="1383600" y="3432338"/>
          <a:ext cx="7924800" cy="69532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ammonia production and urea application are calculated by multiplying the quantity of ammonia produced and urea applied by their respective emission factors. Emissions from urea application are subtracted from emissions due to ammonia production. The emissions are then converted from metric tons of carbon equivalents (MTCE) to metric tons of carbon dioxide equivalents (MTCO2E).  Additional information on these calculations is available in the Industrial Processes Chapter of the EPA State Inventory Tool User's Guide.  </a:t>
          </a:r>
          <a:endParaRPr sz="1400"/>
        </a:p>
      </xdr:txBody>
    </xdr:sp>
    <xdr:clientData fLocksWithSheet="0"/>
  </xdr:oneCellAnchor>
  <xdr:oneCellAnchor>
    <xdr:from>
      <xdr:col>0</xdr:col>
      <xdr:colOff>-25298400</xdr:colOff>
      <xdr:row>20</xdr:row>
      <xdr:rowOff>-30546675</xdr:rowOff>
    </xdr:from>
    <xdr:ext cx="62112525" cy="62112525"/>
    <xdr:sp macro="" textlink="">
      <xdr:nvSpPr>
        <xdr:cNvPr id="20" name="Shape 20">
          <a:extLst>
            <a:ext uri="{FF2B5EF4-FFF2-40B4-BE49-F238E27FC236}">
              <a16:creationId xmlns:a16="http://schemas.microsoft.com/office/drawing/2014/main" id="{00000000-0008-0000-1000-000014000000}"/>
            </a:ext>
          </a:extLst>
        </xdr:cNvPr>
        <xdr:cNvSpPr/>
      </xdr:nvSpPr>
      <xdr:spPr>
        <a:xfrm rot="-189803">
          <a:off x="8123" y="-11462"/>
          <a:ext cx="10675754" cy="7582924"/>
        </a:xfrm>
        <a:prstGeom prst="rect">
          <a:avLst/>
        </a:prstGeom>
        <a:noFill/>
        <a:ln>
          <a:noFill/>
        </a:ln>
        <a:effectLst>
          <a:outerShdw blurRad="149987" dist="250190" dir="8460000" algn="ctr">
            <a:srgbClr val="000000">
              <a:alpha val="24313"/>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19</xdr:col>
      <xdr:colOff>114300</xdr:colOff>
      <xdr:row>2</xdr:row>
      <xdr:rowOff>19051</xdr:rowOff>
    </xdr:from>
    <xdr:ext cx="10877550" cy="4857750"/>
    <xdr:sp macro="" textlink="">
      <xdr:nvSpPr>
        <xdr:cNvPr id="21" name="Shape 21">
          <a:extLst>
            <a:ext uri="{FF2B5EF4-FFF2-40B4-BE49-F238E27FC236}">
              <a16:creationId xmlns:a16="http://schemas.microsoft.com/office/drawing/2014/main" id="{00000000-0008-0000-1100-000015000000}"/>
            </a:ext>
          </a:extLst>
        </xdr:cNvPr>
        <xdr:cNvSpPr txBox="1"/>
      </xdr:nvSpPr>
      <xdr:spPr>
        <a:xfrm>
          <a:off x="11744325" y="523876"/>
          <a:ext cx="10877550" cy="48577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the Agricultural Sector are calculated by summing the emissions from the following sources: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Enteric Fermentation</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Manure Management</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Plant Residues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Fertilizers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Animals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Rice Cultivation</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Agricultural Residue Burning</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Enteric Fermentation are calculated by multiplying each animal population by an animal- and region-specific emission factor.  Those resulting values, in kg CH4, are then converted to million metric tons (MMTCH4), MMT carbon equivalent (MMTCE), MMT carbon dioxide  equivalent (MMTCO2E), and then summed across animal types within a given year.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Methane emissions from Manure Management are calculated by multiplying each animal population by the typical animal mass (TAM) and the average volatile solids (VS) produced per kilogram (kg) of animal mass per year to estimate the amount of VS produced.  For each animal, this VS total is muliplied by the maximum potential emissions factor and by the methane conversion factor (MCF) of the manure system by the percentage manure managed in that system.  This yields methane emissions in cubic meters which are then converted to MMTCE, MMT carbon dioxide  equivalent (MMTCO2E), and then summed.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N2O emissions from Manure Management are calculated by multiplying each animal population by the typical animal mass (TAM) by the amount of nitrogen produced per kilogram of animal mass per year.  This value is then multiplied by a non-volatization factor and the proportion of waste processed in liquid and solid management systems to give two totals of unvolatized N.  Each of these are multiplied by an emission factor specific to the management system to give two totals of nitrogen emissions.  These totals are then summed and converted to N2O.  This amount is then converted to MMTCE, MMT carbon dioxide equivalent (MMTCO2E), and then summed.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Plant Residues are calculated by first converting the crop production to metric tons.  This value is multiplied by the ratio of plant residue to crop mass, the fraction of dry matter in the residue, the fraction of residue applied, and the N content of the residue.  These values are summed to yield total N returned to soils, multiplied by an emission factor (EF), and converted to N2O.  For Legumes, the crop production is multiplied by the residue to crop mass ratio, the dry matter fraction, and the N content of above-ground biomass.  These values are then summed to yield total N-fixed by crops, multiplied by an EF, and converted to N2O.  Emissions from histosols are calculated by converting acres cultivated into hectares, multiplying by an EF, and then converting to N2O.  This amount is also converted to MMTCE, MMT carbon dioxide equivalent (MMTCO2E).  </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of N2O from Fertilizers are calculated by first adjusting synthetic and organic fertilizer use data (in kg N) to calendar year.  The amount of N in synthetic fertilizer is multiplied by a synthetic volatilization rate to estimate volatilized N.  According to the IPCC Good Practice Guidance, the manure portion of organic fertilizers is subtracted from the total of organic fertilizers. Then, the amount of N in non-manure organic fertilizer is multiplied by the fraction N in other organics and by an organic volatilization rate to estimate organic volatilized N.  Unvolatilized N for synthetic and organic fertilizer is calculated using the remaining fraction of the volatilization rates.  These categories are summed, multiplied by an EF, and converted to metric tons of N2O emitted.  This amount is also converted to MMTCE, MMT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Animals are calculated by multiplying each animal population by the typical animal mass (TAM) by the amount of K-Nitrogen (K-N) produced per kilogram of animal mass per year for total K-N excreted.  Indirect emissions are estimated by multiplying K-N by a volatization rate and EF to give emissions of N.  Direct emissions from pasture, range, and paddock are calculated by multiplying K-N by the percent of manure in pastures and an EF for that system.  Direct emissions from manure applied to soils are calculated by multiplying K-N for daily spread and managed systems by the percent of manure in these systems and an EF for each system, excluding a small percent of managed manure used as feed.  These totals are then summed and converted to N2O.  Unvolatized N from fertilizers, calculated on the previous worksheet, and K-N from manure are multiplied by a leaching EF to give emissions from leaching and runoff.  The emissions summary for each year converts the total direct and indirect estimates for livestock and runoff/leaching to MTN2O, MMTCE, and then MMT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Rice Cultivation are calculated using the area harvested.  There is no rice cultivation in Maryland.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Agricultural Residue Burning are calculated by multiplying the amount of crop produced by a series of factors to calculate the amount of crop residue produced and burned, the resultant dry matter, and the carbon/nitrogen content of this dry matter.  From these, the amount of carbon and nitrogen released can be determined, and thus methane and nitrous oxide emissions quantified.  Those resulting values, in metric tons of gas, are converted to million metric tons carbon equivalent (MMTCE), then to million metric tons carbon dioxide equivalent MMTCO2E, and then summed.  Note that default emission factors are available through 2007.</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1</xdr:col>
      <xdr:colOff>38100</xdr:colOff>
      <xdr:row>2</xdr:row>
      <xdr:rowOff>9525</xdr:rowOff>
    </xdr:from>
    <xdr:ext cx="11125200" cy="4581525"/>
    <xdr:sp macro="" textlink="">
      <xdr:nvSpPr>
        <xdr:cNvPr id="22" name="Shape 22">
          <a:extLst>
            <a:ext uri="{FF2B5EF4-FFF2-40B4-BE49-F238E27FC236}">
              <a16:creationId xmlns:a16="http://schemas.microsoft.com/office/drawing/2014/main" id="{00000000-0008-0000-1100-000016000000}"/>
            </a:ext>
          </a:extLst>
        </xdr:cNvPr>
        <xdr:cNvSpPr txBox="1"/>
      </xdr:nvSpPr>
      <xdr:spPr>
        <a:xfrm>
          <a:off x="0" y="1494000"/>
          <a:ext cx="10692000" cy="45720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Enteric Fermentation</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Enteric Fermentation are calculated by multiplying each animal population by an animal- and region-specific emission factor.  Those resulting values, in kg CH4, are then converted to million metric tons (MMTCH4), MMT carbon equivalent (MMTCE), MMT carbon dioxide  equivalent (MMTCO2E), and then summed across animal types within a given year.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Manure Management</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Methane emissions from Manure Management are calculated by multiplying each animal population by the typical animal mass (TAM) and the average volatile solids (VS) produced per kilogram (kg) of animal mass per year to estimate the amount of VS produced.  For each animal, this VS total is muliplied by the maximum potential emissions factor and by the methane conversion factor (MCF) of the manure system by the percentage manure managed in that system.  This yields methane emissions in cubic meters which are then converted to MMTCE, MMT carbon dioxide equivalent (MMTCO2E), and then summed.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N2O emissions from Manure Management are calculated by multiplying each animal population by the typical animal mass (TAM) by the amount of Kjejdahl nitrogen produced per kilogram of animal mass per year.  This value is then multiplied by a non-volatization factor and the proportion of waste processed in liquid and solid management systems to give two totals of unvolatized N.  Each of these are multiplied by an emission factor specific to the management system to give two totals of nitrogen emissions.  These totals are then summed and converted to N2O.  This amount is then converted to MMTCE, MMT carbon dioxide equivalent (MMTCO2E), and then summed.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Soils – Plant: Residues &amp; Legumes</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Plant Residues are calculated by first converting the crop production to metric tons.  This value is multiplied by the ratio of plant residue to crop mass, the fraction of dry matter in the residue, the fraction of residue applied, and the N content of the residue.  These values are summed to yield total N returned to soils, multiplied by an emission factor (EF), and converted to N2O.  For Legumes, the crop production is multiplied by the residue to crop mass ratio, the dry matter fraction, and the N content of above-ground biomass.  These values are then summed to yield total N-fixed by crops, multiplied by an EF, and converted to N2O.  Emissions from histosols are calculated by converting acres cultivated into hectares, multiplying by an EF, and then converting to N2O.  This amount is also converted to MMTCE, MMT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Soils – Plant: Fertilizers</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of N2O from Fertilizers are calculated by first adjusting synthetic and organic fertilizer use data (in kg N) to calendar year.  The amount of N in synthetic fertilizer is multiplied by a synthetic volatilization rate to estimate volatilized N.  According to the IPCC Good Practice Guidance, the manure portion of organic fertilizers is subtracted from the total of organic fertilizers. Then, the amount of N in non-manure organic fertilizer is multiplied by the fraction N in other organics and by an organic volatilization rate to estimate organic volatilized N.  Unvolatilized N for synthetic and organic fertilizer is calculated using the remaining fraction of the volatilization rates.  These categories are summed, multiplied by an EF, and converted to metric tons of N2O emitted.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Soils – Animals</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Animals are calculated by multiplying each animal population by the typical animal mass (TAM) by the amount of K-Nitrogen (K-N) produced per kilogram of animal mass per year for total K-N excreted.  Indirect emissions are estimated by multiplying K-N by a volatization rate and EF to give emissions of N.  Direct emissions from pasture, range, and paddock are calculated by multiplying K-N by the percent of manure in pastures and an EF for that system.  Direct emissions from manure applied to soils are calculated by multiplying K-N for daily spread and managed systems by the percent of manure in these systems and an EF for each system, excluding a small percent of managed manure used as feed.  These totals are then summed and converted to N2O.  Unvolatized N from fertilizers, calculated on the previous worksheet, and K-N from manure are multiplied by a leaching EF to give emissions from leaching and runoff.  The emissions summary for each year converts the total direct and indirect estimates for livestock and runoff/leaching to MTN2O, MMTCE, and then MMT carbon dioxide equivalent (MMTCO2E</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Residue Burning</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Agricultural Residue Burning are calculated by multiplying the amount of crop produced by a series of factors to calculate the amount of crop residue produced and burned, the resultant dry matter, and the carbon/nitrogen content of this dry matter.  From these, the amount of carbon and nitrogen released can be determined, and thus methane and nitrous oxide emissions quantified.  Those resulting values, in metric tons of gas, are converted to million metric tons carbon equivalent (MMTCE), then to million metric tons carbon dioxide equivalent MMTCO2E, and then summed.</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104775</xdr:colOff>
      <xdr:row>2</xdr:row>
      <xdr:rowOff>0</xdr:rowOff>
    </xdr:from>
    <xdr:ext cx="10410825" cy="695325"/>
    <xdr:sp macro="" textlink="">
      <xdr:nvSpPr>
        <xdr:cNvPr id="23" name="Shape 23">
          <a:extLst>
            <a:ext uri="{FF2B5EF4-FFF2-40B4-BE49-F238E27FC236}">
              <a16:creationId xmlns:a16="http://schemas.microsoft.com/office/drawing/2014/main" id="{00000000-0008-0000-1300-000017000000}"/>
            </a:ext>
          </a:extLst>
        </xdr:cNvPr>
        <xdr:cNvSpPr txBox="1"/>
      </xdr:nvSpPr>
      <xdr:spPr>
        <a:xfrm>
          <a:off x="145350" y="3437100"/>
          <a:ext cx="10401300" cy="6858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Carbon dioxide (CO2) emission from Municipal Solid Waste (MSW) combustion in incinerators was estimated from the CO2 Emissions CEM reading at the Incinerators plant (except for harford County),while CH4 and N2O emissions were estimated by  by multiplying the tonnages of MSW combusted in Maryland in 2011 by the default EPA Municipal Solid Waste heat value and an updated CO2 emission factor from the Mandatory Greenhouse Gas Reporting Rule.  All material burned was included in the analysis.</a:t>
          </a:r>
          <a:endParaRPr sz="1400"/>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38100</xdr:colOff>
      <xdr:row>1</xdr:row>
      <xdr:rowOff>19051</xdr:rowOff>
    </xdr:from>
    <xdr:ext cx="9734550" cy="1257300"/>
    <xdr:sp macro="" textlink="">
      <xdr:nvSpPr>
        <xdr:cNvPr id="24" name="Shape 24">
          <a:extLst>
            <a:ext uri="{FF2B5EF4-FFF2-40B4-BE49-F238E27FC236}">
              <a16:creationId xmlns:a16="http://schemas.microsoft.com/office/drawing/2014/main" id="{00000000-0008-0000-1400-000018000000}"/>
            </a:ext>
          </a:extLst>
        </xdr:cNvPr>
        <xdr:cNvSpPr txBox="1"/>
      </xdr:nvSpPr>
      <xdr:spPr>
        <a:xfrm>
          <a:off x="38100" y="438151"/>
          <a:ext cx="9734550" cy="12573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Estimation of carbon dioxide (CO2) emission from Landfill gas flaring / conversion to energy generation was based on the amount of CH4 collected by the collection system from the total amount of CH4 generated from the Landfill and the control devices efficiency. CO2 emission estimate was based on the stoichiometric combustion reactionequation (1) below.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CH</a:t>
          </a:r>
          <a:r>
            <a:rPr lang="en-US" sz="800" b="0" i="0" u="none" strike="noStrike" baseline="-25000">
              <a:solidFill>
                <a:srgbClr val="000000"/>
              </a:solidFill>
              <a:latin typeface="Arial"/>
              <a:ea typeface="Arial"/>
              <a:cs typeface="Arial"/>
              <a:sym typeface="Arial"/>
            </a:rPr>
            <a:t>4</a:t>
          </a:r>
          <a:r>
            <a:rPr lang="en-US" sz="800" b="0" i="0" u="none" strike="noStrike">
              <a:solidFill>
                <a:srgbClr val="000000"/>
              </a:solidFill>
              <a:latin typeface="Arial"/>
              <a:ea typeface="Arial"/>
              <a:cs typeface="Arial"/>
              <a:sym typeface="Arial"/>
            </a:rPr>
            <a:t> + 2O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+ 2H</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O (Equation 1)</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1 Kmol CH</a:t>
          </a:r>
          <a:r>
            <a:rPr lang="en-US" sz="800" b="0" i="0" u="none" strike="noStrike" baseline="-25000">
              <a:solidFill>
                <a:srgbClr val="000000"/>
              </a:solidFill>
              <a:latin typeface="Arial"/>
              <a:ea typeface="Arial"/>
              <a:cs typeface="Arial"/>
              <a:sym typeface="Arial"/>
            </a:rPr>
            <a:t>4</a:t>
          </a:r>
          <a:r>
            <a:rPr lang="en-US" sz="800" b="0" i="0" u="none" strike="noStrike">
              <a:solidFill>
                <a:srgbClr val="000000"/>
              </a:solidFill>
              <a:latin typeface="Arial"/>
              <a:ea typeface="Arial"/>
              <a:cs typeface="Arial"/>
              <a:sym typeface="Arial"/>
            </a:rPr>
            <a:t> =&gt; 1 Kmol CO</a:t>
          </a:r>
          <a:r>
            <a:rPr lang="en-US" sz="800" b="0" i="0" u="none" strike="noStrike" baseline="-25000">
              <a:solidFill>
                <a:srgbClr val="000000"/>
              </a:solidFill>
              <a:latin typeface="Arial"/>
              <a:ea typeface="Arial"/>
              <a:cs typeface="Arial"/>
              <a:sym typeface="Arial"/>
            </a:rPr>
            <a:t>2</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16 g CH</a:t>
          </a:r>
          <a:r>
            <a:rPr lang="en-US" sz="800" b="0" i="0" u="none" strike="noStrike" baseline="-25000">
              <a:solidFill>
                <a:srgbClr val="000000"/>
              </a:solidFill>
              <a:latin typeface="Arial"/>
              <a:ea typeface="Arial"/>
              <a:cs typeface="Arial"/>
              <a:sym typeface="Arial"/>
            </a:rPr>
            <a:t>4</a:t>
          </a:r>
          <a:r>
            <a:rPr lang="en-US" sz="800" b="0" i="0" u="none" strike="noStrike">
              <a:solidFill>
                <a:srgbClr val="000000"/>
              </a:solidFill>
              <a:latin typeface="Arial"/>
              <a:ea typeface="Arial"/>
              <a:cs typeface="Arial"/>
              <a:sym typeface="Arial"/>
            </a:rPr>
            <a:t>     =&gt;  44 g CO</a:t>
          </a:r>
          <a:r>
            <a:rPr lang="en-US" sz="800" b="0" i="0" u="none" strike="noStrike" baseline="-25000">
              <a:solidFill>
                <a:srgbClr val="000000"/>
              </a:solidFill>
              <a:latin typeface="Arial"/>
              <a:ea typeface="Arial"/>
              <a:cs typeface="Arial"/>
              <a:sym typeface="Arial"/>
            </a:rPr>
            <a:t>2</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1 g CH</a:t>
          </a:r>
          <a:r>
            <a:rPr lang="en-US" sz="800" b="0" i="0" u="none" strike="noStrike" baseline="-25000">
              <a:solidFill>
                <a:srgbClr val="000000"/>
              </a:solidFill>
              <a:latin typeface="Arial"/>
              <a:ea typeface="Arial"/>
              <a:cs typeface="Arial"/>
              <a:sym typeface="Arial"/>
            </a:rPr>
            <a:t>4</a:t>
          </a:r>
          <a:r>
            <a:rPr lang="en-US" sz="800" b="0" i="0" u="none" strike="noStrike">
              <a:solidFill>
                <a:srgbClr val="000000"/>
              </a:solidFill>
              <a:latin typeface="Arial"/>
              <a:ea typeface="Arial"/>
              <a:cs typeface="Arial"/>
              <a:sym typeface="Arial"/>
            </a:rPr>
            <a:t>      =&gt;   2.75 g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0</xdr:colOff>
      <xdr:row>2</xdr:row>
      <xdr:rowOff>9525</xdr:rowOff>
    </xdr:from>
    <xdr:ext cx="10296525" cy="3248025"/>
    <xdr:sp macro="" textlink="">
      <xdr:nvSpPr>
        <xdr:cNvPr id="25" name="Shape 25">
          <a:extLst>
            <a:ext uri="{FF2B5EF4-FFF2-40B4-BE49-F238E27FC236}">
              <a16:creationId xmlns:a16="http://schemas.microsoft.com/office/drawing/2014/main" id="{00000000-0008-0000-1600-000019000000}"/>
            </a:ext>
          </a:extLst>
        </xdr:cNvPr>
        <xdr:cNvSpPr txBox="1"/>
      </xdr:nvSpPr>
      <xdr:spPr>
        <a:xfrm>
          <a:off x="202500" y="2160750"/>
          <a:ext cx="10287000" cy="32385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To calculate methane emissions from municipal wastewater treatment, the total annual BOD5 production in metric tons is multiplied by the fraction that is treated anaerobically and by the CH4 produced per metric ton of BOD5,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Municipal wastewater treatment direct N2O emissions are calculated by multiplying total population served by an N2O emission factor per person per year,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Municipal wastewater N2O emissions from biosolids are calculated by multiplying the total annual protein consumption by the nitrogen content of protein and fraction of nitrogen not consumed, an N2O emission factor per metric ton of nitrogen treated, subtracting direct emissions, converted to million metric tons carbon equivalent (MMTCE), and converted to million metric tons carbon dioxide equivalent (MMTCO2E).   Direct and biosolids N2O emissions are then added to produce an estimate of total municipal wastewater treatment N2O emissions.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treatment of industrial wastewater from fruit and vegetables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treatment of industrial wastewater from red meat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treatment of industrial wastewater from poultry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treatment of industrial wastewater from pulp and paper production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xdr:txBody>
    </xdr:sp>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428625</xdr:colOff>
      <xdr:row>1</xdr:row>
      <xdr:rowOff>1</xdr:rowOff>
    </xdr:from>
    <xdr:ext cx="6800850" cy="971550"/>
    <xdr:sp macro="" textlink="">
      <xdr:nvSpPr>
        <xdr:cNvPr id="26" name="Shape 26">
          <a:extLst>
            <a:ext uri="{FF2B5EF4-FFF2-40B4-BE49-F238E27FC236}">
              <a16:creationId xmlns:a16="http://schemas.microsoft.com/office/drawing/2014/main" id="{00000000-0008-0000-1700-00001A000000}"/>
            </a:ext>
          </a:extLst>
        </xdr:cNvPr>
        <xdr:cNvSpPr txBox="1"/>
      </xdr:nvSpPr>
      <xdr:spPr>
        <a:xfrm>
          <a:off x="428625" y="381001"/>
          <a:ext cx="6800850" cy="9715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The method used to calculate emissions is presented in a study/survey conducted by the Mid-Atlantic/Northeast Visibility Union (MANE-VU), titled “Open Burning in Residential Areas Emissions Inventory Development Report.” User's Guide.  The purpose of the survey was to obtain data for developing activity estimates and control information (e.g., bans on burning) that would form the basis of an improved open burning emission inventory for Mid-Atlantic/Northeast Visibility Union (MANE-VU) states.</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 factors in lbs/ton total mass were taken from AP-42 Table 2.5-1, Emission Factors for Open Burning of Municipal Refuse and from a 1997 EPA research paper on open burning.</a:t>
          </a:r>
          <a:endParaRPr sz="1400"/>
        </a:p>
      </xdr:txBody>
    </xdr:sp>
    <xdr:clientData fLocksWithSheet="0"/>
  </xdr:oneCellAnchor>
  <xdr:oneCellAnchor>
    <xdr:from>
      <xdr:col>0</xdr:col>
      <xdr:colOff>-25298400</xdr:colOff>
      <xdr:row>12</xdr:row>
      <xdr:rowOff>-30451425</xdr:rowOff>
    </xdr:from>
    <xdr:ext cx="62112525" cy="62112525"/>
    <xdr:sp macro="" textlink="">
      <xdr:nvSpPr>
        <xdr:cNvPr id="27" name="Shape 27">
          <a:extLst>
            <a:ext uri="{FF2B5EF4-FFF2-40B4-BE49-F238E27FC236}">
              <a16:creationId xmlns:a16="http://schemas.microsoft.com/office/drawing/2014/main" id="{00000000-0008-0000-1700-00001B000000}"/>
            </a:ext>
          </a:extLst>
        </xdr:cNvPr>
        <xdr:cNvSpPr/>
      </xdr:nvSpPr>
      <xdr:spPr>
        <a:xfrm rot="-189803">
          <a:off x="8123" y="-11462"/>
          <a:ext cx="10675754" cy="7582924"/>
        </a:xfrm>
        <a:prstGeom prst="rect">
          <a:avLst/>
        </a:prstGeom>
        <a:noFill/>
        <a:ln>
          <a:noFill/>
        </a:ln>
        <a:effectLst>
          <a:outerShdw blurRad="149987" dist="250190" dir="8460000" algn="ctr">
            <a:srgbClr val="000000">
              <a:alpha val="24313"/>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371475</xdr:colOff>
      <xdr:row>2</xdr:row>
      <xdr:rowOff>0</xdr:rowOff>
    </xdr:from>
    <xdr:ext cx="8420100" cy="1504950"/>
    <xdr:sp macro="" textlink="">
      <xdr:nvSpPr>
        <xdr:cNvPr id="4" name="Shape 4">
          <a:extLst>
            <a:ext uri="{FF2B5EF4-FFF2-40B4-BE49-F238E27FC236}">
              <a16:creationId xmlns:a16="http://schemas.microsoft.com/office/drawing/2014/main" id="{00000000-0008-0000-0500-000004000000}"/>
            </a:ext>
          </a:extLst>
        </xdr:cNvPr>
        <xdr:cNvSpPr txBox="1"/>
      </xdr:nvSpPr>
      <xdr:spPr>
        <a:xfrm>
          <a:off x="1140713" y="3032288"/>
          <a:ext cx="8410575" cy="149542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from fossil fuel combustion in the residential sector are calculated by multiplying energy consumption (in the residential sector) by carbon content coefficients for each fuel.  These quantities are then multiplied by fuel-specific percentages of carbon oxidized during combustion ("combustion efficiency").  The resulting fuel emission values,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the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FFC Chapter in the User's Guide.</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According to the methods developed by the International Panel on Climate Change,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from the combustion of biogenic sources (e.g., fuel wood) are not counted in greenhouse gas inventories, provided that those sources are harvested on a sustainable basis. The carbon in wood fuel was originally removed from the atmosphere by photosynthesis, and under natural conditions, it would cycle back to the atmosphere eventually as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due to degradation processes. For processes with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if the emissions are from biogenic materials and the materials are grown on a sustainable basis, then those emissions are considered to close the loop in the natural carbon cycle. </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2</xdr:row>
      <xdr:rowOff>0</xdr:rowOff>
    </xdr:from>
    <xdr:ext cx="7762875" cy="809625"/>
    <xdr:sp macro="" textlink="">
      <xdr:nvSpPr>
        <xdr:cNvPr id="5" name="Shape 5">
          <a:extLst>
            <a:ext uri="{FF2B5EF4-FFF2-40B4-BE49-F238E27FC236}">
              <a16:creationId xmlns:a16="http://schemas.microsoft.com/office/drawing/2014/main" id="{00000000-0008-0000-0600-000005000000}"/>
            </a:ext>
          </a:extLst>
        </xdr:cNvPr>
        <xdr:cNvSpPr txBox="1"/>
      </xdr:nvSpPr>
      <xdr:spPr>
        <a:xfrm>
          <a:off x="1469325" y="3379950"/>
          <a:ext cx="7753350" cy="8001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from fossil fuel combustion in the commercial sector are calculated by multiplying energy consumption (in the commercial sector) by carbon content coefficients for each fuel.  These quantities are then multiplied by fuel-specific percentages of carbon oxidized during combustion ("combustion efficiency").  The resulting fuel emissions,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FFC Chapter in the User's Guide.</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1</xdr:row>
      <xdr:rowOff>9525</xdr:rowOff>
    </xdr:from>
    <xdr:ext cx="9772650" cy="847725"/>
    <xdr:sp macro="" textlink="">
      <xdr:nvSpPr>
        <xdr:cNvPr id="6" name="Shape 6">
          <a:extLst>
            <a:ext uri="{FF2B5EF4-FFF2-40B4-BE49-F238E27FC236}">
              <a16:creationId xmlns:a16="http://schemas.microsoft.com/office/drawing/2014/main" id="{00000000-0008-0000-0700-000006000000}"/>
            </a:ext>
          </a:extLst>
        </xdr:cNvPr>
        <xdr:cNvSpPr txBox="1"/>
      </xdr:nvSpPr>
      <xdr:spPr>
        <a:xfrm>
          <a:off x="464438" y="3360900"/>
          <a:ext cx="9763125" cy="8382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from fossil fuel combustion in the industrial sector are calculated by first subtracting non-energy consumption multiplied by carbon storage factors from the energy consumption for each fuel type.  The resulting combustible consumption for each fuel is then multiplied by a carbon content coefficient and by the percentage of carbon oxidized during combustion ("combustion efficiency").  The resulting fuel emissions,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FFC Chapter in the User's Guide.</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257175</xdr:colOff>
      <xdr:row>1</xdr:row>
      <xdr:rowOff>114300</xdr:rowOff>
    </xdr:from>
    <xdr:ext cx="10115550" cy="838200"/>
    <xdr:sp macro="" textlink="">
      <xdr:nvSpPr>
        <xdr:cNvPr id="7" name="Shape 7">
          <a:extLst>
            <a:ext uri="{FF2B5EF4-FFF2-40B4-BE49-F238E27FC236}">
              <a16:creationId xmlns:a16="http://schemas.microsoft.com/office/drawing/2014/main" id="{00000000-0008-0000-0800-000007000000}"/>
            </a:ext>
          </a:extLst>
        </xdr:cNvPr>
        <xdr:cNvSpPr txBox="1"/>
      </xdr:nvSpPr>
      <xdr:spPr>
        <a:xfrm>
          <a:off x="292988" y="3365663"/>
          <a:ext cx="10106025" cy="8286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GHG emissions from fossil fuel combustion in the onroad transportation sector are calculated  within the EPA MOVES model.  MOVES is the U.S. EPA Motor Vehicle Emission Simulator.  It is used to create emission factors or emission inventories for both onroad motor vehicles and nonroad equipment.   In the modeling process, the user specifies vehicle types, time perioeds, geographical areas, pollutants, vehicle operating characteristics, and road types to be modeled.  The model than performs a series of calculations, which have bee ccarefully developed to accurately reflect vehiclae operating processes, such as running, starts, or hoteling , and provide estimates of total emissions or emission rates per vehicle or unit of activity.  The resulting fuel emissions, in grams, are then converted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EPA MOVES User's Guide.</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847725</xdr:colOff>
      <xdr:row>2</xdr:row>
      <xdr:rowOff>19050</xdr:rowOff>
    </xdr:from>
    <xdr:ext cx="10620375" cy="695325"/>
    <xdr:sp macro="" textlink="">
      <xdr:nvSpPr>
        <xdr:cNvPr id="8" name="Shape 8">
          <a:extLst>
            <a:ext uri="{FF2B5EF4-FFF2-40B4-BE49-F238E27FC236}">
              <a16:creationId xmlns:a16="http://schemas.microsoft.com/office/drawing/2014/main" id="{00000000-0008-0000-0900-000008000000}"/>
            </a:ext>
          </a:extLst>
        </xdr:cNvPr>
        <xdr:cNvSpPr txBox="1"/>
      </xdr:nvSpPr>
      <xdr:spPr>
        <a:xfrm>
          <a:off x="40575" y="3437100"/>
          <a:ext cx="10610850" cy="6858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(MMTCO2E), and summed.   For further detail on this method, refer to EPA SIT User's Guide.</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9525</xdr:colOff>
      <xdr:row>2</xdr:row>
      <xdr:rowOff>0</xdr:rowOff>
    </xdr:from>
    <xdr:ext cx="11163300" cy="676275"/>
    <xdr:sp macro="" textlink="">
      <xdr:nvSpPr>
        <xdr:cNvPr id="9" name="Shape 9">
          <a:extLst>
            <a:ext uri="{FF2B5EF4-FFF2-40B4-BE49-F238E27FC236}">
              <a16:creationId xmlns:a16="http://schemas.microsoft.com/office/drawing/2014/main" id="{00000000-0008-0000-0A00-000009000000}"/>
            </a:ext>
          </a:extLst>
        </xdr:cNvPr>
        <xdr:cNvSpPr txBox="1"/>
      </xdr:nvSpPr>
      <xdr:spPr>
        <a:xfrm>
          <a:off x="0" y="3446625"/>
          <a:ext cx="10692000" cy="6667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(MMTCO2E), and summed.   For further detail on this method, refer to EPA SIT User's Guide.</a:t>
          </a:r>
          <a:endParaRPr sz="1400"/>
        </a:p>
      </xdr:txBody>
    </xdr:sp>
    <xdr:clientData fLocksWithSheet="0"/>
  </xdr:oneCellAnchor>
  <xdr:oneCellAnchor>
    <xdr:from>
      <xdr:col>0</xdr:col>
      <xdr:colOff>-30641925</xdr:colOff>
      <xdr:row>31</xdr:row>
      <xdr:rowOff>-37395150</xdr:rowOff>
    </xdr:from>
    <xdr:ext cx="75799950" cy="75799950"/>
    <xdr:sp macro="" textlink="">
      <xdr:nvSpPr>
        <xdr:cNvPr id="10" name="Shape 10">
          <a:extLst>
            <a:ext uri="{FF2B5EF4-FFF2-40B4-BE49-F238E27FC236}">
              <a16:creationId xmlns:a16="http://schemas.microsoft.com/office/drawing/2014/main" id="{00000000-0008-0000-0A00-00000A000000}"/>
            </a:ext>
          </a:extLst>
        </xdr:cNvPr>
        <xdr:cNvSpPr/>
      </xdr:nvSpPr>
      <xdr:spPr>
        <a:xfrm rot="-182887">
          <a:off x="7544" y="-10646"/>
          <a:ext cx="10676913" cy="7581292"/>
        </a:xfrm>
        <a:prstGeom prst="rect">
          <a:avLst/>
        </a:prstGeom>
        <a:noFill/>
        <a:ln>
          <a:noFill/>
        </a:ln>
        <a:effectLst>
          <a:outerShdw blurRad="149987" dist="250190" dir="8460000" algn="ctr">
            <a:srgbClr val="000000">
              <a:alpha val="24313"/>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3</xdr:row>
      <xdr:rowOff>0</xdr:rowOff>
    </xdr:from>
    <xdr:ext cx="10429875" cy="2133600"/>
    <xdr:sp macro="" textlink="">
      <xdr:nvSpPr>
        <xdr:cNvPr id="11" name="Shape 11">
          <a:extLst>
            <a:ext uri="{FF2B5EF4-FFF2-40B4-BE49-F238E27FC236}">
              <a16:creationId xmlns:a16="http://schemas.microsoft.com/office/drawing/2014/main" id="{00000000-0008-0000-0B00-00000B000000}"/>
            </a:ext>
          </a:extLst>
        </xdr:cNvPr>
        <xdr:cNvSpPr txBox="1"/>
      </xdr:nvSpPr>
      <xdr:spPr>
        <a:xfrm>
          <a:off x="135825" y="2717963"/>
          <a:ext cx="10420350" cy="21240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Natural Gas Production are calculated as the sum of emissions from the three categories of production sites: onshore wells, offshore shallow water platforms, and offshore deepwater platforms.  The number of gas production sites (wells or platforms) is multiplied by a site-specific emission factor.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Natural Gas Transmission are calculated as the sum of methane emissions from the pipelines that transport gas, the gas processing stations, the transmission compressor stations, and gas storage compressor facilities.  Emissions from each source are calculated as the product of the activity factor (e.g., miles of pipeline or number of stations) and the source-specific emission factor.</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Natural Gas Distribution are calculated as the sum of emissions from distribution pipelines and end services.  The activity factor for each type of pipeline (e.g., miles of plastic distribution pipeline) is multiplied by the corresponding emission factor.  The number of services is multiplied by a general emission factor and type-specific emission factors.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Natural Gas Venting and Flaring are calculated as the percent of emissions flared (20% is vented with the remaining 80% flared).  The amount of gas that is vented or flared is multiplied by a national emission factor. This total of potential emissions is then multiplied by the percentage of gas flared and converted to million metric tons of carbon equivalent.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Source emissions are converted to metric tons of CO2 equivalent and metric tons of carbon equivalent, and then summed across all sources.  For further details, refer to the Methane Emissions from Natural Gas and Oil Systems Chapter of the EPA SIT User's Guide.</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Source emissions are converted to metric tons of CO2 equivalent and metric tons of carbon equivalent, and then summed across all sources.  For further details, refer to the Methane Emissions from Natural Gas and Oil Systems Chapter of the User's Guide.</a:t>
          </a:r>
          <a:endParaRPr sz="1400"/>
        </a:p>
      </xdr:txBody>
    </xdr:sp>
    <xdr:clientData fLocksWithSheet="0"/>
  </xdr:oneCellAnchor>
  <xdr:oneCellAnchor>
    <xdr:from>
      <xdr:col>0</xdr:col>
      <xdr:colOff>-25298400</xdr:colOff>
      <xdr:row>34</xdr:row>
      <xdr:rowOff>-30499050</xdr:rowOff>
    </xdr:from>
    <xdr:ext cx="62112525" cy="62112525"/>
    <xdr:sp macro="" textlink="">
      <xdr:nvSpPr>
        <xdr:cNvPr id="12" name="Shape 12">
          <a:extLst>
            <a:ext uri="{FF2B5EF4-FFF2-40B4-BE49-F238E27FC236}">
              <a16:creationId xmlns:a16="http://schemas.microsoft.com/office/drawing/2014/main" id="{00000000-0008-0000-0B00-00000C000000}"/>
            </a:ext>
          </a:extLst>
        </xdr:cNvPr>
        <xdr:cNvSpPr/>
      </xdr:nvSpPr>
      <xdr:spPr>
        <a:xfrm rot="-189803">
          <a:off x="8123" y="-11462"/>
          <a:ext cx="10675754" cy="7582924"/>
        </a:xfrm>
        <a:prstGeom prst="rect">
          <a:avLst/>
        </a:prstGeom>
        <a:noFill/>
        <a:ln>
          <a:noFill/>
        </a:ln>
        <a:effectLst>
          <a:outerShdw blurRad="149987" dist="250190" dir="8460000" algn="ctr">
            <a:srgbClr val="000000">
              <a:alpha val="24313"/>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xdr:row>
      <xdr:rowOff>0</xdr:rowOff>
    </xdr:from>
    <xdr:ext cx="9820275" cy="2552700"/>
    <xdr:sp macro="" textlink="">
      <xdr:nvSpPr>
        <xdr:cNvPr id="13" name="Shape 13">
          <a:extLst>
            <a:ext uri="{FF2B5EF4-FFF2-40B4-BE49-F238E27FC236}">
              <a16:creationId xmlns:a16="http://schemas.microsoft.com/office/drawing/2014/main" id="{00000000-0008-0000-0C00-00000D000000}"/>
            </a:ext>
          </a:extLst>
        </xdr:cNvPr>
        <xdr:cNvSpPr txBox="1"/>
      </xdr:nvSpPr>
      <xdr:spPr>
        <a:xfrm>
          <a:off x="440625" y="2508413"/>
          <a:ext cx="9810750" cy="25431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Coal Mining are calculated by summing the emissions from underground mines, surface mines, and post-mining activities.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Underground mine emissions are comprised of two parts: methane emitted from ventilation systems and methane emitted from degasification systems. Emissions from degasification systems are equal to the difference between methane removed through degasification and methane used for energy purposes. </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Surface mine emissions are the product of surface coal mine production and a basin-specific EF.  </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Emissions from post-mining activities, such as transportation and coal handling, are equal to the sum of post-mining emissions from underground and surface mines; the emissions are each calculated as the product of coal production times a basin and mine-type specific EF.  </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Total emissions from coal mining are the sum of emissions from underground mines, surface mines, and post-mining activities at both types of mines.</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Abandoned Coal Mines are calculated by summing the emissions from mines that are vented, sealed, or flooded.</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Different coal seams vary in the amount of gas present initially and the way the methane is adsorbed to the coal (i.e. some coals release methane more readily than others).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A vented mine is one that can release methane to the atmosphere freely.  The emissions of vented mines will depend on time since abandonment and coal characteristics.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A sealed mine has been sealed to prevent the escape of methane.  However given the nature of the rock used to seal mines, such sealing is never 100 percent effective.  The effect of a seal is to slow the methane emissions to spread them out over a longer period of time.</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After a mine is abandoned and in a flood prone area, the mine will fill up with water.  A completely flooded mine releases little to no methane to the atmosphere.  Therefore, most emissions will occur in the first few years following abandonment.</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For more information, please refer to the Coal Mining chapter of the EPA SIT User's Guide.</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0</xdr:col>
      <xdr:colOff>-25298400</xdr:colOff>
      <xdr:row>11</xdr:row>
      <xdr:rowOff>-30527625</xdr:rowOff>
    </xdr:from>
    <xdr:ext cx="62112525" cy="62112525"/>
    <xdr:sp macro="" textlink="">
      <xdr:nvSpPr>
        <xdr:cNvPr id="14" name="Shape 14">
          <a:extLst>
            <a:ext uri="{FF2B5EF4-FFF2-40B4-BE49-F238E27FC236}">
              <a16:creationId xmlns:a16="http://schemas.microsoft.com/office/drawing/2014/main" id="{00000000-0008-0000-0C00-00000E000000}"/>
            </a:ext>
          </a:extLst>
        </xdr:cNvPr>
        <xdr:cNvSpPr/>
      </xdr:nvSpPr>
      <xdr:spPr>
        <a:xfrm rot="-189803">
          <a:off x="8123" y="-11462"/>
          <a:ext cx="10675754" cy="7582924"/>
        </a:xfrm>
        <a:prstGeom prst="rect">
          <a:avLst/>
        </a:prstGeom>
        <a:noFill/>
        <a:ln>
          <a:noFill/>
        </a:ln>
        <a:effectLst>
          <a:outerShdw blurRad="149987" dist="250190" dir="8460000" algn="ctr">
            <a:srgbClr val="000000">
              <a:alpha val="24313"/>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www.phmsa.dot.gov/data-and-statistics/pipeline/gas-distribution-gas-gathering-gas-transmission-hazardous-liquids" TargetMode="External"/><Relationship Id="rId1" Type="http://schemas.openxmlformats.org/officeDocument/2006/relationships/hyperlink" Target="https://www.eia.gov/dnav/ng/NG_PROD_WELLS_S1_A.htm"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hyperlink" Target="https://stg-mde.maryland.gov/programs/land/mining/pages/bureauofminesannualreports.aspx"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3.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fs.usda.gov/rds/archive/Catalog/RDS-2021-0035" TargetMode="External"/><Relationship Id="rId1" Type="http://schemas.openxmlformats.org/officeDocument/2006/relationships/hyperlink" Target="https://www.nrs.fs.fed.us/pubs/62418"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J1000"/>
  <sheetViews>
    <sheetView showGridLines="0" tabSelected="1" workbookViewId="0"/>
  </sheetViews>
  <sheetFormatPr defaultColWidth="16.85546875" defaultRowHeight="15" customHeight="1" x14ac:dyDescent="0.2"/>
  <cols>
    <col min="1" max="1" width="4.42578125" customWidth="1"/>
    <col min="2" max="2" width="8" customWidth="1"/>
    <col min="3" max="3" width="75.85546875" customWidth="1"/>
    <col min="4" max="5" width="16.85546875" customWidth="1"/>
    <col min="6" max="7" width="14.140625" customWidth="1"/>
    <col min="8" max="9" width="13.28515625" customWidth="1"/>
    <col min="10" max="26" width="8.85546875" customWidth="1"/>
  </cols>
  <sheetData>
    <row r="1" spans="1:36" ht="18" x14ac:dyDescent="0.35">
      <c r="A1" s="1"/>
      <c r="B1" s="2" t="s">
        <v>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row>
    <row r="2" spans="1:36" ht="15" customHeight="1" x14ac:dyDescent="0.25">
      <c r="A2" s="3"/>
      <c r="B2" s="1"/>
      <c r="C2" s="4"/>
      <c r="D2" s="2927" t="s">
        <v>1</v>
      </c>
      <c r="E2" s="2927"/>
      <c r="F2" s="1607"/>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6" ht="15" customHeight="1" x14ac:dyDescent="0.35">
      <c r="A3" s="3"/>
      <c r="B3" s="2"/>
      <c r="C3" s="5"/>
      <c r="D3" s="2625" t="s">
        <v>3</v>
      </c>
      <c r="E3" s="2625" t="s">
        <v>2</v>
      </c>
      <c r="F3" s="2594"/>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row>
    <row r="4" spans="1:36" ht="15" customHeight="1" x14ac:dyDescent="0.35">
      <c r="A4" s="3"/>
      <c r="B4" s="2"/>
      <c r="C4" s="5" t="s">
        <v>4</v>
      </c>
      <c r="D4" s="6">
        <v>1</v>
      </c>
      <c r="E4" s="6">
        <v>1</v>
      </c>
      <c r="F4" s="1607"/>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row>
    <row r="5" spans="1:36" ht="15" customHeight="1" x14ac:dyDescent="0.35">
      <c r="A5" s="3"/>
      <c r="B5" s="2"/>
      <c r="C5" s="5" t="s">
        <v>5</v>
      </c>
      <c r="D5" s="6">
        <v>84</v>
      </c>
      <c r="E5" s="6">
        <v>28</v>
      </c>
      <c r="F5" s="1607"/>
      <c r="G5" s="1"/>
      <c r="H5" s="2633"/>
      <c r="I5" s="1"/>
      <c r="J5" s="1"/>
      <c r="K5" s="1"/>
      <c r="L5" s="1"/>
      <c r="M5" s="1"/>
      <c r="N5" s="1"/>
      <c r="O5" s="1"/>
      <c r="P5" s="1"/>
      <c r="Q5" s="1"/>
      <c r="R5" s="1"/>
      <c r="S5" s="1"/>
      <c r="T5" s="1"/>
      <c r="U5" s="1"/>
      <c r="V5" s="1"/>
      <c r="W5" s="1"/>
      <c r="X5" s="1"/>
      <c r="Y5" s="1"/>
      <c r="Z5" s="1"/>
      <c r="AA5" s="1"/>
      <c r="AB5" s="1"/>
      <c r="AC5" s="1"/>
      <c r="AD5" s="1"/>
      <c r="AE5" s="1"/>
      <c r="AF5" s="1"/>
      <c r="AG5" s="1"/>
      <c r="AH5" s="1"/>
      <c r="AI5" s="1"/>
      <c r="AJ5" s="1"/>
    </row>
    <row r="6" spans="1:36" ht="15" customHeight="1" x14ac:dyDescent="0.35">
      <c r="A6" s="3"/>
      <c r="B6" s="2"/>
      <c r="C6" s="5" t="s">
        <v>6</v>
      </c>
      <c r="D6" s="6">
        <v>264</v>
      </c>
      <c r="E6" s="6">
        <v>265</v>
      </c>
      <c r="F6" s="1607"/>
      <c r="G6" s="1"/>
      <c r="H6" s="2633"/>
      <c r="I6" s="1"/>
      <c r="J6" s="1"/>
      <c r="K6" s="1"/>
      <c r="L6" s="1"/>
      <c r="M6" s="1"/>
      <c r="N6" s="1"/>
      <c r="O6" s="1"/>
      <c r="P6" s="1"/>
      <c r="Q6" s="1"/>
      <c r="R6" s="1"/>
      <c r="S6" s="1"/>
      <c r="T6" s="1"/>
      <c r="U6" s="1"/>
      <c r="V6" s="1"/>
      <c r="W6" s="1"/>
      <c r="X6" s="1"/>
      <c r="Y6" s="1"/>
      <c r="Z6" s="1"/>
      <c r="AA6" s="1"/>
      <c r="AB6" s="1"/>
      <c r="AC6" s="1"/>
      <c r="AD6" s="1"/>
      <c r="AE6" s="1"/>
      <c r="AF6" s="1"/>
      <c r="AG6" s="1"/>
      <c r="AH6" s="1"/>
      <c r="AI6" s="1"/>
      <c r="AJ6" s="1"/>
    </row>
    <row r="7" spans="1:36" ht="15" customHeight="1" x14ac:dyDescent="0.35">
      <c r="A7" s="3"/>
      <c r="B7" s="2"/>
      <c r="C7" s="5" t="s">
        <v>7</v>
      </c>
      <c r="D7" s="2626">
        <v>17500</v>
      </c>
      <c r="E7" s="2626">
        <v>23500</v>
      </c>
      <c r="F7" s="1607"/>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row>
    <row r="8" spans="1:36" ht="15" customHeight="1" thickBot="1" x14ac:dyDescent="0.3">
      <c r="A8" s="3"/>
      <c r="B8" s="2595"/>
      <c r="C8" s="2624" t="s">
        <v>8</v>
      </c>
      <c r="D8" s="2928" t="s">
        <v>9</v>
      </c>
      <c r="E8" s="2928"/>
      <c r="F8" s="1607"/>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row>
    <row r="9" spans="1:36" ht="16.2" thickBot="1" x14ac:dyDescent="0.4">
      <c r="A9" s="3"/>
      <c r="B9" s="2929" t="s">
        <v>2063</v>
      </c>
      <c r="C9" s="2930"/>
      <c r="D9" s="2601" t="s">
        <v>11</v>
      </c>
      <c r="E9" s="2601" t="s">
        <v>10</v>
      </c>
      <c r="F9" s="1607"/>
      <c r="G9" s="1"/>
      <c r="H9" s="1"/>
      <c r="I9" s="3"/>
      <c r="J9" s="1"/>
      <c r="K9" s="1"/>
      <c r="L9" s="1"/>
      <c r="M9" s="1"/>
      <c r="N9" s="1"/>
      <c r="O9" s="1"/>
      <c r="P9" s="1"/>
      <c r="Q9" s="1"/>
      <c r="R9" s="1"/>
      <c r="S9" s="1"/>
      <c r="T9" s="1"/>
      <c r="U9" s="1"/>
      <c r="V9" s="1"/>
      <c r="W9" s="1"/>
      <c r="X9" s="1"/>
      <c r="Y9" s="1"/>
      <c r="Z9" s="1"/>
      <c r="AA9" s="1"/>
      <c r="AB9" s="1"/>
      <c r="AC9" s="1"/>
      <c r="AD9" s="1"/>
      <c r="AE9" s="1"/>
      <c r="AF9" s="1"/>
      <c r="AG9" s="1"/>
      <c r="AH9" s="1"/>
      <c r="AI9" s="1"/>
      <c r="AJ9" s="1"/>
    </row>
    <row r="10" spans="1:36" ht="15.6" x14ac:dyDescent="0.35">
      <c r="A10" s="3"/>
      <c r="B10" s="2931" t="s">
        <v>2070</v>
      </c>
      <c r="C10" s="2932"/>
      <c r="D10" s="2628">
        <f t="shared" ref="D10:E10" si="0">D11+D30+D47+D80</f>
        <v>66.338464701045183</v>
      </c>
      <c r="E10" s="2628">
        <f t="shared" si="0"/>
        <v>63.783158396715017</v>
      </c>
      <c r="F10" s="1607"/>
      <c r="G10" s="1"/>
      <c r="H10" s="2667"/>
      <c r="I10" s="3"/>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row>
    <row r="11" spans="1:36" ht="14.4" x14ac:dyDescent="0.3">
      <c r="A11" s="3"/>
      <c r="B11" s="2602" t="s">
        <v>43</v>
      </c>
      <c r="C11" s="2603"/>
      <c r="D11" s="2627">
        <f t="shared" ref="D11:E11" si="1">D12+D29</f>
        <v>18.329382150964136</v>
      </c>
      <c r="E11" s="2627">
        <f t="shared" si="1"/>
        <v>18.298134220669475</v>
      </c>
      <c r="F11" s="3"/>
      <c r="G11" s="3"/>
      <c r="H11" s="2667"/>
      <c r="I11" s="3"/>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row>
    <row r="12" spans="1:36" ht="14.4" x14ac:dyDescent="0.3">
      <c r="A12" s="3"/>
      <c r="B12" s="2604"/>
      <c r="C12" s="2598" t="s">
        <v>12</v>
      </c>
      <c r="D12" s="2628">
        <f t="shared" ref="D12:E12" si="2">D13+D17+D21+D25</f>
        <v>9.3235736782131937</v>
      </c>
      <c r="E12" s="2628">
        <f t="shared" si="2"/>
        <v>9.2923257479185324</v>
      </c>
      <c r="F12" s="3"/>
      <c r="G12" s="3"/>
      <c r="H12" s="2667"/>
      <c r="I12" s="3"/>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row>
    <row r="13" spans="1:36" ht="14.4" x14ac:dyDescent="0.3">
      <c r="A13" s="3"/>
      <c r="B13" s="2605"/>
      <c r="C13" s="2599" t="s">
        <v>187</v>
      </c>
      <c r="D13" s="2628">
        <f>SUM(D14:D16)</f>
        <v>3.9331723439260986</v>
      </c>
      <c r="E13" s="2628">
        <f>SUM(E14:E16)</f>
        <v>3.9075611310855107</v>
      </c>
      <c r="F13" s="3"/>
      <c r="G13" s="3"/>
      <c r="H13" s="2667"/>
      <c r="I13" s="7"/>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row>
    <row r="14" spans="1:36" ht="15.6" x14ac:dyDescent="0.35">
      <c r="A14" s="3"/>
      <c r="B14" s="2605"/>
      <c r="C14" s="2606" t="s">
        <v>2064</v>
      </c>
      <c r="D14" s="2629">
        <f>E14/_xlfn.XLOOKUP(C14,C$4:C$7,E$4:E$7,"ERROR")*_xlfn.XLOOKUP(C14,C$4:C$7,D$4:D$7,"ERROR")</f>
        <v>3.8770382822730802</v>
      </c>
      <c r="E14" s="2629">
        <f>EGU_By_Fuel_Type_II!D391</f>
        <v>3.8770382822730802</v>
      </c>
      <c r="F14" s="4"/>
      <c r="G14" s="3"/>
      <c r="H14" s="2667"/>
      <c r="I14" s="3"/>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row>
    <row r="15" spans="1:36" ht="15.6" x14ac:dyDescent="0.35">
      <c r="A15" s="3"/>
      <c r="B15" s="2605"/>
      <c r="C15" s="2606" t="s">
        <v>2065</v>
      </c>
      <c r="D15" s="2629">
        <f t="shared" ref="D15:D16" si="3">E15/_xlfn.XLOOKUP(C15,C$4:C$7,E$4:E$7,"ERROR")*_xlfn.XLOOKUP(C15,C$4:C$7,D$4:D$7,"ERROR")</f>
        <v>3.8516916675526751E-2</v>
      </c>
      <c r="E15" s="2629">
        <f>EGU_By_Fuel_Type_II!F391</f>
        <v>1.2838972225175584E-2</v>
      </c>
      <c r="F15" s="2666"/>
      <c r="G15" s="3"/>
      <c r="H15" s="2667"/>
      <c r="I15" s="3"/>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row>
    <row r="16" spans="1:36" ht="15.6" x14ac:dyDescent="0.35">
      <c r="A16" s="3"/>
      <c r="B16" s="2605"/>
      <c r="C16" s="2606" t="s">
        <v>2066</v>
      </c>
      <c r="D16" s="2629">
        <f t="shared" si="3"/>
        <v>1.7617144977491773E-2</v>
      </c>
      <c r="E16" s="2629">
        <f>EGU_By_Fuel_Type_II!E391</f>
        <v>1.7683876587254999E-2</v>
      </c>
      <c r="F16" s="2666"/>
      <c r="G16" s="3"/>
      <c r="H16" s="2667"/>
      <c r="I16" s="3"/>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row>
    <row r="17" spans="1:36" ht="14.4" x14ac:dyDescent="0.3">
      <c r="A17" s="3"/>
      <c r="B17" s="2605"/>
      <c r="C17" s="2599" t="s">
        <v>436</v>
      </c>
      <c r="D17" s="2628">
        <f>SUM(D18:D20)</f>
        <v>5.2747066682732155</v>
      </c>
      <c r="E17" s="2628">
        <f>SUM(E18:E20)</f>
        <v>5.2694194089074022</v>
      </c>
      <c r="F17" s="4"/>
      <c r="G17" s="3"/>
      <c r="H17" s="2667"/>
      <c r="I17" s="3"/>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row>
    <row r="18" spans="1:36" ht="15.6" x14ac:dyDescent="0.35">
      <c r="A18" s="3"/>
      <c r="B18" s="2605"/>
      <c r="C18" s="2606" t="s">
        <v>2064</v>
      </c>
      <c r="D18" s="2629">
        <f>E18/_xlfn.XLOOKUP(C18,C$4:C$7,E$4:E$7,"ERROR")*_xlfn.XLOOKUP(C18,C$4:C$7,D$4:D$7,"ERROR")</f>
        <v>5.2575179156048781</v>
      </c>
      <c r="E18" s="2629">
        <f>EGU_By_Fuel_Type_II!D394</f>
        <v>5.2575179156048781</v>
      </c>
      <c r="F18" s="3"/>
      <c r="G18" s="3"/>
      <c r="H18" s="2667"/>
      <c r="I18" s="3"/>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row>
    <row r="19" spans="1:36" ht="15.6" x14ac:dyDescent="0.35">
      <c r="A19" s="3"/>
      <c r="B19" s="2605"/>
      <c r="C19" s="2606" t="s">
        <v>2065</v>
      </c>
      <c r="D19" s="2629">
        <f t="shared" ref="D19:D20" si="4">E19/_xlfn.XLOOKUP(C19,C$4:C$7,E$4:E$7,"ERROR")*_xlfn.XLOOKUP(C19,C$4:C$7,D$4:D$7,"ERROR")</f>
        <v>7.9831933629549972E-3</v>
      </c>
      <c r="E19" s="2629">
        <f>EGU_By_Fuel_Type_II!F394</f>
        <v>2.6610644543183324E-3</v>
      </c>
      <c r="F19" s="3"/>
      <c r="G19" s="3"/>
      <c r="H19" s="2667"/>
      <c r="I19" s="3"/>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row>
    <row r="20" spans="1:36" ht="15.6" x14ac:dyDescent="0.35">
      <c r="A20" s="3"/>
      <c r="B20" s="2605"/>
      <c r="C20" s="2606" t="s">
        <v>2066</v>
      </c>
      <c r="D20" s="2629">
        <f t="shared" si="4"/>
        <v>9.2055593053823395E-3</v>
      </c>
      <c r="E20" s="2629">
        <f>EGU_By_Fuel_Type_II!E394</f>
        <v>9.2404288482057576E-3</v>
      </c>
      <c r="F20" s="3"/>
      <c r="G20" s="3"/>
      <c r="H20" s="2667"/>
      <c r="I20" s="3"/>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row>
    <row r="21" spans="1:36" ht="14.4" x14ac:dyDescent="0.3">
      <c r="A21" s="3"/>
      <c r="B21" s="2605"/>
      <c r="C21" s="2599" t="s">
        <v>684</v>
      </c>
      <c r="D21" s="2628">
        <f>SUM(D22:D24)</f>
        <v>0.1156946660138804</v>
      </c>
      <c r="E21" s="2628">
        <f>SUM(E22:E24)</f>
        <v>0.11534520792561935</v>
      </c>
      <c r="F21" s="3"/>
      <c r="G21" s="3"/>
      <c r="H21" s="2667"/>
      <c r="I21" s="3"/>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row>
    <row r="22" spans="1:36" ht="15.6" x14ac:dyDescent="0.35">
      <c r="A22" s="3"/>
      <c r="B22" s="2605"/>
      <c r="C22" s="2606" t="s">
        <v>2064</v>
      </c>
      <c r="D22" s="2629">
        <f>E22/_xlfn.XLOOKUP(C22,C$4:C$7,E$4:E$7,"ERROR")*_xlfn.XLOOKUP(C22,C$4:C$7,D$4:D$7,"ERROR")</f>
        <v>0.11487690051223043</v>
      </c>
      <c r="E22" s="2629">
        <f>EGU_By_Fuel_Type_II!D392+EGU_By_Fuel_Type_II!D393</f>
        <v>0.11487690051223043</v>
      </c>
      <c r="F22" s="3"/>
      <c r="G22" s="3"/>
      <c r="H22" s="2667"/>
      <c r="I22" s="3"/>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row>
    <row r="23" spans="1:36" ht="15.6" x14ac:dyDescent="0.35">
      <c r="A23" s="3"/>
      <c r="B23" s="2605"/>
      <c r="C23" s="2606" t="s">
        <v>2065</v>
      </c>
      <c r="D23" s="2629">
        <f t="shared" ref="D23:D24" si="5">E23/_xlfn.XLOOKUP(C23,C$4:C$7,E$4:E$7,"ERROR")*_xlfn.XLOOKUP(C23,C$4:C$7,D$4:D$7,"ERROR")</f>
        <v>5.258457672461318E-4</v>
      </c>
      <c r="E23" s="2629">
        <f>EGU_By_Fuel_Type_II!F392+EGU_By_Fuel_Type_II!F393</f>
        <v>1.7528192241537727E-4</v>
      </c>
      <c r="F23" s="3"/>
      <c r="G23" s="3"/>
      <c r="H23" s="2667"/>
      <c r="I23" s="3"/>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row>
    <row r="24" spans="1:36" ht="15.6" x14ac:dyDescent="0.35">
      <c r="A24" s="3"/>
      <c r="B24" s="2605"/>
      <c r="C24" s="2606" t="s">
        <v>2066</v>
      </c>
      <c r="D24" s="2629">
        <f t="shared" si="5"/>
        <v>2.9191973440382429E-4</v>
      </c>
      <c r="E24" s="2629">
        <f>EGU_By_Fuel_Type_II!E392+EGU_By_Fuel_Type_II!E393</f>
        <v>2.9302549097353573E-4</v>
      </c>
      <c r="F24" s="3"/>
      <c r="G24" s="3"/>
      <c r="H24" s="2667"/>
      <c r="I24" s="3"/>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row>
    <row r="25" spans="1:36" ht="14.4" x14ac:dyDescent="0.3">
      <c r="A25" s="3"/>
      <c r="B25" s="2605"/>
      <c r="C25" s="2599" t="s">
        <v>690</v>
      </c>
      <c r="D25" s="2628">
        <f>SUM(D26:D28)</f>
        <v>0</v>
      </c>
      <c r="E25" s="2628">
        <f>SUM(E26:E28)</f>
        <v>0</v>
      </c>
      <c r="F25" s="3"/>
      <c r="G25" s="3"/>
      <c r="H25" s="2667"/>
      <c r="I25" s="3"/>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row>
    <row r="26" spans="1:36" ht="15.6" x14ac:dyDescent="0.35">
      <c r="A26" s="3"/>
      <c r="B26" s="2605"/>
      <c r="C26" s="2606" t="s">
        <v>2064</v>
      </c>
      <c r="D26" s="2629">
        <f>E26/_xlfn.XLOOKUP(C26,C$4:C$7,E$4:E$7,"ERROR")*_xlfn.XLOOKUP(C26,C$4:C$7,D$4:D$7,"ERROR")</f>
        <v>0</v>
      </c>
      <c r="E26" s="2629">
        <v>0</v>
      </c>
      <c r="F26" s="3"/>
      <c r="G26" s="3"/>
      <c r="H26" s="2667"/>
      <c r="I26" s="3"/>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ht="15.6" x14ac:dyDescent="0.35">
      <c r="A27" s="3"/>
      <c r="B27" s="2605"/>
      <c r="C27" s="2606" t="s">
        <v>2065</v>
      </c>
      <c r="D27" s="2629">
        <f t="shared" ref="D27:D28" si="6">E27/_xlfn.XLOOKUP(C27,C$4:C$7,E$4:E$7,"ERROR")*_xlfn.XLOOKUP(C27,C$4:C$7,D$4:D$7,"ERROR")</f>
        <v>0</v>
      </c>
      <c r="E27" s="2629">
        <v>0</v>
      </c>
      <c r="F27" s="3"/>
      <c r="G27" s="3"/>
      <c r="H27" s="2667"/>
      <c r="I27" s="3"/>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ht="15.6" x14ac:dyDescent="0.35">
      <c r="A28" s="3"/>
      <c r="B28" s="2605"/>
      <c r="C28" s="2606" t="s">
        <v>2066</v>
      </c>
      <c r="D28" s="2629">
        <f t="shared" si="6"/>
        <v>0</v>
      </c>
      <c r="E28" s="2629">
        <v>0</v>
      </c>
      <c r="F28" s="3"/>
      <c r="G28" s="3"/>
      <c r="H28" s="2667"/>
      <c r="I28" s="3"/>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ht="14.4" x14ac:dyDescent="0.3">
      <c r="A29" s="3"/>
      <c r="B29" s="2607"/>
      <c r="C29" s="2598" t="s">
        <v>2054</v>
      </c>
      <c r="D29" s="2629">
        <f>E29</f>
        <v>9.0058084727509407</v>
      </c>
      <c r="E29" s="2629">
        <f>'Imported Electricity '!N78</f>
        <v>9.0058084727509407</v>
      </c>
      <c r="F29" s="3"/>
      <c r="G29" s="3"/>
      <c r="H29" s="2667"/>
      <c r="I29" s="3"/>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ht="14.4" x14ac:dyDescent="0.3">
      <c r="A30" s="3"/>
      <c r="B30" s="2602" t="s">
        <v>13</v>
      </c>
      <c r="C30" s="2603"/>
      <c r="D30" s="2627">
        <f t="shared" ref="D30:E30" si="7">D31+D35+D39+D43</f>
        <v>13.64133682192279</v>
      </c>
      <c r="E30" s="2627">
        <f t="shared" si="7"/>
        <v>13.477436084273755</v>
      </c>
      <c r="F30" s="3"/>
      <c r="G30" s="3"/>
      <c r="H30" s="2667"/>
      <c r="I30" s="3"/>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ht="14.4" x14ac:dyDescent="0.3">
      <c r="A31" s="3"/>
      <c r="B31" s="2604"/>
      <c r="C31" s="2600" t="s">
        <v>187</v>
      </c>
      <c r="D31" s="2628">
        <f>SUM(D32:D34)</f>
        <v>0.86537152783279836</v>
      </c>
      <c r="E31" s="2628">
        <f>SUM(E32:E34)</f>
        <v>0.86039783953242599</v>
      </c>
      <c r="F31" s="3"/>
      <c r="G31" s="3"/>
      <c r="H31" s="2667"/>
      <c r="I31" s="3"/>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ht="15.6" x14ac:dyDescent="0.35">
      <c r="A32" s="3"/>
      <c r="B32" s="2605"/>
      <c r="C32" s="2606" t="s">
        <v>2064</v>
      </c>
      <c r="D32" s="2629">
        <f>E32/_xlfn.XLOOKUP(C32,C$4:C$7,E$4:E$7,"ERROR")*_xlfn.XLOOKUP(C32,C$4:C$7,D$4:D$7,"ERROR")</f>
        <v>0.8543644038591901</v>
      </c>
      <c r="E32" s="2629">
        <f>Residential!C47+Commercial!D55+Industrial!F102</f>
        <v>0.8543644038591901</v>
      </c>
      <c r="F32" s="3"/>
      <c r="G32" s="3"/>
      <c r="H32" s="2667"/>
      <c r="I32" s="3"/>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ht="15.6" x14ac:dyDescent="0.35">
      <c r="A33" s="3"/>
      <c r="B33" s="2605"/>
      <c r="C33" s="2606" t="s">
        <v>2065</v>
      </c>
      <c r="D33" s="2629">
        <f t="shared" ref="D33:D34" si="8">E33/_xlfn.XLOOKUP(C33,C$4:C$7,E$4:E$7,"ERROR")*_xlfn.XLOOKUP(C33,C$4:C$7,D$4:D$7,"ERROR")</f>
        <v>7.4805696908017373E-3</v>
      </c>
      <c r="E33" s="2629">
        <f>Residential!E47+Commercial!E55+Industrial!G102</f>
        <v>2.4935232302672455E-3</v>
      </c>
      <c r="F33" s="3"/>
      <c r="G33" s="3"/>
      <c r="H33" s="2667"/>
      <c r="I33" s="3"/>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ht="15.6" x14ac:dyDescent="0.35">
      <c r="A34" s="3"/>
      <c r="B34" s="2605"/>
      <c r="C34" s="2606" t="s">
        <v>2066</v>
      </c>
      <c r="D34" s="2629">
        <f t="shared" si="8"/>
        <v>3.5265542828065324E-3</v>
      </c>
      <c r="E34" s="2629">
        <f>Residential!D47+Commercial!F55+Industrial!H102</f>
        <v>3.5399124429686783E-3</v>
      </c>
      <c r="F34" s="3"/>
      <c r="G34" s="3"/>
      <c r="H34" s="2667"/>
      <c r="I34" s="3"/>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ht="14.4" x14ac:dyDescent="0.3">
      <c r="A35" s="3"/>
      <c r="B35" s="2605"/>
      <c r="C35" s="2600" t="s">
        <v>723</v>
      </c>
      <c r="D35" s="2628">
        <f>SUM(D36:D38)</f>
        <v>9.8158284627580876</v>
      </c>
      <c r="E35" s="2628">
        <f>SUM(E36:E38)</f>
        <v>9.7685070636929208</v>
      </c>
      <c r="F35" s="3"/>
      <c r="G35" s="3"/>
      <c r="H35" s="2667"/>
      <c r="I35" s="3"/>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ht="15.6" x14ac:dyDescent="0.35">
      <c r="A36" s="3"/>
      <c r="B36" s="2605"/>
      <c r="C36" s="2606" t="s">
        <v>2064</v>
      </c>
      <c r="D36" s="2629">
        <f>E36/_xlfn.XLOOKUP(C36,C$4:C$7,E$4:E$7,"ERROR")*_xlfn.XLOOKUP(C36,C$4:C$7,D$4:D$7,"ERROR")</f>
        <v>9.738893977975291</v>
      </c>
      <c r="E36" s="2629">
        <f>Residential!C50+Residential!C51+Commercial!D58+Commercial!D61+Industrial!F110+Industrial!F122</f>
        <v>9.738893977975291</v>
      </c>
      <c r="F36" s="3"/>
      <c r="G36" s="3"/>
      <c r="H36" s="2667"/>
      <c r="I36" s="3"/>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ht="15.6" x14ac:dyDescent="0.35">
      <c r="A37" s="3"/>
      <c r="B37" s="2605"/>
      <c r="C37" s="2606" t="s">
        <v>2065</v>
      </c>
      <c r="D37" s="2629">
        <f t="shared" ref="D37:D38" si="9">E37/_xlfn.XLOOKUP(C37,C$4:C$7,E$4:E$7,"ERROR")*_xlfn.XLOOKUP(C37,C$4:C$7,D$4:D$7,"ERROR")</f>
        <v>7.1015727898230005E-2</v>
      </c>
      <c r="E37" s="2629">
        <f>Residential!E50+Residential!E51+Commercial!E58+Commercial!E61+Industrial!G110+Industrial!G122</f>
        <v>2.3671909299410002E-2</v>
      </c>
      <c r="F37" s="3"/>
      <c r="G37" s="3"/>
      <c r="H37" s="2667"/>
      <c r="I37" s="3"/>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ht="15.6" x14ac:dyDescent="0.35">
      <c r="A38" s="3"/>
      <c r="B38" s="2605"/>
      <c r="C38" s="2606" t="s">
        <v>2066</v>
      </c>
      <c r="D38" s="2629">
        <f t="shared" si="9"/>
        <v>5.9187568845673628E-3</v>
      </c>
      <c r="E38" s="2629">
        <f>Residential!D50+Residential!D51+Commercial!F58+Commercial!F61+Industrial!H110+Industrial!H122</f>
        <v>5.9411764182210275E-3</v>
      </c>
      <c r="F38" s="3"/>
      <c r="G38" s="3"/>
      <c r="H38" s="2667"/>
      <c r="I38" s="3"/>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ht="14.4" x14ac:dyDescent="0.3">
      <c r="A39" s="3"/>
      <c r="B39" s="2605"/>
      <c r="C39" s="2600" t="s">
        <v>657</v>
      </c>
      <c r="D39" s="2628">
        <f>SUM(D40:D42)</f>
        <v>2.8097938614213223</v>
      </c>
      <c r="E39" s="2628">
        <f>SUM(E40:E42)</f>
        <v>2.7941868619850725</v>
      </c>
      <c r="F39" s="3"/>
      <c r="G39" s="3"/>
      <c r="H39" s="2667"/>
      <c r="I39" s="3"/>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ht="15.6" x14ac:dyDescent="0.35">
      <c r="A40" s="3"/>
      <c r="B40" s="2605"/>
      <c r="C40" s="2606" t="s">
        <v>2064</v>
      </c>
      <c r="D40" s="2629">
        <f>E40/_xlfn.XLOOKUP(C40,C$4:C$7,E$4:E$7,"ERROR")*_xlfn.XLOOKUP(C40,C$4:C$7,D$4:D$7,"ERROR")</f>
        <v>2.7813226336267118</v>
      </c>
      <c r="E40" s="2629">
        <f>Residential!C48+Residential!C49+Commercial!D56+Commercial!D57+Commercial!D59+Commercial!D60+Industrial!F106+Industrial!F107+Industrial!F108+Industrial!F109+Industrial!F111+Industrial!F112+Industrial!F114+Industrial!F116+Industrial!F117+Industrial!F119+Industrial!F121</f>
        <v>2.7813226336267118</v>
      </c>
      <c r="F40" s="3"/>
      <c r="G40" s="3"/>
      <c r="H40" s="2667"/>
      <c r="I40" s="3"/>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ht="15.6" x14ac:dyDescent="0.35">
      <c r="A41" s="3"/>
      <c r="B41" s="2605"/>
      <c r="C41" s="2606" t="s">
        <v>2065</v>
      </c>
      <c r="D41" s="2629">
        <f t="shared" ref="D41:D42" si="10">E41/_xlfn.XLOOKUP(C41,C$4:C$7,E$4:E$7,"ERROR")*_xlfn.XLOOKUP(C41,C$4:C$7,D$4:D$7,"ERROR")</f>
        <v>2.3439090841607703E-2</v>
      </c>
      <c r="E41" s="2629">
        <f>Residential!E48+Residential!E49+Commercial!E56+Commercial!E57+Commercial!E59+Commercial!E60+Industrial!G106+Industrial!G107+Industrial!G108+Industrial!G109+Industrial!G112+Industrial!G116+Industrial!G117+Industrial!G119</f>
        <v>7.8130302805359004E-3</v>
      </c>
      <c r="F41" s="3"/>
      <c r="G41" s="3"/>
      <c r="H41" s="2667"/>
      <c r="I41" s="3"/>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ht="15.6" x14ac:dyDescent="0.35">
      <c r="A42" s="3"/>
      <c r="B42" s="2605"/>
      <c r="C42" s="2606" t="s">
        <v>2066</v>
      </c>
      <c r="D42" s="2629">
        <f t="shared" si="10"/>
        <v>5.0321369530027926E-3</v>
      </c>
      <c r="E42" s="2629">
        <f>Residential!D48+Residential!D49+Commercial!F56+Commercial!F57+Commercial!F59+Commercial!F60+Industrial!H106+Industrial!H107+Industrial!H108+Industrial!H109+Industrial!H112+Industrial!H116+Industrial!H117+Industrial!H119</f>
        <v>5.0511980778247733E-3</v>
      </c>
      <c r="F42" s="3"/>
      <c r="G42" s="3"/>
      <c r="H42" s="2667"/>
      <c r="I42" s="3"/>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ht="14.4" x14ac:dyDescent="0.3">
      <c r="A43" s="3"/>
      <c r="B43" s="2605"/>
      <c r="C43" s="2600" t="s">
        <v>2055</v>
      </c>
      <c r="D43" s="2628">
        <f>SUM(D44:D46)</f>
        <v>0.15034296991058252</v>
      </c>
      <c r="E43" s="2628">
        <f>SUM(E44:E46)</f>
        <v>5.4344319063336817E-2</v>
      </c>
      <c r="F43" s="3"/>
      <c r="G43" s="3"/>
      <c r="H43" s="2667"/>
      <c r="I43" s="3"/>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ht="15.6" x14ac:dyDescent="0.35">
      <c r="A44" s="3"/>
      <c r="B44" s="2605"/>
      <c r="C44" s="2606" t="s">
        <v>2064</v>
      </c>
      <c r="D44" s="2629">
        <f>E44/_xlfn.XLOOKUP(C44,C$4:C$7,E$4:E$7,"ERROR")*_xlfn.XLOOKUP(C44,C$4:C$7,D$4:D$7,"ERROR")</f>
        <v>0</v>
      </c>
      <c r="E44" s="2629">
        <f>Residential!C52+Commercial!D62+Industrial!F123</f>
        <v>0</v>
      </c>
      <c r="F44" s="3"/>
      <c r="G44" s="3"/>
      <c r="H44" s="2667"/>
      <c r="I44" s="3"/>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ht="15.6" x14ac:dyDescent="0.35">
      <c r="A45" s="3"/>
      <c r="B45" s="2605"/>
      <c r="C45" s="2606" t="s">
        <v>2065</v>
      </c>
      <c r="D45" s="2629">
        <f t="shared" ref="D45:D46" si="11">E45/_xlfn.XLOOKUP(C45,C$4:C$7,E$4:E$7,"ERROR")*_xlfn.XLOOKUP(C45,C$4:C$7,D$4:D$7,"ERROR")</f>
        <v>0.14403382369256185</v>
      </c>
      <c r="E45" s="2629">
        <f>Residential!E52+Commercial!E62+Industrial!G123</f>
        <v>4.8011274564187287E-2</v>
      </c>
      <c r="F45" s="3"/>
      <c r="G45" s="3"/>
      <c r="H45" s="2667"/>
      <c r="I45" s="3"/>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ht="15.6" x14ac:dyDescent="0.35">
      <c r="A46" s="3"/>
      <c r="B46" s="2607"/>
      <c r="C46" s="2606" t="s">
        <v>2066</v>
      </c>
      <c r="D46" s="2629">
        <f t="shared" si="11"/>
        <v>6.3091462180206613E-3</v>
      </c>
      <c r="E46" s="2629">
        <f>Residential!D52+Commercial!F62+Industrial!H123</f>
        <v>6.3330444991495276E-3</v>
      </c>
      <c r="F46" s="3"/>
      <c r="G46" s="3"/>
      <c r="H46" s="2667"/>
      <c r="I46" s="3"/>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ht="14.4" x14ac:dyDescent="0.3">
      <c r="A47" s="3"/>
      <c r="B47" s="2602" t="s">
        <v>14</v>
      </c>
      <c r="C47" s="2603"/>
      <c r="D47" s="2627">
        <f t="shared" ref="D47:E47" si="12">D48+D52+D56+D60+D64+D68+D72+D76</f>
        <v>29.77809114364868</v>
      </c>
      <c r="E47" s="2627">
        <f t="shared" si="12"/>
        <v>29.632230236809761</v>
      </c>
      <c r="F47" s="3"/>
      <c r="G47" s="3"/>
      <c r="H47" s="2667"/>
      <c r="I47" s="3"/>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ht="14.4" x14ac:dyDescent="0.3">
      <c r="A48" s="3"/>
      <c r="B48" s="2604"/>
      <c r="C48" s="2600" t="s">
        <v>15</v>
      </c>
      <c r="D48" s="2628">
        <f>SUM(D49:D51)</f>
        <v>18.372142001349005</v>
      </c>
      <c r="E48" s="2628">
        <f>SUM(E49:E51)</f>
        <v>18.323537149472003</v>
      </c>
      <c r="F48" s="3"/>
      <c r="G48" s="3"/>
      <c r="H48" s="2667"/>
      <c r="I48" s="3"/>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ht="15.6" x14ac:dyDescent="0.35">
      <c r="A49" s="3"/>
      <c r="B49" s="2605"/>
      <c r="C49" s="2606" t="s">
        <v>2064</v>
      </c>
      <c r="D49" s="2629">
        <f>E49/_xlfn.XLOOKUP(C49,C$4:C$7,E$4:E$7,"ERROR")*_xlfn.XLOOKUP(C49,C$4:C$7,D$4:D$7,"ERROR")</f>
        <v>18.202324482777001</v>
      </c>
      <c r="E49" s="2629">
        <f>On_Road_Transportation!E42+On_Road_Transportation!T42</f>
        <v>18.202324482777001</v>
      </c>
      <c r="F49" s="3"/>
      <c r="G49" s="3"/>
      <c r="H49" s="2667"/>
      <c r="I49" s="3"/>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ht="15.6" x14ac:dyDescent="0.35">
      <c r="A50" s="3"/>
      <c r="B50" s="2605"/>
      <c r="C50" s="2606" t="s">
        <v>2065</v>
      </c>
      <c r="D50" s="2629">
        <f t="shared" ref="D50:D51" si="13">E50/_xlfn.XLOOKUP(C50,C$4:C$7,E$4:E$7,"ERROR")*_xlfn.XLOOKUP(C50,C$4:C$7,D$4:D$7,"ERROR")</f>
        <v>7.3454793300000001E-2</v>
      </c>
      <c r="E50" s="2629">
        <f>On_Road_Transportation!C42+On_Road_Transportation!R42</f>
        <v>2.4484931099999999E-2</v>
      </c>
      <c r="F50" s="3"/>
      <c r="G50" s="3"/>
      <c r="H50" s="2667"/>
      <c r="I50" s="3"/>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ht="15.6" x14ac:dyDescent="0.35">
      <c r="A51" s="3"/>
      <c r="B51" s="2605"/>
      <c r="C51" s="2606" t="s">
        <v>2066</v>
      </c>
      <c r="D51" s="2629">
        <f t="shared" si="13"/>
        <v>9.6362725272000002E-2</v>
      </c>
      <c r="E51" s="2629">
        <f>On_Road_Transportation!D42+On_Road_Transportation!S42</f>
        <v>9.6727735595000003E-2</v>
      </c>
      <c r="F51" s="3"/>
      <c r="G51" s="3"/>
      <c r="H51" s="2667"/>
      <c r="I51" s="3"/>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ht="14.4" x14ac:dyDescent="0.3">
      <c r="A52" s="3"/>
      <c r="B52" s="2605"/>
      <c r="C52" s="2600" t="s">
        <v>16</v>
      </c>
      <c r="D52" s="2628">
        <f>SUM(D53:D55)</f>
        <v>1.0370650672798654</v>
      </c>
      <c r="E52" s="2628">
        <f>SUM(E53:E55)</f>
        <v>0.9916720299931715</v>
      </c>
      <c r="F52" s="3"/>
      <c r="G52" s="3"/>
      <c r="H52" s="2667"/>
      <c r="I52" s="3"/>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ht="15.6" x14ac:dyDescent="0.35">
      <c r="A53" s="3"/>
      <c r="B53" s="2605"/>
      <c r="C53" s="2606" t="s">
        <v>2064</v>
      </c>
      <c r="D53" s="2629">
        <f>E53/_xlfn.XLOOKUP(C53,C$4:C$7,E$4:E$7,"ERROR")*_xlfn.XLOOKUP(C53,C$4:C$7,D$4:D$7,"ERROR")</f>
        <v>0.96897551134982451</v>
      </c>
      <c r="E53" s="2629">
        <f>Non_Road_Transportation!H28</f>
        <v>0.96897551134982451</v>
      </c>
      <c r="F53" s="3"/>
      <c r="G53" s="3"/>
      <c r="H53" s="2667"/>
      <c r="I53" s="3"/>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ht="15.6" x14ac:dyDescent="0.35">
      <c r="A54" s="3"/>
      <c r="B54" s="2605"/>
      <c r="C54" s="2606" t="s">
        <v>2065</v>
      </c>
      <c r="D54" s="2629">
        <f t="shared" ref="D54:D55" si="14">E54/_xlfn.XLOOKUP(C54,C$4:C$7,E$4:E$7,"ERROR")*_xlfn.XLOOKUP(C54,C$4:C$7,D$4:D$7,"ERROR")</f>
        <v>6.8089555930040929E-2</v>
      </c>
      <c r="E54" s="2629">
        <f>Non_Road_Transportation!I28</f>
        <v>2.2696518643346979E-2</v>
      </c>
      <c r="F54" s="3"/>
      <c r="G54" s="3"/>
      <c r="H54" s="2667"/>
      <c r="I54" s="3"/>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ht="15.6" x14ac:dyDescent="0.35">
      <c r="A55" s="3"/>
      <c r="B55" s="2605"/>
      <c r="C55" s="2606" t="s">
        <v>2066</v>
      </c>
      <c r="D55" s="2629">
        <f t="shared" si="14"/>
        <v>0</v>
      </c>
      <c r="E55" s="2629">
        <v>0</v>
      </c>
      <c r="F55" s="3"/>
      <c r="G55" s="3"/>
      <c r="H55" s="2667"/>
      <c r="I55" s="3"/>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ht="14.4" x14ac:dyDescent="0.3">
      <c r="A56" s="3"/>
      <c r="B56" s="2605"/>
      <c r="C56" s="2600" t="s">
        <v>17</v>
      </c>
      <c r="D56" s="2628">
        <f>SUM(D57:D59)</f>
        <v>5.9008023264489999</v>
      </c>
      <c r="E56" s="2628">
        <f>SUM(E57:E59)</f>
        <v>5.8933715593159999</v>
      </c>
      <c r="F56" s="3"/>
      <c r="G56" s="3"/>
      <c r="H56" s="2667"/>
      <c r="I56" s="3"/>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ht="15.6" x14ac:dyDescent="0.35">
      <c r="A57" s="3"/>
      <c r="B57" s="2605"/>
      <c r="C57" s="2606" t="s">
        <v>2064</v>
      </c>
      <c r="D57" s="2629">
        <f>E57/_xlfn.XLOOKUP(C57,C$4:C$7,E$4:E$7,"ERROR")*_xlfn.XLOOKUP(C57,C$4:C$7,D$4:D$7,"ERROR")</f>
        <v>5.8861950574810002</v>
      </c>
      <c r="E57" s="2629">
        <f>On_Road_Transportation!J42</f>
        <v>5.8861950574810002</v>
      </c>
      <c r="F57" s="3"/>
      <c r="G57" s="3"/>
      <c r="H57" s="2667"/>
      <c r="I57" s="3"/>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ht="15.6" x14ac:dyDescent="0.35">
      <c r="A58" s="3"/>
      <c r="B58" s="2605"/>
      <c r="C58" s="2606" t="s">
        <v>2065</v>
      </c>
      <c r="D58" s="2629">
        <f t="shared" ref="D58:D59" si="15">E58/_xlfn.XLOOKUP(C58,C$4:C$7,E$4:E$7,"ERROR")*_xlfn.XLOOKUP(C58,C$4:C$7,D$4:D$7,"ERROR")</f>
        <v>1.116570504E-2</v>
      </c>
      <c r="E58" s="2629">
        <f>On_Road_Transportation!H42</f>
        <v>3.72190168E-3</v>
      </c>
      <c r="F58" s="3"/>
      <c r="G58" s="3"/>
      <c r="H58" s="2667"/>
      <c r="I58" s="3"/>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ht="15.6" x14ac:dyDescent="0.35">
      <c r="A59" s="3"/>
      <c r="B59" s="2605"/>
      <c r="C59" s="2606" t="s">
        <v>2066</v>
      </c>
      <c r="D59" s="2629">
        <f t="shared" si="15"/>
        <v>3.4415639279999997E-3</v>
      </c>
      <c r="E59" s="2629">
        <f>On_Road_Transportation!I42</f>
        <v>3.4546001549999998E-3</v>
      </c>
      <c r="F59" s="3"/>
      <c r="G59" s="3"/>
      <c r="H59" s="2667"/>
      <c r="I59" s="3"/>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ht="14.4" x14ac:dyDescent="0.3">
      <c r="A60" s="3"/>
      <c r="B60" s="2605"/>
      <c r="C60" s="2600" t="s">
        <v>18</v>
      </c>
      <c r="D60" s="2628">
        <f>SUM(D61:D63)</f>
        <v>1.028150018146901</v>
      </c>
      <c r="E60" s="2628">
        <f>SUM(E61:E63)</f>
        <v>1.0271519141425169</v>
      </c>
      <c r="F60" s="3"/>
      <c r="G60" s="3"/>
      <c r="H60" s="2667"/>
      <c r="I60" s="3"/>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ht="15.6" x14ac:dyDescent="0.35">
      <c r="A61" s="3"/>
      <c r="B61" s="2605"/>
      <c r="C61" s="2606" t="s">
        <v>2064</v>
      </c>
      <c r="D61" s="2629">
        <f>E61/_xlfn.XLOOKUP(C61,C$4:C$7,E$4:E$7,"ERROR")*_xlfn.XLOOKUP(C61,C$4:C$7,D$4:D$7,"ERROR")</f>
        <v>1.026652862140325</v>
      </c>
      <c r="E61" s="2629">
        <f>Non_Road_Transportation!H17</f>
        <v>1.026652862140325</v>
      </c>
      <c r="F61" s="3"/>
      <c r="G61" s="3"/>
      <c r="H61" s="2667"/>
      <c r="I61" s="3"/>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ht="15.6" x14ac:dyDescent="0.35">
      <c r="A62" s="3"/>
      <c r="B62" s="2605"/>
      <c r="C62" s="2606" t="s">
        <v>2065</v>
      </c>
      <c r="D62" s="2629">
        <f t="shared" ref="D62:D63" si="16">E62/_xlfn.XLOOKUP(C62,C$4:C$7,E$4:E$7,"ERROR")*_xlfn.XLOOKUP(C62,C$4:C$7,D$4:D$7,"ERROR")</f>
        <v>1.4971560065759339E-3</v>
      </c>
      <c r="E62" s="2629">
        <f>Non_Road_Transportation!I17</f>
        <v>4.9905200219197798E-4</v>
      </c>
      <c r="F62" s="3"/>
      <c r="G62" s="3"/>
      <c r="H62" s="2667"/>
      <c r="I62" s="3"/>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ht="15.6" x14ac:dyDescent="0.35">
      <c r="A63" s="3"/>
      <c r="B63" s="2605"/>
      <c r="C63" s="2606" t="s">
        <v>2066</v>
      </c>
      <c r="D63" s="2629">
        <f t="shared" si="16"/>
        <v>0</v>
      </c>
      <c r="E63" s="2629">
        <v>0</v>
      </c>
      <c r="F63" s="3"/>
      <c r="G63" s="1"/>
      <c r="H63" s="2667"/>
      <c r="I63" s="3"/>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ht="14.4" x14ac:dyDescent="0.3">
      <c r="A64" s="3"/>
      <c r="B64" s="2605"/>
      <c r="C64" s="2600" t="s">
        <v>19</v>
      </c>
      <c r="D64" s="2628">
        <f>SUM(D65:D67)</f>
        <v>0.31238924996139161</v>
      </c>
      <c r="E64" s="2628">
        <f>SUM(E65:E67)</f>
        <v>0.31104103036587161</v>
      </c>
      <c r="F64" s="3"/>
      <c r="G64" s="1"/>
      <c r="H64" s="2667"/>
      <c r="I64" s="3"/>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ht="15.6" x14ac:dyDescent="0.35">
      <c r="A65" s="3"/>
      <c r="B65" s="2605"/>
      <c r="C65" s="2606" t="s">
        <v>2064</v>
      </c>
      <c r="D65" s="2629">
        <f>E65/_xlfn.XLOOKUP(C65,C$4:C$7,E$4:E$7,"ERROR")*_xlfn.XLOOKUP(C65,C$4:C$7,D$4:D$7,"ERROR")</f>
        <v>0.30830972342667162</v>
      </c>
      <c r="E65" s="2629">
        <f>Others_Transportation!C60</f>
        <v>0.30830972342667162</v>
      </c>
      <c r="F65" s="1"/>
      <c r="G65" s="1"/>
      <c r="H65" s="2667"/>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ht="15.6" x14ac:dyDescent="0.35">
      <c r="A66" s="3"/>
      <c r="B66" s="2605"/>
      <c r="C66" s="2606" t="s">
        <v>2065</v>
      </c>
      <c r="D66" s="2629">
        <f t="shared" ref="D66:D67" si="17">E66/_xlfn.XLOOKUP(C66,C$4:C$7,E$4:E$7,"ERROR")*_xlfn.XLOOKUP(C66,C$4:C$7,D$4:D$7,"ERROR")</f>
        <v>2.033951976E-3</v>
      </c>
      <c r="E66" s="2629">
        <f>Others_Transportation!E60</f>
        <v>6.77983992E-4</v>
      </c>
      <c r="F66" s="1"/>
      <c r="G66" s="1"/>
      <c r="H66" s="2667"/>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ht="15.6" x14ac:dyDescent="0.35">
      <c r="A67" s="3"/>
      <c r="B67" s="2605"/>
      <c r="C67" s="2606" t="s">
        <v>2066</v>
      </c>
      <c r="D67" s="2629">
        <f t="shared" si="17"/>
        <v>2.04557455872E-3</v>
      </c>
      <c r="E67" s="2629">
        <f>Others_Transportation!G60</f>
        <v>2.0533229472000001E-3</v>
      </c>
      <c r="F67" s="1"/>
      <c r="G67" s="1"/>
      <c r="H67" s="2667"/>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ht="14.4" x14ac:dyDescent="0.3">
      <c r="A68" s="3"/>
      <c r="B68" s="2605"/>
      <c r="C68" s="2600" t="s">
        <v>20</v>
      </c>
      <c r="D68" s="2628">
        <f>SUM(D69:D71)</f>
        <v>0.26708482280157919</v>
      </c>
      <c r="E68" s="2628">
        <f>SUM(E69:E71)</f>
        <v>0.26610714619495063</v>
      </c>
      <c r="F68" s="1"/>
      <c r="G68" s="1"/>
      <c r="H68" s="2667"/>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ht="15.6" x14ac:dyDescent="0.35">
      <c r="A69" s="3"/>
      <c r="B69" s="2605"/>
      <c r="C69" s="2606" t="s">
        <v>2064</v>
      </c>
      <c r="D69" s="2629">
        <f>E69/_xlfn.XLOOKUP(C69,C$4:C$7,E$4:E$7,"ERROR")*_xlfn.XLOOKUP(C69,C$4:C$7,D$4:D$7,"ERROR")</f>
        <v>0.26419391751107635</v>
      </c>
      <c r="E69" s="2629">
        <f>Others_Transportation!C61+Others_Transportation!C62+Non_Road_Transportation!H19</f>
        <v>0.26419391751107635</v>
      </c>
      <c r="F69" s="1"/>
      <c r="G69" s="1"/>
      <c r="H69" s="2667"/>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ht="15.6" x14ac:dyDescent="0.35">
      <c r="A70" s="3"/>
      <c r="B70" s="2605"/>
      <c r="C70" s="2606" t="s">
        <v>2065</v>
      </c>
      <c r="D70" s="2629">
        <f t="shared" ref="D70:D71" si="18">E70/_xlfn.XLOOKUP(C70,C$4:C$7,E$4:E$7,"ERROR")*_xlfn.XLOOKUP(C70,C$4:C$7,D$4:D$7,"ERROR")</f>
        <v>1.4745623132228561E-3</v>
      </c>
      <c r="E70" s="2629">
        <f>Others_Transportation!E61+Others_Transportation!E62+Non_Road_Transportation!I19</f>
        <v>4.9152077107428543E-4</v>
      </c>
      <c r="F70" s="1"/>
      <c r="G70" s="1"/>
      <c r="H70" s="2667"/>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ht="15.6" x14ac:dyDescent="0.35">
      <c r="A71" s="3"/>
      <c r="B71" s="2605"/>
      <c r="C71" s="2606" t="s">
        <v>2066</v>
      </c>
      <c r="D71" s="2629">
        <f t="shared" si="18"/>
        <v>1.4163429772800001E-3</v>
      </c>
      <c r="E71" s="2629">
        <f>Others_Transportation!G61+Others_Transportation!G62</f>
        <v>1.4217079128E-3</v>
      </c>
      <c r="F71" s="1"/>
      <c r="G71" s="1"/>
      <c r="H71" s="2667"/>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ht="14.4" x14ac:dyDescent="0.3">
      <c r="A72" s="3"/>
      <c r="B72" s="2605"/>
      <c r="C72" s="2600" t="s">
        <v>21</v>
      </c>
      <c r="D72" s="2628">
        <f>SUM(D73:D75)</f>
        <v>0.41310315673135795</v>
      </c>
      <c r="E72" s="2628">
        <f>SUM(E73:E75)</f>
        <v>0.3762218716799865</v>
      </c>
      <c r="F72" s="1"/>
      <c r="G72" s="1"/>
      <c r="H72" s="2667"/>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ht="15.6" x14ac:dyDescent="0.35">
      <c r="A73" s="3"/>
      <c r="B73" s="2605"/>
      <c r="C73" s="2606" t="s">
        <v>2064</v>
      </c>
      <c r="D73" s="2629">
        <f>E73/_xlfn.XLOOKUP(C73,C$4:C$7,E$4:E$7,"ERROR")*_xlfn.XLOOKUP(C73,C$4:C$7,D$4:D$7,"ERROR")</f>
        <v>0.3561195222678008</v>
      </c>
      <c r="E73" s="2629">
        <f>Others_Transportation!C63+ Non_Road_Transportation!H23+ Non_Road_Transportation!H22+On_Road_Transportation!O42</f>
        <v>0.3561195222678008</v>
      </c>
      <c r="F73" s="1"/>
      <c r="G73" s="1"/>
      <c r="H73" s="2667"/>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ht="15.6" x14ac:dyDescent="0.35">
      <c r="A74" s="3"/>
      <c r="B74" s="2605"/>
      <c r="C74" s="2606" t="s">
        <v>2065</v>
      </c>
      <c r="D74" s="2629">
        <f t="shared" ref="D74:D75" si="19">E74/_xlfn.XLOOKUP(C74,C$4:C$7,E$4:E$7,"ERROR")*_xlfn.XLOOKUP(C74,C$4:C$7,D$4:D$7,"ERROR")</f>
        <v>5.5331315751557121E-2</v>
      </c>
      <c r="E74" s="2629">
        <f>Others_Transportation!E63+Non_Road_Transportation!I22+Non_Road_Transportation!I23+On_Road_Transportation!M42</f>
        <v>1.8443771917185707E-2</v>
      </c>
      <c r="F74" s="1"/>
      <c r="G74" s="1"/>
      <c r="H74" s="2667"/>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ht="15.6" x14ac:dyDescent="0.35">
      <c r="A75" s="3"/>
      <c r="B75" s="2605"/>
      <c r="C75" s="2606" t="s">
        <v>2066</v>
      </c>
      <c r="D75" s="2629">
        <f t="shared" si="19"/>
        <v>1.652318712E-3</v>
      </c>
      <c r="E75" s="2629">
        <f>Others_Transportation!G63+On_Road_Transportation!N42</f>
        <v>1.658577495E-3</v>
      </c>
      <c r="F75" s="1"/>
      <c r="G75" s="1"/>
      <c r="H75" s="2667"/>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ht="14.4" x14ac:dyDescent="0.3">
      <c r="A76" s="3"/>
      <c r="B76" s="2605"/>
      <c r="C76" s="2600" t="s">
        <v>22</v>
      </c>
      <c r="D76" s="2628">
        <f>SUM(D77:D79)</f>
        <v>2.4473545009295798</v>
      </c>
      <c r="E76" s="2628">
        <f>SUM(E77:E79)</f>
        <v>2.4431275356452598</v>
      </c>
      <c r="F76" s="1"/>
      <c r="G76" s="1"/>
      <c r="H76" s="2667"/>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ht="15.6" x14ac:dyDescent="0.35">
      <c r="A77" s="3"/>
      <c r="B77" s="2605"/>
      <c r="C77" s="2606" t="s">
        <v>2064</v>
      </c>
      <c r="D77" s="2629">
        <f>E77/_xlfn.XLOOKUP(C77,C$4:C$7,E$4:E$7,"ERROR")*_xlfn.XLOOKUP(C77,C$4:C$7,D$4:D$7,"ERROR")</f>
        <v>2.4212904766434997</v>
      </c>
      <c r="E77" s="2629">
        <f>Others_Transportation!C58+Others_Transportation!C59</f>
        <v>2.4212904766434997</v>
      </c>
      <c r="F77" s="1"/>
      <c r="G77" s="1"/>
      <c r="H77" s="2667"/>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ht="15.6" x14ac:dyDescent="0.35">
      <c r="A78" s="3"/>
      <c r="B78" s="2605"/>
      <c r="C78" s="2606" t="s">
        <v>2065</v>
      </c>
      <c r="D78" s="2629">
        <f t="shared" ref="D78:D79" si="20">E78/_xlfn.XLOOKUP(C78,C$4:C$7,E$4:E$7,"ERROR")*_xlfn.XLOOKUP(C78,C$4:C$7,D$4:D$7,"ERROR")</f>
        <v>6.4518805612800009E-3</v>
      </c>
      <c r="E78" s="2629">
        <f>Others_Transportation!E58+Others_Transportation!E59</f>
        <v>2.1506268537600003E-3</v>
      </c>
      <c r="F78" s="1"/>
      <c r="G78" s="1"/>
      <c r="H78" s="2667"/>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ht="15.6" x14ac:dyDescent="0.35">
      <c r="A79" s="3"/>
      <c r="B79" s="2607"/>
      <c r="C79" s="2606" t="s">
        <v>2066</v>
      </c>
      <c r="D79" s="2629">
        <f t="shared" si="20"/>
        <v>1.96121437248E-2</v>
      </c>
      <c r="E79" s="2629">
        <f>Others_Transportation!G58+Others_Transportation!G59</f>
        <v>1.9686432148000001E-2</v>
      </c>
      <c r="F79" s="1"/>
      <c r="G79" s="1"/>
      <c r="H79" s="2667"/>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ht="14.4" x14ac:dyDescent="0.3">
      <c r="A80" s="3"/>
      <c r="B80" s="2602" t="s">
        <v>23</v>
      </c>
      <c r="C80" s="2603"/>
      <c r="D80" s="2627">
        <f t="shared" ref="D80:E80" si="21">D81+D85+D89</f>
        <v>4.5896545845095726</v>
      </c>
      <c r="E80" s="2627">
        <f t="shared" si="21"/>
        <v>2.3753578549620258</v>
      </c>
      <c r="F80" s="1"/>
      <c r="G80" s="1"/>
      <c r="H80" s="2667"/>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ht="14.4" x14ac:dyDescent="0.3">
      <c r="A81" s="3"/>
      <c r="B81" s="2604"/>
      <c r="C81" s="2600" t="s">
        <v>2056</v>
      </c>
      <c r="D81" s="2628">
        <f>SUM(D82:D84)</f>
        <v>4.3702203580712364</v>
      </c>
      <c r="E81" s="2628">
        <f>SUM(E82:E84)</f>
        <v>2.302213112815914</v>
      </c>
      <c r="F81" s="1"/>
      <c r="G81" s="1"/>
      <c r="H81" s="2667"/>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ht="15.6" x14ac:dyDescent="0.35">
      <c r="A82" s="3"/>
      <c r="B82" s="2605"/>
      <c r="C82" s="2606" t="s">
        <v>2064</v>
      </c>
      <c r="D82" s="2629">
        <f>E82/_xlfn.XLOOKUP(C82,C$4:C$7,E$4:E$7,"ERROR")*_xlfn.XLOOKUP(C82,C$4:C$7,D$4:D$7,"ERROR")</f>
        <v>1.267544931795072</v>
      </c>
      <c r="E82" s="2629">
        <f>'Natural Gas and Oil'!H71</f>
        <v>1.267544931795072</v>
      </c>
      <c r="F82" s="1"/>
      <c r="G82" s="1"/>
      <c r="H82" s="2667"/>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ht="15.6" x14ac:dyDescent="0.35">
      <c r="A83" s="3"/>
      <c r="B83" s="2605"/>
      <c r="C83" s="2606" t="s">
        <v>2065</v>
      </c>
      <c r="D83" s="2629">
        <f t="shared" ref="D83:D84" si="22">E83/_xlfn.XLOOKUP(C83,C$4:C$7,E$4:E$7,"ERROR")*_xlfn.XLOOKUP(C83,C$4:C$7,D$4:D$7,"ERROR")</f>
        <v>3.1020146224501763</v>
      </c>
      <c r="E83" s="2629">
        <f>'Natural Gas and Oil'!J71+'Natural Gas and Oil'!F52+'Natural Gas and Oil'!F35+'Natural Gas and Oil'!F12</f>
        <v>1.0340048741500587</v>
      </c>
      <c r="F83" s="1"/>
      <c r="G83" s="1"/>
      <c r="H83" s="2667"/>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ht="15.6" x14ac:dyDescent="0.35">
      <c r="A84" s="3"/>
      <c r="B84" s="2605"/>
      <c r="C84" s="2606" t="s">
        <v>2066</v>
      </c>
      <c r="D84" s="2629">
        <f t="shared" si="22"/>
        <v>6.6080382598803335E-4</v>
      </c>
      <c r="E84" s="2629">
        <f>'Natural Gas and Oil'!I71</f>
        <v>6.6330687078344254E-4</v>
      </c>
      <c r="F84" s="1"/>
      <c r="G84" s="1"/>
      <c r="H84" s="2667"/>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ht="14.4" x14ac:dyDescent="0.3">
      <c r="A85" s="3"/>
      <c r="B85" s="2605"/>
      <c r="C85" s="2600" t="s">
        <v>2057</v>
      </c>
      <c r="D85" s="2628">
        <f>SUM(D86:D88)</f>
        <v>0</v>
      </c>
      <c r="E85" s="2628">
        <f>SUM(E86:E88)</f>
        <v>0</v>
      </c>
      <c r="F85" s="1"/>
      <c r="G85" s="1"/>
      <c r="H85" s="2667"/>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ht="15.6" x14ac:dyDescent="0.35">
      <c r="A86" s="3"/>
      <c r="B86" s="2605"/>
      <c r="C86" s="2606" t="s">
        <v>2064</v>
      </c>
      <c r="D86" s="2629">
        <f>E86/_xlfn.XLOOKUP(C86,C$4:C$7,E$4:E$7,"ERROR")*_xlfn.XLOOKUP(C86,C$4:C$7,D$4:D$7,"ERROR")</f>
        <v>0</v>
      </c>
      <c r="E86" s="2629">
        <v>0</v>
      </c>
      <c r="F86" s="1"/>
      <c r="G86" s="1"/>
      <c r="H86" s="2667"/>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ht="15.6" x14ac:dyDescent="0.35">
      <c r="A87" s="3"/>
      <c r="B87" s="2605"/>
      <c r="C87" s="2606" t="s">
        <v>2065</v>
      </c>
      <c r="D87" s="2629">
        <f t="shared" ref="D87:D88" si="23">E87/_xlfn.XLOOKUP(C87,C$4:C$7,E$4:E$7,"ERROR")*_xlfn.XLOOKUP(C87,C$4:C$7,D$4:D$7,"ERROR")</f>
        <v>0</v>
      </c>
      <c r="E87" s="2629">
        <v>0</v>
      </c>
      <c r="F87" s="1"/>
      <c r="G87" s="1"/>
      <c r="H87" s="2667"/>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ht="15.6" x14ac:dyDescent="0.35">
      <c r="A88" s="3"/>
      <c r="B88" s="2605"/>
      <c r="C88" s="2606" t="s">
        <v>2066</v>
      </c>
      <c r="D88" s="2629">
        <f t="shared" si="23"/>
        <v>0</v>
      </c>
      <c r="E88" s="2629">
        <v>0</v>
      </c>
      <c r="F88" s="1"/>
      <c r="G88" s="1"/>
      <c r="H88" s="2667"/>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ht="14.4" x14ac:dyDescent="0.3">
      <c r="A89" s="3"/>
      <c r="B89" s="2605"/>
      <c r="C89" s="2600" t="s">
        <v>1376</v>
      </c>
      <c r="D89" s="2628">
        <f>SUM(D90:D92)</f>
        <v>0.21943422643833599</v>
      </c>
      <c r="E89" s="2628">
        <f>SUM(E90:E92)</f>
        <v>7.3144742146111996E-2</v>
      </c>
      <c r="F89" s="1"/>
      <c r="G89" s="1"/>
      <c r="H89" s="2667"/>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ht="15.6" x14ac:dyDescent="0.35">
      <c r="A90" s="3"/>
      <c r="B90" s="2605"/>
      <c r="C90" s="2606" t="s">
        <v>2064</v>
      </c>
      <c r="D90" s="2629">
        <f>E90/_xlfn.XLOOKUP(C90,C$4:C$7,E$4:E$7,"ERROR")*_xlfn.XLOOKUP(C90,C$4:C$7,D$4:D$7,"ERROR")</f>
        <v>0</v>
      </c>
      <c r="E90" s="2629">
        <v>0</v>
      </c>
      <c r="F90" s="1"/>
      <c r="G90" s="1"/>
      <c r="H90" s="2667"/>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ht="15.6" x14ac:dyDescent="0.35">
      <c r="A91" s="3"/>
      <c r="B91" s="2605"/>
      <c r="C91" s="2606" t="s">
        <v>2065</v>
      </c>
      <c r="D91" s="2629">
        <f t="shared" ref="D91:D92" si="24">E91/_xlfn.XLOOKUP(C91,C$4:C$7,E$4:E$7,"ERROR")*_xlfn.XLOOKUP(C91,C$4:C$7,D$4:D$7,"ERROR")</f>
        <v>0.21943422643833599</v>
      </c>
      <c r="E91" s="2629">
        <f>Mining!C39+Mining!C40</f>
        <v>7.3144742146111996E-2</v>
      </c>
      <c r="F91" s="1"/>
      <c r="G91" s="1"/>
      <c r="H91" s="2667"/>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ht="15.6" x14ac:dyDescent="0.35">
      <c r="A92" s="3"/>
      <c r="B92" s="2607"/>
      <c r="C92" s="2606" t="s">
        <v>2066</v>
      </c>
      <c r="D92" s="2629">
        <f t="shared" si="24"/>
        <v>0</v>
      </c>
      <c r="E92" s="2629">
        <v>0</v>
      </c>
      <c r="F92" s="1"/>
      <c r="G92" s="1"/>
      <c r="H92" s="2667"/>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ht="14.4" x14ac:dyDescent="0.3">
      <c r="A93" s="3"/>
      <c r="B93" s="2602" t="s">
        <v>24</v>
      </c>
      <c r="C93" s="2608"/>
      <c r="D93" s="2630">
        <f t="shared" ref="D93:E93" si="25">D94+D98+D102+D106+D110+D114+D118+D122+D126</f>
        <v>7.2674275649901112</v>
      </c>
      <c r="E93" s="2630">
        <f t="shared" si="25"/>
        <v>4.5156777286369758</v>
      </c>
      <c r="F93" s="1"/>
      <c r="G93" s="1"/>
      <c r="H93" s="2667"/>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ht="14.4" x14ac:dyDescent="0.3">
      <c r="A94" s="3"/>
      <c r="B94" s="2604"/>
      <c r="C94" s="2600" t="s">
        <v>1478</v>
      </c>
      <c r="D94" s="2628">
        <f>SUM(D95:D97)</f>
        <v>1.8006066449214977</v>
      </c>
      <c r="E94" s="2628">
        <f>SUM(E95:E97)</f>
        <v>1.8006066449214977</v>
      </c>
      <c r="F94" s="1"/>
      <c r="G94" s="1"/>
      <c r="H94" s="2667"/>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ht="15.6" x14ac:dyDescent="0.35">
      <c r="A95" s="3"/>
      <c r="B95" s="2605"/>
      <c r="C95" s="2606" t="s">
        <v>2064</v>
      </c>
      <c r="D95" s="2629">
        <f>E95/_xlfn.XLOOKUP(C95,C$4:C$7,E$4:E$7,"ERROR")*_xlfn.XLOOKUP(C95,C$4:C$7,D$4:D$7,"ERROR")</f>
        <v>1.8006066449214977</v>
      </c>
      <c r="E95" s="2629">
        <f>Cement!G86</f>
        <v>1.8006066449214977</v>
      </c>
      <c r="F95" s="1"/>
      <c r="G95" s="1"/>
      <c r="H95" s="2667"/>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ht="15.6" x14ac:dyDescent="0.35">
      <c r="A96" s="3"/>
      <c r="B96" s="2605"/>
      <c r="C96" s="2606" t="s">
        <v>2065</v>
      </c>
      <c r="D96" s="2629">
        <f t="shared" ref="D96:D97" si="26">E96/_xlfn.XLOOKUP(C96,C$4:C$7,E$4:E$7,"ERROR")*_xlfn.XLOOKUP(C96,C$4:C$7,D$4:D$7,"ERROR")</f>
        <v>0</v>
      </c>
      <c r="E96" s="2629">
        <v>0</v>
      </c>
      <c r="F96" s="1"/>
      <c r="G96" s="1"/>
      <c r="H96" s="2667"/>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ht="15.6" x14ac:dyDescent="0.35">
      <c r="A97" s="3"/>
      <c r="B97" s="2605"/>
      <c r="C97" s="2606" t="s">
        <v>2066</v>
      </c>
      <c r="D97" s="2629">
        <f t="shared" si="26"/>
        <v>0</v>
      </c>
      <c r="E97" s="2629">
        <v>0</v>
      </c>
      <c r="F97" s="1"/>
      <c r="G97" s="1"/>
      <c r="H97" s="2667"/>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ht="14.4" x14ac:dyDescent="0.3">
      <c r="A98" s="3"/>
      <c r="B98" s="2605"/>
      <c r="C98" s="2600" t="s">
        <v>2058</v>
      </c>
      <c r="D98" s="2628">
        <f>SUM(D99:D101)</f>
        <v>0.22230251999999998</v>
      </c>
      <c r="E98" s="2628">
        <f>SUM(E99:E101)</f>
        <v>0.22230251999999998</v>
      </c>
      <c r="F98" s="1"/>
      <c r="G98" s="1"/>
      <c r="H98" s="2667"/>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ht="15.6" x14ac:dyDescent="0.35">
      <c r="A99" s="3"/>
      <c r="B99" s="2605"/>
      <c r="C99" s="2606" t="s">
        <v>2064</v>
      </c>
      <c r="D99" s="2629">
        <f>E99/_xlfn.XLOOKUP(C99,C$4:C$7,E$4:E$7,"ERROR")*_xlfn.XLOOKUP(C99,C$4:C$7,D$4:D$7,"ERROR")</f>
        <v>0.22230251999999998</v>
      </c>
      <c r="E99" s="2629">
        <f>'LimeT&amp;DSodaODS'!D45/1000000</f>
        <v>0.22230251999999998</v>
      </c>
      <c r="F99" s="1"/>
      <c r="G99" s="1"/>
      <c r="H99" s="2667"/>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ht="15.6" x14ac:dyDescent="0.35">
      <c r="A100" s="3"/>
      <c r="B100" s="2605"/>
      <c r="C100" s="2606" t="s">
        <v>2065</v>
      </c>
      <c r="D100" s="2629">
        <f t="shared" ref="D100:D101" si="27">E100/_xlfn.XLOOKUP(C100,C$4:C$7,E$4:E$7,"ERROR")*_xlfn.XLOOKUP(C100,C$4:C$7,D$4:D$7,"ERROR")</f>
        <v>0</v>
      </c>
      <c r="E100" s="2629">
        <v>0</v>
      </c>
      <c r="F100" s="1"/>
      <c r="G100" s="1"/>
      <c r="H100" s="2667"/>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15.6" x14ac:dyDescent="0.35">
      <c r="A101" s="3"/>
      <c r="B101" s="2605"/>
      <c r="C101" s="2606" t="s">
        <v>2066</v>
      </c>
      <c r="D101" s="2629">
        <f t="shared" si="27"/>
        <v>0</v>
      </c>
      <c r="E101" s="2629">
        <v>0</v>
      </c>
      <c r="F101" s="1"/>
      <c r="G101" s="1"/>
      <c r="H101" s="2667"/>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14.4" x14ac:dyDescent="0.3">
      <c r="A102" s="3"/>
      <c r="B102" s="2605"/>
      <c r="C102" s="2600" t="s">
        <v>2059</v>
      </c>
      <c r="D102" s="2628">
        <f>SUM(D103:D105)</f>
        <v>3.6055199999999996E-2</v>
      </c>
      <c r="E102" s="2628">
        <f>SUM(E103:E105)</f>
        <v>3.6055199999999996E-2</v>
      </c>
      <c r="F102" s="1"/>
      <c r="G102" s="1"/>
      <c r="H102" s="2667"/>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15.6" x14ac:dyDescent="0.35">
      <c r="A103" s="3"/>
      <c r="B103" s="2605"/>
      <c r="C103" s="2606" t="s">
        <v>2064</v>
      </c>
      <c r="D103" s="2629">
        <f>E103/_xlfn.XLOOKUP(C103,C$4:C$7,E$4:E$7,"ERROR")*_xlfn.XLOOKUP(C103,C$4:C$7,D$4:D$7,"ERROR")</f>
        <v>3.6055199999999996E-2</v>
      </c>
      <c r="E103" s="2629">
        <f>'LimeT&amp;DSodaODS'!D46/1000000</f>
        <v>3.6055199999999996E-2</v>
      </c>
      <c r="F103" s="1"/>
      <c r="G103" s="1"/>
      <c r="H103" s="2667"/>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15.6" x14ac:dyDescent="0.35">
      <c r="A104" s="3"/>
      <c r="B104" s="2605"/>
      <c r="C104" s="2606" t="s">
        <v>2065</v>
      </c>
      <c r="D104" s="2629">
        <f t="shared" ref="D104:D105" si="28">E104/_xlfn.XLOOKUP(C104,C$4:C$7,E$4:E$7,"ERROR")*_xlfn.XLOOKUP(C104,C$4:C$7,D$4:D$7,"ERROR")</f>
        <v>0</v>
      </c>
      <c r="E104" s="2629">
        <v>0</v>
      </c>
      <c r="F104" s="1"/>
      <c r="G104" s="1"/>
      <c r="H104" s="2667"/>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t="15.6" x14ac:dyDescent="0.35">
      <c r="A105" s="3"/>
      <c r="B105" s="2605"/>
      <c r="C105" s="2606" t="s">
        <v>2066</v>
      </c>
      <c r="D105" s="2629">
        <f t="shared" si="28"/>
        <v>0</v>
      </c>
      <c r="E105" s="2629">
        <v>0</v>
      </c>
      <c r="F105" s="1"/>
      <c r="G105" s="1"/>
      <c r="H105" s="2667"/>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14.4" x14ac:dyDescent="0.3">
      <c r="A106" s="3"/>
      <c r="B106" s="2605"/>
      <c r="C106" s="2600" t="s">
        <v>2060</v>
      </c>
      <c r="D106" s="2628">
        <f>SUM(D107:D109)</f>
        <v>0</v>
      </c>
      <c r="E106" s="2628">
        <f>SUM(E107:E109)</f>
        <v>0</v>
      </c>
      <c r="F106" s="1"/>
      <c r="G106" s="1"/>
      <c r="H106" s="2667"/>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15.6" x14ac:dyDescent="0.35">
      <c r="A107" s="3"/>
      <c r="B107" s="2605"/>
      <c r="C107" s="2606" t="s">
        <v>2064</v>
      </c>
      <c r="D107" s="2629">
        <f>E107/_xlfn.XLOOKUP(C107,C$4:C$7,E$4:E$7,"ERROR")*_xlfn.XLOOKUP(C107,C$4:C$7,D$4:D$7,"ERROR")</f>
        <v>0</v>
      </c>
      <c r="E107" s="2629">
        <f>'Iron And Steel'!F18/1000000</f>
        <v>0</v>
      </c>
      <c r="F107" s="1"/>
      <c r="G107" s="1"/>
      <c r="H107" s="2667"/>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15.6" x14ac:dyDescent="0.35">
      <c r="A108" s="3"/>
      <c r="B108" s="2605"/>
      <c r="C108" s="2606" t="s">
        <v>2065</v>
      </c>
      <c r="D108" s="2629">
        <f t="shared" ref="D108:D109" si="29">E108/_xlfn.XLOOKUP(C108,C$4:C$7,E$4:E$7,"ERROR")*_xlfn.XLOOKUP(C108,C$4:C$7,D$4:D$7,"ERROR")</f>
        <v>0</v>
      </c>
      <c r="E108" s="2629">
        <v>0</v>
      </c>
      <c r="F108" s="1"/>
      <c r="G108" s="1"/>
      <c r="H108" s="2667"/>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15.6" x14ac:dyDescent="0.35">
      <c r="A109" s="3"/>
      <c r="B109" s="2605"/>
      <c r="C109" s="2606" t="s">
        <v>2066</v>
      </c>
      <c r="D109" s="2629">
        <f t="shared" si="29"/>
        <v>0</v>
      </c>
      <c r="E109" s="2629">
        <v>0</v>
      </c>
      <c r="F109" s="1"/>
      <c r="G109" s="1"/>
      <c r="H109" s="2667"/>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14.4" x14ac:dyDescent="0.3">
      <c r="A110" s="3"/>
      <c r="B110" s="2605"/>
      <c r="C110" s="2600" t="s">
        <v>1487</v>
      </c>
      <c r="D110" s="2628">
        <f>SUM(D111:D113)</f>
        <v>5.1623539800686133</v>
      </c>
      <c r="E110" s="2628">
        <f>SUM(E111:E113)</f>
        <v>2.3951241437154782</v>
      </c>
      <c r="F110" s="1"/>
      <c r="G110" s="1"/>
      <c r="H110" s="2667"/>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15.6" x14ac:dyDescent="0.35">
      <c r="A111" s="3"/>
      <c r="B111" s="2605"/>
      <c r="C111" s="2606" t="s">
        <v>2064</v>
      </c>
      <c r="D111" s="2629">
        <f>E111/_xlfn.XLOOKUP(C111,C$4:C$7,E$4:E$7,"ERROR")*_xlfn.XLOOKUP(C111,C$4:C$7,D$4:D$7,"ERROR")</f>
        <v>0</v>
      </c>
      <c r="E111" s="2629">
        <v>0</v>
      </c>
      <c r="F111" s="1"/>
      <c r="G111" s="1"/>
      <c r="H111" s="2667"/>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15.6" x14ac:dyDescent="0.35">
      <c r="A112" s="3"/>
      <c r="B112" s="2605"/>
      <c r="C112" s="2606" t="s">
        <v>2065</v>
      </c>
      <c r="D112" s="2629">
        <f t="shared" ref="D112" si="30">E112/_xlfn.XLOOKUP(C112,C$4:C$7,E$4:E$7,"ERROR")*_xlfn.XLOOKUP(C112,C$4:C$7,D$4:D$7,"ERROR")</f>
        <v>0</v>
      </c>
      <c r="E112" s="2629">
        <v>0</v>
      </c>
      <c r="F112" s="1"/>
      <c r="G112" s="1"/>
      <c r="H112" s="2667"/>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15.6" x14ac:dyDescent="0.35">
      <c r="A113" s="3"/>
      <c r="B113" s="2605"/>
      <c r="C113" s="2606" t="s">
        <v>2067</v>
      </c>
      <c r="D113" s="2629">
        <f>'LimeT&amp;DSodaODS'!AD25</f>
        <v>5.1623539800686133</v>
      </c>
      <c r="E113" s="2629">
        <f>'LimeT&amp;DSodaODS'!D53/1000000</f>
        <v>2.3951241437154782</v>
      </c>
      <c r="F113" s="1"/>
      <c r="G113" s="1"/>
      <c r="H113" s="2667"/>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14.4" x14ac:dyDescent="0.3">
      <c r="A114" s="3"/>
      <c r="B114" s="2605"/>
      <c r="C114" s="2600" t="s">
        <v>2061</v>
      </c>
      <c r="D114" s="2628">
        <f>SUM(D115:D117)</f>
        <v>4.5150000000000003E-2</v>
      </c>
      <c r="E114" s="2628">
        <f>SUM(E115:E117)</f>
        <v>6.0630000000000003E-2</v>
      </c>
      <c r="F114" s="1"/>
      <c r="G114" s="1"/>
      <c r="H114" s="2667"/>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15.6" x14ac:dyDescent="0.35">
      <c r="A115" s="3"/>
      <c r="B115" s="2605"/>
      <c r="C115" s="2606" t="s">
        <v>2064</v>
      </c>
      <c r="D115" s="2629">
        <f>E115/_xlfn.XLOOKUP(C115,C$4:C$7,E$4:E$7,"ERROR")*_xlfn.XLOOKUP(C115,C$4:C$7,D$4:D$7,"ERROR")</f>
        <v>0</v>
      </c>
      <c r="E115" s="2629">
        <v>0</v>
      </c>
      <c r="F115" s="1"/>
      <c r="G115" s="1"/>
      <c r="H115" s="2667"/>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15.6" x14ac:dyDescent="0.35">
      <c r="A116" s="3"/>
      <c r="B116" s="2605"/>
      <c r="C116" s="2606" t="s">
        <v>2065</v>
      </c>
      <c r="D116" s="2629">
        <f t="shared" ref="D116" si="31">E116/_xlfn.XLOOKUP(C116,C$4:C$7,E$4:E$7,"ERROR")*_xlfn.XLOOKUP(C116,C$4:C$7,D$4:D$7,"ERROR")</f>
        <v>0</v>
      </c>
      <c r="E116" s="2629">
        <v>0</v>
      </c>
      <c r="F116" s="1"/>
      <c r="G116" s="1"/>
      <c r="H116" s="2667"/>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15.6" x14ac:dyDescent="0.35">
      <c r="A117" s="3"/>
      <c r="B117" s="2605"/>
      <c r="C117" s="2606" t="s">
        <v>2067</v>
      </c>
      <c r="D117" s="2629">
        <f>E117/_xlfn.XLOOKUP("SF6",C$4:C$7,E$4:E$7,"ERROR")*_xlfn.XLOOKUP("SF6",C$4:C$7,D$4:D$7,"ERROR")</f>
        <v>4.5150000000000003E-2</v>
      </c>
      <c r="E117" s="2629">
        <f>'LimeT&amp;DSodaODS'!D56/1000000</f>
        <v>6.0630000000000003E-2</v>
      </c>
      <c r="F117" s="1"/>
      <c r="G117" s="1"/>
      <c r="H117" s="2667"/>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14.4" x14ac:dyDescent="0.3">
      <c r="A118" s="3"/>
      <c r="B118" s="2605"/>
      <c r="C118" s="2600" t="s">
        <v>1488</v>
      </c>
      <c r="D118" s="2628">
        <f>SUM(D119:D121)</f>
        <v>0</v>
      </c>
      <c r="E118" s="2628">
        <f>SUM(E119:E121)</f>
        <v>0</v>
      </c>
      <c r="F118" s="1"/>
      <c r="G118" s="1"/>
      <c r="H118" s="2667"/>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15.6" x14ac:dyDescent="0.35">
      <c r="A119" s="3"/>
      <c r="B119" s="2605"/>
      <c r="C119" s="2606" t="s">
        <v>2064</v>
      </c>
      <c r="D119" s="2629">
        <f>E119/_xlfn.XLOOKUP(C119,C$4:C$7,E$4:E$7,"ERROR")*_xlfn.XLOOKUP(C119,C$4:C$7,D$4:D$7,"ERROR")</f>
        <v>0</v>
      </c>
      <c r="E119" s="2629">
        <v>0</v>
      </c>
      <c r="F119" s="1"/>
      <c r="G119" s="1"/>
      <c r="H119" s="2667"/>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15.6" x14ac:dyDescent="0.35">
      <c r="A120" s="3"/>
      <c r="B120" s="2605"/>
      <c r="C120" s="2606" t="s">
        <v>2065</v>
      </c>
      <c r="D120" s="2629">
        <f t="shared" ref="D120" si="32">E120/_xlfn.XLOOKUP(C120,C$4:C$7,E$4:E$7,"ERROR")*_xlfn.XLOOKUP(C120,C$4:C$7,D$4:D$7,"ERROR")</f>
        <v>0</v>
      </c>
      <c r="E120" s="2629">
        <v>0</v>
      </c>
      <c r="F120" s="1"/>
      <c r="G120" s="1"/>
      <c r="H120" s="2667"/>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15.6" x14ac:dyDescent="0.35">
      <c r="A121" s="3"/>
      <c r="B121" s="2605"/>
      <c r="C121" s="2606" t="s">
        <v>2067</v>
      </c>
      <c r="D121" s="2629">
        <f>E121</f>
        <v>0</v>
      </c>
      <c r="E121" s="2629">
        <v>0</v>
      </c>
      <c r="F121" s="1"/>
      <c r="G121" s="1"/>
      <c r="H121" s="2667"/>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14.4" x14ac:dyDescent="0.3">
      <c r="A122" s="3"/>
      <c r="B122" s="2605"/>
      <c r="C122" s="2600" t="s">
        <v>2062</v>
      </c>
      <c r="D122" s="2628">
        <f>SUM(D123:D125)</f>
        <v>9.5921999999999999E-4</v>
      </c>
      <c r="E122" s="2628">
        <f>SUM(E123:E125)</f>
        <v>9.5921999999999999E-4</v>
      </c>
      <c r="F122" s="1"/>
      <c r="G122" s="1"/>
      <c r="H122" s="2667"/>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5.6" x14ac:dyDescent="0.35">
      <c r="A123" s="3"/>
      <c r="B123" s="2605"/>
      <c r="C123" s="2606" t="s">
        <v>2064</v>
      </c>
      <c r="D123" s="2629">
        <f>E123/_xlfn.XLOOKUP(C123,C$4:C$7,E$4:E$7,"ERROR")*_xlfn.XLOOKUP(C123,C$4:C$7,D$4:D$7,"ERROR")</f>
        <v>9.5921999999999999E-4</v>
      </c>
      <c r="E123" s="2629">
        <f>'LimeT&amp;DSodaODS'!D47/1000000</f>
        <v>9.5921999999999999E-4</v>
      </c>
      <c r="F123" s="1"/>
      <c r="G123" s="1"/>
      <c r="H123" s="2667"/>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5.6" x14ac:dyDescent="0.35">
      <c r="A124" s="3"/>
      <c r="B124" s="2605"/>
      <c r="C124" s="2606" t="s">
        <v>2065</v>
      </c>
      <c r="D124" s="2629">
        <f t="shared" ref="D124" si="33">E124/_xlfn.XLOOKUP(C124,C$4:C$7,E$4:E$7,"ERROR")*_xlfn.XLOOKUP(C124,C$4:C$7,D$4:D$7,"ERROR")</f>
        <v>0</v>
      </c>
      <c r="E124" s="2629">
        <v>0</v>
      </c>
      <c r="F124" s="1"/>
      <c r="G124" s="1"/>
      <c r="H124" s="2667"/>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5.6" x14ac:dyDescent="0.35">
      <c r="A125" s="3"/>
      <c r="B125" s="2605"/>
      <c r="C125" s="2606" t="s">
        <v>2067</v>
      </c>
      <c r="D125" s="2629">
        <f>E125</f>
        <v>0</v>
      </c>
      <c r="E125" s="2629">
        <v>0</v>
      </c>
      <c r="F125" s="1"/>
      <c r="G125" s="1"/>
      <c r="H125" s="2667"/>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4.4" x14ac:dyDescent="0.3">
      <c r="A126" s="3"/>
      <c r="B126" s="2605"/>
      <c r="C126" s="2600" t="s">
        <v>1492</v>
      </c>
      <c r="D126" s="2628">
        <f>SUM(D127:D129)</f>
        <v>0</v>
      </c>
      <c r="E126" s="2628">
        <f>SUM(E127:E129)</f>
        <v>0</v>
      </c>
      <c r="F126" s="1"/>
      <c r="G126" s="1"/>
      <c r="H126" s="2667"/>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5.6" x14ac:dyDescent="0.35">
      <c r="A127" s="3"/>
      <c r="B127" s="2605"/>
      <c r="C127" s="2606" t="s">
        <v>2064</v>
      </c>
      <c r="D127" s="2629">
        <f>E127/_xlfn.XLOOKUP(C127,C$4:C$7,E$4:E$7,"ERROR")*_xlfn.XLOOKUP(C127,C$4:C$7,D$4:D$7,"ERROR")</f>
        <v>0</v>
      </c>
      <c r="E127" s="2629">
        <v>0</v>
      </c>
      <c r="F127" s="1"/>
      <c r="G127" s="1"/>
      <c r="H127" s="2667"/>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5.6" x14ac:dyDescent="0.35">
      <c r="A128" s="3"/>
      <c r="B128" s="2605"/>
      <c r="C128" s="2606" t="s">
        <v>2065</v>
      </c>
      <c r="D128" s="2629">
        <f t="shared" ref="D128" si="34">E128/_xlfn.XLOOKUP(C128,C$4:C$7,E$4:E$7,"ERROR")*_xlfn.XLOOKUP(C128,C$4:C$7,D$4:D$7,"ERROR")</f>
        <v>0</v>
      </c>
      <c r="E128" s="2629">
        <v>0</v>
      </c>
      <c r="F128" s="1"/>
      <c r="G128" s="1"/>
      <c r="H128" s="2667"/>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5.6" x14ac:dyDescent="0.35">
      <c r="A129" s="3"/>
      <c r="B129" s="2607"/>
      <c r="C129" s="2606" t="s">
        <v>2067</v>
      </c>
      <c r="D129" s="2629">
        <f>E129</f>
        <v>0</v>
      </c>
      <c r="E129" s="2629">
        <v>0</v>
      </c>
      <c r="F129" s="1"/>
      <c r="G129" s="1"/>
      <c r="H129" s="2667"/>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4.4" x14ac:dyDescent="0.3">
      <c r="A130" s="3"/>
      <c r="B130" s="2602" t="s">
        <v>25</v>
      </c>
      <c r="C130" s="2608"/>
      <c r="D130" s="2627">
        <f t="shared" ref="D130:E130" si="35">D131+D135+D139+D143+D147</f>
        <v>3.0714598592361422</v>
      </c>
      <c r="E130" s="2627">
        <f t="shared" si="35"/>
        <v>1.7226685877763763</v>
      </c>
      <c r="F130" s="1"/>
      <c r="G130" s="1"/>
      <c r="H130" s="2667"/>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4.4" x14ac:dyDescent="0.3">
      <c r="A131" s="3"/>
      <c r="B131" s="2604"/>
      <c r="C131" s="2600" t="s">
        <v>26</v>
      </c>
      <c r="D131" s="2628">
        <f>SUM(D132:D134)</f>
        <v>1.3183034255999997</v>
      </c>
      <c r="E131" s="2628">
        <f>SUM(E132:E134)</f>
        <v>0.43943447519999995</v>
      </c>
      <c r="F131" s="1"/>
      <c r="G131" s="1"/>
      <c r="H131" s="2667"/>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5.6" x14ac:dyDescent="0.35">
      <c r="A132" s="3"/>
      <c r="B132" s="2605"/>
      <c r="C132" s="2606" t="s">
        <v>2064</v>
      </c>
      <c r="D132" s="2629">
        <f>E132/_xlfn.XLOOKUP(C132,C$4:C$7,E$4:E$7,"ERROR")*_xlfn.XLOOKUP(C132,C$4:C$7,D$4:D$7,"ERROR")</f>
        <v>0</v>
      </c>
      <c r="E132" s="2629">
        <v>0</v>
      </c>
      <c r="F132" s="1"/>
      <c r="G132" s="1"/>
      <c r="H132" s="2667"/>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5.6" x14ac:dyDescent="0.35">
      <c r="A133" s="3"/>
      <c r="B133" s="2605"/>
      <c r="C133" s="2606" t="s">
        <v>2065</v>
      </c>
      <c r="D133" s="2629">
        <f t="shared" ref="D133:D134" si="36">E133/_xlfn.XLOOKUP(C133,C$4:C$7,E$4:E$7,"ERROR")*_xlfn.XLOOKUP(C133,C$4:C$7,D$4:D$7,"ERROR")</f>
        <v>1.3183034255999997</v>
      </c>
      <c r="E133" s="2629">
        <f>Agricultural!M28</f>
        <v>0.43943447519999995</v>
      </c>
      <c r="F133" s="1"/>
      <c r="G133" s="1"/>
      <c r="H133" s="2667"/>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5.6" x14ac:dyDescent="0.35">
      <c r="A134" s="3"/>
      <c r="B134" s="2605"/>
      <c r="C134" s="2606" t="s">
        <v>2066</v>
      </c>
      <c r="D134" s="2629">
        <f t="shared" si="36"/>
        <v>0</v>
      </c>
      <c r="E134" s="2629">
        <v>0</v>
      </c>
      <c r="F134" s="1"/>
      <c r="G134" s="1"/>
      <c r="H134" s="2667"/>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4.4" x14ac:dyDescent="0.3">
      <c r="A135" s="3"/>
      <c r="B135" s="2605"/>
      <c r="C135" s="2600" t="s">
        <v>27</v>
      </c>
      <c r="D135" s="2628">
        <f>SUM(D136:D138)</f>
        <v>0.75865333841736504</v>
      </c>
      <c r="E135" s="2628">
        <f>SUM(E136:E138)</f>
        <v>0.37591621056769314</v>
      </c>
      <c r="F135" s="1"/>
      <c r="G135" s="1"/>
      <c r="H135" s="2667"/>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5.6" x14ac:dyDescent="0.35">
      <c r="A136" s="3"/>
      <c r="B136" s="2605"/>
      <c r="C136" s="2606" t="s">
        <v>2064</v>
      </c>
      <c r="D136" s="2629">
        <f>E136/_xlfn.XLOOKUP(C136,C$4:C$7,E$4:E$7,"ERROR")*_xlfn.XLOOKUP(C136,C$4:C$7,D$4:D$7,"ERROR")</f>
        <v>0</v>
      </c>
      <c r="E136" s="2629">
        <v>0</v>
      </c>
      <c r="F136" s="1"/>
      <c r="G136" s="1"/>
      <c r="H136" s="2667"/>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5.6" x14ac:dyDescent="0.35">
      <c r="A137" s="3"/>
      <c r="B137" s="2605"/>
      <c r="C137" s="2606" t="s">
        <v>2065</v>
      </c>
      <c r="D137" s="2629">
        <f t="shared" ref="D137:D138" si="37">E137/_xlfn.XLOOKUP(C137,C$4:C$7,E$4:E$7,"ERROR")*_xlfn.XLOOKUP(C137,C$4:C$7,D$4:D$7,"ERROR")</f>
        <v>0.57514833384593644</v>
      </c>
      <c r="E137" s="2629">
        <f>Agricultural!W64</f>
        <v>0.19171611128197882</v>
      </c>
      <c r="F137" s="1"/>
      <c r="G137" s="1"/>
      <c r="H137" s="2667"/>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5.6" x14ac:dyDescent="0.35">
      <c r="A138" s="3"/>
      <c r="B138" s="2605"/>
      <c r="C138" s="2606" t="s">
        <v>2066</v>
      </c>
      <c r="D138" s="2629">
        <f t="shared" si="37"/>
        <v>0.1835050045714286</v>
      </c>
      <c r="E138" s="2629">
        <f>Agricultural!U92</f>
        <v>0.18420009928571432</v>
      </c>
      <c r="F138" s="2667"/>
      <c r="G138" s="1"/>
      <c r="H138" s="2667"/>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4.4" x14ac:dyDescent="0.3">
      <c r="A139" s="3"/>
      <c r="B139" s="2605"/>
      <c r="C139" s="2600" t="s">
        <v>28</v>
      </c>
      <c r="D139" s="2628">
        <f>SUM(D140:D142)</f>
        <v>0.79658765899448958</v>
      </c>
      <c r="E139" s="2628">
        <f>SUM(E140:E142)</f>
        <v>0.79960503649068082</v>
      </c>
      <c r="F139" s="1"/>
      <c r="G139" s="1"/>
      <c r="H139" s="2667"/>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5.6" x14ac:dyDescent="0.35">
      <c r="A140" s="3"/>
      <c r="B140" s="2605"/>
      <c r="C140" s="2606" t="s">
        <v>2064</v>
      </c>
      <c r="D140" s="2629">
        <f>E140/_xlfn.XLOOKUP(C140,C$4:C$7,E$4:E$7,"ERROR")*_xlfn.XLOOKUP(C140,C$4:C$7,D$4:D$7,"ERROR")</f>
        <v>0</v>
      </c>
      <c r="E140" s="2629">
        <v>0</v>
      </c>
      <c r="F140" s="1"/>
      <c r="G140" s="1"/>
      <c r="H140" s="2667"/>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5.6" x14ac:dyDescent="0.35">
      <c r="A141" s="3"/>
      <c r="B141" s="2605"/>
      <c r="C141" s="2606" t="s">
        <v>2065</v>
      </c>
      <c r="D141" s="2629">
        <f t="shared" ref="D141:D142" si="38">E141/_xlfn.XLOOKUP(C141,C$4:C$7,E$4:E$7,"ERROR")*_xlfn.XLOOKUP(C141,C$4:C$7,D$4:D$7,"ERROR")</f>
        <v>0</v>
      </c>
      <c r="E141" s="2629">
        <v>0</v>
      </c>
      <c r="F141" s="1"/>
      <c r="G141" s="1"/>
      <c r="H141" s="2667"/>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5.6" x14ac:dyDescent="0.35">
      <c r="A142" s="3"/>
      <c r="B142" s="2605"/>
      <c r="C142" s="2606" t="s">
        <v>2066</v>
      </c>
      <c r="D142" s="2629">
        <f t="shared" si="38"/>
        <v>0.79658765899448958</v>
      </c>
      <c r="E142" s="2629">
        <f>Agricultural!E237</f>
        <v>0.79960503649068082</v>
      </c>
      <c r="F142" s="1"/>
      <c r="G142" s="1"/>
      <c r="H142" s="2667"/>
      <c r="I142" s="1"/>
      <c r="J142" s="2667"/>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4.4" x14ac:dyDescent="0.3">
      <c r="A143" s="3"/>
      <c r="B143" s="2605"/>
      <c r="C143" s="2600" t="s">
        <v>29</v>
      </c>
      <c r="D143" s="2628">
        <f>SUM(D144:D146)</f>
        <v>0.15400977955762105</v>
      </c>
      <c r="E143" s="2628">
        <f>SUM(E144:E146)</f>
        <v>6.3807208851335631E-2</v>
      </c>
      <c r="F143" s="1"/>
      <c r="G143" s="1"/>
      <c r="H143" s="2667"/>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5.6" x14ac:dyDescent="0.35">
      <c r="A144" s="3"/>
      <c r="B144" s="2605"/>
      <c r="C144" s="2606" t="s">
        <v>2064</v>
      </c>
      <c r="D144" s="2629">
        <f>E144/_xlfn.XLOOKUP(C144,C$4:C$7,E$4:E$7,"ERROR")*_xlfn.XLOOKUP(C144,C$4:C$7,D$4:D$7,"ERROR")</f>
        <v>0</v>
      </c>
      <c r="E144" s="2629">
        <v>0</v>
      </c>
      <c r="F144" s="1"/>
      <c r="G144" s="1"/>
      <c r="H144" s="2667"/>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5.6" x14ac:dyDescent="0.35">
      <c r="A145" s="3"/>
      <c r="B145" s="2605"/>
      <c r="C145" s="2606" t="s">
        <v>2065</v>
      </c>
      <c r="D145" s="2629">
        <f t="shared" ref="D145:D146" si="39">E145/_xlfn.XLOOKUP(C145,C$4:C$7,E$4:E$7,"ERROR")*_xlfn.XLOOKUP(C145,C$4:C$7,D$4:D$7,"ERROR")</f>
        <v>0.13540953924303373</v>
      </c>
      <c r="E145" s="2629">
        <f>Agricultural!E247</f>
        <v>4.5136513081011249E-2</v>
      </c>
      <c r="F145" s="1"/>
      <c r="G145" s="1"/>
      <c r="H145" s="2667"/>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5.6" x14ac:dyDescent="0.35">
      <c r="A146" s="3"/>
      <c r="B146" s="2605"/>
      <c r="C146" s="2606" t="s">
        <v>2066</v>
      </c>
      <c r="D146" s="2629">
        <f t="shared" si="39"/>
        <v>1.8600240314587308E-2</v>
      </c>
      <c r="E146" s="2629">
        <f>Agricultural!E251</f>
        <v>1.8670695770324382E-2</v>
      </c>
      <c r="F146" s="1"/>
      <c r="G146" s="1"/>
      <c r="H146" s="2667"/>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4.4" x14ac:dyDescent="0.3">
      <c r="A147" s="3"/>
      <c r="B147" s="2605"/>
      <c r="C147" s="2600" t="s">
        <v>30</v>
      </c>
      <c r="D147" s="2628">
        <f>SUM(D148:D150)</f>
        <v>4.3905656666666668E-2</v>
      </c>
      <c r="E147" s="2628">
        <f>SUM(E148:E150)</f>
        <v>4.3905656666666668E-2</v>
      </c>
      <c r="F147" s="1"/>
      <c r="G147" s="1"/>
      <c r="H147" s="2667"/>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5.6" x14ac:dyDescent="0.35">
      <c r="A148" s="3"/>
      <c r="B148" s="2605"/>
      <c r="C148" s="2606" t="s">
        <v>2064</v>
      </c>
      <c r="D148" s="2629">
        <f>E148/_xlfn.XLOOKUP(C148,C$4:C$7,E$4:E$7,"ERROR")*_xlfn.XLOOKUP(C148,C$4:C$7,D$4:D$7,"ERROR")</f>
        <v>4.3905656666666668E-2</v>
      </c>
      <c r="E148" s="2629">
        <f>'Agriculture-Liming &amp; Urea'!G9+'Agriculture-Liming &amp; Urea'!G22</f>
        <v>4.3905656666666668E-2</v>
      </c>
      <c r="F148" s="1"/>
      <c r="G148" s="1"/>
      <c r="H148" s="2667"/>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5.6" x14ac:dyDescent="0.35">
      <c r="A149" s="3"/>
      <c r="B149" s="2605"/>
      <c r="C149" s="2606" t="s">
        <v>2065</v>
      </c>
      <c r="D149" s="2629">
        <f t="shared" ref="D149:D150" si="40">E149/_xlfn.XLOOKUP(C149,C$4:C$7,E$4:E$7,"ERROR")*_xlfn.XLOOKUP(C149,C$4:C$7,D$4:D$7,"ERROR")</f>
        <v>0</v>
      </c>
      <c r="E149" s="2629">
        <v>0</v>
      </c>
      <c r="F149" s="1"/>
      <c r="G149" s="1"/>
      <c r="H149" s="2667"/>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5.6" x14ac:dyDescent="0.35">
      <c r="A150" s="3"/>
      <c r="B150" s="2607"/>
      <c r="C150" s="2606" t="s">
        <v>2066</v>
      </c>
      <c r="D150" s="2629">
        <f t="shared" si="40"/>
        <v>0</v>
      </c>
      <c r="E150" s="2629">
        <v>0</v>
      </c>
      <c r="F150" s="1"/>
      <c r="G150" s="1"/>
      <c r="H150" s="2667"/>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4.4" x14ac:dyDescent="0.3">
      <c r="A151" s="3"/>
      <c r="B151" s="2609" t="s">
        <v>31</v>
      </c>
      <c r="C151" s="2610"/>
      <c r="D151" s="2630">
        <f t="shared" ref="D151:E151" si="41">D152+D156+D160+D164</f>
        <v>8.377880046684723</v>
      </c>
      <c r="E151" s="2630">
        <f t="shared" si="41"/>
        <v>3.9513413382678304</v>
      </c>
      <c r="F151" s="1"/>
      <c r="G151" s="1"/>
      <c r="H151" s="2667"/>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4.4" x14ac:dyDescent="0.3">
      <c r="A152" s="3"/>
      <c r="B152" s="2604"/>
      <c r="C152" s="2600" t="s">
        <v>32</v>
      </c>
      <c r="D152" s="2628">
        <f>SUM(D153:D155)</f>
        <v>1.1273981119349161</v>
      </c>
      <c r="E152" s="2628">
        <f>SUM(E153:E155)</f>
        <v>1.1145743308683691</v>
      </c>
      <c r="F152" s="1"/>
      <c r="G152" s="1"/>
      <c r="H152" s="2667"/>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5.6" x14ac:dyDescent="0.35">
      <c r="A153" s="3"/>
      <c r="B153" s="2605"/>
      <c r="C153" s="2606" t="s">
        <v>2064</v>
      </c>
      <c r="D153" s="2629">
        <f>E153/_xlfn.XLOOKUP(C153,C$4:C$7,E$4:E$7,"ERROR")*_xlfn.XLOOKUP(C153,C$4:C$7,D$4:D$7,"ERROR")</f>
        <v>1.1001541315585248</v>
      </c>
      <c r="E153" s="2629">
        <f>(Incinerators!AC25*0.907184)/1000000</f>
        <v>1.1001541315585248</v>
      </c>
      <c r="F153" s="1"/>
      <c r="G153" s="1"/>
      <c r="H153" s="2667"/>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5.6" x14ac:dyDescent="0.35">
      <c r="A154" s="3"/>
      <c r="B154" s="2605"/>
      <c r="C154" s="2606" t="s">
        <v>2065</v>
      </c>
      <c r="D154" s="2629">
        <f t="shared" ref="D154:D155" si="42">E154/_xlfn.XLOOKUP(C154,C$4:C$7,E$4:E$7,"ERROR")*_xlfn.XLOOKUP(C154,C$4:C$7,D$4:D$7,"ERROR")</f>
        <v>1.9280916282174081E-2</v>
      </c>
      <c r="E154" s="2629">
        <f>(Incinerators!AC31*0.907184)/1000000</f>
        <v>6.4269720940580274E-3</v>
      </c>
      <c r="F154" s="1"/>
      <c r="G154" s="1"/>
      <c r="H154" s="2667"/>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5.6" x14ac:dyDescent="0.35">
      <c r="A155" s="3"/>
      <c r="B155" s="2605"/>
      <c r="C155" s="2606" t="s">
        <v>2066</v>
      </c>
      <c r="D155" s="2629">
        <f t="shared" si="42"/>
        <v>7.9630640942172665E-3</v>
      </c>
      <c r="E155" s="2629">
        <f>(Incinerators!AC37*0.907184)/1000000</f>
        <v>7.9932272157862711E-3</v>
      </c>
      <c r="F155" s="1"/>
      <c r="G155" s="1"/>
      <c r="H155" s="2667"/>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4.4" x14ac:dyDescent="0.3">
      <c r="A156" s="3"/>
      <c r="B156" s="2605"/>
      <c r="C156" s="2600" t="s">
        <v>33</v>
      </c>
      <c r="D156" s="2628">
        <f>SUM(D157:D159)</f>
        <v>5.3877070722185918</v>
      </c>
      <c r="E156" s="2628">
        <f>SUM(E157:E159)</f>
        <v>2.0837602701003872</v>
      </c>
      <c r="F156" s="1"/>
      <c r="G156" s="1"/>
      <c r="H156" s="2667"/>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5.6" x14ac:dyDescent="0.35">
      <c r="A157" s="3"/>
      <c r="B157" s="2605"/>
      <c r="C157" s="2606" t="s">
        <v>2064</v>
      </c>
      <c r="D157" s="2629">
        <f>E157/_xlfn.XLOOKUP(C157,C$4:C$7,E$4:E$7,"ERROR")*_xlfn.XLOOKUP(C157,C$4:C$7,D$4:D$7,"ERROR")</f>
        <v>0.43178686904128488</v>
      </c>
      <c r="E157" s="2629">
        <f>Landfill_I!V103</f>
        <v>0.43178686904128488</v>
      </c>
      <c r="F157" s="1"/>
      <c r="G157" s="1"/>
      <c r="H157" s="2667"/>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5.6" x14ac:dyDescent="0.35">
      <c r="A158" s="3"/>
      <c r="B158" s="2605"/>
      <c r="C158" s="2606" t="s">
        <v>2065</v>
      </c>
      <c r="D158" s="2629">
        <f t="shared" ref="D158:D159" si="43">E158/_xlfn.XLOOKUP(C158,C$4:C$7,E$4:E$7,"ERROR")*_xlfn.XLOOKUP(C158,C$4:C$7,D$4:D$7,"ERROR")</f>
        <v>4.9559202031773069</v>
      </c>
      <c r="E158" s="2629">
        <f>Landfill_I!V105</f>
        <v>1.6519734010591023</v>
      </c>
      <c r="F158" s="1"/>
      <c r="G158" s="1"/>
      <c r="H158" s="2667"/>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5.6" x14ac:dyDescent="0.35">
      <c r="A159" s="3"/>
      <c r="B159" s="2605"/>
      <c r="C159" s="2606" t="s">
        <v>2066</v>
      </c>
      <c r="D159" s="2629">
        <f t="shared" si="43"/>
        <v>0</v>
      </c>
      <c r="E159" s="2629">
        <v>0</v>
      </c>
      <c r="F159" s="1"/>
      <c r="G159" s="1"/>
      <c r="H159" s="2667"/>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4.4" x14ac:dyDescent="0.3">
      <c r="A160" s="3"/>
      <c r="B160" s="2605"/>
      <c r="C160" s="2600" t="s">
        <v>34</v>
      </c>
      <c r="D160" s="2628">
        <f>SUM(D161:D163)</f>
        <v>1.8297748625312151</v>
      </c>
      <c r="E160" s="2628">
        <f>SUM(E161:E163)</f>
        <v>0.72000673729907372</v>
      </c>
      <c r="F160" s="1"/>
      <c r="G160" s="1"/>
      <c r="H160" s="2667"/>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5.6" x14ac:dyDescent="0.35">
      <c r="A161" s="3"/>
      <c r="B161" s="2605"/>
      <c r="C161" s="2606" t="s">
        <v>2064</v>
      </c>
      <c r="D161" s="2629">
        <f>E161/_xlfn.XLOOKUP(C161,C$4:C$7,E$4:E$7,"ERROR")*_xlfn.XLOOKUP(C161,C$4:C$7,D$4:D$7,"ERROR")</f>
        <v>0</v>
      </c>
      <c r="E161" s="2629">
        <v>0</v>
      </c>
      <c r="F161" s="1"/>
      <c r="G161" s="1"/>
      <c r="H161" s="2667"/>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5.6" x14ac:dyDescent="0.35">
      <c r="A162" s="3"/>
      <c r="B162" s="2605"/>
      <c r="C162" s="2606" t="s">
        <v>2065</v>
      </c>
      <c r="D162" s="2629">
        <f t="shared" ref="D162:D163" si="44">E162/_xlfn.XLOOKUP(C162,C$4:C$7,E$4:E$7,"ERROR")*_xlfn.XLOOKUP(C162,C$4:C$7,D$4:D$7,"ERROR")</f>
        <v>1.6655850843153477</v>
      </c>
      <c r="E162" s="2629">
        <f>Wastewater!C35+Wastewater!C37</f>
        <v>0.5551950281051159</v>
      </c>
      <c r="F162" s="1"/>
      <c r="G162" s="1"/>
      <c r="H162" s="2667"/>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5.6" x14ac:dyDescent="0.35">
      <c r="A163" s="3"/>
      <c r="B163" s="2605"/>
      <c r="C163" s="2606" t="s">
        <v>2066</v>
      </c>
      <c r="D163" s="2629">
        <f t="shared" si="44"/>
        <v>0.16418977821586747</v>
      </c>
      <c r="E163" s="2629">
        <f>Wastewater!C36</f>
        <v>0.16481170919395788</v>
      </c>
      <c r="F163" s="1"/>
      <c r="G163" s="1"/>
      <c r="H163" s="2667"/>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4.4" x14ac:dyDescent="0.3">
      <c r="A164" s="3"/>
      <c r="B164" s="2605"/>
      <c r="C164" s="2600" t="s">
        <v>35</v>
      </c>
      <c r="D164" s="2628">
        <f>SUM(D165:D167)</f>
        <v>3.3000000000000002E-2</v>
      </c>
      <c r="E164" s="2628">
        <f>SUM(E165:E167)</f>
        <v>3.3000000000000002E-2</v>
      </c>
      <c r="F164" s="1"/>
      <c r="G164" s="1"/>
      <c r="H164" s="2667"/>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5.6" x14ac:dyDescent="0.35">
      <c r="A165" s="3"/>
      <c r="B165" s="2605"/>
      <c r="C165" s="2606" t="s">
        <v>2064</v>
      </c>
      <c r="D165" s="2629">
        <f>E165/_xlfn.XLOOKUP(C165,C$4:C$7,E$4:E$7,"ERROR")*_xlfn.XLOOKUP(C165,C$4:C$7,D$4:D$7,"ERROR")</f>
        <v>3.3000000000000002E-2</v>
      </c>
      <c r="E165" s="2629">
        <f>OpenBurn!D7</f>
        <v>3.3000000000000002E-2</v>
      </c>
      <c r="F165" s="1"/>
      <c r="G165" s="1"/>
      <c r="H165" s="2667"/>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5.6" x14ac:dyDescent="0.35">
      <c r="A166" s="3"/>
      <c r="B166" s="2605"/>
      <c r="C166" s="2606" t="s">
        <v>2065</v>
      </c>
      <c r="D166" s="2629">
        <f t="shared" ref="D166:D167" si="45">E166/_xlfn.XLOOKUP(C166,C$4:C$7,E$4:E$7,"ERROR")*_xlfn.XLOOKUP(C166,C$4:C$7,D$4:D$7,"ERROR")</f>
        <v>0</v>
      </c>
      <c r="E166" s="2629">
        <v>0</v>
      </c>
      <c r="F166" s="1"/>
      <c r="G166" s="1"/>
      <c r="H166" s="2667"/>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5.6" x14ac:dyDescent="0.35">
      <c r="A167" s="3"/>
      <c r="B167" s="2607"/>
      <c r="C167" s="2606" t="s">
        <v>2066</v>
      </c>
      <c r="D167" s="2629">
        <f t="shared" si="45"/>
        <v>0</v>
      </c>
      <c r="E167" s="2629">
        <v>0</v>
      </c>
      <c r="F167" s="1"/>
      <c r="G167" s="1"/>
      <c r="H167" s="2667"/>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4.4" x14ac:dyDescent="0.3">
      <c r="A168" s="3"/>
      <c r="B168" s="2923" t="s">
        <v>2068</v>
      </c>
      <c r="C168" s="2924"/>
      <c r="D168" s="2627">
        <f t="shared" ref="D168:E168" si="46">D151+D130+D93+D80+D47+D30+D11</f>
        <v>85.055232171956149</v>
      </c>
      <c r="E168" s="2627">
        <f t="shared" si="46"/>
        <v>73.972846051396203</v>
      </c>
      <c r="F168" s="2667"/>
      <c r="G168" s="2667"/>
      <c r="H168" s="2667"/>
      <c r="I168" s="2667"/>
      <c r="J168" s="2667"/>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4.4" x14ac:dyDescent="0.3">
      <c r="A169" s="3"/>
      <c r="B169" s="2611"/>
      <c r="C169" s="2612"/>
      <c r="D169" s="2614"/>
      <c r="E169" s="2631"/>
      <c r="F169" s="1"/>
      <c r="G169" s="1"/>
      <c r="H169" s="2667"/>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4.4" x14ac:dyDescent="0.3">
      <c r="A170" s="3"/>
      <c r="B170" s="2923" t="s">
        <v>36</v>
      </c>
      <c r="C170" s="2924"/>
      <c r="D170" s="2627">
        <f t="shared" ref="D170:E170" si="47">D171+D172+D173+D175+D178+D179</f>
        <v>-8.3414488104345104</v>
      </c>
      <c r="E170" s="2627">
        <f t="shared" si="47"/>
        <v>-9.0371150773492452</v>
      </c>
      <c r="F170" s="1"/>
      <c r="G170" s="1"/>
      <c r="H170" s="2667"/>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4.4" x14ac:dyDescent="0.3">
      <c r="A171" s="3"/>
      <c r="B171" s="2604"/>
      <c r="C171" s="2598" t="s">
        <v>37</v>
      </c>
      <c r="D171" s="2629">
        <f>E171</f>
        <v>-7.4179279999999999</v>
      </c>
      <c r="E171" s="2629">
        <f>Land_Use!C250</f>
        <v>-7.4179279999999999</v>
      </c>
      <c r="F171" s="1"/>
      <c r="G171" s="1"/>
      <c r="H171" s="2667"/>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4.4" x14ac:dyDescent="0.3">
      <c r="A172" s="3"/>
      <c r="B172" s="2605"/>
      <c r="C172" s="2598" t="s">
        <v>38</v>
      </c>
      <c r="D172" s="2629">
        <f>E172</f>
        <v>-1.21</v>
      </c>
      <c r="E172" s="2629">
        <f>Land_Use!C257</f>
        <v>-1.21</v>
      </c>
      <c r="F172" s="1"/>
      <c r="G172" s="1"/>
      <c r="H172" s="2667"/>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4.4" x14ac:dyDescent="0.3">
      <c r="A173" s="3"/>
      <c r="B173" s="2605"/>
      <c r="C173" s="2598" t="s">
        <v>39</v>
      </c>
      <c r="D173" s="2632">
        <f t="shared" ref="D173:E173" si="48">D174</f>
        <v>1.6670385599999997E-2</v>
      </c>
      <c r="E173" s="2632">
        <f t="shared" si="48"/>
        <v>1.6733530999999999E-2</v>
      </c>
      <c r="F173" s="1"/>
      <c r="G173" s="1"/>
      <c r="H173" s="2667"/>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5.6" x14ac:dyDescent="0.35">
      <c r="A174" s="3"/>
      <c r="B174" s="2605"/>
      <c r="C174" s="2606" t="s">
        <v>2066</v>
      </c>
      <c r="D174" s="2629">
        <f>E174/_xlfn.XLOOKUP(C174,C$4:C$7,E$4:E$7,"ERROR")*_xlfn.XLOOKUP(C174,C$4:C$7,D$4:D$7,"ERROR")</f>
        <v>1.6670385599999997E-2</v>
      </c>
      <c r="E174" s="2629">
        <f>Land_Use!C261</f>
        <v>1.6733530999999999E-2</v>
      </c>
      <c r="F174" s="1"/>
      <c r="G174" s="1"/>
      <c r="H174" s="2667"/>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4.4" x14ac:dyDescent="0.3">
      <c r="A175" s="3"/>
      <c r="B175" s="2605"/>
      <c r="C175" s="2598" t="s">
        <v>40</v>
      </c>
      <c r="D175" s="2632">
        <f t="shared" ref="D175:E175" si="49">D176+D177</f>
        <v>4.21147259715456E-2</v>
      </c>
      <c r="E175" s="2632">
        <f t="shared" si="49"/>
        <v>1.5194046166578001E-2</v>
      </c>
      <c r="F175" s="1"/>
      <c r="G175" s="1"/>
      <c r="H175" s="2667"/>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5.6" x14ac:dyDescent="0.35">
      <c r="A176" s="3"/>
      <c r="B176" s="2605"/>
      <c r="C176" s="2606" t="s">
        <v>2065</v>
      </c>
      <c r="D176" s="2629">
        <f>E176/_xlfn.XLOOKUP(C176,C$4:C$7,E$4:E$7,"ERROR")*_xlfn.XLOOKUP(C176,C$4:C$7,D$4:D$7,"ERROR")</f>
        <v>4.0390814658095998E-2</v>
      </c>
      <c r="E176" s="2629">
        <f>Land_Use!C263</f>
        <v>1.3463604886032E-2</v>
      </c>
      <c r="F176" s="1"/>
      <c r="G176" s="1"/>
      <c r="H176" s="2667"/>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5.6" x14ac:dyDescent="0.35">
      <c r="A177" s="3"/>
      <c r="B177" s="2605"/>
      <c r="C177" s="2606" t="s">
        <v>2066</v>
      </c>
      <c r="D177" s="2629">
        <f>E177/_xlfn.XLOOKUP(C177,C$4:C$7,E$4:E$7,"ERROR")*_xlfn.XLOOKUP(C177,C$4:C$7,D$4:D$7,"ERROR")</f>
        <v>1.7239113134495999E-3</v>
      </c>
      <c r="E177" s="2629">
        <f>Land_Use!C264</f>
        <v>1.7304412805459999E-3</v>
      </c>
      <c r="F177" s="1"/>
      <c r="G177" s="1"/>
      <c r="H177" s="2667"/>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4.4" x14ac:dyDescent="0.3">
      <c r="A178" s="3"/>
      <c r="B178" s="2605"/>
      <c r="C178" s="2598" t="s">
        <v>41</v>
      </c>
      <c r="D178" s="2629">
        <f>E178</f>
        <v>-0.16200000000000001</v>
      </c>
      <c r="E178" s="2629">
        <f>Land_Use!C265</f>
        <v>-0.16200000000000001</v>
      </c>
      <c r="F178" s="1"/>
      <c r="G178" s="1"/>
      <c r="H178" s="2667"/>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4.4" x14ac:dyDescent="0.3">
      <c r="A179" s="3"/>
      <c r="B179" s="2605"/>
      <c r="C179" s="2598" t="s">
        <v>42</v>
      </c>
      <c r="D179" s="2632">
        <f t="shared" ref="D179:E179" si="50">D180+D181</f>
        <v>0.38969407799394662</v>
      </c>
      <c r="E179" s="2632">
        <f t="shared" si="50"/>
        <v>-0.27911465451582118</v>
      </c>
      <c r="F179" s="1"/>
      <c r="G179" s="1"/>
      <c r="H179" s="2667"/>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5.6" x14ac:dyDescent="0.35">
      <c r="A180" s="3"/>
      <c r="B180" s="2605"/>
      <c r="C180" s="2606" t="s">
        <v>2064</v>
      </c>
      <c r="D180" s="2629">
        <f>E180/_xlfn.XLOOKUP(C180,C$4:C$7,E$4:E$7,"ERROR")*_xlfn.XLOOKUP(C180,C$4:C$7,D$4:D$7,"ERROR")</f>
        <v>-0.61351902077070508</v>
      </c>
      <c r="E180" s="2629">
        <f>Land_Use!C267</f>
        <v>-0.61351902077070508</v>
      </c>
      <c r="F180" s="1"/>
      <c r="G180" s="1"/>
      <c r="H180" s="2667"/>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5.6" x14ac:dyDescent="0.35">
      <c r="A181" s="3"/>
      <c r="B181" s="2607"/>
      <c r="C181" s="2606" t="s">
        <v>2065</v>
      </c>
      <c r="D181" s="2629">
        <f>E181/_xlfn.XLOOKUP(C181,C$4:C$7,E$4:E$7,"ERROR")*_xlfn.XLOOKUP(C181,C$4:C$7,D$4:D$7,"ERROR")</f>
        <v>1.0032130987646517</v>
      </c>
      <c r="E181" s="2629">
        <f>Land_Use!C268</f>
        <v>0.3344043662548839</v>
      </c>
      <c r="F181" s="1"/>
      <c r="G181" s="1"/>
      <c r="H181" s="2667"/>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4.4" x14ac:dyDescent="0.3">
      <c r="A182" s="3"/>
      <c r="B182" s="2925" t="s">
        <v>2069</v>
      </c>
      <c r="C182" s="2926"/>
      <c r="D182" s="2627">
        <f t="shared" ref="D182:E182" si="51">D168+D170</f>
        <v>76.713783361521635</v>
      </c>
      <c r="E182" s="2627">
        <f t="shared" si="51"/>
        <v>64.935730974046962</v>
      </c>
      <c r="F182" s="1"/>
      <c r="G182" s="1"/>
      <c r="H182" s="2667"/>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thickBot="1" x14ac:dyDescent="0.35">
      <c r="A183" s="3"/>
      <c r="B183" s="2637"/>
      <c r="C183" s="2638"/>
      <c r="D183" s="2613"/>
      <c r="E183" s="2613"/>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4.4" x14ac:dyDescent="0.3">
      <c r="A184" s="3"/>
      <c r="B184" s="2596"/>
      <c r="C184" s="2596"/>
      <c r="D184" s="2595"/>
      <c r="E184" s="2597"/>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thickBot="1" x14ac:dyDescent="0.35">
      <c r="A185" s="3"/>
      <c r="B185" s="8"/>
      <c r="C185" s="2596"/>
      <c r="D185" s="2595"/>
      <c r="E185" s="2597"/>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5" customHeight="1" x14ac:dyDescent="0.3">
      <c r="A186" s="3"/>
      <c r="B186" s="8"/>
      <c r="C186" s="2621"/>
      <c r="D186" s="2615" t="s">
        <v>2072</v>
      </c>
      <c r="E186" s="2616" t="s">
        <v>2073</v>
      </c>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5" customHeight="1" x14ac:dyDescent="0.3">
      <c r="A187" s="3"/>
      <c r="B187" s="8"/>
      <c r="C187" s="2622" t="s">
        <v>43</v>
      </c>
      <c r="D187" s="2617">
        <f t="shared" ref="D187" si="52">D11</f>
        <v>18.329382150964136</v>
      </c>
      <c r="E187" s="2618">
        <f t="shared" ref="E187" si="53">E11</f>
        <v>18.298134220669475</v>
      </c>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5" customHeight="1" x14ac:dyDescent="0.3">
      <c r="A188" s="3"/>
      <c r="B188" s="8"/>
      <c r="C188" s="2622" t="s">
        <v>44</v>
      </c>
      <c r="D188" s="2617">
        <f t="shared" ref="D188" si="54">D30</f>
        <v>13.64133682192279</v>
      </c>
      <c r="E188" s="2618">
        <f t="shared" ref="E188" si="55">E30</f>
        <v>13.477436084273755</v>
      </c>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5" customHeight="1" x14ac:dyDescent="0.3">
      <c r="A189" s="3"/>
      <c r="B189" s="8"/>
      <c r="C189" s="2622" t="s">
        <v>45</v>
      </c>
      <c r="D189" s="2617">
        <f>D48+D56</f>
        <v>24.272944327798005</v>
      </c>
      <c r="E189" s="2618">
        <f>E48+E56</f>
        <v>24.216908708788004</v>
      </c>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5" customHeight="1" x14ac:dyDescent="0.3">
      <c r="A190" s="3"/>
      <c r="B190" s="8"/>
      <c r="C190" s="2622" t="s">
        <v>46</v>
      </c>
      <c r="D190" s="2617">
        <f t="shared" ref="D190" si="56">D52+D60+D64+D68+D72+D76</f>
        <v>5.5051468158506758</v>
      </c>
      <c r="E190" s="2618">
        <f t="shared" ref="E190" si="57">E52+E60+E64+E68+E72+E76</f>
        <v>5.4153215280217566</v>
      </c>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5" customHeight="1" x14ac:dyDescent="0.3">
      <c r="A191" s="3"/>
      <c r="B191" s="8"/>
      <c r="C191" s="2622" t="str">
        <f>B80</f>
        <v>Fossil Fuel Industry</v>
      </c>
      <c r="D191" s="2617">
        <f t="shared" ref="D191" si="58">D80</f>
        <v>4.5896545845095726</v>
      </c>
      <c r="E191" s="2618">
        <f t="shared" ref="E191" si="59">E80</f>
        <v>2.3753578549620258</v>
      </c>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5" customHeight="1" x14ac:dyDescent="0.3">
      <c r="A192" s="3"/>
      <c r="B192" s="8"/>
      <c r="C192" s="2622" t="str">
        <f>B93</f>
        <v>Industrial Processes and Product Use</v>
      </c>
      <c r="D192" s="2617">
        <f t="shared" ref="D192" si="60">D93</f>
        <v>7.2674275649901112</v>
      </c>
      <c r="E192" s="2618">
        <f t="shared" ref="E192" si="61">E93</f>
        <v>4.5156777286369758</v>
      </c>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5" customHeight="1" x14ac:dyDescent="0.3">
      <c r="A193" s="3"/>
      <c r="B193" s="8"/>
      <c r="C193" s="2622" t="str">
        <f>B130</f>
        <v>Agriculture</v>
      </c>
      <c r="D193" s="2617">
        <f t="shared" ref="D193" si="62">D130</f>
        <v>3.0714598592361422</v>
      </c>
      <c r="E193" s="2618">
        <f t="shared" ref="E193" si="63">E130</f>
        <v>1.7226685877763763</v>
      </c>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5" customHeight="1" x14ac:dyDescent="0.3">
      <c r="A194" s="3"/>
      <c r="B194" s="8"/>
      <c r="C194" s="2622" t="str">
        <f>B151</f>
        <v>Waste Management</v>
      </c>
      <c r="D194" s="2617">
        <f t="shared" ref="D194" si="64">D151</f>
        <v>8.377880046684723</v>
      </c>
      <c r="E194" s="2618">
        <f t="shared" ref="E194" si="65">E151</f>
        <v>3.9513413382678304</v>
      </c>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5" customHeight="1" thickBot="1" x14ac:dyDescent="0.25">
      <c r="A195" s="3"/>
      <c r="B195" s="1"/>
      <c r="C195" s="2623"/>
      <c r="D195" s="2619">
        <f t="shared" ref="D195" si="66">SUM(D187:D194)</f>
        <v>85.055232171956163</v>
      </c>
      <c r="E195" s="2620">
        <f t="shared" ref="E195" si="67">SUM(E187:E194)</f>
        <v>73.972846051396203</v>
      </c>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0.199999999999999" x14ac:dyDescent="0.2">
      <c r="A196" s="3"/>
      <c r="B196" s="1"/>
      <c r="C196" s="1"/>
      <c r="D196" s="1"/>
      <c r="E196" s="10"/>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0.199999999999999" x14ac:dyDescent="0.2">
      <c r="A197" s="3"/>
      <c r="B197" s="1"/>
      <c r="C197" s="1"/>
      <c r="D197" s="1"/>
      <c r="E197" s="10"/>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0.199999999999999" x14ac:dyDescent="0.2">
      <c r="A198" s="3"/>
      <c r="B198" s="1"/>
      <c r="C198" s="1"/>
      <c r="D198" s="1"/>
      <c r="E198" s="10"/>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0.199999999999999" x14ac:dyDescent="0.2">
      <c r="A199" s="3"/>
      <c r="B199" s="1"/>
      <c r="C199" s="1"/>
      <c r="D199" s="1"/>
      <c r="E199" s="10"/>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0.199999999999999" x14ac:dyDescent="0.2">
      <c r="A200" s="3"/>
      <c r="B200" s="1"/>
      <c r="C200" s="1"/>
      <c r="D200" s="1"/>
      <c r="E200" s="10"/>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0.199999999999999" x14ac:dyDescent="0.2">
      <c r="A201" s="3"/>
      <c r="B201" s="1"/>
      <c r="C201" s="1"/>
      <c r="D201" s="1"/>
      <c r="E201" s="10"/>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0.199999999999999" x14ac:dyDescent="0.2">
      <c r="A202" s="3"/>
      <c r="B202" s="1"/>
      <c r="C202" s="1"/>
      <c r="D202" s="1"/>
      <c r="E202" s="10"/>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0.199999999999999" x14ac:dyDescent="0.2">
      <c r="A203" s="3"/>
      <c r="B203" s="1"/>
      <c r="C203" s="1"/>
      <c r="D203" s="1"/>
      <c r="E203" s="10"/>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0.199999999999999" x14ac:dyDescent="0.2">
      <c r="A204" s="3"/>
      <c r="B204" s="1"/>
      <c r="C204" s="1"/>
      <c r="D204" s="1"/>
      <c r="E204" s="10"/>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0.199999999999999" x14ac:dyDescent="0.2">
      <c r="A205" s="3"/>
      <c r="B205" s="1"/>
      <c r="C205" s="1"/>
      <c r="D205" s="1"/>
      <c r="E205" s="10"/>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0.199999999999999" x14ac:dyDescent="0.2">
      <c r="A206" s="3"/>
      <c r="B206" s="1"/>
      <c r="C206" s="1"/>
      <c r="D206" s="1"/>
      <c r="E206" s="10"/>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0.199999999999999" x14ac:dyDescent="0.2">
      <c r="A207" s="3"/>
      <c r="B207" s="1"/>
      <c r="C207" s="1"/>
      <c r="D207" s="1"/>
      <c r="E207" s="10"/>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0.199999999999999" x14ac:dyDescent="0.2">
      <c r="A208" s="3"/>
      <c r="B208" s="1"/>
      <c r="C208" s="1"/>
      <c r="D208" s="1"/>
      <c r="E208" s="10"/>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0.199999999999999" x14ac:dyDescent="0.2">
      <c r="A209" s="3"/>
      <c r="B209" s="1"/>
      <c r="C209" s="1"/>
      <c r="D209" s="1"/>
      <c r="E209" s="10"/>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0.199999999999999" x14ac:dyDescent="0.2">
      <c r="A210" s="3"/>
      <c r="B210" s="1"/>
      <c r="C210" s="1"/>
      <c r="D210" s="1"/>
      <c r="E210" s="10"/>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0.199999999999999" x14ac:dyDescent="0.2">
      <c r="A211" s="3"/>
      <c r="B211" s="1"/>
      <c r="C211" s="1"/>
      <c r="D211" s="1"/>
      <c r="E211" s="10"/>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0.199999999999999" x14ac:dyDescent="0.2">
      <c r="A212" s="3"/>
      <c r="B212" s="1"/>
      <c r="C212" s="1"/>
      <c r="D212" s="1"/>
      <c r="E212" s="10"/>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0.199999999999999" x14ac:dyDescent="0.2">
      <c r="A213" s="3"/>
      <c r="B213" s="1"/>
      <c r="C213" s="1"/>
      <c r="D213" s="1"/>
      <c r="E213" s="10"/>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0.199999999999999" x14ac:dyDescent="0.2">
      <c r="A214" s="3"/>
      <c r="B214" s="1"/>
      <c r="C214" s="1"/>
      <c r="D214" s="1"/>
      <c r="E214" s="10"/>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0.199999999999999" x14ac:dyDescent="0.2">
      <c r="A215" s="3"/>
      <c r="B215" s="1"/>
      <c r="C215" s="1"/>
      <c r="D215" s="1"/>
      <c r="E215" s="10"/>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0.199999999999999" x14ac:dyDescent="0.2">
      <c r="A216" s="3"/>
      <c r="B216" s="1"/>
      <c r="C216" s="1"/>
      <c r="D216" s="1"/>
      <c r="E216" s="10"/>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0.199999999999999" x14ac:dyDescent="0.2">
      <c r="A217" s="3"/>
      <c r="B217" s="1"/>
      <c r="C217" s="1"/>
      <c r="D217" s="1"/>
      <c r="E217" s="10"/>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0.199999999999999" x14ac:dyDescent="0.2">
      <c r="A218" s="3"/>
      <c r="B218" s="1"/>
      <c r="C218" s="1"/>
      <c r="D218" s="1"/>
      <c r="E218" s="10"/>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0.199999999999999" x14ac:dyDescent="0.2">
      <c r="A219" s="3"/>
      <c r="B219" s="1"/>
      <c r="C219" s="1"/>
      <c r="D219" s="1"/>
      <c r="E219" s="10"/>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0.199999999999999" x14ac:dyDescent="0.2">
      <c r="A220" s="3"/>
      <c r="B220" s="1"/>
      <c r="C220" s="1"/>
      <c r="D220" s="1"/>
      <c r="E220" s="10"/>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0.199999999999999" x14ac:dyDescent="0.2">
      <c r="A221" s="3"/>
      <c r="B221" s="1"/>
      <c r="C221" s="1"/>
      <c r="D221" s="1"/>
      <c r="E221" s="10"/>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0.199999999999999" x14ac:dyDescent="0.2">
      <c r="A222" s="3"/>
      <c r="B222" s="1"/>
      <c r="C222" s="1"/>
      <c r="D222" s="1"/>
      <c r="E222" s="10"/>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0.199999999999999" x14ac:dyDescent="0.2">
      <c r="A223" s="3"/>
      <c r="B223" s="1"/>
      <c r="C223" s="1"/>
      <c r="D223" s="1"/>
      <c r="E223" s="10"/>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0.199999999999999" x14ac:dyDescent="0.2">
      <c r="A224" s="3"/>
      <c r="B224" s="1"/>
      <c r="C224" s="1"/>
      <c r="D224" s="1"/>
      <c r="E224" s="10"/>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ht="10.199999999999999" x14ac:dyDescent="0.2">
      <c r="A225" s="3"/>
      <c r="B225" s="1"/>
      <c r="C225" s="1"/>
      <c r="D225" s="1"/>
      <c r="E225" s="10"/>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ht="10.199999999999999" x14ac:dyDescent="0.2">
      <c r="A226" s="3"/>
      <c r="B226" s="1"/>
      <c r="C226" s="1"/>
      <c r="D226" s="1"/>
      <c r="E226" s="10"/>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ht="10.199999999999999" x14ac:dyDescent="0.2">
      <c r="A227" s="3"/>
      <c r="B227" s="1"/>
      <c r="C227" s="1"/>
      <c r="D227" s="1"/>
      <c r="E227" s="10"/>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ht="10.199999999999999" x14ac:dyDescent="0.2">
      <c r="A228" s="3"/>
      <c r="B228" s="1"/>
      <c r="C228" s="1"/>
      <c r="D228" s="1"/>
      <c r="E228" s="10"/>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ht="10.199999999999999" x14ac:dyDescent="0.2">
      <c r="A229" s="3"/>
      <c r="B229" s="1"/>
      <c r="C229" s="1"/>
      <c r="D229" s="1"/>
      <c r="E229" s="10"/>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ht="10.199999999999999" x14ac:dyDescent="0.2">
      <c r="A230" s="3"/>
      <c r="B230" s="1"/>
      <c r="C230" s="1"/>
      <c r="D230" s="1"/>
      <c r="E230" s="10"/>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ht="10.199999999999999" x14ac:dyDescent="0.2">
      <c r="A231" s="3"/>
      <c r="B231" s="1"/>
      <c r="C231" s="1"/>
      <c r="D231" s="1"/>
      <c r="E231" s="10"/>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ht="10.199999999999999" x14ac:dyDescent="0.2">
      <c r="A232" s="3"/>
      <c r="B232" s="1"/>
      <c r="C232" s="1"/>
      <c r="D232" s="1"/>
      <c r="E232" s="10"/>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ht="10.199999999999999" x14ac:dyDescent="0.2">
      <c r="A233" s="3"/>
      <c r="B233" s="1"/>
      <c r="C233" s="1"/>
      <c r="D233" s="1"/>
      <c r="E233" s="10"/>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ht="10.199999999999999" x14ac:dyDescent="0.2">
      <c r="A234" s="3"/>
      <c r="B234" s="1"/>
      <c r="C234" s="1"/>
      <c r="D234" s="1"/>
      <c r="E234" s="10"/>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ht="10.199999999999999" x14ac:dyDescent="0.2">
      <c r="A235" s="3"/>
      <c r="B235" s="1"/>
      <c r="C235" s="1"/>
      <c r="D235" s="1"/>
      <c r="E235" s="10"/>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ht="10.199999999999999" x14ac:dyDescent="0.2">
      <c r="A236" s="3"/>
      <c r="B236" s="1"/>
      <c r="C236" s="1"/>
      <c r="D236" s="1"/>
      <c r="E236" s="10"/>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ht="10.199999999999999" x14ac:dyDescent="0.2">
      <c r="A237" s="3"/>
      <c r="B237" s="1"/>
      <c r="C237" s="1"/>
      <c r="D237" s="1"/>
      <c r="E237" s="10"/>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ht="10.199999999999999" x14ac:dyDescent="0.2">
      <c r="A238" s="3"/>
      <c r="B238" s="1"/>
      <c r="C238" s="1"/>
      <c r="D238" s="1"/>
      <c r="E238" s="10"/>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ht="10.199999999999999" x14ac:dyDescent="0.2">
      <c r="A239" s="3"/>
      <c r="B239" s="1"/>
      <c r="C239" s="1"/>
      <c r="D239" s="1"/>
      <c r="E239" s="10"/>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ht="10.199999999999999" x14ac:dyDescent="0.2">
      <c r="A240" s="3"/>
      <c r="B240" s="1"/>
      <c r="C240" s="1"/>
      <c r="D240" s="1"/>
      <c r="E240" s="10"/>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ht="10.199999999999999" x14ac:dyDescent="0.2">
      <c r="A241" s="3"/>
      <c r="B241" s="1"/>
      <c r="C241" s="1"/>
      <c r="D241" s="1"/>
      <c r="E241" s="10"/>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ht="10.199999999999999" x14ac:dyDescent="0.2">
      <c r="A242" s="3"/>
      <c r="B242" s="1"/>
      <c r="C242" s="1"/>
      <c r="D242" s="1"/>
      <c r="E242" s="10"/>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ht="10.199999999999999" x14ac:dyDescent="0.2">
      <c r="A243" s="3"/>
      <c r="B243" s="1"/>
      <c r="C243" s="1"/>
      <c r="D243" s="1"/>
      <c r="E243" s="10"/>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ht="10.199999999999999" x14ac:dyDescent="0.2">
      <c r="A244" s="3"/>
      <c r="B244" s="1"/>
      <c r="C244" s="1"/>
      <c r="D244" s="1"/>
      <c r="E244" s="10"/>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ht="10.199999999999999" x14ac:dyDescent="0.2">
      <c r="A245" s="3"/>
      <c r="B245" s="1"/>
      <c r="C245" s="1"/>
      <c r="D245" s="1"/>
      <c r="E245" s="10"/>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ht="10.199999999999999" x14ac:dyDescent="0.2">
      <c r="A246" s="3"/>
      <c r="B246" s="1"/>
      <c r="C246" s="1"/>
      <c r="D246" s="1"/>
      <c r="E246" s="10"/>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ht="10.199999999999999" x14ac:dyDescent="0.2">
      <c r="A247" s="3"/>
      <c r="B247" s="1"/>
      <c r="C247" s="1"/>
      <c r="D247" s="1"/>
      <c r="E247" s="10"/>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ht="10.199999999999999" x14ac:dyDescent="0.2">
      <c r="A248" s="3"/>
      <c r="B248" s="1"/>
      <c r="C248" s="1"/>
      <c r="D248" s="1"/>
      <c r="E248" s="10"/>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ht="10.199999999999999" x14ac:dyDescent="0.2">
      <c r="A249" s="3"/>
      <c r="B249" s="1"/>
      <c r="C249" s="1"/>
      <c r="D249" s="1"/>
      <c r="E249" s="10"/>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ht="10.199999999999999" x14ac:dyDescent="0.2">
      <c r="A250" s="3"/>
      <c r="B250" s="1"/>
      <c r="C250" s="1"/>
      <c r="D250" s="1"/>
      <c r="E250" s="10"/>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ht="10.199999999999999" x14ac:dyDescent="0.2">
      <c r="A251" s="3"/>
      <c r="B251" s="1"/>
      <c r="C251" s="1"/>
      <c r="D251" s="1"/>
      <c r="E251" s="10"/>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ht="10.199999999999999" x14ac:dyDescent="0.2">
      <c r="A252" s="3"/>
      <c r="B252" s="1"/>
      <c r="C252" s="1"/>
      <c r="D252" s="1"/>
      <c r="E252" s="10"/>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ht="10.199999999999999" x14ac:dyDescent="0.2">
      <c r="A253" s="3"/>
      <c r="B253" s="1"/>
      <c r="C253" s="1"/>
      <c r="D253" s="1"/>
      <c r="E253" s="10"/>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ht="10.199999999999999" x14ac:dyDescent="0.2">
      <c r="A254" s="3"/>
      <c r="B254" s="1"/>
      <c r="C254" s="1"/>
      <c r="D254" s="1"/>
      <c r="E254" s="10"/>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spans="1:36" ht="10.199999999999999" x14ac:dyDescent="0.2">
      <c r="A255" s="3"/>
      <c r="B255" s="1"/>
      <c r="C255" s="1"/>
      <c r="D255" s="1"/>
      <c r="E255" s="10"/>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spans="1:36" ht="10.199999999999999" x14ac:dyDescent="0.2">
      <c r="A256" s="3"/>
      <c r="B256" s="1"/>
      <c r="C256" s="1"/>
      <c r="D256" s="1"/>
      <c r="E256" s="10"/>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spans="1:36" ht="10.199999999999999" x14ac:dyDescent="0.2">
      <c r="A257" s="3"/>
      <c r="B257" s="1"/>
      <c r="C257" s="1"/>
      <c r="D257" s="1"/>
      <c r="E257" s="10"/>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spans="1:36" ht="10.199999999999999" x14ac:dyDescent="0.2">
      <c r="A258" s="3"/>
      <c r="B258" s="1"/>
      <c r="C258" s="1"/>
      <c r="D258" s="1"/>
      <c r="E258" s="10"/>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spans="1:36" ht="10.199999999999999" x14ac:dyDescent="0.2">
      <c r="A259" s="3"/>
      <c r="B259" s="1"/>
      <c r="C259" s="1"/>
      <c r="D259" s="1"/>
      <c r="E259" s="10"/>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spans="1:36" ht="10.199999999999999" x14ac:dyDescent="0.2">
      <c r="A260" s="3"/>
      <c r="B260" s="1"/>
      <c r="C260" s="1"/>
      <c r="D260" s="1"/>
      <c r="E260" s="10"/>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spans="1:36" ht="10.199999999999999" x14ac:dyDescent="0.2">
      <c r="A261" s="3"/>
      <c r="B261" s="1"/>
      <c r="C261" s="1"/>
      <c r="D261" s="1"/>
      <c r="E261" s="10"/>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spans="1:36" ht="10.199999999999999" x14ac:dyDescent="0.2">
      <c r="A262" s="3"/>
      <c r="B262" s="1"/>
      <c r="C262" s="1"/>
      <c r="D262" s="1"/>
      <c r="E262" s="10"/>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spans="1:36" ht="10.199999999999999" x14ac:dyDescent="0.2">
      <c r="A263" s="3"/>
      <c r="B263" s="1"/>
      <c r="C263" s="1"/>
      <c r="D263" s="1"/>
      <c r="E263" s="10"/>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spans="1:36" ht="10.199999999999999" x14ac:dyDescent="0.2">
      <c r="A264" s="3"/>
      <c r="B264" s="1"/>
      <c r="C264" s="1"/>
      <c r="D264" s="1"/>
      <c r="E264" s="10"/>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spans="1:36" ht="10.199999999999999" x14ac:dyDescent="0.2">
      <c r="A265" s="3"/>
      <c r="B265" s="1"/>
      <c r="C265" s="1"/>
      <c r="D265" s="1"/>
      <c r="E265" s="10"/>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spans="1:36" ht="10.199999999999999" x14ac:dyDescent="0.2">
      <c r="A266" s="3"/>
      <c r="B266" s="1"/>
      <c r="C266" s="1"/>
      <c r="D266" s="1"/>
      <c r="E266" s="10"/>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spans="1:36" ht="10.199999999999999" x14ac:dyDescent="0.2">
      <c r="A267" s="3"/>
      <c r="B267" s="1"/>
      <c r="C267" s="1"/>
      <c r="D267" s="1"/>
      <c r="E267" s="10"/>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spans="1:36" ht="10.199999999999999" x14ac:dyDescent="0.2">
      <c r="A268" s="3"/>
      <c r="B268" s="1"/>
      <c r="C268" s="1"/>
      <c r="D268" s="1"/>
      <c r="E268" s="10"/>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spans="1:36" ht="10.199999999999999" x14ac:dyDescent="0.2">
      <c r="A269" s="3"/>
      <c r="B269" s="1"/>
      <c r="C269" s="1"/>
      <c r="D269" s="1"/>
      <c r="E269" s="10"/>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row>
    <row r="270" spans="1:36" ht="10.199999999999999" x14ac:dyDescent="0.2">
      <c r="A270" s="3"/>
      <c r="B270" s="1"/>
      <c r="C270" s="1"/>
      <c r="D270" s="1"/>
      <c r="E270" s="10"/>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row>
    <row r="271" spans="1:36" ht="10.199999999999999" x14ac:dyDescent="0.2">
      <c r="A271" s="3"/>
      <c r="B271" s="1"/>
      <c r="C271" s="1"/>
      <c r="D271" s="1"/>
      <c r="E271" s="10"/>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row>
    <row r="272" spans="1:36" ht="10.199999999999999" x14ac:dyDescent="0.2">
      <c r="A272" s="3"/>
      <c r="B272" s="1"/>
      <c r="C272" s="1"/>
      <c r="D272" s="1"/>
      <c r="E272" s="10"/>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row>
    <row r="273" spans="1:36" ht="10.199999999999999" x14ac:dyDescent="0.2">
      <c r="A273" s="3"/>
      <c r="B273" s="1"/>
      <c r="C273" s="1"/>
      <c r="D273" s="1"/>
      <c r="E273" s="10"/>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row>
    <row r="274" spans="1:36" ht="10.199999999999999" x14ac:dyDescent="0.2">
      <c r="A274" s="3"/>
      <c r="B274" s="1"/>
      <c r="C274" s="1"/>
      <c r="D274" s="1"/>
      <c r="E274" s="10"/>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row>
    <row r="275" spans="1:36" ht="10.199999999999999" x14ac:dyDescent="0.2">
      <c r="A275" s="3"/>
      <c r="B275" s="1"/>
      <c r="C275" s="1"/>
      <c r="D275" s="1"/>
      <c r="E275" s="10"/>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row>
    <row r="276" spans="1:36" ht="10.199999999999999" x14ac:dyDescent="0.2">
      <c r="A276" s="3"/>
      <c r="B276" s="1"/>
      <c r="C276" s="1"/>
      <c r="D276" s="1"/>
      <c r="E276" s="10"/>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row>
    <row r="277" spans="1:36" ht="10.199999999999999" x14ac:dyDescent="0.2">
      <c r="A277" s="3"/>
      <c r="B277" s="1"/>
      <c r="C277" s="1"/>
      <c r="D277" s="1"/>
      <c r="E277" s="10"/>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spans="1:36" ht="10.199999999999999" x14ac:dyDescent="0.2">
      <c r="A278" s="3"/>
      <c r="B278" s="1"/>
      <c r="C278" s="1"/>
      <c r="D278" s="1"/>
      <c r="E278" s="10"/>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spans="1:36" ht="10.199999999999999" x14ac:dyDescent="0.2">
      <c r="A279" s="3"/>
      <c r="B279" s="1"/>
      <c r="C279" s="1"/>
      <c r="D279" s="1"/>
      <c r="E279" s="10"/>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spans="1:36" ht="10.199999999999999" x14ac:dyDescent="0.2">
      <c r="A280" s="3"/>
      <c r="B280" s="1"/>
      <c r="C280" s="1"/>
      <c r="D280" s="1"/>
      <c r="E280" s="10"/>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row>
    <row r="281" spans="1:36" ht="10.199999999999999" x14ac:dyDescent="0.2">
      <c r="A281" s="3"/>
      <c r="B281" s="1"/>
      <c r="C281" s="1"/>
      <c r="D281" s="1"/>
      <c r="E281" s="10"/>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row>
    <row r="282" spans="1:36" ht="10.199999999999999" x14ac:dyDescent="0.2">
      <c r="A282" s="3"/>
      <c r="B282" s="1"/>
      <c r="C282" s="1"/>
      <c r="D282" s="1"/>
      <c r="E282" s="10"/>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row>
    <row r="283" spans="1:36" ht="10.199999999999999" x14ac:dyDescent="0.2">
      <c r="A283" s="3"/>
      <c r="B283" s="1"/>
      <c r="C283" s="1"/>
      <c r="D283" s="1"/>
      <c r="E283" s="10"/>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row>
    <row r="284" spans="1:36" ht="10.199999999999999" x14ac:dyDescent="0.2">
      <c r="A284" s="3"/>
      <c r="B284" s="1"/>
      <c r="C284" s="1"/>
      <c r="D284" s="1"/>
      <c r="E284" s="10"/>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row>
    <row r="285" spans="1:36" ht="10.199999999999999" x14ac:dyDescent="0.2">
      <c r="A285" s="3"/>
      <c r="B285" s="1"/>
      <c r="C285" s="1"/>
      <c r="D285" s="1"/>
      <c r="E285" s="10"/>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row>
    <row r="286" spans="1:36" ht="10.199999999999999" x14ac:dyDescent="0.2">
      <c r="A286" s="3"/>
      <c r="B286" s="1"/>
      <c r="C286" s="1"/>
      <c r="D286" s="1"/>
      <c r="E286" s="10"/>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row>
    <row r="287" spans="1:36" ht="10.199999999999999" x14ac:dyDescent="0.2">
      <c r="A287" s="3"/>
      <c r="B287" s="1"/>
      <c r="C287" s="1"/>
      <c r="D287" s="1"/>
      <c r="E287" s="10"/>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row>
    <row r="288" spans="1:36" ht="10.199999999999999" x14ac:dyDescent="0.2">
      <c r="A288" s="3"/>
      <c r="B288" s="1"/>
      <c r="C288" s="1"/>
      <c r="D288" s="1"/>
      <c r="E288" s="10"/>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row>
    <row r="289" spans="1:36" ht="10.199999999999999" x14ac:dyDescent="0.2">
      <c r="A289" s="3"/>
      <c r="B289" s="1"/>
      <c r="C289" s="1"/>
      <c r="D289" s="1"/>
      <c r="E289" s="10"/>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row>
    <row r="290" spans="1:36" ht="10.199999999999999" x14ac:dyDescent="0.2">
      <c r="A290" s="3"/>
      <c r="B290" s="1"/>
      <c r="C290" s="1"/>
      <c r="D290" s="1"/>
      <c r="E290" s="10"/>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row>
    <row r="291" spans="1:36" ht="10.199999999999999" x14ac:dyDescent="0.2">
      <c r="A291" s="3"/>
      <c r="B291" s="1"/>
      <c r="C291" s="1"/>
      <c r="D291" s="1"/>
      <c r="E291" s="10"/>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row>
    <row r="292" spans="1:36" ht="10.199999999999999" x14ac:dyDescent="0.2">
      <c r="A292" s="3"/>
      <c r="B292" s="1"/>
      <c r="C292" s="1"/>
      <c r="D292" s="1"/>
      <c r="E292" s="10"/>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row>
    <row r="293" spans="1:36" ht="10.199999999999999" x14ac:dyDescent="0.2">
      <c r="A293" s="3"/>
      <c r="B293" s="1"/>
      <c r="C293" s="1"/>
      <c r="D293" s="1"/>
      <c r="E293" s="10"/>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row>
    <row r="294" spans="1:36" ht="10.199999999999999" x14ac:dyDescent="0.2">
      <c r="A294" s="3"/>
      <c r="B294" s="1"/>
      <c r="C294" s="1"/>
      <c r="D294" s="1"/>
      <c r="E294" s="10"/>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row>
    <row r="295" spans="1:36" ht="10.199999999999999" x14ac:dyDescent="0.2">
      <c r="A295" s="3"/>
      <c r="B295" s="1"/>
      <c r="C295" s="1"/>
      <c r="D295" s="1"/>
      <c r="E295" s="10"/>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row>
    <row r="296" spans="1:36" ht="10.199999999999999" x14ac:dyDescent="0.2">
      <c r="A296" s="3"/>
      <c r="B296" s="1"/>
      <c r="C296" s="1"/>
      <c r="D296" s="1"/>
      <c r="E296" s="10"/>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row>
    <row r="297" spans="1:36" ht="10.199999999999999" x14ac:dyDescent="0.2">
      <c r="A297" s="3"/>
      <c r="B297" s="1"/>
      <c r="C297" s="1"/>
      <c r="D297" s="1"/>
      <c r="E297" s="10"/>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row>
    <row r="298" spans="1:36" ht="10.199999999999999" x14ac:dyDescent="0.2">
      <c r="A298" s="3"/>
      <c r="B298" s="1"/>
      <c r="C298" s="1"/>
      <c r="D298" s="1"/>
      <c r="E298" s="10"/>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row>
    <row r="299" spans="1:36" ht="10.199999999999999" x14ac:dyDescent="0.2">
      <c r="A299" s="3"/>
      <c r="B299" s="1"/>
      <c r="C299" s="1"/>
      <c r="D299" s="1"/>
      <c r="E299" s="10"/>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row>
    <row r="300" spans="1:36" ht="10.199999999999999" x14ac:dyDescent="0.2">
      <c r="A300" s="3"/>
      <c r="B300" s="1"/>
      <c r="C300" s="1"/>
      <c r="D300" s="1"/>
      <c r="E300" s="10"/>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row>
    <row r="301" spans="1:36" ht="10.199999999999999" x14ac:dyDescent="0.2">
      <c r="A301" s="3"/>
      <c r="B301" s="1"/>
      <c r="C301" s="1"/>
      <c r="D301" s="1"/>
      <c r="E301" s="10"/>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row>
    <row r="302" spans="1:36" ht="10.199999999999999" x14ac:dyDescent="0.2">
      <c r="A302" s="3"/>
      <c r="B302" s="1"/>
      <c r="C302" s="1"/>
      <c r="D302" s="1"/>
      <c r="E302" s="10"/>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row>
    <row r="303" spans="1:36" ht="10.199999999999999" x14ac:dyDescent="0.2">
      <c r="A303" s="3"/>
      <c r="B303" s="1"/>
      <c r="C303" s="1"/>
      <c r="D303" s="1"/>
      <c r="E303" s="10"/>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row>
    <row r="304" spans="1:36" ht="10.199999999999999" x14ac:dyDescent="0.2">
      <c r="A304" s="3"/>
      <c r="B304" s="1"/>
      <c r="C304" s="1"/>
      <c r="D304" s="1"/>
      <c r="E304" s="10"/>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row>
    <row r="305" spans="1:36" ht="10.199999999999999" x14ac:dyDescent="0.2">
      <c r="A305" s="3"/>
      <c r="B305" s="1"/>
      <c r="C305" s="1"/>
      <c r="D305" s="1"/>
      <c r="E305" s="10"/>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row>
    <row r="306" spans="1:36" ht="10.199999999999999" x14ac:dyDescent="0.2">
      <c r="A306" s="3"/>
      <c r="B306" s="1"/>
      <c r="C306" s="1"/>
      <c r="D306" s="1"/>
      <c r="E306" s="10"/>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row>
    <row r="307" spans="1:36" ht="10.199999999999999" x14ac:dyDescent="0.2">
      <c r="A307" s="3"/>
      <c r="B307" s="1"/>
      <c r="C307" s="1"/>
      <c r="D307" s="1"/>
      <c r="E307" s="10"/>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row>
    <row r="308" spans="1:36" ht="10.199999999999999" x14ac:dyDescent="0.2">
      <c r="A308" s="3"/>
      <c r="B308" s="1"/>
      <c r="C308" s="1"/>
      <c r="D308" s="1"/>
      <c r="E308" s="10"/>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row>
    <row r="309" spans="1:36" ht="10.199999999999999" x14ac:dyDescent="0.2">
      <c r="A309" s="3"/>
      <c r="B309" s="1"/>
      <c r="C309" s="1"/>
      <c r="D309" s="1"/>
      <c r="E309" s="10"/>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row>
    <row r="310" spans="1:36" ht="10.199999999999999" x14ac:dyDescent="0.2">
      <c r="A310" s="3"/>
      <c r="B310" s="1"/>
      <c r="C310" s="1"/>
      <c r="D310" s="1"/>
      <c r="E310" s="10"/>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row>
    <row r="311" spans="1:36" ht="10.199999999999999" x14ac:dyDescent="0.2">
      <c r="A311" s="3"/>
      <c r="B311" s="1"/>
      <c r="C311" s="1"/>
      <c r="D311" s="1"/>
      <c r="E311" s="10"/>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row>
    <row r="312" spans="1:36" ht="10.199999999999999" x14ac:dyDescent="0.2">
      <c r="A312" s="3"/>
      <c r="B312" s="1"/>
      <c r="C312" s="1"/>
      <c r="D312" s="1"/>
      <c r="E312" s="10"/>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row>
    <row r="313" spans="1:36" ht="10.199999999999999" x14ac:dyDescent="0.2">
      <c r="A313" s="3"/>
      <c r="B313" s="1"/>
      <c r="C313" s="1"/>
      <c r="D313" s="1"/>
      <c r="E313" s="10"/>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row>
    <row r="314" spans="1:36" ht="10.199999999999999" x14ac:dyDescent="0.2">
      <c r="A314" s="3"/>
      <c r="B314" s="1"/>
      <c r="C314" s="1"/>
      <c r="D314" s="1"/>
      <c r="E314" s="10"/>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row>
    <row r="315" spans="1:36" ht="10.199999999999999" x14ac:dyDescent="0.2">
      <c r="A315" s="3"/>
      <c r="B315" s="1"/>
      <c r="C315" s="1"/>
      <c r="D315" s="1"/>
      <c r="E315" s="10"/>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row>
    <row r="316" spans="1:36" ht="10.199999999999999" x14ac:dyDescent="0.2">
      <c r="A316" s="3"/>
      <c r="B316" s="1"/>
      <c r="C316" s="1"/>
      <c r="D316" s="1"/>
      <c r="E316" s="10"/>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row>
    <row r="317" spans="1:36" ht="10.199999999999999" x14ac:dyDescent="0.2">
      <c r="A317" s="3"/>
      <c r="B317" s="1"/>
      <c r="C317" s="1"/>
      <c r="D317" s="1"/>
      <c r="E317" s="10"/>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row>
    <row r="318" spans="1:36" ht="10.199999999999999" x14ac:dyDescent="0.2">
      <c r="A318" s="3"/>
      <c r="B318" s="1"/>
      <c r="C318" s="1"/>
      <c r="D318" s="1"/>
      <c r="E318" s="10"/>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row>
    <row r="319" spans="1:36" ht="10.199999999999999" x14ac:dyDescent="0.2">
      <c r="A319" s="3"/>
      <c r="B319" s="1"/>
      <c r="C319" s="1"/>
      <c r="D319" s="1"/>
      <c r="E319" s="10"/>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row>
    <row r="320" spans="1:36" ht="10.199999999999999" x14ac:dyDescent="0.2">
      <c r="A320" s="3"/>
      <c r="B320" s="1"/>
      <c r="C320" s="1"/>
      <c r="D320" s="1"/>
      <c r="E320" s="10"/>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row>
    <row r="321" spans="1:36" ht="10.199999999999999" x14ac:dyDescent="0.2">
      <c r="A321" s="3"/>
      <c r="B321" s="1"/>
      <c r="C321" s="1"/>
      <c r="D321" s="1"/>
      <c r="E321" s="10"/>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row>
    <row r="322" spans="1:36" ht="10.199999999999999" x14ac:dyDescent="0.2">
      <c r="A322" s="3"/>
      <c r="B322" s="1"/>
      <c r="C322" s="1"/>
      <c r="D322" s="1"/>
      <c r="E322" s="10"/>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row>
    <row r="323" spans="1:36" ht="10.199999999999999" x14ac:dyDescent="0.2">
      <c r="A323" s="3"/>
      <c r="B323" s="1"/>
      <c r="C323" s="1"/>
      <c r="D323" s="1"/>
      <c r="E323" s="10"/>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row>
    <row r="324" spans="1:36" ht="10.199999999999999" x14ac:dyDescent="0.2">
      <c r="A324" s="3"/>
      <c r="B324" s="1"/>
      <c r="C324" s="1"/>
      <c r="D324" s="1"/>
      <c r="E324" s="10"/>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row>
    <row r="325" spans="1:36" ht="10.199999999999999" x14ac:dyDescent="0.2">
      <c r="A325" s="3"/>
      <c r="B325" s="1"/>
      <c r="C325" s="1"/>
      <c r="D325" s="1"/>
      <c r="E325" s="10"/>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row>
    <row r="326" spans="1:36" ht="10.199999999999999" x14ac:dyDescent="0.2">
      <c r="A326" s="3"/>
      <c r="B326" s="1"/>
      <c r="C326" s="1"/>
      <c r="D326" s="1"/>
      <c r="E326" s="10"/>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row>
    <row r="327" spans="1:36" ht="10.199999999999999" x14ac:dyDescent="0.2">
      <c r="A327" s="3"/>
      <c r="B327" s="1"/>
      <c r="C327" s="1"/>
      <c r="D327" s="1"/>
      <c r="E327" s="10"/>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row>
    <row r="328" spans="1:36" ht="10.199999999999999" x14ac:dyDescent="0.2">
      <c r="A328" s="3"/>
      <c r="B328" s="1"/>
      <c r="C328" s="1"/>
      <c r="D328" s="1"/>
      <c r="E328" s="10"/>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row>
    <row r="329" spans="1:36" ht="10.199999999999999" x14ac:dyDescent="0.2">
      <c r="A329" s="3"/>
      <c r="B329" s="1"/>
      <c r="C329" s="1"/>
      <c r="D329" s="1"/>
      <c r="E329" s="10"/>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row>
    <row r="330" spans="1:36" ht="10.199999999999999" x14ac:dyDescent="0.2">
      <c r="A330" s="3"/>
      <c r="B330" s="1"/>
      <c r="C330" s="1"/>
      <c r="D330" s="1"/>
      <c r="E330" s="10"/>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row>
    <row r="331" spans="1:36" ht="10.199999999999999" x14ac:dyDescent="0.2">
      <c r="A331" s="3"/>
      <c r="B331" s="1"/>
      <c r="C331" s="1"/>
      <c r="D331" s="1"/>
      <c r="E331" s="10"/>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row>
    <row r="332" spans="1:36" ht="10.199999999999999" x14ac:dyDescent="0.2">
      <c r="A332" s="3"/>
      <c r="B332" s="1"/>
      <c r="C332" s="1"/>
      <c r="D332" s="1"/>
      <c r="E332" s="10"/>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row>
    <row r="333" spans="1:36" ht="10.199999999999999" x14ac:dyDescent="0.2">
      <c r="A333" s="3"/>
      <c r="B333" s="1"/>
      <c r="C333" s="1"/>
      <c r="D333" s="1"/>
      <c r="E333" s="10"/>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row>
    <row r="334" spans="1:36" ht="10.199999999999999" x14ac:dyDescent="0.2">
      <c r="A334" s="3"/>
      <c r="B334" s="1"/>
      <c r="C334" s="1"/>
      <c r="D334" s="1"/>
      <c r="E334" s="10"/>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row>
    <row r="335" spans="1:36" ht="10.199999999999999" x14ac:dyDescent="0.2">
      <c r="A335" s="3"/>
      <c r="B335" s="1"/>
      <c r="C335" s="1"/>
      <c r="D335" s="1"/>
      <c r="E335" s="10"/>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row>
    <row r="336" spans="1:36" ht="10.199999999999999" x14ac:dyDescent="0.2">
      <c r="A336" s="3"/>
      <c r="B336" s="1"/>
      <c r="C336" s="1"/>
      <c r="D336" s="1"/>
      <c r="E336" s="10"/>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row>
    <row r="337" spans="1:36" ht="10.199999999999999" x14ac:dyDescent="0.2">
      <c r="A337" s="3"/>
      <c r="B337" s="1"/>
      <c r="C337" s="1"/>
      <c r="D337" s="1"/>
      <c r="E337" s="10"/>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row>
    <row r="338" spans="1:36" ht="10.199999999999999" x14ac:dyDescent="0.2">
      <c r="A338" s="3"/>
      <c r="B338" s="1"/>
      <c r="C338" s="1"/>
      <c r="D338" s="1"/>
      <c r="E338" s="10"/>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row>
    <row r="339" spans="1:36" ht="10.199999999999999" x14ac:dyDescent="0.2">
      <c r="A339" s="3"/>
      <c r="B339" s="1"/>
      <c r="C339" s="1"/>
      <c r="D339" s="1"/>
      <c r="E339" s="10"/>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row>
    <row r="340" spans="1:36" ht="10.199999999999999" x14ac:dyDescent="0.2">
      <c r="A340" s="3"/>
      <c r="B340" s="1"/>
      <c r="C340" s="1"/>
      <c r="D340" s="1"/>
      <c r="E340" s="10"/>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row>
    <row r="341" spans="1:36" ht="10.199999999999999" x14ac:dyDescent="0.2">
      <c r="A341" s="3"/>
      <c r="B341" s="1"/>
      <c r="C341" s="1"/>
      <c r="D341" s="1"/>
      <c r="E341" s="10"/>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row>
    <row r="342" spans="1:36" ht="10.199999999999999" x14ac:dyDescent="0.2">
      <c r="A342" s="3"/>
      <c r="B342" s="1"/>
      <c r="C342" s="1"/>
      <c r="D342" s="1"/>
      <c r="E342" s="10"/>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row>
    <row r="343" spans="1:36" ht="10.199999999999999" x14ac:dyDescent="0.2">
      <c r="A343" s="3"/>
      <c r="B343" s="1"/>
      <c r="C343" s="1"/>
      <c r="D343" s="1"/>
      <c r="E343" s="10"/>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row>
    <row r="344" spans="1:36" ht="10.199999999999999" x14ac:dyDescent="0.2">
      <c r="A344" s="3"/>
      <c r="B344" s="1"/>
      <c r="C344" s="1"/>
      <c r="D344" s="1"/>
      <c r="E344" s="10"/>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row>
    <row r="345" spans="1:36" ht="10.199999999999999" x14ac:dyDescent="0.2">
      <c r="A345" s="3"/>
      <c r="B345" s="1"/>
      <c r="C345" s="1"/>
      <c r="D345" s="1"/>
      <c r="E345" s="10"/>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row>
    <row r="346" spans="1:36" ht="10.199999999999999" x14ac:dyDescent="0.2">
      <c r="A346" s="3"/>
      <c r="B346" s="1"/>
      <c r="C346" s="1"/>
      <c r="D346" s="1"/>
      <c r="E346" s="10"/>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row>
    <row r="347" spans="1:36" ht="10.199999999999999" x14ac:dyDescent="0.2">
      <c r="A347" s="3"/>
      <c r="B347" s="1"/>
      <c r="C347" s="1"/>
      <c r="D347" s="1"/>
      <c r="E347" s="10"/>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row>
    <row r="348" spans="1:36" ht="10.199999999999999" x14ac:dyDescent="0.2">
      <c r="A348" s="3"/>
      <c r="B348" s="1"/>
      <c r="C348" s="1"/>
      <c r="D348" s="1"/>
      <c r="E348" s="10"/>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row>
    <row r="349" spans="1:36" ht="10.199999999999999" x14ac:dyDescent="0.2">
      <c r="A349" s="3"/>
      <c r="B349" s="1"/>
      <c r="C349" s="1"/>
      <c r="D349" s="1"/>
      <c r="E349" s="10"/>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row>
    <row r="350" spans="1:36" ht="10.199999999999999" x14ac:dyDescent="0.2">
      <c r="A350" s="3"/>
      <c r="B350" s="1"/>
      <c r="C350" s="1"/>
      <c r="D350" s="1"/>
      <c r="E350" s="10"/>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row>
    <row r="351" spans="1:36" ht="10.199999999999999" x14ac:dyDescent="0.2">
      <c r="A351" s="3"/>
      <c r="B351" s="1"/>
      <c r="C351" s="1"/>
      <c r="D351" s="1"/>
      <c r="E351" s="10"/>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row>
    <row r="352" spans="1:36" ht="10.199999999999999" x14ac:dyDescent="0.2">
      <c r="A352" s="3"/>
      <c r="B352" s="1"/>
      <c r="C352" s="1"/>
      <c r="D352" s="1"/>
      <c r="E352" s="10"/>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row>
    <row r="353" spans="1:36" ht="10.199999999999999" x14ac:dyDescent="0.2">
      <c r="A353" s="3"/>
      <c r="B353" s="1"/>
      <c r="C353" s="1"/>
      <c r="D353" s="1"/>
      <c r="E353" s="10"/>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row>
    <row r="354" spans="1:36" ht="10.199999999999999" x14ac:dyDescent="0.2">
      <c r="A354" s="3"/>
      <c r="B354" s="1"/>
      <c r="C354" s="1"/>
      <c r="D354" s="1"/>
      <c r="E354" s="10"/>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row>
    <row r="355" spans="1:36" ht="10.199999999999999" x14ac:dyDescent="0.2">
      <c r="A355" s="3"/>
      <c r="B355" s="1"/>
      <c r="C355" s="1"/>
      <c r="D355" s="1"/>
      <c r="E355" s="10"/>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row>
    <row r="356" spans="1:36" ht="10.199999999999999" x14ac:dyDescent="0.2">
      <c r="A356" s="3"/>
      <c r="B356" s="1"/>
      <c r="C356" s="1"/>
      <c r="D356" s="1"/>
      <c r="E356" s="10"/>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row>
    <row r="357" spans="1:36" ht="10.199999999999999" x14ac:dyDescent="0.2">
      <c r="A357" s="3"/>
      <c r="B357" s="1"/>
      <c r="C357" s="1"/>
      <c r="D357" s="1"/>
      <c r="E357" s="10"/>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row>
    <row r="358" spans="1:36" ht="10.199999999999999" x14ac:dyDescent="0.2">
      <c r="A358" s="3"/>
      <c r="B358" s="1"/>
      <c r="C358" s="1"/>
      <c r="D358" s="1"/>
      <c r="E358" s="10"/>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row>
    <row r="359" spans="1:36" ht="10.199999999999999" x14ac:dyDescent="0.2">
      <c r="A359" s="3"/>
      <c r="B359" s="1"/>
      <c r="C359" s="1"/>
      <c r="D359" s="1"/>
      <c r="E359" s="10"/>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row>
    <row r="360" spans="1:36" ht="10.199999999999999" x14ac:dyDescent="0.2">
      <c r="A360" s="3"/>
      <c r="B360" s="1"/>
      <c r="C360" s="1"/>
      <c r="D360" s="1"/>
      <c r="E360" s="10"/>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row>
    <row r="361" spans="1:36" ht="10.199999999999999" x14ac:dyDescent="0.2">
      <c r="A361" s="3"/>
      <c r="B361" s="1"/>
      <c r="C361" s="1"/>
      <c r="D361" s="1"/>
      <c r="E361" s="10"/>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row>
    <row r="362" spans="1:36" ht="10.199999999999999" x14ac:dyDescent="0.2">
      <c r="A362" s="3"/>
      <c r="B362" s="1"/>
      <c r="C362" s="1"/>
      <c r="D362" s="1"/>
      <c r="E362" s="10"/>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row>
    <row r="363" spans="1:36" ht="10.199999999999999" x14ac:dyDescent="0.2">
      <c r="A363" s="3"/>
      <c r="B363" s="1"/>
      <c r="C363" s="1"/>
      <c r="D363" s="1"/>
      <c r="E363" s="10"/>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row>
    <row r="364" spans="1:36" ht="10.199999999999999" x14ac:dyDescent="0.2">
      <c r="A364" s="3"/>
      <c r="B364" s="1"/>
      <c r="C364" s="1"/>
      <c r="D364" s="1"/>
      <c r="E364" s="10"/>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row>
    <row r="365" spans="1:36" ht="10.199999999999999" x14ac:dyDescent="0.2">
      <c r="A365" s="3"/>
      <c r="B365" s="1"/>
      <c r="C365" s="1"/>
      <c r="D365" s="1"/>
      <c r="E365" s="10"/>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row>
    <row r="366" spans="1:36" ht="10.199999999999999" x14ac:dyDescent="0.2">
      <c r="A366" s="3"/>
      <c r="B366" s="1"/>
      <c r="C366" s="1"/>
      <c r="D366" s="1"/>
      <c r="E366" s="10"/>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row>
    <row r="367" spans="1:36" ht="10.199999999999999" x14ac:dyDescent="0.2">
      <c r="A367" s="3"/>
      <c r="B367" s="1"/>
      <c r="C367" s="1"/>
      <c r="D367" s="1"/>
      <c r="E367" s="10"/>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row>
    <row r="368" spans="1:36" ht="10.199999999999999" x14ac:dyDescent="0.2">
      <c r="A368" s="3"/>
      <c r="B368" s="1"/>
      <c r="C368" s="1"/>
      <c r="D368" s="1"/>
      <c r="E368" s="10"/>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row>
    <row r="369" spans="1:36" ht="10.199999999999999" x14ac:dyDescent="0.2">
      <c r="A369" s="3"/>
      <c r="B369" s="1"/>
      <c r="C369" s="1"/>
      <c r="D369" s="1"/>
      <c r="E369" s="10"/>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row>
    <row r="370" spans="1:36" ht="10.199999999999999" x14ac:dyDescent="0.2">
      <c r="A370" s="3"/>
      <c r="B370" s="1"/>
      <c r="C370" s="1"/>
      <c r="D370" s="1"/>
      <c r="E370" s="10"/>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row>
    <row r="371" spans="1:36" ht="10.199999999999999" x14ac:dyDescent="0.2">
      <c r="A371" s="3"/>
      <c r="B371" s="1"/>
      <c r="C371" s="1"/>
      <c r="D371" s="1"/>
      <c r="E371" s="10"/>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row>
    <row r="372" spans="1:36" ht="10.199999999999999" x14ac:dyDescent="0.2">
      <c r="A372" s="3"/>
      <c r="B372" s="1"/>
      <c r="C372" s="1"/>
      <c r="D372" s="1"/>
      <c r="E372" s="10"/>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row>
    <row r="373" spans="1:36" ht="10.199999999999999" x14ac:dyDescent="0.2">
      <c r="A373" s="3"/>
      <c r="B373" s="1"/>
      <c r="C373" s="1"/>
      <c r="D373" s="1"/>
      <c r="E373" s="10"/>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row>
    <row r="374" spans="1:36" ht="10.199999999999999" x14ac:dyDescent="0.2">
      <c r="A374" s="3"/>
      <c r="B374" s="1"/>
      <c r="C374" s="1"/>
      <c r="D374" s="1"/>
      <c r="E374" s="10"/>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row>
    <row r="375" spans="1:36" ht="10.199999999999999" x14ac:dyDescent="0.2">
      <c r="A375" s="3"/>
      <c r="B375" s="1"/>
      <c r="C375" s="1"/>
      <c r="D375" s="1"/>
      <c r="E375" s="10"/>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row>
    <row r="376" spans="1:36" ht="10.199999999999999" x14ac:dyDescent="0.2">
      <c r="A376" s="3"/>
      <c r="B376" s="1"/>
      <c r="C376" s="1"/>
      <c r="D376" s="1"/>
      <c r="E376" s="10"/>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row>
    <row r="377" spans="1:36" ht="10.199999999999999" x14ac:dyDescent="0.2">
      <c r="A377" s="3"/>
      <c r="B377" s="1"/>
      <c r="C377" s="1"/>
      <c r="D377" s="1"/>
      <c r="E377" s="10"/>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row>
    <row r="378" spans="1:36" ht="10.199999999999999" x14ac:dyDescent="0.2">
      <c r="A378" s="3"/>
      <c r="B378" s="1"/>
      <c r="C378" s="1"/>
      <c r="D378" s="1"/>
      <c r="E378" s="10"/>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row>
    <row r="379" spans="1:36" ht="10.199999999999999" x14ac:dyDescent="0.2">
      <c r="A379" s="3"/>
      <c r="B379" s="1"/>
      <c r="C379" s="1"/>
      <c r="D379" s="1"/>
      <c r="E379" s="10"/>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row>
    <row r="380" spans="1:36" ht="10.199999999999999" x14ac:dyDescent="0.2">
      <c r="A380" s="3"/>
      <c r="B380" s="1"/>
      <c r="C380" s="1"/>
      <c r="D380" s="1"/>
      <c r="E380" s="10"/>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row>
    <row r="381" spans="1:36" ht="10.199999999999999" x14ac:dyDescent="0.2">
      <c r="A381" s="3"/>
      <c r="B381" s="1"/>
      <c r="C381" s="1"/>
      <c r="D381" s="1"/>
      <c r="E381" s="10"/>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row>
    <row r="382" spans="1:36" ht="10.199999999999999" x14ac:dyDescent="0.2">
      <c r="A382" s="3"/>
      <c r="B382" s="1"/>
      <c r="C382" s="1"/>
      <c r="D382" s="1"/>
      <c r="E382" s="10"/>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row>
    <row r="383" spans="1:36" ht="10.199999999999999" x14ac:dyDescent="0.2">
      <c r="A383" s="3"/>
      <c r="B383" s="1"/>
      <c r="C383" s="1"/>
      <c r="D383" s="1"/>
      <c r="E383" s="10"/>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row>
    <row r="384" spans="1:36" ht="10.199999999999999" x14ac:dyDescent="0.2">
      <c r="A384" s="3"/>
      <c r="B384" s="1"/>
      <c r="C384" s="1"/>
      <c r="D384" s="1"/>
      <c r="E384" s="10"/>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row>
    <row r="385" spans="1:36" ht="10.199999999999999" x14ac:dyDescent="0.2">
      <c r="A385" s="3"/>
      <c r="B385" s="1"/>
      <c r="C385" s="1"/>
      <c r="D385" s="1"/>
      <c r="E385" s="10"/>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row>
    <row r="386" spans="1:36" ht="10.199999999999999" x14ac:dyDescent="0.2">
      <c r="A386" s="3"/>
      <c r="B386" s="1"/>
      <c r="C386" s="1"/>
      <c r="D386" s="1"/>
      <c r="E386" s="10"/>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row>
    <row r="387" spans="1:36" ht="10.199999999999999" x14ac:dyDescent="0.2">
      <c r="A387" s="3"/>
      <c r="B387" s="1"/>
      <c r="C387" s="1"/>
      <c r="D387" s="1"/>
      <c r="E387" s="10"/>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row>
    <row r="388" spans="1:36" ht="10.199999999999999" x14ac:dyDescent="0.2">
      <c r="A388" s="3"/>
      <c r="B388" s="1"/>
      <c r="C388" s="1"/>
      <c r="D388" s="1"/>
      <c r="E388" s="10"/>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row>
    <row r="389" spans="1:36" ht="10.199999999999999" x14ac:dyDescent="0.2">
      <c r="A389" s="3"/>
      <c r="B389" s="1"/>
      <c r="C389" s="1"/>
      <c r="D389" s="1"/>
      <c r="E389" s="10"/>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row>
    <row r="390" spans="1:36" ht="10.199999999999999" x14ac:dyDescent="0.2">
      <c r="A390" s="3"/>
      <c r="B390" s="1"/>
      <c r="C390" s="1"/>
      <c r="D390" s="1"/>
      <c r="E390" s="10"/>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row>
    <row r="391" spans="1:36" ht="10.199999999999999" x14ac:dyDescent="0.2">
      <c r="A391" s="3"/>
      <c r="B391" s="1"/>
      <c r="C391" s="1"/>
      <c r="D391" s="1"/>
      <c r="E391" s="10"/>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row>
    <row r="392" spans="1:36" ht="10.199999999999999" x14ac:dyDescent="0.2">
      <c r="A392" s="3"/>
      <c r="B392" s="1"/>
      <c r="C392" s="1"/>
      <c r="D392" s="1"/>
      <c r="E392" s="10"/>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row>
    <row r="393" spans="1:36" ht="10.199999999999999" x14ac:dyDescent="0.2">
      <c r="A393" s="3"/>
      <c r="B393" s="1"/>
      <c r="C393" s="1"/>
      <c r="D393" s="1"/>
      <c r="E393" s="10"/>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row>
    <row r="394" spans="1:36" ht="10.199999999999999" x14ac:dyDescent="0.2">
      <c r="A394" s="3"/>
      <c r="B394" s="1"/>
      <c r="C394" s="1"/>
      <c r="D394" s="1"/>
      <c r="E394" s="10"/>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row>
    <row r="395" spans="1:36" ht="10.199999999999999" x14ac:dyDescent="0.2">
      <c r="A395" s="3"/>
      <c r="B395" s="1"/>
      <c r="C395" s="1"/>
      <c r="D395" s="1"/>
      <c r="E395" s="10"/>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row>
    <row r="396" spans="1:36" ht="10.199999999999999" x14ac:dyDescent="0.2">
      <c r="A396" s="3"/>
      <c r="B396" s="1"/>
      <c r="C396" s="1"/>
      <c r="D396" s="1"/>
      <c r="E396" s="10"/>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row>
    <row r="397" spans="1:36" ht="10.199999999999999" x14ac:dyDescent="0.2">
      <c r="A397" s="3"/>
      <c r="B397" s="1"/>
      <c r="C397" s="1"/>
      <c r="D397" s="1"/>
      <c r="E397" s="10"/>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row>
    <row r="398" spans="1:36" ht="10.199999999999999" x14ac:dyDescent="0.2">
      <c r="A398" s="3"/>
      <c r="B398" s="1"/>
      <c r="C398" s="1"/>
      <c r="D398" s="1"/>
      <c r="E398" s="10"/>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row>
    <row r="399" spans="1:36" ht="10.199999999999999" x14ac:dyDescent="0.2">
      <c r="A399" s="3"/>
      <c r="B399" s="1"/>
      <c r="C399" s="1"/>
      <c r="D399" s="1"/>
      <c r="E399" s="10"/>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row>
    <row r="400" spans="1:36" ht="10.199999999999999" x14ac:dyDescent="0.2">
      <c r="A400" s="3"/>
      <c r="B400" s="1"/>
      <c r="C400" s="1"/>
      <c r="D400" s="1"/>
      <c r="E400" s="10"/>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row>
    <row r="401" spans="1:36" ht="10.199999999999999" x14ac:dyDescent="0.2">
      <c r="A401" s="3"/>
      <c r="B401" s="1"/>
      <c r="C401" s="1"/>
      <c r="D401" s="1"/>
      <c r="E401" s="10"/>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row>
    <row r="402" spans="1:36" ht="10.199999999999999" x14ac:dyDescent="0.2">
      <c r="A402" s="3"/>
      <c r="B402" s="1"/>
      <c r="C402" s="1"/>
      <c r="D402" s="1"/>
      <c r="E402" s="10"/>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row>
    <row r="403" spans="1:36" ht="10.199999999999999" x14ac:dyDescent="0.2">
      <c r="A403" s="3"/>
      <c r="B403" s="1"/>
      <c r="C403" s="1"/>
      <c r="D403" s="1"/>
      <c r="E403" s="10"/>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row>
    <row r="404" spans="1:36" ht="10.199999999999999" x14ac:dyDescent="0.2">
      <c r="A404" s="3"/>
      <c r="B404" s="1"/>
      <c r="C404" s="1"/>
      <c r="D404" s="1"/>
      <c r="E404" s="10"/>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row>
    <row r="405" spans="1:36" ht="10.199999999999999" x14ac:dyDescent="0.2">
      <c r="A405" s="3"/>
      <c r="B405" s="1"/>
      <c r="C405" s="1"/>
      <c r="D405" s="1"/>
      <c r="E405" s="10"/>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row>
    <row r="406" spans="1:36" ht="10.199999999999999" x14ac:dyDescent="0.2">
      <c r="A406" s="3"/>
      <c r="B406" s="1"/>
      <c r="C406" s="1"/>
      <c r="D406" s="1"/>
      <c r="E406" s="10"/>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row>
    <row r="407" spans="1:36" ht="10.199999999999999" x14ac:dyDescent="0.2">
      <c r="A407" s="3"/>
      <c r="B407" s="1"/>
      <c r="C407" s="1"/>
      <c r="D407" s="1"/>
      <c r="E407" s="10"/>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row>
    <row r="408" spans="1:36" ht="10.199999999999999" x14ac:dyDescent="0.2">
      <c r="A408" s="3"/>
      <c r="B408" s="1"/>
      <c r="C408" s="1"/>
      <c r="D408" s="1"/>
      <c r="E408" s="10"/>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row>
    <row r="409" spans="1:36" ht="10.199999999999999" x14ac:dyDescent="0.2">
      <c r="A409" s="3"/>
      <c r="B409" s="1"/>
      <c r="C409" s="1"/>
      <c r="D409" s="1"/>
      <c r="E409" s="10"/>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row>
    <row r="410" spans="1:36" ht="10.199999999999999" x14ac:dyDescent="0.2">
      <c r="A410" s="3"/>
      <c r="B410" s="1"/>
      <c r="C410" s="1"/>
      <c r="D410" s="1"/>
      <c r="E410" s="10"/>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row>
    <row r="411" spans="1:36" ht="10.199999999999999" x14ac:dyDescent="0.2">
      <c r="A411" s="3"/>
      <c r="B411" s="1"/>
      <c r="C411" s="1"/>
      <c r="D411" s="1"/>
      <c r="E411" s="10"/>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row>
    <row r="412" spans="1:36" ht="10.199999999999999" x14ac:dyDescent="0.2">
      <c r="A412" s="3"/>
      <c r="B412" s="1"/>
      <c r="C412" s="1"/>
      <c r="D412" s="1"/>
      <c r="E412" s="10"/>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row>
    <row r="413" spans="1:36" ht="10.199999999999999" x14ac:dyDescent="0.2">
      <c r="A413" s="3"/>
      <c r="B413" s="1"/>
      <c r="C413" s="1"/>
      <c r="D413" s="1"/>
      <c r="E413" s="10"/>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row>
    <row r="414" spans="1:36" ht="10.199999999999999" x14ac:dyDescent="0.2">
      <c r="A414" s="3"/>
      <c r="B414" s="1"/>
      <c r="C414" s="1"/>
      <c r="D414" s="1"/>
      <c r="E414" s="10"/>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row>
    <row r="415" spans="1:36" ht="10.199999999999999" x14ac:dyDescent="0.2">
      <c r="A415" s="3"/>
      <c r="B415" s="1"/>
      <c r="C415" s="1"/>
      <c r="D415" s="1"/>
      <c r="E415" s="10"/>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row>
    <row r="416" spans="1:36" ht="10.199999999999999" x14ac:dyDescent="0.2">
      <c r="A416" s="3"/>
      <c r="B416" s="1"/>
      <c r="C416" s="1"/>
      <c r="D416" s="1"/>
      <c r="E416" s="10"/>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row>
    <row r="417" spans="1:36" ht="10.199999999999999" x14ac:dyDescent="0.2">
      <c r="A417" s="3"/>
      <c r="B417" s="1"/>
      <c r="C417" s="1"/>
      <c r="D417" s="1"/>
      <c r="E417" s="10"/>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row>
    <row r="418" spans="1:36" ht="10.199999999999999" x14ac:dyDescent="0.2">
      <c r="A418" s="3"/>
      <c r="B418" s="1"/>
      <c r="C418" s="1"/>
      <c r="D418" s="1"/>
      <c r="E418" s="10"/>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row>
    <row r="419" spans="1:36" ht="10.199999999999999" x14ac:dyDescent="0.2">
      <c r="A419" s="3"/>
      <c r="B419" s="1"/>
      <c r="C419" s="1"/>
      <c r="D419" s="1"/>
      <c r="E419" s="10"/>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row>
    <row r="420" spans="1:36" ht="10.199999999999999" x14ac:dyDescent="0.2">
      <c r="A420" s="3"/>
      <c r="B420" s="1"/>
      <c r="C420" s="1"/>
      <c r="D420" s="1"/>
      <c r="E420" s="10"/>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row>
    <row r="421" spans="1:36" ht="10.199999999999999" x14ac:dyDescent="0.2">
      <c r="A421" s="3"/>
      <c r="B421" s="1"/>
      <c r="C421" s="1"/>
      <c r="D421" s="1"/>
      <c r="E421" s="10"/>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row>
    <row r="422" spans="1:36" ht="10.199999999999999" x14ac:dyDescent="0.2">
      <c r="A422" s="3"/>
      <c r="B422" s="1"/>
      <c r="C422" s="1"/>
      <c r="D422" s="1"/>
      <c r="E422" s="10"/>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row>
    <row r="423" spans="1:36" ht="10.199999999999999" x14ac:dyDescent="0.2">
      <c r="A423" s="3"/>
      <c r="B423" s="1"/>
      <c r="C423" s="1"/>
      <c r="D423" s="1"/>
      <c r="E423" s="10"/>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row>
    <row r="424" spans="1:36" ht="10.199999999999999" x14ac:dyDescent="0.2">
      <c r="A424" s="3"/>
      <c r="B424" s="1"/>
      <c r="C424" s="1"/>
      <c r="D424" s="1"/>
      <c r="E424" s="10"/>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row>
    <row r="425" spans="1:36" ht="10.199999999999999" x14ac:dyDescent="0.2">
      <c r="A425" s="3"/>
      <c r="B425" s="1"/>
      <c r="C425" s="1"/>
      <c r="D425" s="1"/>
      <c r="E425" s="10"/>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row>
    <row r="426" spans="1:36" ht="10.199999999999999" x14ac:dyDescent="0.2">
      <c r="A426" s="3"/>
      <c r="B426" s="1"/>
      <c r="C426" s="1"/>
      <c r="D426" s="1"/>
      <c r="E426" s="10"/>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row>
    <row r="427" spans="1:36" ht="10.199999999999999" x14ac:dyDescent="0.2">
      <c r="A427" s="3"/>
      <c r="B427" s="1"/>
      <c r="C427" s="1"/>
      <c r="D427" s="1"/>
      <c r="E427" s="10"/>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row>
    <row r="428" spans="1:36" ht="10.199999999999999" x14ac:dyDescent="0.2">
      <c r="A428" s="3"/>
      <c r="B428" s="1"/>
      <c r="C428" s="1"/>
      <c r="D428" s="1"/>
      <c r="E428" s="10"/>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row>
    <row r="429" spans="1:36" ht="10.199999999999999" x14ac:dyDescent="0.2">
      <c r="A429" s="3"/>
      <c r="B429" s="1"/>
      <c r="C429" s="1"/>
      <c r="D429" s="1"/>
      <c r="E429" s="10"/>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spans="1:36" ht="10.199999999999999" x14ac:dyDescent="0.2">
      <c r="A430" s="3"/>
      <c r="B430" s="1"/>
      <c r="C430" s="1"/>
      <c r="D430" s="1"/>
      <c r="E430" s="10"/>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ht="10.199999999999999" x14ac:dyDescent="0.2">
      <c r="A431" s="3"/>
      <c r="B431" s="1"/>
      <c r="C431" s="1"/>
      <c r="D431" s="1"/>
      <c r="E431" s="10"/>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ht="10.199999999999999" x14ac:dyDescent="0.2">
      <c r="A432" s="3"/>
      <c r="B432" s="1"/>
      <c r="C432" s="1"/>
      <c r="D432" s="1"/>
      <c r="E432" s="10"/>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ht="10.199999999999999" x14ac:dyDescent="0.2">
      <c r="A433" s="3"/>
      <c r="B433" s="1"/>
      <c r="C433" s="1"/>
      <c r="D433" s="1"/>
      <c r="E433" s="10"/>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ht="10.199999999999999" x14ac:dyDescent="0.2">
      <c r="A434" s="3"/>
      <c r="B434" s="1"/>
      <c r="C434" s="1"/>
      <c r="D434" s="1"/>
      <c r="E434" s="10"/>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ht="10.199999999999999" x14ac:dyDescent="0.2">
      <c r="A435" s="3"/>
      <c r="B435" s="1"/>
      <c r="C435" s="1"/>
      <c r="D435" s="1"/>
      <c r="E435" s="10"/>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ht="10.199999999999999" x14ac:dyDescent="0.2">
      <c r="A436" s="3"/>
      <c r="B436" s="1"/>
      <c r="C436" s="1"/>
      <c r="D436" s="1"/>
      <c r="E436" s="10"/>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ht="10.199999999999999" x14ac:dyDescent="0.2">
      <c r="A437" s="3"/>
      <c r="B437" s="1"/>
      <c r="C437" s="1"/>
      <c r="D437" s="1"/>
      <c r="E437" s="10"/>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ht="10.199999999999999" x14ac:dyDescent="0.2">
      <c r="A438" s="3"/>
      <c r="B438" s="1"/>
      <c r="C438" s="1"/>
      <c r="D438" s="1"/>
      <c r="E438" s="10"/>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ht="10.199999999999999" x14ac:dyDescent="0.2">
      <c r="A439" s="3"/>
      <c r="B439" s="1"/>
      <c r="C439" s="1"/>
      <c r="D439" s="1"/>
      <c r="E439" s="10"/>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ht="10.199999999999999" x14ac:dyDescent="0.2">
      <c r="A440" s="3"/>
      <c r="B440" s="1"/>
      <c r="C440" s="1"/>
      <c r="D440" s="1"/>
      <c r="E440" s="10"/>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ht="10.199999999999999" x14ac:dyDescent="0.2">
      <c r="A441" s="3"/>
      <c r="B441" s="1"/>
      <c r="C441" s="1"/>
      <c r="D441" s="1"/>
      <c r="E441" s="10"/>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ht="10.199999999999999" x14ac:dyDescent="0.2">
      <c r="A442" s="3"/>
      <c r="B442" s="1"/>
      <c r="C442" s="1"/>
      <c r="D442" s="1"/>
      <c r="E442" s="10"/>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ht="10.199999999999999" x14ac:dyDescent="0.2">
      <c r="A443" s="3"/>
      <c r="B443" s="1"/>
      <c r="C443" s="1"/>
      <c r="D443" s="1"/>
      <c r="E443" s="10"/>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ht="10.199999999999999" x14ac:dyDescent="0.2">
      <c r="A444" s="3"/>
      <c r="B444" s="1"/>
      <c r="C444" s="1"/>
      <c r="D444" s="1"/>
      <c r="E444" s="10"/>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ht="10.199999999999999" x14ac:dyDescent="0.2">
      <c r="A445" s="3"/>
      <c r="B445" s="1"/>
      <c r="C445" s="1"/>
      <c r="D445" s="1"/>
      <c r="E445" s="10"/>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ht="10.199999999999999" x14ac:dyDescent="0.2">
      <c r="A446" s="3"/>
      <c r="B446" s="1"/>
      <c r="C446" s="1"/>
      <c r="D446" s="1"/>
      <c r="E446" s="10"/>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ht="10.199999999999999" x14ac:dyDescent="0.2">
      <c r="A447" s="3"/>
      <c r="B447" s="1"/>
      <c r="C447" s="1"/>
      <c r="D447" s="1"/>
      <c r="E447" s="10"/>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ht="10.199999999999999" x14ac:dyDescent="0.2">
      <c r="A448" s="3"/>
      <c r="B448" s="1"/>
      <c r="C448" s="1"/>
      <c r="D448" s="1"/>
      <c r="E448" s="10"/>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ht="10.199999999999999" x14ac:dyDescent="0.2">
      <c r="A449" s="3"/>
      <c r="B449" s="1"/>
      <c r="C449" s="1"/>
      <c r="D449" s="1"/>
      <c r="E449" s="10"/>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ht="10.199999999999999" x14ac:dyDescent="0.2">
      <c r="A450" s="3"/>
      <c r="B450" s="1"/>
      <c r="C450" s="1"/>
      <c r="D450" s="1"/>
      <c r="E450" s="10"/>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ht="10.199999999999999" x14ac:dyDescent="0.2">
      <c r="A451" s="3"/>
      <c r="B451" s="1"/>
      <c r="C451" s="1"/>
      <c r="D451" s="1"/>
      <c r="E451" s="10"/>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ht="10.199999999999999" x14ac:dyDescent="0.2">
      <c r="A452" s="3"/>
      <c r="B452" s="1"/>
      <c r="C452" s="1"/>
      <c r="D452" s="1"/>
      <c r="E452" s="10"/>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ht="10.199999999999999" x14ac:dyDescent="0.2">
      <c r="A453" s="3"/>
      <c r="B453" s="1"/>
      <c r="C453" s="1"/>
      <c r="D453" s="1"/>
      <c r="E453" s="10"/>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ht="10.199999999999999" x14ac:dyDescent="0.2">
      <c r="A454" s="3"/>
      <c r="B454" s="1"/>
      <c r="C454" s="1"/>
      <c r="D454" s="1"/>
      <c r="E454" s="10"/>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ht="10.199999999999999" x14ac:dyDescent="0.2">
      <c r="A455" s="3"/>
      <c r="B455" s="1"/>
      <c r="C455" s="1"/>
      <c r="D455" s="1"/>
      <c r="E455" s="10"/>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ht="10.199999999999999" x14ac:dyDescent="0.2">
      <c r="A456" s="3"/>
      <c r="B456" s="1"/>
      <c r="C456" s="1"/>
      <c r="D456" s="1"/>
      <c r="E456" s="10"/>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ht="10.199999999999999" x14ac:dyDescent="0.2">
      <c r="A457" s="3"/>
      <c r="B457" s="1"/>
      <c r="C457" s="1"/>
      <c r="D457" s="1"/>
      <c r="E457" s="10"/>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ht="10.199999999999999" x14ac:dyDescent="0.2">
      <c r="A458" s="3"/>
      <c r="B458" s="1"/>
      <c r="C458" s="1"/>
      <c r="D458" s="1"/>
      <c r="E458" s="10"/>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ht="10.199999999999999" x14ac:dyDescent="0.2">
      <c r="A459" s="3"/>
      <c r="B459" s="1"/>
      <c r="C459" s="1"/>
      <c r="D459" s="1"/>
      <c r="E459" s="10"/>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ht="10.199999999999999" x14ac:dyDescent="0.2">
      <c r="A460" s="3"/>
      <c r="B460" s="1"/>
      <c r="C460" s="1"/>
      <c r="D460" s="1"/>
      <c r="E460" s="10"/>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ht="10.199999999999999" x14ac:dyDescent="0.2">
      <c r="A461" s="3"/>
      <c r="B461" s="1"/>
      <c r="C461" s="1"/>
      <c r="D461" s="1"/>
      <c r="E461" s="10"/>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ht="10.199999999999999" x14ac:dyDescent="0.2">
      <c r="A462" s="3"/>
      <c r="B462" s="1"/>
      <c r="C462" s="1"/>
      <c r="D462" s="1"/>
      <c r="E462" s="10"/>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ht="10.199999999999999" x14ac:dyDescent="0.2">
      <c r="A463" s="3"/>
      <c r="B463" s="1"/>
      <c r="C463" s="1"/>
      <c r="D463" s="1"/>
      <c r="E463" s="10"/>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ht="10.199999999999999" x14ac:dyDescent="0.2">
      <c r="A464" s="3"/>
      <c r="B464" s="1"/>
      <c r="C464" s="1"/>
      <c r="D464" s="1"/>
      <c r="E464" s="10"/>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ht="10.199999999999999" x14ac:dyDescent="0.2">
      <c r="A465" s="3"/>
      <c r="B465" s="1"/>
      <c r="C465" s="1"/>
      <c r="D465" s="1"/>
      <c r="E465" s="10"/>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ht="10.199999999999999" x14ac:dyDescent="0.2">
      <c r="A466" s="3"/>
      <c r="B466" s="1"/>
      <c r="C466" s="1"/>
      <c r="D466" s="1"/>
      <c r="E466" s="10"/>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ht="10.199999999999999" x14ac:dyDescent="0.2">
      <c r="A467" s="3"/>
      <c r="B467" s="1"/>
      <c r="C467" s="1"/>
      <c r="D467" s="1"/>
      <c r="E467" s="10"/>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ht="10.199999999999999" x14ac:dyDescent="0.2">
      <c r="A468" s="3"/>
      <c r="B468" s="1"/>
      <c r="C468" s="1"/>
      <c r="D468" s="1"/>
      <c r="E468" s="10"/>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ht="10.199999999999999" x14ac:dyDescent="0.2">
      <c r="A469" s="3"/>
      <c r="B469" s="1"/>
      <c r="C469" s="1"/>
      <c r="D469" s="1"/>
      <c r="E469" s="10"/>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ht="10.199999999999999" x14ac:dyDescent="0.2">
      <c r="A470" s="3"/>
      <c r="B470" s="1"/>
      <c r="C470" s="1"/>
      <c r="D470" s="1"/>
      <c r="E470" s="10"/>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ht="10.199999999999999" x14ac:dyDescent="0.2">
      <c r="A471" s="3"/>
      <c r="B471" s="1"/>
      <c r="C471" s="1"/>
      <c r="D471" s="1"/>
      <c r="E471" s="10"/>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ht="10.199999999999999" x14ac:dyDescent="0.2">
      <c r="A472" s="3"/>
      <c r="B472" s="1"/>
      <c r="C472" s="1"/>
      <c r="D472" s="1"/>
      <c r="E472" s="10"/>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ht="10.199999999999999" x14ac:dyDescent="0.2">
      <c r="A473" s="3"/>
      <c r="B473" s="1"/>
      <c r="C473" s="1"/>
      <c r="D473" s="1"/>
      <c r="E473" s="10"/>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ht="10.199999999999999" x14ac:dyDescent="0.2">
      <c r="A474" s="3"/>
      <c r="B474" s="1"/>
      <c r="C474" s="1"/>
      <c r="D474" s="1"/>
      <c r="E474" s="10"/>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ht="10.199999999999999" x14ac:dyDescent="0.2">
      <c r="A475" s="3"/>
      <c r="B475" s="1"/>
      <c r="C475" s="1"/>
      <c r="D475" s="1"/>
      <c r="E475" s="10"/>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ht="10.199999999999999" x14ac:dyDescent="0.2">
      <c r="A476" s="3"/>
      <c r="B476" s="1"/>
      <c r="C476" s="1"/>
      <c r="D476" s="1"/>
      <c r="E476" s="10"/>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ht="10.199999999999999" x14ac:dyDescent="0.2">
      <c r="A477" s="3"/>
      <c r="B477" s="1"/>
      <c r="C477" s="1"/>
      <c r="D477" s="1"/>
      <c r="E477" s="10"/>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ht="10.199999999999999" x14ac:dyDescent="0.2">
      <c r="A478" s="3"/>
      <c r="B478" s="1"/>
      <c r="C478" s="1"/>
      <c r="D478" s="1"/>
      <c r="E478" s="10"/>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ht="10.199999999999999" x14ac:dyDescent="0.2">
      <c r="A479" s="3"/>
      <c r="B479" s="1"/>
      <c r="C479" s="1"/>
      <c r="D479" s="1"/>
      <c r="E479" s="10"/>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ht="10.199999999999999" x14ac:dyDescent="0.2">
      <c r="A480" s="3"/>
      <c r="B480" s="1"/>
      <c r="C480" s="1"/>
      <c r="D480" s="1"/>
      <c r="E480" s="10"/>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ht="10.199999999999999" x14ac:dyDescent="0.2">
      <c r="A481" s="3"/>
      <c r="B481" s="1"/>
      <c r="C481" s="1"/>
      <c r="D481" s="1"/>
      <c r="E481" s="10"/>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ht="10.199999999999999" x14ac:dyDescent="0.2">
      <c r="A482" s="3"/>
      <c r="B482" s="1"/>
      <c r="C482" s="1"/>
      <c r="D482" s="1"/>
      <c r="E482" s="10"/>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ht="10.199999999999999" x14ac:dyDescent="0.2">
      <c r="A483" s="3"/>
      <c r="B483" s="1"/>
      <c r="C483" s="1"/>
      <c r="D483" s="1"/>
      <c r="E483" s="10"/>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ht="10.199999999999999" x14ac:dyDescent="0.2">
      <c r="A484" s="3"/>
      <c r="B484" s="1"/>
      <c r="C484" s="1"/>
      <c r="D484" s="1"/>
      <c r="E484" s="10"/>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ht="10.199999999999999" x14ac:dyDescent="0.2">
      <c r="A485" s="3"/>
      <c r="B485" s="1"/>
      <c r="C485" s="1"/>
      <c r="D485" s="1"/>
      <c r="E485" s="10"/>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ht="10.199999999999999" x14ac:dyDescent="0.2">
      <c r="A486" s="3"/>
      <c r="B486" s="1"/>
      <c r="C486" s="1"/>
      <c r="D486" s="1"/>
      <c r="E486" s="10"/>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ht="10.199999999999999" x14ac:dyDescent="0.2">
      <c r="A487" s="3"/>
      <c r="B487" s="1"/>
      <c r="C487" s="1"/>
      <c r="D487" s="1"/>
      <c r="E487" s="10"/>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ht="10.199999999999999" x14ac:dyDescent="0.2">
      <c r="A488" s="3"/>
      <c r="B488" s="1"/>
      <c r="C488" s="1"/>
      <c r="D488" s="1"/>
      <c r="E488" s="10"/>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ht="10.199999999999999" x14ac:dyDescent="0.2">
      <c r="A489" s="3"/>
      <c r="B489" s="1"/>
      <c r="C489" s="1"/>
      <c r="D489" s="1"/>
      <c r="E489" s="10"/>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ht="10.199999999999999" x14ac:dyDescent="0.2">
      <c r="A490" s="3"/>
      <c r="B490" s="1"/>
      <c r="C490" s="1"/>
      <c r="D490" s="1"/>
      <c r="E490" s="10"/>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ht="10.199999999999999" x14ac:dyDescent="0.2">
      <c r="A491" s="3"/>
      <c r="B491" s="1"/>
      <c r="C491" s="1"/>
      <c r="D491" s="1"/>
      <c r="E491" s="10"/>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ht="10.199999999999999" x14ac:dyDescent="0.2">
      <c r="A492" s="3"/>
      <c r="B492" s="1"/>
      <c r="C492" s="1"/>
      <c r="D492" s="1"/>
      <c r="E492" s="10"/>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ht="10.199999999999999" x14ac:dyDescent="0.2">
      <c r="A493" s="3"/>
      <c r="B493" s="1"/>
      <c r="C493" s="1"/>
      <c r="D493" s="1"/>
      <c r="E493" s="10"/>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ht="10.199999999999999" x14ac:dyDescent="0.2">
      <c r="A494" s="3"/>
      <c r="B494" s="1"/>
      <c r="C494" s="1"/>
      <c r="D494" s="1"/>
      <c r="E494" s="10"/>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ht="10.199999999999999" x14ac:dyDescent="0.2">
      <c r="A495" s="3"/>
      <c r="B495" s="1"/>
      <c r="C495" s="1"/>
      <c r="D495" s="1"/>
      <c r="E495" s="10"/>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ht="10.199999999999999" x14ac:dyDescent="0.2">
      <c r="A496" s="3"/>
      <c r="B496" s="1"/>
      <c r="C496" s="1"/>
      <c r="D496" s="1"/>
      <c r="E496" s="10"/>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ht="10.199999999999999" x14ac:dyDescent="0.2">
      <c r="A497" s="3"/>
      <c r="B497" s="1"/>
      <c r="C497" s="1"/>
      <c r="D497" s="1"/>
      <c r="E497" s="10"/>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ht="10.199999999999999" x14ac:dyDescent="0.2">
      <c r="A498" s="3"/>
      <c r="B498" s="1"/>
      <c r="C498" s="1"/>
      <c r="D498" s="1"/>
      <c r="E498" s="10"/>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ht="10.199999999999999" x14ac:dyDescent="0.2">
      <c r="A499" s="3"/>
      <c r="B499" s="1"/>
      <c r="C499" s="1"/>
      <c r="D499" s="1"/>
      <c r="E499" s="10"/>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ht="10.199999999999999" x14ac:dyDescent="0.2">
      <c r="A500" s="3"/>
      <c r="B500" s="1"/>
      <c r="C500" s="1"/>
      <c r="D500" s="1"/>
      <c r="E500" s="10"/>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ht="10.199999999999999" x14ac:dyDescent="0.2">
      <c r="A501" s="3"/>
      <c r="B501" s="1"/>
      <c r="C501" s="1"/>
      <c r="D501" s="1"/>
      <c r="E501" s="10"/>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ht="10.199999999999999" x14ac:dyDescent="0.2">
      <c r="A502" s="3"/>
      <c r="B502" s="1"/>
      <c r="C502" s="1"/>
      <c r="D502" s="1"/>
      <c r="E502" s="10"/>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ht="10.199999999999999" x14ac:dyDescent="0.2">
      <c r="A503" s="3"/>
      <c r="B503" s="1"/>
      <c r="C503" s="1"/>
      <c r="D503" s="1"/>
      <c r="E503" s="10"/>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ht="10.199999999999999" x14ac:dyDescent="0.2">
      <c r="A504" s="3"/>
      <c r="B504" s="1"/>
      <c r="C504" s="1"/>
      <c r="D504" s="1"/>
      <c r="E504" s="10"/>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ht="10.199999999999999" x14ac:dyDescent="0.2">
      <c r="A505" s="3"/>
      <c r="B505" s="1"/>
      <c r="C505" s="1"/>
      <c r="D505" s="1"/>
      <c r="E505" s="10"/>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ht="10.199999999999999" x14ac:dyDescent="0.2">
      <c r="A506" s="3"/>
      <c r="B506" s="1"/>
      <c r="C506" s="1"/>
      <c r="D506" s="1"/>
      <c r="E506" s="10"/>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ht="10.199999999999999" x14ac:dyDescent="0.2">
      <c r="A507" s="3"/>
      <c r="B507" s="1"/>
      <c r="C507" s="1"/>
      <c r="D507" s="1"/>
      <c r="E507" s="10"/>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ht="10.199999999999999" x14ac:dyDescent="0.2">
      <c r="A508" s="3"/>
      <c r="B508" s="1"/>
      <c r="C508" s="1"/>
      <c r="D508" s="1"/>
      <c r="E508" s="10"/>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ht="10.199999999999999" x14ac:dyDescent="0.2">
      <c r="A509" s="3"/>
      <c r="B509" s="1"/>
      <c r="C509" s="1"/>
      <c r="D509" s="1"/>
      <c r="E509" s="10"/>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ht="10.199999999999999" x14ac:dyDescent="0.2">
      <c r="A510" s="3"/>
      <c r="B510" s="1"/>
      <c r="C510" s="1"/>
      <c r="D510" s="1"/>
      <c r="E510" s="10"/>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ht="10.199999999999999" x14ac:dyDescent="0.2">
      <c r="A511" s="3"/>
      <c r="B511" s="1"/>
      <c r="C511" s="1"/>
      <c r="D511" s="1"/>
      <c r="E511" s="10"/>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ht="10.199999999999999" x14ac:dyDescent="0.2">
      <c r="A512" s="3"/>
      <c r="B512" s="1"/>
      <c r="C512" s="1"/>
      <c r="D512" s="1"/>
      <c r="E512" s="10"/>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ht="10.199999999999999" x14ac:dyDescent="0.2">
      <c r="A513" s="3"/>
      <c r="B513" s="1"/>
      <c r="C513" s="1"/>
      <c r="D513" s="1"/>
      <c r="E513" s="10"/>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ht="10.199999999999999" x14ac:dyDescent="0.2">
      <c r="A514" s="3"/>
      <c r="B514" s="1"/>
      <c r="C514" s="1"/>
      <c r="D514" s="1"/>
      <c r="E514" s="10"/>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ht="10.199999999999999" x14ac:dyDescent="0.2">
      <c r="A515" s="3"/>
      <c r="B515" s="1"/>
      <c r="C515" s="1"/>
      <c r="D515" s="1"/>
      <c r="E515" s="10"/>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ht="10.199999999999999" x14ac:dyDescent="0.2">
      <c r="A516" s="3"/>
      <c r="B516" s="1"/>
      <c r="C516" s="1"/>
      <c r="D516" s="1"/>
      <c r="E516" s="10"/>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ht="10.199999999999999" x14ac:dyDescent="0.2">
      <c r="A517" s="3"/>
      <c r="B517" s="1"/>
      <c r="C517" s="1"/>
      <c r="D517" s="1"/>
      <c r="E517" s="10"/>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ht="10.199999999999999" x14ac:dyDescent="0.2">
      <c r="A518" s="3"/>
      <c r="B518" s="1"/>
      <c r="C518" s="1"/>
      <c r="D518" s="1"/>
      <c r="E518" s="10"/>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ht="10.199999999999999" x14ac:dyDescent="0.2">
      <c r="A519" s="3"/>
      <c r="B519" s="1"/>
      <c r="C519" s="1"/>
      <c r="D519" s="1"/>
      <c r="E519" s="10"/>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ht="10.199999999999999" x14ac:dyDescent="0.2">
      <c r="A520" s="3"/>
      <c r="B520" s="1"/>
      <c r="C520" s="1"/>
      <c r="D520" s="1"/>
      <c r="E520" s="10"/>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ht="10.199999999999999" x14ac:dyDescent="0.2">
      <c r="A521" s="3"/>
      <c r="B521" s="1"/>
      <c r="C521" s="1"/>
      <c r="D521" s="1"/>
      <c r="E521" s="10"/>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ht="10.199999999999999" x14ac:dyDescent="0.2">
      <c r="A522" s="3"/>
      <c r="B522" s="1"/>
      <c r="C522" s="1"/>
      <c r="D522" s="1"/>
      <c r="E522" s="10"/>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ht="10.199999999999999" x14ac:dyDescent="0.2">
      <c r="A523" s="3"/>
      <c r="B523" s="1"/>
      <c r="C523" s="1"/>
      <c r="D523" s="1"/>
      <c r="E523" s="10"/>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ht="10.199999999999999" x14ac:dyDescent="0.2">
      <c r="A524" s="3"/>
      <c r="B524" s="1"/>
      <c r="C524" s="1"/>
      <c r="D524" s="1"/>
      <c r="E524" s="10"/>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ht="10.199999999999999" x14ac:dyDescent="0.2">
      <c r="A525" s="3"/>
      <c r="B525" s="1"/>
      <c r="C525" s="1"/>
      <c r="D525" s="1"/>
      <c r="E525" s="10"/>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ht="10.199999999999999" x14ac:dyDescent="0.2">
      <c r="A526" s="3"/>
      <c r="B526" s="1"/>
      <c r="C526" s="1"/>
      <c r="D526" s="1"/>
      <c r="E526" s="10"/>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ht="10.199999999999999" x14ac:dyDescent="0.2">
      <c r="A527" s="3"/>
      <c r="B527" s="1"/>
      <c r="C527" s="1"/>
      <c r="D527" s="1"/>
      <c r="E527" s="10"/>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ht="10.199999999999999" x14ac:dyDescent="0.2">
      <c r="A528" s="3"/>
      <c r="B528" s="1"/>
      <c r="C528" s="1"/>
      <c r="D528" s="1"/>
      <c r="E528" s="10"/>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ht="10.199999999999999" x14ac:dyDescent="0.2">
      <c r="A529" s="3"/>
      <c r="B529" s="1"/>
      <c r="C529" s="1"/>
      <c r="D529" s="1"/>
      <c r="E529" s="10"/>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ht="10.199999999999999" x14ac:dyDescent="0.2">
      <c r="A530" s="3"/>
      <c r="B530" s="1"/>
      <c r="C530" s="1"/>
      <c r="D530" s="1"/>
      <c r="E530" s="10"/>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ht="10.199999999999999" x14ac:dyDescent="0.2">
      <c r="A531" s="3"/>
      <c r="B531" s="1"/>
      <c r="C531" s="1"/>
      <c r="D531" s="1"/>
      <c r="E531" s="10"/>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ht="10.199999999999999" x14ac:dyDescent="0.2">
      <c r="A532" s="3"/>
      <c r="B532" s="1"/>
      <c r="C532" s="1"/>
      <c r="D532" s="1"/>
      <c r="E532" s="10"/>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ht="10.199999999999999" x14ac:dyDescent="0.2">
      <c r="A533" s="3"/>
      <c r="B533" s="1"/>
      <c r="C533" s="1"/>
      <c r="D533" s="1"/>
      <c r="E533" s="10"/>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ht="10.199999999999999" x14ac:dyDescent="0.2">
      <c r="A534" s="3"/>
      <c r="B534" s="1"/>
      <c r="C534" s="1"/>
      <c r="D534" s="1"/>
      <c r="E534" s="10"/>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ht="10.199999999999999" x14ac:dyDescent="0.2">
      <c r="A535" s="3"/>
      <c r="B535" s="1"/>
      <c r="C535" s="1"/>
      <c r="D535" s="1"/>
      <c r="E535" s="10"/>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ht="10.199999999999999" x14ac:dyDescent="0.2">
      <c r="A536" s="3"/>
      <c r="B536" s="1"/>
      <c r="C536" s="1"/>
      <c r="D536" s="1"/>
      <c r="E536" s="10"/>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ht="10.199999999999999" x14ac:dyDescent="0.2">
      <c r="A537" s="3"/>
      <c r="B537" s="1"/>
      <c r="C537" s="1"/>
      <c r="D537" s="1"/>
      <c r="E537" s="10"/>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ht="10.199999999999999" x14ac:dyDescent="0.2">
      <c r="A538" s="3"/>
      <c r="B538" s="1"/>
      <c r="C538" s="1"/>
      <c r="D538" s="1"/>
      <c r="E538" s="10"/>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ht="10.199999999999999" x14ac:dyDescent="0.2">
      <c r="A539" s="3"/>
      <c r="B539" s="1"/>
      <c r="C539" s="1"/>
      <c r="D539" s="1"/>
      <c r="E539" s="10"/>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ht="10.199999999999999" x14ac:dyDescent="0.2">
      <c r="A540" s="3"/>
      <c r="B540" s="1"/>
      <c r="C540" s="1"/>
      <c r="D540" s="1"/>
      <c r="E540" s="10"/>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ht="10.199999999999999" x14ac:dyDescent="0.2">
      <c r="A541" s="3"/>
      <c r="B541" s="1"/>
      <c r="C541" s="1"/>
      <c r="D541" s="1"/>
      <c r="E541" s="10"/>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ht="10.199999999999999" x14ac:dyDescent="0.2">
      <c r="A542" s="3"/>
      <c r="B542" s="1"/>
      <c r="C542" s="1"/>
      <c r="D542" s="1"/>
      <c r="E542" s="10"/>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ht="10.199999999999999" x14ac:dyDescent="0.2">
      <c r="A543" s="3"/>
      <c r="B543" s="1"/>
      <c r="C543" s="1"/>
      <c r="D543" s="1"/>
      <c r="E543" s="10"/>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ht="10.199999999999999" x14ac:dyDescent="0.2">
      <c r="A544" s="3"/>
      <c r="B544" s="1"/>
      <c r="C544" s="1"/>
      <c r="D544" s="1"/>
      <c r="E544" s="10"/>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ht="10.199999999999999" x14ac:dyDescent="0.2">
      <c r="A545" s="3"/>
      <c r="B545" s="1"/>
      <c r="C545" s="1"/>
      <c r="D545" s="1"/>
      <c r="E545" s="10"/>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ht="10.199999999999999" x14ac:dyDescent="0.2">
      <c r="A546" s="3"/>
      <c r="B546" s="1"/>
      <c r="C546" s="1"/>
      <c r="D546" s="1"/>
      <c r="E546" s="10"/>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ht="10.199999999999999" x14ac:dyDescent="0.2">
      <c r="A547" s="3"/>
      <c r="B547" s="1"/>
      <c r="C547" s="1"/>
      <c r="D547" s="1"/>
      <c r="E547" s="10"/>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ht="10.199999999999999" x14ac:dyDescent="0.2">
      <c r="A548" s="3"/>
      <c r="B548" s="1"/>
      <c r="C548" s="1"/>
      <c r="D548" s="1"/>
      <c r="E548" s="10"/>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ht="10.199999999999999" x14ac:dyDescent="0.2">
      <c r="A549" s="3"/>
      <c r="B549" s="1"/>
      <c r="C549" s="1"/>
      <c r="D549" s="1"/>
      <c r="E549" s="10"/>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ht="10.199999999999999" x14ac:dyDescent="0.2">
      <c r="A550" s="3"/>
      <c r="B550" s="1"/>
      <c r="C550" s="1"/>
      <c r="D550" s="1"/>
      <c r="E550" s="10"/>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ht="10.199999999999999" x14ac:dyDescent="0.2">
      <c r="A551" s="3"/>
      <c r="B551" s="1"/>
      <c r="C551" s="1"/>
      <c r="D551" s="1"/>
      <c r="E551" s="10"/>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ht="10.199999999999999" x14ac:dyDescent="0.2">
      <c r="A552" s="3"/>
      <c r="B552" s="1"/>
      <c r="C552" s="1"/>
      <c r="D552" s="1"/>
      <c r="E552" s="10"/>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ht="10.199999999999999" x14ac:dyDescent="0.2">
      <c r="A553" s="3"/>
      <c r="B553" s="1"/>
      <c r="C553" s="1"/>
      <c r="D553" s="1"/>
      <c r="E553" s="10"/>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ht="10.199999999999999" x14ac:dyDescent="0.2">
      <c r="A554" s="3"/>
      <c r="B554" s="1"/>
      <c r="C554" s="1"/>
      <c r="D554" s="1"/>
      <c r="E554" s="10"/>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ht="10.199999999999999" x14ac:dyDescent="0.2">
      <c r="A555" s="3"/>
      <c r="B555" s="1"/>
      <c r="C555" s="1"/>
      <c r="D555" s="1"/>
      <c r="E555" s="10"/>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ht="10.199999999999999" x14ac:dyDescent="0.2">
      <c r="A556" s="3"/>
      <c r="B556" s="1"/>
      <c r="C556" s="1"/>
      <c r="D556" s="1"/>
      <c r="E556" s="10"/>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ht="10.199999999999999" x14ac:dyDescent="0.2">
      <c r="A557" s="3"/>
      <c r="B557" s="1"/>
      <c r="C557" s="1"/>
      <c r="D557" s="1"/>
      <c r="E557" s="10"/>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ht="10.199999999999999" x14ac:dyDescent="0.2">
      <c r="A558" s="3"/>
      <c r="B558" s="1"/>
      <c r="C558" s="1"/>
      <c r="D558" s="1"/>
      <c r="E558" s="10"/>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ht="10.199999999999999" x14ac:dyDescent="0.2">
      <c r="A559" s="3"/>
      <c r="B559" s="1"/>
      <c r="C559" s="1"/>
      <c r="D559" s="1"/>
      <c r="E559" s="10"/>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ht="10.199999999999999" x14ac:dyDescent="0.2">
      <c r="A560" s="3"/>
      <c r="B560" s="1"/>
      <c r="C560" s="1"/>
      <c r="D560" s="1"/>
      <c r="E560" s="10"/>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ht="10.199999999999999" x14ac:dyDescent="0.2">
      <c r="A561" s="3"/>
      <c r="B561" s="1"/>
      <c r="C561" s="1"/>
      <c r="D561" s="1"/>
      <c r="E561" s="10"/>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ht="10.199999999999999" x14ac:dyDescent="0.2">
      <c r="A562" s="3"/>
      <c r="B562" s="1"/>
      <c r="C562" s="1"/>
      <c r="D562" s="1"/>
      <c r="E562" s="10"/>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ht="10.199999999999999" x14ac:dyDescent="0.2">
      <c r="A563" s="3"/>
      <c r="B563" s="1"/>
      <c r="C563" s="1"/>
      <c r="D563" s="1"/>
      <c r="E563" s="10"/>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ht="10.199999999999999" x14ac:dyDescent="0.2">
      <c r="A564" s="3"/>
      <c r="B564" s="1"/>
      <c r="C564" s="1"/>
      <c r="D564" s="1"/>
      <c r="E564" s="10"/>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ht="10.199999999999999" x14ac:dyDescent="0.2">
      <c r="A565" s="3"/>
      <c r="B565" s="1"/>
      <c r="C565" s="1"/>
      <c r="D565" s="1"/>
      <c r="E565" s="10"/>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ht="10.199999999999999" x14ac:dyDescent="0.2">
      <c r="A566" s="3"/>
      <c r="B566" s="1"/>
      <c r="C566" s="1"/>
      <c r="D566" s="1"/>
      <c r="E566" s="10"/>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ht="10.199999999999999" x14ac:dyDescent="0.2">
      <c r="A567" s="3"/>
      <c r="B567" s="1"/>
      <c r="C567" s="1"/>
      <c r="D567" s="1"/>
      <c r="E567" s="10"/>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ht="10.199999999999999" x14ac:dyDescent="0.2">
      <c r="A568" s="3"/>
      <c r="B568" s="1"/>
      <c r="C568" s="1"/>
      <c r="D568" s="1"/>
      <c r="E568" s="10"/>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ht="10.199999999999999" x14ac:dyDescent="0.2">
      <c r="A569" s="3"/>
      <c r="B569" s="1"/>
      <c r="C569" s="1"/>
      <c r="D569" s="1"/>
      <c r="E569" s="10"/>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ht="10.199999999999999" x14ac:dyDescent="0.2">
      <c r="A570" s="3"/>
      <c r="B570" s="1"/>
      <c r="C570" s="1"/>
      <c r="D570" s="1"/>
      <c r="E570" s="10"/>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ht="10.199999999999999" x14ac:dyDescent="0.2">
      <c r="A571" s="3"/>
      <c r="B571" s="1"/>
      <c r="C571" s="1"/>
      <c r="D571" s="1"/>
      <c r="E571" s="10"/>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ht="10.199999999999999" x14ac:dyDescent="0.2">
      <c r="A572" s="3"/>
      <c r="B572" s="1"/>
      <c r="C572" s="1"/>
      <c r="D572" s="1"/>
      <c r="E572" s="10"/>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ht="10.199999999999999" x14ac:dyDescent="0.2">
      <c r="A573" s="3"/>
      <c r="B573" s="1"/>
      <c r="C573" s="1"/>
      <c r="D573" s="1"/>
      <c r="E573" s="10"/>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ht="10.199999999999999" x14ac:dyDescent="0.2">
      <c r="A574" s="3"/>
      <c r="B574" s="1"/>
      <c r="C574" s="1"/>
      <c r="D574" s="1"/>
      <c r="E574" s="10"/>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ht="10.199999999999999" x14ac:dyDescent="0.2">
      <c r="A575" s="3"/>
      <c r="B575" s="1"/>
      <c r="C575" s="1"/>
      <c r="D575" s="1"/>
      <c r="E575" s="10"/>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ht="10.199999999999999" x14ac:dyDescent="0.2">
      <c r="A576" s="3"/>
      <c r="B576" s="1"/>
      <c r="C576" s="1"/>
      <c r="D576" s="1"/>
      <c r="E576" s="10"/>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ht="10.199999999999999" x14ac:dyDescent="0.2">
      <c r="A577" s="3"/>
      <c r="B577" s="1"/>
      <c r="C577" s="1"/>
      <c r="D577" s="1"/>
      <c r="E577" s="10"/>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ht="10.199999999999999" x14ac:dyDescent="0.2">
      <c r="A578" s="3"/>
      <c r="B578" s="1"/>
      <c r="C578" s="1"/>
      <c r="D578" s="1"/>
      <c r="E578" s="10"/>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ht="10.199999999999999" x14ac:dyDescent="0.2">
      <c r="A579" s="3"/>
      <c r="B579" s="1"/>
      <c r="C579" s="1"/>
      <c r="D579" s="1"/>
      <c r="E579" s="10"/>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ht="10.199999999999999" x14ac:dyDescent="0.2">
      <c r="A580" s="3"/>
      <c r="B580" s="1"/>
      <c r="C580" s="1"/>
      <c r="D580" s="1"/>
      <c r="E580" s="10"/>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ht="10.199999999999999" x14ac:dyDescent="0.2">
      <c r="A581" s="3"/>
      <c r="B581" s="1"/>
      <c r="C581" s="1"/>
      <c r="D581" s="1"/>
      <c r="E581" s="10"/>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ht="10.199999999999999" x14ac:dyDescent="0.2">
      <c r="A582" s="3"/>
      <c r="B582" s="1"/>
      <c r="C582" s="1"/>
      <c r="D582" s="1"/>
      <c r="E582" s="10"/>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ht="10.199999999999999" x14ac:dyDescent="0.2">
      <c r="A583" s="3"/>
      <c r="B583" s="1"/>
      <c r="C583" s="1"/>
      <c r="D583" s="1"/>
      <c r="E583" s="10"/>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ht="10.199999999999999" x14ac:dyDescent="0.2">
      <c r="A584" s="3"/>
      <c r="B584" s="1"/>
      <c r="C584" s="1"/>
      <c r="D584" s="1"/>
      <c r="E584" s="10"/>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ht="10.199999999999999" x14ac:dyDescent="0.2">
      <c r="A585" s="3"/>
      <c r="B585" s="1"/>
      <c r="C585" s="1"/>
      <c r="D585" s="1"/>
      <c r="E585" s="10"/>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ht="10.199999999999999" x14ac:dyDescent="0.2">
      <c r="A586" s="3"/>
      <c r="B586" s="1"/>
      <c r="C586" s="1"/>
      <c r="D586" s="1"/>
      <c r="E586" s="10"/>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ht="10.199999999999999" x14ac:dyDescent="0.2">
      <c r="A587" s="3"/>
      <c r="B587" s="1"/>
      <c r="C587" s="1"/>
      <c r="D587" s="1"/>
      <c r="E587" s="10"/>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ht="10.199999999999999" x14ac:dyDescent="0.2">
      <c r="A588" s="3"/>
      <c r="B588" s="1"/>
      <c r="C588" s="1"/>
      <c r="D588" s="1"/>
      <c r="E588" s="10"/>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ht="10.199999999999999" x14ac:dyDescent="0.2">
      <c r="A589" s="3"/>
      <c r="B589" s="1"/>
      <c r="C589" s="1"/>
      <c r="D589" s="1"/>
      <c r="E589" s="10"/>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ht="10.199999999999999" x14ac:dyDescent="0.2">
      <c r="A590" s="3"/>
      <c r="B590" s="1"/>
      <c r="C590" s="1"/>
      <c r="D590" s="1"/>
      <c r="E590" s="10"/>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ht="10.199999999999999" x14ac:dyDescent="0.2">
      <c r="A591" s="3"/>
      <c r="B591" s="1"/>
      <c r="C591" s="1"/>
      <c r="D591" s="1"/>
      <c r="E591" s="10"/>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ht="10.199999999999999" x14ac:dyDescent="0.2">
      <c r="A592" s="3"/>
      <c r="B592" s="1"/>
      <c r="C592" s="1"/>
      <c r="D592" s="1"/>
      <c r="E592" s="10"/>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ht="10.199999999999999" x14ac:dyDescent="0.2">
      <c r="A593" s="3"/>
      <c r="B593" s="1"/>
      <c r="C593" s="1"/>
      <c r="D593" s="1"/>
      <c r="E593" s="10"/>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ht="10.199999999999999" x14ac:dyDescent="0.2">
      <c r="A594" s="3"/>
      <c r="B594" s="1"/>
      <c r="C594" s="1"/>
      <c r="D594" s="1"/>
      <c r="E594" s="10"/>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ht="10.199999999999999" x14ac:dyDescent="0.2">
      <c r="A595" s="3"/>
      <c r="B595" s="1"/>
      <c r="C595" s="1"/>
      <c r="D595" s="1"/>
      <c r="E595" s="10"/>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ht="10.199999999999999" x14ac:dyDescent="0.2">
      <c r="A596" s="3"/>
      <c r="B596" s="1"/>
      <c r="C596" s="1"/>
      <c r="D596" s="1"/>
      <c r="E596" s="10"/>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ht="10.199999999999999" x14ac:dyDescent="0.2">
      <c r="A597" s="3"/>
      <c r="B597" s="1"/>
      <c r="C597" s="1"/>
      <c r="D597" s="1"/>
      <c r="E597" s="10"/>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ht="10.199999999999999" x14ac:dyDescent="0.2">
      <c r="A598" s="3"/>
      <c r="B598" s="1"/>
      <c r="C598" s="1"/>
      <c r="D598" s="1"/>
      <c r="E598" s="10"/>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ht="10.199999999999999" x14ac:dyDescent="0.2">
      <c r="A599" s="3"/>
      <c r="B599" s="1"/>
      <c r="C599" s="1"/>
      <c r="D599" s="1"/>
      <c r="E599" s="10"/>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ht="10.199999999999999" x14ac:dyDescent="0.2">
      <c r="A600" s="3"/>
      <c r="B600" s="1"/>
      <c r="C600" s="1"/>
      <c r="D600" s="1"/>
      <c r="E600" s="10"/>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ht="10.199999999999999" x14ac:dyDescent="0.2">
      <c r="A601" s="3"/>
      <c r="B601" s="1"/>
      <c r="C601" s="1"/>
      <c r="D601" s="1"/>
      <c r="E601" s="10"/>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ht="10.199999999999999" x14ac:dyDescent="0.2">
      <c r="A602" s="3"/>
      <c r="B602" s="1"/>
      <c r="C602" s="1"/>
      <c r="D602" s="1"/>
      <c r="E602" s="10"/>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ht="10.199999999999999" x14ac:dyDescent="0.2">
      <c r="A603" s="3"/>
      <c r="B603" s="1"/>
      <c r="C603" s="1"/>
      <c r="D603" s="1"/>
      <c r="E603" s="10"/>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ht="10.199999999999999" x14ac:dyDescent="0.2">
      <c r="A604" s="3"/>
      <c r="B604" s="1"/>
      <c r="C604" s="1"/>
      <c r="D604" s="1"/>
      <c r="E604" s="10"/>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ht="10.199999999999999" x14ac:dyDescent="0.2">
      <c r="A605" s="3"/>
      <c r="B605" s="1"/>
      <c r="C605" s="1"/>
      <c r="D605" s="1"/>
      <c r="E605" s="10"/>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ht="10.199999999999999" x14ac:dyDescent="0.2">
      <c r="A606" s="3"/>
      <c r="B606" s="1"/>
      <c r="C606" s="1"/>
      <c r="D606" s="1"/>
      <c r="E606" s="10"/>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ht="10.199999999999999" x14ac:dyDescent="0.2">
      <c r="A607" s="3"/>
      <c r="B607" s="1"/>
      <c r="C607" s="1"/>
      <c r="D607" s="1"/>
      <c r="E607" s="10"/>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ht="10.199999999999999" x14ac:dyDescent="0.2">
      <c r="A608" s="3"/>
      <c r="B608" s="1"/>
      <c r="C608" s="1"/>
      <c r="D608" s="1"/>
      <c r="E608" s="10"/>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ht="10.199999999999999" x14ac:dyDescent="0.2">
      <c r="A609" s="3"/>
      <c r="B609" s="1"/>
      <c r="C609" s="1"/>
      <c r="D609" s="1"/>
      <c r="E609" s="10"/>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ht="10.199999999999999" x14ac:dyDescent="0.2">
      <c r="A610" s="3"/>
      <c r="B610" s="1"/>
      <c r="C610" s="1"/>
      <c r="D610" s="1"/>
      <c r="E610" s="10"/>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ht="10.199999999999999" x14ac:dyDescent="0.2">
      <c r="A611" s="3"/>
      <c r="B611" s="1"/>
      <c r="C611" s="1"/>
      <c r="D611" s="1"/>
      <c r="E611" s="10"/>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ht="10.199999999999999" x14ac:dyDescent="0.2">
      <c r="A612" s="3"/>
      <c r="B612" s="1"/>
      <c r="C612" s="1"/>
      <c r="D612" s="1"/>
      <c r="E612" s="10"/>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ht="10.199999999999999" x14ac:dyDescent="0.2">
      <c r="A613" s="3"/>
      <c r="B613" s="1"/>
      <c r="C613" s="1"/>
      <c r="D613" s="1"/>
      <c r="E613" s="10"/>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ht="10.199999999999999" x14ac:dyDescent="0.2">
      <c r="A614" s="3"/>
      <c r="B614" s="1"/>
      <c r="C614" s="1"/>
      <c r="D614" s="1"/>
      <c r="E614" s="10"/>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ht="10.199999999999999" x14ac:dyDescent="0.2">
      <c r="A615" s="3"/>
      <c r="B615" s="1"/>
      <c r="C615" s="1"/>
      <c r="D615" s="1"/>
      <c r="E615" s="10"/>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ht="10.199999999999999" x14ac:dyDescent="0.2">
      <c r="A616" s="3"/>
      <c r="B616" s="1"/>
      <c r="C616" s="1"/>
      <c r="D616" s="1"/>
      <c r="E616" s="10"/>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ht="10.199999999999999" x14ac:dyDescent="0.2">
      <c r="A617" s="3"/>
      <c r="B617" s="1"/>
      <c r="C617" s="1"/>
      <c r="D617" s="1"/>
      <c r="E617" s="10"/>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ht="10.199999999999999" x14ac:dyDescent="0.2">
      <c r="A618" s="3"/>
      <c r="B618" s="1"/>
      <c r="C618" s="1"/>
      <c r="D618" s="1"/>
      <c r="E618" s="10"/>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ht="10.199999999999999" x14ac:dyDescent="0.2">
      <c r="A619" s="3"/>
      <c r="B619" s="1"/>
      <c r="C619" s="1"/>
      <c r="D619" s="1"/>
      <c r="E619" s="10"/>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ht="10.199999999999999" x14ac:dyDescent="0.2">
      <c r="A620" s="3"/>
      <c r="B620" s="1"/>
      <c r="C620" s="1"/>
      <c r="D620" s="1"/>
      <c r="E620" s="10"/>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ht="10.199999999999999" x14ac:dyDescent="0.2">
      <c r="A621" s="3"/>
      <c r="B621" s="1"/>
      <c r="C621" s="1"/>
      <c r="D621" s="1"/>
      <c r="E621" s="10"/>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ht="10.199999999999999" x14ac:dyDescent="0.2">
      <c r="A622" s="3"/>
      <c r="B622" s="1"/>
      <c r="C622" s="1"/>
      <c r="D622" s="1"/>
      <c r="E622" s="10"/>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ht="10.199999999999999" x14ac:dyDescent="0.2">
      <c r="A623" s="3"/>
      <c r="B623" s="1"/>
      <c r="C623" s="1"/>
      <c r="D623" s="1"/>
      <c r="E623" s="10"/>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ht="10.199999999999999" x14ac:dyDescent="0.2">
      <c r="A624" s="3"/>
      <c r="B624" s="1"/>
      <c r="C624" s="1"/>
      <c r="D624" s="1"/>
      <c r="E624" s="10"/>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ht="10.199999999999999" x14ac:dyDescent="0.2">
      <c r="A625" s="3"/>
      <c r="B625" s="1"/>
      <c r="C625" s="1"/>
      <c r="D625" s="1"/>
      <c r="E625" s="10"/>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ht="10.199999999999999" x14ac:dyDescent="0.2">
      <c r="A626" s="3"/>
      <c r="B626" s="1"/>
      <c r="C626" s="1"/>
      <c r="D626" s="1"/>
      <c r="E626" s="10"/>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ht="10.199999999999999" x14ac:dyDescent="0.2">
      <c r="A627" s="3"/>
      <c r="B627" s="1"/>
      <c r="C627" s="1"/>
      <c r="D627" s="1"/>
      <c r="E627" s="10"/>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ht="10.199999999999999" x14ac:dyDescent="0.2">
      <c r="A628" s="3"/>
      <c r="B628" s="1"/>
      <c r="C628" s="1"/>
      <c r="D628" s="1"/>
      <c r="E628" s="10"/>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ht="10.199999999999999" x14ac:dyDescent="0.2">
      <c r="A629" s="3"/>
      <c r="B629" s="1"/>
      <c r="C629" s="1"/>
      <c r="D629" s="1"/>
      <c r="E629" s="10"/>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ht="10.199999999999999" x14ac:dyDescent="0.2">
      <c r="A630" s="3"/>
      <c r="B630" s="1"/>
      <c r="C630" s="1"/>
      <c r="D630" s="1"/>
      <c r="E630" s="10"/>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ht="10.199999999999999" x14ac:dyDescent="0.2">
      <c r="A631" s="3"/>
      <c r="B631" s="1"/>
      <c r="C631" s="1"/>
      <c r="D631" s="1"/>
      <c r="E631" s="10"/>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ht="10.199999999999999" x14ac:dyDescent="0.2">
      <c r="A632" s="3"/>
      <c r="B632" s="1"/>
      <c r="C632" s="1"/>
      <c r="D632" s="1"/>
      <c r="E632" s="10"/>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ht="10.199999999999999" x14ac:dyDescent="0.2">
      <c r="A633" s="3"/>
      <c r="B633" s="1"/>
      <c r="C633" s="1"/>
      <c r="D633" s="1"/>
      <c r="E633" s="10"/>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ht="10.199999999999999" x14ac:dyDescent="0.2">
      <c r="A634" s="3"/>
      <c r="B634" s="1"/>
      <c r="C634" s="1"/>
      <c r="D634" s="1"/>
      <c r="E634" s="10"/>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ht="10.199999999999999" x14ac:dyDescent="0.2">
      <c r="A635" s="3"/>
      <c r="B635" s="1"/>
      <c r="C635" s="1"/>
      <c r="D635" s="1"/>
      <c r="E635" s="10"/>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ht="10.199999999999999" x14ac:dyDescent="0.2">
      <c r="A636" s="3"/>
      <c r="B636" s="1"/>
      <c r="C636" s="1"/>
      <c r="D636" s="1"/>
      <c r="E636" s="10"/>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ht="10.199999999999999" x14ac:dyDescent="0.2">
      <c r="A637" s="3"/>
      <c r="B637" s="1"/>
      <c r="C637" s="1"/>
      <c r="D637" s="1"/>
      <c r="E637" s="10"/>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ht="10.199999999999999" x14ac:dyDescent="0.2">
      <c r="A638" s="3"/>
      <c r="B638" s="1"/>
      <c r="C638" s="1"/>
      <c r="D638" s="1"/>
      <c r="E638" s="10"/>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ht="10.199999999999999" x14ac:dyDescent="0.2">
      <c r="A639" s="3"/>
      <c r="B639" s="1"/>
      <c r="C639" s="1"/>
      <c r="D639" s="1"/>
      <c r="E639" s="10"/>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ht="10.199999999999999" x14ac:dyDescent="0.2">
      <c r="A640" s="3"/>
      <c r="B640" s="1"/>
      <c r="C640" s="1"/>
      <c r="D640" s="1"/>
      <c r="E640" s="10"/>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ht="10.199999999999999" x14ac:dyDescent="0.2">
      <c r="A641" s="3"/>
      <c r="B641" s="1"/>
      <c r="C641" s="1"/>
      <c r="D641" s="1"/>
      <c r="E641" s="10"/>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ht="10.199999999999999" x14ac:dyDescent="0.2">
      <c r="A642" s="3"/>
      <c r="B642" s="1"/>
      <c r="C642" s="1"/>
      <c r="D642" s="1"/>
      <c r="E642" s="10"/>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ht="10.199999999999999" x14ac:dyDescent="0.2">
      <c r="A643" s="3"/>
      <c r="B643" s="1"/>
      <c r="C643" s="1"/>
      <c r="D643" s="1"/>
      <c r="E643" s="10"/>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ht="10.199999999999999" x14ac:dyDescent="0.2">
      <c r="A644" s="3"/>
      <c r="B644" s="1"/>
      <c r="C644" s="1"/>
      <c r="D644" s="1"/>
      <c r="E644" s="10"/>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ht="10.199999999999999" x14ac:dyDescent="0.2">
      <c r="A645" s="3"/>
      <c r="B645" s="1"/>
      <c r="C645" s="1"/>
      <c r="D645" s="1"/>
      <c r="E645" s="10"/>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ht="10.199999999999999" x14ac:dyDescent="0.2">
      <c r="A646" s="3"/>
      <c r="B646" s="1"/>
      <c r="C646" s="1"/>
      <c r="D646" s="1"/>
      <c r="E646" s="10"/>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ht="10.199999999999999" x14ac:dyDescent="0.2">
      <c r="A647" s="3"/>
      <c r="B647" s="1"/>
      <c r="C647" s="1"/>
      <c r="D647" s="1"/>
      <c r="E647" s="10"/>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ht="10.199999999999999" x14ac:dyDescent="0.2">
      <c r="A648" s="3"/>
      <c r="B648" s="1"/>
      <c r="C648" s="1"/>
      <c r="D648" s="1"/>
      <c r="E648" s="10"/>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ht="10.199999999999999" x14ac:dyDescent="0.2">
      <c r="A649" s="3"/>
      <c r="B649" s="1"/>
      <c r="C649" s="1"/>
      <c r="D649" s="1"/>
      <c r="E649" s="10"/>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ht="10.199999999999999" x14ac:dyDescent="0.2">
      <c r="A650" s="3"/>
      <c r="B650" s="1"/>
      <c r="C650" s="1"/>
      <c r="D650" s="1"/>
      <c r="E650" s="10"/>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ht="10.199999999999999" x14ac:dyDescent="0.2">
      <c r="A651" s="3"/>
      <c r="B651" s="1"/>
      <c r="C651" s="1"/>
      <c r="D651" s="1"/>
      <c r="E651" s="10"/>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ht="10.199999999999999" x14ac:dyDescent="0.2">
      <c r="A652" s="3"/>
      <c r="B652" s="1"/>
      <c r="C652" s="1"/>
      <c r="D652" s="1"/>
      <c r="E652" s="10"/>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ht="10.199999999999999" x14ac:dyDescent="0.2">
      <c r="A653" s="3"/>
      <c r="B653" s="1"/>
      <c r="C653" s="1"/>
      <c r="D653" s="1"/>
      <c r="E653" s="10"/>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ht="10.199999999999999" x14ac:dyDescent="0.2">
      <c r="A654" s="3"/>
      <c r="B654" s="1"/>
      <c r="C654" s="1"/>
      <c r="D654" s="1"/>
      <c r="E654" s="10"/>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ht="10.199999999999999" x14ac:dyDescent="0.2">
      <c r="A655" s="3"/>
      <c r="B655" s="1"/>
      <c r="C655" s="1"/>
      <c r="D655" s="1"/>
      <c r="E655" s="10"/>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ht="10.199999999999999" x14ac:dyDescent="0.2">
      <c r="A656" s="3"/>
      <c r="B656" s="1"/>
      <c r="C656" s="1"/>
      <c r="D656" s="1"/>
      <c r="E656" s="10"/>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ht="10.199999999999999" x14ac:dyDescent="0.2">
      <c r="A657" s="3"/>
      <c r="B657" s="1"/>
      <c r="C657" s="1"/>
      <c r="D657" s="1"/>
      <c r="E657" s="10"/>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ht="10.199999999999999" x14ac:dyDescent="0.2">
      <c r="A658" s="3"/>
      <c r="B658" s="1"/>
      <c r="C658" s="1"/>
      <c r="D658" s="1"/>
      <c r="E658" s="10"/>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ht="10.199999999999999" x14ac:dyDescent="0.2">
      <c r="A659" s="3"/>
      <c r="B659" s="1"/>
      <c r="C659" s="1"/>
      <c r="D659" s="1"/>
      <c r="E659" s="10"/>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ht="10.199999999999999" x14ac:dyDescent="0.2">
      <c r="A660" s="3"/>
      <c r="B660" s="1"/>
      <c r="C660" s="1"/>
      <c r="D660" s="1"/>
      <c r="E660" s="10"/>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ht="10.199999999999999" x14ac:dyDescent="0.2">
      <c r="A661" s="3"/>
      <c r="B661" s="1"/>
      <c r="C661" s="1"/>
      <c r="D661" s="1"/>
      <c r="E661" s="10"/>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ht="10.199999999999999" x14ac:dyDescent="0.2">
      <c r="A662" s="3"/>
      <c r="B662" s="1"/>
      <c r="C662" s="1"/>
      <c r="D662" s="1"/>
      <c r="E662" s="10"/>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ht="10.199999999999999" x14ac:dyDescent="0.2">
      <c r="A663" s="3"/>
      <c r="B663" s="1"/>
      <c r="C663" s="1"/>
      <c r="D663" s="1"/>
      <c r="E663" s="10"/>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ht="10.199999999999999" x14ac:dyDescent="0.2">
      <c r="A664" s="3"/>
      <c r="B664" s="1"/>
      <c r="C664" s="1"/>
      <c r="D664" s="1"/>
      <c r="E664" s="10"/>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ht="10.199999999999999" x14ac:dyDescent="0.2">
      <c r="A665" s="3"/>
      <c r="B665" s="1"/>
      <c r="C665" s="1"/>
      <c r="D665" s="1"/>
      <c r="E665" s="10"/>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ht="10.199999999999999" x14ac:dyDescent="0.2">
      <c r="A666" s="3"/>
      <c r="B666" s="1"/>
      <c r="C666" s="1"/>
      <c r="D666" s="1"/>
      <c r="E666" s="10"/>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ht="10.199999999999999" x14ac:dyDescent="0.2">
      <c r="A667" s="3"/>
      <c r="B667" s="1"/>
      <c r="C667" s="1"/>
      <c r="D667" s="1"/>
      <c r="E667" s="10"/>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ht="10.199999999999999" x14ac:dyDescent="0.2">
      <c r="A668" s="3"/>
      <c r="B668" s="1"/>
      <c r="C668" s="1"/>
      <c r="D668" s="1"/>
      <c r="E668" s="10"/>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ht="10.199999999999999" x14ac:dyDescent="0.2">
      <c r="A669" s="3"/>
      <c r="B669" s="1"/>
      <c r="C669" s="1"/>
      <c r="D669" s="1"/>
      <c r="E669" s="10"/>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ht="10.199999999999999" x14ac:dyDescent="0.2">
      <c r="A670" s="3"/>
      <c r="B670" s="1"/>
      <c r="C670" s="1"/>
      <c r="D670" s="1"/>
      <c r="E670" s="10"/>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ht="10.199999999999999" x14ac:dyDescent="0.2">
      <c r="A671" s="3"/>
      <c r="B671" s="1"/>
      <c r="C671" s="1"/>
      <c r="D671" s="1"/>
      <c r="E671" s="10"/>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ht="10.199999999999999" x14ac:dyDescent="0.2">
      <c r="A672" s="3"/>
      <c r="B672" s="1"/>
      <c r="C672" s="1"/>
      <c r="D672" s="1"/>
      <c r="E672" s="10"/>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ht="10.199999999999999" x14ac:dyDescent="0.2">
      <c r="A673" s="3"/>
      <c r="B673" s="1"/>
      <c r="C673" s="1"/>
      <c r="D673" s="1"/>
      <c r="E673" s="10"/>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ht="10.199999999999999" x14ac:dyDescent="0.2">
      <c r="A674" s="3"/>
      <c r="B674" s="1"/>
      <c r="C674" s="1"/>
      <c r="D674" s="1"/>
      <c r="E674" s="10"/>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ht="10.199999999999999" x14ac:dyDescent="0.2">
      <c r="A675" s="3"/>
      <c r="B675" s="1"/>
      <c r="C675" s="1"/>
      <c r="D675" s="1"/>
      <c r="E675" s="10"/>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ht="10.199999999999999" x14ac:dyDescent="0.2">
      <c r="A676" s="3"/>
      <c r="B676" s="1"/>
      <c r="C676" s="1"/>
      <c r="D676" s="1"/>
      <c r="E676" s="10"/>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ht="10.199999999999999" x14ac:dyDescent="0.2">
      <c r="A677" s="3"/>
      <c r="B677" s="1"/>
      <c r="C677" s="1"/>
      <c r="D677" s="1"/>
      <c r="E677" s="10"/>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ht="10.199999999999999" x14ac:dyDescent="0.2">
      <c r="A678" s="3"/>
      <c r="B678" s="1"/>
      <c r="C678" s="1"/>
      <c r="D678" s="1"/>
      <c r="E678" s="10"/>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ht="10.199999999999999" x14ac:dyDescent="0.2">
      <c r="A679" s="3"/>
      <c r="B679" s="1"/>
      <c r="C679" s="1"/>
      <c r="D679" s="1"/>
      <c r="E679" s="10"/>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ht="10.199999999999999" x14ac:dyDescent="0.2">
      <c r="A680" s="3"/>
      <c r="B680" s="1"/>
      <c r="C680" s="1"/>
      <c r="D680" s="1"/>
      <c r="E680" s="10"/>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ht="10.199999999999999" x14ac:dyDescent="0.2">
      <c r="A681" s="3"/>
      <c r="B681" s="1"/>
      <c r="C681" s="1"/>
      <c r="D681" s="1"/>
      <c r="E681" s="10"/>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ht="10.199999999999999" x14ac:dyDescent="0.2">
      <c r="A682" s="3"/>
      <c r="B682" s="1"/>
      <c r="C682" s="1"/>
      <c r="D682" s="1"/>
      <c r="E682" s="10"/>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ht="10.199999999999999" x14ac:dyDescent="0.2">
      <c r="A683" s="3"/>
      <c r="B683" s="1"/>
      <c r="C683" s="1"/>
      <c r="D683" s="1"/>
      <c r="E683" s="10"/>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ht="10.199999999999999" x14ac:dyDescent="0.2">
      <c r="A684" s="3"/>
      <c r="B684" s="1"/>
      <c r="C684" s="1"/>
      <c r="D684" s="1"/>
      <c r="E684" s="10"/>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ht="10.199999999999999" x14ac:dyDescent="0.2">
      <c r="A685" s="3"/>
      <c r="B685" s="1"/>
      <c r="C685" s="1"/>
      <c r="D685" s="1"/>
      <c r="E685" s="10"/>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ht="10.199999999999999" x14ac:dyDescent="0.2">
      <c r="A686" s="3"/>
      <c r="B686" s="1"/>
      <c r="C686" s="1"/>
      <c r="D686" s="1"/>
      <c r="E686" s="10"/>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ht="10.199999999999999" x14ac:dyDescent="0.2">
      <c r="A687" s="3"/>
      <c r="B687" s="1"/>
      <c r="C687" s="1"/>
      <c r="D687" s="1"/>
      <c r="E687" s="10"/>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ht="10.199999999999999" x14ac:dyDescent="0.2">
      <c r="A688" s="3"/>
      <c r="B688" s="1"/>
      <c r="C688" s="1"/>
      <c r="D688" s="1"/>
      <c r="E688" s="10"/>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ht="10.199999999999999" x14ac:dyDescent="0.2">
      <c r="A689" s="3"/>
      <c r="B689" s="1"/>
      <c r="C689" s="1"/>
      <c r="D689" s="1"/>
      <c r="E689" s="10"/>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ht="10.199999999999999" x14ac:dyDescent="0.2">
      <c r="A690" s="3"/>
      <c r="B690" s="1"/>
      <c r="C690" s="1"/>
      <c r="D690" s="1"/>
      <c r="E690" s="10"/>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ht="10.199999999999999" x14ac:dyDescent="0.2">
      <c r="A691" s="3"/>
      <c r="B691" s="1"/>
      <c r="C691" s="1"/>
      <c r="D691" s="1"/>
      <c r="E691" s="10"/>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ht="10.199999999999999" x14ac:dyDescent="0.2">
      <c r="A692" s="3"/>
      <c r="B692" s="1"/>
      <c r="C692" s="1"/>
      <c r="D692" s="1"/>
      <c r="E692" s="10"/>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ht="10.199999999999999" x14ac:dyDescent="0.2">
      <c r="A693" s="3"/>
      <c r="B693" s="1"/>
      <c r="C693" s="1"/>
      <c r="D693" s="1"/>
      <c r="E693" s="10"/>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ht="10.199999999999999" x14ac:dyDescent="0.2">
      <c r="A694" s="3"/>
      <c r="B694" s="1"/>
      <c r="C694" s="1"/>
      <c r="D694" s="1"/>
      <c r="E694" s="10"/>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ht="10.199999999999999" x14ac:dyDescent="0.2">
      <c r="A695" s="3"/>
      <c r="B695" s="1"/>
      <c r="C695" s="1"/>
      <c r="D695" s="1"/>
      <c r="E695" s="10"/>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ht="10.199999999999999" x14ac:dyDescent="0.2">
      <c r="A696" s="3"/>
      <c r="B696" s="1"/>
      <c r="C696" s="1"/>
      <c r="D696" s="1"/>
      <c r="E696" s="10"/>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ht="10.199999999999999" x14ac:dyDescent="0.2">
      <c r="A697" s="3"/>
      <c r="B697" s="1"/>
      <c r="C697" s="1"/>
      <c r="D697" s="1"/>
      <c r="E697" s="10"/>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ht="10.199999999999999" x14ac:dyDescent="0.2">
      <c r="A698" s="3"/>
      <c r="B698" s="1"/>
      <c r="C698" s="1"/>
      <c r="D698" s="1"/>
      <c r="E698" s="10"/>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ht="10.199999999999999" x14ac:dyDescent="0.2">
      <c r="A699" s="3"/>
      <c r="B699" s="1"/>
      <c r="C699" s="1"/>
      <c r="D699" s="1"/>
      <c r="E699" s="10"/>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ht="10.199999999999999" x14ac:dyDescent="0.2">
      <c r="A700" s="3"/>
      <c r="B700" s="1"/>
      <c r="C700" s="1"/>
      <c r="D700" s="1"/>
      <c r="E700" s="10"/>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ht="10.199999999999999" x14ac:dyDescent="0.2">
      <c r="A701" s="3"/>
      <c r="B701" s="1"/>
      <c r="C701" s="1"/>
      <c r="D701" s="1"/>
      <c r="E701" s="10"/>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ht="10.199999999999999" x14ac:dyDescent="0.2">
      <c r="A702" s="3"/>
      <c r="B702" s="1"/>
      <c r="C702" s="1"/>
      <c r="D702" s="1"/>
      <c r="E702" s="10"/>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ht="10.199999999999999" x14ac:dyDescent="0.2">
      <c r="A703" s="3"/>
      <c r="B703" s="1"/>
      <c r="C703" s="1"/>
      <c r="D703" s="1"/>
      <c r="E703" s="10"/>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ht="10.199999999999999" x14ac:dyDescent="0.2">
      <c r="A704" s="3"/>
      <c r="B704" s="1"/>
      <c r="C704" s="1"/>
      <c r="D704" s="1"/>
      <c r="E704" s="10"/>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ht="10.199999999999999" x14ac:dyDescent="0.2">
      <c r="A705" s="3"/>
      <c r="B705" s="1"/>
      <c r="C705" s="1"/>
      <c r="D705" s="1"/>
      <c r="E705" s="10"/>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ht="10.199999999999999" x14ac:dyDescent="0.2">
      <c r="A706" s="3"/>
      <c r="B706" s="1"/>
      <c r="C706" s="1"/>
      <c r="D706" s="1"/>
      <c r="E706" s="10"/>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ht="10.199999999999999" x14ac:dyDescent="0.2">
      <c r="A707" s="3"/>
      <c r="B707" s="1"/>
      <c r="C707" s="1"/>
      <c r="D707" s="1"/>
      <c r="E707" s="10"/>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ht="10.199999999999999" x14ac:dyDescent="0.2">
      <c r="A708" s="3"/>
      <c r="B708" s="1"/>
      <c r="C708" s="1"/>
      <c r="D708" s="1"/>
      <c r="E708" s="10"/>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ht="10.199999999999999" x14ac:dyDescent="0.2">
      <c r="A709" s="3"/>
      <c r="B709" s="1"/>
      <c r="C709" s="1"/>
      <c r="D709" s="1"/>
      <c r="E709" s="10"/>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ht="10.199999999999999" x14ac:dyDescent="0.2">
      <c r="A710" s="3"/>
      <c r="B710" s="1"/>
      <c r="C710" s="1"/>
      <c r="D710" s="1"/>
      <c r="E710" s="10"/>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ht="10.199999999999999" x14ac:dyDescent="0.2">
      <c r="A711" s="3"/>
      <c r="B711" s="1"/>
      <c r="C711" s="1"/>
      <c r="D711" s="1"/>
      <c r="E711" s="10"/>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ht="10.199999999999999" x14ac:dyDescent="0.2">
      <c r="A712" s="3"/>
      <c r="B712" s="1"/>
      <c r="C712" s="1"/>
      <c r="D712" s="1"/>
      <c r="E712" s="10"/>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ht="10.199999999999999" x14ac:dyDescent="0.2">
      <c r="A713" s="3"/>
      <c r="B713" s="1"/>
      <c r="C713" s="1"/>
      <c r="D713" s="1"/>
      <c r="E713" s="10"/>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ht="10.199999999999999" x14ac:dyDescent="0.2">
      <c r="A714" s="3"/>
      <c r="B714" s="1"/>
      <c r="C714" s="1"/>
      <c r="D714" s="1"/>
      <c r="E714" s="10"/>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ht="10.199999999999999" x14ac:dyDescent="0.2">
      <c r="A715" s="3"/>
      <c r="B715" s="1"/>
      <c r="C715" s="1"/>
      <c r="D715" s="1"/>
      <c r="E715" s="10"/>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ht="10.199999999999999" x14ac:dyDescent="0.2">
      <c r="A716" s="3"/>
      <c r="B716" s="1"/>
      <c r="C716" s="1"/>
      <c r="D716" s="1"/>
      <c r="E716" s="10"/>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ht="10.199999999999999" x14ac:dyDescent="0.2">
      <c r="A717" s="3"/>
      <c r="B717" s="1"/>
      <c r="C717" s="1"/>
      <c r="D717" s="1"/>
      <c r="E717" s="10"/>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ht="10.199999999999999" x14ac:dyDescent="0.2">
      <c r="A718" s="3"/>
      <c r="B718" s="1"/>
      <c r="C718" s="1"/>
      <c r="D718" s="1"/>
      <c r="E718" s="10"/>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ht="10.199999999999999" x14ac:dyDescent="0.2">
      <c r="A719" s="3"/>
      <c r="B719" s="1"/>
      <c r="C719" s="1"/>
      <c r="D719" s="1"/>
      <c r="E719" s="10"/>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ht="10.199999999999999" x14ac:dyDescent="0.2">
      <c r="A720" s="3"/>
      <c r="B720" s="1"/>
      <c r="C720" s="1"/>
      <c r="D720" s="1"/>
      <c r="E720" s="10"/>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ht="10.199999999999999" x14ac:dyDescent="0.2">
      <c r="A721" s="3"/>
      <c r="B721" s="1"/>
      <c r="C721" s="1"/>
      <c r="D721" s="1"/>
      <c r="E721" s="10"/>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ht="10.199999999999999" x14ac:dyDescent="0.2">
      <c r="A722" s="3"/>
      <c r="B722" s="1"/>
      <c r="C722" s="1"/>
      <c r="D722" s="1"/>
      <c r="E722" s="10"/>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ht="10.199999999999999" x14ac:dyDescent="0.2">
      <c r="A723" s="3"/>
      <c r="B723" s="1"/>
      <c r="C723" s="1"/>
      <c r="D723" s="1"/>
      <c r="E723" s="10"/>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ht="10.199999999999999" x14ac:dyDescent="0.2">
      <c r="A724" s="3"/>
      <c r="B724" s="1"/>
      <c r="C724" s="1"/>
      <c r="D724" s="1"/>
      <c r="E724" s="10"/>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ht="10.199999999999999" x14ac:dyDescent="0.2">
      <c r="A725" s="3"/>
      <c r="B725" s="1"/>
      <c r="C725" s="1"/>
      <c r="D725" s="1"/>
      <c r="E725" s="10"/>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ht="10.199999999999999" x14ac:dyDescent="0.2">
      <c r="A726" s="3"/>
      <c r="B726" s="1"/>
      <c r="C726" s="1"/>
      <c r="D726" s="1"/>
      <c r="E726" s="10"/>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ht="10.199999999999999" x14ac:dyDescent="0.2">
      <c r="A727" s="3"/>
      <c r="B727" s="1"/>
      <c r="C727" s="1"/>
      <c r="D727" s="1"/>
      <c r="E727" s="10"/>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ht="10.199999999999999" x14ac:dyDescent="0.2">
      <c r="A728" s="3"/>
      <c r="B728" s="1"/>
      <c r="C728" s="1"/>
      <c r="D728" s="1"/>
      <c r="E728" s="10"/>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ht="10.199999999999999" x14ac:dyDescent="0.2">
      <c r="A729" s="3"/>
      <c r="B729" s="1"/>
      <c r="C729" s="1"/>
      <c r="D729" s="1"/>
      <c r="E729" s="10"/>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ht="10.199999999999999" x14ac:dyDescent="0.2">
      <c r="A730" s="3"/>
      <c r="B730" s="1"/>
      <c r="C730" s="1"/>
      <c r="D730" s="1"/>
      <c r="E730" s="10"/>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ht="10.199999999999999" x14ac:dyDescent="0.2">
      <c r="A731" s="3"/>
      <c r="B731" s="1"/>
      <c r="C731" s="1"/>
      <c r="D731" s="1"/>
      <c r="E731" s="10"/>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ht="10.199999999999999" x14ac:dyDescent="0.2">
      <c r="A732" s="3"/>
      <c r="B732" s="1"/>
      <c r="C732" s="1"/>
      <c r="D732" s="1"/>
      <c r="E732" s="10"/>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ht="10.199999999999999" x14ac:dyDescent="0.2">
      <c r="A733" s="3"/>
      <c r="B733" s="1"/>
      <c r="C733" s="1"/>
      <c r="D733" s="1"/>
      <c r="E733" s="10"/>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ht="10.199999999999999" x14ac:dyDescent="0.2">
      <c r="A734" s="3"/>
      <c r="B734" s="1"/>
      <c r="C734" s="1"/>
      <c r="D734" s="1"/>
      <c r="E734" s="10"/>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ht="10.199999999999999" x14ac:dyDescent="0.2">
      <c r="A735" s="3"/>
      <c r="B735" s="1"/>
      <c r="C735" s="1"/>
      <c r="D735" s="1"/>
      <c r="E735" s="10"/>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ht="10.199999999999999" x14ac:dyDescent="0.2">
      <c r="A736" s="3"/>
      <c r="B736" s="1"/>
      <c r="C736" s="1"/>
      <c r="D736" s="1"/>
      <c r="E736" s="10"/>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ht="10.199999999999999" x14ac:dyDescent="0.2">
      <c r="A737" s="3"/>
      <c r="B737" s="1"/>
      <c r="C737" s="1"/>
      <c r="D737" s="1"/>
      <c r="E737" s="10"/>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ht="10.199999999999999" x14ac:dyDescent="0.2">
      <c r="A738" s="3"/>
      <c r="B738" s="1"/>
      <c r="C738" s="1"/>
      <c r="D738" s="1"/>
      <c r="E738" s="10"/>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ht="10.199999999999999" x14ac:dyDescent="0.2">
      <c r="A739" s="3"/>
      <c r="B739" s="1"/>
      <c r="C739" s="1"/>
      <c r="D739" s="1"/>
      <c r="E739" s="10"/>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ht="10.199999999999999" x14ac:dyDescent="0.2">
      <c r="A740" s="3"/>
      <c r="B740" s="1"/>
      <c r="C740" s="1"/>
      <c r="D740" s="1"/>
      <c r="E740" s="10"/>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ht="10.199999999999999" x14ac:dyDescent="0.2">
      <c r="A741" s="3"/>
      <c r="B741" s="1"/>
      <c r="C741" s="1"/>
      <c r="D741" s="1"/>
      <c r="E741" s="10"/>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ht="10.199999999999999" x14ac:dyDescent="0.2">
      <c r="A742" s="3"/>
      <c r="B742" s="1"/>
      <c r="C742" s="1"/>
      <c r="D742" s="1"/>
      <c r="E742" s="10"/>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ht="10.199999999999999" x14ac:dyDescent="0.2">
      <c r="A743" s="3"/>
      <c r="B743" s="1"/>
      <c r="C743" s="1"/>
      <c r="D743" s="1"/>
      <c r="E743" s="10"/>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ht="10.199999999999999" x14ac:dyDescent="0.2">
      <c r="A744" s="3"/>
      <c r="B744" s="1"/>
      <c r="C744" s="1"/>
      <c r="D744" s="1"/>
      <c r="E744" s="10"/>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ht="10.199999999999999" x14ac:dyDescent="0.2">
      <c r="A745" s="3"/>
      <c r="B745" s="1"/>
      <c r="C745" s="1"/>
      <c r="D745" s="1"/>
      <c r="E745" s="10"/>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ht="10.199999999999999" x14ac:dyDescent="0.2">
      <c r="A746" s="3"/>
      <c r="B746" s="1"/>
      <c r="C746" s="1"/>
      <c r="D746" s="1"/>
      <c r="E746" s="10"/>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ht="10.199999999999999" x14ac:dyDescent="0.2">
      <c r="A747" s="3"/>
      <c r="B747" s="1"/>
      <c r="C747" s="1"/>
      <c r="D747" s="1"/>
      <c r="E747" s="10"/>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ht="10.199999999999999" x14ac:dyDescent="0.2">
      <c r="A748" s="3"/>
      <c r="B748" s="1"/>
      <c r="C748" s="1"/>
      <c r="D748" s="1"/>
      <c r="E748" s="10"/>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ht="10.199999999999999" x14ac:dyDescent="0.2">
      <c r="A749" s="3"/>
      <c r="B749" s="1"/>
      <c r="C749" s="1"/>
      <c r="D749" s="1"/>
      <c r="E749" s="10"/>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ht="10.199999999999999" x14ac:dyDescent="0.2">
      <c r="A750" s="3"/>
      <c r="B750" s="1"/>
      <c r="C750" s="1"/>
      <c r="D750" s="1"/>
      <c r="E750" s="10"/>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ht="10.199999999999999" x14ac:dyDescent="0.2">
      <c r="A751" s="3"/>
      <c r="B751" s="1"/>
      <c r="C751" s="1"/>
      <c r="D751" s="1"/>
      <c r="E751" s="10"/>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ht="10.199999999999999" x14ac:dyDescent="0.2">
      <c r="A752" s="3"/>
      <c r="B752" s="1"/>
      <c r="C752" s="1"/>
      <c r="D752" s="1"/>
      <c r="E752" s="10"/>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ht="10.199999999999999" x14ac:dyDescent="0.2">
      <c r="A753" s="3"/>
      <c r="B753" s="1"/>
      <c r="C753" s="1"/>
      <c r="D753" s="1"/>
      <c r="E753" s="10"/>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ht="10.199999999999999" x14ac:dyDescent="0.2">
      <c r="A754" s="3"/>
      <c r="B754" s="1"/>
      <c r="C754" s="1"/>
      <c r="D754" s="1"/>
      <c r="E754" s="10"/>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ht="10.199999999999999" x14ac:dyDescent="0.2">
      <c r="A755" s="3"/>
      <c r="B755" s="1"/>
      <c r="C755" s="1"/>
      <c r="D755" s="1"/>
      <c r="E755" s="10"/>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ht="10.199999999999999" x14ac:dyDescent="0.2">
      <c r="A756" s="3"/>
      <c r="B756" s="1"/>
      <c r="C756" s="1"/>
      <c r="D756" s="1"/>
      <c r="E756" s="10"/>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ht="10.199999999999999" x14ac:dyDescent="0.2">
      <c r="A757" s="3"/>
      <c r="B757" s="1"/>
      <c r="C757" s="1"/>
      <c r="D757" s="1"/>
      <c r="E757" s="10"/>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ht="10.199999999999999" x14ac:dyDescent="0.2">
      <c r="A758" s="3"/>
      <c r="B758" s="1"/>
      <c r="C758" s="1"/>
      <c r="D758" s="1"/>
      <c r="E758" s="10"/>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ht="10.199999999999999" x14ac:dyDescent="0.2">
      <c r="A759" s="3"/>
      <c r="B759" s="1"/>
      <c r="C759" s="1"/>
      <c r="D759" s="1"/>
      <c r="E759" s="10"/>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ht="10.199999999999999" x14ac:dyDescent="0.2">
      <c r="A760" s="3"/>
      <c r="B760" s="1"/>
      <c r="C760" s="1"/>
      <c r="D760" s="1"/>
      <c r="E760" s="10"/>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ht="10.199999999999999" x14ac:dyDescent="0.2">
      <c r="A761" s="3"/>
      <c r="B761" s="1"/>
      <c r="C761" s="1"/>
      <c r="D761" s="1"/>
      <c r="E761" s="10"/>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ht="10.199999999999999" x14ac:dyDescent="0.2">
      <c r="A762" s="3"/>
      <c r="B762" s="1"/>
      <c r="C762" s="1"/>
      <c r="D762" s="1"/>
      <c r="E762" s="10"/>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ht="10.199999999999999" x14ac:dyDescent="0.2">
      <c r="A763" s="3"/>
      <c r="B763" s="1"/>
      <c r="C763" s="1"/>
      <c r="D763" s="1"/>
      <c r="E763" s="10"/>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ht="10.199999999999999" x14ac:dyDescent="0.2">
      <c r="A764" s="3"/>
      <c r="B764" s="1"/>
      <c r="C764" s="1"/>
      <c r="D764" s="1"/>
      <c r="E764" s="10"/>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ht="10.199999999999999" x14ac:dyDescent="0.2">
      <c r="A765" s="3"/>
      <c r="B765" s="1"/>
      <c r="C765" s="1"/>
      <c r="D765" s="1"/>
      <c r="E765" s="10"/>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ht="10.199999999999999" x14ac:dyDescent="0.2">
      <c r="A766" s="3"/>
      <c r="B766" s="1"/>
      <c r="C766" s="1"/>
      <c r="D766" s="1"/>
      <c r="E766" s="10"/>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ht="10.199999999999999" x14ac:dyDescent="0.2">
      <c r="A767" s="3"/>
      <c r="B767" s="1"/>
      <c r="C767" s="1"/>
      <c r="D767" s="1"/>
      <c r="E767" s="10"/>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ht="10.199999999999999" x14ac:dyDescent="0.2">
      <c r="A768" s="3"/>
      <c r="B768" s="1"/>
      <c r="C768" s="1"/>
      <c r="D768" s="1"/>
      <c r="E768" s="10"/>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ht="10.199999999999999" x14ac:dyDescent="0.2">
      <c r="A769" s="3"/>
      <c r="B769" s="1"/>
      <c r="C769" s="1"/>
      <c r="D769" s="1"/>
      <c r="E769" s="10"/>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ht="10.199999999999999" x14ac:dyDescent="0.2">
      <c r="A770" s="3"/>
      <c r="B770" s="1"/>
      <c r="C770" s="1"/>
      <c r="D770" s="1"/>
      <c r="E770" s="10"/>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ht="10.199999999999999" x14ac:dyDescent="0.2">
      <c r="A771" s="3"/>
      <c r="B771" s="1"/>
      <c r="C771" s="1"/>
      <c r="D771" s="1"/>
      <c r="E771" s="10"/>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ht="10.199999999999999" x14ac:dyDescent="0.2">
      <c r="A772" s="3"/>
      <c r="B772" s="1"/>
      <c r="C772" s="1"/>
      <c r="D772" s="1"/>
      <c r="E772" s="10"/>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ht="10.199999999999999" x14ac:dyDescent="0.2">
      <c r="A773" s="3"/>
      <c r="B773" s="1"/>
      <c r="C773" s="1"/>
      <c r="D773" s="1"/>
      <c r="E773" s="10"/>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ht="10.199999999999999" x14ac:dyDescent="0.2">
      <c r="A774" s="3"/>
      <c r="B774" s="1"/>
      <c r="C774" s="1"/>
      <c r="D774" s="1"/>
      <c r="E774" s="10"/>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ht="10.199999999999999" x14ac:dyDescent="0.2">
      <c r="A775" s="3"/>
      <c r="B775" s="1"/>
      <c r="C775" s="1"/>
      <c r="D775" s="1"/>
      <c r="E775" s="10"/>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ht="10.199999999999999" x14ac:dyDescent="0.2">
      <c r="A776" s="3"/>
      <c r="B776" s="1"/>
      <c r="C776" s="1"/>
      <c r="D776" s="1"/>
      <c r="E776" s="10"/>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ht="10.199999999999999" x14ac:dyDescent="0.2">
      <c r="A777" s="3"/>
      <c r="B777" s="1"/>
      <c r="C777" s="1"/>
      <c r="D777" s="1"/>
      <c r="E777" s="10"/>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ht="10.199999999999999" x14ac:dyDescent="0.2">
      <c r="A778" s="3"/>
      <c r="B778" s="1"/>
      <c r="C778" s="1"/>
      <c r="D778" s="1"/>
      <c r="E778" s="10"/>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ht="10.199999999999999" x14ac:dyDescent="0.2">
      <c r="A779" s="3"/>
      <c r="B779" s="1"/>
      <c r="C779" s="1"/>
      <c r="D779" s="1"/>
      <c r="E779" s="10"/>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ht="10.199999999999999" x14ac:dyDescent="0.2">
      <c r="A780" s="3"/>
      <c r="B780" s="1"/>
      <c r="C780" s="1"/>
      <c r="D780" s="1"/>
      <c r="E780" s="10"/>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ht="10.199999999999999" x14ac:dyDescent="0.2">
      <c r="A781" s="3"/>
      <c r="B781" s="1"/>
      <c r="C781" s="1"/>
      <c r="D781" s="1"/>
      <c r="E781" s="10"/>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ht="10.199999999999999" x14ac:dyDescent="0.2">
      <c r="A782" s="3"/>
      <c r="B782" s="1"/>
      <c r="C782" s="1"/>
      <c r="D782" s="1"/>
      <c r="E782" s="10"/>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ht="10.199999999999999" x14ac:dyDescent="0.2">
      <c r="A783" s="3"/>
      <c r="B783" s="1"/>
      <c r="C783" s="1"/>
      <c r="D783" s="1"/>
      <c r="E783" s="10"/>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ht="10.199999999999999" x14ac:dyDescent="0.2">
      <c r="A784" s="3"/>
      <c r="B784" s="1"/>
      <c r="C784" s="1"/>
      <c r="D784" s="1"/>
      <c r="E784" s="10"/>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ht="10.199999999999999" x14ac:dyDescent="0.2">
      <c r="A785" s="3"/>
      <c r="B785" s="1"/>
      <c r="C785" s="1"/>
      <c r="D785" s="1"/>
      <c r="E785" s="10"/>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ht="10.199999999999999" x14ac:dyDescent="0.2">
      <c r="A786" s="3"/>
      <c r="B786" s="1"/>
      <c r="C786" s="1"/>
      <c r="D786" s="1"/>
      <c r="E786" s="10"/>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ht="10.199999999999999" x14ac:dyDescent="0.2">
      <c r="A787" s="3"/>
      <c r="B787" s="1"/>
      <c r="C787" s="1"/>
      <c r="D787" s="1"/>
      <c r="E787" s="10"/>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ht="10.199999999999999" x14ac:dyDescent="0.2">
      <c r="A788" s="3"/>
      <c r="B788" s="1"/>
      <c r="C788" s="1"/>
      <c r="D788" s="1"/>
      <c r="E788" s="10"/>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ht="10.199999999999999" x14ac:dyDescent="0.2">
      <c r="A789" s="3"/>
      <c r="B789" s="1"/>
      <c r="C789" s="1"/>
      <c r="D789" s="1"/>
      <c r="E789" s="10"/>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row>
    <row r="790" spans="1:36" ht="10.199999999999999" x14ac:dyDescent="0.2">
      <c r="A790" s="3"/>
      <c r="B790" s="1"/>
      <c r="C790" s="1"/>
      <c r="D790" s="1"/>
      <c r="E790" s="10"/>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row>
    <row r="791" spans="1:36" ht="10.199999999999999" x14ac:dyDescent="0.2">
      <c r="A791" s="3"/>
      <c r="B791" s="1"/>
      <c r="C791" s="1"/>
      <c r="D791" s="1"/>
      <c r="E791" s="10"/>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row>
    <row r="792" spans="1:36" ht="10.199999999999999" x14ac:dyDescent="0.2">
      <c r="A792" s="3"/>
      <c r="B792" s="1"/>
      <c r="C792" s="1"/>
      <c r="D792" s="1"/>
      <c r="E792" s="10"/>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row>
    <row r="793" spans="1:36" ht="10.199999999999999" x14ac:dyDescent="0.2">
      <c r="A793" s="3"/>
      <c r="B793" s="1"/>
      <c r="C793" s="1"/>
      <c r="D793" s="1"/>
      <c r="E793" s="10"/>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row>
    <row r="794" spans="1:36" ht="10.199999999999999" x14ac:dyDescent="0.2">
      <c r="A794" s="3"/>
      <c r="B794" s="1"/>
      <c r="C794" s="1"/>
      <c r="D794" s="1"/>
      <c r="E794" s="10"/>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row>
    <row r="795" spans="1:36" ht="10.199999999999999" x14ac:dyDescent="0.2">
      <c r="A795" s="3"/>
      <c r="B795" s="1"/>
      <c r="C795" s="1"/>
      <c r="D795" s="1"/>
      <c r="E795" s="10"/>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row>
    <row r="796" spans="1:36" ht="10.199999999999999" x14ac:dyDescent="0.2">
      <c r="A796" s="3"/>
      <c r="B796" s="1"/>
      <c r="C796" s="1"/>
      <c r="D796" s="1"/>
      <c r="E796" s="10"/>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row>
    <row r="797" spans="1:36" ht="10.199999999999999" x14ac:dyDescent="0.2">
      <c r="A797" s="3"/>
      <c r="B797" s="1"/>
      <c r="C797" s="1"/>
      <c r="D797" s="1"/>
      <c r="E797" s="10"/>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row>
    <row r="798" spans="1:36" ht="10.199999999999999" x14ac:dyDescent="0.2">
      <c r="A798" s="3"/>
      <c r="B798" s="1"/>
      <c r="C798" s="1"/>
      <c r="D798" s="1"/>
      <c r="E798" s="10"/>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row>
    <row r="799" spans="1:36" ht="10.199999999999999" x14ac:dyDescent="0.2">
      <c r="A799" s="3"/>
      <c r="B799" s="1"/>
      <c r="C799" s="1"/>
      <c r="D799" s="1"/>
      <c r="E799" s="10"/>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row>
    <row r="800" spans="1:36" ht="10.199999999999999" x14ac:dyDescent="0.2">
      <c r="A800" s="3"/>
      <c r="B800" s="1"/>
      <c r="C800" s="1"/>
      <c r="D800" s="1"/>
      <c r="E800" s="10"/>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row>
    <row r="801" spans="1:36" ht="10.199999999999999" x14ac:dyDescent="0.2">
      <c r="A801" s="3"/>
      <c r="B801" s="1"/>
      <c r="C801" s="1"/>
      <c r="D801" s="1"/>
      <c r="E801" s="10"/>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row>
    <row r="802" spans="1:36" ht="10.199999999999999" x14ac:dyDescent="0.2">
      <c r="A802" s="3"/>
      <c r="B802" s="1"/>
      <c r="C802" s="1"/>
      <c r="D802" s="1"/>
      <c r="E802" s="10"/>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row>
    <row r="803" spans="1:36" ht="10.199999999999999" x14ac:dyDescent="0.2">
      <c r="A803" s="3"/>
      <c r="B803" s="1"/>
      <c r="C803" s="1"/>
      <c r="D803" s="1"/>
      <c r="E803" s="10"/>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row>
    <row r="804" spans="1:36" ht="10.199999999999999" x14ac:dyDescent="0.2">
      <c r="A804" s="3"/>
      <c r="B804" s="1"/>
      <c r="C804" s="1"/>
      <c r="D804" s="1"/>
      <c r="E804" s="10"/>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row>
    <row r="805" spans="1:36" ht="10.199999999999999" x14ac:dyDescent="0.2">
      <c r="A805" s="3"/>
      <c r="B805" s="1"/>
      <c r="C805" s="1"/>
      <c r="D805" s="1"/>
      <c r="E805" s="10"/>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row>
    <row r="806" spans="1:36" ht="10.199999999999999" x14ac:dyDescent="0.2">
      <c r="A806" s="3"/>
      <c r="B806" s="1"/>
      <c r="C806" s="1"/>
      <c r="D806" s="1"/>
      <c r="E806" s="10"/>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row>
    <row r="807" spans="1:36" ht="10.199999999999999" x14ac:dyDescent="0.2">
      <c r="A807" s="3"/>
      <c r="B807" s="1"/>
      <c r="C807" s="1"/>
      <c r="D807" s="1"/>
      <c r="E807" s="10"/>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row>
    <row r="808" spans="1:36" ht="10.199999999999999" x14ac:dyDescent="0.2">
      <c r="A808" s="3"/>
      <c r="B808" s="1"/>
      <c r="C808" s="1"/>
      <c r="D808" s="1"/>
      <c r="E808" s="10"/>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row>
    <row r="809" spans="1:36" ht="10.199999999999999" x14ac:dyDescent="0.2">
      <c r="A809" s="3"/>
      <c r="B809" s="1"/>
      <c r="C809" s="1"/>
      <c r="D809" s="1"/>
      <c r="E809" s="10"/>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row>
    <row r="810" spans="1:36" ht="10.199999999999999" x14ac:dyDescent="0.2">
      <c r="A810" s="3"/>
      <c r="B810" s="1"/>
      <c r="C810" s="1"/>
      <c r="D810" s="1"/>
      <c r="E810" s="10"/>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row>
    <row r="811" spans="1:36" ht="10.199999999999999" x14ac:dyDescent="0.2">
      <c r="A811" s="3"/>
      <c r="B811" s="1"/>
      <c r="C811" s="1"/>
      <c r="D811" s="1"/>
      <c r="E811" s="10"/>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row>
    <row r="812" spans="1:36" ht="10.199999999999999" x14ac:dyDescent="0.2">
      <c r="A812" s="3"/>
      <c r="B812" s="1"/>
      <c r="C812" s="1"/>
      <c r="D812" s="1"/>
      <c r="E812" s="10"/>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row>
    <row r="813" spans="1:36" ht="10.199999999999999" x14ac:dyDescent="0.2">
      <c r="A813" s="3"/>
      <c r="B813" s="1"/>
      <c r="C813" s="1"/>
      <c r="D813" s="1"/>
      <c r="E813" s="10"/>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row>
    <row r="814" spans="1:36" ht="10.199999999999999" x14ac:dyDescent="0.2">
      <c r="A814" s="3"/>
      <c r="B814" s="1"/>
      <c r="C814" s="1"/>
      <c r="D814" s="1"/>
      <c r="E814" s="10"/>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row>
    <row r="815" spans="1:36" ht="10.199999999999999" x14ac:dyDescent="0.2">
      <c r="A815" s="3"/>
      <c r="B815" s="1"/>
      <c r="C815" s="1"/>
      <c r="D815" s="1"/>
      <c r="E815" s="10"/>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row>
    <row r="816" spans="1:36" ht="10.199999999999999" x14ac:dyDescent="0.2">
      <c r="A816" s="3"/>
      <c r="B816" s="1"/>
      <c r="C816" s="1"/>
      <c r="D816" s="1"/>
      <c r="E816" s="10"/>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row>
    <row r="817" spans="1:36" ht="10.199999999999999" x14ac:dyDescent="0.2">
      <c r="A817" s="3"/>
      <c r="B817" s="1"/>
      <c r="C817" s="1"/>
      <c r="D817" s="1"/>
      <c r="E817" s="10"/>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row>
    <row r="818" spans="1:36" ht="10.199999999999999" x14ac:dyDescent="0.2">
      <c r="A818" s="3"/>
      <c r="B818" s="1"/>
      <c r="C818" s="1"/>
      <c r="D818" s="1"/>
      <c r="E818" s="10"/>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row>
    <row r="819" spans="1:36" ht="10.199999999999999" x14ac:dyDescent="0.2">
      <c r="A819" s="3"/>
      <c r="B819" s="1"/>
      <c r="C819" s="1"/>
      <c r="D819" s="1"/>
      <c r="E819" s="10"/>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row>
    <row r="820" spans="1:36" ht="10.199999999999999" x14ac:dyDescent="0.2">
      <c r="A820" s="3"/>
      <c r="B820" s="1"/>
      <c r="C820" s="1"/>
      <c r="D820" s="1"/>
      <c r="E820" s="10"/>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row>
    <row r="821" spans="1:36" ht="10.199999999999999" x14ac:dyDescent="0.2">
      <c r="A821" s="3"/>
      <c r="B821" s="1"/>
      <c r="C821" s="1"/>
      <c r="D821" s="1"/>
      <c r="E821" s="10"/>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row>
    <row r="822" spans="1:36" ht="10.199999999999999" x14ac:dyDescent="0.2">
      <c r="A822" s="3"/>
      <c r="B822" s="1"/>
      <c r="C822" s="1"/>
      <c r="D822" s="1"/>
      <c r="E822" s="10"/>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row>
    <row r="823" spans="1:36" ht="10.199999999999999" x14ac:dyDescent="0.2">
      <c r="A823" s="3"/>
      <c r="B823" s="1"/>
      <c r="C823" s="1"/>
      <c r="D823" s="1"/>
      <c r="E823" s="10"/>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row>
    <row r="824" spans="1:36" ht="10.199999999999999" x14ac:dyDescent="0.2">
      <c r="A824" s="3"/>
      <c r="B824" s="1"/>
      <c r="C824" s="1"/>
      <c r="D824" s="1"/>
      <c r="E824" s="10"/>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row>
    <row r="825" spans="1:36" ht="10.199999999999999" x14ac:dyDescent="0.2">
      <c r="A825" s="3"/>
      <c r="B825" s="1"/>
      <c r="C825" s="1"/>
      <c r="D825" s="1"/>
      <c r="E825" s="10"/>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row>
    <row r="826" spans="1:36" ht="10.199999999999999" x14ac:dyDescent="0.2">
      <c r="A826" s="3"/>
      <c r="B826" s="1"/>
      <c r="C826" s="1"/>
      <c r="D826" s="1"/>
      <c r="E826" s="10"/>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row>
    <row r="827" spans="1:36" ht="10.199999999999999" x14ac:dyDescent="0.2">
      <c r="A827" s="3"/>
      <c r="B827" s="1"/>
      <c r="C827" s="1"/>
      <c r="D827" s="1"/>
      <c r="E827" s="10"/>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row>
    <row r="828" spans="1:36" ht="10.199999999999999" x14ac:dyDescent="0.2">
      <c r="A828" s="3"/>
      <c r="B828" s="1"/>
      <c r="C828" s="1"/>
      <c r="D828" s="1"/>
      <c r="E828" s="10"/>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row>
    <row r="829" spans="1:36" ht="10.199999999999999" x14ac:dyDescent="0.2">
      <c r="A829" s="3"/>
      <c r="B829" s="1"/>
      <c r="C829" s="1"/>
      <c r="D829" s="1"/>
      <c r="E829" s="10"/>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row>
    <row r="830" spans="1:36" ht="10.199999999999999" x14ac:dyDescent="0.2">
      <c r="A830" s="3"/>
      <c r="B830" s="1"/>
      <c r="C830" s="1"/>
      <c r="D830" s="1"/>
      <c r="E830" s="10"/>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row>
    <row r="831" spans="1:36" ht="10.199999999999999" x14ac:dyDescent="0.2">
      <c r="A831" s="3"/>
      <c r="B831" s="1"/>
      <c r="C831" s="1"/>
      <c r="D831" s="1"/>
      <c r="E831" s="10"/>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row>
    <row r="832" spans="1:36" ht="10.199999999999999" x14ac:dyDescent="0.2">
      <c r="A832" s="3"/>
      <c r="B832" s="1"/>
      <c r="C832" s="1"/>
      <c r="D832" s="1"/>
      <c r="E832" s="10"/>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row>
    <row r="833" spans="1:36" ht="10.199999999999999" x14ac:dyDescent="0.2">
      <c r="A833" s="3"/>
      <c r="B833" s="1"/>
      <c r="C833" s="1"/>
      <c r="D833" s="1"/>
      <c r="E833" s="10"/>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row>
    <row r="834" spans="1:36" ht="10.199999999999999" x14ac:dyDescent="0.2">
      <c r="A834" s="3"/>
      <c r="B834" s="1"/>
      <c r="C834" s="1"/>
      <c r="D834" s="1"/>
      <c r="E834" s="10"/>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row>
    <row r="835" spans="1:36" ht="10.199999999999999" x14ac:dyDescent="0.2">
      <c r="A835" s="3"/>
      <c r="B835" s="1"/>
      <c r="C835" s="1"/>
      <c r="D835" s="1"/>
      <c r="E835" s="10"/>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row>
    <row r="836" spans="1:36" ht="10.199999999999999" x14ac:dyDescent="0.2">
      <c r="A836" s="3"/>
      <c r="B836" s="1"/>
      <c r="C836" s="1"/>
      <c r="D836" s="1"/>
      <c r="E836" s="10"/>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row>
    <row r="837" spans="1:36" ht="10.199999999999999" x14ac:dyDescent="0.2">
      <c r="A837" s="3"/>
      <c r="B837" s="1"/>
      <c r="C837" s="1"/>
      <c r="D837" s="1"/>
      <c r="E837" s="10"/>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row>
    <row r="838" spans="1:36" ht="10.199999999999999" x14ac:dyDescent="0.2">
      <c r="A838" s="3"/>
      <c r="B838" s="1"/>
      <c r="C838" s="1"/>
      <c r="D838" s="1"/>
      <c r="E838" s="10"/>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row>
    <row r="839" spans="1:36" ht="10.199999999999999" x14ac:dyDescent="0.2">
      <c r="A839" s="3"/>
      <c r="B839" s="1"/>
      <c r="C839" s="1"/>
      <c r="D839" s="1"/>
      <c r="E839" s="10"/>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row>
    <row r="840" spans="1:36" ht="10.199999999999999" x14ac:dyDescent="0.2">
      <c r="A840" s="3"/>
      <c r="B840" s="1"/>
      <c r="C840" s="1"/>
      <c r="D840" s="1"/>
      <c r="E840" s="10"/>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row>
    <row r="841" spans="1:36" ht="10.199999999999999" x14ac:dyDescent="0.2">
      <c r="A841" s="3"/>
      <c r="B841" s="1"/>
      <c r="C841" s="1"/>
      <c r="D841" s="1"/>
      <c r="E841" s="10"/>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row>
    <row r="842" spans="1:36" ht="10.199999999999999" x14ac:dyDescent="0.2">
      <c r="A842" s="3"/>
      <c r="B842" s="1"/>
      <c r="C842" s="1"/>
      <c r="D842" s="1"/>
      <c r="E842" s="10"/>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row>
    <row r="843" spans="1:36" ht="10.199999999999999" x14ac:dyDescent="0.2">
      <c r="A843" s="3"/>
      <c r="B843" s="1"/>
      <c r="C843" s="1"/>
      <c r="D843" s="1"/>
      <c r="E843" s="10"/>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row>
    <row r="844" spans="1:36" ht="10.199999999999999" x14ac:dyDescent="0.2">
      <c r="A844" s="3"/>
      <c r="B844" s="1"/>
      <c r="C844" s="1"/>
      <c r="D844" s="1"/>
      <c r="E844" s="10"/>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row>
    <row r="845" spans="1:36" ht="10.199999999999999" x14ac:dyDescent="0.2">
      <c r="A845" s="3"/>
      <c r="B845" s="1"/>
      <c r="C845" s="1"/>
      <c r="D845" s="1"/>
      <c r="E845" s="10"/>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row>
    <row r="846" spans="1:36" ht="10.199999999999999" x14ac:dyDescent="0.2">
      <c r="A846" s="3"/>
      <c r="B846" s="1"/>
      <c r="C846" s="1"/>
      <c r="D846" s="1"/>
      <c r="E846" s="10"/>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row>
    <row r="847" spans="1:36" ht="10.199999999999999" x14ac:dyDescent="0.2">
      <c r="A847" s="3"/>
      <c r="B847" s="1"/>
      <c r="C847" s="1"/>
      <c r="D847" s="1"/>
      <c r="E847" s="10"/>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row>
    <row r="848" spans="1:36" ht="10.199999999999999" x14ac:dyDescent="0.2">
      <c r="A848" s="3"/>
      <c r="B848" s="1"/>
      <c r="C848" s="1"/>
      <c r="D848" s="1"/>
      <c r="E848" s="10"/>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row>
    <row r="849" spans="1:36" ht="10.199999999999999" x14ac:dyDescent="0.2">
      <c r="A849" s="3"/>
      <c r="B849" s="1"/>
      <c r="C849" s="1"/>
      <c r="D849" s="1"/>
      <c r="E849" s="10"/>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row>
    <row r="850" spans="1:36" ht="10.199999999999999" x14ac:dyDescent="0.2">
      <c r="A850" s="3"/>
      <c r="B850" s="1"/>
      <c r="C850" s="1"/>
      <c r="D850" s="1"/>
      <c r="E850" s="10"/>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row>
    <row r="851" spans="1:36" ht="10.199999999999999" x14ac:dyDescent="0.2">
      <c r="A851" s="3"/>
      <c r="B851" s="1"/>
      <c r="C851" s="1"/>
      <c r="D851" s="1"/>
      <c r="E851" s="10"/>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row>
    <row r="852" spans="1:36" ht="10.199999999999999" x14ac:dyDescent="0.2">
      <c r="A852" s="3"/>
      <c r="B852" s="1"/>
      <c r="C852" s="1"/>
      <c r="D852" s="1"/>
      <c r="E852" s="10"/>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row>
    <row r="853" spans="1:36" ht="10.199999999999999" x14ac:dyDescent="0.2">
      <c r="A853" s="3"/>
      <c r="B853" s="1"/>
      <c r="C853" s="1"/>
      <c r="D853" s="1"/>
      <c r="E853" s="10"/>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row>
    <row r="854" spans="1:36" ht="10.199999999999999" x14ac:dyDescent="0.2">
      <c r="A854" s="3"/>
      <c r="B854" s="1"/>
      <c r="C854" s="1"/>
      <c r="D854" s="1"/>
      <c r="E854" s="10"/>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row>
    <row r="855" spans="1:36" ht="10.199999999999999" x14ac:dyDescent="0.2">
      <c r="A855" s="3"/>
      <c r="B855" s="1"/>
      <c r="C855" s="1"/>
      <c r="D855" s="1"/>
      <c r="E855" s="10"/>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row>
    <row r="856" spans="1:36" ht="10.199999999999999" x14ac:dyDescent="0.2">
      <c r="A856" s="3"/>
      <c r="B856" s="1"/>
      <c r="C856" s="1"/>
      <c r="D856" s="1"/>
      <c r="E856" s="10"/>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row>
    <row r="857" spans="1:36" ht="10.199999999999999" x14ac:dyDescent="0.2">
      <c r="A857" s="3"/>
      <c r="B857" s="1"/>
      <c r="C857" s="1"/>
      <c r="D857" s="1"/>
      <c r="E857" s="10"/>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row>
    <row r="858" spans="1:36" ht="10.199999999999999" x14ac:dyDescent="0.2">
      <c r="A858" s="3"/>
      <c r="B858" s="1"/>
      <c r="C858" s="1"/>
      <c r="D858" s="1"/>
      <c r="E858" s="10"/>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row>
    <row r="859" spans="1:36" ht="10.199999999999999" x14ac:dyDescent="0.2">
      <c r="A859" s="3"/>
      <c r="B859" s="1"/>
      <c r="C859" s="1"/>
      <c r="D859" s="1"/>
      <c r="E859" s="10"/>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row>
    <row r="860" spans="1:36" ht="10.199999999999999" x14ac:dyDescent="0.2">
      <c r="A860" s="3"/>
      <c r="B860" s="1"/>
      <c r="C860" s="1"/>
      <c r="D860" s="1"/>
      <c r="E860" s="10"/>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row>
    <row r="861" spans="1:36" ht="10.199999999999999" x14ac:dyDescent="0.2">
      <c r="A861" s="3"/>
      <c r="B861" s="1"/>
      <c r="C861" s="1"/>
      <c r="D861" s="1"/>
      <c r="E861" s="10"/>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row>
    <row r="862" spans="1:36" ht="10.199999999999999" x14ac:dyDescent="0.2">
      <c r="A862" s="3"/>
      <c r="B862" s="1"/>
      <c r="C862" s="1"/>
      <c r="D862" s="1"/>
      <c r="E862" s="10"/>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row>
    <row r="863" spans="1:36" ht="10.199999999999999" x14ac:dyDescent="0.2">
      <c r="A863" s="3"/>
      <c r="B863" s="1"/>
      <c r="C863" s="1"/>
      <c r="D863" s="1"/>
      <c r="E863" s="10"/>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row>
    <row r="864" spans="1:36" ht="10.199999999999999" x14ac:dyDescent="0.2">
      <c r="A864" s="3"/>
      <c r="B864" s="1"/>
      <c r="C864" s="1"/>
      <c r="D864" s="1"/>
      <c r="E864" s="10"/>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row>
    <row r="865" spans="1:36" ht="10.199999999999999" x14ac:dyDescent="0.2">
      <c r="A865" s="3"/>
      <c r="B865" s="1"/>
      <c r="C865" s="1"/>
      <c r="D865" s="1"/>
      <c r="E865" s="10"/>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row>
    <row r="866" spans="1:36" ht="10.199999999999999" x14ac:dyDescent="0.2">
      <c r="A866" s="3"/>
      <c r="B866" s="1"/>
      <c r="C866" s="1"/>
      <c r="D866" s="1"/>
      <c r="E866" s="10"/>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row>
    <row r="867" spans="1:36" ht="10.199999999999999" x14ac:dyDescent="0.2">
      <c r="A867" s="3"/>
      <c r="B867" s="1"/>
      <c r="C867" s="1"/>
      <c r="D867" s="1"/>
      <c r="E867" s="10"/>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row>
    <row r="868" spans="1:36" ht="10.199999999999999" x14ac:dyDescent="0.2">
      <c r="A868" s="3"/>
      <c r="B868" s="1"/>
      <c r="C868" s="1"/>
      <c r="D868" s="1"/>
      <c r="E868" s="10"/>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row>
    <row r="869" spans="1:36" ht="10.199999999999999" x14ac:dyDescent="0.2">
      <c r="A869" s="3"/>
      <c r="B869" s="1"/>
      <c r="C869" s="1"/>
      <c r="D869" s="1"/>
      <c r="E869" s="10"/>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row>
    <row r="870" spans="1:36" ht="10.199999999999999" x14ac:dyDescent="0.2">
      <c r="A870" s="3"/>
      <c r="B870" s="1"/>
      <c r="C870" s="1"/>
      <c r="D870" s="1"/>
      <c r="E870" s="10"/>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row>
    <row r="871" spans="1:36" ht="10.199999999999999" x14ac:dyDescent="0.2">
      <c r="A871" s="3"/>
      <c r="B871" s="1"/>
      <c r="C871" s="1"/>
      <c r="D871" s="1"/>
      <c r="E871" s="10"/>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row>
    <row r="872" spans="1:36" ht="10.199999999999999" x14ac:dyDescent="0.2">
      <c r="A872" s="3"/>
      <c r="B872" s="1"/>
      <c r="C872" s="1"/>
      <c r="D872" s="1"/>
      <c r="E872" s="10"/>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row>
    <row r="873" spans="1:36" ht="10.199999999999999" x14ac:dyDescent="0.2">
      <c r="A873" s="3"/>
      <c r="B873" s="1"/>
      <c r="C873" s="1"/>
      <c r="D873" s="1"/>
      <c r="E873" s="10"/>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row>
    <row r="874" spans="1:36" ht="10.199999999999999" x14ac:dyDescent="0.2">
      <c r="A874" s="3"/>
      <c r="B874" s="1"/>
      <c r="C874" s="1"/>
      <c r="D874" s="1"/>
      <c r="E874" s="10"/>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row>
    <row r="875" spans="1:36" ht="10.199999999999999" x14ac:dyDescent="0.2">
      <c r="A875" s="3"/>
      <c r="B875" s="1"/>
      <c r="C875" s="1"/>
      <c r="D875" s="1"/>
      <c r="E875" s="10"/>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row>
    <row r="876" spans="1:36" ht="10.199999999999999" x14ac:dyDescent="0.2">
      <c r="A876" s="3"/>
      <c r="B876" s="1"/>
      <c r="C876" s="1"/>
      <c r="D876" s="1"/>
      <c r="E876" s="10"/>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row>
    <row r="877" spans="1:36" ht="10.199999999999999" x14ac:dyDescent="0.2">
      <c r="A877" s="3"/>
      <c r="B877" s="1"/>
      <c r="C877" s="1"/>
      <c r="D877" s="1"/>
      <c r="E877" s="10"/>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row>
    <row r="878" spans="1:36" ht="10.199999999999999" x14ac:dyDescent="0.2">
      <c r="A878" s="3"/>
      <c r="B878" s="1"/>
      <c r="C878" s="1"/>
      <c r="D878" s="1"/>
      <c r="E878" s="10"/>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row>
    <row r="879" spans="1:36" ht="10.199999999999999" x14ac:dyDescent="0.2">
      <c r="A879" s="3"/>
      <c r="B879" s="1"/>
      <c r="C879" s="1"/>
      <c r="D879" s="1"/>
      <c r="E879" s="10"/>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row>
    <row r="880" spans="1:36" ht="10.199999999999999" x14ac:dyDescent="0.2">
      <c r="A880" s="3"/>
      <c r="B880" s="1"/>
      <c r="C880" s="1"/>
      <c r="D880" s="1"/>
      <c r="E880" s="10"/>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row>
    <row r="881" spans="1:36" ht="10.199999999999999" x14ac:dyDescent="0.2">
      <c r="A881" s="3"/>
      <c r="B881" s="1"/>
      <c r="C881" s="1"/>
      <c r="D881" s="1"/>
      <c r="E881" s="10"/>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row>
    <row r="882" spans="1:36" ht="10.199999999999999" x14ac:dyDescent="0.2">
      <c r="A882" s="3"/>
      <c r="B882" s="1"/>
      <c r="C882" s="1"/>
      <c r="D882" s="1"/>
      <c r="E882" s="10"/>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row>
    <row r="883" spans="1:36" ht="10.199999999999999" x14ac:dyDescent="0.2">
      <c r="A883" s="3"/>
      <c r="B883" s="1"/>
      <c r="C883" s="1"/>
      <c r="D883" s="1"/>
      <c r="E883" s="10"/>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row>
    <row r="884" spans="1:36" ht="10.199999999999999" x14ac:dyDescent="0.2">
      <c r="A884" s="3"/>
      <c r="B884" s="1"/>
      <c r="C884" s="1"/>
      <c r="D884" s="1"/>
      <c r="E884" s="10"/>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row>
    <row r="885" spans="1:36" ht="10.199999999999999" x14ac:dyDescent="0.2">
      <c r="A885" s="3"/>
      <c r="B885" s="1"/>
      <c r="C885" s="1"/>
      <c r="D885" s="1"/>
      <c r="E885" s="10"/>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row>
    <row r="886" spans="1:36" ht="10.199999999999999" x14ac:dyDescent="0.2">
      <c r="A886" s="3"/>
      <c r="B886" s="1"/>
      <c r="C886" s="1"/>
      <c r="D886" s="1"/>
      <c r="E886" s="10"/>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row>
    <row r="887" spans="1:36" ht="10.199999999999999" x14ac:dyDescent="0.2">
      <c r="A887" s="3"/>
      <c r="B887" s="1"/>
      <c r="C887" s="1"/>
      <c r="D887" s="1"/>
      <c r="E887" s="10"/>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row>
    <row r="888" spans="1:36" ht="10.199999999999999" x14ac:dyDescent="0.2">
      <c r="A888" s="3"/>
      <c r="B888" s="1"/>
      <c r="C888" s="1"/>
      <c r="D888" s="1"/>
      <c r="E888" s="10"/>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row>
    <row r="889" spans="1:36" ht="10.199999999999999" x14ac:dyDescent="0.2">
      <c r="A889" s="3"/>
      <c r="B889" s="1"/>
      <c r="C889" s="1"/>
      <c r="D889" s="1"/>
      <c r="E889" s="10"/>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row>
    <row r="890" spans="1:36" ht="10.199999999999999" x14ac:dyDescent="0.2">
      <c r="A890" s="3"/>
      <c r="B890" s="1"/>
      <c r="C890" s="1"/>
      <c r="D890" s="1"/>
      <c r="E890" s="10"/>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row>
    <row r="891" spans="1:36" ht="10.199999999999999" x14ac:dyDescent="0.2">
      <c r="A891" s="3"/>
      <c r="B891" s="1"/>
      <c r="C891" s="1"/>
      <c r="D891" s="1"/>
      <c r="E891" s="10"/>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row>
    <row r="892" spans="1:36" ht="10.199999999999999" x14ac:dyDescent="0.2">
      <c r="A892" s="3"/>
      <c r="B892" s="1"/>
      <c r="C892" s="1"/>
      <c r="D892" s="1"/>
      <c r="E892" s="10"/>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row>
    <row r="893" spans="1:36" ht="10.199999999999999" x14ac:dyDescent="0.2">
      <c r="A893" s="3"/>
      <c r="B893" s="1"/>
      <c r="C893" s="1"/>
      <c r="D893" s="1"/>
      <c r="E893" s="10"/>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row>
    <row r="894" spans="1:36" ht="10.199999999999999" x14ac:dyDescent="0.2">
      <c r="A894" s="3"/>
      <c r="B894" s="1"/>
      <c r="C894" s="1"/>
      <c r="D894" s="1"/>
      <c r="E894" s="10"/>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row>
    <row r="895" spans="1:36" ht="10.199999999999999" x14ac:dyDescent="0.2">
      <c r="A895" s="3"/>
      <c r="B895" s="1"/>
      <c r="C895" s="1"/>
      <c r="D895" s="1"/>
      <c r="E895" s="10"/>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row>
    <row r="896" spans="1:36" ht="10.199999999999999" x14ac:dyDescent="0.2">
      <c r="A896" s="3"/>
      <c r="B896" s="1"/>
      <c r="C896" s="1"/>
      <c r="D896" s="1"/>
      <c r="E896" s="10"/>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row>
    <row r="897" spans="1:36" ht="10.199999999999999" x14ac:dyDescent="0.2">
      <c r="A897" s="3"/>
      <c r="B897" s="1"/>
      <c r="C897" s="1"/>
      <c r="D897" s="1"/>
      <c r="E897" s="10"/>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row>
    <row r="898" spans="1:36" ht="10.199999999999999" x14ac:dyDescent="0.2">
      <c r="A898" s="3"/>
      <c r="B898" s="1"/>
      <c r="C898" s="1"/>
      <c r="D898" s="1"/>
      <c r="E898" s="10"/>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row>
    <row r="899" spans="1:36" ht="10.199999999999999" x14ac:dyDescent="0.2">
      <c r="A899" s="3"/>
      <c r="B899" s="1"/>
      <c r="C899" s="1"/>
      <c r="D899" s="1"/>
      <c r="E899" s="10"/>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row>
    <row r="900" spans="1:36" ht="10.199999999999999" x14ac:dyDescent="0.2">
      <c r="A900" s="3"/>
      <c r="B900" s="1"/>
      <c r="C900" s="1"/>
      <c r="D900" s="1"/>
      <c r="E900" s="10"/>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row>
    <row r="901" spans="1:36" ht="10.199999999999999" x14ac:dyDescent="0.2">
      <c r="A901" s="3"/>
      <c r="B901" s="1"/>
      <c r="C901" s="1"/>
      <c r="D901" s="1"/>
      <c r="E901" s="10"/>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row>
    <row r="902" spans="1:36" ht="10.199999999999999" x14ac:dyDescent="0.2">
      <c r="A902" s="3"/>
      <c r="B902" s="1"/>
      <c r="C902" s="1"/>
      <c r="D902" s="1"/>
      <c r="E902" s="10"/>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row>
    <row r="903" spans="1:36" ht="10.199999999999999" x14ac:dyDescent="0.2">
      <c r="A903" s="3"/>
      <c r="B903" s="1"/>
      <c r="C903" s="1"/>
      <c r="D903" s="1"/>
      <c r="E903" s="10"/>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row>
    <row r="904" spans="1:36" ht="10.199999999999999" x14ac:dyDescent="0.2">
      <c r="A904" s="3"/>
      <c r="B904" s="1"/>
      <c r="C904" s="1"/>
      <c r="D904" s="1"/>
      <c r="E904" s="10"/>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row>
    <row r="905" spans="1:36" ht="10.199999999999999" x14ac:dyDescent="0.2">
      <c r="A905" s="3"/>
      <c r="B905" s="1"/>
      <c r="C905" s="1"/>
      <c r="D905" s="1"/>
      <c r="E905" s="10"/>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row>
    <row r="906" spans="1:36" ht="10.199999999999999" x14ac:dyDescent="0.2">
      <c r="A906" s="3"/>
      <c r="B906" s="1"/>
      <c r="C906" s="1"/>
      <c r="D906" s="1"/>
      <c r="E906" s="10"/>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row>
    <row r="907" spans="1:36" ht="10.199999999999999" x14ac:dyDescent="0.2">
      <c r="A907" s="3"/>
      <c r="B907" s="1"/>
      <c r="C907" s="1"/>
      <c r="D907" s="1"/>
      <c r="E907" s="10"/>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row>
    <row r="908" spans="1:36" ht="10.199999999999999" x14ac:dyDescent="0.2">
      <c r="A908" s="3"/>
      <c r="B908" s="1"/>
      <c r="C908" s="1"/>
      <c r="D908" s="1"/>
      <c r="E908" s="10"/>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row>
    <row r="909" spans="1:36" ht="10.199999999999999" x14ac:dyDescent="0.2">
      <c r="A909" s="3"/>
      <c r="B909" s="1"/>
      <c r="C909" s="1"/>
      <c r="D909" s="1"/>
      <c r="E909" s="10"/>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row>
    <row r="910" spans="1:36" ht="10.199999999999999" x14ac:dyDescent="0.2">
      <c r="A910" s="3"/>
      <c r="B910" s="1"/>
      <c r="C910" s="1"/>
      <c r="D910" s="1"/>
      <c r="E910" s="10"/>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row>
    <row r="911" spans="1:36" ht="10.199999999999999" x14ac:dyDescent="0.2">
      <c r="A911" s="3"/>
      <c r="B911" s="1"/>
      <c r="C911" s="1"/>
      <c r="D911" s="1"/>
      <c r="E911" s="10"/>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row>
    <row r="912" spans="1:36" ht="10.199999999999999" x14ac:dyDescent="0.2">
      <c r="A912" s="3"/>
      <c r="B912" s="1"/>
      <c r="C912" s="1"/>
      <c r="D912" s="1"/>
      <c r="E912" s="10"/>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row>
    <row r="913" spans="1:36" ht="10.199999999999999" x14ac:dyDescent="0.2">
      <c r="A913" s="3"/>
      <c r="B913" s="1"/>
      <c r="C913" s="1"/>
      <c r="D913" s="1"/>
      <c r="E913" s="10"/>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row>
    <row r="914" spans="1:36" ht="10.199999999999999" x14ac:dyDescent="0.2">
      <c r="A914" s="3"/>
      <c r="B914" s="1"/>
      <c r="C914" s="1"/>
      <c r="D914" s="1"/>
      <c r="E914" s="10"/>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row>
    <row r="915" spans="1:36" ht="10.199999999999999" x14ac:dyDescent="0.2">
      <c r="A915" s="3"/>
      <c r="B915" s="1"/>
      <c r="C915" s="1"/>
      <c r="D915" s="1"/>
      <c r="E915" s="10"/>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row>
    <row r="916" spans="1:36" ht="10.199999999999999" x14ac:dyDescent="0.2">
      <c r="A916" s="3"/>
      <c r="B916" s="1"/>
      <c r="C916" s="1"/>
      <c r="D916" s="1"/>
      <c r="E916" s="10"/>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row>
    <row r="917" spans="1:36" ht="10.199999999999999" x14ac:dyDescent="0.2">
      <c r="A917" s="3"/>
      <c r="B917" s="1"/>
      <c r="C917" s="1"/>
      <c r="D917" s="1"/>
      <c r="E917" s="10"/>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row>
    <row r="918" spans="1:36" ht="10.199999999999999" x14ac:dyDescent="0.2">
      <c r="A918" s="3"/>
      <c r="B918" s="1"/>
      <c r="C918" s="1"/>
      <c r="D918" s="1"/>
      <c r="E918" s="10"/>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row>
    <row r="919" spans="1:36" ht="10.199999999999999" x14ac:dyDescent="0.2">
      <c r="A919" s="3"/>
      <c r="B919" s="1"/>
      <c r="C919" s="1"/>
      <c r="D919" s="1"/>
      <c r="E919" s="10"/>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row>
    <row r="920" spans="1:36" ht="10.199999999999999" x14ac:dyDescent="0.2">
      <c r="A920" s="3"/>
      <c r="B920" s="1"/>
      <c r="C920" s="1"/>
      <c r="D920" s="1"/>
      <c r="E920" s="10"/>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row>
    <row r="921" spans="1:36" ht="10.199999999999999" x14ac:dyDescent="0.2">
      <c r="A921" s="3"/>
      <c r="B921" s="1"/>
      <c r="C921" s="1"/>
      <c r="D921" s="1"/>
      <c r="E921" s="10"/>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row>
    <row r="922" spans="1:36" ht="10.199999999999999" x14ac:dyDescent="0.2">
      <c r="A922" s="3"/>
      <c r="B922" s="1"/>
      <c r="C922" s="1"/>
      <c r="D922" s="1"/>
      <c r="E922" s="10"/>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row>
    <row r="923" spans="1:36" ht="10.199999999999999" x14ac:dyDescent="0.2">
      <c r="A923" s="3"/>
      <c r="B923" s="1"/>
      <c r="C923" s="1"/>
      <c r="D923" s="1"/>
      <c r="E923" s="10"/>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row>
    <row r="924" spans="1:36" ht="10.199999999999999" x14ac:dyDescent="0.2">
      <c r="A924" s="3"/>
      <c r="B924" s="1"/>
      <c r="C924" s="1"/>
      <c r="D924" s="1"/>
      <c r="E924" s="10"/>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row>
    <row r="925" spans="1:36" ht="10.199999999999999" x14ac:dyDescent="0.2">
      <c r="A925" s="3"/>
      <c r="B925" s="1"/>
      <c r="C925" s="1"/>
      <c r="D925" s="1"/>
      <c r="E925" s="10"/>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row>
    <row r="926" spans="1:36" ht="10.199999999999999" x14ac:dyDescent="0.2">
      <c r="A926" s="3"/>
      <c r="B926" s="1"/>
      <c r="C926" s="1"/>
      <c r="D926" s="1"/>
      <c r="E926" s="10"/>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row>
    <row r="927" spans="1:36" ht="10.199999999999999" x14ac:dyDescent="0.2">
      <c r="A927" s="3"/>
      <c r="B927" s="1"/>
      <c r="C927" s="1"/>
      <c r="D927" s="1"/>
      <c r="E927" s="10"/>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row>
    <row r="928" spans="1:36" ht="10.199999999999999" x14ac:dyDescent="0.2">
      <c r="A928" s="3"/>
      <c r="B928" s="1"/>
      <c r="C928" s="1"/>
      <c r="D928" s="1"/>
      <c r="E928" s="10"/>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row>
    <row r="929" spans="1:36" ht="10.199999999999999" x14ac:dyDescent="0.2">
      <c r="A929" s="3"/>
      <c r="B929" s="1"/>
      <c r="C929" s="1"/>
      <c r="D929" s="1"/>
      <c r="E929" s="10"/>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row>
    <row r="930" spans="1:36" ht="10.199999999999999" x14ac:dyDescent="0.2">
      <c r="A930" s="3"/>
      <c r="B930" s="1"/>
      <c r="C930" s="1"/>
      <c r="D930" s="1"/>
      <c r="E930" s="10"/>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row>
    <row r="931" spans="1:36" ht="10.199999999999999" x14ac:dyDescent="0.2">
      <c r="A931" s="3"/>
      <c r="B931" s="1"/>
      <c r="C931" s="1"/>
      <c r="D931" s="1"/>
      <c r="E931" s="10"/>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row>
    <row r="932" spans="1:36" ht="10.199999999999999" x14ac:dyDescent="0.2">
      <c r="A932" s="3"/>
      <c r="B932" s="1"/>
      <c r="C932" s="1"/>
      <c r="D932" s="1"/>
      <c r="E932" s="10"/>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row>
    <row r="933" spans="1:36" ht="10.199999999999999" x14ac:dyDescent="0.2">
      <c r="A933" s="3"/>
      <c r="B933" s="1"/>
      <c r="C933" s="1"/>
      <c r="D933" s="1"/>
      <c r="E933" s="10"/>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row>
    <row r="934" spans="1:36" ht="10.199999999999999" x14ac:dyDescent="0.2">
      <c r="A934" s="3"/>
      <c r="B934" s="1"/>
      <c r="C934" s="1"/>
      <c r="D934" s="1"/>
      <c r="E934" s="10"/>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row>
    <row r="935" spans="1:36" ht="10.199999999999999" x14ac:dyDescent="0.2">
      <c r="A935" s="3"/>
      <c r="B935" s="1"/>
      <c r="C935" s="1"/>
      <c r="D935" s="1"/>
      <c r="E935" s="10"/>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row>
    <row r="936" spans="1:36" ht="10.199999999999999" x14ac:dyDescent="0.2">
      <c r="A936" s="3"/>
      <c r="B936" s="1"/>
      <c r="C936" s="1"/>
      <c r="D936" s="1"/>
      <c r="E936" s="10"/>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row>
    <row r="937" spans="1:36" ht="10.199999999999999" x14ac:dyDescent="0.2">
      <c r="A937" s="3"/>
      <c r="B937" s="1"/>
      <c r="C937" s="1"/>
      <c r="D937" s="1"/>
      <c r="E937" s="10"/>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row>
    <row r="938" spans="1:36" ht="10.199999999999999" x14ac:dyDescent="0.2">
      <c r="A938" s="3"/>
      <c r="B938" s="1"/>
      <c r="C938" s="1"/>
      <c r="D938" s="1"/>
      <c r="E938" s="10"/>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row>
    <row r="939" spans="1:36" ht="10.199999999999999" x14ac:dyDescent="0.2">
      <c r="A939" s="3"/>
      <c r="B939" s="1"/>
      <c r="C939" s="1"/>
      <c r="D939" s="1"/>
      <c r="E939" s="10"/>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row>
    <row r="940" spans="1:36" ht="10.199999999999999" x14ac:dyDescent="0.2">
      <c r="A940" s="3"/>
      <c r="B940" s="1"/>
      <c r="C940" s="1"/>
      <c r="D940" s="1"/>
      <c r="E940" s="10"/>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row>
    <row r="941" spans="1:36" ht="10.199999999999999" x14ac:dyDescent="0.2">
      <c r="A941" s="3"/>
      <c r="B941" s="1"/>
      <c r="C941" s="1"/>
      <c r="D941" s="1"/>
      <c r="E941" s="10"/>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row>
    <row r="942" spans="1:36" ht="10.199999999999999" x14ac:dyDescent="0.2">
      <c r="A942" s="3"/>
      <c r="B942" s="1"/>
      <c r="C942" s="1"/>
      <c r="D942" s="1"/>
      <c r="E942" s="10"/>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row>
    <row r="943" spans="1:36" ht="10.199999999999999" x14ac:dyDescent="0.2">
      <c r="A943" s="3"/>
      <c r="B943" s="1"/>
      <c r="C943" s="1"/>
      <c r="D943" s="1"/>
      <c r="E943" s="10"/>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row>
    <row r="944" spans="1:36" ht="10.199999999999999" x14ac:dyDescent="0.2">
      <c r="A944" s="3"/>
      <c r="B944" s="1"/>
      <c r="C944" s="1"/>
      <c r="D944" s="1"/>
      <c r="E944" s="10"/>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row>
    <row r="945" spans="1:36" ht="10.199999999999999" x14ac:dyDescent="0.2">
      <c r="A945" s="3"/>
      <c r="B945" s="1"/>
      <c r="C945" s="1"/>
      <c r="D945" s="1"/>
      <c r="E945" s="10"/>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row>
    <row r="946" spans="1:36" ht="10.199999999999999" x14ac:dyDescent="0.2">
      <c r="A946" s="3"/>
      <c r="B946" s="1"/>
      <c r="C946" s="1"/>
      <c r="D946" s="1"/>
      <c r="E946" s="10"/>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row>
    <row r="947" spans="1:36" ht="10.199999999999999" x14ac:dyDescent="0.2">
      <c r="A947" s="3"/>
      <c r="B947" s="1"/>
      <c r="C947" s="1"/>
      <c r="D947" s="1"/>
      <c r="E947" s="10"/>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row>
    <row r="948" spans="1:36" ht="10.199999999999999" x14ac:dyDescent="0.2">
      <c r="A948" s="3"/>
      <c r="B948" s="1"/>
      <c r="C948" s="1"/>
      <c r="D948" s="1"/>
      <c r="E948" s="10"/>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row>
    <row r="949" spans="1:36" ht="10.199999999999999" x14ac:dyDescent="0.2">
      <c r="A949" s="3"/>
      <c r="B949" s="1"/>
      <c r="C949" s="1"/>
      <c r="D949" s="1"/>
      <c r="E949" s="10"/>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row>
    <row r="950" spans="1:36" ht="10.199999999999999" x14ac:dyDescent="0.2">
      <c r="A950" s="3"/>
      <c r="B950" s="1"/>
      <c r="C950" s="1"/>
      <c r="D950" s="1"/>
      <c r="E950" s="10"/>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row>
    <row r="951" spans="1:36" ht="10.199999999999999" x14ac:dyDescent="0.2">
      <c r="A951" s="3"/>
      <c r="B951" s="1"/>
      <c r="C951" s="1"/>
      <c r="D951" s="1"/>
      <c r="E951" s="10"/>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row>
    <row r="952" spans="1:36" ht="10.199999999999999" x14ac:dyDescent="0.2">
      <c r="A952" s="3"/>
      <c r="B952" s="1"/>
      <c r="C952" s="1"/>
      <c r="D952" s="1"/>
      <c r="E952" s="10"/>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row>
    <row r="953" spans="1:36" ht="10.199999999999999" x14ac:dyDescent="0.2">
      <c r="A953" s="3"/>
      <c r="B953" s="1"/>
      <c r="C953" s="1"/>
      <c r="D953" s="1"/>
      <c r="E953" s="10"/>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row>
    <row r="954" spans="1:36" ht="10.199999999999999" x14ac:dyDescent="0.2">
      <c r="A954" s="3"/>
      <c r="B954" s="1"/>
      <c r="C954" s="1"/>
      <c r="D954" s="1"/>
      <c r="E954" s="10"/>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row>
    <row r="955" spans="1:36" ht="10.199999999999999" x14ac:dyDescent="0.2">
      <c r="A955" s="3"/>
      <c r="B955" s="1"/>
      <c r="C955" s="1"/>
      <c r="D955" s="1"/>
      <c r="E955" s="10"/>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row>
    <row r="956" spans="1:36" ht="10.199999999999999" x14ac:dyDescent="0.2">
      <c r="A956" s="3"/>
      <c r="B956" s="1"/>
      <c r="C956" s="1"/>
      <c r="D956" s="1"/>
      <c r="E956" s="10"/>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row>
    <row r="957" spans="1:36" ht="10.199999999999999" x14ac:dyDescent="0.2">
      <c r="A957" s="3"/>
      <c r="B957" s="1"/>
      <c r="C957" s="1"/>
      <c r="D957" s="1"/>
      <c r="E957" s="10"/>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row>
    <row r="958" spans="1:36" ht="10.199999999999999" x14ac:dyDescent="0.2">
      <c r="A958" s="3"/>
      <c r="B958" s="1"/>
      <c r="C958" s="1"/>
      <c r="D958" s="1"/>
      <c r="E958" s="10"/>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row>
    <row r="959" spans="1:36" ht="10.199999999999999" x14ac:dyDescent="0.2">
      <c r="A959" s="3"/>
      <c r="B959" s="1"/>
      <c r="C959" s="1"/>
      <c r="D959" s="1"/>
      <c r="E959" s="10"/>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row>
    <row r="960" spans="1:36" ht="10.199999999999999" x14ac:dyDescent="0.2">
      <c r="A960" s="3"/>
      <c r="B960" s="1"/>
      <c r="C960" s="1"/>
      <c r="D960" s="1"/>
      <c r="E960" s="10"/>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row>
    <row r="961" spans="1:36" ht="10.199999999999999" x14ac:dyDescent="0.2">
      <c r="A961" s="3"/>
      <c r="B961" s="1"/>
      <c r="C961" s="1"/>
      <c r="D961" s="1"/>
      <c r="E961" s="10"/>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row>
    <row r="962" spans="1:36" ht="10.199999999999999" x14ac:dyDescent="0.2">
      <c r="A962" s="3"/>
      <c r="B962" s="1"/>
      <c r="C962" s="1"/>
      <c r="D962" s="1"/>
      <c r="E962" s="10"/>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row>
    <row r="963" spans="1:36" ht="10.199999999999999" x14ac:dyDescent="0.2">
      <c r="A963" s="3"/>
      <c r="B963" s="1"/>
      <c r="C963" s="1"/>
      <c r="D963" s="1"/>
      <c r="E963" s="10"/>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row>
    <row r="964" spans="1:36" ht="10.199999999999999" x14ac:dyDescent="0.2">
      <c r="A964" s="3"/>
      <c r="B964" s="1"/>
      <c r="C964" s="1"/>
      <c r="D964" s="1"/>
      <c r="E964" s="10"/>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row>
    <row r="965" spans="1:36" ht="10.199999999999999" x14ac:dyDescent="0.2">
      <c r="A965" s="3"/>
      <c r="B965" s="1"/>
      <c r="C965" s="1"/>
      <c r="D965" s="1"/>
      <c r="E965" s="10"/>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row>
    <row r="966" spans="1:36" ht="10.199999999999999" x14ac:dyDescent="0.2">
      <c r="A966" s="3"/>
      <c r="B966" s="1"/>
      <c r="C966" s="1"/>
      <c r="D966" s="1"/>
      <c r="E966" s="10"/>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row>
    <row r="967" spans="1:36" ht="10.199999999999999" x14ac:dyDescent="0.2">
      <c r="A967" s="3"/>
      <c r="B967" s="1"/>
      <c r="C967" s="1"/>
      <c r="D967" s="1"/>
      <c r="E967" s="10"/>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row>
    <row r="968" spans="1:36" ht="10.199999999999999" x14ac:dyDescent="0.2">
      <c r="A968" s="3"/>
      <c r="B968" s="1"/>
      <c r="C968" s="1"/>
      <c r="D968" s="1"/>
      <c r="E968" s="10"/>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row>
    <row r="969" spans="1:36" ht="10.199999999999999" x14ac:dyDescent="0.2">
      <c r="A969" s="3"/>
      <c r="B969" s="1"/>
      <c r="C969" s="1"/>
      <c r="D969" s="1"/>
      <c r="E969" s="10"/>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row>
    <row r="970" spans="1:36" ht="10.199999999999999" x14ac:dyDescent="0.2">
      <c r="A970" s="3"/>
      <c r="B970" s="1"/>
      <c r="C970" s="1"/>
      <c r="D970" s="1"/>
      <c r="E970" s="10"/>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row>
    <row r="971" spans="1:36" ht="10.199999999999999" x14ac:dyDescent="0.2">
      <c r="A971" s="3"/>
      <c r="B971" s="1"/>
      <c r="C971" s="1"/>
      <c r="D971" s="1"/>
      <c r="E971" s="10"/>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row>
    <row r="972" spans="1:36" ht="10.199999999999999" x14ac:dyDescent="0.2">
      <c r="A972" s="3"/>
      <c r="B972" s="1"/>
      <c r="C972" s="1"/>
      <c r="D972" s="1"/>
      <c r="E972" s="10"/>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row>
    <row r="973" spans="1:36" ht="10.199999999999999" x14ac:dyDescent="0.2">
      <c r="A973" s="3"/>
      <c r="B973" s="1"/>
      <c r="C973" s="1"/>
      <c r="D973" s="1"/>
      <c r="E973" s="10"/>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row>
    <row r="974" spans="1:36" ht="10.199999999999999" x14ac:dyDescent="0.2">
      <c r="A974" s="3"/>
      <c r="B974" s="1"/>
      <c r="C974" s="1"/>
      <c r="D974" s="1"/>
      <c r="E974" s="10"/>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row>
    <row r="975" spans="1:36" ht="10.199999999999999" x14ac:dyDescent="0.2">
      <c r="A975" s="3"/>
      <c r="B975" s="1"/>
      <c r="C975" s="1"/>
      <c r="D975" s="1"/>
      <c r="E975" s="10"/>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row>
    <row r="976" spans="1:36" ht="10.199999999999999" x14ac:dyDescent="0.2">
      <c r="A976" s="3"/>
      <c r="B976" s="1"/>
      <c r="C976" s="1"/>
      <c r="D976" s="1"/>
      <c r="E976" s="10"/>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row>
    <row r="977" spans="1:36" ht="10.199999999999999" x14ac:dyDescent="0.2">
      <c r="A977" s="3"/>
      <c r="B977" s="1"/>
      <c r="C977" s="1"/>
      <c r="D977" s="1"/>
      <c r="E977" s="10"/>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row>
    <row r="978" spans="1:36" ht="10.199999999999999" x14ac:dyDescent="0.2">
      <c r="A978" s="3"/>
      <c r="B978" s="1"/>
      <c r="C978" s="1"/>
      <c r="D978" s="1"/>
      <c r="E978" s="10"/>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row>
    <row r="979" spans="1:36" ht="10.199999999999999" x14ac:dyDescent="0.2">
      <c r="A979" s="3"/>
      <c r="B979" s="1"/>
      <c r="C979" s="1"/>
      <c r="D979" s="1"/>
      <c r="E979" s="10"/>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row>
    <row r="980" spans="1:36" ht="10.199999999999999" x14ac:dyDescent="0.2">
      <c r="A980" s="3"/>
      <c r="B980" s="1"/>
      <c r="C980" s="1"/>
      <c r="D980" s="1"/>
      <c r="E980" s="10"/>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row>
    <row r="981" spans="1:36" ht="10.199999999999999" x14ac:dyDescent="0.2">
      <c r="A981" s="3"/>
      <c r="B981" s="1"/>
      <c r="C981" s="1"/>
      <c r="D981" s="1"/>
      <c r="E981" s="10"/>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row>
    <row r="982" spans="1:36" ht="10.199999999999999" x14ac:dyDescent="0.2">
      <c r="A982" s="3"/>
      <c r="B982" s="1"/>
      <c r="C982" s="1"/>
      <c r="D982" s="1"/>
      <c r="E982" s="10"/>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row>
    <row r="983" spans="1:36" ht="10.199999999999999" x14ac:dyDescent="0.2">
      <c r="A983" s="3"/>
      <c r="B983" s="1"/>
      <c r="C983" s="1"/>
      <c r="D983" s="1"/>
      <c r="E983" s="10"/>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row>
    <row r="984" spans="1:36" ht="10.199999999999999" x14ac:dyDescent="0.2">
      <c r="A984" s="3"/>
      <c r="B984" s="1"/>
      <c r="C984" s="1"/>
      <c r="D984" s="1"/>
      <c r="E984" s="10"/>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row>
    <row r="985" spans="1:36" ht="10.199999999999999" x14ac:dyDescent="0.2">
      <c r="A985" s="3"/>
      <c r="B985" s="1"/>
      <c r="C985" s="1"/>
      <c r="D985" s="1"/>
      <c r="E985" s="10"/>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row>
    <row r="986" spans="1:36" ht="10.199999999999999" x14ac:dyDescent="0.2">
      <c r="A986" s="3"/>
      <c r="B986" s="1"/>
      <c r="C986" s="1"/>
      <c r="D986" s="1"/>
      <c r="E986" s="10"/>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row>
    <row r="987" spans="1:36" ht="10.199999999999999" x14ac:dyDescent="0.2">
      <c r="A987" s="3"/>
      <c r="B987" s="1"/>
      <c r="C987" s="1"/>
      <c r="D987" s="1"/>
      <c r="E987" s="10"/>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row>
    <row r="988" spans="1:36" ht="10.199999999999999" x14ac:dyDescent="0.2">
      <c r="A988" s="3"/>
      <c r="B988" s="1"/>
      <c r="C988" s="1"/>
      <c r="D988" s="1"/>
      <c r="E988" s="10"/>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row>
    <row r="989" spans="1:36" ht="10.199999999999999" x14ac:dyDescent="0.2">
      <c r="A989" s="3"/>
      <c r="B989" s="1"/>
      <c r="C989" s="1"/>
      <c r="D989" s="1"/>
      <c r="E989" s="10"/>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row>
    <row r="990" spans="1:36" ht="10.199999999999999" x14ac:dyDescent="0.2">
      <c r="A990" s="3"/>
      <c r="B990" s="1"/>
      <c r="C990" s="1"/>
      <c r="D990" s="1"/>
      <c r="E990" s="10"/>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row>
    <row r="991" spans="1:36" ht="10.199999999999999" x14ac:dyDescent="0.2">
      <c r="A991" s="3"/>
      <c r="B991" s="1"/>
      <c r="C991" s="1"/>
      <c r="D991" s="1"/>
      <c r="E991" s="10"/>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row>
    <row r="992" spans="1:36" ht="10.199999999999999" x14ac:dyDescent="0.2">
      <c r="A992" s="3"/>
      <c r="B992" s="1"/>
      <c r="C992" s="1"/>
      <c r="D992" s="1"/>
      <c r="E992" s="10"/>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row>
    <row r="993" spans="1:36" ht="10.199999999999999" x14ac:dyDescent="0.2">
      <c r="A993" s="3"/>
      <c r="B993" s="1"/>
      <c r="C993" s="1"/>
      <c r="D993" s="1"/>
      <c r="E993" s="10"/>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row>
    <row r="994" spans="1:36" ht="10.199999999999999" x14ac:dyDescent="0.2">
      <c r="A994" s="3"/>
      <c r="B994" s="1"/>
      <c r="C994" s="1"/>
      <c r="D994" s="1"/>
      <c r="E994" s="10"/>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row>
    <row r="995" spans="1:36" ht="10.199999999999999" x14ac:dyDescent="0.2">
      <c r="A995" s="3"/>
      <c r="B995" s="1"/>
      <c r="C995" s="1"/>
      <c r="D995" s="1"/>
      <c r="E995" s="10"/>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row>
    <row r="996" spans="1:36" ht="15.75" customHeight="1" x14ac:dyDescent="0.2">
      <c r="A996" s="3"/>
      <c r="B996" s="1"/>
      <c r="C996" s="1"/>
      <c r="D996" s="1"/>
      <c r="E996" s="10"/>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row>
    <row r="997" spans="1:36" ht="15.75" customHeight="1" x14ac:dyDescent="0.2">
      <c r="A997" s="3"/>
      <c r="B997" s="1"/>
      <c r="C997" s="1"/>
      <c r="D997" s="1"/>
      <c r="E997" s="10"/>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row>
    <row r="998" spans="1:36" ht="15.75" customHeight="1" x14ac:dyDescent="0.2">
      <c r="A998" s="3"/>
      <c r="B998" s="1"/>
      <c r="C998" s="1"/>
      <c r="D998" s="1"/>
      <c r="E998" s="10"/>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row>
    <row r="999" spans="1:36" ht="15.75" customHeight="1" x14ac:dyDescent="0.2">
      <c r="A999" s="3"/>
      <c r="B999" s="1"/>
      <c r="C999" s="1"/>
      <c r="D999" s="1"/>
      <c r="E999" s="10"/>
      <c r="F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row>
    <row r="1000" spans="1:36" ht="15.75" customHeight="1" x14ac:dyDescent="0.2">
      <c r="A1000" s="3"/>
      <c r="B1000" s="1"/>
      <c r="C1000" s="1"/>
      <c r="D1000" s="1"/>
      <c r="E1000" s="10"/>
      <c r="F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row>
  </sheetData>
  <mergeCells count="7">
    <mergeCell ref="B170:C170"/>
    <mergeCell ref="B182:C182"/>
    <mergeCell ref="D2:E2"/>
    <mergeCell ref="D8:E8"/>
    <mergeCell ref="B9:C9"/>
    <mergeCell ref="B10:C10"/>
    <mergeCell ref="B168:C168"/>
  </mergeCells>
  <printOptions gridLines="1"/>
  <pageMargins left="0.25" right="0.26" top="0.17" bottom="0.2" header="0" footer="0"/>
  <pageSetup orientation="portrait" r:id="rId1"/>
  <rowBreaks count="4" manualBreakCount="4">
    <brk id="129" man="1"/>
    <brk id="183" man="1"/>
    <brk id="92" man="1"/>
    <brk id="46" man="1"/>
  </rowBreaks>
  <ignoredErrors>
    <ignoredError sqref="D17 D21 D25 D35 D39:D43 D110 D106 D102 D98 D89 D85 D76 D72 D68 D64 D60 D56 D52 D135 D139 D143 D147 D156 D160 D164 D175" formula="1"/>
  </ignoredError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U1005"/>
  <sheetViews>
    <sheetView workbookViewId="0"/>
  </sheetViews>
  <sheetFormatPr defaultColWidth="16.85546875" defaultRowHeight="15" customHeight="1" x14ac:dyDescent="0.2"/>
  <cols>
    <col min="1" max="1" width="1.85546875" customWidth="1"/>
    <col min="2" max="2" width="58.28515625" customWidth="1"/>
    <col min="3" max="3" width="24.7109375" customWidth="1"/>
    <col min="4" max="4" width="4" customWidth="1"/>
    <col min="5" max="5" width="30.85546875" customWidth="1"/>
    <col min="6" max="6" width="2.7109375" customWidth="1"/>
    <col min="7" max="7" width="20" customWidth="1"/>
    <col min="8" max="8" width="2.7109375" customWidth="1"/>
    <col min="9" max="9" width="18.42578125" customWidth="1"/>
    <col min="10" max="10" width="2.140625" customWidth="1"/>
    <col min="11" max="11" width="26.140625" customWidth="1"/>
    <col min="12" max="12" width="2.140625" customWidth="1"/>
    <col min="13" max="13" width="19.28515625" customWidth="1"/>
    <col min="14" max="14" width="2.140625" customWidth="1"/>
    <col min="15" max="15" width="17.85546875" customWidth="1"/>
    <col min="16" max="16" width="2.28515625" customWidth="1"/>
    <col min="17" max="17" width="16" customWidth="1"/>
    <col min="18" max="18" width="13.85546875" customWidth="1"/>
    <col min="19" max="19" width="18" customWidth="1"/>
    <col min="20" max="20" width="18.85546875" customWidth="1"/>
    <col min="21" max="21" width="2.140625" customWidth="1"/>
    <col min="22" max="22" width="10.140625" customWidth="1"/>
    <col min="23" max="23" width="2.42578125" customWidth="1"/>
    <col min="24" max="24" width="15.140625" customWidth="1"/>
    <col min="25" max="25" width="2.7109375" customWidth="1"/>
    <col min="26" max="26" width="14.85546875" customWidth="1"/>
    <col min="27" max="27" width="15.42578125" customWidth="1"/>
    <col min="28" max="28" width="2.7109375" customWidth="1"/>
    <col min="29" max="29" width="12.28515625" customWidth="1"/>
    <col min="30" max="30" width="1.42578125" customWidth="1"/>
    <col min="31" max="31" width="16.42578125" customWidth="1"/>
    <col min="32" max="32" width="1.42578125" customWidth="1"/>
    <col min="33" max="34" width="9.28515625" customWidth="1"/>
  </cols>
  <sheetData>
    <row r="1" spans="1:47" ht="27" customHeight="1" x14ac:dyDescent="0.55000000000000004">
      <c r="A1" s="329" t="s">
        <v>1203</v>
      </c>
      <c r="B1" s="926"/>
      <c r="C1" s="927"/>
      <c r="D1" s="140"/>
      <c r="E1" s="881"/>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row>
    <row r="2" spans="1:47" ht="27" customHeight="1" x14ac:dyDescent="0.55000000000000004">
      <c r="A2" s="329"/>
      <c r="B2" s="928"/>
      <c r="C2" s="929"/>
      <c r="D2" s="140"/>
      <c r="E2" s="881"/>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row>
    <row r="3" spans="1:47" ht="27" customHeight="1" x14ac:dyDescent="0.55000000000000004">
      <c r="A3" s="329"/>
      <c r="B3" s="928"/>
      <c r="C3" s="929"/>
      <c r="D3" s="140"/>
      <c r="E3" s="881"/>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row>
    <row r="4" spans="1:47" ht="27" customHeight="1" x14ac:dyDescent="0.55000000000000004">
      <c r="A4" s="329"/>
      <c r="B4" s="928"/>
      <c r="C4" s="929"/>
      <c r="D4" s="140"/>
      <c r="E4" s="881"/>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row>
    <row r="5" spans="1:47" ht="27" customHeight="1" x14ac:dyDescent="0.55000000000000004">
      <c r="A5" s="329"/>
      <c r="B5" s="928"/>
      <c r="C5" s="929"/>
      <c r="D5" s="140"/>
      <c r="E5" s="881"/>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row>
    <row r="6" spans="1:47" ht="11.25" customHeight="1" x14ac:dyDescent="0.2">
      <c r="A6" s="2942"/>
      <c r="B6" s="2943"/>
      <c r="C6" s="2943"/>
      <c r="D6" s="2943"/>
      <c r="E6" s="2943"/>
      <c r="F6" s="2943"/>
      <c r="G6" s="2943"/>
      <c r="H6" s="2943"/>
      <c r="I6" s="2943"/>
      <c r="J6" s="2943"/>
      <c r="K6" s="2943"/>
      <c r="L6" s="140"/>
      <c r="M6" s="140"/>
      <c r="N6" s="140"/>
      <c r="O6" s="140"/>
      <c r="P6" s="140"/>
      <c r="Q6" s="140"/>
      <c r="R6" s="140"/>
      <c r="S6" s="140"/>
      <c r="T6" s="140"/>
      <c r="U6" s="140"/>
      <c r="V6" s="140"/>
      <c r="W6" s="140"/>
      <c r="X6" s="140"/>
      <c r="Y6" s="140"/>
      <c r="Z6" s="140"/>
      <c r="AA6" s="140"/>
      <c r="AB6" s="140"/>
      <c r="AC6" s="140"/>
      <c r="AD6" s="140"/>
      <c r="AE6" s="140"/>
      <c r="AF6" s="140"/>
      <c r="AG6" s="140"/>
      <c r="AH6" s="140"/>
    </row>
    <row r="7" spans="1:47" ht="24" customHeight="1" x14ac:dyDescent="0.45">
      <c r="A7" s="327"/>
      <c r="B7" s="930" t="s">
        <v>1204</v>
      </c>
      <c r="C7" s="931"/>
      <c r="D7" s="931"/>
      <c r="E7" s="931"/>
      <c r="F7" s="931"/>
      <c r="G7" s="932"/>
      <c r="H7" s="327"/>
      <c r="I7" s="327"/>
      <c r="J7" s="327"/>
      <c r="K7" s="327"/>
      <c r="L7" s="327"/>
      <c r="M7" s="327"/>
      <c r="N7" s="327"/>
      <c r="O7" s="327"/>
      <c r="P7" s="327"/>
      <c r="Q7" s="2933" t="s">
        <v>1</v>
      </c>
      <c r="R7" s="2934"/>
      <c r="S7" s="327"/>
      <c r="T7" s="327"/>
      <c r="U7" s="327"/>
      <c r="V7" s="327"/>
      <c r="W7" s="327"/>
      <c r="X7" s="327"/>
      <c r="Y7" s="327"/>
      <c r="Z7" s="327"/>
      <c r="AA7" s="327"/>
      <c r="AB7" s="327"/>
      <c r="AC7" s="327"/>
      <c r="AD7" s="327"/>
      <c r="AE7" s="327"/>
      <c r="AF7" s="327"/>
      <c r="AG7" s="327"/>
      <c r="AH7" s="327"/>
    </row>
    <row r="8" spans="1:47" ht="25.5" customHeight="1" x14ac:dyDescent="0.35">
      <c r="A8" s="327"/>
      <c r="B8" s="933" t="s">
        <v>1205</v>
      </c>
      <c r="C8" s="934" t="s">
        <v>1206</v>
      </c>
      <c r="D8" s="327"/>
      <c r="E8" s="934" t="s">
        <v>1207</v>
      </c>
      <c r="F8" s="327"/>
      <c r="G8" s="935" t="s">
        <v>531</v>
      </c>
      <c r="H8" s="327"/>
      <c r="I8" s="327"/>
      <c r="J8" s="327"/>
      <c r="K8" s="327"/>
      <c r="L8" s="327"/>
      <c r="M8" s="327"/>
      <c r="N8" s="327"/>
      <c r="O8" s="327"/>
      <c r="P8" s="327"/>
      <c r="Q8" s="2641"/>
      <c r="R8" s="2641" t="str">
        <f>Summary!E3</f>
        <v>AR5 100-yr GWP</v>
      </c>
      <c r="S8" s="327"/>
      <c r="T8" s="327"/>
      <c r="U8" s="327"/>
      <c r="V8" s="327"/>
      <c r="W8" s="327"/>
      <c r="X8" s="327"/>
      <c r="Y8" s="327"/>
      <c r="Z8" s="327"/>
      <c r="AA8" s="327"/>
      <c r="AB8" s="327"/>
      <c r="AC8" s="327"/>
      <c r="AD8" s="327"/>
      <c r="AE8" s="327"/>
      <c r="AF8" s="327"/>
      <c r="AG8" s="327"/>
      <c r="AH8" s="327"/>
    </row>
    <row r="9" spans="1:47" ht="14.25" customHeight="1" x14ac:dyDescent="0.2">
      <c r="A9" s="327"/>
      <c r="B9" s="936" t="s">
        <v>1208</v>
      </c>
      <c r="C9" s="806">
        <v>42</v>
      </c>
      <c r="D9" s="327"/>
      <c r="E9" s="625">
        <f t="shared" ref="E9:E11" si="0">C9*42*1000</f>
        <v>1764000</v>
      </c>
      <c r="F9" s="327"/>
      <c r="G9" s="937">
        <v>210</v>
      </c>
      <c r="H9" s="327"/>
      <c r="I9" s="938"/>
      <c r="J9" s="327"/>
      <c r="K9" s="327"/>
      <c r="L9" s="327"/>
      <c r="M9" s="327"/>
      <c r="N9" s="327"/>
      <c r="O9" s="327"/>
      <c r="P9" s="327"/>
      <c r="Q9" s="2641" t="s">
        <v>521</v>
      </c>
      <c r="R9" s="2642">
        <f>Summary!E4</f>
        <v>1</v>
      </c>
      <c r="S9" s="327"/>
      <c r="T9" s="327"/>
      <c r="U9" s="327"/>
      <c r="V9" s="327"/>
      <c r="W9" s="327"/>
      <c r="X9" s="327"/>
      <c r="Y9" s="327"/>
      <c r="Z9" s="327"/>
      <c r="AA9" s="327"/>
      <c r="AB9" s="327"/>
      <c r="AC9" s="327"/>
      <c r="AD9" s="327"/>
      <c r="AE9" s="327"/>
      <c r="AF9" s="327"/>
      <c r="AG9" s="327"/>
      <c r="AH9" s="327"/>
    </row>
    <row r="10" spans="1:47" ht="12.75" customHeight="1" x14ac:dyDescent="0.2">
      <c r="A10" s="327"/>
      <c r="B10" s="936" t="s">
        <v>1209</v>
      </c>
      <c r="C10" s="939">
        <v>5876</v>
      </c>
      <c r="D10" s="882"/>
      <c r="E10" s="806">
        <f t="shared" si="0"/>
        <v>246792000</v>
      </c>
      <c r="F10" s="882"/>
      <c r="G10" s="940">
        <v>33319</v>
      </c>
      <c r="H10" s="327"/>
      <c r="I10" s="941"/>
      <c r="J10" s="327"/>
      <c r="K10" s="811"/>
      <c r="L10" s="327"/>
      <c r="M10" s="327"/>
      <c r="N10" s="327"/>
      <c r="O10" s="327"/>
      <c r="P10" s="327"/>
      <c r="Q10" s="2641" t="s">
        <v>523</v>
      </c>
      <c r="R10" s="2642">
        <f>Summary!E5</f>
        <v>28</v>
      </c>
      <c r="S10" s="327"/>
      <c r="T10" s="327"/>
      <c r="U10" s="327"/>
      <c r="V10" s="327"/>
      <c r="W10" s="327"/>
      <c r="X10" s="327"/>
      <c r="Y10" s="327"/>
      <c r="Z10" s="327"/>
      <c r="AA10" s="327"/>
      <c r="AB10" s="327"/>
      <c r="AC10" s="327"/>
      <c r="AD10" s="327"/>
      <c r="AE10" s="327"/>
      <c r="AF10" s="327"/>
      <c r="AG10" s="327"/>
      <c r="AH10" s="327"/>
    </row>
    <row r="11" spans="1:47" ht="14.25" customHeight="1" x14ac:dyDescent="0.2">
      <c r="A11" s="327"/>
      <c r="B11" s="942" t="s">
        <v>1210</v>
      </c>
      <c r="C11" s="943">
        <v>268</v>
      </c>
      <c r="D11" s="327"/>
      <c r="E11" s="706">
        <f t="shared" si="0"/>
        <v>11256000</v>
      </c>
      <c r="F11" s="327"/>
      <c r="G11" s="944">
        <v>1623</v>
      </c>
      <c r="H11" s="327"/>
      <c r="I11" s="938"/>
      <c r="J11" s="327"/>
      <c r="K11" s="882"/>
      <c r="L11" s="327"/>
      <c r="M11" s="327"/>
      <c r="N11" s="327"/>
      <c r="O11" s="327"/>
      <c r="P11" s="327"/>
      <c r="Q11" s="2641" t="s">
        <v>525</v>
      </c>
      <c r="R11" s="2642">
        <f>Summary!E6</f>
        <v>265</v>
      </c>
      <c r="S11" s="327"/>
      <c r="T11" s="327"/>
      <c r="U11" s="327"/>
      <c r="V11" s="327"/>
      <c r="W11" s="327"/>
      <c r="X11" s="327"/>
      <c r="Y11" s="327"/>
      <c r="Z11" s="327"/>
      <c r="AA11" s="327"/>
      <c r="AB11" s="327"/>
      <c r="AC11" s="327"/>
      <c r="AD11" s="327"/>
      <c r="AE11" s="327"/>
      <c r="AF11" s="327"/>
      <c r="AG11" s="327"/>
      <c r="AH11" s="327"/>
    </row>
    <row r="12" spans="1:47" ht="11.25" customHeight="1" x14ac:dyDescent="0.2">
      <c r="A12" s="327"/>
      <c r="B12" s="945"/>
      <c r="C12" s="706"/>
      <c r="D12" s="327"/>
      <c r="E12" s="706"/>
      <c r="F12" s="327"/>
      <c r="G12" s="946"/>
      <c r="H12" s="327"/>
      <c r="I12" s="938"/>
      <c r="J12" s="327"/>
      <c r="K12" s="327"/>
      <c r="L12" s="327"/>
      <c r="M12" s="327"/>
      <c r="N12" s="327"/>
      <c r="O12" s="327"/>
      <c r="P12" s="327"/>
      <c r="Q12" s="2641" t="s">
        <v>526</v>
      </c>
      <c r="R12" s="2643">
        <f>Summary!E7</f>
        <v>23500</v>
      </c>
      <c r="S12" s="327"/>
      <c r="T12" s="327"/>
      <c r="U12" s="327"/>
      <c r="V12" s="327"/>
      <c r="W12" s="327"/>
      <c r="X12" s="327"/>
      <c r="Y12" s="327"/>
      <c r="Z12" s="327"/>
      <c r="AA12" s="327"/>
      <c r="AB12" s="327"/>
      <c r="AC12" s="327"/>
      <c r="AD12" s="327"/>
      <c r="AE12" s="327"/>
      <c r="AF12" s="327"/>
      <c r="AG12" s="327"/>
      <c r="AH12" s="327"/>
      <c r="AI12" s="140"/>
      <c r="AJ12" s="140"/>
      <c r="AK12" s="140"/>
      <c r="AL12" s="140"/>
      <c r="AM12" s="140"/>
      <c r="AN12" s="140"/>
      <c r="AO12" s="140"/>
      <c r="AP12" s="140"/>
      <c r="AQ12" s="140"/>
      <c r="AR12" s="140"/>
      <c r="AS12" s="140"/>
      <c r="AT12" s="140"/>
      <c r="AU12" s="140"/>
    </row>
    <row r="13" spans="1:47" ht="12.75" customHeight="1" x14ac:dyDescent="0.3">
      <c r="A13" s="327"/>
      <c r="B13" s="947" t="s">
        <v>1211</v>
      </c>
      <c r="C13" s="948">
        <f t="shared" ref="C13:C14" si="1">E13/(42*1000)</f>
        <v>722.45238095238096</v>
      </c>
      <c r="D13" s="949"/>
      <c r="E13" s="948">
        <v>30343000</v>
      </c>
      <c r="F13" s="949"/>
      <c r="G13" s="937"/>
      <c r="H13" s="327"/>
      <c r="I13" s="938"/>
      <c r="J13" s="327"/>
      <c r="K13" s="327"/>
      <c r="L13" s="327"/>
      <c r="M13" s="327"/>
      <c r="N13" s="327"/>
      <c r="O13" s="327"/>
      <c r="P13" s="327"/>
      <c r="S13" s="327"/>
      <c r="T13" s="327"/>
      <c r="U13" s="327"/>
      <c r="V13" s="327"/>
      <c r="W13" s="327"/>
      <c r="X13" s="327"/>
      <c r="Y13" s="327"/>
      <c r="Z13" s="327"/>
      <c r="AA13" s="327"/>
      <c r="AB13" s="327"/>
      <c r="AC13" s="327"/>
      <c r="AD13" s="327"/>
      <c r="AE13" s="327"/>
      <c r="AF13" s="327"/>
      <c r="AG13" s="327"/>
      <c r="AH13" s="327"/>
    </row>
    <row r="14" spans="1:47" ht="13.5" customHeight="1" x14ac:dyDescent="0.3">
      <c r="A14" s="327"/>
      <c r="B14" s="950" t="s">
        <v>1212</v>
      </c>
      <c r="C14" s="948">
        <f t="shared" si="1"/>
        <v>122.78571428571429</v>
      </c>
      <c r="D14" s="949"/>
      <c r="E14" s="948">
        <v>5157000</v>
      </c>
      <c r="F14" s="949"/>
      <c r="G14" s="937"/>
      <c r="H14" s="327"/>
      <c r="I14" s="938"/>
      <c r="J14" s="327"/>
      <c r="K14" s="327"/>
      <c r="L14" s="327"/>
      <c r="M14" s="327"/>
      <c r="N14" s="327"/>
      <c r="O14" s="327"/>
      <c r="P14" s="327"/>
      <c r="Q14" s="327"/>
      <c r="R14" s="327"/>
      <c r="S14" s="327"/>
      <c r="T14" s="327"/>
      <c r="U14" s="327"/>
      <c r="V14" s="327"/>
      <c r="W14" s="327"/>
      <c r="X14" s="327"/>
      <c r="Y14" s="327"/>
      <c r="Z14" s="327"/>
      <c r="AA14" s="327"/>
      <c r="AB14" s="327"/>
      <c r="AC14" s="327"/>
      <c r="AD14" s="327"/>
      <c r="AE14" s="327"/>
      <c r="AF14" s="327"/>
      <c r="AG14" s="327"/>
      <c r="AH14" s="327"/>
    </row>
    <row r="15" spans="1:47" ht="15" customHeight="1" x14ac:dyDescent="0.2">
      <c r="A15" s="327"/>
      <c r="B15" s="951" t="s">
        <v>1213</v>
      </c>
      <c r="C15" s="952">
        <v>337</v>
      </c>
      <c r="D15" s="953"/>
      <c r="E15" s="952">
        <f>C15*42*1000</f>
        <v>14154000</v>
      </c>
      <c r="F15" s="953"/>
      <c r="G15" s="954">
        <v>2118</v>
      </c>
      <c r="H15" s="327"/>
      <c r="I15" s="938"/>
      <c r="J15" s="327"/>
      <c r="K15" s="327"/>
      <c r="L15" s="327"/>
      <c r="M15" s="327"/>
      <c r="N15" s="327"/>
      <c r="O15" s="327"/>
      <c r="P15" s="327"/>
      <c r="Q15" s="327"/>
      <c r="R15" s="327"/>
      <c r="S15" s="327"/>
      <c r="T15" s="327"/>
      <c r="U15" s="327"/>
      <c r="V15" s="327"/>
      <c r="W15" s="327"/>
      <c r="X15" s="327"/>
      <c r="Y15" s="327"/>
      <c r="Z15" s="327"/>
      <c r="AA15" s="327"/>
      <c r="AB15" s="327"/>
      <c r="AC15" s="327"/>
      <c r="AD15" s="327"/>
      <c r="AE15" s="327"/>
      <c r="AF15" s="327"/>
      <c r="AG15" s="327"/>
      <c r="AH15" s="327"/>
    </row>
    <row r="16" spans="1:47" ht="11.25" customHeight="1" x14ac:dyDescent="0.2">
      <c r="A16" s="327"/>
      <c r="B16" s="327"/>
      <c r="C16" s="327"/>
      <c r="D16" s="327"/>
      <c r="E16" s="955"/>
      <c r="F16" s="327"/>
      <c r="G16" s="327"/>
      <c r="H16" s="327"/>
      <c r="I16" s="327"/>
      <c r="J16" s="327"/>
      <c r="K16" s="327"/>
      <c r="L16" s="327"/>
      <c r="M16" s="327"/>
      <c r="N16" s="327"/>
      <c r="O16" s="327"/>
      <c r="P16" s="327"/>
      <c r="Q16" s="327"/>
      <c r="R16" s="327"/>
      <c r="S16" s="327"/>
      <c r="T16" s="327"/>
      <c r="U16" s="327"/>
      <c r="V16" s="327"/>
      <c r="W16" s="327"/>
      <c r="X16" s="327"/>
      <c r="Y16" s="327"/>
      <c r="Z16" s="327"/>
      <c r="AA16" s="327"/>
      <c r="AB16" s="327"/>
      <c r="AC16" s="327"/>
      <c r="AD16" s="327"/>
      <c r="AE16" s="327"/>
      <c r="AF16" s="327"/>
      <c r="AG16" s="327"/>
      <c r="AH16" s="327"/>
    </row>
    <row r="17" spans="1:34" ht="13.5" customHeight="1" x14ac:dyDescent="0.3">
      <c r="A17" s="956"/>
      <c r="B17" s="957" t="s">
        <v>1214</v>
      </c>
      <c r="C17" s="8"/>
      <c r="D17" s="8"/>
      <c r="E17" s="327"/>
      <c r="F17" s="8"/>
      <c r="G17" s="8"/>
      <c r="H17" s="8"/>
      <c r="I17" s="8"/>
      <c r="J17" s="958"/>
      <c r="K17" s="8"/>
      <c r="L17" s="8"/>
      <c r="M17" s="8"/>
      <c r="N17" s="8"/>
      <c r="O17" s="8"/>
      <c r="P17" s="8"/>
      <c r="Q17" s="8"/>
      <c r="R17" s="8"/>
      <c r="S17" s="8"/>
      <c r="T17" s="8"/>
      <c r="U17" s="8"/>
      <c r="V17" s="8"/>
      <c r="W17" s="8"/>
      <c r="X17" s="8"/>
      <c r="Y17" s="8"/>
      <c r="Z17" s="8"/>
      <c r="AA17" s="8"/>
      <c r="AB17" s="8"/>
      <c r="AC17" s="8"/>
      <c r="AD17" s="8"/>
      <c r="AE17" s="8"/>
      <c r="AF17" s="8"/>
      <c r="AG17" s="8"/>
      <c r="AH17" s="8"/>
    </row>
    <row r="18" spans="1:34" ht="14.25" customHeight="1" x14ac:dyDescent="0.3">
      <c r="A18" s="956"/>
      <c r="B18" s="959" t="s">
        <v>593</v>
      </c>
      <c r="C18" s="960">
        <v>120286</v>
      </c>
      <c r="D18" s="81" t="s">
        <v>1215</v>
      </c>
      <c r="E18" s="961"/>
      <c r="F18" s="8"/>
      <c r="G18" s="8"/>
      <c r="H18" s="8"/>
      <c r="I18" s="8"/>
      <c r="J18" s="958"/>
      <c r="K18" s="8"/>
      <c r="L18" s="8"/>
      <c r="M18" s="8"/>
      <c r="N18" s="8"/>
      <c r="O18" s="8"/>
      <c r="P18" s="8"/>
      <c r="Q18" s="8"/>
      <c r="R18" s="8"/>
      <c r="S18" s="8"/>
      <c r="T18" s="8"/>
      <c r="U18" s="8"/>
      <c r="V18" s="8"/>
      <c r="W18" s="8"/>
      <c r="X18" s="8"/>
      <c r="Y18" s="8"/>
      <c r="Z18" s="8"/>
      <c r="AA18" s="8"/>
      <c r="AB18" s="8"/>
      <c r="AC18" s="8"/>
      <c r="AD18" s="8"/>
      <c r="AE18" s="8"/>
      <c r="AF18" s="8"/>
      <c r="AG18" s="8"/>
      <c r="AH18" s="8"/>
    </row>
    <row r="19" spans="1:34" ht="15" customHeight="1" x14ac:dyDescent="0.3">
      <c r="A19" s="956"/>
      <c r="B19" s="962" t="s">
        <v>224</v>
      </c>
      <c r="C19" s="963">
        <v>137381</v>
      </c>
      <c r="D19" s="964" t="s">
        <v>1215</v>
      </c>
      <c r="E19" s="965"/>
      <c r="F19" s="8"/>
      <c r="G19" s="8"/>
      <c r="H19" s="8"/>
      <c r="I19" s="8"/>
      <c r="J19" s="958"/>
      <c r="K19" s="8"/>
      <c r="L19" s="8"/>
      <c r="M19" s="8"/>
      <c r="N19" s="8"/>
      <c r="O19" s="8"/>
      <c r="P19" s="8"/>
      <c r="Q19" s="8"/>
      <c r="R19" s="8"/>
      <c r="S19" s="8"/>
      <c r="T19" s="8"/>
      <c r="U19" s="8"/>
      <c r="V19" s="8"/>
      <c r="W19" s="8"/>
      <c r="X19" s="8"/>
      <c r="Y19" s="8"/>
      <c r="Z19" s="8"/>
      <c r="AA19" s="8"/>
      <c r="AB19" s="8"/>
      <c r="AC19" s="8"/>
      <c r="AD19" s="8"/>
      <c r="AE19" s="8"/>
      <c r="AF19" s="8"/>
      <c r="AG19" s="8"/>
      <c r="AH19" s="8"/>
    </row>
    <row r="20" spans="1:34" ht="11.25" customHeight="1" x14ac:dyDescent="0.3">
      <c r="A20" s="8"/>
      <c r="B20" s="8"/>
      <c r="C20" s="8"/>
      <c r="D20" s="2982"/>
      <c r="E20" s="2943"/>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row>
    <row r="21" spans="1:34" ht="11.25" customHeight="1" x14ac:dyDescent="0.3">
      <c r="A21" s="8"/>
      <c r="B21" s="8"/>
      <c r="C21" s="8"/>
      <c r="D21" s="8"/>
      <c r="E21" s="327"/>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row>
    <row r="22" spans="1:34" ht="25.5" customHeight="1" x14ac:dyDescent="0.45">
      <c r="A22" s="8"/>
      <c r="B22" s="966" t="s">
        <v>1216</v>
      </c>
      <c r="C22" s="967"/>
      <c r="D22" s="967"/>
      <c r="E22" s="967"/>
      <c r="F22" s="967"/>
      <c r="G22" s="967"/>
      <c r="H22" s="967"/>
      <c r="I22" s="967"/>
      <c r="J22" s="968"/>
      <c r="K22" s="968"/>
      <c r="L22" s="968"/>
      <c r="M22" s="967"/>
      <c r="N22" s="967"/>
      <c r="O22" s="967"/>
      <c r="P22" s="967"/>
      <c r="Q22" s="967"/>
      <c r="R22" s="967"/>
      <c r="S22" s="967"/>
      <c r="T22" s="967"/>
      <c r="U22" s="967"/>
      <c r="V22" s="967"/>
      <c r="W22" s="967"/>
      <c r="X22" s="967"/>
      <c r="Y22" s="967"/>
      <c r="Z22" s="967"/>
      <c r="AA22" s="967"/>
      <c r="AB22" s="967"/>
      <c r="AC22" s="967"/>
      <c r="AD22" s="967"/>
      <c r="AE22" s="967"/>
      <c r="AF22" s="969"/>
      <c r="AG22" s="8"/>
      <c r="AH22" s="8"/>
    </row>
    <row r="23" spans="1:34" ht="18.75" customHeight="1" x14ac:dyDescent="0.45">
      <c r="A23" s="327"/>
      <c r="B23" s="970" t="s">
        <v>1217</v>
      </c>
      <c r="C23" s="971"/>
      <c r="D23" s="972"/>
      <c r="E23" s="972"/>
      <c r="F23" s="971"/>
      <c r="G23" s="971"/>
      <c r="H23" s="971"/>
      <c r="I23" s="971"/>
      <c r="J23" s="971"/>
      <c r="K23" s="971"/>
      <c r="L23" s="971"/>
      <c r="M23" s="971"/>
      <c r="N23" s="971"/>
      <c r="O23" s="971"/>
      <c r="P23" s="8"/>
      <c r="Q23" s="8"/>
      <c r="R23" s="8"/>
      <c r="S23" s="8"/>
      <c r="T23" s="327"/>
      <c r="U23" s="327"/>
      <c r="V23" s="327"/>
      <c r="W23" s="327"/>
      <c r="X23" s="327"/>
      <c r="Y23" s="327"/>
      <c r="Z23" s="327"/>
      <c r="AA23" s="327"/>
      <c r="AB23" s="327"/>
      <c r="AC23" s="327"/>
      <c r="AD23" s="327"/>
      <c r="AE23" s="327"/>
      <c r="AF23" s="973"/>
      <c r="AG23" s="327"/>
      <c r="AH23" s="327"/>
    </row>
    <row r="24" spans="1:34" ht="17.25" customHeight="1" x14ac:dyDescent="0.3">
      <c r="A24" s="327"/>
      <c r="B24" s="974"/>
      <c r="C24" s="327"/>
      <c r="D24" s="327"/>
      <c r="E24" s="140"/>
      <c r="F24" s="354"/>
      <c r="G24" s="354"/>
      <c r="H24" s="140"/>
      <c r="I24" s="140"/>
      <c r="J24" s="140"/>
      <c r="K24" s="975"/>
      <c r="L24" s="976"/>
      <c r="M24" s="977" t="s">
        <v>1218</v>
      </c>
      <c r="N24" s="976"/>
      <c r="O24" s="978"/>
      <c r="P24" s="140"/>
      <c r="Q24" s="975"/>
      <c r="R24" s="976"/>
      <c r="S24" s="976"/>
      <c r="T24" s="977" t="s">
        <v>1219</v>
      </c>
      <c r="U24" s="979"/>
      <c r="V24" s="979"/>
      <c r="W24" s="979"/>
      <c r="X24" s="980"/>
      <c r="Y24" s="327"/>
      <c r="Z24" s="981"/>
      <c r="AA24" s="982" t="s">
        <v>1220</v>
      </c>
      <c r="AB24" s="977"/>
      <c r="AC24" s="977"/>
      <c r="AD24" s="977"/>
      <c r="AE24" s="980"/>
      <c r="AF24" s="973"/>
      <c r="AG24" s="327"/>
      <c r="AH24" s="327"/>
    </row>
    <row r="25" spans="1:34" ht="11.25" customHeight="1" x14ac:dyDescent="0.3">
      <c r="A25" s="138"/>
      <c r="B25" s="983"/>
      <c r="C25" s="984" t="s">
        <v>512</v>
      </c>
      <c r="D25" s="985"/>
      <c r="E25" s="984" t="s">
        <v>512</v>
      </c>
      <c r="F25" s="984"/>
      <c r="G25" s="984" t="s">
        <v>700</v>
      </c>
      <c r="H25" s="986"/>
      <c r="I25" s="984" t="s">
        <v>701</v>
      </c>
      <c r="J25" s="987"/>
      <c r="K25" s="988" t="s">
        <v>529</v>
      </c>
      <c r="L25" s="986"/>
      <c r="M25" s="989" t="s">
        <v>529</v>
      </c>
      <c r="N25" s="986"/>
      <c r="O25" s="990" t="s">
        <v>529</v>
      </c>
      <c r="P25" s="991"/>
      <c r="Q25" s="992"/>
      <c r="R25" s="986"/>
      <c r="S25" s="986"/>
      <c r="T25" s="985"/>
      <c r="U25" s="985"/>
      <c r="V25" s="985"/>
      <c r="W25" s="985"/>
      <c r="X25" s="993"/>
      <c r="Y25" s="994"/>
      <c r="Z25" s="995"/>
      <c r="AA25" s="985"/>
      <c r="AB25" s="985"/>
      <c r="AC25" s="985"/>
      <c r="AD25" s="985"/>
      <c r="AE25" s="993"/>
      <c r="AF25" s="996"/>
      <c r="AG25" s="138"/>
      <c r="AH25" s="138"/>
    </row>
    <row r="26" spans="1:34" ht="25.5" customHeight="1" x14ac:dyDescent="0.35">
      <c r="A26" s="138"/>
      <c r="B26" s="997" t="s">
        <v>170</v>
      </c>
      <c r="C26" s="998" t="s">
        <v>1221</v>
      </c>
      <c r="D26" s="999"/>
      <c r="E26" s="998" t="s">
        <v>531</v>
      </c>
      <c r="F26" s="1000"/>
      <c r="G26" s="998" t="s">
        <v>702</v>
      </c>
      <c r="H26" s="1000"/>
      <c r="I26" s="998" t="s">
        <v>703</v>
      </c>
      <c r="J26" s="1001"/>
      <c r="K26" s="1002" t="s">
        <v>704</v>
      </c>
      <c r="L26" s="998"/>
      <c r="M26" s="998" t="s">
        <v>1222</v>
      </c>
      <c r="N26" s="1000"/>
      <c r="O26" s="1003" t="s">
        <v>1223</v>
      </c>
      <c r="P26" s="1004"/>
      <c r="Q26" s="1005" t="s">
        <v>1224</v>
      </c>
      <c r="R26" s="1006" t="s">
        <v>1225</v>
      </c>
      <c r="S26" s="1006" t="s">
        <v>1226</v>
      </c>
      <c r="T26" s="1006" t="s">
        <v>1227</v>
      </c>
      <c r="U26" s="999"/>
      <c r="V26" s="1006" t="s">
        <v>1228</v>
      </c>
      <c r="W26" s="999"/>
      <c r="X26" s="1007" t="s">
        <v>1229</v>
      </c>
      <c r="Y26" s="1008"/>
      <c r="Z26" s="1005" t="s">
        <v>1230</v>
      </c>
      <c r="AA26" s="1006" t="s">
        <v>1231</v>
      </c>
      <c r="AB26" s="999"/>
      <c r="AC26" s="1006" t="s">
        <v>1232</v>
      </c>
      <c r="AD26" s="999"/>
      <c r="AE26" s="1007" t="s">
        <v>1233</v>
      </c>
      <c r="AF26" s="996"/>
      <c r="AG26" s="138"/>
      <c r="AH26" s="138"/>
    </row>
    <row r="27" spans="1:34" ht="15" customHeight="1" x14ac:dyDescent="0.3">
      <c r="A27" s="138"/>
      <c r="B27" s="1009" t="s">
        <v>1234</v>
      </c>
      <c r="C27" s="1010">
        <f t="shared" ref="C27:C28" si="2">E9</f>
        <v>1764000</v>
      </c>
      <c r="D27" s="1011"/>
      <c r="E27" s="1012">
        <f t="shared" ref="E27:E28" si="3">G9</f>
        <v>210</v>
      </c>
      <c r="F27" s="1013" t="s">
        <v>1235</v>
      </c>
      <c r="G27" s="1014">
        <v>41.57</v>
      </c>
      <c r="H27" s="1013" t="s">
        <v>1235</v>
      </c>
      <c r="I27" s="1015">
        <v>1</v>
      </c>
      <c r="J27" s="1016" t="s">
        <v>1236</v>
      </c>
      <c r="K27" s="1017">
        <f t="shared" ref="K27:K29" si="4">E27*1000*G27*I27/2000</f>
        <v>4364.8500000000004</v>
      </c>
      <c r="L27" s="1018" t="s">
        <v>1236</v>
      </c>
      <c r="M27" s="1019">
        <f t="shared" ref="M27:M29" si="5">K27*0.90718/1000000</f>
        <v>3.9597046230000002E-3</v>
      </c>
      <c r="N27" s="1018" t="s">
        <v>1236</v>
      </c>
      <c r="O27" s="1020">
        <f t="shared" ref="O27:O29" si="6">M27*44/12</f>
        <v>1.4518916951000001E-2</v>
      </c>
      <c r="P27" s="1021"/>
      <c r="Q27" s="1022">
        <v>22.257999999999999</v>
      </c>
      <c r="R27" s="1011"/>
      <c r="S27" s="1023">
        <v>0.04</v>
      </c>
      <c r="T27" s="1024">
        <f t="shared" ref="T27:T28" si="7">E27*1000*Q27*S27/1000000000</f>
        <v>1.869672E-4</v>
      </c>
      <c r="U27" s="1018" t="s">
        <v>1236</v>
      </c>
      <c r="V27" s="1025">
        <f t="shared" ref="V27:V29" si="8">T27*1000</f>
        <v>0.1869672</v>
      </c>
      <c r="W27" s="1018" t="s">
        <v>1236</v>
      </c>
      <c r="X27" s="1026">
        <f>(V27*R11)/1000000</f>
        <v>4.9546308000000006E-5</v>
      </c>
      <c r="Y27" s="1027"/>
      <c r="Z27" s="1028">
        <v>2.64</v>
      </c>
      <c r="AA27" s="1029">
        <f t="shared" ref="AA27:AA28" si="9">E27*1000*Q27*Z27/1000000000</f>
        <v>1.2339835200000001E-2</v>
      </c>
      <c r="AB27" s="1018" t="s">
        <v>1236</v>
      </c>
      <c r="AC27" s="1030">
        <f t="shared" ref="AC27:AC29" si="10">AA27*1000</f>
        <v>12.339835200000001</v>
      </c>
      <c r="AD27" s="1018" t="s">
        <v>1236</v>
      </c>
      <c r="AE27" s="1031">
        <f>AC27*R10/1000000</f>
        <v>3.4551538560000008E-4</v>
      </c>
      <c r="AF27" s="996"/>
      <c r="AG27" s="138"/>
      <c r="AH27" s="138"/>
    </row>
    <row r="28" spans="1:34" ht="14.25" customHeight="1" x14ac:dyDescent="0.3">
      <c r="A28" s="138"/>
      <c r="B28" s="1032" t="s">
        <v>1237</v>
      </c>
      <c r="C28" s="1033">
        <f t="shared" si="2"/>
        <v>246792000</v>
      </c>
      <c r="D28" s="1034"/>
      <c r="E28" s="1035">
        <f t="shared" si="3"/>
        <v>33319</v>
      </c>
      <c r="F28" s="1036" t="s">
        <v>1235</v>
      </c>
      <c r="G28" s="1037">
        <v>43.431818181818173</v>
      </c>
      <c r="H28" s="1036" t="s">
        <v>1235</v>
      </c>
      <c r="I28" s="1038">
        <v>1</v>
      </c>
      <c r="J28" s="1039" t="s">
        <v>1236</v>
      </c>
      <c r="K28" s="1040">
        <f t="shared" si="4"/>
        <v>723552.37499999988</v>
      </c>
      <c r="L28" s="1041" t="s">
        <v>1236</v>
      </c>
      <c r="M28" s="1042">
        <f t="shared" si="5"/>
        <v>0.65639224355249992</v>
      </c>
      <c r="N28" s="1041" t="s">
        <v>1236</v>
      </c>
      <c r="O28" s="1043">
        <f t="shared" si="6"/>
        <v>2.4067715596924999</v>
      </c>
      <c r="P28" s="1044"/>
      <c r="Q28" s="1045">
        <v>22.24</v>
      </c>
      <c r="R28" s="1034"/>
      <c r="S28" s="1046">
        <v>0.1</v>
      </c>
      <c r="T28" s="1047">
        <f t="shared" si="7"/>
        <v>7.4101455999999996E-2</v>
      </c>
      <c r="U28" s="1041" t="s">
        <v>1236</v>
      </c>
      <c r="V28" s="1048">
        <f t="shared" si="8"/>
        <v>74.101455999999999</v>
      </c>
      <c r="W28" s="1041" t="s">
        <v>1236</v>
      </c>
      <c r="X28" s="1049">
        <f>(V28*R11)/1000000</f>
        <v>1.963688584E-2</v>
      </c>
      <c r="Y28" s="1050"/>
      <c r="Z28" s="1051">
        <v>8.7000000000000008E-2</v>
      </c>
      <c r="AA28" s="1052">
        <f t="shared" si="9"/>
        <v>6.446826672E-2</v>
      </c>
      <c r="AB28" s="1041" t="s">
        <v>1236</v>
      </c>
      <c r="AC28" s="1053">
        <f t="shared" si="10"/>
        <v>64.468266720000003</v>
      </c>
      <c r="AD28" s="1041" t="s">
        <v>1236</v>
      </c>
      <c r="AE28" s="1054">
        <f>AC28*R10/1000000</f>
        <v>1.8051114681600002E-3</v>
      </c>
      <c r="AF28" s="996"/>
      <c r="AG28" s="138"/>
      <c r="AH28" s="138"/>
    </row>
    <row r="29" spans="1:34" ht="18" customHeight="1" x14ac:dyDescent="0.3">
      <c r="A29" s="138"/>
      <c r="B29" s="1032" t="s">
        <v>1211</v>
      </c>
      <c r="C29" s="1055">
        <f>E13</f>
        <v>30343000</v>
      </c>
      <c r="D29" s="1034"/>
      <c r="E29" s="1035">
        <f>C29*$C$19/1000000000</f>
        <v>4168.5516829999997</v>
      </c>
      <c r="F29" s="1036" t="s">
        <v>1235</v>
      </c>
      <c r="G29" s="1056">
        <v>44.47</v>
      </c>
      <c r="H29" s="1036" t="s">
        <v>1235</v>
      </c>
      <c r="I29" s="1038">
        <v>1</v>
      </c>
      <c r="J29" s="1039" t="s">
        <v>1236</v>
      </c>
      <c r="K29" s="1040">
        <f t="shared" si="4"/>
        <v>92687.746671504996</v>
      </c>
      <c r="L29" s="1041" t="s">
        <v>1236</v>
      </c>
      <c r="M29" s="1042">
        <f t="shared" si="5"/>
        <v>8.4084470025455896E-2</v>
      </c>
      <c r="N29" s="1041" t="s">
        <v>1236</v>
      </c>
      <c r="O29" s="1043">
        <f t="shared" si="6"/>
        <v>0.30830972342667162</v>
      </c>
      <c r="P29" s="1044"/>
      <c r="Q29" s="1057"/>
      <c r="R29" s="1058">
        <v>3.1920000000000002</v>
      </c>
      <c r="S29" s="1059">
        <v>0.08</v>
      </c>
      <c r="T29" s="1047">
        <f>C29*R29*S29/1000000000</f>
        <v>7.7483884800000008E-3</v>
      </c>
      <c r="U29" s="1041" t="s">
        <v>1236</v>
      </c>
      <c r="V29" s="1048">
        <f t="shared" si="8"/>
        <v>7.7483884800000009</v>
      </c>
      <c r="W29" s="1041" t="s">
        <v>1236</v>
      </c>
      <c r="X29" s="1060">
        <f>(V29*R11)/1000000</f>
        <v>2.0533229472000001E-3</v>
      </c>
      <c r="Y29" s="1050"/>
      <c r="Z29" s="1051">
        <v>0.25</v>
      </c>
      <c r="AA29" s="1052">
        <f>C29*R29*Z29/1000000000</f>
        <v>2.4213714000000001E-2</v>
      </c>
      <c r="AB29" s="1041" t="s">
        <v>1236</v>
      </c>
      <c r="AC29" s="1053">
        <f t="shared" si="10"/>
        <v>24.213714</v>
      </c>
      <c r="AD29" s="1041" t="s">
        <v>1236</v>
      </c>
      <c r="AE29" s="1054">
        <f>(AC29*R10)/1000000</f>
        <v>6.77983992E-4</v>
      </c>
      <c r="AF29" s="138"/>
      <c r="AG29" s="1061"/>
      <c r="AH29" s="138"/>
    </row>
    <row r="30" spans="1:34" ht="11.25" customHeight="1" x14ac:dyDescent="0.3">
      <c r="A30" s="138"/>
      <c r="B30" s="1032"/>
      <c r="C30" s="1034"/>
      <c r="D30" s="1034"/>
      <c r="E30" s="1062"/>
      <c r="F30" s="1036"/>
      <c r="G30" s="1063"/>
      <c r="H30" s="1036"/>
      <c r="I30" s="1038"/>
      <c r="J30" s="1064"/>
      <c r="K30" s="1040"/>
      <c r="L30" s="1036"/>
      <c r="M30" s="1042"/>
      <c r="N30" s="1036"/>
      <c r="O30" s="1065">
        <f>SUM(O27:O29)</f>
        <v>2.7296002000701716</v>
      </c>
      <c r="P30" s="1044"/>
      <c r="Q30" s="1066"/>
      <c r="R30" s="1063"/>
      <c r="S30" s="1063"/>
      <c r="T30" s="1034"/>
      <c r="U30" s="1034"/>
      <c r="V30" s="1067"/>
      <c r="W30" s="1034"/>
      <c r="X30" s="1068">
        <f>SUM(X27:X29)</f>
        <v>2.17397550952E-2</v>
      </c>
      <c r="Y30" s="1050"/>
      <c r="Z30" s="1057"/>
      <c r="AA30" s="1034"/>
      <c r="AB30" s="1034"/>
      <c r="AC30" s="1069"/>
      <c r="AD30" s="1034"/>
      <c r="AE30" s="1070">
        <f>SUM(AE27:AE29)</f>
        <v>2.8286108457600003E-3</v>
      </c>
      <c r="AF30" s="996"/>
      <c r="AG30" s="138"/>
      <c r="AH30" s="138"/>
    </row>
    <row r="31" spans="1:34" ht="11.25" customHeight="1" x14ac:dyDescent="0.3">
      <c r="A31" s="138"/>
      <c r="B31" s="1071"/>
      <c r="C31" s="1072"/>
      <c r="D31" s="138"/>
      <c r="E31" s="1073"/>
      <c r="F31" s="1073"/>
      <c r="G31" s="1073"/>
      <c r="H31" s="1073"/>
      <c r="I31" s="1073"/>
      <c r="J31" s="1073"/>
      <c r="K31" s="1074"/>
      <c r="L31" s="1075"/>
      <c r="M31" s="1076"/>
      <c r="N31" s="1077"/>
      <c r="O31" s="1078"/>
      <c r="P31" s="1073"/>
      <c r="Q31" s="1074"/>
      <c r="R31" s="1076"/>
      <c r="S31" s="1076"/>
      <c r="T31" s="1079"/>
      <c r="U31" s="1079"/>
      <c r="V31" s="1080"/>
      <c r="W31" s="1079"/>
      <c r="X31" s="1081"/>
      <c r="Y31" s="138"/>
      <c r="Z31" s="1082"/>
      <c r="AA31" s="1079"/>
      <c r="AB31" s="1079"/>
      <c r="AC31" s="1079"/>
      <c r="AD31" s="1079"/>
      <c r="AE31" s="1081"/>
      <c r="AF31" s="996"/>
      <c r="AG31" s="138"/>
      <c r="AH31" s="138"/>
    </row>
    <row r="32" spans="1:34" ht="11.25" customHeight="1" x14ac:dyDescent="0.2">
      <c r="A32" s="327"/>
      <c r="B32" s="1083"/>
      <c r="C32" s="1084"/>
      <c r="D32" s="1084"/>
      <c r="E32" s="1084"/>
      <c r="F32" s="1084"/>
      <c r="G32" s="1084"/>
      <c r="H32" s="1084"/>
      <c r="I32" s="1084"/>
      <c r="J32" s="1084"/>
      <c r="K32" s="1084"/>
      <c r="L32" s="1084"/>
      <c r="M32" s="1084"/>
      <c r="N32" s="1084"/>
      <c r="O32" s="1084"/>
      <c r="P32" s="1084"/>
      <c r="Q32" s="1084"/>
      <c r="R32" s="1084"/>
      <c r="S32" s="1084"/>
      <c r="T32" s="1084"/>
      <c r="U32" s="1084"/>
      <c r="V32" s="1085"/>
      <c r="W32" s="1084"/>
      <c r="X32" s="1084"/>
      <c r="Y32" s="1084"/>
      <c r="Z32" s="1084"/>
      <c r="AA32" s="1084"/>
      <c r="AB32" s="1084"/>
      <c r="AC32" s="1084"/>
      <c r="AD32" s="1084"/>
      <c r="AE32" s="1084"/>
      <c r="AF32" s="1086"/>
      <c r="AG32" s="327"/>
      <c r="AH32" s="327"/>
    </row>
    <row r="33" spans="1:34" ht="11.25" customHeight="1" x14ac:dyDescent="0.2">
      <c r="A33" s="327"/>
      <c r="B33" s="327"/>
      <c r="C33" s="327"/>
      <c r="D33" s="327"/>
      <c r="E33" s="327"/>
      <c r="F33" s="327"/>
      <c r="G33" s="327"/>
      <c r="H33" s="327"/>
      <c r="I33" s="327"/>
      <c r="J33" s="327"/>
      <c r="K33" s="327"/>
      <c r="L33" s="327"/>
      <c r="M33" s="327"/>
      <c r="N33" s="327"/>
      <c r="O33" s="327"/>
      <c r="P33" s="327"/>
      <c r="Q33" s="327"/>
      <c r="R33" s="327"/>
      <c r="S33" s="327"/>
      <c r="T33" s="327"/>
      <c r="U33" s="327"/>
      <c r="V33" s="1087"/>
      <c r="W33" s="327"/>
      <c r="X33" s="327"/>
      <c r="Y33" s="327"/>
      <c r="Z33" s="327"/>
      <c r="AA33" s="327"/>
      <c r="AB33" s="327"/>
      <c r="AC33" s="327"/>
      <c r="AD33" s="327"/>
      <c r="AE33" s="327"/>
      <c r="AF33" s="327"/>
      <c r="AG33" s="327"/>
      <c r="AH33" s="327"/>
    </row>
    <row r="34" spans="1:34" ht="18.75" customHeight="1" x14ac:dyDescent="0.45">
      <c r="A34" s="327"/>
      <c r="B34" s="1088" t="s">
        <v>1238</v>
      </c>
      <c r="C34" s="81"/>
      <c r="D34" s="81"/>
      <c r="E34" s="81"/>
      <c r="F34" s="81"/>
      <c r="G34" s="81"/>
      <c r="H34" s="81"/>
      <c r="I34" s="81"/>
      <c r="J34" s="1089"/>
      <c r="K34" s="1090"/>
      <c r="L34" s="1090"/>
      <c r="M34" s="1091"/>
      <c r="N34" s="1091"/>
      <c r="O34" s="1091"/>
      <c r="P34" s="81"/>
      <c r="Q34" s="1091"/>
      <c r="R34" s="1091"/>
      <c r="S34" s="1091"/>
      <c r="T34" s="1091"/>
      <c r="U34" s="1091"/>
      <c r="V34" s="1092"/>
      <c r="W34" s="1091"/>
      <c r="X34" s="1091"/>
      <c r="Y34" s="81"/>
      <c r="Z34" s="1091"/>
      <c r="AA34" s="1091"/>
      <c r="AB34" s="1091"/>
      <c r="AC34" s="1091"/>
      <c r="AD34" s="1091"/>
      <c r="AE34" s="1091"/>
      <c r="AF34" s="1093"/>
      <c r="AG34" s="327"/>
      <c r="AH34" s="327"/>
    </row>
    <row r="35" spans="1:34" ht="21.75" customHeight="1" x14ac:dyDescent="0.45">
      <c r="A35" s="327"/>
      <c r="B35" s="1094" t="s">
        <v>1239</v>
      </c>
      <c r="C35" s="1095"/>
      <c r="D35" s="1096"/>
      <c r="E35" s="1096"/>
      <c r="F35" s="1095"/>
      <c r="G35" s="1095"/>
      <c r="H35" s="1095"/>
      <c r="I35" s="1095"/>
      <c r="J35" s="1097"/>
      <c r="K35" s="1098"/>
      <c r="L35" s="1099"/>
      <c r="M35" s="1099"/>
      <c r="N35" s="1099"/>
      <c r="O35" s="1100"/>
      <c r="P35" s="1101"/>
      <c r="Q35" s="1102"/>
      <c r="R35" s="1103"/>
      <c r="S35" s="1103"/>
      <c r="T35" s="1104"/>
      <c r="U35" s="1104"/>
      <c r="V35" s="1105"/>
      <c r="W35" s="1104"/>
      <c r="X35" s="1106"/>
      <c r="Y35" s="949"/>
      <c r="Z35" s="1107"/>
      <c r="AA35" s="1104"/>
      <c r="AB35" s="1104"/>
      <c r="AC35" s="1104"/>
      <c r="AD35" s="1104"/>
      <c r="AE35" s="1106"/>
      <c r="AF35" s="1108"/>
      <c r="AG35" s="327"/>
      <c r="AH35" s="327"/>
    </row>
    <row r="36" spans="1:34" ht="18" customHeight="1" x14ac:dyDescent="0.3">
      <c r="A36" s="327"/>
      <c r="B36" s="1109"/>
      <c r="C36" s="1110"/>
      <c r="D36" s="1110"/>
      <c r="E36" s="1111"/>
      <c r="F36" s="1112"/>
      <c r="G36" s="1112"/>
      <c r="H36" s="1111"/>
      <c r="I36" s="1111"/>
      <c r="J36" s="883"/>
      <c r="K36" s="1113"/>
      <c r="L36" s="1114"/>
      <c r="M36" s="1115" t="s">
        <v>1240</v>
      </c>
      <c r="N36" s="1114"/>
      <c r="O36" s="1116"/>
      <c r="P36" s="1117"/>
      <c r="Q36" s="1118"/>
      <c r="R36" s="1119"/>
      <c r="S36" s="1119"/>
      <c r="T36" s="1120" t="s">
        <v>1241</v>
      </c>
      <c r="U36" s="1121"/>
      <c r="V36" s="1122"/>
      <c r="W36" s="1121"/>
      <c r="X36" s="1123"/>
      <c r="Y36" s="1124"/>
      <c r="Z36" s="1125"/>
      <c r="AA36" s="1126" t="s">
        <v>1242</v>
      </c>
      <c r="AB36" s="1120"/>
      <c r="AC36" s="1120"/>
      <c r="AD36" s="1120"/>
      <c r="AE36" s="1123"/>
      <c r="AF36" s="1108"/>
      <c r="AG36" s="327"/>
      <c r="AH36" s="327"/>
    </row>
    <row r="37" spans="1:34" ht="24" customHeight="1" x14ac:dyDescent="0.3">
      <c r="A37" s="327"/>
      <c r="B37" s="1127"/>
      <c r="C37" s="1128" t="s">
        <v>512</v>
      </c>
      <c r="D37" s="1129"/>
      <c r="E37" s="1128" t="s">
        <v>512</v>
      </c>
      <c r="F37" s="1128"/>
      <c r="G37" s="1128" t="s">
        <v>700</v>
      </c>
      <c r="H37" s="1130"/>
      <c r="I37" s="1128" t="s">
        <v>701</v>
      </c>
      <c r="J37" s="1131"/>
      <c r="K37" s="1132" t="s">
        <v>529</v>
      </c>
      <c r="L37" s="1130"/>
      <c r="M37" s="1133" t="s">
        <v>529</v>
      </c>
      <c r="N37" s="1130"/>
      <c r="O37" s="1134" t="s">
        <v>529</v>
      </c>
      <c r="P37" s="1021"/>
      <c r="Q37" s="1135" t="s">
        <v>1224</v>
      </c>
      <c r="R37" s="1136" t="s">
        <v>1225</v>
      </c>
      <c r="S37" s="1136" t="s">
        <v>1243</v>
      </c>
      <c r="T37" s="1129"/>
      <c r="U37" s="1129"/>
      <c r="V37" s="1137"/>
      <c r="W37" s="1129"/>
      <c r="X37" s="1138"/>
      <c r="Y37" s="1139"/>
      <c r="Z37" s="1140"/>
      <c r="AA37" s="1011"/>
      <c r="AB37" s="1011"/>
      <c r="AC37" s="1011"/>
      <c r="AD37" s="1011"/>
      <c r="AE37" s="1141"/>
      <c r="AF37" s="1108"/>
      <c r="AG37" s="327"/>
      <c r="AH37" s="327"/>
    </row>
    <row r="38" spans="1:34" ht="15.75" customHeight="1" x14ac:dyDescent="0.35">
      <c r="A38" s="327"/>
      <c r="B38" s="1142" t="s">
        <v>170</v>
      </c>
      <c r="C38" s="1143" t="s">
        <v>1221</v>
      </c>
      <c r="D38" s="1144"/>
      <c r="E38" s="1143" t="s">
        <v>531</v>
      </c>
      <c r="F38" s="1145"/>
      <c r="G38" s="1143" t="s">
        <v>702</v>
      </c>
      <c r="H38" s="1145"/>
      <c r="I38" s="1143" t="s">
        <v>703</v>
      </c>
      <c r="J38" s="1146"/>
      <c r="K38" s="1147" t="s">
        <v>704</v>
      </c>
      <c r="L38" s="1143"/>
      <c r="M38" s="1143" t="s">
        <v>1222</v>
      </c>
      <c r="N38" s="1145"/>
      <c r="O38" s="1148" t="s">
        <v>1244</v>
      </c>
      <c r="P38" s="1149"/>
      <c r="Q38" s="1150"/>
      <c r="R38" s="1151" t="s">
        <v>1225</v>
      </c>
      <c r="S38" s="1151" t="s">
        <v>1245</v>
      </c>
      <c r="T38" s="1151" t="s">
        <v>1246</v>
      </c>
      <c r="U38" s="1144"/>
      <c r="V38" s="1152" t="s">
        <v>1247</v>
      </c>
      <c r="W38" s="1144"/>
      <c r="X38" s="1153" t="s">
        <v>1248</v>
      </c>
      <c r="Y38" s="1154"/>
      <c r="Z38" s="1150" t="s">
        <v>1249</v>
      </c>
      <c r="AA38" s="1151" t="s">
        <v>1250</v>
      </c>
      <c r="AB38" s="1144"/>
      <c r="AC38" s="1151" t="s">
        <v>1251</v>
      </c>
      <c r="AD38" s="1144"/>
      <c r="AE38" s="1153" t="s">
        <v>1252</v>
      </c>
      <c r="AF38" s="1108"/>
      <c r="AG38" s="327"/>
      <c r="AH38" s="327"/>
    </row>
    <row r="39" spans="1:34" ht="13.5" customHeight="1" x14ac:dyDescent="0.3">
      <c r="A39" s="327"/>
      <c r="B39" s="1155" t="s">
        <v>1253</v>
      </c>
      <c r="C39" s="1156">
        <f t="shared" ref="C39:C40" si="11">E14</f>
        <v>5157000</v>
      </c>
      <c r="D39" s="1157"/>
      <c r="E39" s="1158">
        <f>C39*$C$19/1000000000</f>
        <v>708.47381700000005</v>
      </c>
      <c r="F39" s="1159" t="s">
        <v>1235</v>
      </c>
      <c r="G39" s="1160">
        <v>44.47</v>
      </c>
      <c r="H39" s="1159" t="s">
        <v>1235</v>
      </c>
      <c r="I39" s="1161">
        <v>1</v>
      </c>
      <c r="J39" s="1162" t="s">
        <v>1236</v>
      </c>
      <c r="K39" s="1163">
        <f t="shared" ref="K39:K40" si="12">E39*1000*G39*I39/2000</f>
        <v>15752.915320995002</v>
      </c>
      <c r="L39" s="1164" t="s">
        <v>1236</v>
      </c>
      <c r="M39" s="1165">
        <f t="shared" ref="M39:M40" si="13">K39*0.90718/1000000</f>
        <v>1.4290729720900246E-2</v>
      </c>
      <c r="N39" s="1164" t="s">
        <v>1236</v>
      </c>
      <c r="O39" s="1166">
        <f t="shared" ref="O39:O40" si="14">M39*44/12</f>
        <v>5.2399342309967567E-2</v>
      </c>
      <c r="P39" s="1167"/>
      <c r="Q39" s="1168"/>
      <c r="R39" s="1169">
        <v>3.1920000000000002</v>
      </c>
      <c r="S39" s="1170">
        <v>0.08</v>
      </c>
      <c r="T39" s="1171">
        <f t="shared" ref="T39:T40" si="15">C39*R39*S39/1000000000</f>
        <v>1.31689152E-3</v>
      </c>
      <c r="U39" s="1164" t="s">
        <v>1236</v>
      </c>
      <c r="V39" s="1172">
        <f t="shared" ref="V39:V40" si="16">T39*1000</f>
        <v>1.31689152</v>
      </c>
      <c r="W39" s="1164" t="s">
        <v>1236</v>
      </c>
      <c r="X39" s="1173">
        <f>(V39*R11)/1000000</f>
        <v>3.4897625279999998E-4</v>
      </c>
      <c r="Y39" s="1174"/>
      <c r="Z39" s="1175">
        <v>0.25</v>
      </c>
      <c r="AA39" s="1176">
        <f t="shared" ref="AA39:AA40" si="17">C39*R39*Z39/1000000000</f>
        <v>4.1152860000000001E-3</v>
      </c>
      <c r="AB39" s="1164" t="s">
        <v>1236</v>
      </c>
      <c r="AC39" s="1177">
        <f t="shared" ref="AC39:AC40" si="18">AA39*1000</f>
        <v>4.1152860000000002</v>
      </c>
      <c r="AD39" s="1164" t="s">
        <v>1236</v>
      </c>
      <c r="AE39" s="1178">
        <f>(AC39*R10)/1000000</f>
        <v>1.15228008E-4</v>
      </c>
      <c r="AF39" s="1108"/>
      <c r="AG39" s="327"/>
      <c r="AH39" s="327"/>
    </row>
    <row r="40" spans="1:34" ht="15.75" customHeight="1" x14ac:dyDescent="0.3">
      <c r="A40" s="327"/>
      <c r="B40" s="1179" t="s">
        <v>1254</v>
      </c>
      <c r="C40" s="1033">
        <f t="shared" si="11"/>
        <v>14154000</v>
      </c>
      <c r="D40" s="1034"/>
      <c r="E40" s="1035">
        <f>G15</f>
        <v>2118</v>
      </c>
      <c r="F40" s="1036" t="s">
        <v>1235</v>
      </c>
      <c r="G40" s="1056">
        <v>45.15</v>
      </c>
      <c r="H40" s="1036" t="s">
        <v>1235</v>
      </c>
      <c r="I40" s="1038">
        <v>1</v>
      </c>
      <c r="J40" s="1039" t="s">
        <v>1236</v>
      </c>
      <c r="K40" s="1040">
        <f t="shared" si="12"/>
        <v>47813.85</v>
      </c>
      <c r="L40" s="1041" t="s">
        <v>1236</v>
      </c>
      <c r="M40" s="1042">
        <f t="shared" si="13"/>
        <v>4.3375768443E-2</v>
      </c>
      <c r="N40" s="1041" t="s">
        <v>1236</v>
      </c>
      <c r="O40" s="1043">
        <f t="shared" si="14"/>
        <v>0.15904448429100002</v>
      </c>
      <c r="P40" s="1044"/>
      <c r="Q40" s="1066"/>
      <c r="R40" s="1058">
        <v>3.5750000000000002</v>
      </c>
      <c r="S40" s="1059">
        <v>0.08</v>
      </c>
      <c r="T40" s="1047">
        <f t="shared" si="15"/>
        <v>4.0480439999999998E-3</v>
      </c>
      <c r="U40" s="1041" t="s">
        <v>1236</v>
      </c>
      <c r="V40" s="1048">
        <f t="shared" si="16"/>
        <v>4.048044</v>
      </c>
      <c r="W40" s="1041" t="s">
        <v>1236</v>
      </c>
      <c r="X40" s="1049">
        <f>(V40*R11)/1000000</f>
        <v>1.0727316599999999E-3</v>
      </c>
      <c r="Y40" s="1050"/>
      <c r="Z40" s="1051">
        <v>0.23</v>
      </c>
      <c r="AA40" s="1052">
        <f t="shared" si="17"/>
        <v>1.16381265E-2</v>
      </c>
      <c r="AB40" s="1041" t="s">
        <v>1236</v>
      </c>
      <c r="AC40" s="1053">
        <f t="shared" si="18"/>
        <v>11.6381265</v>
      </c>
      <c r="AD40" s="1041" t="s">
        <v>1236</v>
      </c>
      <c r="AE40" s="1054">
        <f>(AC40*R10)/1000000</f>
        <v>3.2586754200000003E-4</v>
      </c>
      <c r="AF40" s="1108"/>
      <c r="AG40" s="327"/>
      <c r="AH40" s="327"/>
    </row>
    <row r="41" spans="1:34" ht="11.25" customHeight="1" x14ac:dyDescent="0.3">
      <c r="A41" s="327"/>
      <c r="B41" s="1179"/>
      <c r="C41" s="1034"/>
      <c r="D41" s="1034"/>
      <c r="E41" s="1062"/>
      <c r="F41" s="1036"/>
      <c r="G41" s="1063"/>
      <c r="H41" s="1036"/>
      <c r="I41" s="1038"/>
      <c r="J41" s="1064"/>
      <c r="K41" s="1040"/>
      <c r="L41" s="1036"/>
      <c r="M41" s="1042"/>
      <c r="N41" s="1036"/>
      <c r="O41" s="1065">
        <f>SUM(O39:O40)</f>
        <v>0.21144382660096758</v>
      </c>
      <c r="P41" s="1044"/>
      <c r="Q41" s="1066"/>
      <c r="R41" s="1063"/>
      <c r="S41" s="1063"/>
      <c r="T41" s="1034"/>
      <c r="U41" s="1034"/>
      <c r="V41" s="1069"/>
      <c r="W41" s="1034"/>
      <c r="X41" s="1180">
        <f>(X39+X40)</f>
        <v>1.4217079128E-3</v>
      </c>
      <c r="Y41" s="1050"/>
      <c r="Z41" s="1057"/>
      <c r="AA41" s="1034"/>
      <c r="AB41" s="1034"/>
      <c r="AC41" s="1069"/>
      <c r="AD41" s="1034"/>
      <c r="AE41" s="1181">
        <f>(AE39+AE40)</f>
        <v>4.4109555000000004E-4</v>
      </c>
      <c r="AF41" s="1108"/>
      <c r="AG41" s="327"/>
      <c r="AH41" s="327"/>
    </row>
    <row r="42" spans="1:34" ht="11.25" customHeight="1" x14ac:dyDescent="0.3">
      <c r="A42" s="327"/>
      <c r="B42" s="1179"/>
      <c r="C42" s="1055"/>
      <c r="D42" s="1034"/>
      <c r="E42" s="1063"/>
      <c r="F42" s="1063"/>
      <c r="G42" s="1063"/>
      <c r="H42" s="1063"/>
      <c r="I42" s="1063"/>
      <c r="J42" s="1182"/>
      <c r="K42" s="1183"/>
      <c r="L42" s="1184"/>
      <c r="M42" s="1185"/>
      <c r="N42" s="1186"/>
      <c r="O42" s="1187"/>
      <c r="P42" s="1044"/>
      <c r="Q42" s="1183"/>
      <c r="R42" s="1185"/>
      <c r="S42" s="1185"/>
      <c r="T42" s="1188"/>
      <c r="U42" s="1188"/>
      <c r="V42" s="1188"/>
      <c r="W42" s="1188"/>
      <c r="X42" s="1189"/>
      <c r="Y42" s="1050"/>
      <c r="Z42" s="1190"/>
      <c r="AA42" s="1188"/>
      <c r="AB42" s="1188"/>
      <c r="AC42" s="1188"/>
      <c r="AD42" s="1188"/>
      <c r="AE42" s="1189"/>
      <c r="AF42" s="1108"/>
      <c r="AG42" s="327"/>
      <c r="AH42" s="327"/>
    </row>
    <row r="43" spans="1:34" ht="11.25" customHeight="1" x14ac:dyDescent="0.2">
      <c r="A43" s="327"/>
      <c r="B43" s="1191"/>
      <c r="C43" s="327"/>
      <c r="D43" s="327"/>
      <c r="E43" s="327"/>
      <c r="F43" s="327"/>
      <c r="G43" s="327"/>
      <c r="H43" s="327"/>
      <c r="I43" s="1124"/>
      <c r="J43" s="1124"/>
      <c r="K43" s="327"/>
      <c r="L43" s="327"/>
      <c r="M43" s="327"/>
      <c r="N43" s="327"/>
      <c r="O43" s="327"/>
      <c r="P43" s="327"/>
      <c r="Q43" s="327"/>
      <c r="R43" s="327"/>
      <c r="S43" s="327"/>
      <c r="T43" s="327"/>
      <c r="U43" s="327"/>
      <c r="V43" s="327"/>
      <c r="W43" s="327"/>
      <c r="X43" s="327"/>
      <c r="Y43" s="1124"/>
      <c r="Z43" s="327"/>
      <c r="AA43" s="327"/>
      <c r="AB43" s="327"/>
      <c r="AC43" s="327"/>
      <c r="AD43" s="327"/>
      <c r="AE43" s="327"/>
      <c r="AF43" s="1108"/>
      <c r="AG43" s="327"/>
      <c r="AH43" s="327"/>
    </row>
    <row r="44" spans="1:34" ht="11.25" customHeight="1" x14ac:dyDescent="0.2">
      <c r="A44" s="327"/>
      <c r="B44" s="1192"/>
      <c r="C44" s="953"/>
      <c r="D44" s="953"/>
      <c r="E44" s="953"/>
      <c r="F44" s="953"/>
      <c r="G44" s="953"/>
      <c r="H44" s="953"/>
      <c r="I44" s="953"/>
      <c r="J44" s="953"/>
      <c r="K44" s="953"/>
      <c r="L44" s="953"/>
      <c r="M44" s="953"/>
      <c r="N44" s="953"/>
      <c r="O44" s="953"/>
      <c r="P44" s="953"/>
      <c r="Q44" s="953"/>
      <c r="R44" s="953"/>
      <c r="S44" s="953"/>
      <c r="T44" s="953"/>
      <c r="U44" s="953"/>
      <c r="V44" s="953"/>
      <c r="W44" s="953"/>
      <c r="X44" s="953"/>
      <c r="Y44" s="953"/>
      <c r="Z44" s="953"/>
      <c r="AA44" s="953"/>
      <c r="AB44" s="953"/>
      <c r="AC44" s="953"/>
      <c r="AD44" s="953"/>
      <c r="AE44" s="953"/>
      <c r="AF44" s="1193"/>
      <c r="AG44" s="327"/>
      <c r="AH44" s="327"/>
    </row>
    <row r="45" spans="1:34" ht="11.25" customHeight="1" x14ac:dyDescent="0.2">
      <c r="A45" s="327"/>
      <c r="B45" s="327"/>
      <c r="C45" s="327"/>
      <c r="D45" s="327"/>
      <c r="E45" s="327"/>
      <c r="F45" s="327"/>
      <c r="G45" s="327"/>
      <c r="H45" s="327"/>
      <c r="I45" s="327"/>
      <c r="J45" s="327"/>
      <c r="K45" s="327"/>
      <c r="L45" s="327"/>
      <c r="M45" s="327">
        <v>171972210</v>
      </c>
      <c r="N45" s="327"/>
      <c r="O45" s="327">
        <f>(M45*0.907184)/(1000000)</f>
        <v>156.01043735664001</v>
      </c>
      <c r="P45" s="327"/>
      <c r="Q45" s="327"/>
      <c r="R45" s="327"/>
      <c r="S45" s="327"/>
      <c r="T45" s="327"/>
      <c r="U45" s="327"/>
      <c r="V45" s="327"/>
      <c r="W45" s="327"/>
      <c r="X45" s="327"/>
      <c r="Y45" s="327"/>
      <c r="Z45" s="327"/>
      <c r="AA45" s="327"/>
      <c r="AB45" s="327"/>
      <c r="AC45" s="327"/>
      <c r="AD45" s="327"/>
      <c r="AE45" s="327"/>
      <c r="AF45" s="327"/>
      <c r="AG45" s="327"/>
      <c r="AH45" s="327"/>
    </row>
    <row r="46" spans="1:34" ht="11.25" customHeight="1" x14ac:dyDescent="0.2">
      <c r="A46" s="327"/>
      <c r="B46" s="327"/>
      <c r="C46" s="327"/>
      <c r="D46" s="327"/>
      <c r="E46" s="327"/>
      <c r="F46" s="327"/>
      <c r="G46" s="327"/>
      <c r="H46" s="327"/>
      <c r="I46" s="811"/>
      <c r="J46" s="327"/>
      <c r="K46" s="327"/>
      <c r="L46" s="327"/>
      <c r="M46" s="327"/>
      <c r="N46" s="327"/>
      <c r="O46" s="327"/>
      <c r="P46" s="327"/>
      <c r="Q46" s="327"/>
      <c r="R46" s="327"/>
      <c r="S46" s="327"/>
      <c r="T46" s="327"/>
      <c r="U46" s="327"/>
      <c r="V46" s="327"/>
      <c r="W46" s="327"/>
      <c r="X46" s="327"/>
      <c r="Y46" s="327"/>
      <c r="Z46" s="327"/>
      <c r="AA46" s="327"/>
      <c r="AB46" s="327"/>
      <c r="AC46" s="327"/>
      <c r="AD46" s="327"/>
      <c r="AE46" s="327"/>
      <c r="AF46" s="327"/>
      <c r="AG46" s="327"/>
      <c r="AH46" s="327"/>
    </row>
    <row r="47" spans="1:34" ht="18" customHeight="1" x14ac:dyDescent="0.3">
      <c r="A47" s="138"/>
      <c r="B47" s="1194"/>
      <c r="C47" s="1195"/>
      <c r="D47" s="1195"/>
      <c r="E47" s="1196" t="s">
        <v>746</v>
      </c>
      <c r="F47" s="1195"/>
      <c r="G47" s="1195"/>
      <c r="H47" s="1195"/>
      <c r="I47" s="1196" t="s">
        <v>747</v>
      </c>
      <c r="J47" s="1197"/>
      <c r="K47" s="1195"/>
      <c r="L47" s="1198"/>
      <c r="M47" s="1195"/>
      <c r="N47" s="1197"/>
      <c r="O47" s="1199"/>
      <c r="P47" s="1199"/>
      <c r="Q47" s="1199"/>
      <c r="R47" s="1199"/>
      <c r="S47" s="1200"/>
      <c r="T47" s="1201"/>
      <c r="U47" s="138"/>
      <c r="V47" s="138"/>
      <c r="W47" s="138"/>
      <c r="X47" s="138"/>
      <c r="Y47" s="138"/>
      <c r="Z47" s="138"/>
      <c r="AA47" s="138"/>
      <c r="AB47" s="138"/>
      <c r="AC47" s="138"/>
      <c r="AD47" s="138"/>
      <c r="AE47" s="138"/>
      <c r="AF47" s="138"/>
      <c r="AG47" s="138"/>
      <c r="AH47" s="138"/>
    </row>
    <row r="48" spans="1:34" ht="11.25" customHeight="1" x14ac:dyDescent="0.3">
      <c r="A48" s="138"/>
      <c r="B48" s="1202"/>
      <c r="C48" s="1203" t="s">
        <v>512</v>
      </c>
      <c r="D48" s="1204"/>
      <c r="E48" s="1203" t="s">
        <v>512</v>
      </c>
      <c r="F48" s="1204"/>
      <c r="G48" s="1204"/>
      <c r="H48" s="1204"/>
      <c r="I48" s="1203" t="s">
        <v>512</v>
      </c>
      <c r="J48" s="1204"/>
      <c r="K48" s="1203" t="s">
        <v>700</v>
      </c>
      <c r="L48" s="1204"/>
      <c r="M48" s="1203" t="s">
        <v>701</v>
      </c>
      <c r="N48" s="1204"/>
      <c r="O48" s="1205" t="s">
        <v>529</v>
      </c>
      <c r="P48" s="1204"/>
      <c r="Q48" s="1205" t="s">
        <v>529</v>
      </c>
      <c r="R48" s="1204"/>
      <c r="S48" s="1206" t="s">
        <v>529</v>
      </c>
      <c r="T48" s="1201"/>
      <c r="U48" s="138"/>
      <c r="V48" s="138"/>
      <c r="W48" s="138"/>
      <c r="X48" s="138"/>
      <c r="Y48" s="138"/>
      <c r="Z48" s="138"/>
      <c r="AA48" s="138"/>
      <c r="AB48" s="138"/>
      <c r="AC48" s="138"/>
      <c r="AD48" s="138"/>
      <c r="AE48" s="138"/>
      <c r="AF48" s="138"/>
      <c r="AG48" s="138"/>
      <c r="AH48" s="138"/>
    </row>
    <row r="49" spans="1:34" ht="12.75" customHeight="1" x14ac:dyDescent="0.35">
      <c r="A49" s="138"/>
      <c r="B49" s="1202"/>
      <c r="C49" s="1203" t="s">
        <v>531</v>
      </c>
      <c r="D49" s="1204"/>
      <c r="E49" s="1203" t="s">
        <v>531</v>
      </c>
      <c r="F49" s="1204"/>
      <c r="G49" s="1203" t="s">
        <v>750</v>
      </c>
      <c r="H49" s="1204"/>
      <c r="I49" s="1203" t="s">
        <v>531</v>
      </c>
      <c r="J49" s="1204"/>
      <c r="K49" s="1203" t="s">
        <v>702</v>
      </c>
      <c r="L49" s="1204"/>
      <c r="M49" s="1203" t="s">
        <v>703</v>
      </c>
      <c r="N49" s="1204"/>
      <c r="O49" s="1203" t="s">
        <v>704</v>
      </c>
      <c r="P49" s="1203"/>
      <c r="Q49" s="1203" t="s">
        <v>1222</v>
      </c>
      <c r="R49" s="1204"/>
      <c r="S49" s="1206" t="s">
        <v>1255</v>
      </c>
      <c r="T49" s="1201"/>
      <c r="U49" s="138"/>
      <c r="V49" s="138"/>
      <c r="W49" s="138"/>
      <c r="X49" s="138"/>
      <c r="Y49" s="138"/>
      <c r="Z49" s="138"/>
      <c r="AA49" s="138"/>
      <c r="AB49" s="138"/>
      <c r="AC49" s="138"/>
      <c r="AD49" s="138"/>
      <c r="AE49" s="138"/>
      <c r="AF49" s="138"/>
      <c r="AG49" s="138"/>
      <c r="AH49" s="138"/>
    </row>
    <row r="50" spans="1:34" ht="11.25" customHeight="1" x14ac:dyDescent="0.3">
      <c r="A50" s="138"/>
      <c r="B50" s="1207" t="s">
        <v>759</v>
      </c>
      <c r="C50" s="1012">
        <f>G11</f>
        <v>1623</v>
      </c>
      <c r="D50" s="1018" t="s">
        <v>1256</v>
      </c>
      <c r="E50" s="1012">
        <v>1427</v>
      </c>
      <c r="F50" s="1013" t="s">
        <v>1235</v>
      </c>
      <c r="G50" s="1208">
        <v>9.2393732597307904E-2</v>
      </c>
      <c r="H50" s="1013" t="s">
        <v>1257</v>
      </c>
      <c r="I50" s="1209">
        <f>C50-(E50*G50)</f>
        <v>1491.1541435836416</v>
      </c>
      <c r="J50" s="1013" t="s">
        <v>1235</v>
      </c>
      <c r="K50" s="1014">
        <v>44.53</v>
      </c>
      <c r="L50" s="1013" t="s">
        <v>1235</v>
      </c>
      <c r="M50" s="1015">
        <v>1</v>
      </c>
      <c r="N50" s="1018" t="s">
        <v>1236</v>
      </c>
      <c r="O50" s="1209">
        <f>I50*1000*K50*M50/2000</f>
        <v>33200.547006889785</v>
      </c>
      <c r="P50" s="1018" t="s">
        <v>1236</v>
      </c>
      <c r="Q50" s="1019">
        <f>O50*0.90718/1000000</f>
        <v>3.0118872233710275E-2</v>
      </c>
      <c r="R50" s="1013" t="s">
        <v>1236</v>
      </c>
      <c r="S50" s="1210">
        <f>Q50*44/12</f>
        <v>0.11043586485693768</v>
      </c>
      <c r="T50" s="1201"/>
      <c r="U50" s="138"/>
      <c r="V50" s="138"/>
      <c r="W50" s="138"/>
      <c r="X50" s="138"/>
      <c r="Y50" s="138"/>
      <c r="Z50" s="138"/>
      <c r="AA50" s="138"/>
      <c r="AB50" s="138"/>
      <c r="AC50" s="138"/>
      <c r="AD50" s="138"/>
      <c r="AE50" s="138"/>
      <c r="AF50" s="138"/>
      <c r="AG50" s="138"/>
      <c r="AH50" s="138"/>
    </row>
    <row r="51" spans="1:34" ht="11.25" customHeight="1" x14ac:dyDescent="0.3">
      <c r="A51" s="138"/>
      <c r="B51" s="1211"/>
      <c r="C51" s="1212"/>
      <c r="D51" s="1213"/>
      <c r="E51" s="1212"/>
      <c r="F51" s="1213"/>
      <c r="G51" s="1214"/>
      <c r="H51" s="1213"/>
      <c r="I51" s="1212"/>
      <c r="J51" s="1213"/>
      <c r="K51" s="1215"/>
      <c r="L51" s="1213"/>
      <c r="M51" s="1216"/>
      <c r="N51" s="1213"/>
      <c r="O51" s="1212"/>
      <c r="P51" s="1213"/>
      <c r="Q51" s="1217"/>
      <c r="R51" s="1213"/>
      <c r="S51" s="1218"/>
      <c r="T51" s="1201"/>
      <c r="U51" s="138"/>
      <c r="V51" s="138"/>
      <c r="W51" s="138"/>
      <c r="X51" s="138"/>
      <c r="Y51" s="138"/>
      <c r="Z51" s="138"/>
      <c r="AA51" s="138"/>
      <c r="AB51" s="138"/>
      <c r="AC51" s="138"/>
      <c r="AD51" s="138"/>
      <c r="AE51" s="138"/>
      <c r="AF51" s="138"/>
      <c r="AG51" s="138"/>
      <c r="AH51" s="138"/>
    </row>
    <row r="52" spans="1:34" ht="11.25" customHeight="1" x14ac:dyDescent="0.3">
      <c r="A52" s="138"/>
      <c r="B52" s="1073"/>
      <c r="C52" s="1219"/>
      <c r="D52" s="1220"/>
      <c r="E52" s="1219"/>
      <c r="F52" s="1220"/>
      <c r="G52" s="1221"/>
      <c r="H52" s="1220"/>
      <c r="I52" s="1219"/>
      <c r="J52" s="1220"/>
      <c r="K52" s="1222"/>
      <c r="L52" s="1220"/>
      <c r="M52" s="1223"/>
      <c r="N52" s="1220"/>
      <c r="O52" s="1219"/>
      <c r="P52" s="1220"/>
      <c r="Q52" s="1224"/>
      <c r="R52" s="1220"/>
      <c r="S52" s="1224"/>
      <c r="T52" s="138"/>
      <c r="U52" s="138"/>
      <c r="V52" s="138"/>
      <c r="W52" s="138"/>
      <c r="X52" s="138"/>
      <c r="Y52" s="138"/>
      <c r="Z52" s="138"/>
      <c r="AA52" s="138"/>
      <c r="AB52" s="138"/>
      <c r="AC52" s="138"/>
      <c r="AD52" s="138"/>
      <c r="AE52" s="138"/>
      <c r="AF52" s="138"/>
      <c r="AG52" s="138"/>
      <c r="AH52" s="138"/>
    </row>
    <row r="53" spans="1:34" ht="11.25" customHeight="1" x14ac:dyDescent="0.2">
      <c r="A53" s="327"/>
      <c r="B53" s="327"/>
      <c r="C53" s="327"/>
      <c r="D53" s="327"/>
      <c r="E53" s="327"/>
      <c r="F53" s="327"/>
      <c r="G53" s="327"/>
      <c r="H53" s="327"/>
      <c r="I53" s="811"/>
      <c r="J53" s="327"/>
      <c r="K53" s="327"/>
      <c r="L53" s="327"/>
      <c r="M53" s="327"/>
      <c r="N53" s="327"/>
      <c r="O53" s="327"/>
      <c r="P53" s="327"/>
      <c r="Q53" s="327"/>
      <c r="R53" s="327"/>
      <c r="S53" s="327"/>
      <c r="T53" s="327"/>
      <c r="U53" s="327"/>
      <c r="V53" s="327"/>
      <c r="W53" s="327"/>
      <c r="X53" s="327"/>
      <c r="Y53" s="327"/>
      <c r="Z53" s="327"/>
      <c r="AA53" s="327"/>
      <c r="AB53" s="327"/>
      <c r="AC53" s="327"/>
      <c r="AD53" s="327"/>
      <c r="AE53" s="327"/>
      <c r="AF53" s="327"/>
      <c r="AG53" s="327"/>
      <c r="AH53" s="327"/>
    </row>
    <row r="54" spans="1:34" ht="11.25" customHeight="1" x14ac:dyDescent="0.2">
      <c r="A54" s="327"/>
      <c r="B54" s="327"/>
      <c r="C54" s="327"/>
      <c r="D54" s="327"/>
      <c r="E54" s="327"/>
      <c r="F54" s="327"/>
      <c r="G54" s="327"/>
      <c r="H54" s="327"/>
      <c r="I54" s="811"/>
      <c r="J54" s="327"/>
      <c r="K54" s="327"/>
      <c r="L54" s="327"/>
      <c r="M54" s="327"/>
      <c r="N54" s="327"/>
      <c r="O54" s="327"/>
      <c r="P54" s="327"/>
      <c r="Q54" s="327"/>
      <c r="R54" s="327"/>
      <c r="S54" s="327"/>
      <c r="T54" s="327"/>
      <c r="U54" s="327"/>
      <c r="V54" s="327"/>
      <c r="W54" s="327"/>
      <c r="X54" s="327"/>
      <c r="Y54" s="327"/>
      <c r="Z54" s="327"/>
      <c r="AA54" s="327"/>
      <c r="AB54" s="327"/>
      <c r="AC54" s="327"/>
      <c r="AD54" s="327"/>
      <c r="AE54" s="327"/>
      <c r="AF54" s="327"/>
      <c r="AG54" s="327"/>
      <c r="AH54" s="327"/>
    </row>
    <row r="55" spans="1:34" ht="25.5" customHeight="1" x14ac:dyDescent="0.3">
      <c r="A55" s="327"/>
      <c r="B55" s="1225"/>
      <c r="C55" s="1226" t="s">
        <v>529</v>
      </c>
      <c r="D55" s="1227"/>
      <c r="E55" s="1227" t="s">
        <v>529</v>
      </c>
      <c r="F55" s="1226"/>
      <c r="G55" s="1227" t="s">
        <v>529</v>
      </c>
      <c r="H55" s="1228"/>
      <c r="I55" s="1227" t="s">
        <v>529</v>
      </c>
      <c r="J55" s="1229"/>
      <c r="K55" s="327"/>
      <c r="L55" s="327"/>
      <c r="M55" s="327"/>
      <c r="N55" s="327"/>
      <c r="O55" s="327"/>
      <c r="P55" s="327"/>
      <c r="Q55" s="327"/>
      <c r="R55" s="327"/>
      <c r="S55" s="327"/>
      <c r="T55" s="327"/>
      <c r="U55" s="327"/>
      <c r="V55" s="327"/>
      <c r="W55" s="327"/>
      <c r="X55" s="327"/>
      <c r="Y55" s="327"/>
      <c r="Z55" s="327"/>
      <c r="AA55" s="327"/>
      <c r="AB55" s="327"/>
      <c r="AC55" s="327"/>
      <c r="AD55" s="327"/>
      <c r="AE55" s="327"/>
      <c r="AF55" s="327"/>
      <c r="AG55" s="327"/>
      <c r="AH55" s="327"/>
    </row>
    <row r="56" spans="1:34" ht="19.5" customHeight="1" x14ac:dyDescent="0.35">
      <c r="A56" s="327"/>
      <c r="B56" s="1225"/>
      <c r="C56" s="1226" t="s">
        <v>1258</v>
      </c>
      <c r="D56" s="1227"/>
      <c r="E56" s="1227" t="s">
        <v>1259</v>
      </c>
      <c r="F56" s="1226"/>
      <c r="G56" s="1227" t="s">
        <v>1260</v>
      </c>
      <c r="H56" s="1228"/>
      <c r="I56" s="1227" t="s">
        <v>1261</v>
      </c>
      <c r="J56" s="1229"/>
      <c r="K56" s="327"/>
      <c r="L56" s="327"/>
      <c r="M56" s="327"/>
      <c r="N56" s="327"/>
      <c r="O56" s="327"/>
      <c r="P56" s="327"/>
      <c r="Q56" s="327"/>
      <c r="R56" s="327"/>
      <c r="S56" s="327"/>
      <c r="T56" s="327"/>
      <c r="U56" s="327"/>
      <c r="V56" s="327"/>
      <c r="W56" s="327"/>
      <c r="X56" s="327"/>
      <c r="Y56" s="327"/>
      <c r="Z56" s="327"/>
      <c r="AA56" s="327"/>
      <c r="AB56" s="327"/>
      <c r="AC56" s="327"/>
      <c r="AD56" s="327"/>
      <c r="AE56" s="327"/>
      <c r="AF56" s="327"/>
      <c r="AG56" s="327"/>
      <c r="AH56" s="327"/>
    </row>
    <row r="57" spans="1:34" ht="18.75" customHeight="1" x14ac:dyDescent="0.35">
      <c r="A57" s="327"/>
      <c r="B57" s="1230" t="s">
        <v>170</v>
      </c>
      <c r="C57" s="1231" t="s">
        <v>1262</v>
      </c>
      <c r="D57" s="1232"/>
      <c r="E57" s="1232" t="s">
        <v>1263</v>
      </c>
      <c r="F57" s="1231"/>
      <c r="G57" s="1232" t="s">
        <v>1264</v>
      </c>
      <c r="H57" s="1233"/>
      <c r="I57" s="1232" t="s">
        <v>1265</v>
      </c>
      <c r="J57" s="1229"/>
      <c r="K57" s="327"/>
      <c r="L57" s="327"/>
      <c r="M57" s="327"/>
      <c r="N57" s="327"/>
      <c r="O57" s="327"/>
      <c r="P57" s="327"/>
      <c r="Q57" s="327"/>
      <c r="R57" s="327"/>
      <c r="S57" s="327"/>
      <c r="T57" s="327"/>
      <c r="U57" s="327"/>
      <c r="V57" s="327"/>
      <c r="W57" s="327"/>
      <c r="X57" s="327"/>
      <c r="Y57" s="327"/>
      <c r="Z57" s="327"/>
      <c r="AA57" s="327"/>
      <c r="AB57" s="327"/>
      <c r="AC57" s="327"/>
      <c r="AD57" s="327"/>
      <c r="AE57" s="327"/>
      <c r="AF57" s="327"/>
      <c r="AG57" s="327"/>
      <c r="AH57" s="327"/>
    </row>
    <row r="58" spans="1:34" ht="11.25" customHeight="1" x14ac:dyDescent="0.3">
      <c r="A58" s="327"/>
      <c r="B58" s="1234" t="s">
        <v>1234</v>
      </c>
      <c r="C58" s="1235">
        <f t="shared" ref="C58:C60" si="19">O27</f>
        <v>1.4518916951000001E-2</v>
      </c>
      <c r="D58" s="1236"/>
      <c r="E58" s="1236">
        <f t="shared" ref="E58:E60" si="20">AE27</f>
        <v>3.4551538560000008E-4</v>
      </c>
      <c r="F58" s="1235"/>
      <c r="G58" s="1236">
        <f t="shared" ref="G58:G60" si="21">X27</f>
        <v>4.9546308000000006E-5</v>
      </c>
      <c r="H58" s="1237"/>
      <c r="I58" s="1236">
        <f t="shared" ref="I58:I60" si="22">SUM(C58:H58)</f>
        <v>1.4913978644600001E-2</v>
      </c>
      <c r="J58" s="1238"/>
      <c r="K58" s="327"/>
      <c r="L58" s="327"/>
      <c r="M58" s="327"/>
      <c r="N58" s="327"/>
      <c r="O58" s="327"/>
      <c r="P58" s="327"/>
      <c r="Q58" s="327"/>
      <c r="R58" s="327"/>
      <c r="S58" s="327"/>
      <c r="T58" s="327"/>
      <c r="U58" s="327"/>
      <c r="V58" s="327"/>
      <c r="W58" s="327"/>
      <c r="X58" s="1087"/>
      <c r="Y58" s="327"/>
      <c r="Z58" s="327"/>
      <c r="AA58" s="327"/>
      <c r="AB58" s="327"/>
      <c r="AC58" s="327"/>
      <c r="AD58" s="327"/>
      <c r="AE58" s="327"/>
      <c r="AF58" s="327"/>
      <c r="AG58" s="327"/>
      <c r="AH58" s="327"/>
    </row>
    <row r="59" spans="1:34" ht="11.25" customHeight="1" x14ac:dyDescent="0.3">
      <c r="A59" s="327"/>
      <c r="B59" s="1239" t="s">
        <v>1237</v>
      </c>
      <c r="C59" s="1235">
        <f t="shared" si="19"/>
        <v>2.4067715596924999</v>
      </c>
      <c r="D59" s="1236"/>
      <c r="E59" s="1236">
        <f t="shared" si="20"/>
        <v>1.8051114681600002E-3</v>
      </c>
      <c r="F59" s="1235"/>
      <c r="G59" s="1236">
        <f t="shared" si="21"/>
        <v>1.963688584E-2</v>
      </c>
      <c r="H59" s="1237"/>
      <c r="I59" s="1236">
        <f t="shared" si="22"/>
        <v>2.4282135570006598</v>
      </c>
      <c r="J59" s="1238"/>
      <c r="K59" s="327"/>
      <c r="L59" s="327"/>
      <c r="M59" s="327"/>
      <c r="N59" s="327"/>
      <c r="O59" s="327"/>
      <c r="P59" s="327"/>
      <c r="Q59" s="327"/>
      <c r="R59" s="327"/>
      <c r="S59" s="327"/>
      <c r="T59" s="327"/>
      <c r="U59" s="327"/>
      <c r="V59" s="327"/>
      <c r="W59" s="327"/>
      <c r="X59" s="327"/>
      <c r="Y59" s="327"/>
      <c r="Z59" s="327"/>
      <c r="AA59" s="327"/>
      <c r="AB59" s="327"/>
      <c r="AC59" s="327"/>
      <c r="AD59" s="327"/>
      <c r="AE59" s="327"/>
      <c r="AF59" s="327"/>
      <c r="AG59" s="327"/>
      <c r="AH59" s="327"/>
    </row>
    <row r="60" spans="1:34" ht="11.25" customHeight="1" x14ac:dyDescent="0.3">
      <c r="A60" s="327"/>
      <c r="B60" s="1239" t="s">
        <v>1266</v>
      </c>
      <c r="C60" s="1235">
        <f t="shared" si="19"/>
        <v>0.30830972342667162</v>
      </c>
      <c r="D60" s="1236"/>
      <c r="E60" s="1236">
        <f t="shared" si="20"/>
        <v>6.77983992E-4</v>
      </c>
      <c r="F60" s="1235"/>
      <c r="G60" s="1236">
        <f t="shared" si="21"/>
        <v>2.0533229472000001E-3</v>
      </c>
      <c r="H60" s="1237"/>
      <c r="I60" s="1236">
        <f t="shared" si="22"/>
        <v>0.31104103036587161</v>
      </c>
      <c r="J60" s="1238"/>
      <c r="K60" s="327"/>
      <c r="L60" s="327"/>
      <c r="M60" s="327"/>
      <c r="N60" s="327"/>
      <c r="O60" s="327"/>
      <c r="P60" s="327"/>
      <c r="Q60" s="327"/>
      <c r="R60" s="327"/>
      <c r="S60" s="327"/>
      <c r="T60" s="327"/>
      <c r="U60" s="327"/>
      <c r="V60" s="327"/>
      <c r="W60" s="327"/>
      <c r="X60" s="327"/>
      <c r="Y60" s="327"/>
      <c r="Z60" s="327"/>
      <c r="AA60" s="327"/>
      <c r="AB60" s="327"/>
      <c r="AC60" s="327"/>
      <c r="AD60" s="327"/>
      <c r="AE60" s="327"/>
      <c r="AF60" s="327"/>
      <c r="AG60" s="327"/>
      <c r="AH60" s="327"/>
    </row>
    <row r="61" spans="1:34" ht="11.25" customHeight="1" x14ac:dyDescent="0.3">
      <c r="A61" s="327"/>
      <c r="B61" s="1234" t="s">
        <v>1253</v>
      </c>
      <c r="C61" s="1235">
        <f t="shared" ref="C61:C62" si="23">O39</f>
        <v>5.2399342309967567E-2</v>
      </c>
      <c r="D61" s="1236"/>
      <c r="E61" s="1236">
        <f t="shared" ref="E61:E62" si="24">AE39</f>
        <v>1.15228008E-4</v>
      </c>
      <c r="F61" s="1235"/>
      <c r="G61" s="1236">
        <f t="shared" ref="G61:G62" si="25">X39</f>
        <v>3.4897625279999998E-4</v>
      </c>
      <c r="H61" s="1237"/>
      <c r="I61" s="1236"/>
      <c r="J61" s="1238"/>
      <c r="K61" s="327"/>
      <c r="L61" s="327"/>
      <c r="M61" s="327"/>
      <c r="N61" s="327"/>
      <c r="O61" s="327"/>
      <c r="P61" s="327"/>
      <c r="Q61" s="327"/>
      <c r="R61" s="327"/>
      <c r="S61" s="327"/>
      <c r="T61" s="327"/>
      <c r="U61" s="327"/>
      <c r="V61" s="327"/>
      <c r="W61" s="327"/>
      <c r="X61" s="327"/>
      <c r="Y61" s="327"/>
      <c r="Z61" s="327"/>
      <c r="AA61" s="327"/>
      <c r="AB61" s="327"/>
      <c r="AC61" s="327"/>
      <c r="AD61" s="327"/>
      <c r="AE61" s="327"/>
      <c r="AF61" s="327"/>
      <c r="AG61" s="327"/>
      <c r="AH61" s="327"/>
    </row>
    <row r="62" spans="1:34" ht="11.25" customHeight="1" x14ac:dyDescent="0.3">
      <c r="A62" s="327"/>
      <c r="B62" s="1239" t="s">
        <v>1254</v>
      </c>
      <c r="C62" s="1235">
        <f t="shared" si="23"/>
        <v>0.15904448429100002</v>
      </c>
      <c r="D62" s="1236"/>
      <c r="E62" s="1236">
        <f t="shared" si="24"/>
        <v>3.2586754200000003E-4</v>
      </c>
      <c r="F62" s="1235"/>
      <c r="G62" s="1236">
        <f t="shared" si="25"/>
        <v>1.0727316599999999E-3</v>
      </c>
      <c r="H62" s="1237"/>
      <c r="I62" s="1236">
        <f>SUM(C62:H62)</f>
        <v>0.16044308349300002</v>
      </c>
      <c r="J62" s="1238"/>
      <c r="K62" s="327"/>
      <c r="L62" s="327"/>
      <c r="M62" s="791"/>
      <c r="N62" s="327"/>
      <c r="O62" s="327"/>
      <c r="P62" s="327"/>
      <c r="Q62" s="327"/>
      <c r="R62" s="327"/>
      <c r="S62" s="327"/>
      <c r="T62" s="327"/>
      <c r="U62" s="327"/>
      <c r="V62" s="327"/>
      <c r="W62" s="327"/>
      <c r="X62" s="327"/>
      <c r="Y62" s="327"/>
      <c r="Z62" s="327"/>
      <c r="AA62" s="327"/>
      <c r="AB62" s="327"/>
      <c r="AC62" s="327"/>
      <c r="AD62" s="327"/>
      <c r="AE62" s="327"/>
      <c r="AF62" s="327"/>
      <c r="AG62" s="327"/>
      <c r="AH62" s="327"/>
    </row>
    <row r="63" spans="1:34" ht="11.25" customHeight="1" x14ac:dyDescent="0.3">
      <c r="A63" s="327"/>
      <c r="B63" s="1240" t="s">
        <v>759</v>
      </c>
      <c r="C63" s="1235">
        <f>S50</f>
        <v>0.11043586485693768</v>
      </c>
      <c r="D63" s="1236"/>
      <c r="E63" s="1236">
        <v>0</v>
      </c>
      <c r="F63" s="1235"/>
      <c r="G63" s="1236">
        <v>0</v>
      </c>
      <c r="H63" s="1237"/>
      <c r="I63" s="1236">
        <v>0</v>
      </c>
      <c r="J63" s="1238"/>
      <c r="K63" s="327"/>
      <c r="L63" s="327"/>
      <c r="M63" s="327"/>
      <c r="N63" s="327"/>
      <c r="O63" s="327"/>
      <c r="P63" s="327"/>
      <c r="Q63" s="327"/>
      <c r="R63" s="327"/>
      <c r="S63" s="327"/>
      <c r="T63" s="327"/>
      <c r="U63" s="327"/>
      <c r="V63" s="327"/>
      <c r="W63" s="327"/>
      <c r="X63" s="327"/>
      <c r="Y63" s="327"/>
      <c r="Z63" s="327"/>
      <c r="AA63" s="327"/>
      <c r="AB63" s="327"/>
      <c r="AC63" s="327"/>
      <c r="AD63" s="327"/>
      <c r="AE63" s="327"/>
      <c r="AF63" s="327"/>
      <c r="AG63" s="327"/>
      <c r="AH63" s="327"/>
    </row>
    <row r="64" spans="1:34" ht="11.25" customHeight="1" x14ac:dyDescent="0.3">
      <c r="A64" s="327"/>
      <c r="B64" s="1241"/>
      <c r="C64" s="327"/>
      <c r="D64" s="1241"/>
      <c r="E64" s="1241"/>
      <c r="F64" s="327"/>
      <c r="G64" s="1241"/>
      <c r="H64" s="327"/>
      <c r="I64" s="1241"/>
      <c r="J64" s="1238"/>
      <c r="K64" s="327"/>
      <c r="L64" s="327"/>
      <c r="M64" s="327"/>
      <c r="N64" s="327"/>
      <c r="O64" s="327"/>
      <c r="P64" s="327"/>
      <c r="Q64" s="327"/>
      <c r="R64" s="327"/>
      <c r="S64" s="327"/>
      <c r="T64" s="327"/>
      <c r="U64" s="327"/>
      <c r="V64" s="327"/>
      <c r="W64" s="327"/>
      <c r="X64" s="327"/>
      <c r="Y64" s="327"/>
      <c r="Z64" s="327"/>
      <c r="AA64" s="327"/>
      <c r="AB64" s="327"/>
      <c r="AC64" s="327"/>
      <c r="AD64" s="327"/>
      <c r="AE64" s="327"/>
      <c r="AF64" s="327"/>
      <c r="AG64" s="327"/>
      <c r="AH64" s="327"/>
    </row>
    <row r="65" spans="1:34" ht="11.25" customHeight="1" x14ac:dyDescent="0.3">
      <c r="A65" s="327"/>
      <c r="B65" s="1242" t="s">
        <v>86</v>
      </c>
      <c r="C65" s="1243">
        <f>SUM(C58:C63)</f>
        <v>3.0514798915280767</v>
      </c>
      <c r="D65" s="1244"/>
      <c r="E65" s="1245">
        <f>SUM(E58:E63)</f>
        <v>3.2697063957600006E-3</v>
      </c>
      <c r="F65" s="1246"/>
      <c r="G65" s="1247">
        <f>SUM(G58:G63)</f>
        <v>2.3161463008E-2</v>
      </c>
      <c r="H65" s="1248"/>
      <c r="I65" s="1249">
        <f>SUM(I58:I63)</f>
        <v>2.9146116495041312</v>
      </c>
      <c r="J65" s="1250"/>
      <c r="K65" s="327"/>
      <c r="L65" s="327"/>
      <c r="M65" s="327"/>
      <c r="N65" s="327"/>
      <c r="O65" s="327"/>
      <c r="P65" s="327"/>
      <c r="Q65" s="327"/>
      <c r="R65" s="327"/>
      <c r="S65" s="327"/>
      <c r="T65" s="327"/>
      <c r="U65" s="327"/>
      <c r="V65" s="327"/>
      <c r="W65" s="327"/>
      <c r="X65" s="327"/>
      <c r="Y65" s="327"/>
      <c r="Z65" s="327"/>
      <c r="AA65" s="327"/>
      <c r="AB65" s="327"/>
      <c r="AC65" s="327"/>
      <c r="AD65" s="327"/>
      <c r="AE65" s="327"/>
      <c r="AF65" s="327"/>
      <c r="AG65" s="327"/>
      <c r="AH65" s="327"/>
    </row>
    <row r="66" spans="1:34" ht="11.25" customHeight="1" x14ac:dyDescent="0.2">
      <c r="A66" s="327"/>
      <c r="B66" s="327"/>
      <c r="C66" s="327"/>
      <c r="D66" s="327"/>
      <c r="E66" s="327"/>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row>
    <row r="67" spans="1:34" ht="11.25" customHeight="1" x14ac:dyDescent="0.2">
      <c r="A67" s="327"/>
      <c r="B67" s="327"/>
      <c r="C67" s="327"/>
      <c r="D67" s="327"/>
      <c r="E67" s="327"/>
      <c r="F67" s="327"/>
      <c r="G67" s="327"/>
      <c r="H67" s="327"/>
      <c r="I67" s="327"/>
      <c r="J67" s="327"/>
      <c r="K67" s="327"/>
      <c r="L67" s="327"/>
      <c r="M67" s="327"/>
      <c r="N67" s="327"/>
      <c r="O67" s="327"/>
      <c r="P67" s="327"/>
      <c r="Q67" s="327"/>
      <c r="R67" s="327"/>
      <c r="S67" s="327"/>
      <c r="T67" s="327"/>
      <c r="U67" s="327"/>
      <c r="V67" s="327"/>
      <c r="W67" s="327"/>
      <c r="X67" s="327"/>
      <c r="Y67" s="327"/>
      <c r="Z67" s="327"/>
      <c r="AA67" s="327"/>
      <c r="AB67" s="327"/>
      <c r="AC67" s="327"/>
      <c r="AD67" s="327"/>
      <c r="AE67" s="327"/>
      <c r="AF67" s="327"/>
      <c r="AG67" s="327"/>
      <c r="AH67" s="327"/>
    </row>
    <row r="68" spans="1:34" ht="11.25" customHeight="1" x14ac:dyDescent="0.2">
      <c r="A68" s="327"/>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327"/>
      <c r="AE68" s="327"/>
      <c r="AF68" s="327"/>
      <c r="AG68" s="327"/>
      <c r="AH68" s="327"/>
    </row>
    <row r="69" spans="1:34" ht="11.25" customHeight="1" x14ac:dyDescent="0.2">
      <c r="A69" s="327"/>
      <c r="B69" s="327"/>
      <c r="C69" s="327"/>
      <c r="D69" s="327"/>
      <c r="E69" s="327"/>
      <c r="F69" s="327"/>
      <c r="G69" s="327"/>
      <c r="H69" s="327"/>
      <c r="I69" s="327"/>
      <c r="J69" s="327"/>
      <c r="K69" s="327"/>
      <c r="L69" s="327"/>
      <c r="M69" s="327"/>
      <c r="N69" s="327"/>
      <c r="O69" s="327"/>
      <c r="P69" s="327"/>
      <c r="Q69" s="327"/>
      <c r="R69" s="327"/>
      <c r="S69" s="327"/>
      <c r="T69" s="327"/>
      <c r="U69" s="327"/>
      <c r="V69" s="327"/>
      <c r="W69" s="327"/>
      <c r="X69" s="327"/>
      <c r="Y69" s="327"/>
      <c r="Z69" s="327"/>
      <c r="AA69" s="327"/>
      <c r="AB69" s="327"/>
      <c r="AC69" s="327"/>
      <c r="AD69" s="327"/>
      <c r="AE69" s="327"/>
      <c r="AF69" s="327"/>
      <c r="AG69" s="327"/>
      <c r="AH69" s="327"/>
    </row>
    <row r="70" spans="1:34" ht="11.25" customHeight="1" x14ac:dyDescent="0.2">
      <c r="A70" s="327"/>
      <c r="B70" s="327"/>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c r="AC70" s="327"/>
      <c r="AD70" s="327"/>
      <c r="AE70" s="327"/>
      <c r="AF70" s="327"/>
      <c r="AG70" s="327"/>
      <c r="AH70" s="327"/>
    </row>
    <row r="71" spans="1:34" ht="11.25" customHeight="1" x14ac:dyDescent="0.2">
      <c r="A71" s="327"/>
      <c r="B71" s="327"/>
      <c r="C71" s="327"/>
      <c r="D71" s="327"/>
      <c r="E71" s="327"/>
      <c r="F71" s="327"/>
      <c r="G71" s="327"/>
      <c r="H71" s="327"/>
      <c r="I71" s="327"/>
      <c r="J71" s="327"/>
      <c r="K71" s="327"/>
      <c r="L71" s="327"/>
      <c r="M71" s="327"/>
      <c r="N71" s="327"/>
      <c r="O71" s="327"/>
      <c r="P71" s="327"/>
      <c r="Q71" s="327"/>
      <c r="R71" s="327"/>
      <c r="S71" s="327"/>
      <c r="T71" s="327"/>
      <c r="U71" s="327"/>
      <c r="V71" s="327"/>
      <c r="W71" s="327"/>
      <c r="X71" s="327"/>
      <c r="Y71" s="327"/>
      <c r="Z71" s="327"/>
      <c r="AA71" s="327"/>
      <c r="AB71" s="327"/>
      <c r="AC71" s="327"/>
      <c r="AD71" s="327"/>
      <c r="AE71" s="327"/>
      <c r="AF71" s="327"/>
      <c r="AG71" s="327"/>
      <c r="AH71" s="327"/>
    </row>
    <row r="72" spans="1:34" ht="11.25" customHeight="1" x14ac:dyDescent="0.2">
      <c r="A72" s="327"/>
      <c r="B72" s="327"/>
      <c r="C72" s="327"/>
      <c r="D72" s="327"/>
      <c r="E72" s="327"/>
      <c r="F72" s="327"/>
      <c r="G72" s="327"/>
      <c r="H72" s="327"/>
      <c r="I72" s="327"/>
      <c r="J72" s="327"/>
      <c r="K72" s="327"/>
      <c r="L72" s="327"/>
      <c r="M72" s="327"/>
      <c r="N72" s="327"/>
      <c r="O72" s="327"/>
      <c r="P72" s="327"/>
      <c r="Q72" s="327"/>
      <c r="R72" s="327"/>
      <c r="S72" s="327"/>
      <c r="T72" s="327"/>
      <c r="U72" s="327"/>
      <c r="V72" s="327"/>
      <c r="W72" s="327"/>
      <c r="X72" s="327"/>
      <c r="Y72" s="327"/>
      <c r="Z72" s="327"/>
      <c r="AA72" s="327"/>
      <c r="AB72" s="327"/>
      <c r="AC72" s="327"/>
      <c r="AD72" s="327"/>
      <c r="AE72" s="327"/>
      <c r="AF72" s="327"/>
      <c r="AG72" s="327"/>
      <c r="AH72" s="327"/>
    </row>
    <row r="73" spans="1:34" ht="11.25" customHeight="1" x14ac:dyDescent="0.2">
      <c r="A73" s="327"/>
      <c r="B73" s="327"/>
      <c r="C73" s="327"/>
      <c r="D73" s="327"/>
      <c r="E73" s="327"/>
      <c r="F73" s="327"/>
      <c r="G73" s="327"/>
      <c r="H73" s="327"/>
      <c r="I73" s="327"/>
      <c r="J73" s="327"/>
      <c r="K73" s="327"/>
      <c r="L73" s="327"/>
      <c r="M73" s="327"/>
      <c r="N73" s="327"/>
      <c r="O73" s="327"/>
      <c r="P73" s="327"/>
      <c r="Q73" s="327"/>
      <c r="R73" s="327"/>
      <c r="S73" s="327"/>
      <c r="T73" s="327"/>
      <c r="U73" s="327"/>
      <c r="V73" s="327"/>
      <c r="W73" s="327"/>
      <c r="X73" s="327"/>
      <c r="Y73" s="327"/>
      <c r="Z73" s="327"/>
      <c r="AA73" s="327"/>
      <c r="AB73" s="327"/>
      <c r="AC73" s="327"/>
      <c r="AD73" s="327"/>
      <c r="AE73" s="327"/>
      <c r="AF73" s="327"/>
      <c r="AG73" s="327"/>
      <c r="AH73" s="327"/>
    </row>
    <row r="74" spans="1:34" ht="11.25" customHeight="1" x14ac:dyDescent="0.2">
      <c r="A74" s="327"/>
      <c r="B74" s="327"/>
      <c r="C74" s="327"/>
      <c r="D74" s="327"/>
      <c r="E74" s="327"/>
      <c r="F74" s="327"/>
      <c r="G74" s="327"/>
      <c r="H74" s="327"/>
      <c r="I74" s="327"/>
      <c r="J74" s="327"/>
      <c r="K74" s="327"/>
      <c r="L74" s="327"/>
      <c r="M74" s="327"/>
      <c r="N74" s="327"/>
      <c r="O74" s="327"/>
      <c r="P74" s="327"/>
      <c r="Q74" s="327"/>
      <c r="R74" s="327"/>
      <c r="S74" s="327"/>
      <c r="T74" s="327"/>
      <c r="U74" s="327"/>
      <c r="V74" s="327"/>
      <c r="W74" s="327"/>
      <c r="X74" s="327"/>
      <c r="Y74" s="327"/>
      <c r="Z74" s="327"/>
      <c r="AA74" s="327"/>
      <c r="AB74" s="327"/>
      <c r="AC74" s="327"/>
      <c r="AD74" s="327"/>
      <c r="AE74" s="327"/>
      <c r="AF74" s="327"/>
      <c r="AG74" s="327"/>
      <c r="AH74" s="327"/>
    </row>
    <row r="75" spans="1:34" ht="11.25" customHeight="1" x14ac:dyDescent="0.2">
      <c r="A75" s="327"/>
      <c r="B75" s="327"/>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c r="AH75" s="327"/>
    </row>
    <row r="76" spans="1:34" ht="11.25" customHeight="1" x14ac:dyDescent="0.2">
      <c r="A76" s="327"/>
      <c r="B76" s="327"/>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row>
    <row r="77" spans="1:34" ht="11.25" customHeight="1" x14ac:dyDescent="0.2">
      <c r="A77" s="327"/>
      <c r="B77" s="327"/>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327"/>
      <c r="AE77" s="327"/>
      <c r="AF77" s="327"/>
      <c r="AG77" s="327"/>
      <c r="AH77" s="327"/>
    </row>
    <row r="78" spans="1:34" ht="11.25" customHeight="1" x14ac:dyDescent="0.2">
      <c r="A78" s="327"/>
      <c r="B78" s="327"/>
      <c r="C78" s="327"/>
      <c r="D78" s="327"/>
      <c r="E78" s="327"/>
      <c r="F78" s="327"/>
      <c r="G78" s="327"/>
      <c r="H78" s="327"/>
      <c r="I78" s="327"/>
      <c r="J78" s="327"/>
      <c r="K78" s="327"/>
      <c r="L78" s="327"/>
      <c r="M78" s="327"/>
      <c r="N78" s="327"/>
      <c r="O78" s="327"/>
      <c r="P78" s="327"/>
      <c r="Q78" s="327"/>
      <c r="R78" s="327"/>
      <c r="S78" s="327"/>
      <c r="T78" s="327"/>
      <c r="U78" s="327"/>
      <c r="V78" s="327"/>
      <c r="W78" s="327"/>
      <c r="X78" s="327"/>
      <c r="Y78" s="327"/>
      <c r="Z78" s="327"/>
      <c r="AA78" s="327"/>
      <c r="AB78" s="327"/>
      <c r="AC78" s="327"/>
      <c r="AD78" s="327"/>
      <c r="AE78" s="327"/>
      <c r="AF78" s="327"/>
      <c r="AG78" s="327"/>
      <c r="AH78" s="327"/>
    </row>
    <row r="79" spans="1:34" ht="11.25" customHeight="1" x14ac:dyDescent="0.2">
      <c r="A79" s="327"/>
      <c r="B79" s="327"/>
      <c r="C79" s="327"/>
      <c r="D79" s="327"/>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c r="AC79" s="327"/>
      <c r="AD79" s="327"/>
      <c r="AE79" s="327"/>
      <c r="AF79" s="327"/>
      <c r="AG79" s="327"/>
      <c r="AH79" s="327"/>
    </row>
    <row r="80" spans="1:34" ht="11.25" customHeight="1" x14ac:dyDescent="0.2">
      <c r="A80" s="327"/>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327"/>
      <c r="AE80" s="327"/>
      <c r="AF80" s="327"/>
      <c r="AG80" s="327"/>
      <c r="AH80" s="327"/>
    </row>
    <row r="81" spans="1:34" ht="11.25" customHeight="1" x14ac:dyDescent="0.2">
      <c r="A81" s="327"/>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7"/>
      <c r="AD81" s="327"/>
      <c r="AE81" s="327"/>
      <c r="AF81" s="327"/>
      <c r="AG81" s="327"/>
      <c r="AH81" s="327"/>
    </row>
    <row r="82" spans="1:34" ht="11.25" customHeight="1" x14ac:dyDescent="0.2">
      <c r="A82" s="327"/>
      <c r="B82" s="327"/>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27"/>
      <c r="AB82" s="327"/>
      <c r="AC82" s="327"/>
      <c r="AD82" s="327"/>
      <c r="AE82" s="327"/>
      <c r="AF82" s="327"/>
      <c r="AG82" s="327"/>
      <c r="AH82" s="327"/>
    </row>
    <row r="83" spans="1:34" ht="11.25" customHeight="1" x14ac:dyDescent="0.2">
      <c r="A83" s="327"/>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c r="AD83" s="327"/>
      <c r="AE83" s="327"/>
      <c r="AF83" s="327"/>
      <c r="AG83" s="327"/>
      <c r="AH83" s="327"/>
    </row>
    <row r="84" spans="1:34" ht="11.25" customHeight="1" x14ac:dyDescent="0.2">
      <c r="A84" s="327"/>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c r="AE84" s="327"/>
      <c r="AF84" s="327"/>
      <c r="AG84" s="327"/>
      <c r="AH84" s="327"/>
    </row>
    <row r="85" spans="1:34" ht="11.25" customHeight="1" x14ac:dyDescent="0.2">
      <c r="A85" s="327"/>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c r="AE85" s="327"/>
      <c r="AF85" s="327"/>
      <c r="AG85" s="327"/>
      <c r="AH85" s="327"/>
    </row>
    <row r="86" spans="1:34" ht="11.25" customHeight="1" x14ac:dyDescent="0.2">
      <c r="A86" s="327"/>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c r="AE86" s="327"/>
      <c r="AF86" s="327"/>
      <c r="AG86" s="327"/>
      <c r="AH86" s="327"/>
    </row>
    <row r="87" spans="1:34" ht="11.25" customHeight="1" x14ac:dyDescent="0.2">
      <c r="A87" s="327"/>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327"/>
      <c r="AF87" s="327"/>
      <c r="AG87" s="327"/>
      <c r="AH87" s="327"/>
    </row>
    <row r="88" spans="1:34" ht="11.25" customHeight="1" x14ac:dyDescent="0.2">
      <c r="A88" s="327"/>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c r="AE88" s="327"/>
      <c r="AF88" s="327"/>
      <c r="AG88" s="327"/>
      <c r="AH88" s="327"/>
    </row>
    <row r="89" spans="1:34" ht="11.25" customHeight="1" x14ac:dyDescent="0.2">
      <c r="A89" s="327"/>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327"/>
      <c r="AF89" s="327"/>
      <c r="AG89" s="327"/>
      <c r="AH89" s="327"/>
    </row>
    <row r="90" spans="1:34" ht="11.25" customHeight="1" x14ac:dyDescent="0.2">
      <c r="A90" s="327"/>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c r="AE90" s="327"/>
      <c r="AF90" s="327"/>
      <c r="AG90" s="327"/>
      <c r="AH90" s="327"/>
    </row>
    <row r="91" spans="1:34" ht="11.25" customHeight="1" x14ac:dyDescent="0.2">
      <c r="A91" s="327"/>
      <c r="B91" s="327"/>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c r="AA91" s="327"/>
      <c r="AB91" s="327"/>
      <c r="AC91" s="327"/>
      <c r="AD91" s="327"/>
      <c r="AE91" s="327"/>
      <c r="AF91" s="327"/>
      <c r="AG91" s="327"/>
      <c r="AH91" s="327"/>
    </row>
    <row r="92" spans="1:34" ht="11.25" customHeight="1" x14ac:dyDescent="0.2">
      <c r="A92" s="327"/>
      <c r="B92" s="327"/>
      <c r="C92" s="327"/>
      <c r="D92" s="327"/>
      <c r="E92" s="327"/>
      <c r="F92" s="327"/>
      <c r="G92" s="327"/>
      <c r="H92" s="327"/>
      <c r="I92" s="327"/>
      <c r="J92" s="327"/>
      <c r="K92" s="327"/>
      <c r="L92" s="327"/>
      <c r="M92" s="327"/>
      <c r="N92" s="327"/>
      <c r="O92" s="327"/>
      <c r="P92" s="327"/>
      <c r="Q92" s="327"/>
      <c r="R92" s="327"/>
      <c r="S92" s="327"/>
      <c r="T92" s="327"/>
      <c r="U92" s="327"/>
      <c r="V92" s="327"/>
      <c r="W92" s="327"/>
      <c r="X92" s="327"/>
      <c r="Y92" s="327"/>
      <c r="Z92" s="327"/>
      <c r="AA92" s="327"/>
      <c r="AB92" s="327"/>
      <c r="AC92" s="327"/>
      <c r="AD92" s="327"/>
      <c r="AE92" s="327"/>
      <c r="AF92" s="327"/>
      <c r="AG92" s="327"/>
      <c r="AH92" s="327"/>
    </row>
    <row r="93" spans="1:34" ht="11.25" customHeight="1" x14ac:dyDescent="0.2">
      <c r="A93" s="327"/>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c r="AE93" s="327"/>
      <c r="AF93" s="327"/>
      <c r="AG93" s="327"/>
      <c r="AH93" s="327"/>
    </row>
    <row r="94" spans="1:34" ht="11.25" customHeight="1" x14ac:dyDescent="0.2">
      <c r="A94" s="327"/>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327"/>
      <c r="AE94" s="327"/>
      <c r="AF94" s="327"/>
      <c r="AG94" s="327"/>
      <c r="AH94" s="327"/>
    </row>
    <row r="95" spans="1:34" ht="11.25" customHeight="1" x14ac:dyDescent="0.2">
      <c r="A95" s="327"/>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327"/>
      <c r="AE95" s="327"/>
      <c r="AF95" s="327"/>
      <c r="AG95" s="327"/>
      <c r="AH95" s="327"/>
    </row>
    <row r="96" spans="1:34" ht="11.25" customHeight="1" x14ac:dyDescent="0.2">
      <c r="A96" s="327"/>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c r="AE96" s="327"/>
      <c r="AF96" s="327"/>
      <c r="AG96" s="327"/>
      <c r="AH96" s="327"/>
    </row>
    <row r="97" spans="1:34" ht="11.25" customHeight="1" x14ac:dyDescent="0.2">
      <c r="A97" s="327"/>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c r="AE97" s="327"/>
      <c r="AF97" s="327"/>
      <c r="AG97" s="327"/>
      <c r="AH97" s="327"/>
    </row>
    <row r="98" spans="1:34" ht="11.25" customHeight="1" x14ac:dyDescent="0.2">
      <c r="A98" s="327"/>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c r="AD98" s="327"/>
      <c r="AE98" s="327"/>
      <c r="AF98" s="327"/>
      <c r="AG98" s="327"/>
      <c r="AH98" s="327"/>
    </row>
    <row r="99" spans="1:34" ht="11.25" customHeight="1" x14ac:dyDescent="0.2">
      <c r="A99" s="327"/>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c r="AE99" s="327"/>
      <c r="AF99" s="327"/>
      <c r="AG99" s="327"/>
      <c r="AH99" s="327"/>
    </row>
    <row r="100" spans="1:34" ht="11.25" customHeight="1" x14ac:dyDescent="0.2">
      <c r="A100" s="327"/>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c r="AE100" s="327"/>
      <c r="AF100" s="327"/>
      <c r="AG100" s="327"/>
      <c r="AH100" s="327"/>
    </row>
    <row r="101" spans="1:34" ht="11.25" customHeight="1" x14ac:dyDescent="0.2">
      <c r="A101" s="327"/>
      <c r="B101" s="327"/>
      <c r="C101" s="327"/>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c r="AE101" s="327"/>
      <c r="AF101" s="327"/>
      <c r="AG101" s="327"/>
      <c r="AH101" s="327"/>
    </row>
    <row r="102" spans="1:34" ht="11.25" customHeight="1" x14ac:dyDescent="0.2">
      <c r="A102" s="327"/>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327"/>
      <c r="AE102" s="327"/>
      <c r="AF102" s="327"/>
      <c r="AG102" s="327"/>
      <c r="AH102" s="327"/>
    </row>
    <row r="103" spans="1:34" ht="11.25" customHeight="1" x14ac:dyDescent="0.2">
      <c r="A103" s="327"/>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327"/>
      <c r="AE103" s="327"/>
      <c r="AF103" s="327"/>
      <c r="AG103" s="327"/>
      <c r="AH103" s="327"/>
    </row>
    <row r="104" spans="1:34" ht="11.25" customHeight="1" x14ac:dyDescent="0.2">
      <c r="A104" s="327"/>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c r="AE104" s="327"/>
      <c r="AF104" s="327"/>
      <c r="AG104" s="327"/>
      <c r="AH104" s="327"/>
    </row>
    <row r="105" spans="1:34" ht="11.25" customHeight="1" x14ac:dyDescent="0.2">
      <c r="A105" s="327"/>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c r="AC105" s="327"/>
      <c r="AD105" s="327"/>
      <c r="AE105" s="327"/>
      <c r="AF105" s="327"/>
      <c r="AG105" s="327"/>
      <c r="AH105" s="327"/>
    </row>
    <row r="106" spans="1:34" ht="11.25" customHeight="1" x14ac:dyDescent="0.2">
      <c r="A106" s="327"/>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327"/>
      <c r="AE106" s="327"/>
      <c r="AF106" s="327"/>
      <c r="AG106" s="327"/>
      <c r="AH106" s="327"/>
    </row>
    <row r="107" spans="1:34" ht="11.25" customHeight="1" x14ac:dyDescent="0.2">
      <c r="A107" s="327"/>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c r="AE107" s="327"/>
      <c r="AF107" s="327"/>
      <c r="AG107" s="327"/>
      <c r="AH107" s="327"/>
    </row>
    <row r="108" spans="1:34" ht="11.25" customHeight="1" x14ac:dyDescent="0.2">
      <c r="A108" s="327"/>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327"/>
      <c r="AE108" s="327"/>
      <c r="AF108" s="327"/>
      <c r="AG108" s="327"/>
      <c r="AH108" s="327"/>
    </row>
    <row r="109" spans="1:34" ht="11.25" customHeight="1" x14ac:dyDescent="0.2">
      <c r="A109" s="327"/>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c r="AD109" s="327"/>
      <c r="AE109" s="327"/>
      <c r="AF109" s="327"/>
      <c r="AG109" s="327"/>
      <c r="AH109" s="327"/>
    </row>
    <row r="110" spans="1:34" ht="11.25" customHeight="1" x14ac:dyDescent="0.2">
      <c r="A110" s="327"/>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327"/>
      <c r="AE110" s="327"/>
      <c r="AF110" s="327"/>
      <c r="AG110" s="327"/>
      <c r="AH110" s="327"/>
    </row>
    <row r="111" spans="1:34" ht="11.25" customHeight="1" x14ac:dyDescent="0.2">
      <c r="A111" s="327"/>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c r="AE111" s="327"/>
      <c r="AF111" s="327"/>
      <c r="AG111" s="327"/>
      <c r="AH111" s="327"/>
    </row>
    <row r="112" spans="1:34" ht="11.25" customHeight="1" x14ac:dyDescent="0.2">
      <c r="A112" s="327"/>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c r="AE112" s="327"/>
      <c r="AF112" s="327"/>
      <c r="AG112" s="327"/>
      <c r="AH112" s="327"/>
    </row>
    <row r="113" spans="1:34" ht="11.25" customHeight="1" x14ac:dyDescent="0.2">
      <c r="A113" s="327"/>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c r="AE113" s="327"/>
      <c r="AF113" s="327"/>
      <c r="AG113" s="327"/>
      <c r="AH113" s="327"/>
    </row>
    <row r="114" spans="1:34" ht="11.25" customHeight="1" x14ac:dyDescent="0.2">
      <c r="A114" s="327"/>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327"/>
      <c r="AE114" s="327"/>
      <c r="AF114" s="327"/>
      <c r="AG114" s="327"/>
      <c r="AH114" s="327"/>
    </row>
    <row r="115" spans="1:34" ht="11.25" customHeight="1" x14ac:dyDescent="0.2">
      <c r="A115" s="327"/>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c r="AE115" s="327"/>
      <c r="AF115" s="327"/>
      <c r="AG115" s="327"/>
      <c r="AH115" s="327"/>
    </row>
    <row r="116" spans="1:34" ht="11.25" customHeight="1" x14ac:dyDescent="0.2">
      <c r="A116" s="327"/>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c r="AE116" s="327"/>
      <c r="AF116" s="327"/>
      <c r="AG116" s="327"/>
      <c r="AH116" s="327"/>
    </row>
    <row r="117" spans="1:34" ht="11.25" customHeight="1" x14ac:dyDescent="0.2">
      <c r="A117" s="327"/>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c r="AE117" s="327"/>
      <c r="AF117" s="327"/>
      <c r="AG117" s="327"/>
      <c r="AH117" s="327"/>
    </row>
    <row r="118" spans="1:34" ht="11.25" customHeight="1" x14ac:dyDescent="0.2">
      <c r="A118" s="327"/>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c r="AE118" s="327"/>
      <c r="AF118" s="327"/>
      <c r="AG118" s="327"/>
      <c r="AH118" s="327"/>
    </row>
    <row r="119" spans="1:34" ht="11.25" customHeight="1" x14ac:dyDescent="0.2">
      <c r="A119" s="327"/>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c r="AE119" s="327"/>
      <c r="AF119" s="327"/>
      <c r="AG119" s="327"/>
      <c r="AH119" s="327"/>
    </row>
    <row r="120" spans="1:34" ht="11.25" customHeight="1" x14ac:dyDescent="0.2">
      <c r="A120" s="327"/>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c r="AE120" s="327"/>
      <c r="AF120" s="327"/>
      <c r="AG120" s="327"/>
      <c r="AH120" s="327"/>
    </row>
    <row r="121" spans="1:34" ht="11.25" customHeight="1" x14ac:dyDescent="0.2">
      <c r="A121" s="327"/>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c r="AE121" s="327"/>
      <c r="AF121" s="327"/>
      <c r="AG121" s="327"/>
      <c r="AH121" s="327"/>
    </row>
    <row r="122" spans="1:34" ht="11.25" customHeight="1" x14ac:dyDescent="0.2">
      <c r="A122" s="327"/>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c r="AE122" s="327"/>
      <c r="AF122" s="327"/>
      <c r="AG122" s="327"/>
      <c r="AH122" s="327"/>
    </row>
    <row r="123" spans="1:34" ht="11.25" customHeight="1" x14ac:dyDescent="0.2">
      <c r="A123" s="327"/>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c r="AE123" s="327"/>
      <c r="AF123" s="327"/>
      <c r="AG123" s="327"/>
      <c r="AH123" s="327"/>
    </row>
    <row r="124" spans="1:34" ht="11.25" customHeight="1" x14ac:dyDescent="0.2">
      <c r="A124" s="327"/>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row>
    <row r="125" spans="1:34" ht="11.25" customHeight="1" x14ac:dyDescent="0.2">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c r="AE125" s="327"/>
      <c r="AF125" s="327"/>
      <c r="AG125" s="327"/>
      <c r="AH125" s="327"/>
    </row>
    <row r="126" spans="1:34" ht="11.25" customHeight="1" x14ac:dyDescent="0.2">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c r="AD126" s="327"/>
      <c r="AE126" s="327"/>
      <c r="AF126" s="327"/>
      <c r="AG126" s="327"/>
      <c r="AH126" s="327"/>
    </row>
    <row r="127" spans="1:34" ht="11.25" customHeight="1" x14ac:dyDescent="0.2">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c r="AE127" s="327"/>
      <c r="AF127" s="327"/>
      <c r="AG127" s="327"/>
      <c r="AH127" s="327"/>
    </row>
    <row r="128" spans="1:34" ht="11.25" customHeight="1" x14ac:dyDescent="0.2">
      <c r="A128" s="327"/>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c r="AE128" s="327"/>
      <c r="AF128" s="327"/>
      <c r="AG128" s="327"/>
      <c r="AH128" s="327"/>
    </row>
    <row r="129" spans="1:34" ht="11.25" customHeight="1" x14ac:dyDescent="0.2">
      <c r="A129" s="327"/>
      <c r="B129" s="327"/>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c r="AE129" s="327"/>
      <c r="AF129" s="327"/>
      <c r="AG129" s="327"/>
      <c r="AH129" s="327"/>
    </row>
    <row r="130" spans="1:34" ht="11.25" customHeight="1" x14ac:dyDescent="0.2">
      <c r="A130" s="327"/>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c r="AE130" s="327"/>
      <c r="AF130" s="327"/>
      <c r="AG130" s="327"/>
      <c r="AH130" s="327"/>
    </row>
    <row r="131" spans="1:34" ht="11.25" customHeight="1" x14ac:dyDescent="0.2">
      <c r="A131" s="327"/>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327"/>
      <c r="AE131" s="327"/>
      <c r="AF131" s="327"/>
      <c r="AG131" s="327"/>
      <c r="AH131" s="327"/>
    </row>
    <row r="132" spans="1:34" ht="11.25" customHeight="1" x14ac:dyDescent="0.2">
      <c r="A132" s="327"/>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c r="AA132" s="327"/>
      <c r="AB132" s="327"/>
      <c r="AC132" s="327"/>
      <c r="AD132" s="327"/>
      <c r="AE132" s="327"/>
      <c r="AF132" s="327"/>
      <c r="AG132" s="327"/>
      <c r="AH132" s="327"/>
    </row>
    <row r="133" spans="1:34" ht="11.25" customHeight="1" x14ac:dyDescent="0.2">
      <c r="A133" s="327"/>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c r="AB133" s="327"/>
      <c r="AC133" s="327"/>
      <c r="AD133" s="327"/>
      <c r="AE133" s="327"/>
      <c r="AF133" s="327"/>
      <c r="AG133" s="327"/>
      <c r="AH133" s="327"/>
    </row>
    <row r="134" spans="1:34" ht="11.25" customHeight="1" x14ac:dyDescent="0.2">
      <c r="A134" s="327"/>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c r="AA134" s="327"/>
      <c r="AB134" s="327"/>
      <c r="AC134" s="327"/>
      <c r="AD134" s="327"/>
      <c r="AE134" s="327"/>
      <c r="AF134" s="327"/>
      <c r="AG134" s="327"/>
      <c r="AH134" s="327"/>
    </row>
    <row r="135" spans="1:34" ht="11.25" customHeight="1" x14ac:dyDescent="0.2">
      <c r="A135" s="327"/>
      <c r="B135" s="327"/>
      <c r="C135" s="327"/>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c r="AA135" s="327"/>
      <c r="AB135" s="327"/>
      <c r="AC135" s="327"/>
      <c r="AD135" s="327"/>
      <c r="AE135" s="327"/>
      <c r="AF135" s="327"/>
      <c r="AG135" s="327"/>
      <c r="AH135" s="327"/>
    </row>
    <row r="136" spans="1:34" ht="11.25" customHeight="1" x14ac:dyDescent="0.2">
      <c r="A136" s="327"/>
      <c r="B136" s="327"/>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c r="AA136" s="327"/>
      <c r="AB136" s="327"/>
      <c r="AC136" s="327"/>
      <c r="AD136" s="327"/>
      <c r="AE136" s="327"/>
      <c r="AF136" s="327"/>
      <c r="AG136" s="327"/>
      <c r="AH136" s="327"/>
    </row>
    <row r="137" spans="1:34" ht="11.25" customHeight="1" x14ac:dyDescent="0.2">
      <c r="A137" s="327"/>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c r="AB137" s="327"/>
      <c r="AC137" s="327"/>
      <c r="AD137" s="327"/>
      <c r="AE137" s="327"/>
      <c r="AF137" s="327"/>
      <c r="AG137" s="327"/>
      <c r="AH137" s="327"/>
    </row>
    <row r="138" spans="1:34" ht="11.25" customHeight="1" x14ac:dyDescent="0.2">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c r="AE138" s="327"/>
      <c r="AF138" s="327"/>
      <c r="AG138" s="327"/>
      <c r="AH138" s="327"/>
    </row>
    <row r="139" spans="1:34" ht="11.25" customHeight="1" x14ac:dyDescent="0.2">
      <c r="A139" s="327"/>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c r="AE139" s="327"/>
      <c r="AF139" s="327"/>
      <c r="AG139" s="327"/>
      <c r="AH139" s="327"/>
    </row>
    <row r="140" spans="1:34" ht="11.25" customHeight="1" x14ac:dyDescent="0.2">
      <c r="A140" s="327"/>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c r="AE140" s="327"/>
      <c r="AF140" s="327"/>
      <c r="AG140" s="327"/>
      <c r="AH140" s="327"/>
    </row>
    <row r="141" spans="1:34" ht="11.25" customHeight="1" x14ac:dyDescent="0.2">
      <c r="A141" s="327"/>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c r="AE141" s="327"/>
      <c r="AF141" s="327"/>
      <c r="AG141" s="327"/>
      <c r="AH141" s="327"/>
    </row>
    <row r="142" spans="1:34" ht="11.25" customHeight="1" x14ac:dyDescent="0.2">
      <c r="A142" s="327"/>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c r="AE142" s="327"/>
      <c r="AF142" s="327"/>
      <c r="AG142" s="327"/>
      <c r="AH142" s="327"/>
    </row>
    <row r="143" spans="1:34" ht="11.25" customHeight="1" x14ac:dyDescent="0.2">
      <c r="A143" s="327"/>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c r="AE143" s="327"/>
      <c r="AF143" s="327"/>
      <c r="AG143" s="327"/>
      <c r="AH143" s="327"/>
    </row>
    <row r="144" spans="1:34" ht="11.25" customHeight="1" x14ac:dyDescent="0.2">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c r="AE144" s="327"/>
      <c r="AF144" s="327"/>
      <c r="AG144" s="327"/>
      <c r="AH144" s="327"/>
    </row>
    <row r="145" spans="1:34" ht="11.25" customHeight="1" x14ac:dyDescent="0.2">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c r="AD145" s="327"/>
      <c r="AE145" s="327"/>
      <c r="AF145" s="327"/>
      <c r="AG145" s="327"/>
      <c r="AH145" s="327"/>
    </row>
    <row r="146" spans="1:34" ht="11.25" customHeight="1" x14ac:dyDescent="0.2">
      <c r="A146" s="327"/>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c r="AD146" s="327"/>
      <c r="AE146" s="327"/>
      <c r="AF146" s="327"/>
      <c r="AG146" s="327"/>
      <c r="AH146" s="327"/>
    </row>
    <row r="147" spans="1:34" ht="11.25" customHeight="1" x14ac:dyDescent="0.2">
      <c r="A147" s="327"/>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327"/>
      <c r="AE147" s="327"/>
      <c r="AF147" s="327"/>
      <c r="AG147" s="327"/>
      <c r="AH147" s="327"/>
    </row>
    <row r="148" spans="1:34" ht="11.25" customHeight="1" x14ac:dyDescent="0.2">
      <c r="A148" s="327"/>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c r="AC148" s="327"/>
      <c r="AD148" s="327"/>
      <c r="AE148" s="327"/>
      <c r="AF148" s="327"/>
      <c r="AG148" s="327"/>
      <c r="AH148" s="327"/>
    </row>
    <row r="149" spans="1:34" ht="11.25" customHeight="1" x14ac:dyDescent="0.2">
      <c r="A149" s="327"/>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c r="AE149" s="327"/>
      <c r="AF149" s="327"/>
      <c r="AG149" s="327"/>
      <c r="AH149" s="327"/>
    </row>
    <row r="150" spans="1:34" ht="11.25" customHeight="1" x14ac:dyDescent="0.2">
      <c r="A150" s="327"/>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327"/>
      <c r="AF150" s="327"/>
      <c r="AG150" s="327"/>
      <c r="AH150" s="327"/>
    </row>
    <row r="151" spans="1:34" ht="11.25" customHeight="1" x14ac:dyDescent="0.2">
      <c r="A151" s="327"/>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c r="AD151" s="327"/>
      <c r="AE151" s="327"/>
      <c r="AF151" s="327"/>
      <c r="AG151" s="327"/>
      <c r="AH151" s="327"/>
    </row>
    <row r="152" spans="1:34" ht="11.25" customHeight="1" x14ac:dyDescent="0.2">
      <c r="A152" s="327"/>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c r="AD152" s="327"/>
      <c r="AE152" s="327"/>
      <c r="AF152" s="327"/>
      <c r="AG152" s="327"/>
      <c r="AH152" s="327"/>
    </row>
    <row r="153" spans="1:34" ht="11.25" customHeight="1" x14ac:dyDescent="0.2">
      <c r="A153" s="327"/>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c r="AE153" s="327"/>
      <c r="AF153" s="327"/>
      <c r="AG153" s="327"/>
      <c r="AH153" s="327"/>
    </row>
    <row r="154" spans="1:34" ht="11.25" customHeight="1" x14ac:dyDescent="0.2">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c r="AC154" s="327"/>
      <c r="AD154" s="327"/>
      <c r="AE154" s="327"/>
      <c r="AF154" s="327"/>
      <c r="AG154" s="327"/>
      <c r="AH154" s="327"/>
    </row>
    <row r="155" spans="1:34" ht="11.25" customHeight="1" x14ac:dyDescent="0.2">
      <c r="A155" s="327"/>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c r="AB155" s="327"/>
      <c r="AC155" s="327"/>
      <c r="AD155" s="327"/>
      <c r="AE155" s="327"/>
      <c r="AF155" s="327"/>
      <c r="AG155" s="327"/>
      <c r="AH155" s="327"/>
    </row>
    <row r="156" spans="1:34" ht="11.25" customHeight="1" x14ac:dyDescent="0.2">
      <c r="A156" s="327"/>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7"/>
      <c r="AD156" s="327"/>
      <c r="AE156" s="327"/>
      <c r="AF156" s="327"/>
      <c r="AG156" s="327"/>
      <c r="AH156" s="327"/>
    </row>
    <row r="157" spans="1:34" ht="11.25" customHeight="1" x14ac:dyDescent="0.2">
      <c r="A157" s="327"/>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c r="AB157" s="327"/>
      <c r="AC157" s="327"/>
      <c r="AD157" s="327"/>
      <c r="AE157" s="327"/>
      <c r="AF157" s="327"/>
      <c r="AG157" s="327"/>
      <c r="AH157" s="327"/>
    </row>
    <row r="158" spans="1:34" ht="11.25" customHeight="1" x14ac:dyDescent="0.2">
      <c r="A158" s="327"/>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c r="AD158" s="327"/>
      <c r="AE158" s="327"/>
      <c r="AF158" s="327"/>
      <c r="AG158" s="327"/>
      <c r="AH158" s="327"/>
    </row>
    <row r="159" spans="1:34" ht="11.25" customHeight="1" x14ac:dyDescent="0.2">
      <c r="A159" s="327"/>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c r="AC159" s="327"/>
      <c r="AD159" s="327"/>
      <c r="AE159" s="327"/>
      <c r="AF159" s="327"/>
      <c r="AG159" s="327"/>
      <c r="AH159" s="327"/>
    </row>
    <row r="160" spans="1:34" ht="11.25" customHeight="1" x14ac:dyDescent="0.2">
      <c r="A160" s="327"/>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c r="AC160" s="327"/>
      <c r="AD160" s="327"/>
      <c r="AE160" s="327"/>
      <c r="AF160" s="327"/>
      <c r="AG160" s="327"/>
      <c r="AH160" s="327"/>
    </row>
    <row r="161" spans="1:34" ht="11.25" customHeight="1" x14ac:dyDescent="0.2">
      <c r="A161" s="327"/>
      <c r="B161" s="327"/>
      <c r="C161" s="327"/>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c r="AA161" s="327"/>
      <c r="AB161" s="327"/>
      <c r="AC161" s="327"/>
      <c r="AD161" s="327"/>
      <c r="AE161" s="327"/>
      <c r="AF161" s="327"/>
      <c r="AG161" s="327"/>
      <c r="AH161" s="327"/>
    </row>
    <row r="162" spans="1:34" ht="11.25" customHeight="1" x14ac:dyDescent="0.2">
      <c r="A162" s="327"/>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c r="AE162" s="327"/>
      <c r="AF162" s="327"/>
      <c r="AG162" s="327"/>
      <c r="AH162" s="327"/>
    </row>
    <row r="163" spans="1:34" ht="11.25" customHeight="1" x14ac:dyDescent="0.2">
      <c r="A163" s="327"/>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327"/>
      <c r="AE163" s="327"/>
      <c r="AF163" s="327"/>
      <c r="AG163" s="327"/>
      <c r="AH163" s="327"/>
    </row>
    <row r="164" spans="1:34" ht="11.25" customHeight="1" x14ac:dyDescent="0.2">
      <c r="A164" s="327"/>
      <c r="B164" s="327"/>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c r="AA164" s="327"/>
      <c r="AB164" s="327"/>
      <c r="AC164" s="327"/>
      <c r="AD164" s="327"/>
      <c r="AE164" s="327"/>
      <c r="AF164" s="327"/>
      <c r="AG164" s="327"/>
      <c r="AH164" s="327"/>
    </row>
    <row r="165" spans="1:34" ht="11.25" customHeight="1" x14ac:dyDescent="0.2">
      <c r="A165" s="327"/>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327"/>
      <c r="AE165" s="327"/>
      <c r="AF165" s="327"/>
      <c r="AG165" s="327"/>
      <c r="AH165" s="327"/>
    </row>
    <row r="166" spans="1:34" ht="11.25" customHeight="1" x14ac:dyDescent="0.2">
      <c r="A166" s="327"/>
      <c r="B166" s="327"/>
      <c r="C166" s="327"/>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c r="AA166" s="327"/>
      <c r="AB166" s="327"/>
      <c r="AC166" s="327"/>
      <c r="AD166" s="327"/>
      <c r="AE166" s="327"/>
      <c r="AF166" s="327"/>
      <c r="AG166" s="327"/>
      <c r="AH166" s="327"/>
    </row>
    <row r="167" spans="1:34" ht="11.25" customHeight="1" x14ac:dyDescent="0.2">
      <c r="A167" s="327"/>
      <c r="B167" s="327"/>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c r="AA167" s="327"/>
      <c r="AB167" s="327"/>
      <c r="AC167" s="327"/>
      <c r="AD167" s="327"/>
      <c r="AE167" s="327"/>
      <c r="AF167" s="327"/>
      <c r="AG167" s="327"/>
      <c r="AH167" s="327"/>
    </row>
    <row r="168" spans="1:34" ht="11.25" customHeight="1" x14ac:dyDescent="0.2">
      <c r="A168" s="327"/>
      <c r="B168" s="327"/>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c r="AB168" s="327"/>
      <c r="AC168" s="327"/>
      <c r="AD168" s="327"/>
      <c r="AE168" s="327"/>
      <c r="AF168" s="327"/>
      <c r="AG168" s="327"/>
      <c r="AH168" s="327"/>
    </row>
    <row r="169" spans="1:34" ht="11.25" customHeight="1" x14ac:dyDescent="0.2">
      <c r="A169" s="327"/>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c r="AA169" s="327"/>
      <c r="AB169" s="327"/>
      <c r="AC169" s="327"/>
      <c r="AD169" s="327"/>
      <c r="AE169" s="327"/>
      <c r="AF169" s="327"/>
      <c r="AG169" s="327"/>
      <c r="AH169" s="327"/>
    </row>
    <row r="170" spans="1:34" ht="11.25" customHeight="1" x14ac:dyDescent="0.2">
      <c r="A170" s="327"/>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c r="AB170" s="327"/>
      <c r="AC170" s="327"/>
      <c r="AD170" s="327"/>
      <c r="AE170" s="327"/>
      <c r="AF170" s="327"/>
      <c r="AG170" s="327"/>
      <c r="AH170" s="327"/>
    </row>
    <row r="171" spans="1:34" ht="11.25" customHeight="1" x14ac:dyDescent="0.2">
      <c r="A171" s="327"/>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7"/>
      <c r="AD171" s="327"/>
      <c r="AE171" s="327"/>
      <c r="AF171" s="327"/>
      <c r="AG171" s="327"/>
      <c r="AH171" s="327"/>
    </row>
    <row r="172" spans="1:34" ht="11.25" customHeight="1" x14ac:dyDescent="0.2">
      <c r="A172" s="327"/>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c r="AC172" s="327"/>
      <c r="AD172" s="327"/>
      <c r="AE172" s="327"/>
      <c r="AF172" s="327"/>
      <c r="AG172" s="327"/>
      <c r="AH172" s="327"/>
    </row>
    <row r="173" spans="1:34" ht="11.25" customHeight="1" x14ac:dyDescent="0.2">
      <c r="A173" s="327"/>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7"/>
      <c r="AD173" s="327"/>
      <c r="AE173" s="327"/>
      <c r="AF173" s="327"/>
      <c r="AG173" s="327"/>
      <c r="AH173" s="327"/>
    </row>
    <row r="174" spans="1:34" ht="11.25" customHeight="1" x14ac:dyDescent="0.2">
      <c r="A174" s="327"/>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c r="AC174" s="327"/>
      <c r="AD174" s="327"/>
      <c r="AE174" s="327"/>
      <c r="AF174" s="327"/>
      <c r="AG174" s="327"/>
      <c r="AH174" s="327"/>
    </row>
    <row r="175" spans="1:34" ht="11.25" customHeight="1" x14ac:dyDescent="0.2">
      <c r="A175" s="327"/>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c r="AC175" s="327"/>
      <c r="AD175" s="327"/>
      <c r="AE175" s="327"/>
      <c r="AF175" s="327"/>
      <c r="AG175" s="327"/>
      <c r="AH175" s="327"/>
    </row>
    <row r="176" spans="1:34" ht="11.25" customHeight="1" x14ac:dyDescent="0.2">
      <c r="A176" s="327"/>
      <c r="B176" s="327"/>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c r="AA176" s="327"/>
      <c r="AB176" s="327"/>
      <c r="AC176" s="327"/>
      <c r="AD176" s="327"/>
      <c r="AE176" s="327"/>
      <c r="AF176" s="327"/>
      <c r="AG176" s="327"/>
      <c r="AH176" s="327"/>
    </row>
    <row r="177" spans="1:34" ht="11.25" customHeight="1" x14ac:dyDescent="0.2">
      <c r="A177" s="327"/>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c r="AE177" s="327"/>
      <c r="AF177" s="327"/>
      <c r="AG177" s="327"/>
      <c r="AH177" s="327"/>
    </row>
    <row r="178" spans="1:34" ht="11.25" customHeight="1" x14ac:dyDescent="0.2">
      <c r="A178" s="327"/>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c r="AA178" s="327"/>
      <c r="AB178" s="327"/>
      <c r="AC178" s="327"/>
      <c r="AD178" s="327"/>
      <c r="AE178" s="327"/>
      <c r="AF178" s="327"/>
      <c r="AG178" s="327"/>
      <c r="AH178" s="327"/>
    </row>
    <row r="179" spans="1:34" ht="11.25" customHeight="1" x14ac:dyDescent="0.2">
      <c r="A179" s="327"/>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c r="AC179" s="327"/>
      <c r="AD179" s="327"/>
      <c r="AE179" s="327"/>
      <c r="AF179" s="327"/>
      <c r="AG179" s="327"/>
      <c r="AH179" s="327"/>
    </row>
    <row r="180" spans="1:34" ht="11.25" customHeight="1" x14ac:dyDescent="0.2">
      <c r="A180" s="327"/>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327"/>
      <c r="AE180" s="327"/>
      <c r="AF180" s="327"/>
      <c r="AG180" s="327"/>
      <c r="AH180" s="327"/>
    </row>
    <row r="181" spans="1:34" ht="11.25" customHeight="1" x14ac:dyDescent="0.2">
      <c r="A181" s="327"/>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c r="AB181" s="327"/>
      <c r="AC181" s="327"/>
      <c r="AD181" s="327"/>
      <c r="AE181" s="327"/>
      <c r="AF181" s="327"/>
      <c r="AG181" s="327"/>
      <c r="AH181" s="327"/>
    </row>
    <row r="182" spans="1:34" ht="11.25" customHeight="1" x14ac:dyDescent="0.2">
      <c r="A182" s="327"/>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c r="AB182" s="327"/>
      <c r="AC182" s="327"/>
      <c r="AD182" s="327"/>
      <c r="AE182" s="327"/>
      <c r="AF182" s="327"/>
      <c r="AG182" s="327"/>
      <c r="AH182" s="327"/>
    </row>
    <row r="183" spans="1:34" ht="11.25" customHeight="1" x14ac:dyDescent="0.2">
      <c r="A183" s="327"/>
      <c r="B183" s="327"/>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c r="AA183" s="327"/>
      <c r="AB183" s="327"/>
      <c r="AC183" s="327"/>
      <c r="AD183" s="327"/>
      <c r="AE183" s="327"/>
      <c r="AF183" s="327"/>
      <c r="AG183" s="327"/>
      <c r="AH183" s="327"/>
    </row>
    <row r="184" spans="1:34" ht="11.25" customHeight="1" x14ac:dyDescent="0.2">
      <c r="A184" s="327"/>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c r="AC184" s="327"/>
      <c r="AD184" s="327"/>
      <c r="AE184" s="327"/>
      <c r="AF184" s="327"/>
      <c r="AG184" s="327"/>
      <c r="AH184" s="327"/>
    </row>
    <row r="185" spans="1:34" ht="11.25" customHeight="1" x14ac:dyDescent="0.2">
      <c r="A185" s="327"/>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c r="AB185" s="327"/>
      <c r="AC185" s="327"/>
      <c r="AD185" s="327"/>
      <c r="AE185" s="327"/>
      <c r="AF185" s="327"/>
      <c r="AG185" s="327"/>
      <c r="AH185" s="327"/>
    </row>
    <row r="186" spans="1:34" ht="11.25" customHeight="1" x14ac:dyDescent="0.2">
      <c r="A186" s="327"/>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c r="AE186" s="327"/>
      <c r="AF186" s="327"/>
      <c r="AG186" s="327"/>
      <c r="AH186" s="327"/>
    </row>
    <row r="187" spans="1:34" ht="11.25" customHeight="1" x14ac:dyDescent="0.2">
      <c r="A187" s="327"/>
      <c r="B187" s="327"/>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c r="AA187" s="327"/>
      <c r="AB187" s="327"/>
      <c r="AC187" s="327"/>
      <c r="AD187" s="327"/>
      <c r="AE187" s="327"/>
      <c r="AF187" s="327"/>
      <c r="AG187" s="327"/>
      <c r="AH187" s="327"/>
    </row>
    <row r="188" spans="1:34" ht="11.25" customHeight="1" x14ac:dyDescent="0.2">
      <c r="A188" s="327"/>
      <c r="B188" s="327"/>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c r="AE188" s="327"/>
      <c r="AF188" s="327"/>
      <c r="AG188" s="327"/>
      <c r="AH188" s="327"/>
    </row>
    <row r="189" spans="1:34" ht="11.25" customHeight="1" x14ac:dyDescent="0.2">
      <c r="A189" s="327"/>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c r="AB189" s="327"/>
      <c r="AC189" s="327"/>
      <c r="AD189" s="327"/>
      <c r="AE189" s="327"/>
      <c r="AF189" s="327"/>
      <c r="AG189" s="327"/>
      <c r="AH189" s="327"/>
    </row>
    <row r="190" spans="1:34" ht="11.25" customHeight="1" x14ac:dyDescent="0.2">
      <c r="A190" s="327"/>
      <c r="B190" s="327"/>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c r="AA190" s="327"/>
      <c r="AB190" s="327"/>
      <c r="AC190" s="327"/>
      <c r="AD190" s="327"/>
      <c r="AE190" s="327"/>
      <c r="AF190" s="327"/>
      <c r="AG190" s="327"/>
      <c r="AH190" s="327"/>
    </row>
    <row r="191" spans="1:34" ht="11.25" customHeight="1" x14ac:dyDescent="0.2">
      <c r="A191" s="327"/>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c r="AB191" s="327"/>
      <c r="AC191" s="327"/>
      <c r="AD191" s="327"/>
      <c r="AE191" s="327"/>
      <c r="AF191" s="327"/>
      <c r="AG191" s="327"/>
      <c r="AH191" s="327"/>
    </row>
    <row r="192" spans="1:34" ht="11.25" customHeight="1" x14ac:dyDescent="0.2">
      <c r="A192" s="327"/>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c r="AE192" s="327"/>
      <c r="AF192" s="327"/>
      <c r="AG192" s="327"/>
      <c r="AH192" s="327"/>
    </row>
    <row r="193" spans="1:34" ht="11.25" customHeight="1" x14ac:dyDescent="0.2">
      <c r="A193" s="327"/>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c r="AB193" s="327"/>
      <c r="AC193" s="327"/>
      <c r="AD193" s="327"/>
      <c r="AE193" s="327"/>
      <c r="AF193" s="327"/>
      <c r="AG193" s="327"/>
      <c r="AH193" s="327"/>
    </row>
    <row r="194" spans="1:34" ht="11.25" customHeight="1" x14ac:dyDescent="0.2">
      <c r="A194" s="327"/>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c r="AA194" s="327"/>
      <c r="AB194" s="327"/>
      <c r="AC194" s="327"/>
      <c r="AD194" s="327"/>
      <c r="AE194" s="327"/>
      <c r="AF194" s="327"/>
      <c r="AG194" s="327"/>
      <c r="AH194" s="327"/>
    </row>
    <row r="195" spans="1:34" ht="11.25" customHeight="1" x14ac:dyDescent="0.2">
      <c r="A195" s="327"/>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c r="AB195" s="327"/>
      <c r="AC195" s="327"/>
      <c r="AD195" s="327"/>
      <c r="AE195" s="327"/>
      <c r="AF195" s="327"/>
      <c r="AG195" s="327"/>
      <c r="AH195" s="327"/>
    </row>
    <row r="196" spans="1:34" ht="11.25" customHeight="1" x14ac:dyDescent="0.2">
      <c r="A196" s="327"/>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327"/>
      <c r="AE196" s="327"/>
      <c r="AF196" s="327"/>
      <c r="AG196" s="327"/>
      <c r="AH196" s="327"/>
    </row>
    <row r="197" spans="1:34" ht="11.25" customHeight="1" x14ac:dyDescent="0.2">
      <c r="A197" s="327"/>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c r="AE197" s="327"/>
      <c r="AF197" s="327"/>
      <c r="AG197" s="327"/>
      <c r="AH197" s="327"/>
    </row>
    <row r="198" spans="1:34" ht="11.25" customHeight="1" x14ac:dyDescent="0.2">
      <c r="A198" s="327"/>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c r="AE198" s="327"/>
      <c r="AF198" s="327"/>
      <c r="AG198" s="327"/>
      <c r="AH198" s="327"/>
    </row>
    <row r="199" spans="1:34" ht="11.25" customHeight="1" x14ac:dyDescent="0.2">
      <c r="A199" s="327"/>
      <c r="B199" s="327"/>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c r="AA199" s="327"/>
      <c r="AB199" s="327"/>
      <c r="AC199" s="327"/>
      <c r="AD199" s="327"/>
      <c r="AE199" s="327"/>
      <c r="AF199" s="327"/>
      <c r="AG199" s="327"/>
      <c r="AH199" s="327"/>
    </row>
    <row r="200" spans="1:34" ht="11.25" customHeight="1" x14ac:dyDescent="0.2">
      <c r="A200" s="327"/>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327"/>
      <c r="AE200" s="327"/>
      <c r="AF200" s="327"/>
      <c r="AG200" s="327"/>
      <c r="AH200" s="327"/>
    </row>
    <row r="201" spans="1:34" ht="11.25" customHeight="1" x14ac:dyDescent="0.2">
      <c r="A201" s="327"/>
      <c r="B201" s="327"/>
      <c r="C201" s="327"/>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c r="AA201" s="327"/>
      <c r="AB201" s="327"/>
      <c r="AC201" s="327"/>
      <c r="AD201" s="327"/>
      <c r="AE201" s="327"/>
      <c r="AF201" s="327"/>
      <c r="AG201" s="327"/>
      <c r="AH201" s="327"/>
    </row>
    <row r="202" spans="1:34" ht="11.25" customHeight="1" x14ac:dyDescent="0.2">
      <c r="A202" s="327"/>
      <c r="B202" s="327"/>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c r="AA202" s="327"/>
      <c r="AB202" s="327"/>
      <c r="AC202" s="327"/>
      <c r="AD202" s="327"/>
      <c r="AE202" s="327"/>
      <c r="AF202" s="327"/>
      <c r="AG202" s="327"/>
      <c r="AH202" s="327"/>
    </row>
    <row r="203" spans="1:34" ht="11.25" customHeight="1" x14ac:dyDescent="0.2">
      <c r="A203" s="327"/>
      <c r="B203" s="327"/>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c r="AA203" s="327"/>
      <c r="AB203" s="327"/>
      <c r="AC203" s="327"/>
      <c r="AD203" s="327"/>
      <c r="AE203" s="327"/>
      <c r="AF203" s="327"/>
      <c r="AG203" s="327"/>
      <c r="AH203" s="327"/>
    </row>
    <row r="204" spans="1:34" ht="11.25" customHeight="1" x14ac:dyDescent="0.2">
      <c r="A204" s="327"/>
      <c r="B204" s="327"/>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c r="AB204" s="327"/>
      <c r="AC204" s="327"/>
      <c r="AD204" s="327"/>
      <c r="AE204" s="327"/>
      <c r="AF204" s="327"/>
      <c r="AG204" s="327"/>
      <c r="AH204" s="327"/>
    </row>
    <row r="205" spans="1:34" ht="11.25" customHeight="1" x14ac:dyDescent="0.2">
      <c r="A205" s="327"/>
      <c r="B205" s="327"/>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c r="AA205" s="327"/>
      <c r="AB205" s="327"/>
      <c r="AC205" s="327"/>
      <c r="AD205" s="327"/>
      <c r="AE205" s="327"/>
      <c r="AF205" s="327"/>
      <c r="AG205" s="327"/>
      <c r="AH205" s="327"/>
    </row>
    <row r="206" spans="1:34" ht="11.25" customHeight="1" x14ac:dyDescent="0.2">
      <c r="A206" s="327"/>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7"/>
      <c r="AD206" s="327"/>
      <c r="AE206" s="327"/>
      <c r="AF206" s="327"/>
      <c r="AG206" s="327"/>
      <c r="AH206" s="327"/>
    </row>
    <row r="207" spans="1:34" ht="11.25" customHeight="1" x14ac:dyDescent="0.2">
      <c r="A207" s="327"/>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c r="AC207" s="327"/>
      <c r="AD207" s="327"/>
      <c r="AE207" s="327"/>
      <c r="AF207" s="327"/>
      <c r="AG207" s="327"/>
      <c r="AH207" s="327"/>
    </row>
    <row r="208" spans="1:34" ht="11.25" customHeight="1" x14ac:dyDescent="0.2">
      <c r="A208" s="327"/>
      <c r="B208" s="327"/>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c r="AA208" s="327"/>
      <c r="AB208" s="327"/>
      <c r="AC208" s="327"/>
      <c r="AD208" s="327"/>
      <c r="AE208" s="327"/>
      <c r="AF208" s="327"/>
      <c r="AG208" s="327"/>
      <c r="AH208" s="327"/>
    </row>
    <row r="209" spans="1:34" ht="11.25" customHeight="1" x14ac:dyDescent="0.2">
      <c r="A209" s="327"/>
      <c r="B209" s="327"/>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c r="AA209" s="327"/>
      <c r="AB209" s="327"/>
      <c r="AC209" s="327"/>
      <c r="AD209" s="327"/>
      <c r="AE209" s="327"/>
      <c r="AF209" s="327"/>
      <c r="AG209" s="327"/>
      <c r="AH209" s="327"/>
    </row>
    <row r="210" spans="1:34" ht="11.25" customHeight="1" x14ac:dyDescent="0.2">
      <c r="A210" s="327"/>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c r="AA210" s="327"/>
      <c r="AB210" s="327"/>
      <c r="AC210" s="327"/>
      <c r="AD210" s="327"/>
      <c r="AE210" s="327"/>
      <c r="AF210" s="327"/>
      <c r="AG210" s="327"/>
      <c r="AH210" s="327"/>
    </row>
    <row r="211" spans="1:34" ht="11.25" customHeight="1" x14ac:dyDescent="0.2">
      <c r="A211" s="327"/>
      <c r="B211" s="327"/>
      <c r="C211" s="327"/>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c r="AA211" s="327"/>
      <c r="AB211" s="327"/>
      <c r="AC211" s="327"/>
      <c r="AD211" s="327"/>
      <c r="AE211" s="327"/>
      <c r="AF211" s="327"/>
      <c r="AG211" s="327"/>
      <c r="AH211" s="327"/>
    </row>
    <row r="212" spans="1:34" ht="11.25" customHeight="1" x14ac:dyDescent="0.2">
      <c r="A212" s="327"/>
      <c r="B212" s="327"/>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c r="AA212" s="327"/>
      <c r="AB212" s="327"/>
      <c r="AC212" s="327"/>
      <c r="AD212" s="327"/>
      <c r="AE212" s="327"/>
      <c r="AF212" s="327"/>
      <c r="AG212" s="327"/>
      <c r="AH212" s="327"/>
    </row>
    <row r="213" spans="1:34" ht="11.25" customHeight="1" x14ac:dyDescent="0.2">
      <c r="A213" s="327"/>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327"/>
      <c r="AE213" s="327"/>
      <c r="AF213" s="327"/>
      <c r="AG213" s="327"/>
      <c r="AH213" s="327"/>
    </row>
    <row r="214" spans="1:34" ht="11.25" customHeight="1" x14ac:dyDescent="0.2">
      <c r="A214" s="327"/>
      <c r="B214" s="327"/>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c r="AA214" s="327"/>
      <c r="AB214" s="327"/>
      <c r="AC214" s="327"/>
      <c r="AD214" s="327"/>
      <c r="AE214" s="327"/>
      <c r="AF214" s="327"/>
      <c r="AG214" s="327"/>
      <c r="AH214" s="327"/>
    </row>
    <row r="215" spans="1:34" ht="11.25" customHeight="1" x14ac:dyDescent="0.2">
      <c r="A215" s="327"/>
      <c r="B215" s="327"/>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c r="AA215" s="327"/>
      <c r="AB215" s="327"/>
      <c r="AC215" s="327"/>
      <c r="AD215" s="327"/>
      <c r="AE215" s="327"/>
      <c r="AF215" s="327"/>
      <c r="AG215" s="327"/>
      <c r="AH215" s="327"/>
    </row>
    <row r="216" spans="1:34" ht="11.25" customHeight="1" x14ac:dyDescent="0.2">
      <c r="A216" s="327"/>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7"/>
      <c r="AD216" s="327"/>
      <c r="AE216" s="327"/>
      <c r="AF216" s="327"/>
      <c r="AG216" s="327"/>
      <c r="AH216" s="327"/>
    </row>
    <row r="217" spans="1:34" ht="11.25" customHeight="1" x14ac:dyDescent="0.2">
      <c r="A217" s="327"/>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327"/>
      <c r="AB217" s="327"/>
      <c r="AC217" s="327"/>
      <c r="AD217" s="327"/>
      <c r="AE217" s="327"/>
      <c r="AF217" s="327"/>
      <c r="AG217" s="327"/>
      <c r="AH217" s="327"/>
    </row>
    <row r="218" spans="1:34" ht="11.25" customHeight="1" x14ac:dyDescent="0.2">
      <c r="A218" s="327"/>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c r="AA218" s="327"/>
      <c r="AB218" s="327"/>
      <c r="AC218" s="327"/>
      <c r="AD218" s="327"/>
      <c r="AE218" s="327"/>
      <c r="AF218" s="327"/>
      <c r="AG218" s="327"/>
      <c r="AH218" s="327"/>
    </row>
    <row r="219" spans="1:34" ht="11.25" customHeight="1" x14ac:dyDescent="0.2">
      <c r="A219" s="327"/>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327"/>
      <c r="AE219" s="327"/>
      <c r="AF219" s="327"/>
      <c r="AG219" s="327"/>
      <c r="AH219" s="327"/>
    </row>
    <row r="220" spans="1:34" ht="11.25" customHeight="1" x14ac:dyDescent="0.2">
      <c r="A220" s="327"/>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c r="AB220" s="327"/>
      <c r="AC220" s="327"/>
      <c r="AD220" s="327"/>
      <c r="AE220" s="327"/>
      <c r="AF220" s="327"/>
      <c r="AG220" s="327"/>
      <c r="AH220" s="327"/>
    </row>
    <row r="221" spans="1:34" ht="11.25" customHeight="1" x14ac:dyDescent="0.2">
      <c r="A221" s="327"/>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c r="AA221" s="327"/>
      <c r="AB221" s="327"/>
      <c r="AC221" s="327"/>
      <c r="AD221" s="327"/>
      <c r="AE221" s="327"/>
      <c r="AF221" s="327"/>
      <c r="AG221" s="327"/>
      <c r="AH221" s="327"/>
    </row>
    <row r="222" spans="1:34" ht="11.25" customHeight="1" x14ac:dyDescent="0.2">
      <c r="A222" s="327"/>
      <c r="B222" s="327"/>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c r="AA222" s="327"/>
      <c r="AB222" s="327"/>
      <c r="AC222" s="327"/>
      <c r="AD222" s="327"/>
      <c r="AE222" s="327"/>
      <c r="AF222" s="327"/>
      <c r="AG222" s="327"/>
      <c r="AH222" s="327"/>
    </row>
    <row r="223" spans="1:34" ht="11.25" customHeight="1" x14ac:dyDescent="0.2">
      <c r="A223" s="327"/>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c r="AA223" s="327"/>
      <c r="AB223" s="327"/>
      <c r="AC223" s="327"/>
      <c r="AD223" s="327"/>
      <c r="AE223" s="327"/>
      <c r="AF223" s="327"/>
      <c r="AG223" s="327"/>
      <c r="AH223" s="327"/>
    </row>
    <row r="224" spans="1:34" ht="11.25" customHeight="1" x14ac:dyDescent="0.2">
      <c r="A224" s="327"/>
      <c r="B224" s="327"/>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c r="AA224" s="327"/>
      <c r="AB224" s="327"/>
      <c r="AC224" s="327"/>
      <c r="AD224" s="327"/>
      <c r="AE224" s="327"/>
      <c r="AF224" s="327"/>
      <c r="AG224" s="327"/>
      <c r="AH224" s="327"/>
    </row>
    <row r="225" spans="1:34" ht="11.25" customHeight="1" x14ac:dyDescent="0.2">
      <c r="A225" s="327"/>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c r="AE225" s="327"/>
      <c r="AF225" s="327"/>
      <c r="AG225" s="327"/>
      <c r="AH225" s="327"/>
    </row>
    <row r="226" spans="1:34" ht="11.25" customHeight="1" x14ac:dyDescent="0.2">
      <c r="A226" s="327"/>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c r="AA226" s="327"/>
      <c r="AB226" s="327"/>
      <c r="AC226" s="327"/>
      <c r="AD226" s="327"/>
      <c r="AE226" s="327"/>
      <c r="AF226" s="327"/>
      <c r="AG226" s="327"/>
      <c r="AH226" s="327"/>
    </row>
    <row r="227" spans="1:34" ht="11.25" customHeight="1" x14ac:dyDescent="0.2">
      <c r="A227" s="327"/>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c r="AA227" s="327"/>
      <c r="AB227" s="327"/>
      <c r="AC227" s="327"/>
      <c r="AD227" s="327"/>
      <c r="AE227" s="327"/>
      <c r="AF227" s="327"/>
      <c r="AG227" s="327"/>
      <c r="AH227" s="327"/>
    </row>
    <row r="228" spans="1:34" ht="11.25" customHeight="1" x14ac:dyDescent="0.2">
      <c r="A228" s="327"/>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7"/>
      <c r="AD228" s="327"/>
      <c r="AE228" s="327"/>
      <c r="AF228" s="327"/>
      <c r="AG228" s="327"/>
      <c r="AH228" s="327"/>
    </row>
    <row r="229" spans="1:34" ht="11.25" customHeight="1" x14ac:dyDescent="0.2">
      <c r="A229" s="327"/>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c r="AA229" s="327"/>
      <c r="AB229" s="327"/>
      <c r="AC229" s="327"/>
      <c r="AD229" s="327"/>
      <c r="AE229" s="327"/>
      <c r="AF229" s="327"/>
      <c r="AG229" s="327"/>
      <c r="AH229" s="327"/>
    </row>
    <row r="230" spans="1:34" ht="11.25" customHeight="1" x14ac:dyDescent="0.2">
      <c r="A230" s="327"/>
      <c r="B230" s="327"/>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c r="AC230" s="327"/>
      <c r="AD230" s="327"/>
      <c r="AE230" s="327"/>
      <c r="AF230" s="327"/>
      <c r="AG230" s="327"/>
      <c r="AH230" s="327"/>
    </row>
    <row r="231" spans="1:34" ht="11.25" customHeight="1" x14ac:dyDescent="0.2">
      <c r="A231" s="327"/>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c r="AB231" s="327"/>
      <c r="AC231" s="327"/>
      <c r="AD231" s="327"/>
      <c r="AE231" s="327"/>
      <c r="AF231" s="327"/>
      <c r="AG231" s="327"/>
      <c r="AH231" s="327"/>
    </row>
    <row r="232" spans="1:34" ht="11.25" customHeight="1" x14ac:dyDescent="0.2">
      <c r="A232" s="327"/>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c r="AE232" s="327"/>
      <c r="AF232" s="327"/>
      <c r="AG232" s="327"/>
      <c r="AH232" s="327"/>
    </row>
    <row r="233" spans="1:34" ht="11.25" customHeight="1" x14ac:dyDescent="0.2">
      <c r="A233" s="327"/>
      <c r="B233" s="327"/>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c r="AA233" s="327"/>
      <c r="AB233" s="327"/>
      <c r="AC233" s="327"/>
      <c r="AD233" s="327"/>
      <c r="AE233" s="327"/>
      <c r="AF233" s="327"/>
      <c r="AG233" s="327"/>
      <c r="AH233" s="327"/>
    </row>
    <row r="234" spans="1:34" ht="11.25" customHeight="1" x14ac:dyDescent="0.2">
      <c r="A234" s="327"/>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c r="AA234" s="327"/>
      <c r="AB234" s="327"/>
      <c r="AC234" s="327"/>
      <c r="AD234" s="327"/>
      <c r="AE234" s="327"/>
      <c r="AF234" s="327"/>
      <c r="AG234" s="327"/>
      <c r="AH234" s="327"/>
    </row>
    <row r="235" spans="1:34" ht="11.25" customHeight="1" x14ac:dyDescent="0.2">
      <c r="A235" s="327"/>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327"/>
      <c r="AE235" s="327"/>
      <c r="AF235" s="327"/>
      <c r="AG235" s="327"/>
      <c r="AH235" s="327"/>
    </row>
    <row r="236" spans="1:34" ht="11.25" customHeight="1" x14ac:dyDescent="0.2">
      <c r="A236" s="327"/>
      <c r="B236" s="327"/>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c r="AA236" s="327"/>
      <c r="AB236" s="327"/>
      <c r="AC236" s="327"/>
      <c r="AD236" s="327"/>
      <c r="AE236" s="327"/>
      <c r="AF236" s="327"/>
      <c r="AG236" s="327"/>
      <c r="AH236" s="327"/>
    </row>
    <row r="237" spans="1:34" ht="11.25" customHeight="1" x14ac:dyDescent="0.2">
      <c r="A237" s="327"/>
      <c r="B237" s="327"/>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c r="AA237" s="327"/>
      <c r="AB237" s="327"/>
      <c r="AC237" s="327"/>
      <c r="AD237" s="327"/>
      <c r="AE237" s="327"/>
      <c r="AF237" s="327"/>
      <c r="AG237" s="327"/>
      <c r="AH237" s="327"/>
    </row>
    <row r="238" spans="1:34" ht="11.25" customHeight="1" x14ac:dyDescent="0.2">
      <c r="A238" s="327"/>
      <c r="B238" s="327"/>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c r="AA238" s="327"/>
      <c r="AB238" s="327"/>
      <c r="AC238" s="327"/>
      <c r="AD238" s="327"/>
      <c r="AE238" s="327"/>
      <c r="AF238" s="327"/>
      <c r="AG238" s="327"/>
      <c r="AH238" s="327"/>
    </row>
    <row r="239" spans="1:34" ht="11.25" customHeight="1" x14ac:dyDescent="0.2">
      <c r="A239" s="327"/>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c r="AB239" s="327"/>
      <c r="AC239" s="327"/>
      <c r="AD239" s="327"/>
      <c r="AE239" s="327"/>
      <c r="AF239" s="327"/>
      <c r="AG239" s="327"/>
      <c r="AH239" s="327"/>
    </row>
    <row r="240" spans="1:34" ht="11.25" customHeight="1" x14ac:dyDescent="0.2">
      <c r="A240" s="327"/>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c r="AA240" s="327"/>
      <c r="AB240" s="327"/>
      <c r="AC240" s="327"/>
      <c r="AD240" s="327"/>
      <c r="AE240" s="327"/>
      <c r="AF240" s="327"/>
      <c r="AG240" s="327"/>
      <c r="AH240" s="327"/>
    </row>
    <row r="241" spans="1:34" ht="11.25" customHeight="1" x14ac:dyDescent="0.2">
      <c r="A241" s="327"/>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c r="AA241" s="327"/>
      <c r="AB241" s="327"/>
      <c r="AC241" s="327"/>
      <c r="AD241" s="327"/>
      <c r="AE241" s="327"/>
      <c r="AF241" s="327"/>
      <c r="AG241" s="327"/>
      <c r="AH241" s="327"/>
    </row>
    <row r="242" spans="1:34" ht="11.25" customHeight="1" x14ac:dyDescent="0.2">
      <c r="A242" s="327"/>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7"/>
      <c r="AD242" s="327"/>
      <c r="AE242" s="327"/>
      <c r="AF242" s="327"/>
      <c r="AG242" s="327"/>
      <c r="AH242" s="327"/>
    </row>
    <row r="243" spans="1:34" ht="11.25" customHeight="1" x14ac:dyDescent="0.2">
      <c r="A243" s="327"/>
      <c r="B243" s="327"/>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c r="AA243" s="327"/>
      <c r="AB243" s="327"/>
      <c r="AC243" s="327"/>
      <c r="AD243" s="327"/>
      <c r="AE243" s="327"/>
      <c r="AF243" s="327"/>
      <c r="AG243" s="327"/>
      <c r="AH243" s="327"/>
    </row>
    <row r="244" spans="1:34" ht="11.25" customHeight="1" x14ac:dyDescent="0.2">
      <c r="A244" s="327"/>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c r="AE244" s="327"/>
      <c r="AF244" s="327"/>
      <c r="AG244" s="327"/>
      <c r="AH244" s="327"/>
    </row>
    <row r="245" spans="1:34" ht="11.25" customHeight="1" x14ac:dyDescent="0.2">
      <c r="A245" s="327"/>
      <c r="B245" s="327"/>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c r="AA245" s="327"/>
      <c r="AB245" s="327"/>
      <c r="AC245" s="327"/>
      <c r="AD245" s="327"/>
      <c r="AE245" s="327"/>
      <c r="AF245" s="327"/>
      <c r="AG245" s="327"/>
      <c r="AH245" s="327"/>
    </row>
    <row r="246" spans="1:34" ht="11.25" customHeight="1" x14ac:dyDescent="0.2">
      <c r="A246" s="327"/>
      <c r="B246" s="327"/>
      <c r="C246" s="327"/>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c r="AA246" s="327"/>
      <c r="AB246" s="327"/>
      <c r="AC246" s="327"/>
      <c r="AD246" s="327"/>
      <c r="AE246" s="327"/>
      <c r="AF246" s="327"/>
      <c r="AG246" s="327"/>
      <c r="AH246" s="327"/>
    </row>
    <row r="247" spans="1:34" ht="11.25" customHeight="1" x14ac:dyDescent="0.2">
      <c r="A247" s="327"/>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327"/>
      <c r="AD247" s="327"/>
      <c r="AE247" s="327"/>
      <c r="AF247" s="327"/>
      <c r="AG247" s="327"/>
      <c r="AH247" s="327"/>
    </row>
    <row r="248" spans="1:34" ht="11.25" customHeight="1" x14ac:dyDescent="0.2">
      <c r="A248" s="327"/>
      <c r="B248" s="327"/>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c r="AA248" s="327"/>
      <c r="AB248" s="327"/>
      <c r="AC248" s="327"/>
      <c r="AD248" s="327"/>
      <c r="AE248" s="327"/>
      <c r="AF248" s="327"/>
      <c r="AG248" s="327"/>
      <c r="AH248" s="327"/>
    </row>
    <row r="249" spans="1:34" ht="11.25" customHeight="1" x14ac:dyDescent="0.2">
      <c r="A249" s="327"/>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7"/>
      <c r="AD249" s="327"/>
      <c r="AE249" s="327"/>
      <c r="AF249" s="327"/>
      <c r="AG249" s="327"/>
      <c r="AH249" s="327"/>
    </row>
    <row r="250" spans="1:34" ht="11.25" customHeight="1" x14ac:dyDescent="0.2">
      <c r="A250" s="327"/>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7"/>
      <c r="AD250" s="327"/>
      <c r="AE250" s="327"/>
      <c r="AF250" s="327"/>
      <c r="AG250" s="327"/>
      <c r="AH250" s="327"/>
    </row>
    <row r="251" spans="1:34" ht="11.25" customHeight="1" x14ac:dyDescent="0.2">
      <c r="A251" s="327"/>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327"/>
      <c r="AD251" s="327"/>
      <c r="AE251" s="327"/>
      <c r="AF251" s="327"/>
      <c r="AG251" s="327"/>
      <c r="AH251" s="327"/>
    </row>
    <row r="252" spans="1:34" ht="11.25" customHeight="1" x14ac:dyDescent="0.2">
      <c r="A252" s="327"/>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7"/>
      <c r="AD252" s="327"/>
      <c r="AE252" s="327"/>
      <c r="AF252" s="327"/>
      <c r="AG252" s="327"/>
      <c r="AH252" s="327"/>
    </row>
    <row r="253" spans="1:34" ht="11.25" customHeight="1" x14ac:dyDescent="0.2">
      <c r="A253" s="327"/>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7"/>
      <c r="AD253" s="327"/>
      <c r="AE253" s="327"/>
      <c r="AF253" s="327"/>
      <c r="AG253" s="327"/>
      <c r="AH253" s="327"/>
    </row>
    <row r="254" spans="1:34" ht="11.25" customHeight="1" x14ac:dyDescent="0.2">
      <c r="A254" s="327"/>
      <c r="B254" s="327"/>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c r="AA254" s="327"/>
      <c r="AB254" s="327"/>
      <c r="AC254" s="327"/>
      <c r="AD254" s="327"/>
      <c r="AE254" s="327"/>
      <c r="AF254" s="327"/>
      <c r="AG254" s="327"/>
      <c r="AH254" s="327"/>
    </row>
    <row r="255" spans="1:34" ht="11.25" customHeight="1" x14ac:dyDescent="0.2">
      <c r="A255" s="327"/>
      <c r="B255" s="327"/>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c r="AA255" s="327"/>
      <c r="AB255" s="327"/>
      <c r="AC255" s="327"/>
      <c r="AD255" s="327"/>
      <c r="AE255" s="327"/>
      <c r="AF255" s="327"/>
      <c r="AG255" s="327"/>
      <c r="AH255" s="327"/>
    </row>
    <row r="256" spans="1:34" ht="11.25" customHeight="1" x14ac:dyDescent="0.2">
      <c r="A256" s="327"/>
      <c r="B256" s="327"/>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c r="AA256" s="327"/>
      <c r="AB256" s="327"/>
      <c r="AC256" s="327"/>
      <c r="AD256" s="327"/>
      <c r="AE256" s="327"/>
      <c r="AF256" s="327"/>
      <c r="AG256" s="327"/>
      <c r="AH256" s="327"/>
    </row>
    <row r="257" spans="1:34" ht="11.25" customHeight="1" x14ac:dyDescent="0.2">
      <c r="A257" s="327"/>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c r="AA257" s="327"/>
      <c r="AB257" s="327"/>
      <c r="AC257" s="327"/>
      <c r="AD257" s="327"/>
      <c r="AE257" s="327"/>
      <c r="AF257" s="327"/>
      <c r="AG257" s="327"/>
      <c r="AH257" s="327"/>
    </row>
    <row r="258" spans="1:34" ht="11.25" customHeight="1" x14ac:dyDescent="0.2">
      <c r="A258" s="327"/>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c r="AA258" s="327"/>
      <c r="AB258" s="327"/>
      <c r="AC258" s="327"/>
      <c r="AD258" s="327"/>
      <c r="AE258" s="327"/>
      <c r="AF258" s="327"/>
      <c r="AG258" s="327"/>
      <c r="AH258" s="327"/>
    </row>
    <row r="259" spans="1:34" ht="11.25" customHeight="1" x14ac:dyDescent="0.2">
      <c r="A259" s="327"/>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327"/>
      <c r="AD259" s="327"/>
      <c r="AE259" s="327"/>
      <c r="AF259" s="327"/>
      <c r="AG259" s="327"/>
      <c r="AH259" s="327"/>
    </row>
    <row r="260" spans="1:34" ht="11.25" customHeight="1" x14ac:dyDescent="0.2">
      <c r="A260" s="327"/>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c r="AA260" s="327"/>
      <c r="AB260" s="327"/>
      <c r="AC260" s="327"/>
      <c r="AD260" s="327"/>
      <c r="AE260" s="327"/>
      <c r="AF260" s="327"/>
      <c r="AG260" s="327"/>
      <c r="AH260" s="327"/>
    </row>
    <row r="261" spans="1:34" ht="11.25" customHeight="1" x14ac:dyDescent="0.2">
      <c r="A261" s="327"/>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c r="AA261" s="327"/>
      <c r="AB261" s="327"/>
      <c r="AC261" s="327"/>
      <c r="AD261" s="327"/>
      <c r="AE261" s="327"/>
      <c r="AF261" s="327"/>
      <c r="AG261" s="327"/>
      <c r="AH261" s="327"/>
    </row>
    <row r="262" spans="1:34" ht="11.25" customHeight="1" x14ac:dyDescent="0.2">
      <c r="A262" s="327"/>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c r="AA262" s="327"/>
      <c r="AB262" s="327"/>
      <c r="AC262" s="327"/>
      <c r="AD262" s="327"/>
      <c r="AE262" s="327"/>
      <c r="AF262" s="327"/>
      <c r="AG262" s="327"/>
      <c r="AH262" s="327"/>
    </row>
    <row r="263" spans="1:34" ht="11.25" customHeight="1" x14ac:dyDescent="0.2">
      <c r="A263" s="327"/>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c r="AA263" s="327"/>
      <c r="AB263" s="327"/>
      <c r="AC263" s="327"/>
      <c r="AD263" s="327"/>
      <c r="AE263" s="327"/>
      <c r="AF263" s="327"/>
      <c r="AG263" s="327"/>
      <c r="AH263" s="327"/>
    </row>
    <row r="264" spans="1:34" ht="11.25" customHeight="1" x14ac:dyDescent="0.2">
      <c r="A264" s="327"/>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327"/>
      <c r="AE264" s="327"/>
      <c r="AF264" s="327"/>
      <c r="AG264" s="327"/>
      <c r="AH264" s="327"/>
    </row>
    <row r="265" spans="1:34" ht="11.25" customHeight="1" x14ac:dyDescent="0.2">
      <c r="A265" s="327"/>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c r="AA265" s="327"/>
      <c r="AB265" s="327"/>
      <c r="AC265" s="327"/>
      <c r="AD265" s="327"/>
      <c r="AE265" s="327"/>
      <c r="AF265" s="327"/>
      <c r="AG265" s="327"/>
      <c r="AH265" s="327"/>
    </row>
    <row r="266" spans="1:34" ht="11.25" customHeight="1" x14ac:dyDescent="0.2">
      <c r="A266" s="327"/>
      <c r="B266" s="327"/>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c r="AA266" s="327"/>
      <c r="AB266" s="327"/>
      <c r="AC266" s="327"/>
      <c r="AD266" s="327"/>
      <c r="AE266" s="327"/>
      <c r="AF266" s="327"/>
      <c r="AG266" s="327"/>
      <c r="AH266" s="327"/>
    </row>
    <row r="267" spans="1:34" ht="11.25" customHeight="1" x14ac:dyDescent="0.2">
      <c r="A267" s="327"/>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327"/>
      <c r="AE267" s="327"/>
      <c r="AF267" s="327"/>
      <c r="AG267" s="327"/>
      <c r="AH267" s="327"/>
    </row>
    <row r="268" spans="1:34" ht="11.25" customHeight="1" x14ac:dyDescent="0.2">
      <c r="A268" s="327"/>
      <c r="B268" s="327"/>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c r="AA268" s="327"/>
      <c r="AB268" s="327"/>
      <c r="AC268" s="327"/>
      <c r="AD268" s="327"/>
      <c r="AE268" s="327"/>
      <c r="AF268" s="327"/>
      <c r="AG268" s="327"/>
      <c r="AH268" s="327"/>
    </row>
    <row r="269" spans="1:34" ht="11.25" customHeight="1" x14ac:dyDescent="0.2">
      <c r="A269" s="327"/>
      <c r="B269" s="327"/>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c r="AA269" s="327"/>
      <c r="AB269" s="327"/>
      <c r="AC269" s="327"/>
      <c r="AD269" s="327"/>
      <c r="AE269" s="327"/>
      <c r="AF269" s="327"/>
      <c r="AG269" s="327"/>
      <c r="AH269" s="327"/>
    </row>
    <row r="270" spans="1:34" ht="11.25" customHeight="1" x14ac:dyDescent="0.2">
      <c r="A270" s="327"/>
      <c r="B270" s="327"/>
      <c r="C270" s="327"/>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c r="AA270" s="327"/>
      <c r="AB270" s="327"/>
      <c r="AC270" s="327"/>
      <c r="AD270" s="327"/>
      <c r="AE270" s="327"/>
      <c r="AF270" s="327"/>
      <c r="AG270" s="327"/>
      <c r="AH270" s="327"/>
    </row>
    <row r="271" spans="1:34" ht="11.25" customHeight="1" x14ac:dyDescent="0.2">
      <c r="A271" s="327"/>
      <c r="B271" s="327"/>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c r="AA271" s="327"/>
      <c r="AB271" s="327"/>
      <c r="AC271" s="327"/>
      <c r="AD271" s="327"/>
      <c r="AE271" s="327"/>
      <c r="AF271" s="327"/>
      <c r="AG271" s="327"/>
      <c r="AH271" s="327"/>
    </row>
    <row r="272" spans="1:34" ht="11.25" customHeight="1" x14ac:dyDescent="0.2">
      <c r="A272" s="327"/>
      <c r="B272" s="327"/>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c r="AC272" s="327"/>
      <c r="AD272" s="327"/>
      <c r="AE272" s="327"/>
      <c r="AF272" s="327"/>
      <c r="AG272" s="327"/>
      <c r="AH272" s="327"/>
    </row>
    <row r="273" spans="1:34" ht="11.25" customHeight="1" x14ac:dyDescent="0.2">
      <c r="A273" s="327"/>
      <c r="B273" s="327"/>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c r="AA273" s="327"/>
      <c r="AB273" s="327"/>
      <c r="AC273" s="327"/>
      <c r="AD273" s="327"/>
      <c r="AE273" s="327"/>
      <c r="AF273" s="327"/>
      <c r="AG273" s="327"/>
      <c r="AH273" s="327"/>
    </row>
    <row r="274" spans="1:34" ht="11.25" customHeight="1" x14ac:dyDescent="0.2">
      <c r="A274" s="327"/>
      <c r="B274" s="327"/>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c r="AA274" s="327"/>
      <c r="AB274" s="327"/>
      <c r="AC274" s="327"/>
      <c r="AD274" s="327"/>
      <c r="AE274" s="327"/>
      <c r="AF274" s="327"/>
      <c r="AG274" s="327"/>
      <c r="AH274" s="327"/>
    </row>
    <row r="275" spans="1:34" ht="11.25" customHeight="1" x14ac:dyDescent="0.2">
      <c r="A275" s="327"/>
      <c r="B275" s="327"/>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c r="AC275" s="327"/>
      <c r="AD275" s="327"/>
      <c r="AE275" s="327"/>
      <c r="AF275" s="327"/>
      <c r="AG275" s="327"/>
      <c r="AH275" s="327"/>
    </row>
    <row r="276" spans="1:34" ht="11.25" customHeight="1" x14ac:dyDescent="0.2">
      <c r="A276" s="327"/>
      <c r="B276" s="327"/>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c r="AA276" s="327"/>
      <c r="AB276" s="327"/>
      <c r="AC276" s="327"/>
      <c r="AD276" s="327"/>
      <c r="AE276" s="327"/>
      <c r="AF276" s="327"/>
      <c r="AG276" s="327"/>
      <c r="AH276" s="327"/>
    </row>
    <row r="277" spans="1:34" ht="11.25" customHeight="1" x14ac:dyDescent="0.2">
      <c r="A277" s="327"/>
      <c r="B277" s="327"/>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c r="AA277" s="327"/>
      <c r="AB277" s="327"/>
      <c r="AC277" s="327"/>
      <c r="AD277" s="327"/>
      <c r="AE277" s="327"/>
      <c r="AF277" s="327"/>
      <c r="AG277" s="327"/>
      <c r="AH277" s="327"/>
    </row>
    <row r="278" spans="1:34" ht="11.25" customHeight="1" x14ac:dyDescent="0.2">
      <c r="A278" s="327"/>
      <c r="B278" s="327"/>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c r="AA278" s="327"/>
      <c r="AB278" s="327"/>
      <c r="AC278" s="327"/>
      <c r="AD278" s="327"/>
      <c r="AE278" s="327"/>
      <c r="AF278" s="327"/>
      <c r="AG278" s="327"/>
      <c r="AH278" s="327"/>
    </row>
    <row r="279" spans="1:34" ht="11.25" customHeight="1" x14ac:dyDescent="0.2">
      <c r="A279" s="327"/>
      <c r="B279" s="327"/>
      <c r="C279" s="327"/>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c r="AA279" s="327"/>
      <c r="AB279" s="327"/>
      <c r="AC279" s="327"/>
      <c r="AD279" s="327"/>
      <c r="AE279" s="327"/>
      <c r="AF279" s="327"/>
      <c r="AG279" s="327"/>
      <c r="AH279" s="327"/>
    </row>
    <row r="280" spans="1:34" ht="11.25" customHeight="1" x14ac:dyDescent="0.2">
      <c r="A280" s="327"/>
      <c r="B280" s="327"/>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c r="AA280" s="327"/>
      <c r="AB280" s="327"/>
      <c r="AC280" s="327"/>
      <c r="AD280" s="327"/>
      <c r="AE280" s="327"/>
      <c r="AF280" s="327"/>
      <c r="AG280" s="327"/>
      <c r="AH280" s="327"/>
    </row>
    <row r="281" spans="1:34" ht="11.25" customHeight="1" x14ac:dyDescent="0.2">
      <c r="A281" s="327"/>
      <c r="B281" s="327"/>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c r="AA281" s="327"/>
      <c r="AB281" s="327"/>
      <c r="AC281" s="327"/>
      <c r="AD281" s="327"/>
      <c r="AE281" s="327"/>
      <c r="AF281" s="327"/>
      <c r="AG281" s="327"/>
      <c r="AH281" s="327"/>
    </row>
    <row r="282" spans="1:34" ht="11.25" customHeight="1" x14ac:dyDescent="0.2">
      <c r="A282" s="327"/>
      <c r="B282" s="327"/>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c r="AA282" s="327"/>
      <c r="AB282" s="327"/>
      <c r="AC282" s="327"/>
      <c r="AD282" s="327"/>
      <c r="AE282" s="327"/>
      <c r="AF282" s="327"/>
      <c r="AG282" s="327"/>
      <c r="AH282" s="327"/>
    </row>
    <row r="283" spans="1:34" ht="11.25" customHeight="1" x14ac:dyDescent="0.2">
      <c r="A283" s="327"/>
      <c r="B283" s="327"/>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c r="AA283" s="327"/>
      <c r="AB283" s="327"/>
      <c r="AC283" s="327"/>
      <c r="AD283" s="327"/>
      <c r="AE283" s="327"/>
      <c r="AF283" s="327"/>
      <c r="AG283" s="327"/>
      <c r="AH283" s="327"/>
    </row>
    <row r="284" spans="1:34" ht="11.25" customHeight="1" x14ac:dyDescent="0.2">
      <c r="A284" s="327"/>
      <c r="B284" s="327"/>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c r="AA284" s="327"/>
      <c r="AB284" s="327"/>
      <c r="AC284" s="327"/>
      <c r="AD284" s="327"/>
      <c r="AE284" s="327"/>
      <c r="AF284" s="327"/>
      <c r="AG284" s="327"/>
      <c r="AH284" s="327"/>
    </row>
    <row r="285" spans="1:34" ht="11.25" customHeight="1" x14ac:dyDescent="0.2">
      <c r="A285" s="327"/>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c r="AA285" s="327"/>
      <c r="AB285" s="327"/>
      <c r="AC285" s="327"/>
      <c r="AD285" s="327"/>
      <c r="AE285" s="327"/>
      <c r="AF285" s="327"/>
      <c r="AG285" s="327"/>
      <c r="AH285" s="327"/>
    </row>
    <row r="286" spans="1:34" ht="11.25" customHeight="1" x14ac:dyDescent="0.2">
      <c r="A286" s="327"/>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c r="AA286" s="327"/>
      <c r="AB286" s="327"/>
      <c r="AC286" s="327"/>
      <c r="AD286" s="327"/>
      <c r="AE286" s="327"/>
      <c r="AF286" s="327"/>
      <c r="AG286" s="327"/>
      <c r="AH286" s="327"/>
    </row>
    <row r="287" spans="1:34" ht="11.25" customHeight="1" x14ac:dyDescent="0.2">
      <c r="A287" s="327"/>
      <c r="B287" s="327"/>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c r="AA287" s="327"/>
      <c r="AB287" s="327"/>
      <c r="AC287" s="327"/>
      <c r="AD287" s="327"/>
      <c r="AE287" s="327"/>
      <c r="AF287" s="327"/>
      <c r="AG287" s="327"/>
      <c r="AH287" s="327"/>
    </row>
    <row r="288" spans="1:34" ht="11.25" customHeight="1" x14ac:dyDescent="0.2">
      <c r="A288" s="327"/>
      <c r="B288" s="327"/>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c r="AA288" s="327"/>
      <c r="AB288" s="327"/>
      <c r="AC288" s="327"/>
      <c r="AD288" s="327"/>
      <c r="AE288" s="327"/>
      <c r="AF288" s="327"/>
      <c r="AG288" s="327"/>
      <c r="AH288" s="327"/>
    </row>
    <row r="289" spans="1:34" ht="11.25" customHeight="1" x14ac:dyDescent="0.2">
      <c r="A289" s="327"/>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c r="AB289" s="327"/>
      <c r="AC289" s="327"/>
      <c r="AD289" s="327"/>
      <c r="AE289" s="327"/>
      <c r="AF289" s="327"/>
      <c r="AG289" s="327"/>
      <c r="AH289" s="327"/>
    </row>
    <row r="290" spans="1:34" ht="11.25" customHeight="1" x14ac:dyDescent="0.2">
      <c r="A290" s="327"/>
      <c r="B290" s="327"/>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c r="AA290" s="327"/>
      <c r="AB290" s="327"/>
      <c r="AC290" s="327"/>
      <c r="AD290" s="327"/>
      <c r="AE290" s="327"/>
      <c r="AF290" s="327"/>
      <c r="AG290" s="327"/>
      <c r="AH290" s="327"/>
    </row>
    <row r="291" spans="1:34" ht="11.25" customHeight="1" x14ac:dyDescent="0.2">
      <c r="A291" s="327"/>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c r="AA291" s="327"/>
      <c r="AB291" s="327"/>
      <c r="AC291" s="327"/>
      <c r="AD291" s="327"/>
      <c r="AE291" s="327"/>
      <c r="AF291" s="327"/>
      <c r="AG291" s="327"/>
      <c r="AH291" s="327"/>
    </row>
    <row r="292" spans="1:34" ht="11.25" customHeight="1" x14ac:dyDescent="0.2">
      <c r="A292" s="327"/>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c r="AA292" s="327"/>
      <c r="AB292" s="327"/>
      <c r="AC292" s="327"/>
      <c r="AD292" s="327"/>
      <c r="AE292" s="327"/>
      <c r="AF292" s="327"/>
      <c r="AG292" s="327"/>
      <c r="AH292" s="327"/>
    </row>
    <row r="293" spans="1:34" ht="11.25" customHeight="1" x14ac:dyDescent="0.2">
      <c r="A293" s="327"/>
      <c r="B293" s="327"/>
      <c r="C293" s="327"/>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c r="AA293" s="327"/>
      <c r="AB293" s="327"/>
      <c r="AC293" s="327"/>
      <c r="AD293" s="327"/>
      <c r="AE293" s="327"/>
      <c r="AF293" s="327"/>
      <c r="AG293" s="327"/>
      <c r="AH293" s="327"/>
    </row>
    <row r="294" spans="1:34" ht="11.25" customHeight="1" x14ac:dyDescent="0.2">
      <c r="A294" s="327"/>
      <c r="B294" s="327"/>
      <c r="C294" s="327"/>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c r="AA294" s="327"/>
      <c r="AB294" s="327"/>
      <c r="AC294" s="327"/>
      <c r="AD294" s="327"/>
      <c r="AE294" s="327"/>
      <c r="AF294" s="327"/>
      <c r="AG294" s="327"/>
      <c r="AH294" s="327"/>
    </row>
    <row r="295" spans="1:34" ht="11.25" customHeight="1" x14ac:dyDescent="0.2">
      <c r="A295" s="327"/>
      <c r="B295" s="327"/>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c r="AA295" s="327"/>
      <c r="AB295" s="327"/>
      <c r="AC295" s="327"/>
      <c r="AD295" s="327"/>
      <c r="AE295" s="327"/>
      <c r="AF295" s="327"/>
      <c r="AG295" s="327"/>
      <c r="AH295" s="327"/>
    </row>
    <row r="296" spans="1:34" ht="11.25" customHeight="1" x14ac:dyDescent="0.2">
      <c r="A296" s="327"/>
      <c r="B296" s="327"/>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c r="AA296" s="327"/>
      <c r="AB296" s="327"/>
      <c r="AC296" s="327"/>
      <c r="AD296" s="327"/>
      <c r="AE296" s="327"/>
      <c r="AF296" s="327"/>
      <c r="AG296" s="327"/>
      <c r="AH296" s="327"/>
    </row>
    <row r="297" spans="1:34" ht="11.25" customHeight="1" x14ac:dyDescent="0.2">
      <c r="A297" s="327"/>
      <c r="B297" s="327"/>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c r="AA297" s="327"/>
      <c r="AB297" s="327"/>
      <c r="AC297" s="327"/>
      <c r="AD297" s="327"/>
      <c r="AE297" s="327"/>
      <c r="AF297" s="327"/>
      <c r="AG297" s="327"/>
      <c r="AH297" s="327"/>
    </row>
    <row r="298" spans="1:34" ht="11.25" customHeight="1" x14ac:dyDescent="0.2">
      <c r="A298" s="327"/>
      <c r="B298" s="327"/>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c r="AA298" s="327"/>
      <c r="AB298" s="327"/>
      <c r="AC298" s="327"/>
      <c r="AD298" s="327"/>
      <c r="AE298" s="327"/>
      <c r="AF298" s="327"/>
      <c r="AG298" s="327"/>
      <c r="AH298" s="327"/>
    </row>
    <row r="299" spans="1:34" ht="11.25" customHeight="1" x14ac:dyDescent="0.2">
      <c r="A299" s="327"/>
      <c r="B299" s="327"/>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c r="AA299" s="327"/>
      <c r="AB299" s="327"/>
      <c r="AC299" s="327"/>
      <c r="AD299" s="327"/>
      <c r="AE299" s="327"/>
      <c r="AF299" s="327"/>
      <c r="AG299" s="327"/>
      <c r="AH299" s="327"/>
    </row>
    <row r="300" spans="1:34" ht="11.25" customHeight="1" x14ac:dyDescent="0.2">
      <c r="A300" s="327"/>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c r="AB300" s="327"/>
      <c r="AC300" s="327"/>
      <c r="AD300" s="327"/>
      <c r="AE300" s="327"/>
      <c r="AF300" s="327"/>
      <c r="AG300" s="327"/>
      <c r="AH300" s="327"/>
    </row>
    <row r="301" spans="1:34" ht="11.25" customHeight="1" x14ac:dyDescent="0.2">
      <c r="A301" s="327"/>
      <c r="B301" s="327"/>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c r="AA301" s="327"/>
      <c r="AB301" s="327"/>
      <c r="AC301" s="327"/>
      <c r="AD301" s="327"/>
      <c r="AE301" s="327"/>
      <c r="AF301" s="327"/>
      <c r="AG301" s="327"/>
      <c r="AH301" s="327"/>
    </row>
    <row r="302" spans="1:34" ht="11.25" customHeight="1" x14ac:dyDescent="0.2">
      <c r="A302" s="327"/>
      <c r="B302" s="327"/>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c r="AA302" s="327"/>
      <c r="AB302" s="327"/>
      <c r="AC302" s="327"/>
      <c r="AD302" s="327"/>
      <c r="AE302" s="327"/>
      <c r="AF302" s="327"/>
      <c r="AG302" s="327"/>
      <c r="AH302" s="327"/>
    </row>
    <row r="303" spans="1:34" ht="11.25" customHeight="1" x14ac:dyDescent="0.2">
      <c r="A303" s="327"/>
      <c r="B303" s="327"/>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c r="AA303" s="327"/>
      <c r="AB303" s="327"/>
      <c r="AC303" s="327"/>
      <c r="AD303" s="327"/>
      <c r="AE303" s="327"/>
      <c r="AF303" s="327"/>
      <c r="AG303" s="327"/>
      <c r="AH303" s="327"/>
    </row>
    <row r="304" spans="1:34" ht="11.25" customHeight="1" x14ac:dyDescent="0.2">
      <c r="A304" s="327"/>
      <c r="B304" s="327"/>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c r="AA304" s="327"/>
      <c r="AB304" s="327"/>
      <c r="AC304" s="327"/>
      <c r="AD304" s="327"/>
      <c r="AE304" s="327"/>
      <c r="AF304" s="327"/>
      <c r="AG304" s="327"/>
      <c r="AH304" s="327"/>
    </row>
    <row r="305" spans="1:34" ht="11.25" customHeight="1" x14ac:dyDescent="0.2">
      <c r="A305" s="327"/>
      <c r="B305" s="327"/>
      <c r="C305" s="327"/>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c r="AA305" s="327"/>
      <c r="AB305" s="327"/>
      <c r="AC305" s="327"/>
      <c r="AD305" s="327"/>
      <c r="AE305" s="327"/>
      <c r="AF305" s="327"/>
      <c r="AG305" s="327"/>
      <c r="AH305" s="327"/>
    </row>
    <row r="306" spans="1:34" ht="11.25" customHeight="1" x14ac:dyDescent="0.2">
      <c r="A306" s="327"/>
      <c r="B306" s="327"/>
      <c r="C306" s="327"/>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c r="AA306" s="327"/>
      <c r="AB306" s="327"/>
      <c r="AC306" s="327"/>
      <c r="AD306" s="327"/>
      <c r="AE306" s="327"/>
      <c r="AF306" s="327"/>
      <c r="AG306" s="327"/>
      <c r="AH306" s="327"/>
    </row>
    <row r="307" spans="1:34" ht="11.25" customHeight="1" x14ac:dyDescent="0.2">
      <c r="A307" s="327"/>
      <c r="B307" s="327"/>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c r="AA307" s="327"/>
      <c r="AB307" s="327"/>
      <c r="AC307" s="327"/>
      <c r="AD307" s="327"/>
      <c r="AE307" s="327"/>
      <c r="AF307" s="327"/>
      <c r="AG307" s="327"/>
      <c r="AH307" s="327"/>
    </row>
    <row r="308" spans="1:34" ht="11.25" customHeight="1" x14ac:dyDescent="0.2">
      <c r="A308" s="327"/>
      <c r="B308" s="327"/>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c r="AA308" s="327"/>
      <c r="AB308" s="327"/>
      <c r="AC308" s="327"/>
      <c r="AD308" s="327"/>
      <c r="AE308" s="327"/>
      <c r="AF308" s="327"/>
      <c r="AG308" s="327"/>
      <c r="AH308" s="327"/>
    </row>
    <row r="309" spans="1:34" ht="11.25" customHeight="1" x14ac:dyDescent="0.2">
      <c r="A309" s="327"/>
      <c r="B309" s="327"/>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c r="AA309" s="327"/>
      <c r="AB309" s="327"/>
      <c r="AC309" s="327"/>
      <c r="AD309" s="327"/>
      <c r="AE309" s="327"/>
      <c r="AF309" s="327"/>
      <c r="AG309" s="327"/>
      <c r="AH309" s="327"/>
    </row>
    <row r="310" spans="1:34" ht="11.25" customHeight="1" x14ac:dyDescent="0.2">
      <c r="A310" s="327"/>
      <c r="B310" s="327"/>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c r="AA310" s="327"/>
      <c r="AB310" s="327"/>
      <c r="AC310" s="327"/>
      <c r="AD310" s="327"/>
      <c r="AE310" s="327"/>
      <c r="AF310" s="327"/>
      <c r="AG310" s="327"/>
      <c r="AH310" s="327"/>
    </row>
    <row r="311" spans="1:34" ht="11.25" customHeight="1" x14ac:dyDescent="0.2">
      <c r="A311" s="327"/>
      <c r="B311" s="327"/>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c r="AA311" s="327"/>
      <c r="AB311" s="327"/>
      <c r="AC311" s="327"/>
      <c r="AD311" s="327"/>
      <c r="AE311" s="327"/>
      <c r="AF311" s="327"/>
      <c r="AG311" s="327"/>
      <c r="AH311" s="327"/>
    </row>
    <row r="312" spans="1:34" ht="11.25" customHeight="1" x14ac:dyDescent="0.2">
      <c r="A312" s="327"/>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c r="AA312" s="327"/>
      <c r="AB312" s="327"/>
      <c r="AC312" s="327"/>
      <c r="AD312" s="327"/>
      <c r="AE312" s="327"/>
      <c r="AF312" s="327"/>
      <c r="AG312" s="327"/>
      <c r="AH312" s="327"/>
    </row>
    <row r="313" spans="1:34" ht="11.25" customHeight="1" x14ac:dyDescent="0.2">
      <c r="A313" s="327"/>
      <c r="B313" s="327"/>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c r="AA313" s="327"/>
      <c r="AB313" s="327"/>
      <c r="AC313" s="327"/>
      <c r="AD313" s="327"/>
      <c r="AE313" s="327"/>
      <c r="AF313" s="327"/>
      <c r="AG313" s="327"/>
      <c r="AH313" s="327"/>
    </row>
    <row r="314" spans="1:34" ht="11.25" customHeight="1" x14ac:dyDescent="0.2">
      <c r="A314" s="327"/>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c r="AB314" s="327"/>
      <c r="AC314" s="327"/>
      <c r="AD314" s="327"/>
      <c r="AE314" s="327"/>
      <c r="AF314" s="327"/>
      <c r="AG314" s="327"/>
      <c r="AH314" s="327"/>
    </row>
    <row r="315" spans="1:34" ht="11.25" customHeight="1" x14ac:dyDescent="0.2">
      <c r="A315" s="327"/>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c r="AA315" s="327"/>
      <c r="AB315" s="327"/>
      <c r="AC315" s="327"/>
      <c r="AD315" s="327"/>
      <c r="AE315" s="327"/>
      <c r="AF315" s="327"/>
      <c r="AG315" s="327"/>
      <c r="AH315" s="327"/>
    </row>
    <row r="316" spans="1:34" ht="11.25" customHeight="1" x14ac:dyDescent="0.2">
      <c r="A316" s="327"/>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c r="AA316" s="327"/>
      <c r="AB316" s="327"/>
      <c r="AC316" s="327"/>
      <c r="AD316" s="327"/>
      <c r="AE316" s="327"/>
      <c r="AF316" s="327"/>
      <c r="AG316" s="327"/>
      <c r="AH316" s="327"/>
    </row>
    <row r="317" spans="1:34" ht="11.25" customHeight="1" x14ac:dyDescent="0.2">
      <c r="A317" s="327"/>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c r="AB317" s="327"/>
      <c r="AC317" s="327"/>
      <c r="AD317" s="327"/>
      <c r="AE317" s="327"/>
      <c r="AF317" s="327"/>
      <c r="AG317" s="327"/>
      <c r="AH317" s="327"/>
    </row>
    <row r="318" spans="1:34" ht="11.25" customHeight="1" x14ac:dyDescent="0.2">
      <c r="A318" s="327"/>
      <c r="B318" s="327"/>
      <c r="C318" s="327"/>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c r="AA318" s="327"/>
      <c r="AB318" s="327"/>
      <c r="AC318" s="327"/>
      <c r="AD318" s="327"/>
      <c r="AE318" s="327"/>
      <c r="AF318" s="327"/>
      <c r="AG318" s="327"/>
      <c r="AH318" s="327"/>
    </row>
    <row r="319" spans="1:34" ht="11.25" customHeight="1" x14ac:dyDescent="0.2">
      <c r="A319" s="327"/>
      <c r="B319" s="327"/>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c r="AA319" s="327"/>
      <c r="AB319" s="327"/>
      <c r="AC319" s="327"/>
      <c r="AD319" s="327"/>
      <c r="AE319" s="327"/>
      <c r="AF319" s="327"/>
      <c r="AG319" s="327"/>
      <c r="AH319" s="327"/>
    </row>
    <row r="320" spans="1:34" ht="11.25" customHeight="1" x14ac:dyDescent="0.2">
      <c r="A320" s="327"/>
      <c r="B320" s="327"/>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c r="AA320" s="327"/>
      <c r="AB320" s="327"/>
      <c r="AC320" s="327"/>
      <c r="AD320" s="327"/>
      <c r="AE320" s="327"/>
      <c r="AF320" s="327"/>
      <c r="AG320" s="327"/>
      <c r="AH320" s="327"/>
    </row>
    <row r="321" spans="1:34" ht="11.25" customHeight="1" x14ac:dyDescent="0.2">
      <c r="A321" s="327"/>
      <c r="B321" s="327"/>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c r="AA321" s="327"/>
      <c r="AB321" s="327"/>
      <c r="AC321" s="327"/>
      <c r="AD321" s="327"/>
      <c r="AE321" s="327"/>
      <c r="AF321" s="327"/>
      <c r="AG321" s="327"/>
      <c r="AH321" s="327"/>
    </row>
    <row r="322" spans="1:34" ht="11.25" customHeight="1" x14ac:dyDescent="0.2">
      <c r="A322" s="327"/>
      <c r="B322" s="327"/>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c r="AA322" s="327"/>
      <c r="AB322" s="327"/>
      <c r="AC322" s="327"/>
      <c r="AD322" s="327"/>
      <c r="AE322" s="327"/>
      <c r="AF322" s="327"/>
      <c r="AG322" s="327"/>
      <c r="AH322" s="327"/>
    </row>
    <row r="323" spans="1:34" ht="11.25" customHeight="1" x14ac:dyDescent="0.2">
      <c r="A323" s="327"/>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c r="AB323" s="327"/>
      <c r="AC323" s="327"/>
      <c r="AD323" s="327"/>
      <c r="AE323" s="327"/>
      <c r="AF323" s="327"/>
      <c r="AG323" s="327"/>
      <c r="AH323" s="327"/>
    </row>
    <row r="324" spans="1:34" ht="11.25" customHeight="1" x14ac:dyDescent="0.2">
      <c r="A324" s="327"/>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c r="AB324" s="327"/>
      <c r="AC324" s="327"/>
      <c r="AD324" s="327"/>
      <c r="AE324" s="327"/>
      <c r="AF324" s="327"/>
      <c r="AG324" s="327"/>
      <c r="AH324" s="327"/>
    </row>
    <row r="325" spans="1:34" ht="11.25" customHeight="1" x14ac:dyDescent="0.2">
      <c r="A325" s="327"/>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c r="AB325" s="327"/>
      <c r="AC325" s="327"/>
      <c r="AD325" s="327"/>
      <c r="AE325" s="327"/>
      <c r="AF325" s="327"/>
      <c r="AG325" s="327"/>
      <c r="AH325" s="327"/>
    </row>
    <row r="326" spans="1:34" ht="11.25" customHeight="1" x14ac:dyDescent="0.2">
      <c r="A326" s="327"/>
      <c r="B326" s="327"/>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c r="AA326" s="327"/>
      <c r="AB326" s="327"/>
      <c r="AC326" s="327"/>
      <c r="AD326" s="327"/>
      <c r="AE326" s="327"/>
      <c r="AF326" s="327"/>
      <c r="AG326" s="327"/>
      <c r="AH326" s="327"/>
    </row>
    <row r="327" spans="1:34" ht="11.25" customHeight="1" x14ac:dyDescent="0.2">
      <c r="A327" s="327"/>
      <c r="B327" s="327"/>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c r="AA327" s="327"/>
      <c r="AB327" s="327"/>
      <c r="AC327" s="327"/>
      <c r="AD327" s="327"/>
      <c r="AE327" s="327"/>
      <c r="AF327" s="327"/>
      <c r="AG327" s="327"/>
      <c r="AH327" s="327"/>
    </row>
    <row r="328" spans="1:34" ht="11.25" customHeight="1" x14ac:dyDescent="0.2">
      <c r="A328" s="327"/>
      <c r="B328" s="327"/>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c r="AA328" s="327"/>
      <c r="AB328" s="327"/>
      <c r="AC328" s="327"/>
      <c r="AD328" s="327"/>
      <c r="AE328" s="327"/>
      <c r="AF328" s="327"/>
      <c r="AG328" s="327"/>
      <c r="AH328" s="327"/>
    </row>
    <row r="329" spans="1:34" ht="11.25" customHeight="1" x14ac:dyDescent="0.2">
      <c r="A329" s="327"/>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c r="AB329" s="327"/>
      <c r="AC329" s="327"/>
      <c r="AD329" s="327"/>
      <c r="AE329" s="327"/>
      <c r="AF329" s="327"/>
      <c r="AG329" s="327"/>
      <c r="AH329" s="327"/>
    </row>
    <row r="330" spans="1:34" ht="11.25" customHeight="1" x14ac:dyDescent="0.2">
      <c r="A330" s="327"/>
      <c r="B330" s="327"/>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c r="AA330" s="327"/>
      <c r="AB330" s="327"/>
      <c r="AC330" s="327"/>
      <c r="AD330" s="327"/>
      <c r="AE330" s="327"/>
      <c r="AF330" s="327"/>
      <c r="AG330" s="327"/>
      <c r="AH330" s="327"/>
    </row>
    <row r="331" spans="1:34" ht="11.25" customHeight="1" x14ac:dyDescent="0.2">
      <c r="A331" s="327"/>
      <c r="B331" s="327"/>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c r="AA331" s="327"/>
      <c r="AB331" s="327"/>
      <c r="AC331" s="327"/>
      <c r="AD331" s="327"/>
      <c r="AE331" s="327"/>
      <c r="AF331" s="327"/>
      <c r="AG331" s="327"/>
      <c r="AH331" s="327"/>
    </row>
    <row r="332" spans="1:34" ht="11.25" customHeight="1" x14ac:dyDescent="0.2">
      <c r="A332" s="327"/>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327"/>
      <c r="AE332" s="327"/>
      <c r="AF332" s="327"/>
      <c r="AG332" s="327"/>
      <c r="AH332" s="327"/>
    </row>
    <row r="333" spans="1:34" ht="11.25" customHeight="1" x14ac:dyDescent="0.2">
      <c r="A333" s="327"/>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c r="AA333" s="327"/>
      <c r="AB333" s="327"/>
      <c r="AC333" s="327"/>
      <c r="AD333" s="327"/>
      <c r="AE333" s="327"/>
      <c r="AF333" s="327"/>
      <c r="AG333" s="327"/>
      <c r="AH333" s="327"/>
    </row>
    <row r="334" spans="1:34" ht="11.25" customHeight="1" x14ac:dyDescent="0.2">
      <c r="A334" s="327"/>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c r="AB334" s="327"/>
      <c r="AC334" s="327"/>
      <c r="AD334" s="327"/>
      <c r="AE334" s="327"/>
      <c r="AF334" s="327"/>
      <c r="AG334" s="327"/>
      <c r="AH334" s="327"/>
    </row>
    <row r="335" spans="1:34" ht="11.25" customHeight="1" x14ac:dyDescent="0.2">
      <c r="A335" s="327"/>
      <c r="B335" s="327"/>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c r="AA335" s="327"/>
      <c r="AB335" s="327"/>
      <c r="AC335" s="327"/>
      <c r="AD335" s="327"/>
      <c r="AE335" s="327"/>
      <c r="AF335" s="327"/>
      <c r="AG335" s="327"/>
      <c r="AH335" s="327"/>
    </row>
    <row r="336" spans="1:34" ht="11.25" customHeight="1" x14ac:dyDescent="0.2">
      <c r="A336" s="327"/>
      <c r="B336" s="327"/>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c r="AA336" s="327"/>
      <c r="AB336" s="327"/>
      <c r="AC336" s="327"/>
      <c r="AD336" s="327"/>
      <c r="AE336" s="327"/>
      <c r="AF336" s="327"/>
      <c r="AG336" s="327"/>
      <c r="AH336" s="327"/>
    </row>
    <row r="337" spans="1:34" ht="11.25" customHeight="1" x14ac:dyDescent="0.2">
      <c r="A337" s="327"/>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7"/>
      <c r="AD337" s="327"/>
      <c r="AE337" s="327"/>
      <c r="AF337" s="327"/>
      <c r="AG337" s="327"/>
      <c r="AH337" s="327"/>
    </row>
    <row r="338" spans="1:34" ht="11.25" customHeight="1" x14ac:dyDescent="0.2">
      <c r="A338" s="327"/>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c r="AA338" s="327"/>
      <c r="AB338" s="327"/>
      <c r="AC338" s="327"/>
      <c r="AD338" s="327"/>
      <c r="AE338" s="327"/>
      <c r="AF338" s="327"/>
      <c r="AG338" s="327"/>
      <c r="AH338" s="327"/>
    </row>
    <row r="339" spans="1:34" ht="11.25" customHeight="1" x14ac:dyDescent="0.2">
      <c r="A339" s="327"/>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c r="AB339" s="327"/>
      <c r="AC339" s="327"/>
      <c r="AD339" s="327"/>
      <c r="AE339" s="327"/>
      <c r="AF339" s="327"/>
      <c r="AG339" s="327"/>
      <c r="AH339" s="327"/>
    </row>
    <row r="340" spans="1:34" ht="11.25" customHeight="1" x14ac:dyDescent="0.2">
      <c r="A340" s="327"/>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c r="AB340" s="327"/>
      <c r="AC340" s="327"/>
      <c r="AD340" s="327"/>
      <c r="AE340" s="327"/>
      <c r="AF340" s="327"/>
      <c r="AG340" s="327"/>
      <c r="AH340" s="327"/>
    </row>
    <row r="341" spans="1:34" ht="11.25" customHeight="1" x14ac:dyDescent="0.2">
      <c r="A341" s="327"/>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c r="AC341" s="327"/>
      <c r="AD341" s="327"/>
      <c r="AE341" s="327"/>
      <c r="AF341" s="327"/>
      <c r="AG341" s="327"/>
      <c r="AH341" s="327"/>
    </row>
    <row r="342" spans="1:34" ht="11.25" customHeight="1" x14ac:dyDescent="0.2">
      <c r="A342" s="327"/>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327"/>
      <c r="AE342" s="327"/>
      <c r="AF342" s="327"/>
      <c r="AG342" s="327"/>
      <c r="AH342" s="327"/>
    </row>
    <row r="343" spans="1:34" ht="11.25" customHeight="1" x14ac:dyDescent="0.2">
      <c r="A343" s="327"/>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c r="AC343" s="327"/>
      <c r="AD343" s="327"/>
      <c r="AE343" s="327"/>
      <c r="AF343" s="327"/>
      <c r="AG343" s="327"/>
      <c r="AH343" s="327"/>
    </row>
    <row r="344" spans="1:34" ht="11.25" customHeight="1" x14ac:dyDescent="0.2">
      <c r="A344" s="327"/>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c r="AB344" s="327"/>
      <c r="AC344" s="327"/>
      <c r="AD344" s="327"/>
      <c r="AE344" s="327"/>
      <c r="AF344" s="327"/>
      <c r="AG344" s="327"/>
      <c r="AH344" s="327"/>
    </row>
    <row r="345" spans="1:34" ht="11.25" customHeight="1" x14ac:dyDescent="0.2">
      <c r="A345" s="327"/>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c r="AA345" s="327"/>
      <c r="AB345" s="327"/>
      <c r="AC345" s="327"/>
      <c r="AD345" s="327"/>
      <c r="AE345" s="327"/>
      <c r="AF345" s="327"/>
      <c r="AG345" s="327"/>
      <c r="AH345" s="327"/>
    </row>
    <row r="346" spans="1:34" ht="11.25" customHeight="1" x14ac:dyDescent="0.2">
      <c r="A346" s="327"/>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c r="AA346" s="327"/>
      <c r="AB346" s="327"/>
      <c r="AC346" s="327"/>
      <c r="AD346" s="327"/>
      <c r="AE346" s="327"/>
      <c r="AF346" s="327"/>
      <c r="AG346" s="327"/>
      <c r="AH346" s="327"/>
    </row>
    <row r="347" spans="1:34" ht="11.25" customHeight="1" x14ac:dyDescent="0.2">
      <c r="A347" s="327"/>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7"/>
      <c r="AD347" s="327"/>
      <c r="AE347" s="327"/>
      <c r="AF347" s="327"/>
      <c r="AG347" s="327"/>
      <c r="AH347" s="327"/>
    </row>
    <row r="348" spans="1:34" ht="11.25" customHeight="1" x14ac:dyDescent="0.2">
      <c r="A348" s="327"/>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7"/>
      <c r="AD348" s="327"/>
      <c r="AE348" s="327"/>
      <c r="AF348" s="327"/>
      <c r="AG348" s="327"/>
      <c r="AH348" s="327"/>
    </row>
    <row r="349" spans="1:34" ht="11.25" customHeight="1" x14ac:dyDescent="0.2">
      <c r="A349" s="327"/>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c r="AB349" s="327"/>
      <c r="AC349" s="327"/>
      <c r="AD349" s="327"/>
      <c r="AE349" s="327"/>
      <c r="AF349" s="327"/>
      <c r="AG349" s="327"/>
      <c r="AH349" s="327"/>
    </row>
    <row r="350" spans="1:34" ht="11.25" customHeight="1" x14ac:dyDescent="0.2">
      <c r="A350" s="327"/>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c r="AA350" s="327"/>
      <c r="AB350" s="327"/>
      <c r="AC350" s="327"/>
      <c r="AD350" s="327"/>
      <c r="AE350" s="327"/>
      <c r="AF350" s="327"/>
      <c r="AG350" s="327"/>
      <c r="AH350" s="327"/>
    </row>
    <row r="351" spans="1:34" ht="11.25" customHeight="1" x14ac:dyDescent="0.2">
      <c r="A351" s="327"/>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c r="AA351" s="327"/>
      <c r="AB351" s="327"/>
      <c r="AC351" s="327"/>
      <c r="AD351" s="327"/>
      <c r="AE351" s="327"/>
      <c r="AF351" s="327"/>
      <c r="AG351" s="327"/>
      <c r="AH351" s="327"/>
    </row>
    <row r="352" spans="1:34" ht="11.25" customHeight="1" x14ac:dyDescent="0.2">
      <c r="A352" s="327"/>
      <c r="B352" s="327"/>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c r="AA352" s="327"/>
      <c r="AB352" s="327"/>
      <c r="AC352" s="327"/>
      <c r="AD352" s="327"/>
      <c r="AE352" s="327"/>
      <c r="AF352" s="327"/>
      <c r="AG352" s="327"/>
      <c r="AH352" s="327"/>
    </row>
    <row r="353" spans="1:34" ht="11.25" customHeight="1" x14ac:dyDescent="0.2">
      <c r="A353" s="327"/>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c r="AA353" s="327"/>
      <c r="AB353" s="327"/>
      <c r="AC353" s="327"/>
      <c r="AD353" s="327"/>
      <c r="AE353" s="327"/>
      <c r="AF353" s="327"/>
      <c r="AG353" s="327"/>
      <c r="AH353" s="327"/>
    </row>
    <row r="354" spans="1:34" ht="11.25" customHeight="1" x14ac:dyDescent="0.2">
      <c r="A354" s="327"/>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327"/>
      <c r="AE354" s="327"/>
      <c r="AF354" s="327"/>
      <c r="AG354" s="327"/>
      <c r="AH354" s="327"/>
    </row>
    <row r="355" spans="1:34" ht="11.25" customHeight="1" x14ac:dyDescent="0.2">
      <c r="A355" s="327"/>
      <c r="B355" s="327"/>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c r="AA355" s="327"/>
      <c r="AB355" s="327"/>
      <c r="AC355" s="327"/>
      <c r="AD355" s="327"/>
      <c r="AE355" s="327"/>
      <c r="AF355" s="327"/>
      <c r="AG355" s="327"/>
      <c r="AH355" s="327"/>
    </row>
    <row r="356" spans="1:34" ht="11.25" customHeight="1" x14ac:dyDescent="0.2">
      <c r="A356" s="327"/>
      <c r="B356" s="327"/>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c r="AA356" s="327"/>
      <c r="AB356" s="327"/>
      <c r="AC356" s="327"/>
      <c r="AD356" s="327"/>
      <c r="AE356" s="327"/>
      <c r="AF356" s="327"/>
      <c r="AG356" s="327"/>
      <c r="AH356" s="327"/>
    </row>
    <row r="357" spans="1:34" ht="11.25" customHeight="1" x14ac:dyDescent="0.2">
      <c r="A357" s="327"/>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327"/>
      <c r="AE357" s="327"/>
      <c r="AF357" s="327"/>
      <c r="AG357" s="327"/>
      <c r="AH357" s="327"/>
    </row>
    <row r="358" spans="1:34" ht="11.25" customHeight="1" x14ac:dyDescent="0.2">
      <c r="A358" s="327"/>
      <c r="B358" s="327"/>
      <c r="C358" s="327"/>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c r="AA358" s="327"/>
      <c r="AB358" s="327"/>
      <c r="AC358" s="327"/>
      <c r="AD358" s="327"/>
      <c r="AE358" s="327"/>
      <c r="AF358" s="327"/>
      <c r="AG358" s="327"/>
      <c r="AH358" s="327"/>
    </row>
    <row r="359" spans="1:34" ht="11.25" customHeight="1" x14ac:dyDescent="0.2">
      <c r="A359" s="327"/>
      <c r="B359" s="327"/>
      <c r="C359" s="327"/>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c r="AA359" s="327"/>
      <c r="AB359" s="327"/>
      <c r="AC359" s="327"/>
      <c r="AD359" s="327"/>
      <c r="AE359" s="327"/>
      <c r="AF359" s="327"/>
      <c r="AG359" s="327"/>
      <c r="AH359" s="327"/>
    </row>
    <row r="360" spans="1:34" ht="11.25" customHeight="1" x14ac:dyDescent="0.2">
      <c r="A360" s="327"/>
      <c r="B360" s="327"/>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c r="AA360" s="327"/>
      <c r="AB360" s="327"/>
      <c r="AC360" s="327"/>
      <c r="AD360" s="327"/>
      <c r="AE360" s="327"/>
      <c r="AF360" s="327"/>
      <c r="AG360" s="327"/>
      <c r="AH360" s="327"/>
    </row>
    <row r="361" spans="1:34" ht="11.25" customHeight="1" x14ac:dyDescent="0.2">
      <c r="A361" s="327"/>
      <c r="B361" s="327"/>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c r="AA361" s="327"/>
      <c r="AB361" s="327"/>
      <c r="AC361" s="327"/>
      <c r="AD361" s="327"/>
      <c r="AE361" s="327"/>
      <c r="AF361" s="327"/>
      <c r="AG361" s="327"/>
      <c r="AH361" s="327"/>
    </row>
    <row r="362" spans="1:34" ht="11.25" customHeight="1" x14ac:dyDescent="0.2">
      <c r="A362" s="327"/>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c r="AA362" s="327"/>
      <c r="AB362" s="327"/>
      <c r="AC362" s="327"/>
      <c r="AD362" s="327"/>
      <c r="AE362" s="327"/>
      <c r="AF362" s="327"/>
      <c r="AG362" s="327"/>
      <c r="AH362" s="327"/>
    </row>
    <row r="363" spans="1:34" ht="11.25" customHeight="1" x14ac:dyDescent="0.2">
      <c r="A363" s="327"/>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c r="AA363" s="327"/>
      <c r="AB363" s="327"/>
      <c r="AC363" s="327"/>
      <c r="AD363" s="327"/>
      <c r="AE363" s="327"/>
      <c r="AF363" s="327"/>
      <c r="AG363" s="327"/>
      <c r="AH363" s="327"/>
    </row>
    <row r="364" spans="1:34" ht="11.25" customHeight="1" x14ac:dyDescent="0.2">
      <c r="A364" s="327"/>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c r="AA364" s="327"/>
      <c r="AB364" s="327"/>
      <c r="AC364" s="327"/>
      <c r="AD364" s="327"/>
      <c r="AE364" s="327"/>
      <c r="AF364" s="327"/>
      <c r="AG364" s="327"/>
      <c r="AH364" s="327"/>
    </row>
    <row r="365" spans="1:34" ht="11.25" customHeight="1" x14ac:dyDescent="0.2">
      <c r="A365" s="327"/>
      <c r="B365" s="327"/>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c r="AA365" s="327"/>
      <c r="AB365" s="327"/>
      <c r="AC365" s="327"/>
      <c r="AD365" s="327"/>
      <c r="AE365" s="327"/>
      <c r="AF365" s="327"/>
      <c r="AG365" s="327"/>
      <c r="AH365" s="327"/>
    </row>
    <row r="366" spans="1:34" ht="11.25" customHeight="1" x14ac:dyDescent="0.2">
      <c r="A366" s="327"/>
      <c r="B366" s="327"/>
      <c r="C366" s="327"/>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c r="AA366" s="327"/>
      <c r="AB366" s="327"/>
      <c r="AC366" s="327"/>
      <c r="AD366" s="327"/>
      <c r="AE366" s="327"/>
      <c r="AF366" s="327"/>
      <c r="AG366" s="327"/>
      <c r="AH366" s="327"/>
    </row>
    <row r="367" spans="1:34" ht="11.25" customHeight="1" x14ac:dyDescent="0.2">
      <c r="A367" s="327"/>
      <c r="B367" s="327"/>
      <c r="C367" s="327"/>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c r="AA367" s="327"/>
      <c r="AB367" s="327"/>
      <c r="AC367" s="327"/>
      <c r="AD367" s="327"/>
      <c r="AE367" s="327"/>
      <c r="AF367" s="327"/>
      <c r="AG367" s="327"/>
      <c r="AH367" s="327"/>
    </row>
    <row r="368" spans="1:34" ht="11.25" customHeight="1" x14ac:dyDescent="0.2">
      <c r="A368" s="327"/>
      <c r="B368" s="327"/>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c r="AA368" s="327"/>
      <c r="AB368" s="327"/>
      <c r="AC368" s="327"/>
      <c r="AD368" s="327"/>
      <c r="AE368" s="327"/>
      <c r="AF368" s="327"/>
      <c r="AG368" s="327"/>
      <c r="AH368" s="327"/>
    </row>
    <row r="369" spans="1:34" ht="11.25" customHeight="1" x14ac:dyDescent="0.2">
      <c r="A369" s="327"/>
      <c r="B369" s="327"/>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c r="AA369" s="327"/>
      <c r="AB369" s="327"/>
      <c r="AC369" s="327"/>
      <c r="AD369" s="327"/>
      <c r="AE369" s="327"/>
      <c r="AF369" s="327"/>
      <c r="AG369" s="327"/>
      <c r="AH369" s="327"/>
    </row>
    <row r="370" spans="1:34" ht="11.25" customHeight="1" x14ac:dyDescent="0.2">
      <c r="A370" s="327"/>
      <c r="B370" s="327"/>
      <c r="C370" s="327"/>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c r="AA370" s="327"/>
      <c r="AB370" s="327"/>
      <c r="AC370" s="327"/>
      <c r="AD370" s="327"/>
      <c r="AE370" s="327"/>
      <c r="AF370" s="327"/>
      <c r="AG370" s="327"/>
      <c r="AH370" s="327"/>
    </row>
    <row r="371" spans="1:34" ht="11.25" customHeight="1" x14ac:dyDescent="0.2">
      <c r="A371" s="327"/>
      <c r="B371" s="327"/>
      <c r="C371" s="327"/>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c r="AA371" s="327"/>
      <c r="AB371" s="327"/>
      <c r="AC371" s="327"/>
      <c r="AD371" s="327"/>
      <c r="AE371" s="327"/>
      <c r="AF371" s="327"/>
      <c r="AG371" s="327"/>
      <c r="AH371" s="327"/>
    </row>
    <row r="372" spans="1:34" ht="11.25" customHeight="1" x14ac:dyDescent="0.2">
      <c r="A372" s="327"/>
      <c r="B372" s="327"/>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c r="AA372" s="327"/>
      <c r="AB372" s="327"/>
      <c r="AC372" s="327"/>
      <c r="AD372" s="327"/>
      <c r="AE372" s="327"/>
      <c r="AF372" s="327"/>
      <c r="AG372" s="327"/>
      <c r="AH372" s="327"/>
    </row>
    <row r="373" spans="1:34" ht="11.25" customHeight="1" x14ac:dyDescent="0.2">
      <c r="A373" s="327"/>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c r="AB373" s="327"/>
      <c r="AC373" s="327"/>
      <c r="AD373" s="327"/>
      <c r="AE373" s="327"/>
      <c r="AF373" s="327"/>
      <c r="AG373" s="327"/>
      <c r="AH373" s="327"/>
    </row>
    <row r="374" spans="1:34" ht="11.25" customHeight="1" x14ac:dyDescent="0.2">
      <c r="A374" s="327"/>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c r="AA374" s="327"/>
      <c r="AB374" s="327"/>
      <c r="AC374" s="327"/>
      <c r="AD374" s="327"/>
      <c r="AE374" s="327"/>
      <c r="AF374" s="327"/>
      <c r="AG374" s="327"/>
      <c r="AH374" s="327"/>
    </row>
    <row r="375" spans="1:34" ht="11.25" customHeight="1" x14ac:dyDescent="0.2">
      <c r="A375" s="327"/>
      <c r="B375" s="327"/>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c r="AA375" s="327"/>
      <c r="AB375" s="327"/>
      <c r="AC375" s="327"/>
      <c r="AD375" s="327"/>
      <c r="AE375" s="327"/>
      <c r="AF375" s="327"/>
      <c r="AG375" s="327"/>
      <c r="AH375" s="327"/>
    </row>
    <row r="376" spans="1:34" ht="11.25" customHeight="1" x14ac:dyDescent="0.2">
      <c r="A376" s="327"/>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c r="AB376" s="327"/>
      <c r="AC376" s="327"/>
      <c r="AD376" s="327"/>
      <c r="AE376" s="327"/>
      <c r="AF376" s="327"/>
      <c r="AG376" s="327"/>
      <c r="AH376" s="327"/>
    </row>
    <row r="377" spans="1:34" ht="11.25" customHeight="1" x14ac:dyDescent="0.2">
      <c r="A377" s="327"/>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c r="AB377" s="327"/>
      <c r="AC377" s="327"/>
      <c r="AD377" s="327"/>
      <c r="AE377" s="327"/>
      <c r="AF377" s="327"/>
      <c r="AG377" s="327"/>
      <c r="AH377" s="327"/>
    </row>
    <row r="378" spans="1:34" ht="11.25" customHeight="1" x14ac:dyDescent="0.2">
      <c r="A378" s="327"/>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c r="AB378" s="327"/>
      <c r="AC378" s="327"/>
      <c r="AD378" s="327"/>
      <c r="AE378" s="327"/>
      <c r="AF378" s="327"/>
      <c r="AG378" s="327"/>
      <c r="AH378" s="327"/>
    </row>
    <row r="379" spans="1:34" ht="11.25" customHeight="1" x14ac:dyDescent="0.2">
      <c r="A379" s="327"/>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c r="AB379" s="327"/>
      <c r="AC379" s="327"/>
      <c r="AD379" s="327"/>
      <c r="AE379" s="327"/>
      <c r="AF379" s="327"/>
      <c r="AG379" s="327"/>
      <c r="AH379" s="327"/>
    </row>
    <row r="380" spans="1:34" ht="11.25" customHeight="1" x14ac:dyDescent="0.2">
      <c r="A380" s="327"/>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c r="AA380" s="327"/>
      <c r="AB380" s="327"/>
      <c r="AC380" s="327"/>
      <c r="AD380" s="327"/>
      <c r="AE380" s="327"/>
      <c r="AF380" s="327"/>
      <c r="AG380" s="327"/>
      <c r="AH380" s="327"/>
    </row>
    <row r="381" spans="1:34" ht="11.25" customHeight="1" x14ac:dyDescent="0.2">
      <c r="A381" s="327"/>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327"/>
      <c r="AE381" s="327"/>
      <c r="AF381" s="327"/>
      <c r="AG381" s="327"/>
      <c r="AH381" s="327"/>
    </row>
    <row r="382" spans="1:34" ht="11.25" customHeight="1" x14ac:dyDescent="0.2">
      <c r="A382" s="327"/>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327"/>
      <c r="AE382" s="327"/>
      <c r="AF382" s="327"/>
      <c r="AG382" s="327"/>
      <c r="AH382" s="327"/>
    </row>
    <row r="383" spans="1:34" ht="11.25" customHeight="1" x14ac:dyDescent="0.2">
      <c r="A383" s="327"/>
      <c r="B383" s="327"/>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c r="AA383" s="327"/>
      <c r="AB383" s="327"/>
      <c r="AC383" s="327"/>
      <c r="AD383" s="327"/>
      <c r="AE383" s="327"/>
      <c r="AF383" s="327"/>
      <c r="AG383" s="327"/>
      <c r="AH383" s="327"/>
    </row>
    <row r="384" spans="1:34" ht="11.25" customHeight="1" x14ac:dyDescent="0.2">
      <c r="A384" s="327"/>
      <c r="B384" s="327"/>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c r="AA384" s="327"/>
      <c r="AB384" s="327"/>
      <c r="AC384" s="327"/>
      <c r="AD384" s="327"/>
      <c r="AE384" s="327"/>
      <c r="AF384" s="327"/>
      <c r="AG384" s="327"/>
      <c r="AH384" s="327"/>
    </row>
    <row r="385" spans="1:34" ht="11.25" customHeight="1" x14ac:dyDescent="0.2">
      <c r="A385" s="327"/>
      <c r="B385" s="327"/>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c r="AA385" s="327"/>
      <c r="AB385" s="327"/>
      <c r="AC385" s="327"/>
      <c r="AD385" s="327"/>
      <c r="AE385" s="327"/>
      <c r="AF385" s="327"/>
      <c r="AG385" s="327"/>
      <c r="AH385" s="327"/>
    </row>
    <row r="386" spans="1:34" ht="11.25" customHeight="1" x14ac:dyDescent="0.2">
      <c r="A386" s="327"/>
      <c r="B386" s="327"/>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c r="AA386" s="327"/>
      <c r="AB386" s="327"/>
      <c r="AC386" s="327"/>
      <c r="AD386" s="327"/>
      <c r="AE386" s="327"/>
      <c r="AF386" s="327"/>
      <c r="AG386" s="327"/>
      <c r="AH386" s="327"/>
    </row>
    <row r="387" spans="1:34" ht="11.25" customHeight="1" x14ac:dyDescent="0.2">
      <c r="A387" s="327"/>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c r="AB387" s="327"/>
      <c r="AC387" s="327"/>
      <c r="AD387" s="327"/>
      <c r="AE387" s="327"/>
      <c r="AF387" s="327"/>
      <c r="AG387" s="327"/>
      <c r="AH387" s="327"/>
    </row>
    <row r="388" spans="1:34" ht="11.25" customHeight="1" x14ac:dyDescent="0.2">
      <c r="A388" s="327"/>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c r="AA388" s="327"/>
      <c r="AB388" s="327"/>
      <c r="AC388" s="327"/>
      <c r="AD388" s="327"/>
      <c r="AE388" s="327"/>
      <c r="AF388" s="327"/>
      <c r="AG388" s="327"/>
      <c r="AH388" s="327"/>
    </row>
    <row r="389" spans="1:34" ht="11.25" customHeight="1" x14ac:dyDescent="0.2">
      <c r="A389" s="327"/>
      <c r="B389" s="327"/>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c r="AA389" s="327"/>
      <c r="AB389" s="327"/>
      <c r="AC389" s="327"/>
      <c r="AD389" s="327"/>
      <c r="AE389" s="327"/>
      <c r="AF389" s="327"/>
      <c r="AG389" s="327"/>
      <c r="AH389" s="327"/>
    </row>
    <row r="390" spans="1:34" ht="11.25" customHeight="1" x14ac:dyDescent="0.2">
      <c r="A390" s="327"/>
      <c r="B390" s="327"/>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c r="AB390" s="327"/>
      <c r="AC390" s="327"/>
      <c r="AD390" s="327"/>
      <c r="AE390" s="327"/>
      <c r="AF390" s="327"/>
      <c r="AG390" s="327"/>
      <c r="AH390" s="327"/>
    </row>
    <row r="391" spans="1:34" ht="11.25" customHeight="1" x14ac:dyDescent="0.2">
      <c r="A391" s="327"/>
      <c r="B391" s="327"/>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c r="AA391" s="327"/>
      <c r="AB391" s="327"/>
      <c r="AC391" s="327"/>
      <c r="AD391" s="327"/>
      <c r="AE391" s="327"/>
      <c r="AF391" s="327"/>
      <c r="AG391" s="327"/>
      <c r="AH391" s="327"/>
    </row>
    <row r="392" spans="1:34" ht="11.25" customHeight="1" x14ac:dyDescent="0.2">
      <c r="A392" s="327"/>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c r="AB392" s="327"/>
      <c r="AC392" s="327"/>
      <c r="AD392" s="327"/>
      <c r="AE392" s="327"/>
      <c r="AF392" s="327"/>
      <c r="AG392" s="327"/>
      <c r="AH392" s="327"/>
    </row>
    <row r="393" spans="1:34" ht="11.25" customHeight="1" x14ac:dyDescent="0.2">
      <c r="A393" s="327"/>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c r="AA393" s="327"/>
      <c r="AB393" s="327"/>
      <c r="AC393" s="327"/>
      <c r="AD393" s="327"/>
      <c r="AE393" s="327"/>
      <c r="AF393" s="327"/>
      <c r="AG393" s="327"/>
      <c r="AH393" s="327"/>
    </row>
    <row r="394" spans="1:34" ht="11.25" customHeight="1" x14ac:dyDescent="0.2">
      <c r="A394" s="327"/>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c r="AB394" s="327"/>
      <c r="AC394" s="327"/>
      <c r="AD394" s="327"/>
      <c r="AE394" s="327"/>
      <c r="AF394" s="327"/>
      <c r="AG394" s="327"/>
      <c r="AH394" s="327"/>
    </row>
    <row r="395" spans="1:34" ht="11.25" customHeight="1" x14ac:dyDescent="0.2">
      <c r="A395" s="327"/>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c r="AA395" s="327"/>
      <c r="AB395" s="327"/>
      <c r="AC395" s="327"/>
      <c r="AD395" s="327"/>
      <c r="AE395" s="327"/>
      <c r="AF395" s="327"/>
      <c r="AG395" s="327"/>
      <c r="AH395" s="327"/>
    </row>
    <row r="396" spans="1:34" ht="11.25" customHeight="1" x14ac:dyDescent="0.2">
      <c r="A396" s="327"/>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c r="AA396" s="327"/>
      <c r="AB396" s="327"/>
      <c r="AC396" s="327"/>
      <c r="AD396" s="327"/>
      <c r="AE396" s="327"/>
      <c r="AF396" s="327"/>
      <c r="AG396" s="327"/>
      <c r="AH396" s="327"/>
    </row>
    <row r="397" spans="1:34" ht="11.25" customHeight="1" x14ac:dyDescent="0.2">
      <c r="A397" s="327"/>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327"/>
      <c r="AE397" s="327"/>
      <c r="AF397" s="327"/>
      <c r="AG397" s="327"/>
      <c r="AH397" s="327"/>
    </row>
    <row r="398" spans="1:34" ht="11.25" customHeight="1" x14ac:dyDescent="0.2">
      <c r="A398" s="327"/>
      <c r="B398" s="327"/>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c r="AB398" s="327"/>
      <c r="AC398" s="327"/>
      <c r="AD398" s="327"/>
      <c r="AE398" s="327"/>
      <c r="AF398" s="327"/>
      <c r="AG398" s="327"/>
      <c r="AH398" s="327"/>
    </row>
    <row r="399" spans="1:34" ht="11.25" customHeight="1" x14ac:dyDescent="0.2">
      <c r="A399" s="327"/>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327"/>
      <c r="AE399" s="327"/>
      <c r="AF399" s="327"/>
      <c r="AG399" s="327"/>
      <c r="AH399" s="327"/>
    </row>
    <row r="400" spans="1:34" ht="11.25" customHeight="1" x14ac:dyDescent="0.2">
      <c r="A400" s="327"/>
      <c r="B400" s="327"/>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c r="AA400" s="327"/>
      <c r="AB400" s="327"/>
      <c r="AC400" s="327"/>
      <c r="AD400" s="327"/>
      <c r="AE400" s="327"/>
      <c r="AF400" s="327"/>
      <c r="AG400" s="327"/>
      <c r="AH400" s="327"/>
    </row>
    <row r="401" spans="1:34" ht="11.25" customHeight="1" x14ac:dyDescent="0.2">
      <c r="A401" s="327"/>
      <c r="B401" s="327"/>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c r="AA401" s="327"/>
      <c r="AB401" s="327"/>
      <c r="AC401" s="327"/>
      <c r="AD401" s="327"/>
      <c r="AE401" s="327"/>
      <c r="AF401" s="327"/>
      <c r="AG401" s="327"/>
      <c r="AH401" s="327"/>
    </row>
    <row r="402" spans="1:34" ht="11.25" customHeight="1" x14ac:dyDescent="0.2">
      <c r="A402" s="327"/>
      <c r="B402" s="327"/>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c r="AA402" s="327"/>
      <c r="AB402" s="327"/>
      <c r="AC402" s="327"/>
      <c r="AD402" s="327"/>
      <c r="AE402" s="327"/>
      <c r="AF402" s="327"/>
      <c r="AG402" s="327"/>
      <c r="AH402" s="327"/>
    </row>
    <row r="403" spans="1:34" ht="11.25" customHeight="1" x14ac:dyDescent="0.2">
      <c r="A403" s="327"/>
      <c r="B403" s="327"/>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c r="AA403" s="327"/>
      <c r="AB403" s="327"/>
      <c r="AC403" s="327"/>
      <c r="AD403" s="327"/>
      <c r="AE403" s="327"/>
      <c r="AF403" s="327"/>
      <c r="AG403" s="327"/>
      <c r="AH403" s="327"/>
    </row>
    <row r="404" spans="1:34" ht="11.25" customHeight="1" x14ac:dyDescent="0.2">
      <c r="A404" s="327"/>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c r="AB404" s="327"/>
      <c r="AC404" s="327"/>
      <c r="AD404" s="327"/>
      <c r="AE404" s="327"/>
      <c r="AF404" s="327"/>
      <c r="AG404" s="327"/>
      <c r="AH404" s="327"/>
    </row>
    <row r="405" spans="1:34" ht="11.25" customHeight="1" x14ac:dyDescent="0.2">
      <c r="A405" s="327"/>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c r="AA405" s="327"/>
      <c r="AB405" s="327"/>
      <c r="AC405" s="327"/>
      <c r="AD405" s="327"/>
      <c r="AE405" s="327"/>
      <c r="AF405" s="327"/>
      <c r="AG405" s="327"/>
      <c r="AH405" s="327"/>
    </row>
    <row r="406" spans="1:34" ht="11.25" customHeight="1" x14ac:dyDescent="0.2">
      <c r="A406" s="327"/>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c r="AC406" s="327"/>
      <c r="AD406" s="327"/>
      <c r="AE406" s="327"/>
      <c r="AF406" s="327"/>
      <c r="AG406" s="327"/>
      <c r="AH406" s="327"/>
    </row>
    <row r="407" spans="1:34" ht="11.25" customHeight="1" x14ac:dyDescent="0.2">
      <c r="A407" s="327"/>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c r="AC407" s="327"/>
      <c r="AD407" s="327"/>
      <c r="AE407" s="327"/>
      <c r="AF407" s="327"/>
      <c r="AG407" s="327"/>
      <c r="AH407" s="327"/>
    </row>
    <row r="408" spans="1:34" ht="11.25" customHeight="1" x14ac:dyDescent="0.2">
      <c r="A408" s="327"/>
      <c r="B408" s="327"/>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c r="AA408" s="327"/>
      <c r="AB408" s="327"/>
      <c r="AC408" s="327"/>
      <c r="AD408" s="327"/>
      <c r="AE408" s="327"/>
      <c r="AF408" s="327"/>
      <c r="AG408" s="327"/>
      <c r="AH408" s="327"/>
    </row>
    <row r="409" spans="1:34" ht="11.25" customHeight="1" x14ac:dyDescent="0.2">
      <c r="A409" s="327"/>
      <c r="B409" s="327"/>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c r="AA409" s="327"/>
      <c r="AB409" s="327"/>
      <c r="AC409" s="327"/>
      <c r="AD409" s="327"/>
      <c r="AE409" s="327"/>
      <c r="AF409" s="327"/>
      <c r="AG409" s="327"/>
      <c r="AH409" s="327"/>
    </row>
    <row r="410" spans="1:34" ht="11.25" customHeight="1" x14ac:dyDescent="0.2">
      <c r="A410" s="327"/>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c r="AA410" s="327"/>
      <c r="AB410" s="327"/>
      <c r="AC410" s="327"/>
      <c r="AD410" s="327"/>
      <c r="AE410" s="327"/>
      <c r="AF410" s="327"/>
      <c r="AG410" s="327"/>
      <c r="AH410" s="327"/>
    </row>
    <row r="411" spans="1:34" ht="11.25" customHeight="1" x14ac:dyDescent="0.2">
      <c r="A411" s="327"/>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c r="AA411" s="327"/>
      <c r="AB411" s="327"/>
      <c r="AC411" s="327"/>
      <c r="AD411" s="327"/>
      <c r="AE411" s="327"/>
      <c r="AF411" s="327"/>
      <c r="AG411" s="327"/>
      <c r="AH411" s="327"/>
    </row>
    <row r="412" spans="1:34" ht="11.25" customHeight="1" x14ac:dyDescent="0.2">
      <c r="A412" s="327"/>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7"/>
      <c r="AD412" s="327"/>
      <c r="AE412" s="327"/>
      <c r="AF412" s="327"/>
      <c r="AG412" s="327"/>
      <c r="AH412" s="327"/>
    </row>
    <row r="413" spans="1:34" ht="11.25" customHeight="1" x14ac:dyDescent="0.2">
      <c r="A413" s="327"/>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c r="AB413" s="327"/>
      <c r="AC413" s="327"/>
      <c r="AD413" s="327"/>
      <c r="AE413" s="327"/>
      <c r="AF413" s="327"/>
      <c r="AG413" s="327"/>
      <c r="AH413" s="327"/>
    </row>
    <row r="414" spans="1:34" ht="11.25" customHeight="1" x14ac:dyDescent="0.2">
      <c r="A414" s="327"/>
      <c r="B414" s="327"/>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c r="AA414" s="327"/>
      <c r="AB414" s="327"/>
      <c r="AC414" s="327"/>
      <c r="AD414" s="327"/>
      <c r="AE414" s="327"/>
      <c r="AF414" s="327"/>
      <c r="AG414" s="327"/>
      <c r="AH414" s="327"/>
    </row>
    <row r="415" spans="1:34" ht="11.25" customHeight="1" x14ac:dyDescent="0.2">
      <c r="A415" s="327"/>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c r="AC415" s="327"/>
      <c r="AD415" s="327"/>
      <c r="AE415" s="327"/>
      <c r="AF415" s="327"/>
      <c r="AG415" s="327"/>
      <c r="AH415" s="327"/>
    </row>
    <row r="416" spans="1:34" ht="11.25" customHeight="1" x14ac:dyDescent="0.2">
      <c r="A416" s="327"/>
      <c r="B416" s="327"/>
      <c r="C416" s="327"/>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c r="AA416" s="327"/>
      <c r="AB416" s="327"/>
      <c r="AC416" s="327"/>
      <c r="AD416" s="327"/>
      <c r="AE416" s="327"/>
      <c r="AF416" s="327"/>
      <c r="AG416" s="327"/>
      <c r="AH416" s="327"/>
    </row>
    <row r="417" spans="1:34" ht="11.25" customHeight="1" x14ac:dyDescent="0.2">
      <c r="A417" s="327"/>
      <c r="B417" s="327"/>
      <c r="C417" s="327"/>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c r="AA417" s="327"/>
      <c r="AB417" s="327"/>
      <c r="AC417" s="327"/>
      <c r="AD417" s="327"/>
      <c r="AE417" s="327"/>
      <c r="AF417" s="327"/>
      <c r="AG417" s="327"/>
      <c r="AH417" s="327"/>
    </row>
    <row r="418" spans="1:34" ht="11.25" customHeight="1" x14ac:dyDescent="0.2">
      <c r="A418" s="327"/>
      <c r="B418" s="327"/>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c r="AA418" s="327"/>
      <c r="AB418" s="327"/>
      <c r="AC418" s="327"/>
      <c r="AD418" s="327"/>
      <c r="AE418" s="327"/>
      <c r="AF418" s="327"/>
      <c r="AG418" s="327"/>
      <c r="AH418" s="327"/>
    </row>
    <row r="419" spans="1:34" ht="11.25" customHeight="1" x14ac:dyDescent="0.2">
      <c r="A419" s="327"/>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7"/>
      <c r="AD419" s="327"/>
      <c r="AE419" s="327"/>
      <c r="AF419" s="327"/>
      <c r="AG419" s="327"/>
      <c r="AH419" s="327"/>
    </row>
    <row r="420" spans="1:34" ht="11.25" customHeight="1" x14ac:dyDescent="0.2">
      <c r="A420" s="327"/>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c r="AA420" s="327"/>
      <c r="AB420" s="327"/>
      <c r="AC420" s="327"/>
      <c r="AD420" s="327"/>
      <c r="AE420" s="327"/>
      <c r="AF420" s="327"/>
      <c r="AG420" s="327"/>
      <c r="AH420" s="327"/>
    </row>
    <row r="421" spans="1:34" ht="11.25" customHeight="1" x14ac:dyDescent="0.2">
      <c r="A421" s="327"/>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c r="AB421" s="327"/>
      <c r="AC421" s="327"/>
      <c r="AD421" s="327"/>
      <c r="AE421" s="327"/>
      <c r="AF421" s="327"/>
      <c r="AG421" s="327"/>
      <c r="AH421" s="327"/>
    </row>
    <row r="422" spans="1:34" ht="11.25" customHeight="1" x14ac:dyDescent="0.2">
      <c r="A422" s="327"/>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327"/>
      <c r="AE422" s="327"/>
      <c r="AF422" s="327"/>
      <c r="AG422" s="327"/>
      <c r="AH422" s="327"/>
    </row>
    <row r="423" spans="1:34" ht="11.25" customHeight="1" x14ac:dyDescent="0.2">
      <c r="A423" s="327"/>
      <c r="B423" s="327"/>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c r="AA423" s="327"/>
      <c r="AB423" s="327"/>
      <c r="AC423" s="327"/>
      <c r="AD423" s="327"/>
      <c r="AE423" s="327"/>
      <c r="AF423" s="327"/>
      <c r="AG423" s="327"/>
      <c r="AH423" s="327"/>
    </row>
    <row r="424" spans="1:34" ht="11.25" customHeight="1" x14ac:dyDescent="0.2">
      <c r="A424" s="327"/>
      <c r="B424" s="327"/>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c r="AA424" s="327"/>
      <c r="AB424" s="327"/>
      <c r="AC424" s="327"/>
      <c r="AD424" s="327"/>
      <c r="AE424" s="327"/>
      <c r="AF424" s="327"/>
      <c r="AG424" s="327"/>
      <c r="AH424" s="327"/>
    </row>
    <row r="425" spans="1:34" ht="11.25" customHeight="1" x14ac:dyDescent="0.2">
      <c r="A425" s="327"/>
      <c r="B425" s="327"/>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c r="AA425" s="327"/>
      <c r="AB425" s="327"/>
      <c r="AC425" s="327"/>
      <c r="AD425" s="327"/>
      <c r="AE425" s="327"/>
      <c r="AF425" s="327"/>
      <c r="AG425" s="327"/>
      <c r="AH425" s="327"/>
    </row>
    <row r="426" spans="1:34" ht="11.25" customHeight="1" x14ac:dyDescent="0.2">
      <c r="A426" s="327"/>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c r="AB426" s="327"/>
      <c r="AC426" s="327"/>
      <c r="AD426" s="327"/>
      <c r="AE426" s="327"/>
      <c r="AF426" s="327"/>
      <c r="AG426" s="327"/>
      <c r="AH426" s="327"/>
    </row>
    <row r="427" spans="1:34" ht="11.25" customHeight="1" x14ac:dyDescent="0.2">
      <c r="A427" s="327"/>
      <c r="B427" s="327"/>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c r="AA427" s="327"/>
      <c r="AB427" s="327"/>
      <c r="AC427" s="327"/>
      <c r="AD427" s="327"/>
      <c r="AE427" s="327"/>
      <c r="AF427" s="327"/>
      <c r="AG427" s="327"/>
      <c r="AH427" s="327"/>
    </row>
    <row r="428" spans="1:34" ht="11.25" customHeight="1" x14ac:dyDescent="0.2">
      <c r="A428" s="327"/>
      <c r="B428" s="327"/>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c r="AA428" s="327"/>
      <c r="AB428" s="327"/>
      <c r="AC428" s="327"/>
      <c r="AD428" s="327"/>
      <c r="AE428" s="327"/>
      <c r="AF428" s="327"/>
      <c r="AG428" s="327"/>
      <c r="AH428" s="327"/>
    </row>
    <row r="429" spans="1:34" ht="11.25" customHeight="1" x14ac:dyDescent="0.2">
      <c r="A429" s="327"/>
      <c r="B429" s="327"/>
      <c r="C429" s="327"/>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c r="AA429" s="327"/>
      <c r="AB429" s="327"/>
      <c r="AC429" s="327"/>
      <c r="AD429" s="327"/>
      <c r="AE429" s="327"/>
      <c r="AF429" s="327"/>
      <c r="AG429" s="327"/>
      <c r="AH429" s="327"/>
    </row>
    <row r="430" spans="1:34" ht="11.25" customHeight="1" x14ac:dyDescent="0.2">
      <c r="A430" s="327"/>
      <c r="B430" s="327"/>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c r="AA430" s="327"/>
      <c r="AB430" s="327"/>
      <c r="AC430" s="327"/>
      <c r="AD430" s="327"/>
      <c r="AE430" s="327"/>
      <c r="AF430" s="327"/>
      <c r="AG430" s="327"/>
      <c r="AH430" s="327"/>
    </row>
    <row r="431" spans="1:34" ht="11.25" customHeight="1" x14ac:dyDescent="0.2">
      <c r="A431" s="327"/>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c r="AB431" s="327"/>
      <c r="AC431" s="327"/>
      <c r="AD431" s="327"/>
      <c r="AE431" s="327"/>
      <c r="AF431" s="327"/>
      <c r="AG431" s="327"/>
      <c r="AH431" s="327"/>
    </row>
    <row r="432" spans="1:34" ht="11.25" customHeight="1" x14ac:dyDescent="0.2">
      <c r="A432" s="327"/>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c r="AA432" s="327"/>
      <c r="AB432" s="327"/>
      <c r="AC432" s="327"/>
      <c r="AD432" s="327"/>
      <c r="AE432" s="327"/>
      <c r="AF432" s="327"/>
      <c r="AG432" s="327"/>
      <c r="AH432" s="327"/>
    </row>
    <row r="433" spans="1:34" ht="11.25" customHeight="1" x14ac:dyDescent="0.2">
      <c r="A433" s="327"/>
      <c r="B433" s="327"/>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c r="AA433" s="327"/>
      <c r="AB433" s="327"/>
      <c r="AC433" s="327"/>
      <c r="AD433" s="327"/>
      <c r="AE433" s="327"/>
      <c r="AF433" s="327"/>
      <c r="AG433" s="327"/>
      <c r="AH433" s="327"/>
    </row>
    <row r="434" spans="1:34" ht="11.25" customHeight="1" x14ac:dyDescent="0.2">
      <c r="A434" s="327"/>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c r="AB434" s="327"/>
      <c r="AC434" s="327"/>
      <c r="AD434" s="327"/>
      <c r="AE434" s="327"/>
      <c r="AF434" s="327"/>
      <c r="AG434" s="327"/>
      <c r="AH434" s="327"/>
    </row>
    <row r="435" spans="1:34" ht="11.25" customHeight="1" x14ac:dyDescent="0.2">
      <c r="A435" s="327"/>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c r="AB435" s="327"/>
      <c r="AC435" s="327"/>
      <c r="AD435" s="327"/>
      <c r="AE435" s="327"/>
      <c r="AF435" s="327"/>
      <c r="AG435" s="327"/>
      <c r="AH435" s="327"/>
    </row>
    <row r="436" spans="1:34" ht="11.25" customHeight="1" x14ac:dyDescent="0.2">
      <c r="A436" s="327"/>
      <c r="B436" s="327"/>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c r="AA436" s="327"/>
      <c r="AB436" s="327"/>
      <c r="AC436" s="327"/>
      <c r="AD436" s="327"/>
      <c r="AE436" s="327"/>
      <c r="AF436" s="327"/>
      <c r="AG436" s="327"/>
      <c r="AH436" s="327"/>
    </row>
    <row r="437" spans="1:34" ht="11.25" customHeight="1" x14ac:dyDescent="0.2">
      <c r="A437" s="327"/>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c r="AA437" s="327"/>
      <c r="AB437" s="327"/>
      <c r="AC437" s="327"/>
      <c r="AD437" s="327"/>
      <c r="AE437" s="327"/>
      <c r="AF437" s="327"/>
      <c r="AG437" s="327"/>
      <c r="AH437" s="327"/>
    </row>
    <row r="438" spans="1:34" ht="11.25" customHeight="1" x14ac:dyDescent="0.2">
      <c r="A438" s="327"/>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327"/>
      <c r="AE438" s="327"/>
      <c r="AF438" s="327"/>
      <c r="AG438" s="327"/>
      <c r="AH438" s="327"/>
    </row>
    <row r="439" spans="1:34" ht="11.25" customHeight="1" x14ac:dyDescent="0.2">
      <c r="A439" s="327"/>
      <c r="B439" s="327"/>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c r="AA439" s="327"/>
      <c r="AB439" s="327"/>
      <c r="AC439" s="327"/>
      <c r="AD439" s="327"/>
      <c r="AE439" s="327"/>
      <c r="AF439" s="327"/>
      <c r="AG439" s="327"/>
      <c r="AH439" s="327"/>
    </row>
    <row r="440" spans="1:34" ht="11.25" customHeight="1" x14ac:dyDescent="0.2">
      <c r="A440" s="327"/>
      <c r="B440" s="327"/>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c r="AA440" s="327"/>
      <c r="AB440" s="327"/>
      <c r="AC440" s="327"/>
      <c r="AD440" s="327"/>
      <c r="AE440" s="327"/>
      <c r="AF440" s="327"/>
      <c r="AG440" s="327"/>
      <c r="AH440" s="327"/>
    </row>
    <row r="441" spans="1:34" ht="11.25" customHeight="1" x14ac:dyDescent="0.2">
      <c r="A441" s="327"/>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c r="AB441" s="327"/>
      <c r="AC441" s="327"/>
      <c r="AD441" s="327"/>
      <c r="AE441" s="327"/>
      <c r="AF441" s="327"/>
      <c r="AG441" s="327"/>
      <c r="AH441" s="327"/>
    </row>
    <row r="442" spans="1:34" ht="11.25" customHeight="1" x14ac:dyDescent="0.2">
      <c r="A442" s="327"/>
      <c r="B442" s="327"/>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c r="AA442" s="327"/>
      <c r="AB442" s="327"/>
      <c r="AC442" s="327"/>
      <c r="AD442" s="327"/>
      <c r="AE442" s="327"/>
      <c r="AF442" s="327"/>
      <c r="AG442" s="327"/>
      <c r="AH442" s="327"/>
    </row>
    <row r="443" spans="1:34" ht="11.25" customHeight="1" x14ac:dyDescent="0.2">
      <c r="A443" s="327"/>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c r="AB443" s="327"/>
      <c r="AC443" s="327"/>
      <c r="AD443" s="327"/>
      <c r="AE443" s="327"/>
      <c r="AF443" s="327"/>
      <c r="AG443" s="327"/>
      <c r="AH443" s="327"/>
    </row>
    <row r="444" spans="1:34" ht="11.25" customHeight="1" x14ac:dyDescent="0.2">
      <c r="A444" s="327"/>
      <c r="B444" s="327"/>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c r="AA444" s="327"/>
      <c r="AB444" s="327"/>
      <c r="AC444" s="327"/>
      <c r="AD444" s="327"/>
      <c r="AE444" s="327"/>
      <c r="AF444" s="327"/>
      <c r="AG444" s="327"/>
      <c r="AH444" s="327"/>
    </row>
    <row r="445" spans="1:34" ht="11.25" customHeight="1" x14ac:dyDescent="0.2">
      <c r="A445" s="327"/>
      <c r="B445" s="327"/>
      <c r="C445" s="327"/>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c r="AA445" s="327"/>
      <c r="AB445" s="327"/>
      <c r="AC445" s="327"/>
      <c r="AD445" s="327"/>
      <c r="AE445" s="327"/>
      <c r="AF445" s="327"/>
      <c r="AG445" s="327"/>
      <c r="AH445" s="327"/>
    </row>
    <row r="446" spans="1:34" ht="11.25" customHeight="1" x14ac:dyDescent="0.2">
      <c r="A446" s="327"/>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327"/>
      <c r="AE446" s="327"/>
      <c r="AF446" s="327"/>
      <c r="AG446" s="327"/>
      <c r="AH446" s="327"/>
    </row>
    <row r="447" spans="1:34" ht="11.25" customHeight="1" x14ac:dyDescent="0.2">
      <c r="A447" s="327"/>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c r="AA447" s="327"/>
      <c r="AB447" s="327"/>
      <c r="AC447" s="327"/>
      <c r="AD447" s="327"/>
      <c r="AE447" s="327"/>
      <c r="AF447" s="327"/>
      <c r="AG447" s="327"/>
      <c r="AH447" s="327"/>
    </row>
    <row r="448" spans="1:34" ht="11.25" customHeight="1" x14ac:dyDescent="0.2">
      <c r="A448" s="327"/>
      <c r="B448" s="327"/>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c r="AA448" s="327"/>
      <c r="AB448" s="327"/>
      <c r="AC448" s="327"/>
      <c r="AD448" s="327"/>
      <c r="AE448" s="327"/>
      <c r="AF448" s="327"/>
      <c r="AG448" s="327"/>
      <c r="AH448" s="327"/>
    </row>
    <row r="449" spans="1:34" ht="11.25" customHeight="1" x14ac:dyDescent="0.2">
      <c r="A449" s="327"/>
      <c r="B449" s="327"/>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c r="AA449" s="327"/>
      <c r="AB449" s="327"/>
      <c r="AC449" s="327"/>
      <c r="AD449" s="327"/>
      <c r="AE449" s="327"/>
      <c r="AF449" s="327"/>
      <c r="AG449" s="327"/>
      <c r="AH449" s="327"/>
    </row>
    <row r="450" spans="1:34" ht="11.25" customHeight="1" x14ac:dyDescent="0.2">
      <c r="A450" s="327"/>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c r="AB450" s="327"/>
      <c r="AC450" s="327"/>
      <c r="AD450" s="327"/>
      <c r="AE450" s="327"/>
      <c r="AF450" s="327"/>
      <c r="AG450" s="327"/>
      <c r="AH450" s="327"/>
    </row>
    <row r="451" spans="1:34" ht="11.25" customHeight="1" x14ac:dyDescent="0.2">
      <c r="A451" s="327"/>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c r="AA451" s="327"/>
      <c r="AB451" s="327"/>
      <c r="AC451" s="327"/>
      <c r="AD451" s="327"/>
      <c r="AE451" s="327"/>
      <c r="AF451" s="327"/>
      <c r="AG451" s="327"/>
      <c r="AH451" s="327"/>
    </row>
    <row r="452" spans="1:34" ht="11.25" customHeight="1" x14ac:dyDescent="0.2">
      <c r="A452" s="327"/>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c r="AA452" s="327"/>
      <c r="AB452" s="327"/>
      <c r="AC452" s="327"/>
      <c r="AD452" s="327"/>
      <c r="AE452" s="327"/>
      <c r="AF452" s="327"/>
      <c r="AG452" s="327"/>
      <c r="AH452" s="327"/>
    </row>
    <row r="453" spans="1:34" ht="11.25" customHeight="1" x14ac:dyDescent="0.2">
      <c r="A453" s="327"/>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c r="AA453" s="327"/>
      <c r="AB453" s="327"/>
      <c r="AC453" s="327"/>
      <c r="AD453" s="327"/>
      <c r="AE453" s="327"/>
      <c r="AF453" s="327"/>
      <c r="AG453" s="327"/>
      <c r="AH453" s="327"/>
    </row>
    <row r="454" spans="1:34" ht="11.25" customHeight="1" x14ac:dyDescent="0.2">
      <c r="A454" s="327"/>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c r="AA454" s="327"/>
      <c r="AB454" s="327"/>
      <c r="AC454" s="327"/>
      <c r="AD454" s="327"/>
      <c r="AE454" s="327"/>
      <c r="AF454" s="327"/>
      <c r="AG454" s="327"/>
      <c r="AH454" s="327"/>
    </row>
    <row r="455" spans="1:34" ht="11.25" customHeight="1" x14ac:dyDescent="0.2">
      <c r="A455" s="327"/>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c r="AA455" s="327"/>
      <c r="AB455" s="327"/>
      <c r="AC455" s="327"/>
      <c r="AD455" s="327"/>
      <c r="AE455" s="327"/>
      <c r="AF455" s="327"/>
      <c r="AG455" s="327"/>
      <c r="AH455" s="327"/>
    </row>
    <row r="456" spans="1:34" ht="11.25" customHeight="1" x14ac:dyDescent="0.2">
      <c r="A456" s="327"/>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c r="AB456" s="327"/>
      <c r="AC456" s="327"/>
      <c r="AD456" s="327"/>
      <c r="AE456" s="327"/>
      <c r="AF456" s="327"/>
      <c r="AG456" s="327"/>
      <c r="AH456" s="327"/>
    </row>
    <row r="457" spans="1:34" ht="11.25" customHeight="1" x14ac:dyDescent="0.2">
      <c r="A457" s="327"/>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c r="AA457" s="327"/>
      <c r="AB457" s="327"/>
      <c r="AC457" s="327"/>
      <c r="AD457" s="327"/>
      <c r="AE457" s="327"/>
      <c r="AF457" s="327"/>
      <c r="AG457" s="327"/>
      <c r="AH457" s="327"/>
    </row>
    <row r="458" spans="1:34" ht="11.25" customHeight="1" x14ac:dyDescent="0.2">
      <c r="A458" s="327"/>
      <c r="B458" s="327"/>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c r="AA458" s="327"/>
      <c r="AB458" s="327"/>
      <c r="AC458" s="327"/>
      <c r="AD458" s="327"/>
      <c r="AE458" s="327"/>
      <c r="AF458" s="327"/>
      <c r="AG458" s="327"/>
      <c r="AH458" s="327"/>
    </row>
    <row r="459" spans="1:34" ht="11.25" customHeight="1" x14ac:dyDescent="0.2">
      <c r="A459" s="327"/>
      <c r="B459" s="327"/>
      <c r="C459" s="327"/>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c r="AA459" s="327"/>
      <c r="AB459" s="327"/>
      <c r="AC459" s="327"/>
      <c r="AD459" s="327"/>
      <c r="AE459" s="327"/>
      <c r="AF459" s="327"/>
      <c r="AG459" s="327"/>
      <c r="AH459" s="327"/>
    </row>
    <row r="460" spans="1:34" ht="11.25" customHeight="1" x14ac:dyDescent="0.2">
      <c r="A460" s="327"/>
      <c r="B460" s="327"/>
      <c r="C460" s="327"/>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c r="AA460" s="327"/>
      <c r="AB460" s="327"/>
      <c r="AC460" s="327"/>
      <c r="AD460" s="327"/>
      <c r="AE460" s="327"/>
      <c r="AF460" s="327"/>
      <c r="AG460" s="327"/>
      <c r="AH460" s="327"/>
    </row>
    <row r="461" spans="1:34" ht="11.25" customHeight="1" x14ac:dyDescent="0.2">
      <c r="A461" s="327"/>
      <c r="B461" s="327"/>
      <c r="C461" s="327"/>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c r="AA461" s="327"/>
      <c r="AB461" s="327"/>
      <c r="AC461" s="327"/>
      <c r="AD461" s="327"/>
      <c r="AE461" s="327"/>
      <c r="AF461" s="327"/>
      <c r="AG461" s="327"/>
      <c r="AH461" s="327"/>
    </row>
    <row r="462" spans="1:34" ht="11.25" customHeight="1" x14ac:dyDescent="0.2">
      <c r="A462" s="327"/>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c r="AA462" s="327"/>
      <c r="AB462" s="327"/>
      <c r="AC462" s="327"/>
      <c r="AD462" s="327"/>
      <c r="AE462" s="327"/>
      <c r="AF462" s="327"/>
      <c r="AG462" s="327"/>
      <c r="AH462" s="327"/>
    </row>
    <row r="463" spans="1:34" ht="11.25" customHeight="1" x14ac:dyDescent="0.2">
      <c r="A463" s="327"/>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c r="AA463" s="327"/>
      <c r="AB463" s="327"/>
      <c r="AC463" s="327"/>
      <c r="AD463" s="327"/>
      <c r="AE463" s="327"/>
      <c r="AF463" s="327"/>
      <c r="AG463" s="327"/>
      <c r="AH463" s="327"/>
    </row>
    <row r="464" spans="1:34" ht="11.25" customHeight="1" x14ac:dyDescent="0.2">
      <c r="A464" s="327"/>
      <c r="B464" s="327"/>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c r="AA464" s="327"/>
      <c r="AB464" s="327"/>
      <c r="AC464" s="327"/>
      <c r="AD464" s="327"/>
      <c r="AE464" s="327"/>
      <c r="AF464" s="327"/>
      <c r="AG464" s="327"/>
      <c r="AH464" s="327"/>
    </row>
    <row r="465" spans="1:34" ht="11.25" customHeight="1" x14ac:dyDescent="0.2">
      <c r="A465" s="327"/>
      <c r="B465" s="327"/>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c r="AA465" s="327"/>
      <c r="AB465" s="327"/>
      <c r="AC465" s="327"/>
      <c r="AD465" s="327"/>
      <c r="AE465" s="327"/>
      <c r="AF465" s="327"/>
      <c r="AG465" s="327"/>
      <c r="AH465" s="327"/>
    </row>
    <row r="466" spans="1:34" ht="11.25" customHeight="1" x14ac:dyDescent="0.2">
      <c r="A466" s="327"/>
      <c r="B466" s="327"/>
      <c r="C466" s="327"/>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c r="AA466" s="327"/>
      <c r="AB466" s="327"/>
      <c r="AC466" s="327"/>
      <c r="AD466" s="327"/>
      <c r="AE466" s="327"/>
      <c r="AF466" s="327"/>
      <c r="AG466" s="327"/>
      <c r="AH466" s="327"/>
    </row>
    <row r="467" spans="1:34" ht="11.25" customHeight="1" x14ac:dyDescent="0.2">
      <c r="A467" s="327"/>
      <c r="B467" s="327"/>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c r="AA467" s="327"/>
      <c r="AB467" s="327"/>
      <c r="AC467" s="327"/>
      <c r="AD467" s="327"/>
      <c r="AE467" s="327"/>
      <c r="AF467" s="327"/>
      <c r="AG467" s="327"/>
      <c r="AH467" s="327"/>
    </row>
    <row r="468" spans="1:34" ht="11.25" customHeight="1" x14ac:dyDescent="0.2">
      <c r="A468" s="327"/>
      <c r="B468" s="327"/>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c r="AA468" s="327"/>
      <c r="AB468" s="327"/>
      <c r="AC468" s="327"/>
      <c r="AD468" s="327"/>
      <c r="AE468" s="327"/>
      <c r="AF468" s="327"/>
      <c r="AG468" s="327"/>
      <c r="AH468" s="327"/>
    </row>
    <row r="469" spans="1:34" ht="11.25" customHeight="1" x14ac:dyDescent="0.2">
      <c r="A469" s="327"/>
      <c r="B469" s="327"/>
      <c r="C469" s="327"/>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c r="AA469" s="327"/>
      <c r="AB469" s="327"/>
      <c r="AC469" s="327"/>
      <c r="AD469" s="327"/>
      <c r="AE469" s="327"/>
      <c r="AF469" s="327"/>
      <c r="AG469" s="327"/>
      <c r="AH469" s="327"/>
    </row>
    <row r="470" spans="1:34" ht="11.25" customHeight="1" x14ac:dyDescent="0.2">
      <c r="A470" s="327"/>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327"/>
      <c r="AE470" s="327"/>
      <c r="AF470" s="327"/>
      <c r="AG470" s="327"/>
      <c r="AH470" s="327"/>
    </row>
    <row r="471" spans="1:34" ht="11.25" customHeight="1" x14ac:dyDescent="0.2">
      <c r="A471" s="327"/>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327"/>
      <c r="AE471" s="327"/>
      <c r="AF471" s="327"/>
      <c r="AG471" s="327"/>
      <c r="AH471" s="327"/>
    </row>
    <row r="472" spans="1:34" ht="11.25" customHeight="1" x14ac:dyDescent="0.2">
      <c r="A472" s="327"/>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c r="AA472" s="327"/>
      <c r="AB472" s="327"/>
      <c r="AC472" s="327"/>
      <c r="AD472" s="327"/>
      <c r="AE472" s="327"/>
      <c r="AF472" s="327"/>
      <c r="AG472" s="327"/>
      <c r="AH472" s="327"/>
    </row>
    <row r="473" spans="1:34" ht="11.25" customHeight="1" x14ac:dyDescent="0.2">
      <c r="A473" s="327"/>
      <c r="B473" s="327"/>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c r="AA473" s="327"/>
      <c r="AB473" s="327"/>
      <c r="AC473" s="327"/>
      <c r="AD473" s="327"/>
      <c r="AE473" s="327"/>
      <c r="AF473" s="327"/>
      <c r="AG473" s="327"/>
      <c r="AH473" s="327"/>
    </row>
    <row r="474" spans="1:34" ht="11.25" customHeight="1" x14ac:dyDescent="0.2">
      <c r="A474" s="327"/>
      <c r="B474" s="327"/>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c r="AA474" s="327"/>
      <c r="AB474" s="327"/>
      <c r="AC474" s="327"/>
      <c r="AD474" s="327"/>
      <c r="AE474" s="327"/>
      <c r="AF474" s="327"/>
      <c r="AG474" s="327"/>
      <c r="AH474" s="327"/>
    </row>
    <row r="475" spans="1:34" ht="11.25" customHeight="1" x14ac:dyDescent="0.2">
      <c r="A475" s="327"/>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c r="AC475" s="327"/>
      <c r="AD475" s="327"/>
      <c r="AE475" s="327"/>
      <c r="AF475" s="327"/>
      <c r="AG475" s="327"/>
      <c r="AH475" s="327"/>
    </row>
    <row r="476" spans="1:34" ht="11.25" customHeight="1" x14ac:dyDescent="0.2">
      <c r="A476" s="327"/>
      <c r="B476" s="327"/>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c r="AA476" s="327"/>
      <c r="AB476" s="327"/>
      <c r="AC476" s="327"/>
      <c r="AD476" s="327"/>
      <c r="AE476" s="327"/>
      <c r="AF476" s="327"/>
      <c r="AG476" s="327"/>
      <c r="AH476" s="327"/>
    </row>
    <row r="477" spans="1:34" ht="11.25" customHeight="1" x14ac:dyDescent="0.2">
      <c r="A477" s="327"/>
      <c r="B477" s="327"/>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c r="AA477" s="327"/>
      <c r="AB477" s="327"/>
      <c r="AC477" s="327"/>
      <c r="AD477" s="327"/>
      <c r="AE477" s="327"/>
      <c r="AF477" s="327"/>
      <c r="AG477" s="327"/>
      <c r="AH477" s="327"/>
    </row>
    <row r="478" spans="1:34" ht="11.25" customHeight="1" x14ac:dyDescent="0.2">
      <c r="A478" s="327"/>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c r="AA478" s="327"/>
      <c r="AB478" s="327"/>
      <c r="AC478" s="327"/>
      <c r="AD478" s="327"/>
      <c r="AE478" s="327"/>
      <c r="AF478" s="327"/>
      <c r="AG478" s="327"/>
      <c r="AH478" s="327"/>
    </row>
    <row r="479" spans="1:34" ht="11.25" customHeight="1" x14ac:dyDescent="0.2">
      <c r="A479" s="327"/>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c r="AB479" s="327"/>
      <c r="AC479" s="327"/>
      <c r="AD479" s="327"/>
      <c r="AE479" s="327"/>
      <c r="AF479" s="327"/>
      <c r="AG479" s="327"/>
      <c r="AH479" s="327"/>
    </row>
    <row r="480" spans="1:34" ht="11.25" customHeight="1" x14ac:dyDescent="0.2">
      <c r="A480" s="327"/>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c r="AA480" s="327"/>
      <c r="AB480" s="327"/>
      <c r="AC480" s="327"/>
      <c r="AD480" s="327"/>
      <c r="AE480" s="327"/>
      <c r="AF480" s="327"/>
      <c r="AG480" s="327"/>
      <c r="AH480" s="327"/>
    </row>
    <row r="481" spans="1:34" ht="11.25" customHeight="1" x14ac:dyDescent="0.2">
      <c r="A481" s="327"/>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327"/>
      <c r="AE481" s="327"/>
      <c r="AF481" s="327"/>
      <c r="AG481" s="327"/>
      <c r="AH481" s="327"/>
    </row>
    <row r="482" spans="1:34" ht="11.25" customHeight="1" x14ac:dyDescent="0.2">
      <c r="A482" s="327"/>
      <c r="B482" s="327"/>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c r="AA482" s="327"/>
      <c r="AB482" s="327"/>
      <c r="AC482" s="327"/>
      <c r="AD482" s="327"/>
      <c r="AE482" s="327"/>
      <c r="AF482" s="327"/>
      <c r="AG482" s="327"/>
      <c r="AH482" s="327"/>
    </row>
    <row r="483" spans="1:34" ht="11.25" customHeight="1" x14ac:dyDescent="0.2">
      <c r="A483" s="327"/>
      <c r="B483" s="327"/>
      <c r="C483" s="327"/>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c r="AA483" s="327"/>
      <c r="AB483" s="327"/>
      <c r="AC483" s="327"/>
      <c r="AD483" s="327"/>
      <c r="AE483" s="327"/>
      <c r="AF483" s="327"/>
      <c r="AG483" s="327"/>
      <c r="AH483" s="327"/>
    </row>
    <row r="484" spans="1:34" ht="11.25" customHeight="1" x14ac:dyDescent="0.2">
      <c r="A484" s="327"/>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c r="AB484" s="327"/>
      <c r="AC484" s="327"/>
      <c r="AD484" s="327"/>
      <c r="AE484" s="327"/>
      <c r="AF484" s="327"/>
      <c r="AG484" s="327"/>
      <c r="AH484" s="327"/>
    </row>
    <row r="485" spans="1:34" ht="11.25" customHeight="1" x14ac:dyDescent="0.2">
      <c r="A485" s="327"/>
      <c r="B485" s="327"/>
      <c r="C485" s="327"/>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c r="AA485" s="327"/>
      <c r="AB485" s="327"/>
      <c r="AC485" s="327"/>
      <c r="AD485" s="327"/>
      <c r="AE485" s="327"/>
      <c r="AF485" s="327"/>
      <c r="AG485" s="327"/>
      <c r="AH485" s="327"/>
    </row>
    <row r="486" spans="1:34" ht="11.25" customHeight="1" x14ac:dyDescent="0.2">
      <c r="A486" s="327"/>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c r="AA486" s="327"/>
      <c r="AB486" s="327"/>
      <c r="AC486" s="327"/>
      <c r="AD486" s="327"/>
      <c r="AE486" s="327"/>
      <c r="AF486" s="327"/>
      <c r="AG486" s="327"/>
      <c r="AH486" s="327"/>
    </row>
    <row r="487" spans="1:34" ht="11.25" customHeight="1" x14ac:dyDescent="0.2">
      <c r="A487" s="327"/>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c r="AB487" s="327"/>
      <c r="AC487" s="327"/>
      <c r="AD487" s="327"/>
      <c r="AE487" s="327"/>
      <c r="AF487" s="327"/>
      <c r="AG487" s="327"/>
      <c r="AH487" s="327"/>
    </row>
    <row r="488" spans="1:34" ht="11.25" customHeight="1" x14ac:dyDescent="0.2">
      <c r="A488" s="327"/>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c r="AA488" s="327"/>
      <c r="AB488" s="327"/>
      <c r="AC488" s="327"/>
      <c r="AD488" s="327"/>
      <c r="AE488" s="327"/>
      <c r="AF488" s="327"/>
      <c r="AG488" s="327"/>
      <c r="AH488" s="327"/>
    </row>
    <row r="489" spans="1:34" ht="11.25" customHeight="1" x14ac:dyDescent="0.2">
      <c r="A489" s="327"/>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c r="AA489" s="327"/>
      <c r="AB489" s="327"/>
      <c r="AC489" s="327"/>
      <c r="AD489" s="327"/>
      <c r="AE489" s="327"/>
      <c r="AF489" s="327"/>
      <c r="AG489" s="327"/>
      <c r="AH489" s="327"/>
    </row>
    <row r="490" spans="1:34" ht="11.25" customHeight="1" x14ac:dyDescent="0.2">
      <c r="A490" s="327"/>
      <c r="B490" s="327"/>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c r="AA490" s="327"/>
      <c r="AB490" s="327"/>
      <c r="AC490" s="327"/>
      <c r="AD490" s="327"/>
      <c r="AE490" s="327"/>
      <c r="AF490" s="327"/>
      <c r="AG490" s="327"/>
      <c r="AH490" s="327"/>
    </row>
    <row r="491" spans="1:34" ht="11.25" customHeight="1" x14ac:dyDescent="0.2">
      <c r="A491" s="327"/>
      <c r="B491" s="327"/>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c r="AA491" s="327"/>
      <c r="AB491" s="327"/>
      <c r="AC491" s="327"/>
      <c r="AD491" s="327"/>
      <c r="AE491" s="327"/>
      <c r="AF491" s="327"/>
      <c r="AG491" s="327"/>
      <c r="AH491" s="327"/>
    </row>
    <row r="492" spans="1:34" ht="11.25" customHeight="1" x14ac:dyDescent="0.2">
      <c r="A492" s="327"/>
      <c r="B492" s="327"/>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c r="AA492" s="327"/>
      <c r="AB492" s="327"/>
      <c r="AC492" s="327"/>
      <c r="AD492" s="327"/>
      <c r="AE492" s="327"/>
      <c r="AF492" s="327"/>
      <c r="AG492" s="327"/>
      <c r="AH492" s="327"/>
    </row>
    <row r="493" spans="1:34" ht="11.25" customHeight="1" x14ac:dyDescent="0.2">
      <c r="A493" s="327"/>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c r="AA493" s="327"/>
      <c r="AB493" s="327"/>
      <c r="AC493" s="327"/>
      <c r="AD493" s="327"/>
      <c r="AE493" s="327"/>
      <c r="AF493" s="327"/>
      <c r="AG493" s="327"/>
      <c r="AH493" s="327"/>
    </row>
    <row r="494" spans="1:34" ht="11.25" customHeight="1" x14ac:dyDescent="0.2">
      <c r="A494" s="327"/>
      <c r="B494" s="327"/>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c r="AA494" s="327"/>
      <c r="AB494" s="327"/>
      <c r="AC494" s="327"/>
      <c r="AD494" s="327"/>
      <c r="AE494" s="327"/>
      <c r="AF494" s="327"/>
      <c r="AG494" s="327"/>
      <c r="AH494" s="327"/>
    </row>
    <row r="495" spans="1:34" ht="11.25" customHeight="1" x14ac:dyDescent="0.2">
      <c r="A495" s="327"/>
      <c r="B495" s="327"/>
      <c r="C495" s="327"/>
      <c r="D495" s="327"/>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c r="AA495" s="327"/>
      <c r="AB495" s="327"/>
      <c r="AC495" s="327"/>
      <c r="AD495" s="327"/>
      <c r="AE495" s="327"/>
      <c r="AF495" s="327"/>
      <c r="AG495" s="327"/>
      <c r="AH495" s="327"/>
    </row>
    <row r="496" spans="1:34" ht="11.25" customHeight="1" x14ac:dyDescent="0.2">
      <c r="A496" s="327"/>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327"/>
      <c r="AE496" s="327"/>
      <c r="AF496" s="327"/>
      <c r="AG496" s="327"/>
      <c r="AH496" s="327"/>
    </row>
    <row r="497" spans="1:34" ht="11.25" customHeight="1" x14ac:dyDescent="0.2">
      <c r="A497" s="327"/>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c r="AA497" s="327"/>
      <c r="AB497" s="327"/>
      <c r="AC497" s="327"/>
      <c r="AD497" s="327"/>
      <c r="AE497" s="327"/>
      <c r="AF497" s="327"/>
      <c r="AG497" s="327"/>
      <c r="AH497" s="327"/>
    </row>
    <row r="498" spans="1:34" ht="11.25" customHeight="1" x14ac:dyDescent="0.2">
      <c r="A498" s="327"/>
      <c r="B498" s="327"/>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c r="AA498" s="327"/>
      <c r="AB498" s="327"/>
      <c r="AC498" s="327"/>
      <c r="AD498" s="327"/>
      <c r="AE498" s="327"/>
      <c r="AF498" s="327"/>
      <c r="AG498" s="327"/>
      <c r="AH498" s="327"/>
    </row>
    <row r="499" spans="1:34" ht="11.25" customHeight="1" x14ac:dyDescent="0.2">
      <c r="A499" s="327"/>
      <c r="B499" s="327"/>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c r="AA499" s="327"/>
      <c r="AB499" s="327"/>
      <c r="AC499" s="327"/>
      <c r="AD499" s="327"/>
      <c r="AE499" s="327"/>
      <c r="AF499" s="327"/>
      <c r="AG499" s="327"/>
      <c r="AH499" s="327"/>
    </row>
    <row r="500" spans="1:34" ht="11.25" customHeight="1" x14ac:dyDescent="0.2">
      <c r="A500" s="327"/>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327"/>
      <c r="AE500" s="327"/>
      <c r="AF500" s="327"/>
      <c r="AG500" s="327"/>
      <c r="AH500" s="327"/>
    </row>
    <row r="501" spans="1:34" ht="11.25" customHeight="1" x14ac:dyDescent="0.2">
      <c r="A501" s="327"/>
      <c r="B501" s="327"/>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c r="AA501" s="327"/>
      <c r="AB501" s="327"/>
      <c r="AC501" s="327"/>
      <c r="AD501" s="327"/>
      <c r="AE501" s="327"/>
      <c r="AF501" s="327"/>
      <c r="AG501" s="327"/>
      <c r="AH501" s="327"/>
    </row>
    <row r="502" spans="1:34" ht="11.25" customHeight="1" x14ac:dyDescent="0.2">
      <c r="A502" s="327"/>
      <c r="B502" s="327"/>
      <c r="C502" s="327"/>
      <c r="D502" s="327"/>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c r="AA502" s="327"/>
      <c r="AB502" s="327"/>
      <c r="AC502" s="327"/>
      <c r="AD502" s="327"/>
      <c r="AE502" s="327"/>
      <c r="AF502" s="327"/>
      <c r="AG502" s="327"/>
      <c r="AH502" s="327"/>
    </row>
    <row r="503" spans="1:34" ht="11.25" customHeight="1" x14ac:dyDescent="0.2">
      <c r="A503" s="327"/>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c r="AB503" s="327"/>
      <c r="AC503" s="327"/>
      <c r="AD503" s="327"/>
      <c r="AE503" s="327"/>
      <c r="AF503" s="327"/>
      <c r="AG503" s="327"/>
      <c r="AH503" s="327"/>
    </row>
    <row r="504" spans="1:34" ht="11.25" customHeight="1" x14ac:dyDescent="0.2">
      <c r="A504" s="327"/>
      <c r="B504" s="327"/>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c r="AA504" s="327"/>
      <c r="AB504" s="327"/>
      <c r="AC504" s="327"/>
      <c r="AD504" s="327"/>
      <c r="AE504" s="327"/>
      <c r="AF504" s="327"/>
      <c r="AG504" s="327"/>
      <c r="AH504" s="327"/>
    </row>
    <row r="505" spans="1:34" ht="11.25" customHeight="1" x14ac:dyDescent="0.2">
      <c r="A505" s="327"/>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c r="AA505" s="327"/>
      <c r="AB505" s="327"/>
      <c r="AC505" s="327"/>
      <c r="AD505" s="327"/>
      <c r="AE505" s="327"/>
      <c r="AF505" s="327"/>
      <c r="AG505" s="327"/>
      <c r="AH505" s="327"/>
    </row>
    <row r="506" spans="1:34" ht="11.25" customHeight="1" x14ac:dyDescent="0.2">
      <c r="A506" s="327"/>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c r="AA506" s="327"/>
      <c r="AB506" s="327"/>
      <c r="AC506" s="327"/>
      <c r="AD506" s="327"/>
      <c r="AE506" s="327"/>
      <c r="AF506" s="327"/>
      <c r="AG506" s="327"/>
      <c r="AH506" s="327"/>
    </row>
    <row r="507" spans="1:34" ht="11.25" customHeight="1" x14ac:dyDescent="0.2">
      <c r="A507" s="327"/>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c r="AA507" s="327"/>
      <c r="AB507" s="327"/>
      <c r="AC507" s="327"/>
      <c r="AD507" s="327"/>
      <c r="AE507" s="327"/>
      <c r="AF507" s="327"/>
      <c r="AG507" s="327"/>
      <c r="AH507" s="327"/>
    </row>
    <row r="508" spans="1:34" ht="11.25" customHeight="1" x14ac:dyDescent="0.2">
      <c r="A508" s="327"/>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327"/>
      <c r="AE508" s="327"/>
      <c r="AF508" s="327"/>
      <c r="AG508" s="327"/>
      <c r="AH508" s="327"/>
    </row>
    <row r="509" spans="1:34" ht="11.25" customHeight="1" x14ac:dyDescent="0.2">
      <c r="A509" s="327"/>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c r="AB509" s="327"/>
      <c r="AC509" s="327"/>
      <c r="AD509" s="327"/>
      <c r="AE509" s="327"/>
      <c r="AF509" s="327"/>
      <c r="AG509" s="327"/>
      <c r="AH509" s="327"/>
    </row>
    <row r="510" spans="1:34" ht="11.25" customHeight="1" x14ac:dyDescent="0.2">
      <c r="A510" s="327"/>
      <c r="B510" s="327"/>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c r="AA510" s="327"/>
      <c r="AB510" s="327"/>
      <c r="AC510" s="327"/>
      <c r="AD510" s="327"/>
      <c r="AE510" s="327"/>
      <c r="AF510" s="327"/>
      <c r="AG510" s="327"/>
      <c r="AH510" s="327"/>
    </row>
    <row r="511" spans="1:34" ht="11.25" customHeight="1" x14ac:dyDescent="0.2">
      <c r="A511" s="327"/>
      <c r="B511" s="327"/>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c r="AA511" s="327"/>
      <c r="AB511" s="327"/>
      <c r="AC511" s="327"/>
      <c r="AD511" s="327"/>
      <c r="AE511" s="327"/>
      <c r="AF511" s="327"/>
      <c r="AG511" s="327"/>
      <c r="AH511" s="327"/>
    </row>
    <row r="512" spans="1:34" ht="11.25" customHeight="1" x14ac:dyDescent="0.2">
      <c r="A512" s="327"/>
      <c r="B512" s="327"/>
      <c r="C512" s="327"/>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c r="AA512" s="327"/>
      <c r="AB512" s="327"/>
      <c r="AC512" s="327"/>
      <c r="AD512" s="327"/>
      <c r="AE512" s="327"/>
      <c r="AF512" s="327"/>
      <c r="AG512" s="327"/>
      <c r="AH512" s="327"/>
    </row>
    <row r="513" spans="1:34" ht="11.25" customHeight="1" x14ac:dyDescent="0.2">
      <c r="A513" s="327"/>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c r="AA513" s="327"/>
      <c r="AB513" s="327"/>
      <c r="AC513" s="327"/>
      <c r="AD513" s="327"/>
      <c r="AE513" s="327"/>
      <c r="AF513" s="327"/>
      <c r="AG513" s="327"/>
      <c r="AH513" s="327"/>
    </row>
    <row r="514" spans="1:34" ht="11.25" customHeight="1" x14ac:dyDescent="0.2">
      <c r="A514" s="327"/>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c r="AB514" s="327"/>
      <c r="AC514" s="327"/>
      <c r="AD514" s="327"/>
      <c r="AE514" s="327"/>
      <c r="AF514" s="327"/>
      <c r="AG514" s="327"/>
      <c r="AH514" s="327"/>
    </row>
    <row r="515" spans="1:34" ht="11.25" customHeight="1" x14ac:dyDescent="0.2">
      <c r="A515" s="327"/>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c r="AA515" s="327"/>
      <c r="AB515" s="327"/>
      <c r="AC515" s="327"/>
      <c r="AD515" s="327"/>
      <c r="AE515" s="327"/>
      <c r="AF515" s="327"/>
      <c r="AG515" s="327"/>
      <c r="AH515" s="327"/>
    </row>
    <row r="516" spans="1:34" ht="11.25" customHeight="1" x14ac:dyDescent="0.2">
      <c r="A516" s="327"/>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c r="AA516" s="327"/>
      <c r="AB516" s="327"/>
      <c r="AC516" s="327"/>
      <c r="AD516" s="327"/>
      <c r="AE516" s="327"/>
      <c r="AF516" s="327"/>
      <c r="AG516" s="327"/>
      <c r="AH516" s="327"/>
    </row>
    <row r="517" spans="1:34" ht="11.25" customHeight="1" x14ac:dyDescent="0.2">
      <c r="A517" s="327"/>
      <c r="B517" s="327"/>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c r="AA517" s="327"/>
      <c r="AB517" s="327"/>
      <c r="AC517" s="327"/>
      <c r="AD517" s="327"/>
      <c r="AE517" s="327"/>
      <c r="AF517" s="327"/>
      <c r="AG517" s="327"/>
      <c r="AH517" s="327"/>
    </row>
    <row r="518" spans="1:34" ht="11.25" customHeight="1" x14ac:dyDescent="0.2">
      <c r="A518" s="327"/>
      <c r="B518" s="327"/>
      <c r="C518" s="327"/>
      <c r="D518" s="327"/>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c r="AA518" s="327"/>
      <c r="AB518" s="327"/>
      <c r="AC518" s="327"/>
      <c r="AD518" s="327"/>
      <c r="AE518" s="327"/>
      <c r="AF518" s="327"/>
      <c r="AG518" s="327"/>
      <c r="AH518" s="327"/>
    </row>
    <row r="519" spans="1:34" ht="11.25" customHeight="1" x14ac:dyDescent="0.2">
      <c r="A519" s="327"/>
      <c r="B519" s="327"/>
      <c r="C519" s="327"/>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c r="AA519" s="327"/>
      <c r="AB519" s="327"/>
      <c r="AC519" s="327"/>
      <c r="AD519" s="327"/>
      <c r="AE519" s="327"/>
      <c r="AF519" s="327"/>
      <c r="AG519" s="327"/>
      <c r="AH519" s="327"/>
    </row>
    <row r="520" spans="1:34" ht="11.25" customHeight="1" x14ac:dyDescent="0.2">
      <c r="A520" s="327"/>
      <c r="B520" s="327"/>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c r="AA520" s="327"/>
      <c r="AB520" s="327"/>
      <c r="AC520" s="327"/>
      <c r="AD520" s="327"/>
      <c r="AE520" s="327"/>
      <c r="AF520" s="327"/>
      <c r="AG520" s="327"/>
      <c r="AH520" s="327"/>
    </row>
    <row r="521" spans="1:34" ht="11.25" customHeight="1" x14ac:dyDescent="0.2">
      <c r="A521" s="327"/>
      <c r="B521" s="327"/>
      <c r="C521" s="327"/>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c r="AA521" s="327"/>
      <c r="AB521" s="327"/>
      <c r="AC521" s="327"/>
      <c r="AD521" s="327"/>
      <c r="AE521" s="327"/>
      <c r="AF521" s="327"/>
      <c r="AG521" s="327"/>
      <c r="AH521" s="327"/>
    </row>
    <row r="522" spans="1:34" ht="11.25" customHeight="1" x14ac:dyDescent="0.2">
      <c r="A522" s="327"/>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c r="AA522" s="327"/>
      <c r="AB522" s="327"/>
      <c r="AC522" s="327"/>
      <c r="AD522" s="327"/>
      <c r="AE522" s="327"/>
      <c r="AF522" s="327"/>
      <c r="AG522" s="327"/>
      <c r="AH522" s="327"/>
    </row>
    <row r="523" spans="1:34" ht="11.25" customHeight="1" x14ac:dyDescent="0.2">
      <c r="A523" s="327"/>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327"/>
      <c r="AE523" s="327"/>
      <c r="AF523" s="327"/>
      <c r="AG523" s="327"/>
      <c r="AH523" s="327"/>
    </row>
    <row r="524" spans="1:34" ht="11.25" customHeight="1" x14ac:dyDescent="0.2">
      <c r="A524" s="327"/>
      <c r="B524" s="327"/>
      <c r="C524" s="327"/>
      <c r="D524" s="327"/>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c r="AA524" s="327"/>
      <c r="AB524" s="327"/>
      <c r="AC524" s="327"/>
      <c r="AD524" s="327"/>
      <c r="AE524" s="327"/>
      <c r="AF524" s="327"/>
      <c r="AG524" s="327"/>
      <c r="AH524" s="327"/>
    </row>
    <row r="525" spans="1:34" ht="11.25" customHeight="1" x14ac:dyDescent="0.2">
      <c r="A525" s="327"/>
      <c r="B525" s="327"/>
      <c r="C525" s="327"/>
      <c r="D525" s="327"/>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c r="AA525" s="327"/>
      <c r="AB525" s="327"/>
      <c r="AC525" s="327"/>
      <c r="AD525" s="327"/>
      <c r="AE525" s="327"/>
      <c r="AF525" s="327"/>
      <c r="AG525" s="327"/>
      <c r="AH525" s="327"/>
    </row>
    <row r="526" spans="1:34" ht="11.25" customHeight="1" x14ac:dyDescent="0.2">
      <c r="A526" s="327"/>
      <c r="B526" s="327"/>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c r="AA526" s="327"/>
      <c r="AB526" s="327"/>
      <c r="AC526" s="327"/>
      <c r="AD526" s="327"/>
      <c r="AE526" s="327"/>
      <c r="AF526" s="327"/>
      <c r="AG526" s="327"/>
      <c r="AH526" s="327"/>
    </row>
    <row r="527" spans="1:34" ht="11.25" customHeight="1" x14ac:dyDescent="0.2">
      <c r="A527" s="327"/>
      <c r="B527" s="327"/>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c r="AA527" s="327"/>
      <c r="AB527" s="327"/>
      <c r="AC527" s="327"/>
      <c r="AD527" s="327"/>
      <c r="AE527" s="327"/>
      <c r="AF527" s="327"/>
      <c r="AG527" s="327"/>
      <c r="AH527" s="327"/>
    </row>
    <row r="528" spans="1:34" ht="11.25" customHeight="1" x14ac:dyDescent="0.2">
      <c r="A528" s="327"/>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c r="AA528" s="327"/>
      <c r="AB528" s="327"/>
      <c r="AC528" s="327"/>
      <c r="AD528" s="327"/>
      <c r="AE528" s="327"/>
      <c r="AF528" s="327"/>
      <c r="AG528" s="327"/>
      <c r="AH528" s="327"/>
    </row>
    <row r="529" spans="1:34" ht="11.25" customHeight="1" x14ac:dyDescent="0.2">
      <c r="A529" s="327"/>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327"/>
      <c r="AE529" s="327"/>
      <c r="AF529" s="327"/>
      <c r="AG529" s="327"/>
      <c r="AH529" s="327"/>
    </row>
    <row r="530" spans="1:34" ht="11.25" customHeight="1" x14ac:dyDescent="0.2">
      <c r="A530" s="327"/>
      <c r="B530" s="327"/>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c r="AA530" s="327"/>
      <c r="AB530" s="327"/>
      <c r="AC530" s="327"/>
      <c r="AD530" s="327"/>
      <c r="AE530" s="327"/>
      <c r="AF530" s="327"/>
      <c r="AG530" s="327"/>
      <c r="AH530" s="327"/>
    </row>
    <row r="531" spans="1:34" ht="11.25" customHeight="1" x14ac:dyDescent="0.2">
      <c r="A531" s="327"/>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327"/>
      <c r="AE531" s="327"/>
      <c r="AF531" s="327"/>
      <c r="AG531" s="327"/>
      <c r="AH531" s="327"/>
    </row>
    <row r="532" spans="1:34" ht="11.25" customHeight="1" x14ac:dyDescent="0.2">
      <c r="A532" s="327"/>
      <c r="B532" s="327"/>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c r="AA532" s="327"/>
      <c r="AB532" s="327"/>
      <c r="AC532" s="327"/>
      <c r="AD532" s="327"/>
      <c r="AE532" s="327"/>
      <c r="AF532" s="327"/>
      <c r="AG532" s="327"/>
      <c r="AH532" s="327"/>
    </row>
    <row r="533" spans="1:34" ht="11.25" customHeight="1" x14ac:dyDescent="0.2">
      <c r="A533" s="327"/>
      <c r="B533" s="327"/>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c r="AA533" s="327"/>
      <c r="AB533" s="327"/>
      <c r="AC533" s="327"/>
      <c r="AD533" s="327"/>
      <c r="AE533" s="327"/>
      <c r="AF533" s="327"/>
      <c r="AG533" s="327"/>
      <c r="AH533" s="327"/>
    </row>
    <row r="534" spans="1:34" ht="11.25" customHeight="1" x14ac:dyDescent="0.2">
      <c r="A534" s="327"/>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c r="AA534" s="327"/>
      <c r="AB534" s="327"/>
      <c r="AC534" s="327"/>
      <c r="AD534" s="327"/>
      <c r="AE534" s="327"/>
      <c r="AF534" s="327"/>
      <c r="AG534" s="327"/>
      <c r="AH534" s="327"/>
    </row>
    <row r="535" spans="1:34" ht="11.25" customHeight="1" x14ac:dyDescent="0.2">
      <c r="A535" s="327"/>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c r="AA535" s="327"/>
      <c r="AB535" s="327"/>
      <c r="AC535" s="327"/>
      <c r="AD535" s="327"/>
      <c r="AE535" s="327"/>
      <c r="AF535" s="327"/>
      <c r="AG535" s="327"/>
      <c r="AH535" s="327"/>
    </row>
    <row r="536" spans="1:34" ht="11.25" customHeight="1" x14ac:dyDescent="0.2">
      <c r="A536" s="327"/>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c r="AA536" s="327"/>
      <c r="AB536" s="327"/>
      <c r="AC536" s="327"/>
      <c r="AD536" s="327"/>
      <c r="AE536" s="327"/>
      <c r="AF536" s="327"/>
      <c r="AG536" s="327"/>
      <c r="AH536" s="327"/>
    </row>
    <row r="537" spans="1:34" ht="11.25" customHeight="1" x14ac:dyDescent="0.2">
      <c r="A537" s="327"/>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c r="AE537" s="327"/>
      <c r="AF537" s="327"/>
      <c r="AG537" s="327"/>
      <c r="AH537" s="327"/>
    </row>
    <row r="538" spans="1:34" ht="11.25" customHeight="1" x14ac:dyDescent="0.2">
      <c r="A538" s="327"/>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c r="AA538" s="327"/>
      <c r="AB538" s="327"/>
      <c r="AC538" s="327"/>
      <c r="AD538" s="327"/>
      <c r="AE538" s="327"/>
      <c r="AF538" s="327"/>
      <c r="AG538" s="327"/>
      <c r="AH538" s="327"/>
    </row>
    <row r="539" spans="1:34" ht="11.25" customHeight="1" x14ac:dyDescent="0.2">
      <c r="A539" s="327"/>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327"/>
      <c r="AE539" s="327"/>
      <c r="AF539" s="327"/>
      <c r="AG539" s="327"/>
      <c r="AH539" s="327"/>
    </row>
    <row r="540" spans="1:34" ht="11.25" customHeight="1" x14ac:dyDescent="0.2">
      <c r="A540" s="327"/>
      <c r="B540" s="327"/>
      <c r="C540" s="327"/>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c r="AA540" s="327"/>
      <c r="AB540" s="327"/>
      <c r="AC540" s="327"/>
      <c r="AD540" s="327"/>
      <c r="AE540" s="327"/>
      <c r="AF540" s="327"/>
      <c r="AG540" s="327"/>
      <c r="AH540" s="327"/>
    </row>
    <row r="541" spans="1:34" ht="11.25" customHeight="1" x14ac:dyDescent="0.2">
      <c r="A541" s="327"/>
      <c r="B541" s="327"/>
      <c r="C541" s="327"/>
      <c r="D541" s="327"/>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c r="AA541" s="327"/>
      <c r="AB541" s="327"/>
      <c r="AC541" s="327"/>
      <c r="AD541" s="327"/>
      <c r="AE541" s="327"/>
      <c r="AF541" s="327"/>
      <c r="AG541" s="327"/>
      <c r="AH541" s="327"/>
    </row>
    <row r="542" spans="1:34" ht="11.25" customHeight="1" x14ac:dyDescent="0.2">
      <c r="A542" s="327"/>
      <c r="B542" s="327"/>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c r="AA542" s="327"/>
      <c r="AB542" s="327"/>
      <c r="AC542" s="327"/>
      <c r="AD542" s="327"/>
      <c r="AE542" s="327"/>
      <c r="AF542" s="327"/>
      <c r="AG542" s="327"/>
      <c r="AH542" s="327"/>
    </row>
    <row r="543" spans="1:34" ht="11.25" customHeight="1" x14ac:dyDescent="0.2">
      <c r="A543" s="327"/>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c r="AB543" s="327"/>
      <c r="AC543" s="327"/>
      <c r="AD543" s="327"/>
      <c r="AE543" s="327"/>
      <c r="AF543" s="327"/>
      <c r="AG543" s="327"/>
      <c r="AH543" s="327"/>
    </row>
    <row r="544" spans="1:34" ht="11.25" customHeight="1" x14ac:dyDescent="0.2">
      <c r="A544" s="327"/>
      <c r="B544" s="327"/>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c r="AA544" s="327"/>
      <c r="AB544" s="327"/>
      <c r="AC544" s="327"/>
      <c r="AD544" s="327"/>
      <c r="AE544" s="327"/>
      <c r="AF544" s="327"/>
      <c r="AG544" s="327"/>
      <c r="AH544" s="327"/>
    </row>
    <row r="545" spans="1:34" ht="11.25" customHeight="1" x14ac:dyDescent="0.2">
      <c r="A545" s="327"/>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c r="AA545" s="327"/>
      <c r="AB545" s="327"/>
      <c r="AC545" s="327"/>
      <c r="AD545" s="327"/>
      <c r="AE545" s="327"/>
      <c r="AF545" s="327"/>
      <c r="AG545" s="327"/>
      <c r="AH545" s="327"/>
    </row>
    <row r="546" spans="1:34" ht="11.25" customHeight="1" x14ac:dyDescent="0.2">
      <c r="A546" s="327"/>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327"/>
      <c r="AE546" s="327"/>
      <c r="AF546" s="327"/>
      <c r="AG546" s="327"/>
      <c r="AH546" s="327"/>
    </row>
    <row r="547" spans="1:34" ht="11.25" customHeight="1" x14ac:dyDescent="0.2">
      <c r="A547" s="327"/>
      <c r="B547" s="327"/>
      <c r="C547" s="327"/>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c r="AA547" s="327"/>
      <c r="AB547" s="327"/>
      <c r="AC547" s="327"/>
      <c r="AD547" s="327"/>
      <c r="AE547" s="327"/>
      <c r="AF547" s="327"/>
      <c r="AG547" s="327"/>
      <c r="AH547" s="327"/>
    </row>
    <row r="548" spans="1:34" ht="11.25" customHeight="1" x14ac:dyDescent="0.2">
      <c r="A548" s="327"/>
      <c r="B548" s="327"/>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c r="AA548" s="327"/>
      <c r="AB548" s="327"/>
      <c r="AC548" s="327"/>
      <c r="AD548" s="327"/>
      <c r="AE548" s="327"/>
      <c r="AF548" s="327"/>
      <c r="AG548" s="327"/>
      <c r="AH548" s="327"/>
    </row>
    <row r="549" spans="1:34" ht="11.25" customHeight="1" x14ac:dyDescent="0.2">
      <c r="A549" s="327"/>
      <c r="B549" s="327"/>
      <c r="C549" s="327"/>
      <c r="D549" s="327"/>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c r="AA549" s="327"/>
      <c r="AB549" s="327"/>
      <c r="AC549" s="327"/>
      <c r="AD549" s="327"/>
      <c r="AE549" s="327"/>
      <c r="AF549" s="327"/>
      <c r="AG549" s="327"/>
      <c r="AH549" s="327"/>
    </row>
    <row r="550" spans="1:34" ht="11.25" customHeight="1" x14ac:dyDescent="0.2">
      <c r="A550" s="327"/>
      <c r="B550" s="327"/>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c r="AA550" s="327"/>
      <c r="AB550" s="327"/>
      <c r="AC550" s="327"/>
      <c r="AD550" s="327"/>
      <c r="AE550" s="327"/>
      <c r="AF550" s="327"/>
      <c r="AG550" s="327"/>
      <c r="AH550" s="327"/>
    </row>
    <row r="551" spans="1:34" ht="11.25" customHeight="1" x14ac:dyDescent="0.2">
      <c r="A551" s="327"/>
      <c r="B551" s="327"/>
      <c r="C551" s="327"/>
      <c r="D551" s="327"/>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c r="AA551" s="327"/>
      <c r="AB551" s="327"/>
      <c r="AC551" s="327"/>
      <c r="AD551" s="327"/>
      <c r="AE551" s="327"/>
      <c r="AF551" s="327"/>
      <c r="AG551" s="327"/>
      <c r="AH551" s="327"/>
    </row>
    <row r="552" spans="1:34" ht="11.25" customHeight="1" x14ac:dyDescent="0.2">
      <c r="A552" s="327"/>
      <c r="B552" s="327"/>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c r="AA552" s="327"/>
      <c r="AB552" s="327"/>
      <c r="AC552" s="327"/>
      <c r="AD552" s="327"/>
      <c r="AE552" s="327"/>
      <c r="AF552" s="327"/>
      <c r="AG552" s="327"/>
      <c r="AH552" s="327"/>
    </row>
    <row r="553" spans="1:34" ht="11.25" customHeight="1" x14ac:dyDescent="0.2">
      <c r="A553" s="327"/>
      <c r="B553" s="327"/>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c r="AA553" s="327"/>
      <c r="AB553" s="327"/>
      <c r="AC553" s="327"/>
      <c r="AD553" s="327"/>
      <c r="AE553" s="327"/>
      <c r="AF553" s="327"/>
      <c r="AG553" s="327"/>
      <c r="AH553" s="327"/>
    </row>
    <row r="554" spans="1:34" ht="11.25" customHeight="1" x14ac:dyDescent="0.2">
      <c r="A554" s="327"/>
      <c r="B554" s="327"/>
      <c r="C554" s="327"/>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c r="AA554" s="327"/>
      <c r="AB554" s="327"/>
      <c r="AC554" s="327"/>
      <c r="AD554" s="327"/>
      <c r="AE554" s="327"/>
      <c r="AF554" s="327"/>
      <c r="AG554" s="327"/>
      <c r="AH554" s="327"/>
    </row>
    <row r="555" spans="1:34" ht="11.25" customHeight="1" x14ac:dyDescent="0.2">
      <c r="A555" s="327"/>
      <c r="B555" s="327"/>
      <c r="C555" s="327"/>
      <c r="D555" s="327"/>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c r="AA555" s="327"/>
      <c r="AB555" s="327"/>
      <c r="AC555" s="327"/>
      <c r="AD555" s="327"/>
      <c r="AE555" s="327"/>
      <c r="AF555" s="327"/>
      <c r="AG555" s="327"/>
      <c r="AH555" s="327"/>
    </row>
    <row r="556" spans="1:34" ht="11.25" customHeight="1" x14ac:dyDescent="0.2">
      <c r="A556" s="327"/>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c r="AA556" s="327"/>
      <c r="AB556" s="327"/>
      <c r="AC556" s="327"/>
      <c r="AD556" s="327"/>
      <c r="AE556" s="327"/>
      <c r="AF556" s="327"/>
      <c r="AG556" s="327"/>
      <c r="AH556" s="327"/>
    </row>
    <row r="557" spans="1:34" ht="11.25" customHeight="1" x14ac:dyDescent="0.2">
      <c r="A557" s="327"/>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c r="AA557" s="327"/>
      <c r="AB557" s="327"/>
      <c r="AC557" s="327"/>
      <c r="AD557" s="327"/>
      <c r="AE557" s="327"/>
      <c r="AF557" s="327"/>
      <c r="AG557" s="327"/>
      <c r="AH557" s="327"/>
    </row>
    <row r="558" spans="1:34" ht="11.25" customHeight="1" x14ac:dyDescent="0.2">
      <c r="A558" s="327"/>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c r="AA558" s="327"/>
      <c r="AB558" s="327"/>
      <c r="AC558" s="327"/>
      <c r="AD558" s="327"/>
      <c r="AE558" s="327"/>
      <c r="AF558" s="327"/>
      <c r="AG558" s="327"/>
      <c r="AH558" s="327"/>
    </row>
    <row r="559" spans="1:34" ht="11.25" customHeight="1" x14ac:dyDescent="0.2">
      <c r="A559" s="327"/>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c r="AA559" s="327"/>
      <c r="AB559" s="327"/>
      <c r="AC559" s="327"/>
      <c r="AD559" s="327"/>
      <c r="AE559" s="327"/>
      <c r="AF559" s="327"/>
      <c r="AG559" s="327"/>
      <c r="AH559" s="327"/>
    </row>
    <row r="560" spans="1:34" ht="11.25" customHeight="1" x14ac:dyDescent="0.2">
      <c r="A560" s="327"/>
      <c r="B560" s="327"/>
      <c r="C560" s="327"/>
      <c r="D560" s="327"/>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c r="AA560" s="327"/>
      <c r="AB560" s="327"/>
      <c r="AC560" s="327"/>
      <c r="AD560" s="327"/>
      <c r="AE560" s="327"/>
      <c r="AF560" s="327"/>
      <c r="AG560" s="327"/>
      <c r="AH560" s="327"/>
    </row>
    <row r="561" spans="1:34" ht="11.25" customHeight="1" x14ac:dyDescent="0.2">
      <c r="A561" s="327"/>
      <c r="B561" s="327"/>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c r="AA561" s="327"/>
      <c r="AB561" s="327"/>
      <c r="AC561" s="327"/>
      <c r="AD561" s="327"/>
      <c r="AE561" s="327"/>
      <c r="AF561" s="327"/>
      <c r="AG561" s="327"/>
      <c r="AH561" s="327"/>
    </row>
    <row r="562" spans="1:34" ht="11.25" customHeight="1" x14ac:dyDescent="0.2">
      <c r="A562" s="327"/>
      <c r="B562" s="327"/>
      <c r="C562" s="327"/>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c r="AA562" s="327"/>
      <c r="AB562" s="327"/>
      <c r="AC562" s="327"/>
      <c r="AD562" s="327"/>
      <c r="AE562" s="327"/>
      <c r="AF562" s="327"/>
      <c r="AG562" s="327"/>
      <c r="AH562" s="327"/>
    </row>
    <row r="563" spans="1:34" ht="11.25" customHeight="1" x14ac:dyDescent="0.2">
      <c r="A563" s="327"/>
      <c r="B563" s="327"/>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c r="AA563" s="327"/>
      <c r="AB563" s="327"/>
      <c r="AC563" s="327"/>
      <c r="AD563" s="327"/>
      <c r="AE563" s="327"/>
      <c r="AF563" s="327"/>
      <c r="AG563" s="327"/>
      <c r="AH563" s="327"/>
    </row>
    <row r="564" spans="1:34" ht="11.25" customHeight="1" x14ac:dyDescent="0.2">
      <c r="A564" s="327"/>
      <c r="B564" s="327"/>
      <c r="C564" s="327"/>
      <c r="D564" s="327"/>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c r="AA564" s="327"/>
      <c r="AB564" s="327"/>
      <c r="AC564" s="327"/>
      <c r="AD564" s="327"/>
      <c r="AE564" s="327"/>
      <c r="AF564" s="327"/>
      <c r="AG564" s="327"/>
      <c r="AH564" s="327"/>
    </row>
    <row r="565" spans="1:34" ht="11.25" customHeight="1" x14ac:dyDescent="0.2">
      <c r="A565" s="327"/>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c r="AB565" s="327"/>
      <c r="AC565" s="327"/>
      <c r="AD565" s="327"/>
      <c r="AE565" s="327"/>
      <c r="AF565" s="327"/>
      <c r="AG565" s="327"/>
      <c r="AH565" s="327"/>
    </row>
    <row r="566" spans="1:34" ht="11.25" customHeight="1" x14ac:dyDescent="0.2">
      <c r="A566" s="327"/>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c r="AA566" s="327"/>
      <c r="AB566" s="327"/>
      <c r="AC566" s="327"/>
      <c r="AD566" s="327"/>
      <c r="AE566" s="327"/>
      <c r="AF566" s="327"/>
      <c r="AG566" s="327"/>
      <c r="AH566" s="327"/>
    </row>
    <row r="567" spans="1:34" ht="11.25" customHeight="1" x14ac:dyDescent="0.2">
      <c r="A567" s="327"/>
      <c r="B567" s="327"/>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c r="AA567" s="327"/>
      <c r="AB567" s="327"/>
      <c r="AC567" s="327"/>
      <c r="AD567" s="327"/>
      <c r="AE567" s="327"/>
      <c r="AF567" s="327"/>
      <c r="AG567" s="327"/>
      <c r="AH567" s="327"/>
    </row>
    <row r="568" spans="1:34" ht="11.25" customHeight="1" x14ac:dyDescent="0.2">
      <c r="A568" s="327"/>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327"/>
      <c r="AE568" s="327"/>
      <c r="AF568" s="327"/>
      <c r="AG568" s="327"/>
      <c r="AH568" s="327"/>
    </row>
    <row r="569" spans="1:34" ht="11.25" customHeight="1" x14ac:dyDescent="0.2">
      <c r="A569" s="327"/>
      <c r="B569" s="327"/>
      <c r="C569" s="327"/>
      <c r="D569" s="327"/>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c r="AA569" s="327"/>
      <c r="AB569" s="327"/>
      <c r="AC569" s="327"/>
      <c r="AD569" s="327"/>
      <c r="AE569" s="327"/>
      <c r="AF569" s="327"/>
      <c r="AG569" s="327"/>
      <c r="AH569" s="327"/>
    </row>
    <row r="570" spans="1:34" ht="11.25" customHeight="1" x14ac:dyDescent="0.2">
      <c r="A570" s="327"/>
      <c r="B570" s="327"/>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c r="AA570" s="327"/>
      <c r="AB570" s="327"/>
      <c r="AC570" s="327"/>
      <c r="AD570" s="327"/>
      <c r="AE570" s="327"/>
      <c r="AF570" s="327"/>
      <c r="AG570" s="327"/>
      <c r="AH570" s="327"/>
    </row>
    <row r="571" spans="1:34" ht="11.25" customHeight="1" x14ac:dyDescent="0.2">
      <c r="A571" s="327"/>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c r="AA571" s="327"/>
      <c r="AB571" s="327"/>
      <c r="AC571" s="327"/>
      <c r="AD571" s="327"/>
      <c r="AE571" s="327"/>
      <c r="AF571" s="327"/>
      <c r="AG571" s="327"/>
      <c r="AH571" s="327"/>
    </row>
    <row r="572" spans="1:34" ht="11.25" customHeight="1" x14ac:dyDescent="0.2">
      <c r="A572" s="327"/>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c r="AA572" s="327"/>
      <c r="AB572" s="327"/>
      <c r="AC572" s="327"/>
      <c r="AD572" s="327"/>
      <c r="AE572" s="327"/>
      <c r="AF572" s="327"/>
      <c r="AG572" s="327"/>
      <c r="AH572" s="327"/>
    </row>
    <row r="573" spans="1:34" ht="11.25" customHeight="1" x14ac:dyDescent="0.2">
      <c r="A573" s="327"/>
      <c r="B573" s="327"/>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c r="AA573" s="327"/>
      <c r="AB573" s="327"/>
      <c r="AC573" s="327"/>
      <c r="AD573" s="327"/>
      <c r="AE573" s="327"/>
      <c r="AF573" s="327"/>
      <c r="AG573" s="327"/>
      <c r="AH573" s="327"/>
    </row>
    <row r="574" spans="1:34" ht="11.25" customHeight="1" x14ac:dyDescent="0.2">
      <c r="A574" s="327"/>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327"/>
      <c r="AE574" s="327"/>
      <c r="AF574" s="327"/>
      <c r="AG574" s="327"/>
      <c r="AH574" s="327"/>
    </row>
    <row r="575" spans="1:34" ht="11.25" customHeight="1" x14ac:dyDescent="0.2">
      <c r="A575" s="327"/>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327"/>
      <c r="AE575" s="327"/>
      <c r="AF575" s="327"/>
      <c r="AG575" s="327"/>
      <c r="AH575" s="327"/>
    </row>
    <row r="576" spans="1:34" ht="11.25" customHeight="1" x14ac:dyDescent="0.2">
      <c r="A576" s="327"/>
      <c r="B576" s="327"/>
      <c r="C576" s="327"/>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c r="AA576" s="327"/>
      <c r="AB576" s="327"/>
      <c r="AC576" s="327"/>
      <c r="AD576" s="327"/>
      <c r="AE576" s="327"/>
      <c r="AF576" s="327"/>
      <c r="AG576" s="327"/>
      <c r="AH576" s="327"/>
    </row>
    <row r="577" spans="1:34" ht="11.25" customHeight="1" x14ac:dyDescent="0.2">
      <c r="A577" s="327"/>
      <c r="B577" s="327"/>
      <c r="C577" s="327"/>
      <c r="D577" s="327"/>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c r="AA577" s="327"/>
      <c r="AB577" s="327"/>
      <c r="AC577" s="327"/>
      <c r="AD577" s="327"/>
      <c r="AE577" s="327"/>
      <c r="AF577" s="327"/>
      <c r="AG577" s="327"/>
      <c r="AH577" s="327"/>
    </row>
    <row r="578" spans="1:34" ht="11.25" customHeight="1" x14ac:dyDescent="0.2">
      <c r="A578" s="327"/>
      <c r="B578" s="327"/>
      <c r="C578" s="327"/>
      <c r="D578" s="327"/>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c r="AA578" s="327"/>
      <c r="AB578" s="327"/>
      <c r="AC578" s="327"/>
      <c r="AD578" s="327"/>
      <c r="AE578" s="327"/>
      <c r="AF578" s="327"/>
      <c r="AG578" s="327"/>
      <c r="AH578" s="327"/>
    </row>
    <row r="579" spans="1:34" ht="11.25" customHeight="1" x14ac:dyDescent="0.2">
      <c r="A579" s="327"/>
      <c r="B579" s="327"/>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c r="AA579" s="327"/>
      <c r="AB579" s="327"/>
      <c r="AC579" s="327"/>
      <c r="AD579" s="327"/>
      <c r="AE579" s="327"/>
      <c r="AF579" s="327"/>
      <c r="AG579" s="327"/>
      <c r="AH579" s="327"/>
    </row>
    <row r="580" spans="1:34" ht="11.25" customHeight="1" x14ac:dyDescent="0.2">
      <c r="A580" s="327"/>
      <c r="B580" s="327"/>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c r="AA580" s="327"/>
      <c r="AB580" s="327"/>
      <c r="AC580" s="327"/>
      <c r="AD580" s="327"/>
      <c r="AE580" s="327"/>
      <c r="AF580" s="327"/>
      <c r="AG580" s="327"/>
      <c r="AH580" s="327"/>
    </row>
    <row r="581" spans="1:34" ht="11.25" customHeight="1" x14ac:dyDescent="0.2">
      <c r="A581" s="327"/>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c r="AB581" s="327"/>
      <c r="AC581" s="327"/>
      <c r="AD581" s="327"/>
      <c r="AE581" s="327"/>
      <c r="AF581" s="327"/>
      <c r="AG581" s="327"/>
      <c r="AH581" s="327"/>
    </row>
    <row r="582" spans="1:34" ht="11.25" customHeight="1" x14ac:dyDescent="0.2">
      <c r="A582" s="327"/>
      <c r="B582" s="327"/>
      <c r="C582" s="327"/>
      <c r="D582" s="327"/>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c r="AA582" s="327"/>
      <c r="AB582" s="327"/>
      <c r="AC582" s="327"/>
      <c r="AD582" s="327"/>
      <c r="AE582" s="327"/>
      <c r="AF582" s="327"/>
      <c r="AG582" s="327"/>
      <c r="AH582" s="327"/>
    </row>
    <row r="583" spans="1:34" ht="11.25" customHeight="1" x14ac:dyDescent="0.2">
      <c r="A583" s="327"/>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c r="AA583" s="327"/>
      <c r="AB583" s="327"/>
      <c r="AC583" s="327"/>
      <c r="AD583" s="327"/>
      <c r="AE583" s="327"/>
      <c r="AF583" s="327"/>
      <c r="AG583" s="327"/>
      <c r="AH583" s="327"/>
    </row>
    <row r="584" spans="1:34" ht="11.25" customHeight="1" x14ac:dyDescent="0.2">
      <c r="A584" s="327"/>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c r="AA584" s="327"/>
      <c r="AB584" s="327"/>
      <c r="AC584" s="327"/>
      <c r="AD584" s="327"/>
      <c r="AE584" s="327"/>
      <c r="AF584" s="327"/>
      <c r="AG584" s="327"/>
      <c r="AH584" s="327"/>
    </row>
    <row r="585" spans="1:34" ht="11.25" customHeight="1" x14ac:dyDescent="0.2">
      <c r="A585" s="327"/>
      <c r="B585" s="327"/>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c r="AA585" s="327"/>
      <c r="AB585" s="327"/>
      <c r="AC585" s="327"/>
      <c r="AD585" s="327"/>
      <c r="AE585" s="327"/>
      <c r="AF585" s="327"/>
      <c r="AG585" s="327"/>
      <c r="AH585" s="327"/>
    </row>
    <row r="586" spans="1:34" ht="11.25" customHeight="1" x14ac:dyDescent="0.2">
      <c r="A586" s="327"/>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327"/>
      <c r="AE586" s="327"/>
      <c r="AF586" s="327"/>
      <c r="AG586" s="327"/>
      <c r="AH586" s="327"/>
    </row>
    <row r="587" spans="1:34" ht="11.25" customHeight="1" x14ac:dyDescent="0.2">
      <c r="A587" s="327"/>
      <c r="B587" s="327"/>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c r="AA587" s="327"/>
      <c r="AB587" s="327"/>
      <c r="AC587" s="327"/>
      <c r="AD587" s="327"/>
      <c r="AE587" s="327"/>
      <c r="AF587" s="327"/>
      <c r="AG587" s="327"/>
      <c r="AH587" s="327"/>
    </row>
    <row r="588" spans="1:34" ht="11.25" customHeight="1" x14ac:dyDescent="0.2">
      <c r="A588" s="327"/>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c r="AA588" s="327"/>
      <c r="AB588" s="327"/>
      <c r="AC588" s="327"/>
      <c r="AD588" s="327"/>
      <c r="AE588" s="327"/>
      <c r="AF588" s="327"/>
      <c r="AG588" s="327"/>
      <c r="AH588" s="327"/>
    </row>
    <row r="589" spans="1:34" ht="11.25" customHeight="1" x14ac:dyDescent="0.2">
      <c r="A589" s="327"/>
      <c r="B589" s="327"/>
      <c r="C589" s="327"/>
      <c r="D589" s="327"/>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c r="AA589" s="327"/>
      <c r="AB589" s="327"/>
      <c r="AC589" s="327"/>
      <c r="AD589" s="327"/>
      <c r="AE589" s="327"/>
      <c r="AF589" s="327"/>
      <c r="AG589" s="327"/>
      <c r="AH589" s="327"/>
    </row>
    <row r="590" spans="1:34" ht="11.25" customHeight="1" x14ac:dyDescent="0.2">
      <c r="A590" s="327"/>
      <c r="B590" s="327"/>
      <c r="C590" s="327"/>
      <c r="D590" s="327"/>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c r="AA590" s="327"/>
      <c r="AB590" s="327"/>
      <c r="AC590" s="327"/>
      <c r="AD590" s="327"/>
      <c r="AE590" s="327"/>
      <c r="AF590" s="327"/>
      <c r="AG590" s="327"/>
      <c r="AH590" s="327"/>
    </row>
    <row r="591" spans="1:34" ht="11.25" customHeight="1" x14ac:dyDescent="0.2">
      <c r="A591" s="327"/>
      <c r="B591" s="327"/>
      <c r="C591" s="327"/>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c r="AA591" s="327"/>
      <c r="AB591" s="327"/>
      <c r="AC591" s="327"/>
      <c r="AD591" s="327"/>
      <c r="AE591" s="327"/>
      <c r="AF591" s="327"/>
      <c r="AG591" s="327"/>
      <c r="AH591" s="327"/>
    </row>
    <row r="592" spans="1:34" ht="11.25" customHeight="1" x14ac:dyDescent="0.2">
      <c r="A592" s="327"/>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c r="AE592" s="327"/>
      <c r="AF592" s="327"/>
      <c r="AG592" s="327"/>
      <c r="AH592" s="327"/>
    </row>
    <row r="593" spans="1:34" ht="11.25" customHeight="1" x14ac:dyDescent="0.2">
      <c r="A593" s="327"/>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c r="AA593" s="327"/>
      <c r="AB593" s="327"/>
      <c r="AC593" s="327"/>
      <c r="AD593" s="327"/>
      <c r="AE593" s="327"/>
      <c r="AF593" s="327"/>
      <c r="AG593" s="327"/>
      <c r="AH593" s="327"/>
    </row>
    <row r="594" spans="1:34" ht="11.25" customHeight="1" x14ac:dyDescent="0.2">
      <c r="A594" s="327"/>
      <c r="B594" s="327"/>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c r="AA594" s="327"/>
      <c r="AB594" s="327"/>
      <c r="AC594" s="327"/>
      <c r="AD594" s="327"/>
      <c r="AE594" s="327"/>
      <c r="AF594" s="327"/>
      <c r="AG594" s="327"/>
      <c r="AH594" s="327"/>
    </row>
    <row r="595" spans="1:34" ht="11.25" customHeight="1" x14ac:dyDescent="0.2">
      <c r="A595" s="327"/>
      <c r="B595" s="327"/>
      <c r="C595" s="327"/>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c r="AA595" s="327"/>
      <c r="AB595" s="327"/>
      <c r="AC595" s="327"/>
      <c r="AD595" s="327"/>
      <c r="AE595" s="327"/>
      <c r="AF595" s="327"/>
      <c r="AG595" s="327"/>
      <c r="AH595" s="327"/>
    </row>
    <row r="596" spans="1:34" ht="11.25" customHeight="1" x14ac:dyDescent="0.2">
      <c r="A596" s="327"/>
      <c r="B596" s="327"/>
      <c r="C596" s="327"/>
      <c r="D596" s="327"/>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c r="AA596" s="327"/>
      <c r="AB596" s="327"/>
      <c r="AC596" s="327"/>
      <c r="AD596" s="327"/>
      <c r="AE596" s="327"/>
      <c r="AF596" s="327"/>
      <c r="AG596" s="327"/>
      <c r="AH596" s="327"/>
    </row>
    <row r="597" spans="1:34" ht="11.25" customHeight="1" x14ac:dyDescent="0.2">
      <c r="A597" s="327"/>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c r="AA597" s="327"/>
      <c r="AB597" s="327"/>
      <c r="AC597" s="327"/>
      <c r="AD597" s="327"/>
      <c r="AE597" s="327"/>
      <c r="AF597" s="327"/>
      <c r="AG597" s="327"/>
      <c r="AH597" s="327"/>
    </row>
    <row r="598" spans="1:34" ht="11.25" customHeight="1" x14ac:dyDescent="0.2">
      <c r="A598" s="327"/>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c r="AA598" s="327"/>
      <c r="AB598" s="327"/>
      <c r="AC598" s="327"/>
      <c r="AD598" s="327"/>
      <c r="AE598" s="327"/>
      <c r="AF598" s="327"/>
      <c r="AG598" s="327"/>
      <c r="AH598" s="327"/>
    </row>
    <row r="599" spans="1:34" ht="11.25" customHeight="1" x14ac:dyDescent="0.2">
      <c r="A599" s="327"/>
      <c r="B599" s="327"/>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c r="AA599" s="327"/>
      <c r="AB599" s="327"/>
      <c r="AC599" s="327"/>
      <c r="AD599" s="327"/>
      <c r="AE599" s="327"/>
      <c r="AF599" s="327"/>
      <c r="AG599" s="327"/>
      <c r="AH599" s="327"/>
    </row>
    <row r="600" spans="1:34" ht="11.25" customHeight="1" x14ac:dyDescent="0.2">
      <c r="A600" s="327"/>
      <c r="B600" s="327"/>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c r="AA600" s="327"/>
      <c r="AB600" s="327"/>
      <c r="AC600" s="327"/>
      <c r="AD600" s="327"/>
      <c r="AE600" s="327"/>
      <c r="AF600" s="327"/>
      <c r="AG600" s="327"/>
      <c r="AH600" s="327"/>
    </row>
    <row r="601" spans="1:34" ht="11.25" customHeight="1" x14ac:dyDescent="0.2">
      <c r="A601" s="327"/>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327"/>
      <c r="AE601" s="327"/>
      <c r="AF601" s="327"/>
      <c r="AG601" s="327"/>
      <c r="AH601" s="327"/>
    </row>
    <row r="602" spans="1:34" ht="11.25" customHeight="1" x14ac:dyDescent="0.2">
      <c r="A602" s="327"/>
      <c r="B602" s="327"/>
      <c r="C602" s="327"/>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c r="AA602" s="327"/>
      <c r="AB602" s="327"/>
      <c r="AC602" s="327"/>
      <c r="AD602" s="327"/>
      <c r="AE602" s="327"/>
      <c r="AF602" s="327"/>
      <c r="AG602" s="327"/>
      <c r="AH602" s="327"/>
    </row>
    <row r="603" spans="1:34" ht="11.25" customHeight="1" x14ac:dyDescent="0.2">
      <c r="A603" s="327"/>
      <c r="B603" s="327"/>
      <c r="C603" s="327"/>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c r="AA603" s="327"/>
      <c r="AB603" s="327"/>
      <c r="AC603" s="327"/>
      <c r="AD603" s="327"/>
      <c r="AE603" s="327"/>
      <c r="AF603" s="327"/>
      <c r="AG603" s="327"/>
      <c r="AH603" s="327"/>
    </row>
    <row r="604" spans="1:34" ht="11.25" customHeight="1" x14ac:dyDescent="0.2">
      <c r="A604" s="327"/>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327"/>
      <c r="AE604" s="327"/>
      <c r="AF604" s="327"/>
      <c r="AG604" s="327"/>
      <c r="AH604" s="327"/>
    </row>
    <row r="605" spans="1:34" ht="11.25" customHeight="1" x14ac:dyDescent="0.2">
      <c r="A605" s="327"/>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c r="AA605" s="327"/>
      <c r="AB605" s="327"/>
      <c r="AC605" s="327"/>
      <c r="AD605" s="327"/>
      <c r="AE605" s="327"/>
      <c r="AF605" s="327"/>
      <c r="AG605" s="327"/>
      <c r="AH605" s="327"/>
    </row>
    <row r="606" spans="1:34" ht="11.25" customHeight="1" x14ac:dyDescent="0.2">
      <c r="A606" s="327"/>
      <c r="B606" s="327"/>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c r="AA606" s="327"/>
      <c r="AB606" s="327"/>
      <c r="AC606" s="327"/>
      <c r="AD606" s="327"/>
      <c r="AE606" s="327"/>
      <c r="AF606" s="327"/>
      <c r="AG606" s="327"/>
      <c r="AH606" s="327"/>
    </row>
    <row r="607" spans="1:34" ht="11.25" customHeight="1" x14ac:dyDescent="0.2">
      <c r="A607" s="327"/>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c r="AB607" s="327"/>
      <c r="AC607" s="327"/>
      <c r="AD607" s="327"/>
      <c r="AE607" s="327"/>
      <c r="AF607" s="327"/>
      <c r="AG607" s="327"/>
      <c r="AH607" s="327"/>
    </row>
    <row r="608" spans="1:34" ht="11.25" customHeight="1" x14ac:dyDescent="0.2">
      <c r="A608" s="327"/>
      <c r="B608" s="327"/>
      <c r="C608" s="327"/>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c r="AA608" s="327"/>
      <c r="AB608" s="327"/>
      <c r="AC608" s="327"/>
      <c r="AD608" s="327"/>
      <c r="AE608" s="327"/>
      <c r="AF608" s="327"/>
      <c r="AG608" s="327"/>
      <c r="AH608" s="327"/>
    </row>
    <row r="609" spans="1:34" ht="11.25" customHeight="1" x14ac:dyDescent="0.2">
      <c r="A609" s="327"/>
      <c r="B609" s="327"/>
      <c r="C609" s="327"/>
      <c r="D609" s="327"/>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c r="AA609" s="327"/>
      <c r="AB609" s="327"/>
      <c r="AC609" s="327"/>
      <c r="AD609" s="327"/>
      <c r="AE609" s="327"/>
      <c r="AF609" s="327"/>
      <c r="AG609" s="327"/>
      <c r="AH609" s="327"/>
    </row>
    <row r="610" spans="1:34" ht="11.25" customHeight="1" x14ac:dyDescent="0.2">
      <c r="A610" s="327"/>
      <c r="B610" s="327"/>
      <c r="C610" s="327"/>
      <c r="D610" s="327"/>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c r="AA610" s="327"/>
      <c r="AB610" s="327"/>
      <c r="AC610" s="327"/>
      <c r="AD610" s="327"/>
      <c r="AE610" s="327"/>
      <c r="AF610" s="327"/>
      <c r="AG610" s="327"/>
      <c r="AH610" s="327"/>
    </row>
    <row r="611" spans="1:34" ht="11.25" customHeight="1" x14ac:dyDescent="0.2">
      <c r="A611" s="327"/>
      <c r="B611" s="327"/>
      <c r="C611" s="327"/>
      <c r="D611" s="327"/>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c r="AA611" s="327"/>
      <c r="AB611" s="327"/>
      <c r="AC611" s="327"/>
      <c r="AD611" s="327"/>
      <c r="AE611" s="327"/>
      <c r="AF611" s="327"/>
      <c r="AG611" s="327"/>
      <c r="AH611" s="327"/>
    </row>
    <row r="612" spans="1:34" ht="11.25" customHeight="1" x14ac:dyDescent="0.2">
      <c r="A612" s="327"/>
      <c r="B612" s="327"/>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c r="AA612" s="327"/>
      <c r="AB612" s="327"/>
      <c r="AC612" s="327"/>
      <c r="AD612" s="327"/>
      <c r="AE612" s="327"/>
      <c r="AF612" s="327"/>
      <c r="AG612" s="327"/>
      <c r="AH612" s="327"/>
    </row>
    <row r="613" spans="1:34" ht="11.25" customHeight="1" x14ac:dyDescent="0.2">
      <c r="A613" s="327"/>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c r="AB613" s="327"/>
      <c r="AC613" s="327"/>
      <c r="AD613" s="327"/>
      <c r="AE613" s="327"/>
      <c r="AF613" s="327"/>
      <c r="AG613" s="327"/>
      <c r="AH613" s="327"/>
    </row>
    <row r="614" spans="1:34" ht="11.25" customHeight="1" x14ac:dyDescent="0.2">
      <c r="A614" s="327"/>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c r="AA614" s="327"/>
      <c r="AB614" s="327"/>
      <c r="AC614" s="327"/>
      <c r="AD614" s="327"/>
      <c r="AE614" s="327"/>
      <c r="AF614" s="327"/>
      <c r="AG614" s="327"/>
      <c r="AH614" s="327"/>
    </row>
    <row r="615" spans="1:34" ht="11.25" customHeight="1" x14ac:dyDescent="0.2">
      <c r="A615" s="327"/>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c r="AA615" s="327"/>
      <c r="AB615" s="327"/>
      <c r="AC615" s="327"/>
      <c r="AD615" s="327"/>
      <c r="AE615" s="327"/>
      <c r="AF615" s="327"/>
      <c r="AG615" s="327"/>
      <c r="AH615" s="327"/>
    </row>
    <row r="616" spans="1:34" ht="11.25" customHeight="1" x14ac:dyDescent="0.2">
      <c r="A616" s="327"/>
      <c r="B616" s="327"/>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c r="AA616" s="327"/>
      <c r="AB616" s="327"/>
      <c r="AC616" s="327"/>
      <c r="AD616" s="327"/>
      <c r="AE616" s="327"/>
      <c r="AF616" s="327"/>
      <c r="AG616" s="327"/>
      <c r="AH616" s="327"/>
    </row>
    <row r="617" spans="1:34" ht="11.25" customHeight="1" x14ac:dyDescent="0.2">
      <c r="A617" s="327"/>
      <c r="B617" s="327"/>
      <c r="C617" s="327"/>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c r="AA617" s="327"/>
      <c r="AB617" s="327"/>
      <c r="AC617" s="327"/>
      <c r="AD617" s="327"/>
      <c r="AE617" s="327"/>
      <c r="AF617" s="327"/>
      <c r="AG617" s="327"/>
      <c r="AH617" s="327"/>
    </row>
    <row r="618" spans="1:34" ht="11.25" customHeight="1" x14ac:dyDescent="0.2">
      <c r="A618" s="327"/>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c r="AB618" s="327"/>
      <c r="AC618" s="327"/>
      <c r="AD618" s="327"/>
      <c r="AE618" s="327"/>
      <c r="AF618" s="327"/>
      <c r="AG618" s="327"/>
      <c r="AH618" s="327"/>
    </row>
    <row r="619" spans="1:34" ht="11.25" customHeight="1" x14ac:dyDescent="0.2">
      <c r="A619" s="327"/>
      <c r="B619" s="327"/>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c r="AA619" s="327"/>
      <c r="AB619" s="327"/>
      <c r="AC619" s="327"/>
      <c r="AD619" s="327"/>
      <c r="AE619" s="327"/>
      <c r="AF619" s="327"/>
      <c r="AG619" s="327"/>
      <c r="AH619" s="327"/>
    </row>
    <row r="620" spans="1:34" ht="11.25" customHeight="1" x14ac:dyDescent="0.2">
      <c r="A620" s="327"/>
      <c r="B620" s="327"/>
      <c r="C620" s="327"/>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c r="AA620" s="327"/>
      <c r="AB620" s="327"/>
      <c r="AC620" s="327"/>
      <c r="AD620" s="327"/>
      <c r="AE620" s="327"/>
      <c r="AF620" s="327"/>
      <c r="AG620" s="327"/>
      <c r="AH620" s="327"/>
    </row>
    <row r="621" spans="1:34" ht="11.25" customHeight="1" x14ac:dyDescent="0.2">
      <c r="A621" s="327"/>
      <c r="B621" s="327"/>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c r="AA621" s="327"/>
      <c r="AB621" s="327"/>
      <c r="AC621" s="327"/>
      <c r="AD621" s="327"/>
      <c r="AE621" s="327"/>
      <c r="AF621" s="327"/>
      <c r="AG621" s="327"/>
      <c r="AH621" s="327"/>
    </row>
    <row r="622" spans="1:34" ht="11.25" customHeight="1" x14ac:dyDescent="0.2">
      <c r="A622" s="327"/>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327"/>
      <c r="AE622" s="327"/>
      <c r="AF622" s="327"/>
      <c r="AG622" s="327"/>
      <c r="AH622" s="327"/>
    </row>
    <row r="623" spans="1:34" ht="11.25" customHeight="1" x14ac:dyDescent="0.2">
      <c r="A623" s="327"/>
      <c r="B623" s="327"/>
      <c r="C623" s="327"/>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c r="AA623" s="327"/>
      <c r="AB623" s="327"/>
      <c r="AC623" s="327"/>
      <c r="AD623" s="327"/>
      <c r="AE623" s="327"/>
      <c r="AF623" s="327"/>
      <c r="AG623" s="327"/>
      <c r="AH623" s="327"/>
    </row>
    <row r="624" spans="1:34" ht="11.25" customHeight="1" x14ac:dyDescent="0.2">
      <c r="A624" s="327"/>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c r="AB624" s="327"/>
      <c r="AC624" s="327"/>
      <c r="AD624" s="327"/>
      <c r="AE624" s="327"/>
      <c r="AF624" s="327"/>
      <c r="AG624" s="327"/>
      <c r="AH624" s="327"/>
    </row>
    <row r="625" spans="1:34" ht="11.25" customHeight="1" x14ac:dyDescent="0.2">
      <c r="A625" s="327"/>
      <c r="B625" s="327"/>
      <c r="C625" s="327"/>
      <c r="D625" s="327"/>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c r="AA625" s="327"/>
      <c r="AB625" s="327"/>
      <c r="AC625" s="327"/>
      <c r="AD625" s="327"/>
      <c r="AE625" s="327"/>
      <c r="AF625" s="327"/>
      <c r="AG625" s="327"/>
      <c r="AH625" s="327"/>
    </row>
    <row r="626" spans="1:34" ht="11.25" customHeight="1" x14ac:dyDescent="0.2">
      <c r="A626" s="327"/>
      <c r="B626" s="327"/>
      <c r="C626" s="327"/>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c r="AA626" s="327"/>
      <c r="AB626" s="327"/>
      <c r="AC626" s="327"/>
      <c r="AD626" s="327"/>
      <c r="AE626" s="327"/>
      <c r="AF626" s="327"/>
      <c r="AG626" s="327"/>
      <c r="AH626" s="327"/>
    </row>
    <row r="627" spans="1:34" ht="11.25" customHeight="1" x14ac:dyDescent="0.2">
      <c r="A627" s="327"/>
      <c r="B627" s="327"/>
      <c r="C627" s="327"/>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c r="AA627" s="327"/>
      <c r="AB627" s="327"/>
      <c r="AC627" s="327"/>
      <c r="AD627" s="327"/>
      <c r="AE627" s="327"/>
      <c r="AF627" s="327"/>
      <c r="AG627" s="327"/>
      <c r="AH627" s="327"/>
    </row>
    <row r="628" spans="1:34" ht="11.25" customHeight="1" x14ac:dyDescent="0.2">
      <c r="A628" s="327"/>
      <c r="B628" s="327"/>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c r="AA628" s="327"/>
      <c r="AB628" s="327"/>
      <c r="AC628" s="327"/>
      <c r="AD628" s="327"/>
      <c r="AE628" s="327"/>
      <c r="AF628" s="327"/>
      <c r="AG628" s="327"/>
      <c r="AH628" s="327"/>
    </row>
    <row r="629" spans="1:34" ht="11.25" customHeight="1" x14ac:dyDescent="0.2">
      <c r="A629" s="327"/>
      <c r="B629" s="327"/>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c r="AA629" s="327"/>
      <c r="AB629" s="327"/>
      <c r="AC629" s="327"/>
      <c r="AD629" s="327"/>
      <c r="AE629" s="327"/>
      <c r="AF629" s="327"/>
      <c r="AG629" s="327"/>
      <c r="AH629" s="327"/>
    </row>
    <row r="630" spans="1:34" ht="11.25" customHeight="1" x14ac:dyDescent="0.2">
      <c r="A630" s="327"/>
      <c r="B630" s="327"/>
      <c r="C630" s="327"/>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c r="AA630" s="327"/>
      <c r="AB630" s="327"/>
      <c r="AC630" s="327"/>
      <c r="AD630" s="327"/>
      <c r="AE630" s="327"/>
      <c r="AF630" s="327"/>
      <c r="AG630" s="327"/>
      <c r="AH630" s="327"/>
    </row>
    <row r="631" spans="1:34" ht="11.25" customHeight="1" x14ac:dyDescent="0.2">
      <c r="A631" s="327"/>
      <c r="B631" s="327"/>
      <c r="C631" s="327"/>
      <c r="D631" s="327"/>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c r="AA631" s="327"/>
      <c r="AB631" s="327"/>
      <c r="AC631" s="327"/>
      <c r="AD631" s="327"/>
      <c r="AE631" s="327"/>
      <c r="AF631" s="327"/>
      <c r="AG631" s="327"/>
      <c r="AH631" s="327"/>
    </row>
    <row r="632" spans="1:34" ht="11.25" customHeight="1" x14ac:dyDescent="0.2">
      <c r="A632" s="327"/>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c r="AE632" s="327"/>
      <c r="AF632" s="327"/>
      <c r="AG632" s="327"/>
      <c r="AH632" s="327"/>
    </row>
    <row r="633" spans="1:34" ht="11.25" customHeight="1" x14ac:dyDescent="0.2">
      <c r="A633" s="327"/>
      <c r="B633" s="327"/>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c r="AA633" s="327"/>
      <c r="AB633" s="327"/>
      <c r="AC633" s="327"/>
      <c r="AD633" s="327"/>
      <c r="AE633" s="327"/>
      <c r="AF633" s="327"/>
      <c r="AG633" s="327"/>
      <c r="AH633" s="327"/>
    </row>
    <row r="634" spans="1:34" ht="11.25" customHeight="1" x14ac:dyDescent="0.2">
      <c r="A634" s="327"/>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c r="AA634" s="327"/>
      <c r="AB634" s="327"/>
      <c r="AC634" s="327"/>
      <c r="AD634" s="327"/>
      <c r="AE634" s="327"/>
      <c r="AF634" s="327"/>
      <c r="AG634" s="327"/>
      <c r="AH634" s="327"/>
    </row>
    <row r="635" spans="1:34" ht="11.25" customHeight="1" x14ac:dyDescent="0.2">
      <c r="A635" s="327"/>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c r="AA635" s="327"/>
      <c r="AB635" s="327"/>
      <c r="AC635" s="327"/>
      <c r="AD635" s="327"/>
      <c r="AE635" s="327"/>
      <c r="AF635" s="327"/>
      <c r="AG635" s="327"/>
      <c r="AH635" s="327"/>
    </row>
    <row r="636" spans="1:34" ht="11.25" customHeight="1" x14ac:dyDescent="0.2">
      <c r="A636" s="327"/>
      <c r="B636" s="327"/>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c r="AA636" s="327"/>
      <c r="AB636" s="327"/>
      <c r="AC636" s="327"/>
      <c r="AD636" s="327"/>
      <c r="AE636" s="327"/>
      <c r="AF636" s="327"/>
      <c r="AG636" s="327"/>
      <c r="AH636" s="327"/>
    </row>
    <row r="637" spans="1:34" ht="11.25" customHeight="1" x14ac:dyDescent="0.2">
      <c r="A637" s="327"/>
      <c r="B637" s="327"/>
      <c r="C637" s="327"/>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c r="AA637" s="327"/>
      <c r="AB637" s="327"/>
      <c r="AC637" s="327"/>
      <c r="AD637" s="327"/>
      <c r="AE637" s="327"/>
      <c r="AF637" s="327"/>
      <c r="AG637" s="327"/>
      <c r="AH637" s="327"/>
    </row>
    <row r="638" spans="1:34" ht="11.25" customHeight="1" x14ac:dyDescent="0.2">
      <c r="A638" s="327"/>
      <c r="B638" s="327"/>
      <c r="C638" s="327"/>
      <c r="D638" s="327"/>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c r="AA638" s="327"/>
      <c r="AB638" s="327"/>
      <c r="AC638" s="327"/>
      <c r="AD638" s="327"/>
      <c r="AE638" s="327"/>
      <c r="AF638" s="327"/>
      <c r="AG638" s="327"/>
      <c r="AH638" s="327"/>
    </row>
    <row r="639" spans="1:34" ht="11.25" customHeight="1" x14ac:dyDescent="0.2">
      <c r="A639" s="327"/>
      <c r="B639" s="327"/>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c r="AA639" s="327"/>
      <c r="AB639" s="327"/>
      <c r="AC639" s="327"/>
      <c r="AD639" s="327"/>
      <c r="AE639" s="327"/>
      <c r="AF639" s="327"/>
      <c r="AG639" s="327"/>
      <c r="AH639" s="327"/>
    </row>
    <row r="640" spans="1:34" ht="11.25" customHeight="1" x14ac:dyDescent="0.2">
      <c r="A640" s="327"/>
      <c r="B640" s="327"/>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c r="AA640" s="327"/>
      <c r="AB640" s="327"/>
      <c r="AC640" s="327"/>
      <c r="AD640" s="327"/>
      <c r="AE640" s="327"/>
      <c r="AF640" s="327"/>
      <c r="AG640" s="327"/>
      <c r="AH640" s="327"/>
    </row>
    <row r="641" spans="1:34" ht="11.25" customHeight="1" x14ac:dyDescent="0.2">
      <c r="A641" s="327"/>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c r="AA641" s="327"/>
      <c r="AB641" s="327"/>
      <c r="AC641" s="327"/>
      <c r="AD641" s="327"/>
      <c r="AE641" s="327"/>
      <c r="AF641" s="327"/>
      <c r="AG641" s="327"/>
      <c r="AH641" s="327"/>
    </row>
    <row r="642" spans="1:34" ht="11.25" customHeight="1" x14ac:dyDescent="0.2">
      <c r="A642" s="327"/>
      <c r="B642" s="327"/>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c r="AA642" s="327"/>
      <c r="AB642" s="327"/>
      <c r="AC642" s="327"/>
      <c r="AD642" s="327"/>
      <c r="AE642" s="327"/>
      <c r="AF642" s="327"/>
      <c r="AG642" s="327"/>
      <c r="AH642" s="327"/>
    </row>
    <row r="643" spans="1:34" ht="11.25" customHeight="1" x14ac:dyDescent="0.2">
      <c r="A643" s="327"/>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c r="AA643" s="327"/>
      <c r="AB643" s="327"/>
      <c r="AC643" s="327"/>
      <c r="AD643" s="327"/>
      <c r="AE643" s="327"/>
      <c r="AF643" s="327"/>
      <c r="AG643" s="327"/>
      <c r="AH643" s="327"/>
    </row>
    <row r="644" spans="1:34" ht="11.25" customHeight="1" x14ac:dyDescent="0.2">
      <c r="A644" s="327"/>
      <c r="B644" s="327"/>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c r="AA644" s="327"/>
      <c r="AB644" s="327"/>
      <c r="AC644" s="327"/>
      <c r="AD644" s="327"/>
      <c r="AE644" s="327"/>
      <c r="AF644" s="327"/>
      <c r="AG644" s="327"/>
      <c r="AH644" s="327"/>
    </row>
    <row r="645" spans="1:34" ht="11.25" customHeight="1" x14ac:dyDescent="0.2">
      <c r="A645" s="327"/>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c r="AA645" s="327"/>
      <c r="AB645" s="327"/>
      <c r="AC645" s="327"/>
      <c r="AD645" s="327"/>
      <c r="AE645" s="327"/>
      <c r="AF645" s="327"/>
      <c r="AG645" s="327"/>
      <c r="AH645" s="327"/>
    </row>
    <row r="646" spans="1:34" ht="11.25" customHeight="1" x14ac:dyDescent="0.2">
      <c r="A646" s="327"/>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c r="AA646" s="327"/>
      <c r="AB646" s="327"/>
      <c r="AC646" s="327"/>
      <c r="AD646" s="327"/>
      <c r="AE646" s="327"/>
      <c r="AF646" s="327"/>
      <c r="AG646" s="327"/>
      <c r="AH646" s="327"/>
    </row>
    <row r="647" spans="1:34" ht="11.25" customHeight="1" x14ac:dyDescent="0.2">
      <c r="A647" s="327"/>
      <c r="B647" s="327"/>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c r="AA647" s="327"/>
      <c r="AB647" s="327"/>
      <c r="AC647" s="327"/>
      <c r="AD647" s="327"/>
      <c r="AE647" s="327"/>
      <c r="AF647" s="327"/>
      <c r="AG647" s="327"/>
      <c r="AH647" s="327"/>
    </row>
    <row r="648" spans="1:34" ht="11.25" customHeight="1" x14ac:dyDescent="0.2">
      <c r="A648" s="327"/>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327"/>
      <c r="AE648" s="327"/>
      <c r="AF648" s="327"/>
      <c r="AG648" s="327"/>
      <c r="AH648" s="327"/>
    </row>
    <row r="649" spans="1:34" ht="11.25" customHeight="1" x14ac:dyDescent="0.2">
      <c r="A649" s="327"/>
      <c r="B649" s="327"/>
      <c r="C649" s="327"/>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c r="AA649" s="327"/>
      <c r="AB649" s="327"/>
      <c r="AC649" s="327"/>
      <c r="AD649" s="327"/>
      <c r="AE649" s="327"/>
      <c r="AF649" s="327"/>
      <c r="AG649" s="327"/>
      <c r="AH649" s="327"/>
    </row>
    <row r="650" spans="1:34" ht="11.25" customHeight="1" x14ac:dyDescent="0.2">
      <c r="A650" s="327"/>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327"/>
      <c r="AE650" s="327"/>
      <c r="AF650" s="327"/>
      <c r="AG650" s="327"/>
      <c r="AH650" s="327"/>
    </row>
    <row r="651" spans="1:34" ht="11.25" customHeight="1" x14ac:dyDescent="0.2">
      <c r="A651" s="327"/>
      <c r="B651" s="327"/>
      <c r="C651" s="327"/>
      <c r="D651" s="327"/>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c r="AA651" s="327"/>
      <c r="AB651" s="327"/>
      <c r="AC651" s="327"/>
      <c r="AD651" s="327"/>
      <c r="AE651" s="327"/>
      <c r="AF651" s="327"/>
      <c r="AG651" s="327"/>
      <c r="AH651" s="327"/>
    </row>
    <row r="652" spans="1:34" ht="11.25" customHeight="1" x14ac:dyDescent="0.2">
      <c r="A652" s="327"/>
      <c r="B652" s="327"/>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c r="AA652" s="327"/>
      <c r="AB652" s="327"/>
      <c r="AC652" s="327"/>
      <c r="AD652" s="327"/>
      <c r="AE652" s="327"/>
      <c r="AF652" s="327"/>
      <c r="AG652" s="327"/>
      <c r="AH652" s="327"/>
    </row>
    <row r="653" spans="1:34" ht="11.25" customHeight="1" x14ac:dyDescent="0.2">
      <c r="A653" s="327"/>
      <c r="B653" s="327"/>
      <c r="C653" s="327"/>
      <c r="D653" s="327"/>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c r="AA653" s="327"/>
      <c r="AB653" s="327"/>
      <c r="AC653" s="327"/>
      <c r="AD653" s="327"/>
      <c r="AE653" s="327"/>
      <c r="AF653" s="327"/>
      <c r="AG653" s="327"/>
      <c r="AH653" s="327"/>
    </row>
    <row r="654" spans="1:34" ht="11.25" customHeight="1" x14ac:dyDescent="0.2">
      <c r="A654" s="327"/>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c r="AA654" s="327"/>
      <c r="AB654" s="327"/>
      <c r="AC654" s="327"/>
      <c r="AD654" s="327"/>
      <c r="AE654" s="327"/>
      <c r="AF654" s="327"/>
      <c r="AG654" s="327"/>
      <c r="AH654" s="327"/>
    </row>
    <row r="655" spans="1:34" ht="11.25" customHeight="1" x14ac:dyDescent="0.2">
      <c r="A655" s="327"/>
      <c r="B655" s="327"/>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c r="AA655" s="327"/>
      <c r="AB655" s="327"/>
      <c r="AC655" s="327"/>
      <c r="AD655" s="327"/>
      <c r="AE655" s="327"/>
      <c r="AF655" s="327"/>
      <c r="AG655" s="327"/>
      <c r="AH655" s="327"/>
    </row>
    <row r="656" spans="1:34" ht="11.25" customHeight="1" x14ac:dyDescent="0.2">
      <c r="A656" s="327"/>
      <c r="B656" s="327"/>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c r="AA656" s="327"/>
      <c r="AB656" s="327"/>
      <c r="AC656" s="327"/>
      <c r="AD656" s="327"/>
      <c r="AE656" s="327"/>
      <c r="AF656" s="327"/>
      <c r="AG656" s="327"/>
      <c r="AH656" s="327"/>
    </row>
    <row r="657" spans="1:34" ht="11.25" customHeight="1" x14ac:dyDescent="0.2">
      <c r="A657" s="327"/>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c r="AB657" s="327"/>
      <c r="AC657" s="327"/>
      <c r="AD657" s="327"/>
      <c r="AE657" s="327"/>
      <c r="AF657" s="327"/>
      <c r="AG657" s="327"/>
      <c r="AH657" s="327"/>
    </row>
    <row r="658" spans="1:34" ht="11.25" customHeight="1" x14ac:dyDescent="0.2">
      <c r="A658" s="327"/>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c r="AA658" s="327"/>
      <c r="AB658" s="327"/>
      <c r="AC658" s="327"/>
      <c r="AD658" s="327"/>
      <c r="AE658" s="327"/>
      <c r="AF658" s="327"/>
      <c r="AG658" s="327"/>
      <c r="AH658" s="327"/>
    </row>
    <row r="659" spans="1:34" ht="11.25" customHeight="1" x14ac:dyDescent="0.2">
      <c r="A659" s="327"/>
      <c r="B659" s="327"/>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c r="AA659" s="327"/>
      <c r="AB659" s="327"/>
      <c r="AC659" s="327"/>
      <c r="AD659" s="327"/>
      <c r="AE659" s="327"/>
      <c r="AF659" s="327"/>
      <c r="AG659" s="327"/>
      <c r="AH659" s="327"/>
    </row>
    <row r="660" spans="1:34" ht="11.25" customHeight="1" x14ac:dyDescent="0.2">
      <c r="A660" s="327"/>
      <c r="B660" s="327"/>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c r="AA660" s="327"/>
      <c r="AB660" s="327"/>
      <c r="AC660" s="327"/>
      <c r="AD660" s="327"/>
      <c r="AE660" s="327"/>
      <c r="AF660" s="327"/>
      <c r="AG660" s="327"/>
      <c r="AH660" s="327"/>
    </row>
    <row r="661" spans="1:34" ht="11.25" customHeight="1" x14ac:dyDescent="0.2">
      <c r="A661" s="327"/>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327"/>
      <c r="AE661" s="327"/>
      <c r="AF661" s="327"/>
      <c r="AG661" s="327"/>
      <c r="AH661" s="327"/>
    </row>
    <row r="662" spans="1:34" ht="11.25" customHeight="1" x14ac:dyDescent="0.2">
      <c r="A662" s="327"/>
      <c r="B662" s="327"/>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c r="AA662" s="327"/>
      <c r="AB662" s="327"/>
      <c r="AC662" s="327"/>
      <c r="AD662" s="327"/>
      <c r="AE662" s="327"/>
      <c r="AF662" s="327"/>
      <c r="AG662" s="327"/>
      <c r="AH662" s="327"/>
    </row>
    <row r="663" spans="1:34" ht="11.25" customHeight="1" x14ac:dyDescent="0.2">
      <c r="A663" s="327"/>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c r="AA663" s="327"/>
      <c r="AB663" s="327"/>
      <c r="AC663" s="327"/>
      <c r="AD663" s="327"/>
      <c r="AE663" s="327"/>
      <c r="AF663" s="327"/>
      <c r="AG663" s="327"/>
      <c r="AH663" s="327"/>
    </row>
    <row r="664" spans="1:34" ht="11.25" customHeight="1" x14ac:dyDescent="0.2">
      <c r="A664" s="327"/>
      <c r="B664" s="327"/>
      <c r="C664" s="327"/>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c r="AA664" s="327"/>
      <c r="AB664" s="327"/>
      <c r="AC664" s="327"/>
      <c r="AD664" s="327"/>
      <c r="AE664" s="327"/>
      <c r="AF664" s="327"/>
      <c r="AG664" s="327"/>
      <c r="AH664" s="327"/>
    </row>
    <row r="665" spans="1:34" ht="11.25" customHeight="1" x14ac:dyDescent="0.2">
      <c r="A665" s="327"/>
      <c r="B665" s="327"/>
      <c r="C665" s="327"/>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c r="AA665" s="327"/>
      <c r="AB665" s="327"/>
      <c r="AC665" s="327"/>
      <c r="AD665" s="327"/>
      <c r="AE665" s="327"/>
      <c r="AF665" s="327"/>
      <c r="AG665" s="327"/>
      <c r="AH665" s="327"/>
    </row>
    <row r="666" spans="1:34" ht="11.25" customHeight="1" x14ac:dyDescent="0.2">
      <c r="A666" s="327"/>
      <c r="B666" s="327"/>
      <c r="C666" s="327"/>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c r="AA666" s="327"/>
      <c r="AB666" s="327"/>
      <c r="AC666" s="327"/>
      <c r="AD666" s="327"/>
      <c r="AE666" s="327"/>
      <c r="AF666" s="327"/>
      <c r="AG666" s="327"/>
      <c r="AH666" s="327"/>
    </row>
    <row r="667" spans="1:34" ht="11.25" customHeight="1" x14ac:dyDescent="0.2">
      <c r="A667" s="327"/>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c r="AA667" s="327"/>
      <c r="AB667" s="327"/>
      <c r="AC667" s="327"/>
      <c r="AD667" s="327"/>
      <c r="AE667" s="327"/>
      <c r="AF667" s="327"/>
      <c r="AG667" s="327"/>
      <c r="AH667" s="327"/>
    </row>
    <row r="668" spans="1:34" ht="11.25" customHeight="1" x14ac:dyDescent="0.2">
      <c r="A668" s="327"/>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c r="AA668" s="327"/>
      <c r="AB668" s="327"/>
      <c r="AC668" s="327"/>
      <c r="AD668" s="327"/>
      <c r="AE668" s="327"/>
      <c r="AF668" s="327"/>
      <c r="AG668" s="327"/>
      <c r="AH668" s="327"/>
    </row>
    <row r="669" spans="1:34" ht="11.25" customHeight="1" x14ac:dyDescent="0.2">
      <c r="A669" s="327"/>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c r="AA669" s="327"/>
      <c r="AB669" s="327"/>
      <c r="AC669" s="327"/>
      <c r="AD669" s="327"/>
      <c r="AE669" s="327"/>
      <c r="AF669" s="327"/>
      <c r="AG669" s="327"/>
      <c r="AH669" s="327"/>
    </row>
    <row r="670" spans="1:34" ht="11.25" customHeight="1" x14ac:dyDescent="0.2">
      <c r="A670" s="327"/>
      <c r="B670" s="327"/>
      <c r="C670" s="327"/>
      <c r="D670" s="327"/>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c r="AA670" s="327"/>
      <c r="AB670" s="327"/>
      <c r="AC670" s="327"/>
      <c r="AD670" s="327"/>
      <c r="AE670" s="327"/>
      <c r="AF670" s="327"/>
      <c r="AG670" s="327"/>
      <c r="AH670" s="327"/>
    </row>
    <row r="671" spans="1:34" ht="11.25" customHeight="1" x14ac:dyDescent="0.2">
      <c r="A671" s="327"/>
      <c r="B671" s="327"/>
      <c r="C671" s="327"/>
      <c r="D671" s="327"/>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c r="AA671" s="327"/>
      <c r="AB671" s="327"/>
      <c r="AC671" s="327"/>
      <c r="AD671" s="327"/>
      <c r="AE671" s="327"/>
      <c r="AF671" s="327"/>
      <c r="AG671" s="327"/>
      <c r="AH671" s="327"/>
    </row>
    <row r="672" spans="1:34" ht="11.25" customHeight="1" x14ac:dyDescent="0.2">
      <c r="A672" s="327"/>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c r="AA672" s="327"/>
      <c r="AB672" s="327"/>
      <c r="AC672" s="327"/>
      <c r="AD672" s="327"/>
      <c r="AE672" s="327"/>
      <c r="AF672" s="327"/>
      <c r="AG672" s="327"/>
      <c r="AH672" s="327"/>
    </row>
    <row r="673" spans="1:34" ht="11.25" customHeight="1" x14ac:dyDescent="0.2">
      <c r="A673" s="327"/>
      <c r="B673" s="327"/>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c r="AA673" s="327"/>
      <c r="AB673" s="327"/>
      <c r="AC673" s="327"/>
      <c r="AD673" s="327"/>
      <c r="AE673" s="327"/>
      <c r="AF673" s="327"/>
      <c r="AG673" s="327"/>
      <c r="AH673" s="327"/>
    </row>
    <row r="674" spans="1:34" ht="11.25" customHeight="1" x14ac:dyDescent="0.2">
      <c r="A674" s="327"/>
      <c r="B674" s="327"/>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c r="AA674" s="327"/>
      <c r="AB674" s="327"/>
      <c r="AC674" s="327"/>
      <c r="AD674" s="327"/>
      <c r="AE674" s="327"/>
      <c r="AF674" s="327"/>
      <c r="AG674" s="327"/>
      <c r="AH674" s="327"/>
    </row>
    <row r="675" spans="1:34" ht="11.25" customHeight="1" x14ac:dyDescent="0.2">
      <c r="A675" s="327"/>
      <c r="B675" s="327"/>
      <c r="C675" s="327"/>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c r="AA675" s="327"/>
      <c r="AB675" s="327"/>
      <c r="AC675" s="327"/>
      <c r="AD675" s="327"/>
      <c r="AE675" s="327"/>
      <c r="AF675" s="327"/>
      <c r="AG675" s="327"/>
      <c r="AH675" s="327"/>
    </row>
    <row r="676" spans="1:34" ht="11.25" customHeight="1" x14ac:dyDescent="0.2">
      <c r="A676" s="327"/>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327"/>
      <c r="AE676" s="327"/>
      <c r="AF676" s="327"/>
      <c r="AG676" s="327"/>
      <c r="AH676" s="327"/>
    </row>
    <row r="677" spans="1:34" ht="11.25" customHeight="1" x14ac:dyDescent="0.2">
      <c r="A677" s="327"/>
      <c r="B677" s="327"/>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c r="AA677" s="327"/>
      <c r="AB677" s="327"/>
      <c r="AC677" s="327"/>
      <c r="AD677" s="327"/>
      <c r="AE677" s="327"/>
      <c r="AF677" s="327"/>
      <c r="AG677" s="327"/>
      <c r="AH677" s="327"/>
    </row>
    <row r="678" spans="1:34" ht="11.25" customHeight="1" x14ac:dyDescent="0.2">
      <c r="A678" s="327"/>
      <c r="B678" s="327"/>
      <c r="C678" s="327"/>
      <c r="D678" s="327"/>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c r="AA678" s="327"/>
      <c r="AB678" s="327"/>
      <c r="AC678" s="327"/>
      <c r="AD678" s="327"/>
      <c r="AE678" s="327"/>
      <c r="AF678" s="327"/>
      <c r="AG678" s="327"/>
      <c r="AH678" s="327"/>
    </row>
    <row r="679" spans="1:34" ht="11.25" customHeight="1" x14ac:dyDescent="0.2">
      <c r="A679" s="327"/>
      <c r="B679" s="327"/>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c r="AA679" s="327"/>
      <c r="AB679" s="327"/>
      <c r="AC679" s="327"/>
      <c r="AD679" s="327"/>
      <c r="AE679" s="327"/>
      <c r="AF679" s="327"/>
      <c r="AG679" s="327"/>
      <c r="AH679" s="327"/>
    </row>
    <row r="680" spans="1:34" ht="11.25" customHeight="1" x14ac:dyDescent="0.2">
      <c r="A680" s="327"/>
      <c r="B680" s="327"/>
      <c r="C680" s="327"/>
      <c r="D680" s="327"/>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c r="AA680" s="327"/>
      <c r="AB680" s="327"/>
      <c r="AC680" s="327"/>
      <c r="AD680" s="327"/>
      <c r="AE680" s="327"/>
      <c r="AF680" s="327"/>
      <c r="AG680" s="327"/>
      <c r="AH680" s="327"/>
    </row>
    <row r="681" spans="1:34" ht="11.25" customHeight="1" x14ac:dyDescent="0.2">
      <c r="A681" s="327"/>
      <c r="B681" s="327"/>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c r="AA681" s="327"/>
      <c r="AB681" s="327"/>
      <c r="AC681" s="327"/>
      <c r="AD681" s="327"/>
      <c r="AE681" s="327"/>
      <c r="AF681" s="327"/>
      <c r="AG681" s="327"/>
      <c r="AH681" s="327"/>
    </row>
    <row r="682" spans="1:34" ht="11.25" customHeight="1" x14ac:dyDescent="0.2">
      <c r="A682" s="327"/>
      <c r="B682" s="327"/>
      <c r="C682" s="327"/>
      <c r="D682" s="327"/>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c r="AA682" s="327"/>
      <c r="AB682" s="327"/>
      <c r="AC682" s="327"/>
      <c r="AD682" s="327"/>
      <c r="AE682" s="327"/>
      <c r="AF682" s="327"/>
      <c r="AG682" s="327"/>
      <c r="AH682" s="327"/>
    </row>
    <row r="683" spans="1:34" ht="11.25" customHeight="1" x14ac:dyDescent="0.2">
      <c r="A683" s="327"/>
      <c r="B683" s="327"/>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c r="AA683" s="327"/>
      <c r="AB683" s="327"/>
      <c r="AC683" s="327"/>
      <c r="AD683" s="327"/>
      <c r="AE683" s="327"/>
      <c r="AF683" s="327"/>
      <c r="AG683" s="327"/>
      <c r="AH683" s="327"/>
    </row>
    <row r="684" spans="1:34" ht="11.25" customHeight="1" x14ac:dyDescent="0.2">
      <c r="A684" s="327"/>
      <c r="B684" s="327"/>
      <c r="C684" s="327"/>
      <c r="D684" s="327"/>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c r="AA684" s="327"/>
      <c r="AB684" s="327"/>
      <c r="AC684" s="327"/>
      <c r="AD684" s="327"/>
      <c r="AE684" s="327"/>
      <c r="AF684" s="327"/>
      <c r="AG684" s="327"/>
      <c r="AH684" s="327"/>
    </row>
    <row r="685" spans="1:34" ht="11.25" customHeight="1" x14ac:dyDescent="0.2">
      <c r="A685" s="327"/>
      <c r="B685" s="327"/>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c r="AA685" s="327"/>
      <c r="AB685" s="327"/>
      <c r="AC685" s="327"/>
      <c r="AD685" s="327"/>
      <c r="AE685" s="327"/>
      <c r="AF685" s="327"/>
      <c r="AG685" s="327"/>
      <c r="AH685" s="327"/>
    </row>
    <row r="686" spans="1:34" ht="11.25" customHeight="1" x14ac:dyDescent="0.2">
      <c r="A686" s="327"/>
      <c r="B686" s="327"/>
      <c r="C686" s="327"/>
      <c r="D686" s="327"/>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c r="AA686" s="327"/>
      <c r="AB686" s="327"/>
      <c r="AC686" s="327"/>
      <c r="AD686" s="327"/>
      <c r="AE686" s="327"/>
      <c r="AF686" s="327"/>
      <c r="AG686" s="327"/>
      <c r="AH686" s="327"/>
    </row>
    <row r="687" spans="1:34" ht="11.25" customHeight="1" x14ac:dyDescent="0.2">
      <c r="A687" s="327"/>
      <c r="B687" s="327"/>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c r="AA687" s="327"/>
      <c r="AB687" s="327"/>
      <c r="AC687" s="327"/>
      <c r="AD687" s="327"/>
      <c r="AE687" s="327"/>
      <c r="AF687" s="327"/>
      <c r="AG687" s="327"/>
      <c r="AH687" s="327"/>
    </row>
    <row r="688" spans="1:34" ht="11.25" customHeight="1" x14ac:dyDescent="0.2">
      <c r="A688" s="327"/>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c r="AB688" s="327"/>
      <c r="AC688" s="327"/>
      <c r="AD688" s="327"/>
      <c r="AE688" s="327"/>
      <c r="AF688" s="327"/>
      <c r="AG688" s="327"/>
      <c r="AH688" s="327"/>
    </row>
    <row r="689" spans="1:34" ht="11.25" customHeight="1" x14ac:dyDescent="0.2">
      <c r="A689" s="327"/>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c r="AB689" s="327"/>
      <c r="AC689" s="327"/>
      <c r="AD689" s="327"/>
      <c r="AE689" s="327"/>
      <c r="AF689" s="327"/>
      <c r="AG689" s="327"/>
      <c r="AH689" s="327"/>
    </row>
    <row r="690" spans="1:34" ht="11.25" customHeight="1" x14ac:dyDescent="0.2">
      <c r="A690" s="327"/>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c r="AB690" s="327"/>
      <c r="AC690" s="327"/>
      <c r="AD690" s="327"/>
      <c r="AE690" s="327"/>
      <c r="AF690" s="327"/>
      <c r="AG690" s="327"/>
      <c r="AH690" s="327"/>
    </row>
    <row r="691" spans="1:34" ht="11.25" customHeight="1" x14ac:dyDescent="0.2">
      <c r="A691" s="327"/>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7"/>
      <c r="AD691" s="327"/>
      <c r="AE691" s="327"/>
      <c r="AF691" s="327"/>
      <c r="AG691" s="327"/>
      <c r="AH691" s="327"/>
    </row>
    <row r="692" spans="1:34" ht="11.25" customHeight="1" x14ac:dyDescent="0.2">
      <c r="A692" s="327"/>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327"/>
      <c r="AE692" s="327"/>
      <c r="AF692" s="327"/>
      <c r="AG692" s="327"/>
      <c r="AH692" s="327"/>
    </row>
    <row r="693" spans="1:34" ht="11.25" customHeight="1" x14ac:dyDescent="0.2">
      <c r="A693" s="327"/>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c r="AB693" s="327"/>
      <c r="AC693" s="327"/>
      <c r="AD693" s="327"/>
      <c r="AE693" s="327"/>
      <c r="AF693" s="327"/>
      <c r="AG693" s="327"/>
      <c r="AH693" s="327"/>
    </row>
    <row r="694" spans="1:34" ht="11.25" customHeight="1" x14ac:dyDescent="0.2">
      <c r="A694" s="327"/>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c r="AA694" s="327"/>
      <c r="AB694" s="327"/>
      <c r="AC694" s="327"/>
      <c r="AD694" s="327"/>
      <c r="AE694" s="327"/>
      <c r="AF694" s="327"/>
      <c r="AG694" s="327"/>
      <c r="AH694" s="327"/>
    </row>
    <row r="695" spans="1:34" ht="11.25" customHeight="1" x14ac:dyDescent="0.2">
      <c r="A695" s="327"/>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c r="AA695" s="327"/>
      <c r="AB695" s="327"/>
      <c r="AC695" s="327"/>
      <c r="AD695" s="327"/>
      <c r="AE695" s="327"/>
      <c r="AF695" s="327"/>
      <c r="AG695" s="327"/>
      <c r="AH695" s="327"/>
    </row>
    <row r="696" spans="1:34" ht="11.25" customHeight="1" x14ac:dyDescent="0.2">
      <c r="A696" s="327"/>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c r="AA696" s="327"/>
      <c r="AB696" s="327"/>
      <c r="AC696" s="327"/>
      <c r="AD696" s="327"/>
      <c r="AE696" s="327"/>
      <c r="AF696" s="327"/>
      <c r="AG696" s="327"/>
      <c r="AH696" s="327"/>
    </row>
    <row r="697" spans="1:34" ht="11.25" customHeight="1" x14ac:dyDescent="0.2">
      <c r="A697" s="327"/>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c r="AA697" s="327"/>
      <c r="AB697" s="327"/>
      <c r="AC697" s="327"/>
      <c r="AD697" s="327"/>
      <c r="AE697" s="327"/>
      <c r="AF697" s="327"/>
      <c r="AG697" s="327"/>
      <c r="AH697" s="327"/>
    </row>
    <row r="698" spans="1:34" ht="11.25" customHeight="1" x14ac:dyDescent="0.2">
      <c r="A698" s="327"/>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7"/>
      <c r="AD698" s="327"/>
      <c r="AE698" s="327"/>
      <c r="AF698" s="327"/>
      <c r="AG698" s="327"/>
      <c r="AH698" s="327"/>
    </row>
    <row r="699" spans="1:34" ht="11.25" customHeight="1" x14ac:dyDescent="0.2">
      <c r="A699" s="327"/>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c r="AB699" s="327"/>
      <c r="AC699" s="327"/>
      <c r="AD699" s="327"/>
      <c r="AE699" s="327"/>
      <c r="AF699" s="327"/>
      <c r="AG699" s="327"/>
      <c r="AH699" s="327"/>
    </row>
    <row r="700" spans="1:34" ht="11.25" customHeight="1" x14ac:dyDescent="0.2">
      <c r="A700" s="327"/>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7"/>
      <c r="AD700" s="327"/>
      <c r="AE700" s="327"/>
      <c r="AF700" s="327"/>
      <c r="AG700" s="327"/>
      <c r="AH700" s="327"/>
    </row>
    <row r="701" spans="1:34" ht="11.25" customHeight="1" x14ac:dyDescent="0.2">
      <c r="A701" s="327"/>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c r="AB701" s="327"/>
      <c r="AC701" s="327"/>
      <c r="AD701" s="327"/>
      <c r="AE701" s="327"/>
      <c r="AF701" s="327"/>
      <c r="AG701" s="327"/>
      <c r="AH701" s="327"/>
    </row>
    <row r="702" spans="1:34" ht="11.25" customHeight="1" x14ac:dyDescent="0.2">
      <c r="A702" s="327"/>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c r="AA702" s="327"/>
      <c r="AB702" s="327"/>
      <c r="AC702" s="327"/>
      <c r="AD702" s="327"/>
      <c r="AE702" s="327"/>
      <c r="AF702" s="327"/>
      <c r="AG702" s="327"/>
      <c r="AH702" s="327"/>
    </row>
    <row r="703" spans="1:34" ht="11.25" customHeight="1" x14ac:dyDescent="0.2">
      <c r="A703" s="327"/>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c r="AA703" s="327"/>
      <c r="AB703" s="327"/>
      <c r="AC703" s="327"/>
      <c r="AD703" s="327"/>
      <c r="AE703" s="327"/>
      <c r="AF703" s="327"/>
      <c r="AG703" s="327"/>
      <c r="AH703" s="327"/>
    </row>
    <row r="704" spans="1:34" ht="11.25" customHeight="1" x14ac:dyDescent="0.2">
      <c r="A704" s="327"/>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c r="AB704" s="327"/>
      <c r="AC704" s="327"/>
      <c r="AD704" s="327"/>
      <c r="AE704" s="327"/>
      <c r="AF704" s="327"/>
      <c r="AG704" s="327"/>
      <c r="AH704" s="327"/>
    </row>
    <row r="705" spans="1:34" ht="11.25" customHeight="1" x14ac:dyDescent="0.2">
      <c r="A705" s="327"/>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c r="AA705" s="327"/>
      <c r="AB705" s="327"/>
      <c r="AC705" s="327"/>
      <c r="AD705" s="327"/>
      <c r="AE705" s="327"/>
      <c r="AF705" s="327"/>
      <c r="AG705" s="327"/>
      <c r="AH705" s="327"/>
    </row>
    <row r="706" spans="1:34" ht="11.25" customHeight="1" x14ac:dyDescent="0.2">
      <c r="A706" s="327"/>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c r="AB706" s="327"/>
      <c r="AC706" s="327"/>
      <c r="AD706" s="327"/>
      <c r="AE706" s="327"/>
      <c r="AF706" s="327"/>
      <c r="AG706" s="327"/>
      <c r="AH706" s="327"/>
    </row>
    <row r="707" spans="1:34" ht="11.25" customHeight="1" x14ac:dyDescent="0.2">
      <c r="A707" s="327"/>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327"/>
      <c r="AE707" s="327"/>
      <c r="AF707" s="327"/>
      <c r="AG707" s="327"/>
      <c r="AH707" s="327"/>
    </row>
    <row r="708" spans="1:34" ht="11.25" customHeight="1" x14ac:dyDescent="0.2">
      <c r="A708" s="327"/>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7"/>
      <c r="AD708" s="327"/>
      <c r="AE708" s="327"/>
      <c r="AF708" s="327"/>
      <c r="AG708" s="327"/>
      <c r="AH708" s="327"/>
    </row>
    <row r="709" spans="1:34" ht="11.25" customHeight="1" x14ac:dyDescent="0.2">
      <c r="A709" s="327"/>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c r="AA709" s="327"/>
      <c r="AB709" s="327"/>
      <c r="AC709" s="327"/>
      <c r="AD709" s="327"/>
      <c r="AE709" s="327"/>
      <c r="AF709" s="327"/>
      <c r="AG709" s="327"/>
      <c r="AH709" s="327"/>
    </row>
    <row r="710" spans="1:34" ht="11.25" customHeight="1" x14ac:dyDescent="0.2">
      <c r="A710" s="327"/>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c r="AA710" s="327"/>
      <c r="AB710" s="327"/>
      <c r="AC710" s="327"/>
      <c r="AD710" s="327"/>
      <c r="AE710" s="327"/>
      <c r="AF710" s="327"/>
      <c r="AG710" s="327"/>
      <c r="AH710" s="327"/>
    </row>
    <row r="711" spans="1:34" ht="11.25" customHeight="1" x14ac:dyDescent="0.2">
      <c r="A711" s="327"/>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327"/>
      <c r="AE711" s="327"/>
      <c r="AF711" s="327"/>
      <c r="AG711" s="327"/>
      <c r="AH711" s="327"/>
    </row>
    <row r="712" spans="1:34" ht="11.25" customHeight="1" x14ac:dyDescent="0.2">
      <c r="A712" s="327"/>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c r="AA712" s="327"/>
      <c r="AB712" s="327"/>
      <c r="AC712" s="327"/>
      <c r="AD712" s="327"/>
      <c r="AE712" s="327"/>
      <c r="AF712" s="327"/>
      <c r="AG712" s="327"/>
      <c r="AH712" s="327"/>
    </row>
    <row r="713" spans="1:34" ht="11.25" customHeight="1" x14ac:dyDescent="0.2">
      <c r="A713" s="327"/>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c r="AA713" s="327"/>
      <c r="AB713" s="327"/>
      <c r="AC713" s="327"/>
      <c r="AD713" s="327"/>
      <c r="AE713" s="327"/>
      <c r="AF713" s="327"/>
      <c r="AG713" s="327"/>
      <c r="AH713" s="327"/>
    </row>
    <row r="714" spans="1:34" ht="11.25" customHeight="1" x14ac:dyDescent="0.2">
      <c r="A714" s="327"/>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c r="AA714" s="327"/>
      <c r="AB714" s="327"/>
      <c r="AC714" s="327"/>
      <c r="AD714" s="327"/>
      <c r="AE714" s="327"/>
      <c r="AF714" s="327"/>
      <c r="AG714" s="327"/>
      <c r="AH714" s="327"/>
    </row>
    <row r="715" spans="1:34" ht="11.25" customHeight="1" x14ac:dyDescent="0.2">
      <c r="A715" s="327"/>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7"/>
      <c r="AD715" s="327"/>
      <c r="AE715" s="327"/>
      <c r="AF715" s="327"/>
      <c r="AG715" s="327"/>
      <c r="AH715" s="327"/>
    </row>
    <row r="716" spans="1:34" ht="11.25" customHeight="1" x14ac:dyDescent="0.2">
      <c r="A716" s="327"/>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7"/>
      <c r="AD716" s="327"/>
      <c r="AE716" s="327"/>
      <c r="AF716" s="327"/>
      <c r="AG716" s="327"/>
      <c r="AH716" s="327"/>
    </row>
    <row r="717" spans="1:34" ht="11.25" customHeight="1" x14ac:dyDescent="0.2">
      <c r="A717" s="327"/>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7"/>
      <c r="AD717" s="327"/>
      <c r="AE717" s="327"/>
      <c r="AF717" s="327"/>
      <c r="AG717" s="327"/>
      <c r="AH717" s="327"/>
    </row>
    <row r="718" spans="1:34" ht="11.25" customHeight="1" x14ac:dyDescent="0.2">
      <c r="A718" s="327"/>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c r="AA718" s="327"/>
      <c r="AB718" s="327"/>
      <c r="AC718" s="327"/>
      <c r="AD718" s="327"/>
      <c r="AE718" s="327"/>
      <c r="AF718" s="327"/>
      <c r="AG718" s="327"/>
      <c r="AH718" s="327"/>
    </row>
    <row r="719" spans="1:34" ht="11.25" customHeight="1" x14ac:dyDescent="0.2">
      <c r="A719" s="327"/>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7"/>
      <c r="AD719" s="327"/>
      <c r="AE719" s="327"/>
      <c r="AF719" s="327"/>
      <c r="AG719" s="327"/>
      <c r="AH719" s="327"/>
    </row>
    <row r="720" spans="1:34" ht="11.25" customHeight="1" x14ac:dyDescent="0.2">
      <c r="A720" s="327"/>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c r="AB720" s="327"/>
      <c r="AC720" s="327"/>
      <c r="AD720" s="327"/>
      <c r="AE720" s="327"/>
      <c r="AF720" s="327"/>
      <c r="AG720" s="327"/>
      <c r="AH720" s="327"/>
    </row>
    <row r="721" spans="1:34" ht="11.25" customHeight="1" x14ac:dyDescent="0.2">
      <c r="A721" s="327"/>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c r="AA721" s="327"/>
      <c r="AB721" s="327"/>
      <c r="AC721" s="327"/>
      <c r="AD721" s="327"/>
      <c r="AE721" s="327"/>
      <c r="AF721" s="327"/>
      <c r="AG721" s="327"/>
      <c r="AH721" s="327"/>
    </row>
    <row r="722" spans="1:34" ht="11.25" customHeight="1" x14ac:dyDescent="0.2">
      <c r="A722" s="327"/>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c r="AA722" s="327"/>
      <c r="AB722" s="327"/>
      <c r="AC722" s="327"/>
      <c r="AD722" s="327"/>
      <c r="AE722" s="327"/>
      <c r="AF722" s="327"/>
      <c r="AG722" s="327"/>
      <c r="AH722" s="327"/>
    </row>
    <row r="723" spans="1:34" ht="11.25" customHeight="1" x14ac:dyDescent="0.2">
      <c r="A723" s="327"/>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c r="AA723" s="327"/>
      <c r="AB723" s="327"/>
      <c r="AC723" s="327"/>
      <c r="AD723" s="327"/>
      <c r="AE723" s="327"/>
      <c r="AF723" s="327"/>
      <c r="AG723" s="327"/>
      <c r="AH723" s="327"/>
    </row>
    <row r="724" spans="1:34" ht="11.25" customHeight="1" x14ac:dyDescent="0.2">
      <c r="A724" s="327"/>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c r="AA724" s="327"/>
      <c r="AB724" s="327"/>
      <c r="AC724" s="327"/>
      <c r="AD724" s="327"/>
      <c r="AE724" s="327"/>
      <c r="AF724" s="327"/>
      <c r="AG724" s="327"/>
      <c r="AH724" s="327"/>
    </row>
    <row r="725" spans="1:34" ht="11.25" customHeight="1" x14ac:dyDescent="0.2">
      <c r="A725" s="327"/>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c r="AB725" s="327"/>
      <c r="AC725" s="327"/>
      <c r="AD725" s="327"/>
      <c r="AE725" s="327"/>
      <c r="AF725" s="327"/>
      <c r="AG725" s="327"/>
      <c r="AH725" s="327"/>
    </row>
    <row r="726" spans="1:34" ht="11.25" customHeight="1" x14ac:dyDescent="0.2">
      <c r="A726" s="327"/>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c r="AA726" s="327"/>
      <c r="AB726" s="327"/>
      <c r="AC726" s="327"/>
      <c r="AD726" s="327"/>
      <c r="AE726" s="327"/>
      <c r="AF726" s="327"/>
      <c r="AG726" s="327"/>
      <c r="AH726" s="327"/>
    </row>
    <row r="727" spans="1:34" ht="11.25" customHeight="1" x14ac:dyDescent="0.2">
      <c r="A727" s="327"/>
      <c r="B727" s="327"/>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c r="AA727" s="327"/>
      <c r="AB727" s="327"/>
      <c r="AC727" s="327"/>
      <c r="AD727" s="327"/>
      <c r="AE727" s="327"/>
      <c r="AF727" s="327"/>
      <c r="AG727" s="327"/>
      <c r="AH727" s="327"/>
    </row>
    <row r="728" spans="1:34" ht="11.25" customHeight="1" x14ac:dyDescent="0.2">
      <c r="A728" s="327"/>
      <c r="B728" s="327"/>
      <c r="C728" s="327"/>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c r="AA728" s="327"/>
      <c r="AB728" s="327"/>
      <c r="AC728" s="327"/>
      <c r="AD728" s="327"/>
      <c r="AE728" s="327"/>
      <c r="AF728" s="327"/>
      <c r="AG728" s="327"/>
      <c r="AH728" s="327"/>
    </row>
    <row r="729" spans="1:34" ht="11.25" customHeight="1" x14ac:dyDescent="0.2">
      <c r="A729" s="327"/>
      <c r="B729" s="327"/>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c r="AA729" s="327"/>
      <c r="AB729" s="327"/>
      <c r="AC729" s="327"/>
      <c r="AD729" s="327"/>
      <c r="AE729" s="327"/>
      <c r="AF729" s="327"/>
      <c r="AG729" s="327"/>
      <c r="AH729" s="327"/>
    </row>
    <row r="730" spans="1:34" ht="11.25" customHeight="1" x14ac:dyDescent="0.2">
      <c r="A730" s="327"/>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c r="AA730" s="327"/>
      <c r="AB730" s="327"/>
      <c r="AC730" s="327"/>
      <c r="AD730" s="327"/>
      <c r="AE730" s="327"/>
      <c r="AF730" s="327"/>
      <c r="AG730" s="327"/>
      <c r="AH730" s="327"/>
    </row>
    <row r="731" spans="1:34" ht="11.25" customHeight="1" x14ac:dyDescent="0.2">
      <c r="A731" s="327"/>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c r="AB731" s="327"/>
      <c r="AC731" s="327"/>
      <c r="AD731" s="327"/>
      <c r="AE731" s="327"/>
      <c r="AF731" s="327"/>
      <c r="AG731" s="327"/>
      <c r="AH731" s="327"/>
    </row>
    <row r="732" spans="1:34" ht="11.25" customHeight="1" x14ac:dyDescent="0.2">
      <c r="A732" s="327"/>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c r="AA732" s="327"/>
      <c r="AB732" s="327"/>
      <c r="AC732" s="327"/>
      <c r="AD732" s="327"/>
      <c r="AE732" s="327"/>
      <c r="AF732" s="327"/>
      <c r="AG732" s="327"/>
      <c r="AH732" s="327"/>
    </row>
    <row r="733" spans="1:34" ht="11.25" customHeight="1" x14ac:dyDescent="0.2">
      <c r="A733" s="327"/>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c r="AB733" s="327"/>
      <c r="AC733" s="327"/>
      <c r="AD733" s="327"/>
      <c r="AE733" s="327"/>
      <c r="AF733" s="327"/>
      <c r="AG733" s="327"/>
      <c r="AH733" s="327"/>
    </row>
    <row r="734" spans="1:34" ht="11.25" customHeight="1" x14ac:dyDescent="0.2">
      <c r="A734" s="327"/>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327"/>
      <c r="AE734" s="327"/>
      <c r="AF734" s="327"/>
      <c r="AG734" s="327"/>
      <c r="AH734" s="327"/>
    </row>
    <row r="735" spans="1:34" ht="11.25" customHeight="1" x14ac:dyDescent="0.2">
      <c r="A735" s="327"/>
      <c r="B735" s="327"/>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c r="AA735" s="327"/>
      <c r="AB735" s="327"/>
      <c r="AC735" s="327"/>
      <c r="AD735" s="327"/>
      <c r="AE735" s="327"/>
      <c r="AF735" s="327"/>
      <c r="AG735" s="327"/>
      <c r="AH735" s="327"/>
    </row>
    <row r="736" spans="1:34" ht="11.25" customHeight="1" x14ac:dyDescent="0.2">
      <c r="A736" s="327"/>
      <c r="B736" s="327"/>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c r="AA736" s="327"/>
      <c r="AB736" s="327"/>
      <c r="AC736" s="327"/>
      <c r="AD736" s="327"/>
      <c r="AE736" s="327"/>
      <c r="AF736" s="327"/>
      <c r="AG736" s="327"/>
      <c r="AH736" s="327"/>
    </row>
    <row r="737" spans="1:34" ht="11.25" customHeight="1" x14ac:dyDescent="0.2">
      <c r="A737" s="327"/>
      <c r="B737" s="327"/>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c r="AA737" s="327"/>
      <c r="AB737" s="327"/>
      <c r="AC737" s="327"/>
      <c r="AD737" s="327"/>
      <c r="AE737" s="327"/>
      <c r="AF737" s="327"/>
      <c r="AG737" s="327"/>
      <c r="AH737" s="327"/>
    </row>
    <row r="738" spans="1:34" ht="11.25" customHeight="1" x14ac:dyDescent="0.2">
      <c r="A738" s="327"/>
      <c r="B738" s="327"/>
      <c r="C738" s="327"/>
      <c r="D738" s="327"/>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c r="AA738" s="327"/>
      <c r="AB738" s="327"/>
      <c r="AC738" s="327"/>
      <c r="AD738" s="327"/>
      <c r="AE738" s="327"/>
      <c r="AF738" s="327"/>
      <c r="AG738" s="327"/>
      <c r="AH738" s="327"/>
    </row>
    <row r="739" spans="1:34" ht="11.25" customHeight="1" x14ac:dyDescent="0.2">
      <c r="A739" s="327"/>
      <c r="B739" s="327"/>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c r="AA739" s="327"/>
      <c r="AB739" s="327"/>
      <c r="AC739" s="327"/>
      <c r="AD739" s="327"/>
      <c r="AE739" s="327"/>
      <c r="AF739" s="327"/>
      <c r="AG739" s="327"/>
      <c r="AH739" s="327"/>
    </row>
    <row r="740" spans="1:34" ht="11.25" customHeight="1" x14ac:dyDescent="0.2">
      <c r="A740" s="327"/>
      <c r="B740" s="327"/>
      <c r="C740" s="327"/>
      <c r="D740" s="327"/>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c r="AA740" s="327"/>
      <c r="AB740" s="327"/>
      <c r="AC740" s="327"/>
      <c r="AD740" s="327"/>
      <c r="AE740" s="327"/>
      <c r="AF740" s="327"/>
      <c r="AG740" s="327"/>
      <c r="AH740" s="327"/>
    </row>
    <row r="741" spans="1:34" ht="11.25" customHeight="1" x14ac:dyDescent="0.2">
      <c r="A741" s="327"/>
      <c r="B741" s="327"/>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c r="AA741" s="327"/>
      <c r="AB741" s="327"/>
      <c r="AC741" s="327"/>
      <c r="AD741" s="327"/>
      <c r="AE741" s="327"/>
      <c r="AF741" s="327"/>
      <c r="AG741" s="327"/>
      <c r="AH741" s="327"/>
    </row>
    <row r="742" spans="1:34" ht="11.25" customHeight="1" x14ac:dyDescent="0.2">
      <c r="A742" s="327"/>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c r="AB742" s="327"/>
      <c r="AC742" s="327"/>
      <c r="AD742" s="327"/>
      <c r="AE742" s="327"/>
      <c r="AF742" s="327"/>
      <c r="AG742" s="327"/>
      <c r="AH742" s="327"/>
    </row>
    <row r="743" spans="1:34" ht="11.25" customHeight="1" x14ac:dyDescent="0.2">
      <c r="A743" s="327"/>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c r="AB743" s="327"/>
      <c r="AC743" s="327"/>
      <c r="AD743" s="327"/>
      <c r="AE743" s="327"/>
      <c r="AF743" s="327"/>
      <c r="AG743" s="327"/>
      <c r="AH743" s="327"/>
    </row>
    <row r="744" spans="1:34" ht="11.25" customHeight="1" x14ac:dyDescent="0.2">
      <c r="A744" s="327"/>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7"/>
      <c r="AD744" s="327"/>
      <c r="AE744" s="327"/>
      <c r="AF744" s="327"/>
      <c r="AG744" s="327"/>
      <c r="AH744" s="327"/>
    </row>
    <row r="745" spans="1:34" ht="11.25" customHeight="1" x14ac:dyDescent="0.2">
      <c r="A745" s="327"/>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c r="AB745" s="327"/>
      <c r="AC745" s="327"/>
      <c r="AD745" s="327"/>
      <c r="AE745" s="327"/>
      <c r="AF745" s="327"/>
      <c r="AG745" s="327"/>
      <c r="AH745" s="327"/>
    </row>
    <row r="746" spans="1:34" ht="11.25" customHeight="1" x14ac:dyDescent="0.2">
      <c r="A746" s="327"/>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7"/>
      <c r="AD746" s="327"/>
      <c r="AE746" s="327"/>
      <c r="AF746" s="327"/>
      <c r="AG746" s="327"/>
      <c r="AH746" s="327"/>
    </row>
    <row r="747" spans="1:34" ht="11.25" customHeight="1" x14ac:dyDescent="0.2">
      <c r="A747" s="327"/>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7"/>
      <c r="AD747" s="327"/>
      <c r="AE747" s="327"/>
      <c r="AF747" s="327"/>
      <c r="AG747" s="327"/>
      <c r="AH747" s="327"/>
    </row>
    <row r="748" spans="1:34" ht="11.25" customHeight="1" x14ac:dyDescent="0.2">
      <c r="A748" s="327"/>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c r="AA748" s="327"/>
      <c r="AB748" s="327"/>
      <c r="AC748" s="327"/>
      <c r="AD748" s="327"/>
      <c r="AE748" s="327"/>
      <c r="AF748" s="327"/>
      <c r="AG748" s="327"/>
      <c r="AH748" s="327"/>
    </row>
    <row r="749" spans="1:34" ht="11.25" customHeight="1" x14ac:dyDescent="0.2">
      <c r="A749" s="327"/>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c r="AA749" s="327"/>
      <c r="AB749" s="327"/>
      <c r="AC749" s="327"/>
      <c r="AD749" s="327"/>
      <c r="AE749" s="327"/>
      <c r="AF749" s="327"/>
      <c r="AG749" s="327"/>
      <c r="AH749" s="327"/>
    </row>
    <row r="750" spans="1:34" ht="11.25" customHeight="1" x14ac:dyDescent="0.2">
      <c r="A750" s="327"/>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c r="AA750" s="327"/>
      <c r="AB750" s="327"/>
      <c r="AC750" s="327"/>
      <c r="AD750" s="327"/>
      <c r="AE750" s="327"/>
      <c r="AF750" s="327"/>
      <c r="AG750" s="327"/>
      <c r="AH750" s="327"/>
    </row>
    <row r="751" spans="1:34" ht="11.25" customHeight="1" x14ac:dyDescent="0.2">
      <c r="A751" s="327"/>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c r="AA751" s="327"/>
      <c r="AB751" s="327"/>
      <c r="AC751" s="327"/>
      <c r="AD751" s="327"/>
      <c r="AE751" s="327"/>
      <c r="AF751" s="327"/>
      <c r="AG751" s="327"/>
      <c r="AH751" s="327"/>
    </row>
    <row r="752" spans="1:34" ht="11.25" customHeight="1" x14ac:dyDescent="0.2">
      <c r="A752" s="327"/>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c r="AB752" s="327"/>
      <c r="AC752" s="327"/>
      <c r="AD752" s="327"/>
      <c r="AE752" s="327"/>
      <c r="AF752" s="327"/>
      <c r="AG752" s="327"/>
      <c r="AH752" s="327"/>
    </row>
    <row r="753" spans="1:34" ht="11.25" customHeight="1" x14ac:dyDescent="0.2">
      <c r="A753" s="327"/>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c r="AB753" s="327"/>
      <c r="AC753" s="327"/>
      <c r="AD753" s="327"/>
      <c r="AE753" s="327"/>
      <c r="AF753" s="327"/>
      <c r="AG753" s="327"/>
      <c r="AH753" s="327"/>
    </row>
    <row r="754" spans="1:34" ht="11.25" customHeight="1" x14ac:dyDescent="0.2">
      <c r="A754" s="327"/>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c r="AA754" s="327"/>
      <c r="AB754" s="327"/>
      <c r="AC754" s="327"/>
      <c r="AD754" s="327"/>
      <c r="AE754" s="327"/>
      <c r="AF754" s="327"/>
      <c r="AG754" s="327"/>
      <c r="AH754" s="327"/>
    </row>
    <row r="755" spans="1:34" ht="11.25" customHeight="1" x14ac:dyDescent="0.2">
      <c r="A755" s="327"/>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c r="AB755" s="327"/>
      <c r="AC755" s="327"/>
      <c r="AD755" s="327"/>
      <c r="AE755" s="327"/>
      <c r="AF755" s="327"/>
      <c r="AG755" s="327"/>
      <c r="AH755" s="327"/>
    </row>
    <row r="756" spans="1:34" ht="11.25" customHeight="1" x14ac:dyDescent="0.2">
      <c r="A756" s="327"/>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c r="AA756" s="327"/>
      <c r="AB756" s="327"/>
      <c r="AC756" s="327"/>
      <c r="AD756" s="327"/>
      <c r="AE756" s="327"/>
      <c r="AF756" s="327"/>
      <c r="AG756" s="327"/>
      <c r="AH756" s="327"/>
    </row>
    <row r="757" spans="1:34" ht="11.25" customHeight="1" x14ac:dyDescent="0.2">
      <c r="A757" s="327"/>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c r="AB757" s="327"/>
      <c r="AC757" s="327"/>
      <c r="AD757" s="327"/>
      <c r="AE757" s="327"/>
      <c r="AF757" s="327"/>
      <c r="AG757" s="327"/>
      <c r="AH757" s="327"/>
    </row>
    <row r="758" spans="1:34" ht="11.25" customHeight="1" x14ac:dyDescent="0.2">
      <c r="A758" s="327"/>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c r="AA758" s="327"/>
      <c r="AB758" s="327"/>
      <c r="AC758" s="327"/>
      <c r="AD758" s="327"/>
      <c r="AE758" s="327"/>
      <c r="AF758" s="327"/>
      <c r="AG758" s="327"/>
      <c r="AH758" s="327"/>
    </row>
    <row r="759" spans="1:34" ht="11.25" customHeight="1" x14ac:dyDescent="0.2">
      <c r="A759" s="327"/>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7"/>
      <c r="AD759" s="327"/>
      <c r="AE759" s="327"/>
      <c r="AF759" s="327"/>
      <c r="AG759" s="327"/>
      <c r="AH759" s="327"/>
    </row>
    <row r="760" spans="1:34" ht="11.25" customHeight="1" x14ac:dyDescent="0.2">
      <c r="A760" s="327"/>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c r="AA760" s="327"/>
      <c r="AB760" s="327"/>
      <c r="AC760" s="327"/>
      <c r="AD760" s="327"/>
      <c r="AE760" s="327"/>
      <c r="AF760" s="327"/>
      <c r="AG760" s="327"/>
      <c r="AH760" s="327"/>
    </row>
    <row r="761" spans="1:34" ht="11.25" customHeight="1" x14ac:dyDescent="0.2">
      <c r="A761" s="327"/>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c r="AA761" s="327"/>
      <c r="AB761" s="327"/>
      <c r="AC761" s="327"/>
      <c r="AD761" s="327"/>
      <c r="AE761" s="327"/>
      <c r="AF761" s="327"/>
      <c r="AG761" s="327"/>
      <c r="AH761" s="327"/>
    </row>
    <row r="762" spans="1:34" ht="11.25" customHeight="1" x14ac:dyDescent="0.2">
      <c r="A762" s="327"/>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327"/>
      <c r="AE762" s="327"/>
      <c r="AF762" s="327"/>
      <c r="AG762" s="327"/>
      <c r="AH762" s="327"/>
    </row>
    <row r="763" spans="1:34" ht="11.25" customHeight="1" x14ac:dyDescent="0.2">
      <c r="A763" s="327"/>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c r="AA763" s="327"/>
      <c r="AB763" s="327"/>
      <c r="AC763" s="327"/>
      <c r="AD763" s="327"/>
      <c r="AE763" s="327"/>
      <c r="AF763" s="327"/>
      <c r="AG763" s="327"/>
      <c r="AH763" s="327"/>
    </row>
    <row r="764" spans="1:34" ht="11.25" customHeight="1" x14ac:dyDescent="0.2">
      <c r="A764" s="327"/>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c r="AA764" s="327"/>
      <c r="AB764" s="327"/>
      <c r="AC764" s="327"/>
      <c r="AD764" s="327"/>
      <c r="AE764" s="327"/>
      <c r="AF764" s="327"/>
      <c r="AG764" s="327"/>
      <c r="AH764" s="327"/>
    </row>
    <row r="765" spans="1:34" ht="11.25" customHeight="1" x14ac:dyDescent="0.2">
      <c r="A765" s="327"/>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c r="AA765" s="327"/>
      <c r="AB765" s="327"/>
      <c r="AC765" s="327"/>
      <c r="AD765" s="327"/>
      <c r="AE765" s="327"/>
      <c r="AF765" s="327"/>
      <c r="AG765" s="327"/>
      <c r="AH765" s="327"/>
    </row>
    <row r="766" spans="1:34" ht="11.25" customHeight="1" x14ac:dyDescent="0.2">
      <c r="A766" s="327"/>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c r="AB766" s="327"/>
      <c r="AC766" s="327"/>
      <c r="AD766" s="327"/>
      <c r="AE766" s="327"/>
      <c r="AF766" s="327"/>
      <c r="AG766" s="327"/>
      <c r="AH766" s="327"/>
    </row>
    <row r="767" spans="1:34" ht="11.25" customHeight="1" x14ac:dyDescent="0.2">
      <c r="A767" s="327"/>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c r="AA767" s="327"/>
      <c r="AB767" s="327"/>
      <c r="AC767" s="327"/>
      <c r="AD767" s="327"/>
      <c r="AE767" s="327"/>
      <c r="AF767" s="327"/>
      <c r="AG767" s="327"/>
      <c r="AH767" s="327"/>
    </row>
    <row r="768" spans="1:34" ht="11.25" customHeight="1" x14ac:dyDescent="0.2">
      <c r="A768" s="327"/>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c r="AB768" s="327"/>
      <c r="AC768" s="327"/>
      <c r="AD768" s="327"/>
      <c r="AE768" s="327"/>
      <c r="AF768" s="327"/>
      <c r="AG768" s="327"/>
      <c r="AH768" s="327"/>
    </row>
    <row r="769" spans="1:34" ht="11.25" customHeight="1" x14ac:dyDescent="0.2">
      <c r="A769" s="327"/>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c r="AB769" s="327"/>
      <c r="AC769" s="327"/>
      <c r="AD769" s="327"/>
      <c r="AE769" s="327"/>
      <c r="AF769" s="327"/>
      <c r="AG769" s="327"/>
      <c r="AH769" s="327"/>
    </row>
    <row r="770" spans="1:34" ht="11.25" customHeight="1" x14ac:dyDescent="0.2">
      <c r="A770" s="327"/>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c r="AA770" s="327"/>
      <c r="AB770" s="327"/>
      <c r="AC770" s="327"/>
      <c r="AD770" s="327"/>
      <c r="AE770" s="327"/>
      <c r="AF770" s="327"/>
      <c r="AG770" s="327"/>
      <c r="AH770" s="327"/>
    </row>
    <row r="771" spans="1:34" ht="11.25" customHeight="1" x14ac:dyDescent="0.2">
      <c r="A771" s="327"/>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7"/>
      <c r="AD771" s="327"/>
      <c r="AE771" s="327"/>
      <c r="AF771" s="327"/>
      <c r="AG771" s="327"/>
      <c r="AH771" s="327"/>
    </row>
    <row r="772" spans="1:34" ht="11.25" customHeight="1" x14ac:dyDescent="0.2">
      <c r="A772" s="327"/>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7"/>
      <c r="AD772" s="327"/>
      <c r="AE772" s="327"/>
      <c r="AF772" s="327"/>
      <c r="AG772" s="327"/>
      <c r="AH772" s="327"/>
    </row>
    <row r="773" spans="1:34" ht="11.25" customHeight="1" x14ac:dyDescent="0.2">
      <c r="A773" s="327"/>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c r="AA773" s="327"/>
      <c r="AB773" s="327"/>
      <c r="AC773" s="327"/>
      <c r="AD773" s="327"/>
      <c r="AE773" s="327"/>
      <c r="AF773" s="327"/>
      <c r="AG773" s="327"/>
      <c r="AH773" s="327"/>
    </row>
    <row r="774" spans="1:34" ht="11.25" customHeight="1" x14ac:dyDescent="0.2">
      <c r="A774" s="327"/>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c r="AA774" s="327"/>
      <c r="AB774" s="327"/>
      <c r="AC774" s="327"/>
      <c r="AD774" s="327"/>
      <c r="AE774" s="327"/>
      <c r="AF774" s="327"/>
      <c r="AG774" s="327"/>
      <c r="AH774" s="327"/>
    </row>
    <row r="775" spans="1:34" ht="11.25" customHeight="1" x14ac:dyDescent="0.2">
      <c r="A775" s="327"/>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c r="AA775" s="327"/>
      <c r="AB775" s="327"/>
      <c r="AC775" s="327"/>
      <c r="AD775" s="327"/>
      <c r="AE775" s="327"/>
      <c r="AF775" s="327"/>
      <c r="AG775" s="327"/>
      <c r="AH775" s="327"/>
    </row>
    <row r="776" spans="1:34" ht="11.25" customHeight="1" x14ac:dyDescent="0.2">
      <c r="A776" s="327"/>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c r="AA776" s="327"/>
      <c r="AB776" s="327"/>
      <c r="AC776" s="327"/>
      <c r="AD776" s="327"/>
      <c r="AE776" s="327"/>
      <c r="AF776" s="327"/>
      <c r="AG776" s="327"/>
      <c r="AH776" s="327"/>
    </row>
    <row r="777" spans="1:34" ht="11.25" customHeight="1" x14ac:dyDescent="0.2">
      <c r="A777" s="327"/>
      <c r="B777" s="327"/>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c r="AA777" s="327"/>
      <c r="AB777" s="327"/>
      <c r="AC777" s="327"/>
      <c r="AD777" s="327"/>
      <c r="AE777" s="327"/>
      <c r="AF777" s="327"/>
      <c r="AG777" s="327"/>
      <c r="AH777" s="327"/>
    </row>
    <row r="778" spans="1:34" ht="11.25" customHeight="1" x14ac:dyDescent="0.2">
      <c r="A778" s="327"/>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c r="AB778" s="327"/>
      <c r="AC778" s="327"/>
      <c r="AD778" s="327"/>
      <c r="AE778" s="327"/>
      <c r="AF778" s="327"/>
      <c r="AG778" s="327"/>
      <c r="AH778" s="327"/>
    </row>
    <row r="779" spans="1:34" ht="11.25" customHeight="1" x14ac:dyDescent="0.2">
      <c r="A779" s="327"/>
      <c r="B779" s="327"/>
      <c r="C779" s="327"/>
      <c r="D779" s="327"/>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c r="AA779" s="327"/>
      <c r="AB779" s="327"/>
      <c r="AC779" s="327"/>
      <c r="AD779" s="327"/>
      <c r="AE779" s="327"/>
      <c r="AF779" s="327"/>
      <c r="AG779" s="327"/>
      <c r="AH779" s="327"/>
    </row>
    <row r="780" spans="1:34" ht="11.25" customHeight="1" x14ac:dyDescent="0.2">
      <c r="A780" s="327"/>
      <c r="B780" s="327"/>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c r="AA780" s="327"/>
      <c r="AB780" s="327"/>
      <c r="AC780" s="327"/>
      <c r="AD780" s="327"/>
      <c r="AE780" s="327"/>
      <c r="AF780" s="327"/>
      <c r="AG780" s="327"/>
      <c r="AH780" s="327"/>
    </row>
    <row r="781" spans="1:34" ht="11.25" customHeight="1" x14ac:dyDescent="0.2">
      <c r="A781" s="327"/>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c r="AA781" s="327"/>
      <c r="AB781" s="327"/>
      <c r="AC781" s="327"/>
      <c r="AD781" s="327"/>
      <c r="AE781" s="327"/>
      <c r="AF781" s="327"/>
      <c r="AG781" s="327"/>
      <c r="AH781" s="327"/>
    </row>
    <row r="782" spans="1:34" ht="11.25" customHeight="1" x14ac:dyDescent="0.2">
      <c r="A782" s="327"/>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c r="AA782" s="327"/>
      <c r="AB782" s="327"/>
      <c r="AC782" s="327"/>
      <c r="AD782" s="327"/>
      <c r="AE782" s="327"/>
      <c r="AF782" s="327"/>
      <c r="AG782" s="327"/>
      <c r="AH782" s="327"/>
    </row>
    <row r="783" spans="1:34" ht="11.25" customHeight="1" x14ac:dyDescent="0.2">
      <c r="A783" s="327"/>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c r="AA783" s="327"/>
      <c r="AB783" s="327"/>
      <c r="AC783" s="327"/>
      <c r="AD783" s="327"/>
      <c r="AE783" s="327"/>
      <c r="AF783" s="327"/>
      <c r="AG783" s="327"/>
      <c r="AH783" s="327"/>
    </row>
    <row r="784" spans="1:34" ht="11.25" customHeight="1" x14ac:dyDescent="0.2">
      <c r="A784" s="327"/>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c r="AB784" s="327"/>
      <c r="AC784" s="327"/>
      <c r="AD784" s="327"/>
      <c r="AE784" s="327"/>
      <c r="AF784" s="327"/>
      <c r="AG784" s="327"/>
      <c r="AH784" s="327"/>
    </row>
    <row r="785" spans="1:34" ht="11.25" customHeight="1" x14ac:dyDescent="0.2">
      <c r="A785" s="327"/>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c r="AB785" s="327"/>
      <c r="AC785" s="327"/>
      <c r="AD785" s="327"/>
      <c r="AE785" s="327"/>
      <c r="AF785" s="327"/>
      <c r="AG785" s="327"/>
      <c r="AH785" s="327"/>
    </row>
    <row r="786" spans="1:34" ht="11.25" customHeight="1" x14ac:dyDescent="0.2">
      <c r="A786" s="327"/>
      <c r="B786" s="327"/>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c r="AA786" s="327"/>
      <c r="AB786" s="327"/>
      <c r="AC786" s="327"/>
      <c r="AD786" s="327"/>
      <c r="AE786" s="327"/>
      <c r="AF786" s="327"/>
      <c r="AG786" s="327"/>
      <c r="AH786" s="327"/>
    </row>
    <row r="787" spans="1:34" ht="11.25" customHeight="1" x14ac:dyDescent="0.2">
      <c r="A787" s="327"/>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327"/>
      <c r="AE787" s="327"/>
      <c r="AF787" s="327"/>
      <c r="AG787" s="327"/>
      <c r="AH787" s="327"/>
    </row>
    <row r="788" spans="1:34" ht="11.25" customHeight="1" x14ac:dyDescent="0.2">
      <c r="A788" s="327"/>
      <c r="B788" s="327"/>
      <c r="C788" s="327"/>
      <c r="D788" s="327"/>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c r="AA788" s="327"/>
      <c r="AB788" s="327"/>
      <c r="AC788" s="327"/>
      <c r="AD788" s="327"/>
      <c r="AE788" s="327"/>
      <c r="AF788" s="327"/>
      <c r="AG788" s="327"/>
      <c r="AH788" s="327"/>
    </row>
    <row r="789" spans="1:34" ht="11.25" customHeight="1" x14ac:dyDescent="0.2">
      <c r="A789" s="327"/>
      <c r="B789" s="327"/>
      <c r="C789" s="327"/>
      <c r="D789" s="327"/>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c r="AA789" s="327"/>
      <c r="AB789" s="327"/>
      <c r="AC789" s="327"/>
      <c r="AD789" s="327"/>
      <c r="AE789" s="327"/>
      <c r="AF789" s="327"/>
      <c r="AG789" s="327"/>
      <c r="AH789" s="327"/>
    </row>
    <row r="790" spans="1:34" ht="11.25" customHeight="1" x14ac:dyDescent="0.2">
      <c r="A790" s="327"/>
      <c r="B790" s="327"/>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c r="AA790" s="327"/>
      <c r="AB790" s="327"/>
      <c r="AC790" s="327"/>
      <c r="AD790" s="327"/>
      <c r="AE790" s="327"/>
      <c r="AF790" s="327"/>
      <c r="AG790" s="327"/>
      <c r="AH790" s="327"/>
    </row>
    <row r="791" spans="1:34" ht="11.25" customHeight="1" x14ac:dyDescent="0.2">
      <c r="A791" s="327"/>
      <c r="B791" s="327"/>
      <c r="C791" s="327"/>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c r="AA791" s="327"/>
      <c r="AB791" s="327"/>
      <c r="AC791" s="327"/>
      <c r="AD791" s="327"/>
      <c r="AE791" s="327"/>
      <c r="AF791" s="327"/>
      <c r="AG791" s="327"/>
      <c r="AH791" s="327"/>
    </row>
    <row r="792" spans="1:34" ht="11.25" customHeight="1" x14ac:dyDescent="0.2">
      <c r="A792" s="327"/>
      <c r="B792" s="327"/>
      <c r="C792" s="327"/>
      <c r="D792" s="327"/>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c r="AA792" s="327"/>
      <c r="AB792" s="327"/>
      <c r="AC792" s="327"/>
      <c r="AD792" s="327"/>
      <c r="AE792" s="327"/>
      <c r="AF792" s="327"/>
      <c r="AG792" s="327"/>
      <c r="AH792" s="327"/>
    </row>
    <row r="793" spans="1:34" ht="11.25" customHeight="1" x14ac:dyDescent="0.2">
      <c r="A793" s="327"/>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327"/>
      <c r="AE793" s="327"/>
      <c r="AF793" s="327"/>
      <c r="AG793" s="327"/>
      <c r="AH793" s="327"/>
    </row>
    <row r="794" spans="1:34" ht="11.25" customHeight="1" x14ac:dyDescent="0.2">
      <c r="A794" s="327"/>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7"/>
      <c r="AD794" s="327"/>
      <c r="AE794" s="327"/>
      <c r="AF794" s="327"/>
      <c r="AG794" s="327"/>
      <c r="AH794" s="327"/>
    </row>
    <row r="795" spans="1:34" ht="11.25" customHeight="1" x14ac:dyDescent="0.2">
      <c r="A795" s="327"/>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7"/>
      <c r="AD795" s="327"/>
      <c r="AE795" s="327"/>
      <c r="AF795" s="327"/>
      <c r="AG795" s="327"/>
      <c r="AH795" s="327"/>
    </row>
    <row r="796" spans="1:34" ht="11.25" customHeight="1" x14ac:dyDescent="0.2">
      <c r="A796" s="327"/>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c r="AA796" s="327"/>
      <c r="AB796" s="327"/>
      <c r="AC796" s="327"/>
      <c r="AD796" s="327"/>
      <c r="AE796" s="327"/>
      <c r="AF796" s="327"/>
      <c r="AG796" s="327"/>
      <c r="AH796" s="327"/>
    </row>
    <row r="797" spans="1:34" ht="11.25" customHeight="1" x14ac:dyDescent="0.2">
      <c r="A797" s="327"/>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c r="AB797" s="327"/>
      <c r="AC797" s="327"/>
      <c r="AD797" s="327"/>
      <c r="AE797" s="327"/>
      <c r="AF797" s="327"/>
      <c r="AG797" s="327"/>
      <c r="AH797" s="327"/>
    </row>
    <row r="798" spans="1:34" ht="11.25" customHeight="1" x14ac:dyDescent="0.2">
      <c r="A798" s="327"/>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7"/>
      <c r="AD798" s="327"/>
      <c r="AE798" s="327"/>
      <c r="AF798" s="327"/>
      <c r="AG798" s="327"/>
      <c r="AH798" s="327"/>
    </row>
    <row r="799" spans="1:34" ht="11.25" customHeight="1" x14ac:dyDescent="0.2">
      <c r="A799" s="327"/>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c r="AA799" s="327"/>
      <c r="AB799" s="327"/>
      <c r="AC799" s="327"/>
      <c r="AD799" s="327"/>
      <c r="AE799" s="327"/>
      <c r="AF799" s="327"/>
      <c r="AG799" s="327"/>
      <c r="AH799" s="327"/>
    </row>
    <row r="800" spans="1:34" ht="11.25" customHeight="1" x14ac:dyDescent="0.2">
      <c r="A800" s="327"/>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c r="AA800" s="327"/>
      <c r="AB800" s="327"/>
      <c r="AC800" s="327"/>
      <c r="AD800" s="327"/>
      <c r="AE800" s="327"/>
      <c r="AF800" s="327"/>
      <c r="AG800" s="327"/>
      <c r="AH800" s="327"/>
    </row>
    <row r="801" spans="1:34" ht="11.25" customHeight="1" x14ac:dyDescent="0.2">
      <c r="A801" s="327"/>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c r="AA801" s="327"/>
      <c r="AB801" s="327"/>
      <c r="AC801" s="327"/>
      <c r="AD801" s="327"/>
      <c r="AE801" s="327"/>
      <c r="AF801" s="327"/>
      <c r="AG801" s="327"/>
      <c r="AH801" s="327"/>
    </row>
    <row r="802" spans="1:34" ht="11.25" customHeight="1" x14ac:dyDescent="0.2">
      <c r="A802" s="327"/>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7"/>
      <c r="AD802" s="327"/>
      <c r="AE802" s="327"/>
      <c r="AF802" s="327"/>
      <c r="AG802" s="327"/>
      <c r="AH802" s="327"/>
    </row>
    <row r="803" spans="1:34" ht="11.25" customHeight="1" x14ac:dyDescent="0.2">
      <c r="A803" s="327"/>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c r="AA803" s="327"/>
      <c r="AB803" s="327"/>
      <c r="AC803" s="327"/>
      <c r="AD803" s="327"/>
      <c r="AE803" s="327"/>
      <c r="AF803" s="327"/>
      <c r="AG803" s="327"/>
      <c r="AH803" s="327"/>
    </row>
    <row r="804" spans="1:34" ht="11.25" customHeight="1" x14ac:dyDescent="0.2">
      <c r="A804" s="327"/>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7"/>
      <c r="AD804" s="327"/>
      <c r="AE804" s="327"/>
      <c r="AF804" s="327"/>
      <c r="AG804" s="327"/>
      <c r="AH804" s="327"/>
    </row>
    <row r="805" spans="1:34" ht="11.25" customHeight="1" x14ac:dyDescent="0.2">
      <c r="A805" s="327"/>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c r="AA805" s="327"/>
      <c r="AB805" s="327"/>
      <c r="AC805" s="327"/>
      <c r="AD805" s="327"/>
      <c r="AE805" s="327"/>
      <c r="AF805" s="327"/>
      <c r="AG805" s="327"/>
      <c r="AH805" s="327"/>
    </row>
    <row r="806" spans="1:34" ht="11.25" customHeight="1" x14ac:dyDescent="0.2">
      <c r="A806" s="327"/>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c r="AA806" s="327"/>
      <c r="AB806" s="327"/>
      <c r="AC806" s="327"/>
      <c r="AD806" s="327"/>
      <c r="AE806" s="327"/>
      <c r="AF806" s="327"/>
      <c r="AG806" s="327"/>
      <c r="AH806" s="327"/>
    </row>
    <row r="807" spans="1:34" ht="11.25" customHeight="1" x14ac:dyDescent="0.2">
      <c r="A807" s="327"/>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c r="AA807" s="327"/>
      <c r="AB807" s="327"/>
      <c r="AC807" s="327"/>
      <c r="AD807" s="327"/>
      <c r="AE807" s="327"/>
      <c r="AF807" s="327"/>
      <c r="AG807" s="327"/>
      <c r="AH807" s="327"/>
    </row>
    <row r="808" spans="1:34" ht="11.25" customHeight="1" x14ac:dyDescent="0.2">
      <c r="A808" s="327"/>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c r="AA808" s="327"/>
      <c r="AB808" s="327"/>
      <c r="AC808" s="327"/>
      <c r="AD808" s="327"/>
      <c r="AE808" s="327"/>
      <c r="AF808" s="327"/>
      <c r="AG808" s="327"/>
      <c r="AH808" s="327"/>
    </row>
    <row r="809" spans="1:34" ht="11.25" customHeight="1" x14ac:dyDescent="0.2">
      <c r="A809" s="327"/>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c r="AB809" s="327"/>
      <c r="AC809" s="327"/>
      <c r="AD809" s="327"/>
      <c r="AE809" s="327"/>
      <c r="AF809" s="327"/>
      <c r="AG809" s="327"/>
      <c r="AH809" s="327"/>
    </row>
    <row r="810" spans="1:34" ht="11.25" customHeight="1" x14ac:dyDescent="0.2">
      <c r="A810" s="327"/>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327"/>
      <c r="AE810" s="327"/>
      <c r="AF810" s="327"/>
      <c r="AG810" s="327"/>
      <c r="AH810" s="327"/>
    </row>
    <row r="811" spans="1:34" ht="11.25" customHeight="1" x14ac:dyDescent="0.2">
      <c r="A811" s="327"/>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c r="AA811" s="327"/>
      <c r="AB811" s="327"/>
      <c r="AC811" s="327"/>
      <c r="AD811" s="327"/>
      <c r="AE811" s="327"/>
      <c r="AF811" s="327"/>
      <c r="AG811" s="327"/>
      <c r="AH811" s="327"/>
    </row>
    <row r="812" spans="1:34" ht="11.25" customHeight="1" x14ac:dyDescent="0.2">
      <c r="A812" s="327"/>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c r="AA812" s="327"/>
      <c r="AB812" s="327"/>
      <c r="AC812" s="327"/>
      <c r="AD812" s="327"/>
      <c r="AE812" s="327"/>
      <c r="AF812" s="327"/>
      <c r="AG812" s="327"/>
      <c r="AH812" s="327"/>
    </row>
    <row r="813" spans="1:34" ht="11.25" customHeight="1" x14ac:dyDescent="0.2">
      <c r="A813" s="327"/>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327"/>
      <c r="AE813" s="327"/>
      <c r="AF813" s="327"/>
      <c r="AG813" s="327"/>
      <c r="AH813" s="327"/>
    </row>
    <row r="814" spans="1:34" ht="11.25" customHeight="1" x14ac:dyDescent="0.2">
      <c r="A814" s="327"/>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c r="AB814" s="327"/>
      <c r="AC814" s="327"/>
      <c r="AD814" s="327"/>
      <c r="AE814" s="327"/>
      <c r="AF814" s="327"/>
      <c r="AG814" s="327"/>
      <c r="AH814" s="327"/>
    </row>
    <row r="815" spans="1:34" ht="11.25" customHeight="1" x14ac:dyDescent="0.2">
      <c r="A815" s="327"/>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c r="AA815" s="327"/>
      <c r="AB815" s="327"/>
      <c r="AC815" s="327"/>
      <c r="AD815" s="327"/>
      <c r="AE815" s="327"/>
      <c r="AF815" s="327"/>
      <c r="AG815" s="327"/>
      <c r="AH815" s="327"/>
    </row>
    <row r="816" spans="1:34" ht="11.25" customHeight="1" x14ac:dyDescent="0.2">
      <c r="A816" s="327"/>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c r="AA816" s="327"/>
      <c r="AB816" s="327"/>
      <c r="AC816" s="327"/>
      <c r="AD816" s="327"/>
      <c r="AE816" s="327"/>
      <c r="AF816" s="327"/>
      <c r="AG816" s="327"/>
      <c r="AH816" s="327"/>
    </row>
    <row r="817" spans="1:34" ht="11.25" customHeight="1" x14ac:dyDescent="0.2">
      <c r="A817" s="327"/>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c r="AA817" s="327"/>
      <c r="AB817" s="327"/>
      <c r="AC817" s="327"/>
      <c r="AD817" s="327"/>
      <c r="AE817" s="327"/>
      <c r="AF817" s="327"/>
      <c r="AG817" s="327"/>
      <c r="AH817" s="327"/>
    </row>
    <row r="818" spans="1:34" ht="11.25" customHeight="1" x14ac:dyDescent="0.2">
      <c r="A818" s="327"/>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c r="AA818" s="327"/>
      <c r="AB818" s="327"/>
      <c r="AC818" s="327"/>
      <c r="AD818" s="327"/>
      <c r="AE818" s="327"/>
      <c r="AF818" s="327"/>
      <c r="AG818" s="327"/>
      <c r="AH818" s="327"/>
    </row>
    <row r="819" spans="1:34" ht="11.25" customHeight="1" x14ac:dyDescent="0.2">
      <c r="A819" s="327"/>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7"/>
      <c r="AD819" s="327"/>
      <c r="AE819" s="327"/>
      <c r="AF819" s="327"/>
      <c r="AG819" s="327"/>
      <c r="AH819" s="327"/>
    </row>
    <row r="820" spans="1:34" ht="11.25" customHeight="1" x14ac:dyDescent="0.2">
      <c r="A820" s="327"/>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c r="AA820" s="327"/>
      <c r="AB820" s="327"/>
      <c r="AC820" s="327"/>
      <c r="AD820" s="327"/>
      <c r="AE820" s="327"/>
      <c r="AF820" s="327"/>
      <c r="AG820" s="327"/>
      <c r="AH820" s="327"/>
    </row>
    <row r="821" spans="1:34" ht="11.25" customHeight="1" x14ac:dyDescent="0.2">
      <c r="A821" s="327"/>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c r="AA821" s="327"/>
      <c r="AB821" s="327"/>
      <c r="AC821" s="327"/>
      <c r="AD821" s="327"/>
      <c r="AE821" s="327"/>
      <c r="AF821" s="327"/>
      <c r="AG821" s="327"/>
      <c r="AH821" s="327"/>
    </row>
    <row r="822" spans="1:34" ht="11.25" customHeight="1" x14ac:dyDescent="0.2">
      <c r="A822" s="327"/>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c r="AA822" s="327"/>
      <c r="AB822" s="327"/>
      <c r="AC822" s="327"/>
      <c r="AD822" s="327"/>
      <c r="AE822" s="327"/>
      <c r="AF822" s="327"/>
      <c r="AG822" s="327"/>
      <c r="AH822" s="327"/>
    </row>
    <row r="823" spans="1:34" ht="11.25" customHeight="1" x14ac:dyDescent="0.2">
      <c r="A823" s="327"/>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7"/>
      <c r="AD823" s="327"/>
      <c r="AE823" s="327"/>
      <c r="AF823" s="327"/>
      <c r="AG823" s="327"/>
      <c r="AH823" s="327"/>
    </row>
    <row r="824" spans="1:34" ht="11.25" customHeight="1" x14ac:dyDescent="0.2">
      <c r="A824" s="327"/>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c r="AA824" s="327"/>
      <c r="AB824" s="327"/>
      <c r="AC824" s="327"/>
      <c r="AD824" s="327"/>
      <c r="AE824" s="327"/>
      <c r="AF824" s="327"/>
      <c r="AG824" s="327"/>
      <c r="AH824" s="327"/>
    </row>
    <row r="825" spans="1:34" ht="11.25" customHeight="1" x14ac:dyDescent="0.2">
      <c r="A825" s="327"/>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7"/>
      <c r="AD825" s="327"/>
      <c r="AE825" s="327"/>
      <c r="AF825" s="327"/>
      <c r="AG825" s="327"/>
      <c r="AH825" s="327"/>
    </row>
    <row r="826" spans="1:34" ht="11.25" customHeight="1" x14ac:dyDescent="0.2">
      <c r="A826" s="327"/>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7"/>
      <c r="AD826" s="327"/>
      <c r="AE826" s="327"/>
      <c r="AF826" s="327"/>
      <c r="AG826" s="327"/>
      <c r="AH826" s="327"/>
    </row>
    <row r="827" spans="1:34" ht="11.25" customHeight="1" x14ac:dyDescent="0.2">
      <c r="A827" s="327"/>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c r="AA827" s="327"/>
      <c r="AB827" s="327"/>
      <c r="AC827" s="327"/>
      <c r="AD827" s="327"/>
      <c r="AE827" s="327"/>
      <c r="AF827" s="327"/>
      <c r="AG827" s="327"/>
      <c r="AH827" s="327"/>
    </row>
    <row r="828" spans="1:34" ht="11.25" customHeight="1" x14ac:dyDescent="0.2">
      <c r="A828" s="327"/>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c r="AA828" s="327"/>
      <c r="AB828" s="327"/>
      <c r="AC828" s="327"/>
      <c r="AD828" s="327"/>
      <c r="AE828" s="327"/>
      <c r="AF828" s="327"/>
      <c r="AG828" s="327"/>
      <c r="AH828" s="327"/>
    </row>
    <row r="829" spans="1:34" ht="11.25" customHeight="1" x14ac:dyDescent="0.2">
      <c r="A829" s="327"/>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c r="AA829" s="327"/>
      <c r="AB829" s="327"/>
      <c r="AC829" s="327"/>
      <c r="AD829" s="327"/>
      <c r="AE829" s="327"/>
      <c r="AF829" s="327"/>
      <c r="AG829" s="327"/>
      <c r="AH829" s="327"/>
    </row>
    <row r="830" spans="1:34" ht="11.25" customHeight="1" x14ac:dyDescent="0.2">
      <c r="A830" s="327"/>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c r="AE830" s="327"/>
      <c r="AF830" s="327"/>
      <c r="AG830" s="327"/>
      <c r="AH830" s="327"/>
    </row>
    <row r="831" spans="1:34" ht="11.25" customHeight="1" x14ac:dyDescent="0.2">
      <c r="A831" s="327"/>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c r="AA831" s="327"/>
      <c r="AB831" s="327"/>
      <c r="AC831" s="327"/>
      <c r="AD831" s="327"/>
      <c r="AE831" s="327"/>
      <c r="AF831" s="327"/>
      <c r="AG831" s="327"/>
      <c r="AH831" s="327"/>
    </row>
    <row r="832" spans="1:34" ht="11.25" customHeight="1" x14ac:dyDescent="0.2">
      <c r="A832" s="327"/>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c r="AE832" s="327"/>
      <c r="AF832" s="327"/>
      <c r="AG832" s="327"/>
      <c r="AH832" s="327"/>
    </row>
    <row r="833" spans="1:34" ht="11.25" customHeight="1" x14ac:dyDescent="0.2">
      <c r="A833" s="327"/>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c r="AA833" s="327"/>
      <c r="AB833" s="327"/>
      <c r="AC833" s="327"/>
      <c r="AD833" s="327"/>
      <c r="AE833" s="327"/>
      <c r="AF833" s="327"/>
      <c r="AG833" s="327"/>
      <c r="AH833" s="327"/>
    </row>
    <row r="834" spans="1:34" ht="11.25" customHeight="1" x14ac:dyDescent="0.2">
      <c r="A834" s="327"/>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7"/>
      <c r="AD834" s="327"/>
      <c r="AE834" s="327"/>
      <c r="AF834" s="327"/>
      <c r="AG834" s="327"/>
      <c r="AH834" s="327"/>
    </row>
    <row r="835" spans="1:34" ht="11.25" customHeight="1" x14ac:dyDescent="0.2">
      <c r="A835" s="327"/>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327"/>
      <c r="AE835" s="327"/>
      <c r="AF835" s="327"/>
      <c r="AG835" s="327"/>
      <c r="AH835" s="327"/>
    </row>
    <row r="836" spans="1:34" ht="11.25" customHeight="1" x14ac:dyDescent="0.2">
      <c r="A836" s="327"/>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c r="AB836" s="327"/>
      <c r="AC836" s="327"/>
      <c r="AD836" s="327"/>
      <c r="AE836" s="327"/>
      <c r="AF836" s="327"/>
      <c r="AG836" s="327"/>
      <c r="AH836" s="327"/>
    </row>
    <row r="837" spans="1:34" ht="11.25" customHeight="1" x14ac:dyDescent="0.2">
      <c r="A837" s="327"/>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c r="AA837" s="327"/>
      <c r="AB837" s="327"/>
      <c r="AC837" s="327"/>
      <c r="AD837" s="327"/>
      <c r="AE837" s="327"/>
      <c r="AF837" s="327"/>
      <c r="AG837" s="327"/>
      <c r="AH837" s="327"/>
    </row>
    <row r="838" spans="1:34" ht="11.25" customHeight="1" x14ac:dyDescent="0.2">
      <c r="A838" s="327"/>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7"/>
      <c r="AD838" s="327"/>
      <c r="AE838" s="327"/>
      <c r="AF838" s="327"/>
      <c r="AG838" s="327"/>
      <c r="AH838" s="327"/>
    </row>
    <row r="839" spans="1:34" ht="11.25" customHeight="1" x14ac:dyDescent="0.2">
      <c r="A839" s="327"/>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c r="AB839" s="327"/>
      <c r="AC839" s="327"/>
      <c r="AD839" s="327"/>
      <c r="AE839" s="327"/>
      <c r="AF839" s="327"/>
      <c r="AG839" s="327"/>
      <c r="AH839" s="327"/>
    </row>
    <row r="840" spans="1:34" ht="11.25" customHeight="1" x14ac:dyDescent="0.2">
      <c r="A840" s="327"/>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c r="AA840" s="327"/>
      <c r="AB840" s="327"/>
      <c r="AC840" s="327"/>
      <c r="AD840" s="327"/>
      <c r="AE840" s="327"/>
      <c r="AF840" s="327"/>
      <c r="AG840" s="327"/>
      <c r="AH840" s="327"/>
    </row>
    <row r="841" spans="1:34" ht="11.25" customHeight="1" x14ac:dyDescent="0.2">
      <c r="A841" s="327"/>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327"/>
      <c r="AE841" s="327"/>
      <c r="AF841" s="327"/>
      <c r="AG841" s="327"/>
      <c r="AH841" s="327"/>
    </row>
    <row r="842" spans="1:34" ht="11.25" customHeight="1" x14ac:dyDescent="0.2">
      <c r="A842" s="327"/>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c r="AA842" s="327"/>
      <c r="AB842" s="327"/>
      <c r="AC842" s="327"/>
      <c r="AD842" s="327"/>
      <c r="AE842" s="327"/>
      <c r="AF842" s="327"/>
      <c r="AG842" s="327"/>
      <c r="AH842" s="327"/>
    </row>
    <row r="843" spans="1:34" ht="11.25" customHeight="1" x14ac:dyDescent="0.2">
      <c r="A843" s="327"/>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c r="AA843" s="327"/>
      <c r="AB843" s="327"/>
      <c r="AC843" s="327"/>
      <c r="AD843" s="327"/>
      <c r="AE843" s="327"/>
      <c r="AF843" s="327"/>
      <c r="AG843" s="327"/>
      <c r="AH843" s="327"/>
    </row>
    <row r="844" spans="1:34" ht="11.25" customHeight="1" x14ac:dyDescent="0.2">
      <c r="A844" s="327"/>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c r="AA844" s="327"/>
      <c r="AB844" s="327"/>
      <c r="AC844" s="327"/>
      <c r="AD844" s="327"/>
      <c r="AE844" s="327"/>
      <c r="AF844" s="327"/>
      <c r="AG844" s="327"/>
      <c r="AH844" s="327"/>
    </row>
    <row r="845" spans="1:34" ht="11.25" customHeight="1" x14ac:dyDescent="0.2">
      <c r="A845" s="327"/>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c r="AB845" s="327"/>
      <c r="AC845" s="327"/>
      <c r="AD845" s="327"/>
      <c r="AE845" s="327"/>
      <c r="AF845" s="327"/>
      <c r="AG845" s="327"/>
      <c r="AH845" s="327"/>
    </row>
    <row r="846" spans="1:34" ht="11.25" customHeight="1" x14ac:dyDescent="0.2">
      <c r="A846" s="327"/>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7"/>
      <c r="AD846" s="327"/>
      <c r="AE846" s="327"/>
      <c r="AF846" s="327"/>
      <c r="AG846" s="327"/>
      <c r="AH846" s="327"/>
    </row>
    <row r="847" spans="1:34" ht="11.25" customHeight="1" x14ac:dyDescent="0.2">
      <c r="A847" s="327"/>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c r="AA847" s="327"/>
      <c r="AB847" s="327"/>
      <c r="AC847" s="327"/>
      <c r="AD847" s="327"/>
      <c r="AE847" s="327"/>
      <c r="AF847" s="327"/>
      <c r="AG847" s="327"/>
      <c r="AH847" s="327"/>
    </row>
    <row r="848" spans="1:34" ht="11.25" customHeight="1" x14ac:dyDescent="0.2">
      <c r="A848" s="327"/>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c r="AA848" s="327"/>
      <c r="AB848" s="327"/>
      <c r="AC848" s="327"/>
      <c r="AD848" s="327"/>
      <c r="AE848" s="327"/>
      <c r="AF848" s="327"/>
      <c r="AG848" s="327"/>
      <c r="AH848" s="327"/>
    </row>
    <row r="849" spans="1:34" ht="11.25" customHeight="1" x14ac:dyDescent="0.2">
      <c r="A849" s="327"/>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c r="AB849" s="327"/>
      <c r="AC849" s="327"/>
      <c r="AD849" s="327"/>
      <c r="AE849" s="327"/>
      <c r="AF849" s="327"/>
      <c r="AG849" s="327"/>
      <c r="AH849" s="327"/>
    </row>
    <row r="850" spans="1:34" ht="11.25" customHeight="1" x14ac:dyDescent="0.2">
      <c r="A850" s="327"/>
      <c r="B850" s="327"/>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c r="AA850" s="327"/>
      <c r="AB850" s="327"/>
      <c r="AC850" s="327"/>
      <c r="AD850" s="327"/>
      <c r="AE850" s="327"/>
      <c r="AF850" s="327"/>
      <c r="AG850" s="327"/>
      <c r="AH850" s="327"/>
    </row>
    <row r="851" spans="1:34" ht="11.25" customHeight="1" x14ac:dyDescent="0.2">
      <c r="A851" s="327"/>
      <c r="B851" s="327"/>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c r="AA851" s="327"/>
      <c r="AB851" s="327"/>
      <c r="AC851" s="327"/>
      <c r="AD851" s="327"/>
      <c r="AE851" s="327"/>
      <c r="AF851" s="327"/>
      <c r="AG851" s="327"/>
      <c r="AH851" s="327"/>
    </row>
    <row r="852" spans="1:34" ht="11.25" customHeight="1" x14ac:dyDescent="0.2">
      <c r="A852" s="327"/>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c r="AA852" s="327"/>
      <c r="AB852" s="327"/>
      <c r="AC852" s="327"/>
      <c r="AD852" s="327"/>
      <c r="AE852" s="327"/>
      <c r="AF852" s="327"/>
      <c r="AG852" s="327"/>
      <c r="AH852" s="327"/>
    </row>
    <row r="853" spans="1:34" ht="11.25" customHeight="1" x14ac:dyDescent="0.2">
      <c r="A853" s="327"/>
      <c r="B853" s="327"/>
      <c r="C853" s="327"/>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c r="AA853" s="327"/>
      <c r="AB853" s="327"/>
      <c r="AC853" s="327"/>
      <c r="AD853" s="327"/>
      <c r="AE853" s="327"/>
      <c r="AF853" s="327"/>
      <c r="AG853" s="327"/>
      <c r="AH853" s="327"/>
    </row>
    <row r="854" spans="1:34" ht="11.25" customHeight="1" x14ac:dyDescent="0.2">
      <c r="A854" s="327"/>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c r="AB854" s="327"/>
      <c r="AC854" s="327"/>
      <c r="AD854" s="327"/>
      <c r="AE854" s="327"/>
      <c r="AF854" s="327"/>
      <c r="AG854" s="327"/>
      <c r="AH854" s="327"/>
    </row>
    <row r="855" spans="1:34" ht="11.25" customHeight="1" x14ac:dyDescent="0.2">
      <c r="A855" s="327"/>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7"/>
      <c r="AD855" s="327"/>
      <c r="AE855" s="327"/>
      <c r="AF855" s="327"/>
      <c r="AG855" s="327"/>
      <c r="AH855" s="327"/>
    </row>
    <row r="856" spans="1:34" ht="11.25" customHeight="1" x14ac:dyDescent="0.2">
      <c r="A856" s="327"/>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7"/>
      <c r="AD856" s="327"/>
      <c r="AE856" s="327"/>
      <c r="AF856" s="327"/>
      <c r="AG856" s="327"/>
      <c r="AH856" s="327"/>
    </row>
    <row r="857" spans="1:34" ht="11.25" customHeight="1" x14ac:dyDescent="0.2">
      <c r="A857" s="327"/>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c r="AB857" s="327"/>
      <c r="AC857" s="327"/>
      <c r="AD857" s="327"/>
      <c r="AE857" s="327"/>
      <c r="AF857" s="327"/>
      <c r="AG857" s="327"/>
      <c r="AH857" s="327"/>
    </row>
    <row r="858" spans="1:34" ht="11.25" customHeight="1" x14ac:dyDescent="0.2">
      <c r="A858" s="327"/>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c r="AA858" s="327"/>
      <c r="AB858" s="327"/>
      <c r="AC858" s="327"/>
      <c r="AD858" s="327"/>
      <c r="AE858" s="327"/>
      <c r="AF858" s="327"/>
      <c r="AG858" s="327"/>
      <c r="AH858" s="327"/>
    </row>
    <row r="859" spans="1:34" ht="11.25" customHeight="1" x14ac:dyDescent="0.2">
      <c r="A859" s="327"/>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c r="AA859" s="327"/>
      <c r="AB859" s="327"/>
      <c r="AC859" s="327"/>
      <c r="AD859" s="327"/>
      <c r="AE859" s="327"/>
      <c r="AF859" s="327"/>
      <c r="AG859" s="327"/>
      <c r="AH859" s="327"/>
    </row>
    <row r="860" spans="1:34" ht="11.25" customHeight="1" x14ac:dyDescent="0.2">
      <c r="A860" s="327"/>
      <c r="B860" s="327"/>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c r="AA860" s="327"/>
      <c r="AB860" s="327"/>
      <c r="AC860" s="327"/>
      <c r="AD860" s="327"/>
      <c r="AE860" s="327"/>
      <c r="AF860" s="327"/>
      <c r="AG860" s="327"/>
      <c r="AH860" s="327"/>
    </row>
    <row r="861" spans="1:34" ht="11.25" customHeight="1" x14ac:dyDescent="0.2">
      <c r="A861" s="327"/>
      <c r="B861" s="327"/>
      <c r="C861" s="327"/>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c r="AA861" s="327"/>
      <c r="AB861" s="327"/>
      <c r="AC861" s="327"/>
      <c r="AD861" s="327"/>
      <c r="AE861" s="327"/>
      <c r="AF861" s="327"/>
      <c r="AG861" s="327"/>
      <c r="AH861" s="327"/>
    </row>
    <row r="862" spans="1:34" ht="11.25" customHeight="1" x14ac:dyDescent="0.2">
      <c r="A862" s="327"/>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327"/>
      <c r="AE862" s="327"/>
      <c r="AF862" s="327"/>
      <c r="AG862" s="327"/>
      <c r="AH862" s="327"/>
    </row>
    <row r="863" spans="1:34" ht="11.25" customHeight="1" x14ac:dyDescent="0.2">
      <c r="A863" s="327"/>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c r="AA863" s="327"/>
      <c r="AB863" s="327"/>
      <c r="AC863" s="327"/>
      <c r="AD863" s="327"/>
      <c r="AE863" s="327"/>
      <c r="AF863" s="327"/>
      <c r="AG863" s="327"/>
      <c r="AH863" s="327"/>
    </row>
    <row r="864" spans="1:34" ht="11.25" customHeight="1" x14ac:dyDescent="0.2">
      <c r="A864" s="327"/>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c r="AA864" s="327"/>
      <c r="AB864" s="327"/>
      <c r="AC864" s="327"/>
      <c r="AD864" s="327"/>
      <c r="AE864" s="327"/>
      <c r="AF864" s="327"/>
      <c r="AG864" s="327"/>
      <c r="AH864" s="327"/>
    </row>
    <row r="865" spans="1:34" ht="11.25" customHeight="1" x14ac:dyDescent="0.2">
      <c r="A865" s="327"/>
      <c r="B865" s="327"/>
      <c r="C865" s="327"/>
      <c r="D865" s="327"/>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c r="AA865" s="327"/>
      <c r="AB865" s="327"/>
      <c r="AC865" s="327"/>
      <c r="AD865" s="327"/>
      <c r="AE865" s="327"/>
      <c r="AF865" s="327"/>
      <c r="AG865" s="327"/>
      <c r="AH865" s="327"/>
    </row>
    <row r="866" spans="1:34" ht="11.25" customHeight="1" x14ac:dyDescent="0.2">
      <c r="A866" s="327"/>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327"/>
      <c r="AE866" s="327"/>
      <c r="AF866" s="327"/>
      <c r="AG866" s="327"/>
      <c r="AH866" s="327"/>
    </row>
    <row r="867" spans="1:34" ht="11.25" customHeight="1" x14ac:dyDescent="0.2">
      <c r="A867" s="327"/>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c r="AA867" s="327"/>
      <c r="AB867" s="327"/>
      <c r="AC867" s="327"/>
      <c r="AD867" s="327"/>
      <c r="AE867" s="327"/>
      <c r="AF867" s="327"/>
      <c r="AG867" s="327"/>
      <c r="AH867" s="327"/>
    </row>
    <row r="868" spans="1:34" ht="11.25" customHeight="1" x14ac:dyDescent="0.2">
      <c r="A868" s="327"/>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7"/>
      <c r="AD868" s="327"/>
      <c r="AE868" s="327"/>
      <c r="AF868" s="327"/>
      <c r="AG868" s="327"/>
      <c r="AH868" s="327"/>
    </row>
    <row r="869" spans="1:34" ht="11.25" customHeight="1" x14ac:dyDescent="0.2">
      <c r="A869" s="327"/>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c r="AA869" s="327"/>
      <c r="AB869" s="327"/>
      <c r="AC869" s="327"/>
      <c r="AD869" s="327"/>
      <c r="AE869" s="327"/>
      <c r="AF869" s="327"/>
      <c r="AG869" s="327"/>
      <c r="AH869" s="327"/>
    </row>
    <row r="870" spans="1:34" ht="11.25" customHeight="1" x14ac:dyDescent="0.2">
      <c r="A870" s="327"/>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c r="AA870" s="327"/>
      <c r="AB870" s="327"/>
      <c r="AC870" s="327"/>
      <c r="AD870" s="327"/>
      <c r="AE870" s="327"/>
      <c r="AF870" s="327"/>
      <c r="AG870" s="327"/>
      <c r="AH870" s="327"/>
    </row>
    <row r="871" spans="1:34" ht="11.25" customHeight="1" x14ac:dyDescent="0.2">
      <c r="A871" s="327"/>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c r="AA871" s="327"/>
      <c r="AB871" s="327"/>
      <c r="AC871" s="327"/>
      <c r="AD871" s="327"/>
      <c r="AE871" s="327"/>
      <c r="AF871" s="327"/>
      <c r="AG871" s="327"/>
      <c r="AH871" s="327"/>
    </row>
    <row r="872" spans="1:34" ht="11.25" customHeight="1" x14ac:dyDescent="0.2">
      <c r="A872" s="327"/>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c r="AB872" s="327"/>
      <c r="AC872" s="327"/>
      <c r="AD872" s="327"/>
      <c r="AE872" s="327"/>
      <c r="AF872" s="327"/>
      <c r="AG872" s="327"/>
      <c r="AH872" s="327"/>
    </row>
    <row r="873" spans="1:34" ht="11.25" customHeight="1" x14ac:dyDescent="0.2">
      <c r="A873" s="327"/>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c r="AA873" s="327"/>
      <c r="AB873" s="327"/>
      <c r="AC873" s="327"/>
      <c r="AD873" s="327"/>
      <c r="AE873" s="327"/>
      <c r="AF873" s="327"/>
      <c r="AG873" s="327"/>
      <c r="AH873" s="327"/>
    </row>
    <row r="874" spans="1:34" ht="11.25" customHeight="1" x14ac:dyDescent="0.2">
      <c r="A874" s="327"/>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c r="AA874" s="327"/>
      <c r="AB874" s="327"/>
      <c r="AC874" s="327"/>
      <c r="AD874" s="327"/>
      <c r="AE874" s="327"/>
      <c r="AF874" s="327"/>
      <c r="AG874" s="327"/>
      <c r="AH874" s="327"/>
    </row>
    <row r="875" spans="1:34" ht="11.25" customHeight="1" x14ac:dyDescent="0.2">
      <c r="A875" s="327"/>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c r="AB875" s="327"/>
      <c r="AC875" s="327"/>
      <c r="AD875" s="327"/>
      <c r="AE875" s="327"/>
      <c r="AF875" s="327"/>
      <c r="AG875" s="327"/>
      <c r="AH875" s="327"/>
    </row>
    <row r="876" spans="1:34" ht="11.25" customHeight="1" x14ac:dyDescent="0.2">
      <c r="A876" s="327"/>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c r="AA876" s="327"/>
      <c r="AB876" s="327"/>
      <c r="AC876" s="327"/>
      <c r="AD876" s="327"/>
      <c r="AE876" s="327"/>
      <c r="AF876" s="327"/>
      <c r="AG876" s="327"/>
      <c r="AH876" s="327"/>
    </row>
    <row r="877" spans="1:34" ht="11.25" customHeight="1" x14ac:dyDescent="0.2">
      <c r="A877" s="327"/>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c r="AE877" s="327"/>
      <c r="AF877" s="327"/>
      <c r="AG877" s="327"/>
      <c r="AH877" s="327"/>
    </row>
    <row r="878" spans="1:34" ht="11.25" customHeight="1" x14ac:dyDescent="0.2">
      <c r="A878" s="327"/>
      <c r="B878" s="327"/>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c r="AA878" s="327"/>
      <c r="AB878" s="327"/>
      <c r="AC878" s="327"/>
      <c r="AD878" s="327"/>
      <c r="AE878" s="327"/>
      <c r="AF878" s="327"/>
      <c r="AG878" s="327"/>
      <c r="AH878" s="327"/>
    </row>
    <row r="879" spans="1:34" ht="11.25" customHeight="1" x14ac:dyDescent="0.2">
      <c r="A879" s="327"/>
      <c r="B879" s="327"/>
      <c r="C879" s="327"/>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c r="AA879" s="327"/>
      <c r="AB879" s="327"/>
      <c r="AC879" s="327"/>
      <c r="AD879" s="327"/>
      <c r="AE879" s="327"/>
      <c r="AF879" s="327"/>
      <c r="AG879" s="327"/>
      <c r="AH879" s="327"/>
    </row>
    <row r="880" spans="1:34" ht="11.25" customHeight="1" x14ac:dyDescent="0.2">
      <c r="A880" s="327"/>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c r="AB880" s="327"/>
      <c r="AC880" s="327"/>
      <c r="AD880" s="327"/>
      <c r="AE880" s="327"/>
      <c r="AF880" s="327"/>
      <c r="AG880" s="327"/>
      <c r="AH880" s="327"/>
    </row>
    <row r="881" spans="1:34" ht="11.25" customHeight="1" x14ac:dyDescent="0.2">
      <c r="A881" s="327"/>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c r="AA881" s="327"/>
      <c r="AB881" s="327"/>
      <c r="AC881" s="327"/>
      <c r="AD881" s="327"/>
      <c r="AE881" s="327"/>
      <c r="AF881" s="327"/>
      <c r="AG881" s="327"/>
      <c r="AH881" s="327"/>
    </row>
    <row r="882" spans="1:34" ht="11.25" customHeight="1" x14ac:dyDescent="0.2">
      <c r="A882" s="327"/>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c r="AA882" s="327"/>
      <c r="AB882" s="327"/>
      <c r="AC882" s="327"/>
      <c r="AD882" s="327"/>
      <c r="AE882" s="327"/>
      <c r="AF882" s="327"/>
      <c r="AG882" s="327"/>
      <c r="AH882" s="327"/>
    </row>
    <row r="883" spans="1:34" ht="11.25" customHeight="1" x14ac:dyDescent="0.2">
      <c r="A883" s="327"/>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c r="AA883" s="327"/>
      <c r="AB883" s="327"/>
      <c r="AC883" s="327"/>
      <c r="AD883" s="327"/>
      <c r="AE883" s="327"/>
      <c r="AF883" s="327"/>
      <c r="AG883" s="327"/>
      <c r="AH883" s="327"/>
    </row>
    <row r="884" spans="1:34" ht="11.25" customHeight="1" x14ac:dyDescent="0.2">
      <c r="A884" s="327"/>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c r="AA884" s="327"/>
      <c r="AB884" s="327"/>
      <c r="AC884" s="327"/>
      <c r="AD884" s="327"/>
      <c r="AE884" s="327"/>
      <c r="AF884" s="327"/>
      <c r="AG884" s="327"/>
      <c r="AH884" s="327"/>
    </row>
    <row r="885" spans="1:34" ht="11.25" customHeight="1" x14ac:dyDescent="0.2">
      <c r="A885" s="327"/>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c r="AA885" s="327"/>
      <c r="AB885" s="327"/>
      <c r="AC885" s="327"/>
      <c r="AD885" s="327"/>
      <c r="AE885" s="327"/>
      <c r="AF885" s="327"/>
      <c r="AG885" s="327"/>
      <c r="AH885" s="327"/>
    </row>
    <row r="886" spans="1:34" ht="11.25" customHeight="1" x14ac:dyDescent="0.2">
      <c r="A886" s="327"/>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c r="AE886" s="327"/>
      <c r="AF886" s="327"/>
      <c r="AG886" s="327"/>
      <c r="AH886" s="327"/>
    </row>
    <row r="887" spans="1:34" ht="11.25" customHeight="1" x14ac:dyDescent="0.2">
      <c r="A887" s="327"/>
      <c r="B887" s="327"/>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c r="AA887" s="327"/>
      <c r="AB887" s="327"/>
      <c r="AC887" s="327"/>
      <c r="AD887" s="327"/>
      <c r="AE887" s="327"/>
      <c r="AF887" s="327"/>
      <c r="AG887" s="327"/>
      <c r="AH887" s="327"/>
    </row>
    <row r="888" spans="1:34" ht="11.25" customHeight="1" x14ac:dyDescent="0.2">
      <c r="A888" s="327"/>
      <c r="B888" s="327"/>
      <c r="C888" s="327"/>
      <c r="D888" s="327"/>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c r="AA888" s="327"/>
      <c r="AB888" s="327"/>
      <c r="AC888" s="327"/>
      <c r="AD888" s="327"/>
      <c r="AE888" s="327"/>
      <c r="AF888" s="327"/>
      <c r="AG888" s="327"/>
      <c r="AH888" s="327"/>
    </row>
    <row r="889" spans="1:34" ht="11.25" customHeight="1" x14ac:dyDescent="0.2">
      <c r="A889" s="327"/>
      <c r="B889" s="327"/>
      <c r="C889" s="327"/>
      <c r="D889" s="327"/>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c r="AA889" s="327"/>
      <c r="AB889" s="327"/>
      <c r="AC889" s="327"/>
      <c r="AD889" s="327"/>
      <c r="AE889" s="327"/>
      <c r="AF889" s="327"/>
      <c r="AG889" s="327"/>
      <c r="AH889" s="327"/>
    </row>
    <row r="890" spans="1:34" ht="11.25" customHeight="1" x14ac:dyDescent="0.2">
      <c r="A890" s="327"/>
      <c r="B890" s="327"/>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c r="AA890" s="327"/>
      <c r="AB890" s="327"/>
      <c r="AC890" s="327"/>
      <c r="AD890" s="327"/>
      <c r="AE890" s="327"/>
      <c r="AF890" s="327"/>
      <c r="AG890" s="327"/>
      <c r="AH890" s="327"/>
    </row>
    <row r="891" spans="1:34" ht="11.25" customHeight="1" x14ac:dyDescent="0.2">
      <c r="A891" s="327"/>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c r="AA891" s="327"/>
      <c r="AB891" s="327"/>
      <c r="AC891" s="327"/>
      <c r="AD891" s="327"/>
      <c r="AE891" s="327"/>
      <c r="AF891" s="327"/>
      <c r="AG891" s="327"/>
      <c r="AH891" s="327"/>
    </row>
    <row r="892" spans="1:34" ht="11.25" customHeight="1" x14ac:dyDescent="0.2">
      <c r="A892" s="327"/>
      <c r="B892" s="327"/>
      <c r="C892" s="327"/>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c r="AA892" s="327"/>
      <c r="AB892" s="327"/>
      <c r="AC892" s="327"/>
      <c r="AD892" s="327"/>
      <c r="AE892" s="327"/>
      <c r="AF892" s="327"/>
      <c r="AG892" s="327"/>
      <c r="AH892" s="327"/>
    </row>
    <row r="893" spans="1:34" ht="11.25" customHeight="1" x14ac:dyDescent="0.2">
      <c r="A893" s="327"/>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327"/>
      <c r="AE893" s="327"/>
      <c r="AF893" s="327"/>
      <c r="AG893" s="327"/>
      <c r="AH893" s="327"/>
    </row>
    <row r="894" spans="1:34" ht="11.25" customHeight="1" x14ac:dyDescent="0.2">
      <c r="A894" s="327"/>
      <c r="B894" s="327"/>
      <c r="C894" s="327"/>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c r="AA894" s="327"/>
      <c r="AB894" s="327"/>
      <c r="AC894" s="327"/>
      <c r="AD894" s="327"/>
      <c r="AE894" s="327"/>
      <c r="AF894" s="327"/>
      <c r="AG894" s="327"/>
      <c r="AH894" s="327"/>
    </row>
    <row r="895" spans="1:34" ht="11.25" customHeight="1" x14ac:dyDescent="0.2">
      <c r="A895" s="327"/>
      <c r="B895" s="327"/>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c r="AA895" s="327"/>
      <c r="AB895" s="327"/>
      <c r="AC895" s="327"/>
      <c r="AD895" s="327"/>
      <c r="AE895" s="327"/>
      <c r="AF895" s="327"/>
      <c r="AG895" s="327"/>
      <c r="AH895" s="327"/>
    </row>
    <row r="896" spans="1:34" ht="11.25" customHeight="1" x14ac:dyDescent="0.2">
      <c r="A896" s="327"/>
      <c r="B896" s="327"/>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c r="AA896" s="327"/>
      <c r="AB896" s="327"/>
      <c r="AC896" s="327"/>
      <c r="AD896" s="327"/>
      <c r="AE896" s="327"/>
      <c r="AF896" s="327"/>
      <c r="AG896" s="327"/>
      <c r="AH896" s="327"/>
    </row>
    <row r="897" spans="1:34" ht="11.25" customHeight="1" x14ac:dyDescent="0.2">
      <c r="A897" s="327"/>
      <c r="B897" s="327"/>
      <c r="C897" s="327"/>
      <c r="D897" s="327"/>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c r="AA897" s="327"/>
      <c r="AB897" s="327"/>
      <c r="AC897" s="327"/>
      <c r="AD897" s="327"/>
      <c r="AE897" s="327"/>
      <c r="AF897" s="327"/>
      <c r="AG897" s="327"/>
      <c r="AH897" s="327"/>
    </row>
    <row r="898" spans="1:34" ht="11.25" customHeight="1" x14ac:dyDescent="0.2">
      <c r="A898" s="327"/>
      <c r="B898" s="327"/>
      <c r="C898" s="327"/>
      <c r="D898" s="327"/>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c r="AA898" s="327"/>
      <c r="AB898" s="327"/>
      <c r="AC898" s="327"/>
      <c r="AD898" s="327"/>
      <c r="AE898" s="327"/>
      <c r="AF898" s="327"/>
      <c r="AG898" s="327"/>
      <c r="AH898" s="327"/>
    </row>
    <row r="899" spans="1:34" ht="11.25" customHeight="1" x14ac:dyDescent="0.2">
      <c r="A899" s="327"/>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c r="AA899" s="327"/>
      <c r="AB899" s="327"/>
      <c r="AC899" s="327"/>
      <c r="AD899" s="327"/>
      <c r="AE899" s="327"/>
      <c r="AF899" s="327"/>
      <c r="AG899" s="327"/>
      <c r="AH899" s="327"/>
    </row>
    <row r="900" spans="1:34" ht="11.25" customHeight="1" x14ac:dyDescent="0.2">
      <c r="A900" s="327"/>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c r="AA900" s="327"/>
      <c r="AB900" s="327"/>
      <c r="AC900" s="327"/>
      <c r="AD900" s="327"/>
      <c r="AE900" s="327"/>
      <c r="AF900" s="327"/>
      <c r="AG900" s="327"/>
      <c r="AH900" s="327"/>
    </row>
    <row r="901" spans="1:34" ht="11.25" customHeight="1" x14ac:dyDescent="0.2">
      <c r="A901" s="327"/>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c r="AA901" s="327"/>
      <c r="AB901" s="327"/>
      <c r="AC901" s="327"/>
      <c r="AD901" s="327"/>
      <c r="AE901" s="327"/>
      <c r="AF901" s="327"/>
      <c r="AG901" s="327"/>
      <c r="AH901" s="327"/>
    </row>
    <row r="902" spans="1:34" ht="11.25" customHeight="1" x14ac:dyDescent="0.2">
      <c r="A902" s="327"/>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c r="AB902" s="327"/>
      <c r="AC902" s="327"/>
      <c r="AD902" s="327"/>
      <c r="AE902" s="327"/>
      <c r="AF902" s="327"/>
      <c r="AG902" s="327"/>
      <c r="AH902" s="327"/>
    </row>
    <row r="903" spans="1:34" ht="11.25" customHeight="1" x14ac:dyDescent="0.2">
      <c r="A903" s="327"/>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c r="AA903" s="327"/>
      <c r="AB903" s="327"/>
      <c r="AC903" s="327"/>
      <c r="AD903" s="327"/>
      <c r="AE903" s="327"/>
      <c r="AF903" s="327"/>
      <c r="AG903" s="327"/>
      <c r="AH903" s="327"/>
    </row>
    <row r="904" spans="1:34" ht="11.25" customHeight="1" x14ac:dyDescent="0.2">
      <c r="A904" s="327"/>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c r="AA904" s="327"/>
      <c r="AB904" s="327"/>
      <c r="AC904" s="327"/>
      <c r="AD904" s="327"/>
      <c r="AE904" s="327"/>
      <c r="AF904" s="327"/>
      <c r="AG904" s="327"/>
      <c r="AH904" s="327"/>
    </row>
    <row r="905" spans="1:34" ht="11.25" customHeight="1" x14ac:dyDescent="0.2">
      <c r="A905" s="327"/>
      <c r="B905" s="327"/>
      <c r="C905" s="327"/>
      <c r="D905" s="327"/>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c r="AA905" s="327"/>
      <c r="AB905" s="327"/>
      <c r="AC905" s="327"/>
      <c r="AD905" s="327"/>
      <c r="AE905" s="327"/>
      <c r="AF905" s="327"/>
      <c r="AG905" s="327"/>
      <c r="AH905" s="327"/>
    </row>
    <row r="906" spans="1:34" ht="11.25" customHeight="1" x14ac:dyDescent="0.2">
      <c r="A906" s="327"/>
      <c r="B906" s="327"/>
      <c r="C906" s="327"/>
      <c r="D906" s="327"/>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c r="AA906" s="327"/>
      <c r="AB906" s="327"/>
      <c r="AC906" s="327"/>
      <c r="AD906" s="327"/>
      <c r="AE906" s="327"/>
      <c r="AF906" s="327"/>
      <c r="AG906" s="327"/>
      <c r="AH906" s="327"/>
    </row>
    <row r="907" spans="1:34" ht="11.25" customHeight="1" x14ac:dyDescent="0.2">
      <c r="A907" s="327"/>
      <c r="B907" s="327"/>
      <c r="C907" s="327"/>
      <c r="D907" s="327"/>
      <c r="E907" s="327"/>
      <c r="F907" s="327"/>
      <c r="G907" s="327"/>
      <c r="H907" s="327"/>
      <c r="I907" s="327"/>
      <c r="J907" s="327"/>
      <c r="K907" s="327"/>
      <c r="L907" s="327"/>
      <c r="M907" s="327"/>
      <c r="N907" s="327"/>
      <c r="O907" s="327"/>
      <c r="P907" s="327"/>
      <c r="Q907" s="327"/>
      <c r="R907" s="327"/>
      <c r="S907" s="327"/>
      <c r="T907" s="327"/>
      <c r="U907" s="327"/>
      <c r="V907" s="327"/>
      <c r="W907" s="327"/>
      <c r="X907" s="327"/>
      <c r="Y907" s="327"/>
      <c r="Z907" s="327"/>
      <c r="AA907" s="327"/>
      <c r="AB907" s="327"/>
      <c r="AC907" s="327"/>
      <c r="AD907" s="327"/>
      <c r="AE907" s="327"/>
      <c r="AF907" s="327"/>
      <c r="AG907" s="327"/>
      <c r="AH907" s="327"/>
    </row>
    <row r="908" spans="1:34" ht="11.25" customHeight="1" x14ac:dyDescent="0.2">
      <c r="A908" s="327"/>
      <c r="B908" s="327"/>
      <c r="C908" s="327"/>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c r="AA908" s="327"/>
      <c r="AB908" s="327"/>
      <c r="AC908" s="327"/>
      <c r="AD908" s="327"/>
      <c r="AE908" s="327"/>
      <c r="AF908" s="327"/>
      <c r="AG908" s="327"/>
      <c r="AH908" s="327"/>
    </row>
    <row r="909" spans="1:34" ht="11.25" customHeight="1" x14ac:dyDescent="0.2">
      <c r="A909" s="327"/>
      <c r="B909" s="327"/>
      <c r="C909" s="327"/>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c r="AA909" s="327"/>
      <c r="AB909" s="327"/>
      <c r="AC909" s="327"/>
      <c r="AD909" s="327"/>
      <c r="AE909" s="327"/>
      <c r="AF909" s="327"/>
      <c r="AG909" s="327"/>
      <c r="AH909" s="327"/>
    </row>
    <row r="910" spans="1:34" ht="11.25" customHeight="1" x14ac:dyDescent="0.2">
      <c r="A910" s="327"/>
      <c r="B910" s="327"/>
      <c r="C910" s="327"/>
      <c r="D910" s="327"/>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c r="AA910" s="327"/>
      <c r="AB910" s="327"/>
      <c r="AC910" s="327"/>
      <c r="AD910" s="327"/>
      <c r="AE910" s="327"/>
      <c r="AF910" s="327"/>
      <c r="AG910" s="327"/>
      <c r="AH910" s="327"/>
    </row>
    <row r="911" spans="1:34" ht="11.25" customHeight="1" x14ac:dyDescent="0.2">
      <c r="A911" s="327"/>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327"/>
      <c r="AE911" s="327"/>
      <c r="AF911" s="327"/>
      <c r="AG911" s="327"/>
      <c r="AH911" s="327"/>
    </row>
    <row r="912" spans="1:34" ht="11.25" customHeight="1" x14ac:dyDescent="0.2">
      <c r="A912" s="327"/>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c r="AA912" s="327"/>
      <c r="AB912" s="327"/>
      <c r="AC912" s="327"/>
      <c r="AD912" s="327"/>
      <c r="AE912" s="327"/>
      <c r="AF912" s="327"/>
      <c r="AG912" s="327"/>
      <c r="AH912" s="327"/>
    </row>
    <row r="913" spans="1:34" ht="11.25" customHeight="1" x14ac:dyDescent="0.2">
      <c r="A913" s="327"/>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c r="AB913" s="327"/>
      <c r="AC913" s="327"/>
      <c r="AD913" s="327"/>
      <c r="AE913" s="327"/>
      <c r="AF913" s="327"/>
      <c r="AG913" s="327"/>
      <c r="AH913" s="327"/>
    </row>
    <row r="914" spans="1:34" ht="11.25" customHeight="1" x14ac:dyDescent="0.2">
      <c r="A914" s="327"/>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c r="AA914" s="327"/>
      <c r="AB914" s="327"/>
      <c r="AC914" s="327"/>
      <c r="AD914" s="327"/>
      <c r="AE914" s="327"/>
      <c r="AF914" s="327"/>
      <c r="AG914" s="327"/>
      <c r="AH914" s="327"/>
    </row>
    <row r="915" spans="1:34" ht="11.25" customHeight="1" x14ac:dyDescent="0.2">
      <c r="A915" s="327"/>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c r="AA915" s="327"/>
      <c r="AB915" s="327"/>
      <c r="AC915" s="327"/>
      <c r="AD915" s="327"/>
      <c r="AE915" s="327"/>
      <c r="AF915" s="327"/>
      <c r="AG915" s="327"/>
      <c r="AH915" s="327"/>
    </row>
    <row r="916" spans="1:34" ht="11.25" customHeight="1" x14ac:dyDescent="0.2">
      <c r="A916" s="327"/>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c r="AA916" s="327"/>
      <c r="AB916" s="327"/>
      <c r="AC916" s="327"/>
      <c r="AD916" s="327"/>
      <c r="AE916" s="327"/>
      <c r="AF916" s="327"/>
      <c r="AG916" s="327"/>
      <c r="AH916" s="327"/>
    </row>
    <row r="917" spans="1:34" ht="11.25" customHeight="1" x14ac:dyDescent="0.2">
      <c r="A917" s="327"/>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c r="AA917" s="327"/>
      <c r="AB917" s="327"/>
      <c r="AC917" s="327"/>
      <c r="AD917" s="327"/>
      <c r="AE917" s="327"/>
      <c r="AF917" s="327"/>
      <c r="AG917" s="327"/>
      <c r="AH917" s="327"/>
    </row>
    <row r="918" spans="1:34" ht="11.25" customHeight="1" x14ac:dyDescent="0.2">
      <c r="A918" s="327"/>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c r="AA918" s="327"/>
      <c r="AB918" s="327"/>
      <c r="AC918" s="327"/>
      <c r="AD918" s="327"/>
      <c r="AE918" s="327"/>
      <c r="AF918" s="327"/>
      <c r="AG918" s="327"/>
      <c r="AH918" s="327"/>
    </row>
    <row r="919" spans="1:34" ht="11.25" customHeight="1" x14ac:dyDescent="0.2">
      <c r="A919" s="327"/>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c r="AA919" s="327"/>
      <c r="AB919" s="327"/>
      <c r="AC919" s="327"/>
      <c r="AD919" s="327"/>
      <c r="AE919" s="327"/>
      <c r="AF919" s="327"/>
      <c r="AG919" s="327"/>
      <c r="AH919" s="327"/>
    </row>
    <row r="920" spans="1:34" ht="11.25" customHeight="1" x14ac:dyDescent="0.2">
      <c r="A920" s="327"/>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7"/>
      <c r="AD920" s="327"/>
      <c r="AE920" s="327"/>
      <c r="AF920" s="327"/>
      <c r="AG920" s="327"/>
      <c r="AH920" s="327"/>
    </row>
    <row r="921" spans="1:34" ht="11.25" customHeight="1" x14ac:dyDescent="0.2">
      <c r="A921" s="327"/>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c r="AA921" s="327"/>
      <c r="AB921" s="327"/>
      <c r="AC921" s="327"/>
      <c r="AD921" s="327"/>
      <c r="AE921" s="327"/>
      <c r="AF921" s="327"/>
      <c r="AG921" s="327"/>
      <c r="AH921" s="327"/>
    </row>
    <row r="922" spans="1:34" ht="11.25" customHeight="1" x14ac:dyDescent="0.2">
      <c r="A922" s="327"/>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c r="AA922" s="327"/>
      <c r="AB922" s="327"/>
      <c r="AC922" s="327"/>
      <c r="AD922" s="327"/>
      <c r="AE922" s="327"/>
      <c r="AF922" s="327"/>
      <c r="AG922" s="327"/>
      <c r="AH922" s="327"/>
    </row>
    <row r="923" spans="1:34" ht="11.25" customHeight="1" x14ac:dyDescent="0.2">
      <c r="A923" s="327"/>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7"/>
      <c r="AD923" s="327"/>
      <c r="AE923" s="327"/>
      <c r="AF923" s="327"/>
      <c r="AG923" s="327"/>
      <c r="AH923" s="327"/>
    </row>
    <row r="924" spans="1:34" ht="11.25" customHeight="1" x14ac:dyDescent="0.2">
      <c r="A924" s="327"/>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c r="AA924" s="327"/>
      <c r="AB924" s="327"/>
      <c r="AC924" s="327"/>
      <c r="AD924" s="327"/>
      <c r="AE924" s="327"/>
      <c r="AF924" s="327"/>
      <c r="AG924" s="327"/>
      <c r="AH924" s="327"/>
    </row>
    <row r="925" spans="1:34" ht="11.25" customHeight="1" x14ac:dyDescent="0.2">
      <c r="A925" s="327"/>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c r="AA925" s="327"/>
      <c r="AB925" s="327"/>
      <c r="AC925" s="327"/>
      <c r="AD925" s="327"/>
      <c r="AE925" s="327"/>
      <c r="AF925" s="327"/>
      <c r="AG925" s="327"/>
      <c r="AH925" s="327"/>
    </row>
    <row r="926" spans="1:34" ht="11.25" customHeight="1" x14ac:dyDescent="0.2">
      <c r="A926" s="327"/>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c r="AA926" s="327"/>
      <c r="AB926" s="327"/>
      <c r="AC926" s="327"/>
      <c r="AD926" s="327"/>
      <c r="AE926" s="327"/>
      <c r="AF926" s="327"/>
      <c r="AG926" s="327"/>
      <c r="AH926" s="327"/>
    </row>
    <row r="927" spans="1:34" ht="11.25" customHeight="1" x14ac:dyDescent="0.2">
      <c r="A927" s="327"/>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c r="AA927" s="327"/>
      <c r="AB927" s="327"/>
      <c r="AC927" s="327"/>
      <c r="AD927" s="327"/>
      <c r="AE927" s="327"/>
      <c r="AF927" s="327"/>
      <c r="AG927" s="327"/>
      <c r="AH927" s="327"/>
    </row>
    <row r="928" spans="1:34" ht="11.25" customHeight="1" x14ac:dyDescent="0.2">
      <c r="A928" s="327"/>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c r="AA928" s="327"/>
      <c r="AB928" s="327"/>
      <c r="AC928" s="327"/>
      <c r="AD928" s="327"/>
      <c r="AE928" s="327"/>
      <c r="AF928" s="327"/>
      <c r="AG928" s="327"/>
      <c r="AH928" s="327"/>
    </row>
    <row r="929" spans="1:34" ht="11.25" customHeight="1" x14ac:dyDescent="0.2">
      <c r="A929" s="327"/>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7"/>
      <c r="AD929" s="327"/>
      <c r="AE929" s="327"/>
      <c r="AF929" s="327"/>
      <c r="AG929" s="327"/>
      <c r="AH929" s="327"/>
    </row>
    <row r="930" spans="1:34" ht="11.25" customHeight="1" x14ac:dyDescent="0.2">
      <c r="A930" s="327"/>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c r="AA930" s="327"/>
      <c r="AB930" s="327"/>
      <c r="AC930" s="327"/>
      <c r="AD930" s="327"/>
      <c r="AE930" s="327"/>
      <c r="AF930" s="327"/>
      <c r="AG930" s="327"/>
      <c r="AH930" s="327"/>
    </row>
    <row r="931" spans="1:34" ht="11.25" customHeight="1" x14ac:dyDescent="0.2">
      <c r="A931" s="327"/>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c r="AB931" s="327"/>
      <c r="AC931" s="327"/>
      <c r="AD931" s="327"/>
      <c r="AE931" s="327"/>
      <c r="AF931" s="327"/>
      <c r="AG931" s="327"/>
      <c r="AH931" s="327"/>
    </row>
    <row r="932" spans="1:34" ht="11.25" customHeight="1" x14ac:dyDescent="0.2">
      <c r="A932" s="327"/>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c r="AA932" s="327"/>
      <c r="AB932" s="327"/>
      <c r="AC932" s="327"/>
      <c r="AD932" s="327"/>
      <c r="AE932" s="327"/>
      <c r="AF932" s="327"/>
      <c r="AG932" s="327"/>
      <c r="AH932" s="327"/>
    </row>
    <row r="933" spans="1:34" ht="11.25" customHeight="1" x14ac:dyDescent="0.2">
      <c r="A933" s="327"/>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c r="AA933" s="327"/>
      <c r="AB933" s="327"/>
      <c r="AC933" s="327"/>
      <c r="AD933" s="327"/>
      <c r="AE933" s="327"/>
      <c r="AF933" s="327"/>
      <c r="AG933" s="327"/>
      <c r="AH933" s="327"/>
    </row>
    <row r="934" spans="1:34" ht="11.25" customHeight="1" x14ac:dyDescent="0.2">
      <c r="A934" s="327"/>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c r="AA934" s="327"/>
      <c r="AB934" s="327"/>
      <c r="AC934" s="327"/>
      <c r="AD934" s="327"/>
      <c r="AE934" s="327"/>
      <c r="AF934" s="327"/>
      <c r="AG934" s="327"/>
      <c r="AH934" s="327"/>
    </row>
    <row r="935" spans="1:34" ht="11.25" customHeight="1" x14ac:dyDescent="0.2">
      <c r="A935" s="327"/>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c r="AA935" s="327"/>
      <c r="AB935" s="327"/>
      <c r="AC935" s="327"/>
      <c r="AD935" s="327"/>
      <c r="AE935" s="327"/>
      <c r="AF935" s="327"/>
      <c r="AG935" s="327"/>
      <c r="AH935" s="327"/>
    </row>
    <row r="936" spans="1:34" ht="11.25" customHeight="1" x14ac:dyDescent="0.2">
      <c r="A936" s="327"/>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c r="AA936" s="327"/>
      <c r="AB936" s="327"/>
      <c r="AC936" s="327"/>
      <c r="AD936" s="327"/>
      <c r="AE936" s="327"/>
      <c r="AF936" s="327"/>
      <c r="AG936" s="327"/>
      <c r="AH936" s="327"/>
    </row>
    <row r="937" spans="1:34" ht="11.25" customHeight="1" x14ac:dyDescent="0.2">
      <c r="A937" s="327"/>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c r="AA937" s="327"/>
      <c r="AB937" s="327"/>
      <c r="AC937" s="327"/>
      <c r="AD937" s="327"/>
      <c r="AE937" s="327"/>
      <c r="AF937" s="327"/>
      <c r="AG937" s="327"/>
      <c r="AH937" s="327"/>
    </row>
    <row r="938" spans="1:34" ht="11.25" customHeight="1" x14ac:dyDescent="0.2">
      <c r="A938" s="327"/>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c r="AA938" s="327"/>
      <c r="AB938" s="327"/>
      <c r="AC938" s="327"/>
      <c r="AD938" s="327"/>
      <c r="AE938" s="327"/>
      <c r="AF938" s="327"/>
      <c r="AG938" s="327"/>
      <c r="AH938" s="327"/>
    </row>
    <row r="939" spans="1:34" ht="11.25" customHeight="1" x14ac:dyDescent="0.2">
      <c r="A939" s="327"/>
      <c r="B939" s="327"/>
      <c r="C939" s="327"/>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c r="AA939" s="327"/>
      <c r="AB939" s="327"/>
      <c r="AC939" s="327"/>
      <c r="AD939" s="327"/>
      <c r="AE939" s="327"/>
      <c r="AF939" s="327"/>
      <c r="AG939" s="327"/>
      <c r="AH939" s="327"/>
    </row>
    <row r="940" spans="1:34" ht="11.25" customHeight="1" x14ac:dyDescent="0.2">
      <c r="A940" s="327"/>
      <c r="B940" s="327"/>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c r="AA940" s="327"/>
      <c r="AB940" s="327"/>
      <c r="AC940" s="327"/>
      <c r="AD940" s="327"/>
      <c r="AE940" s="327"/>
      <c r="AF940" s="327"/>
      <c r="AG940" s="327"/>
      <c r="AH940" s="327"/>
    </row>
    <row r="941" spans="1:34" ht="11.25" customHeight="1" x14ac:dyDescent="0.2">
      <c r="A941" s="327"/>
      <c r="B941" s="327"/>
      <c r="C941" s="327"/>
      <c r="D941" s="327"/>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c r="AA941" s="327"/>
      <c r="AB941" s="327"/>
      <c r="AC941" s="327"/>
      <c r="AD941" s="327"/>
      <c r="AE941" s="327"/>
      <c r="AF941" s="327"/>
      <c r="AG941" s="327"/>
      <c r="AH941" s="327"/>
    </row>
    <row r="942" spans="1:34" ht="11.25" customHeight="1" x14ac:dyDescent="0.2">
      <c r="A942" s="327"/>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c r="AA942" s="327"/>
      <c r="AB942" s="327"/>
      <c r="AC942" s="327"/>
      <c r="AD942" s="327"/>
      <c r="AE942" s="327"/>
      <c r="AF942" s="327"/>
      <c r="AG942" s="327"/>
      <c r="AH942" s="327"/>
    </row>
    <row r="943" spans="1:34" ht="11.25" customHeight="1" x14ac:dyDescent="0.2">
      <c r="A943" s="327"/>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c r="AA943" s="327"/>
      <c r="AB943" s="327"/>
      <c r="AC943" s="327"/>
      <c r="AD943" s="327"/>
      <c r="AE943" s="327"/>
      <c r="AF943" s="327"/>
      <c r="AG943" s="327"/>
      <c r="AH943" s="327"/>
    </row>
    <row r="944" spans="1:34" ht="11.25" customHeight="1" x14ac:dyDescent="0.2">
      <c r="A944" s="327"/>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c r="AA944" s="327"/>
      <c r="AB944" s="327"/>
      <c r="AC944" s="327"/>
      <c r="AD944" s="327"/>
      <c r="AE944" s="327"/>
      <c r="AF944" s="327"/>
      <c r="AG944" s="327"/>
      <c r="AH944" s="327"/>
    </row>
    <row r="945" spans="1:34" ht="11.25" customHeight="1" x14ac:dyDescent="0.2">
      <c r="A945" s="327"/>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c r="AA945" s="327"/>
      <c r="AB945" s="327"/>
      <c r="AC945" s="327"/>
      <c r="AD945" s="327"/>
      <c r="AE945" s="327"/>
      <c r="AF945" s="327"/>
      <c r="AG945" s="327"/>
      <c r="AH945" s="327"/>
    </row>
    <row r="946" spans="1:34" ht="11.25" customHeight="1" x14ac:dyDescent="0.2">
      <c r="A946" s="327"/>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c r="AB946" s="327"/>
      <c r="AC946" s="327"/>
      <c r="AD946" s="327"/>
      <c r="AE946" s="327"/>
      <c r="AF946" s="327"/>
      <c r="AG946" s="327"/>
      <c r="AH946" s="327"/>
    </row>
    <row r="947" spans="1:34" ht="11.25" customHeight="1" x14ac:dyDescent="0.2">
      <c r="A947" s="327"/>
      <c r="B947" s="327"/>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c r="AA947" s="327"/>
      <c r="AB947" s="327"/>
      <c r="AC947" s="327"/>
      <c r="AD947" s="327"/>
      <c r="AE947" s="327"/>
      <c r="AF947" s="327"/>
      <c r="AG947" s="327"/>
      <c r="AH947" s="327"/>
    </row>
    <row r="948" spans="1:34" ht="11.25" customHeight="1" x14ac:dyDescent="0.2">
      <c r="A948" s="327"/>
      <c r="B948" s="327"/>
      <c r="C948" s="327"/>
      <c r="D948" s="327"/>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c r="AA948" s="327"/>
      <c r="AB948" s="327"/>
      <c r="AC948" s="327"/>
      <c r="AD948" s="327"/>
      <c r="AE948" s="327"/>
      <c r="AF948" s="327"/>
      <c r="AG948" s="327"/>
      <c r="AH948" s="327"/>
    </row>
    <row r="949" spans="1:34" ht="11.25" customHeight="1" x14ac:dyDescent="0.2">
      <c r="A949" s="327"/>
      <c r="B949" s="327"/>
      <c r="C949" s="327"/>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c r="AA949" s="327"/>
      <c r="AB949" s="327"/>
      <c r="AC949" s="327"/>
      <c r="AD949" s="327"/>
      <c r="AE949" s="327"/>
      <c r="AF949" s="327"/>
      <c r="AG949" s="327"/>
      <c r="AH949" s="327"/>
    </row>
    <row r="950" spans="1:34" ht="11.25" customHeight="1" x14ac:dyDescent="0.2">
      <c r="A950" s="327"/>
      <c r="B950" s="327"/>
      <c r="C950" s="327"/>
      <c r="D950" s="327"/>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c r="AA950" s="327"/>
      <c r="AB950" s="327"/>
      <c r="AC950" s="327"/>
      <c r="AD950" s="327"/>
      <c r="AE950" s="327"/>
      <c r="AF950" s="327"/>
      <c r="AG950" s="327"/>
      <c r="AH950" s="327"/>
    </row>
    <row r="951" spans="1:34" ht="11.25" customHeight="1" x14ac:dyDescent="0.2">
      <c r="A951" s="327"/>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c r="AA951" s="327"/>
      <c r="AB951" s="327"/>
      <c r="AC951" s="327"/>
      <c r="AD951" s="327"/>
      <c r="AE951" s="327"/>
      <c r="AF951" s="327"/>
      <c r="AG951" s="327"/>
      <c r="AH951" s="327"/>
    </row>
    <row r="952" spans="1:34" ht="11.25" customHeight="1" x14ac:dyDescent="0.2">
      <c r="A952" s="327"/>
      <c r="B952" s="327"/>
      <c r="C952" s="327"/>
      <c r="D952" s="327"/>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c r="AA952" s="327"/>
      <c r="AB952" s="327"/>
      <c r="AC952" s="327"/>
      <c r="AD952" s="327"/>
      <c r="AE952" s="327"/>
      <c r="AF952" s="327"/>
      <c r="AG952" s="327"/>
      <c r="AH952" s="327"/>
    </row>
    <row r="953" spans="1:34" ht="11.25" customHeight="1" x14ac:dyDescent="0.2">
      <c r="A953" s="327"/>
      <c r="B953" s="327"/>
      <c r="C953" s="327"/>
      <c r="D953" s="327"/>
      <c r="E953" s="327"/>
      <c r="F953" s="327"/>
      <c r="G953" s="327"/>
      <c r="H953" s="327"/>
      <c r="I953" s="327"/>
      <c r="J953" s="327"/>
      <c r="K953" s="327"/>
      <c r="L953" s="327"/>
      <c r="M953" s="327"/>
      <c r="N953" s="327"/>
      <c r="O953" s="327"/>
      <c r="P953" s="327"/>
      <c r="Q953" s="327"/>
      <c r="R953" s="327"/>
      <c r="S953" s="327"/>
      <c r="T953" s="327"/>
      <c r="U953" s="327"/>
      <c r="V953" s="327"/>
      <c r="W953" s="327"/>
      <c r="X953" s="327"/>
      <c r="Y953" s="327"/>
      <c r="Z953" s="327"/>
      <c r="AA953" s="327"/>
      <c r="AB953" s="327"/>
      <c r="AC953" s="327"/>
      <c r="AD953" s="327"/>
      <c r="AE953" s="327"/>
      <c r="AF953" s="327"/>
      <c r="AG953" s="327"/>
      <c r="AH953" s="327"/>
    </row>
    <row r="954" spans="1:34" ht="11.25" customHeight="1" x14ac:dyDescent="0.2">
      <c r="A954" s="327"/>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327"/>
      <c r="AE954" s="327"/>
      <c r="AF954" s="327"/>
      <c r="AG954" s="327"/>
      <c r="AH954" s="327"/>
    </row>
    <row r="955" spans="1:34" ht="11.25" customHeight="1" x14ac:dyDescent="0.2">
      <c r="A955" s="327"/>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c r="AA955" s="327"/>
      <c r="AB955" s="327"/>
      <c r="AC955" s="327"/>
      <c r="AD955" s="327"/>
      <c r="AE955" s="327"/>
      <c r="AF955" s="327"/>
      <c r="AG955" s="327"/>
      <c r="AH955" s="327"/>
    </row>
    <row r="956" spans="1:34" ht="11.25" customHeight="1" x14ac:dyDescent="0.2">
      <c r="A956" s="327"/>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c r="AA956" s="327"/>
      <c r="AB956" s="327"/>
      <c r="AC956" s="327"/>
      <c r="AD956" s="327"/>
      <c r="AE956" s="327"/>
      <c r="AF956" s="327"/>
      <c r="AG956" s="327"/>
      <c r="AH956" s="327"/>
    </row>
    <row r="957" spans="1:34" ht="11.25" customHeight="1" x14ac:dyDescent="0.2">
      <c r="A957" s="327"/>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c r="AA957" s="327"/>
      <c r="AB957" s="327"/>
      <c r="AC957" s="327"/>
      <c r="AD957" s="327"/>
      <c r="AE957" s="327"/>
      <c r="AF957" s="327"/>
      <c r="AG957" s="327"/>
      <c r="AH957" s="327"/>
    </row>
    <row r="958" spans="1:34" ht="11.25" customHeight="1" x14ac:dyDescent="0.2">
      <c r="A958" s="327"/>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c r="AA958" s="327"/>
      <c r="AB958" s="327"/>
      <c r="AC958" s="327"/>
      <c r="AD958" s="327"/>
      <c r="AE958" s="327"/>
      <c r="AF958" s="327"/>
      <c r="AG958" s="327"/>
      <c r="AH958" s="327"/>
    </row>
    <row r="959" spans="1:34" ht="11.25" customHeight="1" x14ac:dyDescent="0.2">
      <c r="A959" s="327"/>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c r="AA959" s="327"/>
      <c r="AB959" s="327"/>
      <c r="AC959" s="327"/>
      <c r="AD959" s="327"/>
      <c r="AE959" s="327"/>
      <c r="AF959" s="327"/>
      <c r="AG959" s="327"/>
      <c r="AH959" s="327"/>
    </row>
    <row r="960" spans="1:34" ht="11.25" customHeight="1" x14ac:dyDescent="0.2">
      <c r="A960" s="327"/>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c r="AA960" s="327"/>
      <c r="AB960" s="327"/>
      <c r="AC960" s="327"/>
      <c r="AD960" s="327"/>
      <c r="AE960" s="327"/>
      <c r="AF960" s="327"/>
      <c r="AG960" s="327"/>
      <c r="AH960" s="327"/>
    </row>
    <row r="961" spans="1:34" ht="11.25" customHeight="1" x14ac:dyDescent="0.2">
      <c r="A961" s="327"/>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c r="AA961" s="327"/>
      <c r="AB961" s="327"/>
      <c r="AC961" s="327"/>
      <c r="AD961" s="327"/>
      <c r="AE961" s="327"/>
      <c r="AF961" s="327"/>
      <c r="AG961" s="327"/>
      <c r="AH961" s="327"/>
    </row>
    <row r="962" spans="1:34" ht="11.25" customHeight="1" x14ac:dyDescent="0.2">
      <c r="A962" s="327"/>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c r="AA962" s="327"/>
      <c r="AB962" s="327"/>
      <c r="AC962" s="327"/>
      <c r="AD962" s="327"/>
      <c r="AE962" s="327"/>
      <c r="AF962" s="327"/>
      <c r="AG962" s="327"/>
      <c r="AH962" s="327"/>
    </row>
    <row r="963" spans="1:34" ht="11.25" customHeight="1" x14ac:dyDescent="0.2">
      <c r="A963" s="327"/>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c r="AA963" s="327"/>
      <c r="AB963" s="327"/>
      <c r="AC963" s="327"/>
      <c r="AD963" s="327"/>
      <c r="AE963" s="327"/>
      <c r="AF963" s="327"/>
      <c r="AG963" s="327"/>
      <c r="AH963" s="327"/>
    </row>
    <row r="964" spans="1:34" ht="11.25" customHeight="1" x14ac:dyDescent="0.2">
      <c r="A964" s="327"/>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c r="AA964" s="327"/>
      <c r="AB964" s="327"/>
      <c r="AC964" s="327"/>
      <c r="AD964" s="327"/>
      <c r="AE964" s="327"/>
      <c r="AF964" s="327"/>
      <c r="AG964" s="327"/>
      <c r="AH964" s="327"/>
    </row>
    <row r="965" spans="1:34" ht="11.25" customHeight="1" x14ac:dyDescent="0.2">
      <c r="A965" s="327"/>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c r="AA965" s="327"/>
      <c r="AB965" s="327"/>
      <c r="AC965" s="327"/>
      <c r="AD965" s="327"/>
      <c r="AE965" s="327"/>
      <c r="AF965" s="327"/>
      <c r="AG965" s="327"/>
      <c r="AH965" s="327"/>
    </row>
    <row r="966" spans="1:34" ht="11.25" customHeight="1" x14ac:dyDescent="0.2">
      <c r="A966" s="327"/>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c r="AA966" s="327"/>
      <c r="AB966" s="327"/>
      <c r="AC966" s="327"/>
      <c r="AD966" s="327"/>
      <c r="AE966" s="327"/>
      <c r="AF966" s="327"/>
      <c r="AG966" s="327"/>
      <c r="AH966" s="327"/>
    </row>
    <row r="967" spans="1:34" ht="11.25" customHeight="1" x14ac:dyDescent="0.2">
      <c r="A967" s="327"/>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c r="AB967" s="327"/>
      <c r="AC967" s="327"/>
      <c r="AD967" s="327"/>
      <c r="AE967" s="327"/>
      <c r="AF967" s="327"/>
      <c r="AG967" s="327"/>
      <c r="AH967" s="327"/>
    </row>
    <row r="968" spans="1:34" ht="11.25" customHeight="1" x14ac:dyDescent="0.2">
      <c r="A968" s="327"/>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c r="AA968" s="327"/>
      <c r="AB968" s="327"/>
      <c r="AC968" s="327"/>
      <c r="AD968" s="327"/>
      <c r="AE968" s="327"/>
      <c r="AF968" s="327"/>
      <c r="AG968" s="327"/>
      <c r="AH968" s="327"/>
    </row>
    <row r="969" spans="1:34" ht="11.25" customHeight="1" x14ac:dyDescent="0.2">
      <c r="A969" s="327"/>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c r="AA969" s="327"/>
      <c r="AB969" s="327"/>
      <c r="AC969" s="327"/>
      <c r="AD969" s="327"/>
      <c r="AE969" s="327"/>
      <c r="AF969" s="327"/>
      <c r="AG969" s="327"/>
      <c r="AH969" s="327"/>
    </row>
    <row r="970" spans="1:34" ht="11.25" customHeight="1" x14ac:dyDescent="0.2">
      <c r="A970" s="327"/>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c r="AA970" s="327"/>
      <c r="AB970" s="327"/>
      <c r="AC970" s="327"/>
      <c r="AD970" s="327"/>
      <c r="AE970" s="327"/>
      <c r="AF970" s="327"/>
      <c r="AG970" s="327"/>
      <c r="AH970" s="327"/>
    </row>
    <row r="971" spans="1:34" ht="11.25" customHeight="1" x14ac:dyDescent="0.2">
      <c r="A971" s="327"/>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c r="AA971" s="327"/>
      <c r="AB971" s="327"/>
      <c r="AC971" s="327"/>
      <c r="AD971" s="327"/>
      <c r="AE971" s="327"/>
      <c r="AF971" s="327"/>
      <c r="AG971" s="327"/>
      <c r="AH971" s="327"/>
    </row>
    <row r="972" spans="1:34" ht="11.25" customHeight="1" x14ac:dyDescent="0.2">
      <c r="A972" s="327"/>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c r="AA972" s="327"/>
      <c r="AB972" s="327"/>
      <c r="AC972" s="327"/>
      <c r="AD972" s="327"/>
      <c r="AE972" s="327"/>
      <c r="AF972" s="327"/>
      <c r="AG972" s="327"/>
      <c r="AH972" s="327"/>
    </row>
    <row r="973" spans="1:34" ht="11.25" customHeight="1" x14ac:dyDescent="0.2">
      <c r="A973" s="327"/>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c r="AA973" s="327"/>
      <c r="AB973" s="327"/>
      <c r="AC973" s="327"/>
      <c r="AD973" s="327"/>
      <c r="AE973" s="327"/>
      <c r="AF973" s="327"/>
      <c r="AG973" s="327"/>
      <c r="AH973" s="327"/>
    </row>
    <row r="974" spans="1:34" ht="11.25" customHeight="1" x14ac:dyDescent="0.2">
      <c r="A974" s="327"/>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c r="AA974" s="327"/>
      <c r="AB974" s="327"/>
      <c r="AC974" s="327"/>
      <c r="AD974" s="327"/>
      <c r="AE974" s="327"/>
      <c r="AF974" s="327"/>
      <c r="AG974" s="327"/>
      <c r="AH974" s="327"/>
    </row>
    <row r="975" spans="1:34" ht="11.25" customHeight="1" x14ac:dyDescent="0.2">
      <c r="A975" s="327"/>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c r="AA975" s="327"/>
      <c r="AB975" s="327"/>
      <c r="AC975" s="327"/>
      <c r="AD975" s="327"/>
      <c r="AE975" s="327"/>
      <c r="AF975" s="327"/>
      <c r="AG975" s="327"/>
      <c r="AH975" s="327"/>
    </row>
    <row r="976" spans="1:34" ht="11.25" customHeight="1" x14ac:dyDescent="0.2">
      <c r="A976" s="327"/>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c r="AA976" s="327"/>
      <c r="AB976" s="327"/>
      <c r="AC976" s="327"/>
      <c r="AD976" s="327"/>
      <c r="AE976" s="327"/>
      <c r="AF976" s="327"/>
      <c r="AG976" s="327"/>
      <c r="AH976" s="327"/>
    </row>
    <row r="977" spans="1:34" ht="11.25" customHeight="1" x14ac:dyDescent="0.2">
      <c r="A977" s="327"/>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c r="AA977" s="327"/>
      <c r="AB977" s="327"/>
      <c r="AC977" s="327"/>
      <c r="AD977" s="327"/>
      <c r="AE977" s="327"/>
      <c r="AF977" s="327"/>
      <c r="AG977" s="327"/>
      <c r="AH977" s="327"/>
    </row>
    <row r="978" spans="1:34" ht="11.25" customHeight="1" x14ac:dyDescent="0.2">
      <c r="A978" s="327"/>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c r="AA978" s="327"/>
      <c r="AB978" s="327"/>
      <c r="AC978" s="327"/>
      <c r="AD978" s="327"/>
      <c r="AE978" s="327"/>
      <c r="AF978" s="327"/>
      <c r="AG978" s="327"/>
      <c r="AH978" s="327"/>
    </row>
    <row r="979" spans="1:34" ht="11.25" customHeight="1" x14ac:dyDescent="0.2">
      <c r="A979" s="327"/>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c r="AA979" s="327"/>
      <c r="AB979" s="327"/>
      <c r="AC979" s="327"/>
      <c r="AD979" s="327"/>
      <c r="AE979" s="327"/>
      <c r="AF979" s="327"/>
      <c r="AG979" s="327"/>
      <c r="AH979" s="327"/>
    </row>
    <row r="980" spans="1:34" ht="11.25" customHeight="1" x14ac:dyDescent="0.2">
      <c r="A980" s="327"/>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c r="AA980" s="327"/>
      <c r="AB980" s="327"/>
      <c r="AC980" s="327"/>
      <c r="AD980" s="327"/>
      <c r="AE980" s="327"/>
      <c r="AF980" s="327"/>
      <c r="AG980" s="327"/>
      <c r="AH980" s="327"/>
    </row>
    <row r="981" spans="1:34" ht="11.25" customHeight="1" x14ac:dyDescent="0.2">
      <c r="A981" s="327"/>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c r="AA981" s="327"/>
      <c r="AB981" s="327"/>
      <c r="AC981" s="327"/>
      <c r="AD981" s="327"/>
      <c r="AE981" s="327"/>
      <c r="AF981" s="327"/>
      <c r="AG981" s="327"/>
      <c r="AH981" s="327"/>
    </row>
    <row r="982" spans="1:34" ht="11.25" customHeight="1" x14ac:dyDescent="0.2">
      <c r="A982" s="327"/>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c r="AA982" s="327"/>
      <c r="AB982" s="327"/>
      <c r="AC982" s="327"/>
      <c r="AD982" s="327"/>
      <c r="AE982" s="327"/>
      <c r="AF982" s="327"/>
      <c r="AG982" s="327"/>
      <c r="AH982" s="327"/>
    </row>
    <row r="983" spans="1:34" ht="11.25" customHeight="1" x14ac:dyDescent="0.2">
      <c r="A983" s="327"/>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c r="AA983" s="327"/>
      <c r="AB983" s="327"/>
      <c r="AC983" s="327"/>
      <c r="AD983" s="327"/>
      <c r="AE983" s="327"/>
      <c r="AF983" s="327"/>
      <c r="AG983" s="327"/>
      <c r="AH983" s="327"/>
    </row>
    <row r="984" spans="1:34" ht="11.25" customHeight="1" x14ac:dyDescent="0.2">
      <c r="A984" s="327"/>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c r="AA984" s="327"/>
      <c r="AB984" s="327"/>
      <c r="AC984" s="327"/>
      <c r="AD984" s="327"/>
      <c r="AE984" s="327"/>
      <c r="AF984" s="327"/>
      <c r="AG984" s="327"/>
      <c r="AH984" s="327"/>
    </row>
    <row r="985" spans="1:34" ht="11.25" customHeight="1" x14ac:dyDescent="0.2">
      <c r="A985" s="327"/>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c r="AA985" s="327"/>
      <c r="AB985" s="327"/>
      <c r="AC985" s="327"/>
      <c r="AD985" s="327"/>
      <c r="AE985" s="327"/>
      <c r="AF985" s="327"/>
      <c r="AG985" s="327"/>
      <c r="AH985" s="327"/>
    </row>
    <row r="986" spans="1:34" ht="11.25" customHeight="1" x14ac:dyDescent="0.2">
      <c r="A986" s="327"/>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c r="AA986" s="327"/>
      <c r="AB986" s="327"/>
      <c r="AC986" s="327"/>
      <c r="AD986" s="327"/>
      <c r="AE986" s="327"/>
      <c r="AF986" s="327"/>
      <c r="AG986" s="327"/>
      <c r="AH986" s="327"/>
    </row>
    <row r="987" spans="1:34" ht="11.25" customHeight="1" x14ac:dyDescent="0.2">
      <c r="A987" s="327"/>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c r="AA987" s="327"/>
      <c r="AB987" s="327"/>
      <c r="AC987" s="327"/>
      <c r="AD987" s="327"/>
      <c r="AE987" s="327"/>
      <c r="AF987" s="327"/>
      <c r="AG987" s="327"/>
      <c r="AH987" s="327"/>
    </row>
    <row r="988" spans="1:34" ht="11.25" customHeight="1" x14ac:dyDescent="0.2">
      <c r="A988" s="327"/>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c r="AA988" s="327"/>
      <c r="AB988" s="327"/>
      <c r="AC988" s="327"/>
      <c r="AD988" s="327"/>
      <c r="AE988" s="327"/>
      <c r="AF988" s="327"/>
      <c r="AG988" s="327"/>
      <c r="AH988" s="327"/>
    </row>
    <row r="989" spans="1:34" ht="11.25" customHeight="1" x14ac:dyDescent="0.2">
      <c r="A989" s="327"/>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c r="AA989" s="327"/>
      <c r="AB989" s="327"/>
      <c r="AC989" s="327"/>
      <c r="AD989" s="327"/>
      <c r="AE989" s="327"/>
      <c r="AF989" s="327"/>
      <c r="AG989" s="327"/>
      <c r="AH989" s="327"/>
    </row>
    <row r="990" spans="1:34" ht="11.25" customHeight="1" x14ac:dyDescent="0.2">
      <c r="A990" s="327"/>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c r="AA990" s="327"/>
      <c r="AB990" s="327"/>
      <c r="AC990" s="327"/>
      <c r="AD990" s="327"/>
      <c r="AE990" s="327"/>
      <c r="AF990" s="327"/>
      <c r="AG990" s="327"/>
      <c r="AH990" s="327"/>
    </row>
    <row r="991" spans="1:34" ht="11.25" customHeight="1" x14ac:dyDescent="0.2">
      <c r="A991" s="327"/>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c r="AA991" s="327"/>
      <c r="AB991" s="327"/>
      <c r="AC991" s="327"/>
      <c r="AD991" s="327"/>
      <c r="AE991" s="327"/>
      <c r="AF991" s="327"/>
      <c r="AG991" s="327"/>
      <c r="AH991" s="327"/>
    </row>
    <row r="992" spans="1:34" ht="11.25" customHeight="1" x14ac:dyDescent="0.2">
      <c r="A992" s="327"/>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c r="AA992" s="327"/>
      <c r="AB992" s="327"/>
      <c r="AC992" s="327"/>
      <c r="AD992" s="327"/>
      <c r="AE992" s="327"/>
      <c r="AF992" s="327"/>
      <c r="AG992" s="327"/>
      <c r="AH992" s="327"/>
    </row>
    <row r="993" spans="1:34" ht="11.25" customHeight="1" x14ac:dyDescent="0.2">
      <c r="A993" s="327"/>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c r="AA993" s="327"/>
      <c r="AB993" s="327"/>
      <c r="AC993" s="327"/>
      <c r="AD993" s="327"/>
      <c r="AE993" s="327"/>
      <c r="AF993" s="327"/>
      <c r="AG993" s="327"/>
      <c r="AH993" s="327"/>
    </row>
    <row r="994" spans="1:34" ht="11.25" customHeight="1" x14ac:dyDescent="0.2">
      <c r="A994" s="327"/>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c r="AA994" s="327"/>
      <c r="AB994" s="327"/>
      <c r="AC994" s="327"/>
      <c r="AD994" s="327"/>
      <c r="AE994" s="327"/>
      <c r="AF994" s="327"/>
      <c r="AG994" s="327"/>
      <c r="AH994" s="327"/>
    </row>
    <row r="995" spans="1:34" ht="11.25" customHeight="1" x14ac:dyDescent="0.2">
      <c r="A995" s="327"/>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c r="AA995" s="327"/>
      <c r="AB995" s="327"/>
      <c r="AC995" s="327"/>
      <c r="AD995" s="327"/>
      <c r="AE995" s="327"/>
      <c r="AF995" s="327"/>
      <c r="AG995" s="327"/>
      <c r="AH995" s="327"/>
    </row>
    <row r="996" spans="1:34" ht="11.25" customHeight="1" x14ac:dyDescent="0.2">
      <c r="A996" s="327"/>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c r="AA996" s="327"/>
      <c r="AB996" s="327"/>
      <c r="AC996" s="327"/>
      <c r="AD996" s="327"/>
      <c r="AE996" s="327"/>
      <c r="AF996" s="327"/>
      <c r="AG996" s="327"/>
      <c r="AH996" s="327"/>
    </row>
    <row r="997" spans="1:34" ht="11.25" customHeight="1" x14ac:dyDescent="0.2">
      <c r="A997" s="327"/>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c r="AA997" s="327"/>
      <c r="AB997" s="327"/>
      <c r="AC997" s="327"/>
      <c r="AD997" s="327"/>
      <c r="AE997" s="327"/>
      <c r="AF997" s="327"/>
      <c r="AG997" s="327"/>
      <c r="AH997" s="327"/>
    </row>
    <row r="998" spans="1:34" ht="11.25" customHeight="1" x14ac:dyDescent="0.2">
      <c r="A998" s="327"/>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7"/>
      <c r="AD998" s="327"/>
      <c r="AE998" s="327"/>
      <c r="AF998" s="327"/>
      <c r="AG998" s="327"/>
      <c r="AH998" s="327"/>
    </row>
    <row r="999" spans="1:34" ht="11.25" customHeight="1" x14ac:dyDescent="0.2">
      <c r="A999" s="327"/>
      <c r="B999" s="327"/>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c r="AA999" s="327"/>
      <c r="AB999" s="327"/>
      <c r="AC999" s="327"/>
      <c r="AD999" s="327"/>
      <c r="AE999" s="327"/>
      <c r="AF999" s="327"/>
      <c r="AG999" s="327"/>
      <c r="AH999" s="327"/>
    </row>
    <row r="1000" spans="1:34" ht="11.25" customHeight="1" x14ac:dyDescent="0.2">
      <c r="A1000" s="327"/>
      <c r="B1000" s="327"/>
      <c r="C1000" s="327"/>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c r="AA1000" s="327"/>
      <c r="AB1000" s="327"/>
      <c r="AC1000" s="327"/>
      <c r="AD1000" s="327"/>
      <c r="AE1000" s="327"/>
      <c r="AF1000" s="327"/>
      <c r="AG1000" s="327"/>
      <c r="AH1000" s="327"/>
    </row>
    <row r="1001" spans="1:34" ht="11.25" customHeight="1" x14ac:dyDescent="0.2">
      <c r="A1001" s="327"/>
      <c r="B1001" s="327"/>
      <c r="C1001" s="327"/>
      <c r="D1001" s="327"/>
      <c r="E1001" s="327"/>
      <c r="F1001" s="327"/>
      <c r="G1001" s="327"/>
      <c r="H1001" s="327"/>
      <c r="I1001" s="327"/>
      <c r="J1001" s="327"/>
      <c r="K1001" s="327"/>
      <c r="L1001" s="327"/>
      <c r="M1001" s="327"/>
      <c r="N1001" s="327"/>
      <c r="O1001" s="327"/>
      <c r="P1001" s="327"/>
      <c r="Q1001" s="327"/>
      <c r="R1001" s="327"/>
      <c r="S1001" s="327"/>
      <c r="T1001" s="327"/>
      <c r="U1001" s="327"/>
      <c r="V1001" s="327"/>
      <c r="W1001" s="327"/>
      <c r="X1001" s="327"/>
      <c r="Y1001" s="327"/>
      <c r="Z1001" s="327"/>
      <c r="AA1001" s="327"/>
      <c r="AB1001" s="327"/>
      <c r="AC1001" s="327"/>
      <c r="AD1001" s="327"/>
      <c r="AE1001" s="327"/>
      <c r="AF1001" s="327"/>
      <c r="AG1001" s="327"/>
      <c r="AH1001" s="327"/>
    </row>
    <row r="1002" spans="1:34" ht="11.25" customHeight="1" x14ac:dyDescent="0.2">
      <c r="A1002" s="327"/>
      <c r="B1002" s="327"/>
      <c r="C1002" s="327"/>
      <c r="D1002" s="327"/>
      <c r="E1002" s="327"/>
      <c r="F1002" s="327"/>
      <c r="G1002" s="327"/>
      <c r="H1002" s="327"/>
      <c r="I1002" s="327"/>
      <c r="J1002" s="327"/>
      <c r="K1002" s="327"/>
      <c r="L1002" s="327"/>
      <c r="M1002" s="327"/>
      <c r="N1002" s="327"/>
      <c r="O1002" s="327"/>
      <c r="P1002" s="327"/>
      <c r="Q1002" s="327"/>
      <c r="R1002" s="327"/>
      <c r="S1002" s="327"/>
      <c r="T1002" s="327"/>
      <c r="U1002" s="327"/>
      <c r="V1002" s="327"/>
      <c r="W1002" s="327"/>
      <c r="X1002" s="327"/>
      <c r="Y1002" s="327"/>
      <c r="Z1002" s="327"/>
      <c r="AA1002" s="327"/>
      <c r="AB1002" s="327"/>
      <c r="AC1002" s="327"/>
      <c r="AD1002" s="327"/>
      <c r="AE1002" s="327"/>
      <c r="AF1002" s="327"/>
      <c r="AG1002" s="327"/>
      <c r="AH1002" s="327"/>
    </row>
    <row r="1003" spans="1:34" ht="11.25" customHeight="1" x14ac:dyDescent="0.2">
      <c r="A1003" s="327"/>
      <c r="B1003" s="327"/>
      <c r="C1003" s="327"/>
      <c r="D1003" s="327"/>
      <c r="E1003" s="327"/>
      <c r="F1003" s="327"/>
      <c r="G1003" s="327"/>
      <c r="H1003" s="327"/>
      <c r="I1003" s="327"/>
      <c r="J1003" s="327"/>
      <c r="K1003" s="327"/>
      <c r="L1003" s="327"/>
      <c r="M1003" s="327"/>
      <c r="N1003" s="327"/>
      <c r="O1003" s="327"/>
      <c r="P1003" s="327"/>
      <c r="Q1003" s="327"/>
      <c r="R1003" s="327"/>
      <c r="S1003" s="327"/>
      <c r="T1003" s="327"/>
      <c r="U1003" s="327"/>
      <c r="V1003" s="327"/>
      <c r="W1003" s="327"/>
      <c r="X1003" s="327"/>
      <c r="Y1003" s="327"/>
      <c r="Z1003" s="327"/>
      <c r="AA1003" s="327"/>
      <c r="AB1003" s="327"/>
      <c r="AC1003" s="327"/>
      <c r="AD1003" s="327"/>
      <c r="AE1003" s="327"/>
      <c r="AF1003" s="327"/>
      <c r="AG1003" s="327"/>
      <c r="AH1003" s="327"/>
    </row>
    <row r="1004" spans="1:34" ht="11.25" customHeight="1" x14ac:dyDescent="0.2">
      <c r="A1004" s="327"/>
      <c r="B1004" s="327"/>
      <c r="C1004" s="327"/>
      <c r="D1004" s="327"/>
      <c r="E1004" s="327"/>
      <c r="F1004" s="327"/>
      <c r="G1004" s="327"/>
      <c r="H1004" s="327"/>
      <c r="I1004" s="327"/>
      <c r="J1004" s="327"/>
      <c r="K1004" s="327"/>
      <c r="L1004" s="327"/>
      <c r="M1004" s="327"/>
      <c r="N1004" s="327"/>
      <c r="O1004" s="327"/>
      <c r="P1004" s="327"/>
      <c r="Q1004" s="327"/>
      <c r="R1004" s="327"/>
      <c r="S1004" s="327"/>
      <c r="T1004" s="327"/>
      <c r="U1004" s="327"/>
      <c r="V1004" s="327"/>
      <c r="W1004" s="327"/>
      <c r="X1004" s="327"/>
      <c r="Y1004" s="327"/>
      <c r="Z1004" s="327"/>
      <c r="AA1004" s="327"/>
      <c r="AB1004" s="327"/>
      <c r="AC1004" s="327"/>
      <c r="AD1004" s="327"/>
      <c r="AE1004" s="327"/>
      <c r="AF1004" s="327"/>
      <c r="AG1004" s="327"/>
      <c r="AH1004" s="327"/>
    </row>
    <row r="1005" spans="1:34" ht="11.25" customHeight="1" x14ac:dyDescent="0.2">
      <c r="A1005" s="327"/>
      <c r="B1005" s="327"/>
      <c r="C1005" s="327"/>
      <c r="D1005" s="327"/>
      <c r="E1005" s="327"/>
      <c r="F1005" s="327"/>
      <c r="G1005" s="327"/>
      <c r="H1005" s="327"/>
      <c r="I1005" s="327"/>
      <c r="J1005" s="327"/>
      <c r="K1005" s="327"/>
      <c r="L1005" s="327"/>
      <c r="M1005" s="327"/>
      <c r="N1005" s="327"/>
      <c r="O1005" s="327"/>
      <c r="P1005" s="327"/>
      <c r="Q1005" s="327"/>
      <c r="R1005" s="327"/>
      <c r="S1005" s="327"/>
      <c r="T1005" s="327"/>
      <c r="U1005" s="327"/>
      <c r="V1005" s="327"/>
      <c r="W1005" s="327"/>
      <c r="X1005" s="327"/>
      <c r="Y1005" s="327"/>
      <c r="Z1005" s="327"/>
      <c r="AA1005" s="327"/>
      <c r="AB1005" s="327"/>
      <c r="AC1005" s="327"/>
      <c r="AD1005" s="327"/>
      <c r="AE1005" s="327"/>
      <c r="AF1005" s="327"/>
      <c r="AG1005" s="327"/>
      <c r="AH1005" s="327"/>
    </row>
  </sheetData>
  <mergeCells count="3">
    <mergeCell ref="A6:K6"/>
    <mergeCell ref="Q7:R7"/>
    <mergeCell ref="D20:E20"/>
  </mergeCells>
  <printOptions gridLines="1"/>
  <pageMargins left="0.16" right="0.18" top="0.32" bottom="0.26" header="0" footer="0"/>
  <pageSetup paperSize="5" orientation="landscape"/>
  <colBreaks count="1" manualBreakCount="1">
    <brk id="32" man="1"/>
  </colBreaks>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I1002"/>
  <sheetViews>
    <sheetView workbookViewId="0"/>
  </sheetViews>
  <sheetFormatPr defaultColWidth="16.85546875" defaultRowHeight="15" customHeight="1" x14ac:dyDescent="0.2"/>
  <cols>
    <col min="1" max="1" width="3.7109375" customWidth="1"/>
    <col min="2" max="2" width="46.140625" customWidth="1"/>
    <col min="3" max="3" width="17.140625" customWidth="1"/>
    <col min="4" max="4" width="45.140625" customWidth="1"/>
    <col min="5" max="5" width="19.140625" customWidth="1"/>
    <col min="6" max="6" width="17.85546875" customWidth="1"/>
    <col min="7" max="7" width="18.85546875" customWidth="1"/>
    <col min="8" max="9" width="18" customWidth="1"/>
    <col min="10" max="10" width="20.7109375" customWidth="1"/>
    <col min="11" max="11" width="20.140625" customWidth="1"/>
    <col min="12" max="26" width="8.85546875" customWidth="1"/>
  </cols>
  <sheetData>
    <row r="1" spans="1:35" ht="15" customHeight="1" x14ac:dyDescent="0.2">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row>
    <row r="2" spans="1:35" ht="36" customHeight="1" x14ac:dyDescent="0.55000000000000004">
      <c r="A2" s="329" t="s">
        <v>1267</v>
      </c>
      <c r="B2" s="1251"/>
      <c r="C2" s="1252"/>
      <c r="D2" s="1252"/>
      <c r="E2" s="881"/>
      <c r="G2" s="327"/>
      <c r="H2" s="327"/>
    </row>
    <row r="3" spans="1:35" ht="13.5" customHeight="1" x14ac:dyDescent="0.55000000000000004">
      <c r="A3" s="329"/>
      <c r="B3" s="606"/>
      <c r="C3" s="140"/>
      <c r="D3" s="140"/>
      <c r="E3" s="881"/>
      <c r="F3" s="140"/>
      <c r="G3" s="327"/>
      <c r="H3" s="327"/>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row>
    <row r="4" spans="1:35" ht="171.75" customHeight="1" x14ac:dyDescent="0.45">
      <c r="A4" s="329"/>
    </row>
    <row r="5" spans="1:35" ht="11.25" customHeight="1" x14ac:dyDescent="0.35">
      <c r="B5" s="1253"/>
      <c r="C5" s="376"/>
      <c r="D5" s="376"/>
      <c r="E5" s="1254"/>
      <c r="F5" s="376"/>
      <c r="G5" s="1254"/>
      <c r="H5" s="1255"/>
      <c r="I5" s="1256"/>
      <c r="J5" s="1257"/>
      <c r="K5" s="376"/>
    </row>
    <row r="6" spans="1:35" ht="27.75" customHeight="1" x14ac:dyDescent="0.45">
      <c r="B6" s="1258" t="s">
        <v>1268</v>
      </c>
      <c r="C6" s="1259"/>
      <c r="D6" s="1258">
        <v>2020</v>
      </c>
      <c r="E6" s="1260"/>
      <c r="F6" s="1259"/>
      <c r="G6" s="1254"/>
      <c r="H6" s="376"/>
      <c r="I6" s="376"/>
      <c r="J6" s="376"/>
      <c r="K6" s="376"/>
      <c r="L6" s="327"/>
    </row>
    <row r="7" spans="1:35" ht="11.25" customHeight="1" x14ac:dyDescent="0.3">
      <c r="B7" s="376"/>
      <c r="C7" s="376"/>
      <c r="D7" s="376"/>
      <c r="E7" s="1254"/>
      <c r="F7" s="376"/>
      <c r="G7" s="1254"/>
      <c r="H7" s="376"/>
      <c r="I7" s="376"/>
      <c r="J7" s="376"/>
      <c r="K7" s="376"/>
    </row>
    <row r="8" spans="1:35" ht="19.5" customHeight="1" x14ac:dyDescent="0.45">
      <c r="B8" s="824"/>
      <c r="C8" s="1261" t="s">
        <v>1269</v>
      </c>
      <c r="D8" s="1261" t="s">
        <v>700</v>
      </c>
      <c r="E8" s="1262" t="s">
        <v>1270</v>
      </c>
      <c r="F8" s="1263" t="s">
        <v>1271</v>
      </c>
      <c r="G8" s="1254"/>
      <c r="I8" s="1254"/>
      <c r="K8" s="376"/>
    </row>
    <row r="9" spans="1:35" ht="28.5" customHeight="1" x14ac:dyDescent="0.4">
      <c r="B9" s="1264"/>
      <c r="C9" s="1265"/>
      <c r="D9" s="1266" t="s">
        <v>1272</v>
      </c>
      <c r="E9" s="1265"/>
      <c r="F9" s="1267"/>
      <c r="G9" s="1254"/>
      <c r="I9" s="1254"/>
      <c r="K9" s="376"/>
    </row>
    <row r="10" spans="1:35" ht="14.25" customHeight="1" x14ac:dyDescent="0.3">
      <c r="B10" s="1268" t="s">
        <v>1273</v>
      </c>
      <c r="C10" s="1269">
        <v>1</v>
      </c>
      <c r="D10" s="1270">
        <v>4.1021717966689701</v>
      </c>
      <c r="E10" s="1271">
        <f>C10*D10</f>
        <v>4.1021717966689701</v>
      </c>
      <c r="F10" s="1272">
        <f>E10*I27/1000000</f>
        <v>1.1486081030673117E-4</v>
      </c>
      <c r="G10" s="1254"/>
      <c r="I10" s="1256"/>
      <c r="K10" s="376"/>
    </row>
    <row r="11" spans="1:35" ht="28.5" customHeight="1" x14ac:dyDescent="0.3">
      <c r="B11" s="1273" t="s">
        <v>1274</v>
      </c>
      <c r="C11" s="1274">
        <v>0</v>
      </c>
      <c r="D11" s="1275">
        <v>13.055796863999998</v>
      </c>
      <c r="E11" s="1276">
        <v>0</v>
      </c>
      <c r="F11" s="1277">
        <f>E11*I27/1000000</f>
        <v>0</v>
      </c>
      <c r="G11" s="1254"/>
      <c r="I11" s="1256"/>
      <c r="K11" s="376"/>
    </row>
    <row r="12" spans="1:35" ht="15" customHeight="1" x14ac:dyDescent="0.35">
      <c r="B12" s="1278" t="s">
        <v>1275</v>
      </c>
      <c r="C12" s="1279"/>
      <c r="D12" s="1280"/>
      <c r="E12" s="1281">
        <v>21.095017507998922</v>
      </c>
      <c r="F12" s="1282">
        <f>F10+F11</f>
        <v>1.1486081030673117E-4</v>
      </c>
      <c r="G12" s="1254"/>
      <c r="I12" s="1256"/>
      <c r="K12" s="376"/>
    </row>
    <row r="13" spans="1:35" ht="11.25" customHeight="1" x14ac:dyDescent="0.2">
      <c r="B13" s="636"/>
      <c r="C13" s="637"/>
      <c r="D13" s="637"/>
      <c r="E13" s="637"/>
      <c r="F13" s="1283"/>
    </row>
    <row r="14" spans="1:35" ht="11.25" customHeight="1" x14ac:dyDescent="0.2">
      <c r="B14" s="327"/>
      <c r="C14" s="327"/>
      <c r="D14" s="327"/>
      <c r="E14" s="327"/>
      <c r="F14" s="327"/>
    </row>
    <row r="15" spans="1:35" ht="11.25" customHeight="1" x14ac:dyDescent="0.2">
      <c r="B15" s="327" t="s">
        <v>1276</v>
      </c>
      <c r="C15" s="1284" t="s">
        <v>1277</v>
      </c>
      <c r="D15" s="327"/>
      <c r="E15" s="327"/>
      <c r="F15" s="327"/>
    </row>
    <row r="16" spans="1:35" ht="11.25" customHeight="1" x14ac:dyDescent="0.25">
      <c r="B16" s="2983" t="s">
        <v>1278</v>
      </c>
      <c r="C16" s="2943"/>
      <c r="D16" s="2943"/>
      <c r="E16" s="2943"/>
      <c r="F16" s="2943"/>
      <c r="G16" s="2943"/>
      <c r="H16" s="2943"/>
      <c r="I16" s="2943"/>
    </row>
    <row r="17" spans="2:9" ht="11.25" customHeight="1" x14ac:dyDescent="0.2">
      <c r="B17" s="327"/>
      <c r="C17" s="327"/>
      <c r="D17" s="327"/>
      <c r="E17" s="327"/>
      <c r="F17" s="327"/>
    </row>
    <row r="18" spans="2:9" ht="11.25" customHeight="1" x14ac:dyDescent="0.2">
      <c r="B18" s="327"/>
      <c r="C18" s="327"/>
      <c r="D18" s="327"/>
      <c r="E18" s="327"/>
      <c r="F18" s="327"/>
    </row>
    <row r="19" spans="2:9" ht="11.25" customHeight="1" x14ac:dyDescent="0.2"/>
    <row r="20" spans="2:9" ht="11.25" customHeight="1" x14ac:dyDescent="0.2"/>
    <row r="21" spans="2:9" ht="25.5" customHeight="1" x14ac:dyDescent="0.45">
      <c r="B21" s="1286" t="s">
        <v>1279</v>
      </c>
      <c r="C21" s="1286"/>
      <c r="D21" s="1287"/>
      <c r="E21" s="1287"/>
      <c r="F21" s="1287"/>
    </row>
    <row r="22" spans="2:9" ht="11.25" customHeight="1" x14ac:dyDescent="0.2">
      <c r="C22" s="2983"/>
      <c r="D22" s="2943"/>
      <c r="E22" s="2943"/>
      <c r="F22" s="2943"/>
    </row>
    <row r="23" spans="2:9" ht="30" customHeight="1" x14ac:dyDescent="0.35">
      <c r="B23" s="1288"/>
      <c r="C23" s="1289" t="s">
        <v>1269</v>
      </c>
      <c r="D23" s="1289" t="s">
        <v>700</v>
      </c>
      <c r="E23" s="1289" t="s">
        <v>1280</v>
      </c>
      <c r="F23" s="1290" t="s">
        <v>1281</v>
      </c>
      <c r="G23" s="387"/>
    </row>
    <row r="24" spans="2:9" ht="26.25" customHeight="1" x14ac:dyDescent="0.35">
      <c r="B24" s="1291" t="s">
        <v>1282</v>
      </c>
      <c r="C24" s="1292"/>
      <c r="D24" s="1293" t="s">
        <v>1283</v>
      </c>
      <c r="E24" s="1294"/>
      <c r="F24" s="1295"/>
      <c r="G24" s="1296"/>
      <c r="H24" s="2933" t="s">
        <v>1</v>
      </c>
      <c r="I24" s="2934"/>
    </row>
    <row r="25" spans="2:9" ht="11.25" customHeight="1" x14ac:dyDescent="0.35">
      <c r="B25" s="1297"/>
      <c r="C25" s="1298"/>
      <c r="D25" s="1298"/>
      <c r="E25" s="1299"/>
      <c r="F25" s="1300"/>
      <c r="G25" s="1301"/>
      <c r="H25" s="2641"/>
      <c r="I25" s="2642" t="str">
        <f>Summary!E3</f>
        <v>AR5 100-yr GWP</v>
      </c>
    </row>
    <row r="26" spans="2:9" ht="14.25" customHeight="1" x14ac:dyDescent="0.3">
      <c r="B26" s="1302" t="s">
        <v>1284</v>
      </c>
      <c r="C26" s="1303">
        <v>1057.8699999999999</v>
      </c>
      <c r="D26" s="1304">
        <v>5.8037235656204409</v>
      </c>
      <c r="E26" s="1305">
        <f t="shared" ref="E26:E29" si="0">C26*D26</f>
        <v>6139.5850483628956</v>
      </c>
      <c r="F26" s="1306">
        <f>E26*I27/1000000</f>
        <v>0.17190838135416106</v>
      </c>
      <c r="G26" s="1307"/>
      <c r="H26" s="2641" t="s">
        <v>521</v>
      </c>
      <c r="I26" s="2642">
        <f>Summary!E4</f>
        <v>1</v>
      </c>
    </row>
    <row r="27" spans="2:9" ht="17.25" customHeight="1" x14ac:dyDescent="0.3">
      <c r="B27" s="1302" t="s">
        <v>1285</v>
      </c>
      <c r="C27" s="1303">
        <f>142.88+68.09</f>
        <v>210.97</v>
      </c>
      <c r="D27" s="1304">
        <v>2.1221753994811778</v>
      </c>
      <c r="E27" s="1308">
        <f t="shared" si="0"/>
        <v>447.71534402854411</v>
      </c>
      <c r="F27" s="1306">
        <f>E27*I27/1000000</f>
        <v>1.2536029632799234E-2</v>
      </c>
      <c r="G27" s="1307"/>
      <c r="H27" s="2641" t="s">
        <v>523</v>
      </c>
      <c r="I27" s="2642">
        <f>Summary!E5</f>
        <v>28</v>
      </c>
    </row>
    <row r="28" spans="2:9" ht="13.5" customHeight="1" x14ac:dyDescent="0.3">
      <c r="B28" s="1302" t="s">
        <v>1286</v>
      </c>
      <c r="C28" s="1303">
        <f>0.1+5246.49</f>
        <v>5246.59</v>
      </c>
      <c r="D28" s="1304">
        <v>6.0046884276387047E-2</v>
      </c>
      <c r="E28" s="1308">
        <f t="shared" si="0"/>
        <v>315.04138257564955</v>
      </c>
      <c r="F28" s="1306">
        <f>E28*I27/1000000</f>
        <v>8.8211587121181882E-3</v>
      </c>
      <c r="G28" s="1307"/>
      <c r="H28" s="2641" t="s">
        <v>525</v>
      </c>
      <c r="I28" s="2642">
        <f>Summary!E6</f>
        <v>265</v>
      </c>
    </row>
    <row r="29" spans="2:9" ht="15.75" customHeight="1" x14ac:dyDescent="0.3">
      <c r="B29" s="1302" t="s">
        <v>1287</v>
      </c>
      <c r="C29" s="1303">
        <v>8873.81</v>
      </c>
      <c r="D29" s="1304">
        <v>0.37164760100393374</v>
      </c>
      <c r="E29" s="1308">
        <f t="shared" si="0"/>
        <v>3297.9301982647171</v>
      </c>
      <c r="F29" s="1306">
        <f>E29*I27/1000000</f>
        <v>9.234204555141208E-2</v>
      </c>
      <c r="G29" s="1307"/>
      <c r="H29" s="2641" t="s">
        <v>526</v>
      </c>
      <c r="I29" s="2643">
        <f>Summary!E7</f>
        <v>23500</v>
      </c>
    </row>
    <row r="30" spans="2:9" ht="11.25" customHeight="1" x14ac:dyDescent="0.3">
      <c r="B30" s="624"/>
      <c r="C30" s="1303"/>
      <c r="D30" s="1304"/>
      <c r="E30" s="1308"/>
      <c r="F30" s="1306"/>
      <c r="G30" s="1307"/>
    </row>
    <row r="31" spans="2:9" ht="11.25" customHeight="1" x14ac:dyDescent="0.35">
      <c r="B31" s="1309" t="s">
        <v>1288</v>
      </c>
      <c r="C31" s="1303"/>
      <c r="D31" s="1304"/>
      <c r="E31" s="1308"/>
      <c r="F31" s="1306"/>
      <c r="G31" s="1307"/>
    </row>
    <row r="32" spans="2:9" ht="11.25" customHeight="1" x14ac:dyDescent="0.3">
      <c r="B32" s="1302" t="s">
        <v>1289</v>
      </c>
      <c r="C32" s="1310">
        <v>1071518</v>
      </c>
      <c r="D32" s="1304">
        <v>1.5267140136098032E-2</v>
      </c>
      <c r="E32" s="1308">
        <f t="shared" ref="E32:E34" si="1">C32*D32</f>
        <v>16359.015464351491</v>
      </c>
      <c r="F32" s="1311">
        <f>E32*I27/1000000</f>
        <v>0.45805243300184179</v>
      </c>
      <c r="G32" s="1307"/>
    </row>
    <row r="33" spans="2:10" ht="12.75" customHeight="1" x14ac:dyDescent="0.3">
      <c r="B33" s="1302" t="s">
        <v>1290</v>
      </c>
      <c r="C33" s="1303">
        <f>59823+5230</f>
        <v>65053</v>
      </c>
      <c r="D33" s="1304">
        <v>3.2750300015441415E-2</v>
      </c>
      <c r="E33" s="1308">
        <f t="shared" si="1"/>
        <v>2130.5052669045103</v>
      </c>
      <c r="F33" s="1306">
        <f>E33*I27/1000000</f>
        <v>5.9654147473326286E-2</v>
      </c>
      <c r="G33" s="1307"/>
    </row>
    <row r="34" spans="2:10" ht="12.75" customHeight="1" x14ac:dyDescent="0.3">
      <c r="B34" s="1302" t="s">
        <v>1291</v>
      </c>
      <c r="C34" s="1303">
        <f>5+105112</f>
        <v>105117</v>
      </c>
      <c r="D34" s="1304">
        <v>3.4007868318860182E-3</v>
      </c>
      <c r="E34" s="1308">
        <f t="shared" si="1"/>
        <v>357.4805094073626</v>
      </c>
      <c r="F34" s="1306">
        <f>E34*I27/1000000</f>
        <v>1.0009454263406152E-2</v>
      </c>
      <c r="G34" s="1307"/>
    </row>
    <row r="35" spans="2:10" ht="16.5" customHeight="1" x14ac:dyDescent="0.35">
      <c r="B35" s="1312" t="s">
        <v>1275</v>
      </c>
      <c r="C35" s="1313"/>
      <c r="D35" s="1313"/>
      <c r="E35" s="1314">
        <f t="shared" ref="E35:F35" si="2">SUM(E26:E34)</f>
        <v>29047.273213895172</v>
      </c>
      <c r="F35" s="1315">
        <f t="shared" si="2"/>
        <v>0.81332364998906481</v>
      </c>
      <c r="G35" s="1316"/>
    </row>
    <row r="36" spans="2:10" ht="11.25" customHeight="1" x14ac:dyDescent="0.2"/>
    <row r="37" spans="2:10" ht="11.25" customHeight="1" x14ac:dyDescent="0.2">
      <c r="B37" s="2983" t="s">
        <v>1292</v>
      </c>
      <c r="C37" s="2943"/>
      <c r="D37" s="2943"/>
      <c r="E37" s="2943"/>
      <c r="F37" s="2943"/>
      <c r="G37" s="2943"/>
      <c r="H37" s="2943"/>
      <c r="I37" s="2943"/>
    </row>
    <row r="38" spans="2:10" ht="11.25" customHeight="1" x14ac:dyDescent="0.2">
      <c r="B38" s="1284" t="s">
        <v>1293</v>
      </c>
      <c r="C38" s="1285"/>
      <c r="D38" s="1285"/>
      <c r="E38" s="1285"/>
      <c r="F38" s="1285"/>
      <c r="G38" s="1285"/>
      <c r="H38" s="1285"/>
      <c r="I38" s="1285"/>
    </row>
    <row r="39" spans="2:10" ht="11.25" customHeight="1" x14ac:dyDescent="0.25">
      <c r="B39" s="2983" t="s">
        <v>1294</v>
      </c>
      <c r="C39" s="2943"/>
      <c r="D39" s="2943"/>
      <c r="E39" s="2943"/>
      <c r="F39" s="2943"/>
      <c r="G39" s="2943"/>
      <c r="H39" s="2943"/>
      <c r="I39" s="2943"/>
    </row>
    <row r="40" spans="2:10" ht="11.25" customHeight="1" x14ac:dyDescent="0.2"/>
    <row r="41" spans="2:10" ht="11.25" customHeight="1" x14ac:dyDescent="0.2"/>
    <row r="42" spans="2:10" ht="11.25" customHeight="1" x14ac:dyDescent="0.2"/>
    <row r="43" spans="2:10" ht="11.25" customHeight="1" x14ac:dyDescent="0.2"/>
    <row r="44" spans="2:10" ht="27" customHeight="1" x14ac:dyDescent="0.45">
      <c r="B44" s="1317" t="s">
        <v>1295</v>
      </c>
      <c r="C44" s="1317"/>
      <c r="D44" s="1317"/>
      <c r="E44" s="1318"/>
      <c r="F44" s="1319"/>
      <c r="G44" s="1254"/>
      <c r="H44" s="376"/>
      <c r="I44" s="376"/>
      <c r="J44" s="376"/>
    </row>
    <row r="45" spans="2:10" ht="11.25" customHeight="1" x14ac:dyDescent="0.3">
      <c r="B45" s="376"/>
      <c r="C45" s="376"/>
      <c r="D45" s="376"/>
      <c r="E45" s="1254"/>
      <c r="F45" s="376"/>
      <c r="G45" s="1254"/>
      <c r="H45" s="376"/>
      <c r="I45" s="376"/>
      <c r="J45" s="376"/>
    </row>
    <row r="46" spans="2:10" ht="11.25" customHeight="1" x14ac:dyDescent="0.35">
      <c r="B46" s="824"/>
      <c r="C46" s="1320" t="s">
        <v>1269</v>
      </c>
      <c r="D46" s="1320" t="s">
        <v>700</v>
      </c>
      <c r="E46" s="1321" t="s">
        <v>1296</v>
      </c>
      <c r="F46" s="1322" t="s">
        <v>1297</v>
      </c>
      <c r="G46" s="1254"/>
      <c r="I46" s="1254"/>
    </row>
    <row r="47" spans="2:10" ht="11.25" customHeight="1" x14ac:dyDescent="0.3">
      <c r="B47" s="1323"/>
      <c r="C47" s="1324"/>
      <c r="D47" s="2986" t="s">
        <v>1298</v>
      </c>
      <c r="E47" s="1324"/>
      <c r="F47" s="1325"/>
      <c r="G47" s="1254"/>
      <c r="I47" s="1254"/>
    </row>
    <row r="48" spans="2:10" ht="27" customHeight="1" x14ac:dyDescent="0.3">
      <c r="B48" s="1326"/>
      <c r="C48" s="1327"/>
      <c r="D48" s="2987"/>
      <c r="E48" s="1327"/>
      <c r="F48" s="1328"/>
      <c r="G48" s="1254"/>
      <c r="I48" s="1256"/>
    </row>
    <row r="49" spans="2:9" ht="14.25" customHeight="1" x14ac:dyDescent="0.3">
      <c r="B49" s="1329" t="s">
        <v>1299</v>
      </c>
      <c r="C49" s="1330">
        <v>985.65</v>
      </c>
      <c r="D49" s="1331">
        <v>0.61847932799999994</v>
      </c>
      <c r="E49" s="1332">
        <f t="shared" ref="E49:E51" si="3">C49*D49</f>
        <v>609.60414964319989</v>
      </c>
      <c r="F49" s="1333">
        <f>E49*I27/1000000</f>
        <v>1.7068916190009598E-2</v>
      </c>
      <c r="G49" s="1254"/>
      <c r="I49" s="1256"/>
    </row>
    <row r="50" spans="2:9" ht="16.5" customHeight="1" x14ac:dyDescent="0.3">
      <c r="B50" s="1334" t="s">
        <v>1300</v>
      </c>
      <c r="C50" s="344">
        <f>C49*0.006</f>
        <v>5.9138999999999999</v>
      </c>
      <c r="D50" s="1335">
        <v>983.65967615375553</v>
      </c>
      <c r="E50" s="1336">
        <f t="shared" si="3"/>
        <v>5817.2649588056947</v>
      </c>
      <c r="F50" s="1337">
        <f>E50*I27/1000000</f>
        <v>0.16288341884655944</v>
      </c>
      <c r="G50" s="1254"/>
      <c r="I50" s="1256"/>
    </row>
    <row r="51" spans="2:9" ht="15.75" customHeight="1" x14ac:dyDescent="0.3">
      <c r="B51" s="1334" t="s">
        <v>1301</v>
      </c>
      <c r="C51" s="344">
        <f>C49*0.0015</f>
        <v>1.478475</v>
      </c>
      <c r="D51" s="1335">
        <v>964.14925058889139</v>
      </c>
      <c r="E51" s="1336">
        <f t="shared" si="3"/>
        <v>1425.4705632644111</v>
      </c>
      <c r="F51" s="1337">
        <f>E51*I27/1000000</f>
        <v>3.9913175771403513E-2</v>
      </c>
      <c r="G51" s="1254"/>
      <c r="I51" s="1256"/>
    </row>
    <row r="52" spans="2:9" ht="21.75" customHeight="1" x14ac:dyDescent="0.35">
      <c r="B52" s="1338" t="s">
        <v>1275</v>
      </c>
      <c r="C52" s="1339"/>
      <c r="D52" s="1339"/>
      <c r="E52" s="1340">
        <f>SUM(E48:E51)</f>
        <v>7852.3396717133055</v>
      </c>
      <c r="F52" s="1341">
        <f>SUM(F49:F51)</f>
        <v>0.21986551080797256</v>
      </c>
      <c r="G52" s="1254"/>
      <c r="I52" s="1342"/>
    </row>
    <row r="53" spans="2:9" ht="11.25" customHeight="1" x14ac:dyDescent="0.2">
      <c r="B53" s="636"/>
      <c r="C53" s="637"/>
      <c r="D53" s="637"/>
      <c r="E53" s="637"/>
      <c r="F53" s="1283"/>
    </row>
    <row r="54" spans="2:9" ht="11.25" customHeight="1" x14ac:dyDescent="0.2">
      <c r="B54" s="327"/>
      <c r="C54" s="327"/>
      <c r="D54" s="327"/>
      <c r="E54" s="327"/>
      <c r="F54" s="327"/>
    </row>
    <row r="55" spans="2:9" ht="11.25" customHeight="1" x14ac:dyDescent="0.2">
      <c r="B55" s="2983" t="s">
        <v>1302</v>
      </c>
      <c r="C55" s="2943"/>
      <c r="D55" s="2943"/>
      <c r="E55" s="2943"/>
      <c r="F55" s="2943"/>
      <c r="G55" s="2943"/>
      <c r="H55" s="2943"/>
      <c r="I55" s="2943"/>
    </row>
    <row r="56" spans="2:9" ht="11.25" customHeight="1" x14ac:dyDescent="0.2">
      <c r="B56" s="2983" t="s">
        <v>1303</v>
      </c>
      <c r="C56" s="2943"/>
      <c r="D56" s="2943"/>
      <c r="E56" s="2943"/>
      <c r="F56" s="2943"/>
      <c r="G56" s="2943"/>
      <c r="H56" s="2943"/>
      <c r="I56" s="2943"/>
    </row>
    <row r="57" spans="2:9" ht="11.25" customHeight="1" x14ac:dyDescent="0.2">
      <c r="B57" s="2983" t="s">
        <v>1304</v>
      </c>
      <c r="C57" s="2943"/>
      <c r="D57" s="2943"/>
      <c r="E57" s="2943"/>
      <c r="F57" s="2943"/>
      <c r="G57" s="2943"/>
      <c r="H57" s="2943"/>
      <c r="I57" s="2943"/>
    </row>
    <row r="58" spans="2:9" ht="11.25" customHeight="1" x14ac:dyDescent="0.2">
      <c r="B58" s="2983" t="s">
        <v>1305</v>
      </c>
      <c r="C58" s="2943"/>
      <c r="D58" s="2943"/>
      <c r="E58" s="2943"/>
      <c r="F58" s="2943"/>
      <c r="G58" s="2943"/>
      <c r="H58" s="2943"/>
      <c r="I58" s="2943"/>
    </row>
    <row r="59" spans="2:9" ht="11.25" customHeight="1" x14ac:dyDescent="0.25">
      <c r="B59" s="2983" t="s">
        <v>1306</v>
      </c>
      <c r="C59" s="2943"/>
      <c r="D59" s="2943"/>
      <c r="E59" s="2943"/>
      <c r="F59" s="2943"/>
      <c r="G59" s="2943"/>
      <c r="H59" s="2943"/>
      <c r="I59" s="2943"/>
    </row>
    <row r="60" spans="2:9" ht="11.25" customHeight="1" x14ac:dyDescent="0.2">
      <c r="B60" s="327"/>
      <c r="C60" s="327"/>
      <c r="D60" s="327"/>
      <c r="E60" s="327"/>
      <c r="F60" s="327"/>
    </row>
    <row r="61" spans="2:9" ht="11.25" customHeight="1" x14ac:dyDescent="0.2">
      <c r="B61" s="327"/>
      <c r="C61" s="327"/>
      <c r="D61" s="327"/>
      <c r="E61" s="327"/>
      <c r="F61" s="327"/>
    </row>
    <row r="62" spans="2:9" ht="11.25" customHeight="1" x14ac:dyDescent="0.2">
      <c r="B62" s="327"/>
      <c r="C62" s="327"/>
      <c r="D62" s="327"/>
      <c r="E62" s="327"/>
      <c r="F62" s="327"/>
    </row>
    <row r="63" spans="2:9" ht="11.25" customHeight="1" x14ac:dyDescent="0.2">
      <c r="B63" s="327"/>
      <c r="C63" s="327"/>
      <c r="D63" s="327"/>
      <c r="E63" s="327"/>
      <c r="F63" s="327"/>
    </row>
    <row r="64" spans="2:9" ht="11.25" customHeight="1" x14ac:dyDescent="0.2">
      <c r="B64" s="327"/>
      <c r="C64" s="327"/>
      <c r="D64" s="327"/>
      <c r="E64" s="327"/>
      <c r="F64" s="327"/>
    </row>
    <row r="65" spans="2:11" ht="11.25" customHeight="1" x14ac:dyDescent="0.2"/>
    <row r="66" spans="2:11" ht="27.75" customHeight="1" x14ac:dyDescent="0.45">
      <c r="B66" s="1286" t="s">
        <v>1307</v>
      </c>
      <c r="C66" s="1286"/>
      <c r="D66" s="1287"/>
      <c r="E66" s="1287"/>
      <c r="F66" s="1287"/>
    </row>
    <row r="67" spans="2:11" ht="11.25" customHeight="1" x14ac:dyDescent="0.2"/>
    <row r="68" spans="2:11" ht="15" customHeight="1" x14ac:dyDescent="0.45">
      <c r="B68" s="1343"/>
      <c r="C68" s="1344">
        <v>2020</v>
      </c>
      <c r="D68" s="2988" t="s">
        <v>1308</v>
      </c>
      <c r="E68" s="2989"/>
      <c r="F68" s="2990"/>
      <c r="G68" s="1345" t="s">
        <v>1309</v>
      </c>
      <c r="H68" s="1346" t="s">
        <v>1310</v>
      </c>
      <c r="I68" s="1347" t="s">
        <v>1311</v>
      </c>
      <c r="J68" s="1348" t="s">
        <v>1312</v>
      </c>
      <c r="K68" s="1349" t="s">
        <v>1313</v>
      </c>
    </row>
    <row r="69" spans="2:11" ht="19.5" customHeight="1" x14ac:dyDescent="0.45">
      <c r="B69" s="1350" t="s">
        <v>1314</v>
      </c>
      <c r="C69" s="1351" t="s">
        <v>1315</v>
      </c>
      <c r="D69" s="1352" t="s">
        <v>1316</v>
      </c>
      <c r="E69" s="1352" t="s">
        <v>1317</v>
      </c>
      <c r="F69" s="1352" t="s">
        <v>1318</v>
      </c>
      <c r="G69" s="1353" t="s">
        <v>703</v>
      </c>
      <c r="H69" s="1354" t="s">
        <v>1319</v>
      </c>
      <c r="I69" s="1355" t="s">
        <v>1320</v>
      </c>
      <c r="J69" s="1356" t="s">
        <v>1321</v>
      </c>
      <c r="K69" s="1357"/>
    </row>
    <row r="70" spans="2:11" ht="16.5" customHeight="1" x14ac:dyDescent="0.3">
      <c r="B70" s="1358"/>
      <c r="C70" s="1359"/>
      <c r="D70" s="1360" t="s">
        <v>1322</v>
      </c>
      <c r="E70" s="1360" t="s">
        <v>1323</v>
      </c>
      <c r="F70" s="1360" t="s">
        <v>1323</v>
      </c>
      <c r="G70" s="1361"/>
      <c r="H70" s="1360"/>
      <c r="I70" s="1362"/>
      <c r="J70" s="1363"/>
      <c r="K70" s="1364"/>
    </row>
    <row r="71" spans="2:11" ht="20.25" customHeight="1" x14ac:dyDescent="0.35">
      <c r="B71" s="1365" t="s">
        <v>1324</v>
      </c>
      <c r="C71" s="1366">
        <f>25177*1.047</f>
        <v>26360.319</v>
      </c>
      <c r="D71" s="1367">
        <v>31.87</v>
      </c>
      <c r="E71" s="1368">
        <v>9.4955026735800017E-5</v>
      </c>
      <c r="F71" s="1368">
        <v>9.4955026735800007E-4</v>
      </c>
      <c r="G71" s="1369">
        <v>1</v>
      </c>
      <c r="H71" s="1370">
        <f>(C71*1000*D71*(44/12)*0.00045359237*0.90718)/1000000</f>
        <v>1.267544931795072</v>
      </c>
      <c r="I71" s="1371">
        <f>C71*E71*I28*0.000001</f>
        <v>6.6330687078344254E-4</v>
      </c>
      <c r="J71" s="1372">
        <f>C71*F71*I27*0.000001</f>
        <v>7.008525427145807E-4</v>
      </c>
      <c r="K71" s="1373">
        <f>H71+I71+J71</f>
        <v>1.2689090912085701</v>
      </c>
    </row>
    <row r="72" spans="2:11" ht="11.25" customHeight="1" x14ac:dyDescent="0.2"/>
    <row r="73" spans="2:11" ht="11.25" customHeight="1" x14ac:dyDescent="0.25">
      <c r="B73" s="143" t="s">
        <v>1325</v>
      </c>
      <c r="C73" s="955">
        <f>C71*1000</f>
        <v>26360319</v>
      </c>
    </row>
    <row r="74" spans="2:11" ht="11.25" customHeight="1" x14ac:dyDescent="0.2"/>
    <row r="75" spans="2:11" ht="11.25" customHeight="1" x14ac:dyDescent="0.2"/>
    <row r="76" spans="2:11" ht="11.25" customHeight="1" x14ac:dyDescent="0.2">
      <c r="B76" s="327" t="s">
        <v>1326</v>
      </c>
      <c r="G76" s="327" t="s">
        <v>1327</v>
      </c>
      <c r="H76" s="1284"/>
    </row>
    <row r="77" spans="2:11" ht="11.25" customHeight="1" x14ac:dyDescent="0.2"/>
    <row r="78" spans="2:11" ht="11.25" customHeight="1" x14ac:dyDescent="0.2">
      <c r="B78" s="2983" t="s">
        <v>1328</v>
      </c>
      <c r="C78" s="2943"/>
      <c r="D78" s="2943"/>
      <c r="E78" s="2943"/>
      <c r="F78" s="2943"/>
      <c r="G78" s="2943"/>
      <c r="H78" s="2943"/>
      <c r="I78" s="2943"/>
    </row>
    <row r="79" spans="2:11" ht="11.25" customHeight="1" x14ac:dyDescent="0.2">
      <c r="B79" s="1285"/>
      <c r="C79" s="1285"/>
      <c r="D79" s="1285"/>
      <c r="E79" s="1285"/>
      <c r="F79" s="1285"/>
      <c r="G79" s="1285"/>
      <c r="H79" s="1285"/>
      <c r="I79" s="1285"/>
    </row>
    <row r="80" spans="2:11" ht="11.25" customHeight="1" x14ac:dyDescent="0.2">
      <c r="B80" s="1285"/>
      <c r="C80" s="1285"/>
      <c r="D80" s="1285"/>
      <c r="E80" s="1285"/>
      <c r="F80" s="1285"/>
      <c r="G80" s="1285"/>
      <c r="H80" s="1285"/>
      <c r="I80" s="1285"/>
    </row>
    <row r="81" spans="2:3" ht="11.25" customHeight="1" x14ac:dyDescent="0.2"/>
    <row r="82" spans="2:3" ht="17.25" customHeight="1" x14ac:dyDescent="0.35">
      <c r="B82" s="2984" t="s">
        <v>1329</v>
      </c>
      <c r="C82" s="2985"/>
    </row>
    <row r="83" spans="2:3" ht="17.25" customHeight="1" x14ac:dyDescent="0.35">
      <c r="B83" s="1374"/>
      <c r="C83" s="1375">
        <v>2020</v>
      </c>
    </row>
    <row r="84" spans="2:3" ht="11.25" customHeight="1" x14ac:dyDescent="0.35">
      <c r="B84" s="1376" t="s">
        <v>436</v>
      </c>
      <c r="C84" s="1377">
        <f>C85+C86+C87+C88</f>
        <v>2.302213112815914</v>
      </c>
    </row>
    <row r="85" spans="2:3" ht="11.25" customHeight="1" x14ac:dyDescent="0.3">
      <c r="B85" s="1378" t="s">
        <v>1330</v>
      </c>
      <c r="C85" s="1379">
        <f>F12</f>
        <v>1.1486081030673117E-4</v>
      </c>
    </row>
    <row r="86" spans="2:3" ht="11.25" customHeight="1" x14ac:dyDescent="0.3">
      <c r="B86" s="1378" t="s">
        <v>1331</v>
      </c>
      <c r="C86" s="1379">
        <f>F52</f>
        <v>0.21986551080797256</v>
      </c>
    </row>
    <row r="87" spans="2:3" ht="11.25" customHeight="1" x14ac:dyDescent="0.3">
      <c r="B87" s="1378" t="s">
        <v>1332</v>
      </c>
      <c r="C87" s="1379">
        <f>F35</f>
        <v>0.81332364998906481</v>
      </c>
    </row>
    <row r="88" spans="2:3" ht="18.75" customHeight="1" x14ac:dyDescent="0.35">
      <c r="B88" s="1380" t="s">
        <v>1333</v>
      </c>
      <c r="C88" s="1381">
        <f>K71</f>
        <v>1.2689090912085701</v>
      </c>
    </row>
    <row r="89" spans="2:3" ht="11.25" customHeight="1" x14ac:dyDescent="0.2"/>
    <row r="90" spans="2:3" ht="11.25" customHeight="1" x14ac:dyDescent="0.2"/>
    <row r="91" spans="2:3" ht="11.25" customHeight="1" x14ac:dyDescent="0.2"/>
    <row r="92" spans="2:3" ht="11.25" customHeight="1" x14ac:dyDescent="0.2"/>
    <row r="93" spans="2:3" ht="11.25" customHeight="1" x14ac:dyDescent="0.2"/>
    <row r="94" spans="2:3" ht="11.25" customHeight="1" x14ac:dyDescent="0.2"/>
    <row r="95" spans="2:3" ht="11.25" customHeight="1" x14ac:dyDescent="0.2"/>
    <row r="96" spans="2: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row r="1001" ht="11.25" customHeight="1" x14ac:dyDescent="0.2"/>
    <row r="1002" ht="11.25" customHeight="1" x14ac:dyDescent="0.2"/>
  </sheetData>
  <mergeCells count="14">
    <mergeCell ref="B78:I78"/>
    <mergeCell ref="B82:C82"/>
    <mergeCell ref="B16:I16"/>
    <mergeCell ref="C22:F22"/>
    <mergeCell ref="H24:I24"/>
    <mergeCell ref="B37:I37"/>
    <mergeCell ref="B39:I39"/>
    <mergeCell ref="D47:D48"/>
    <mergeCell ref="B55:I55"/>
    <mergeCell ref="B56:I56"/>
    <mergeCell ref="B57:I57"/>
    <mergeCell ref="B58:I58"/>
    <mergeCell ref="B59:I59"/>
    <mergeCell ref="D68:F68"/>
  </mergeCells>
  <hyperlinks>
    <hyperlink ref="C15" r:id="rId1" xr:uid="{00000000-0004-0000-0B00-000000000000}"/>
    <hyperlink ref="B38" r:id="rId2" xr:uid="{00000000-0004-0000-0B00-000001000000}"/>
  </hyperlinks>
  <printOptions gridLines="1"/>
  <pageMargins left="0.16" right="0.26" top="0.51" bottom="0.45" header="0" footer="0"/>
  <pageSetup scale="75" orientation="landscape"/>
  <drawing r:id="rId3"/>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O1004"/>
  <sheetViews>
    <sheetView workbookViewId="0"/>
  </sheetViews>
  <sheetFormatPr defaultColWidth="16.85546875" defaultRowHeight="15" customHeight="1" x14ac:dyDescent="0.2"/>
  <cols>
    <col min="1" max="1" width="4.7109375" customWidth="1"/>
    <col min="2" max="2" width="26.7109375" customWidth="1"/>
    <col min="3" max="3" width="28.42578125" customWidth="1"/>
    <col min="4" max="4" width="17" customWidth="1"/>
    <col min="5" max="5" width="3.85546875" customWidth="1"/>
    <col min="6" max="6" width="13.85546875" customWidth="1"/>
    <col min="7" max="7" width="3.85546875" customWidth="1"/>
    <col min="8" max="8" width="18.85546875" customWidth="1"/>
    <col min="9" max="9" width="3.85546875" customWidth="1"/>
    <col min="10" max="10" width="10.7109375" customWidth="1"/>
    <col min="11" max="11" width="3.85546875" customWidth="1"/>
    <col min="12" max="12" width="11.42578125" customWidth="1"/>
    <col min="13" max="13" width="3.85546875" customWidth="1"/>
    <col min="14" max="14" width="10.28515625" customWidth="1"/>
    <col min="15" max="16" width="8.85546875" customWidth="1"/>
    <col min="17" max="17" width="10.140625" customWidth="1"/>
    <col min="18" max="26" width="8.85546875" customWidth="1"/>
  </cols>
  <sheetData>
    <row r="1" spans="1:41" ht="15" customHeight="1" x14ac:dyDescent="0.2">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row>
    <row r="2" spans="1:41" ht="25.5" customHeight="1" x14ac:dyDescent="0.55000000000000004">
      <c r="A2" s="1382" t="s">
        <v>1334</v>
      </c>
      <c r="B2" s="1251"/>
      <c r="C2" s="1252"/>
      <c r="D2" s="881"/>
      <c r="G2" s="327"/>
      <c r="H2" s="327"/>
    </row>
    <row r="3" spans="1:41" ht="9" customHeight="1" x14ac:dyDescent="0.55000000000000004">
      <c r="A3" s="329"/>
      <c r="B3" s="606"/>
      <c r="C3" s="140"/>
      <c r="D3" s="881"/>
      <c r="E3" s="140"/>
      <c r="F3" s="140"/>
      <c r="G3" s="327"/>
      <c r="H3" s="327"/>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row>
    <row r="4" spans="1:41" ht="206.25" customHeight="1" x14ac:dyDescent="0.5">
      <c r="A4" s="928"/>
      <c r="B4" s="1383"/>
      <c r="C4" s="1384"/>
    </row>
    <row r="5" spans="1:41" ht="16.5" customHeight="1" x14ac:dyDescent="0.5">
      <c r="A5" s="928"/>
      <c r="B5" s="1383"/>
      <c r="C5" s="1384"/>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row>
    <row r="6" spans="1:41" ht="24.75" customHeight="1" x14ac:dyDescent="0.45">
      <c r="A6" s="3"/>
      <c r="B6" s="1385" t="s">
        <v>1335</v>
      </c>
      <c r="C6" s="1386"/>
      <c r="D6" s="3"/>
      <c r="E6" s="3"/>
      <c r="F6" s="3"/>
      <c r="G6" s="3"/>
      <c r="H6" s="3"/>
      <c r="I6" s="3"/>
      <c r="J6" s="3"/>
      <c r="K6" s="3"/>
      <c r="L6" s="3"/>
      <c r="M6" s="3"/>
      <c r="N6" s="3"/>
      <c r="O6" s="3"/>
      <c r="P6" s="3"/>
      <c r="Q6" s="3"/>
      <c r="R6" s="3"/>
      <c r="S6" s="3"/>
      <c r="T6" s="3"/>
      <c r="U6" s="3"/>
      <c r="V6" s="3"/>
      <c r="W6" s="3"/>
      <c r="X6" s="3"/>
      <c r="Y6" s="3"/>
      <c r="Z6" s="3"/>
    </row>
    <row r="7" spans="1:41" ht="29.25" customHeight="1" x14ac:dyDescent="0.3">
      <c r="A7" s="1387"/>
      <c r="B7" s="1388" t="s">
        <v>1336</v>
      </c>
      <c r="C7" s="1389" t="s">
        <v>1337</v>
      </c>
      <c r="D7" s="1390" t="s">
        <v>1338</v>
      </c>
      <c r="E7" s="1389"/>
      <c r="F7" s="1390" t="s">
        <v>1339</v>
      </c>
      <c r="G7" s="1389"/>
      <c r="H7" s="1390" t="s">
        <v>1340</v>
      </c>
      <c r="I7" s="1391"/>
      <c r="J7" s="1390" t="s">
        <v>1341</v>
      </c>
      <c r="K7" s="1391"/>
      <c r="L7" s="1390" t="s">
        <v>1342</v>
      </c>
      <c r="M7" s="1392"/>
      <c r="N7" s="1393" t="s">
        <v>1343</v>
      </c>
      <c r="O7" s="3"/>
      <c r="P7" s="3"/>
      <c r="Q7" s="3"/>
      <c r="R7" s="3"/>
      <c r="S7" s="3"/>
      <c r="T7" s="3"/>
      <c r="U7" s="3"/>
      <c r="V7" s="3"/>
      <c r="W7" s="3"/>
      <c r="X7" s="3"/>
      <c r="Y7" s="3"/>
      <c r="Z7" s="3"/>
    </row>
    <row r="8" spans="1:41" ht="11.25" customHeight="1" x14ac:dyDescent="0.3">
      <c r="A8" s="1387"/>
      <c r="B8" s="1394" t="s">
        <v>1344</v>
      </c>
      <c r="C8" s="1395"/>
      <c r="D8" s="1396"/>
      <c r="E8" s="1397"/>
      <c r="F8" s="1398"/>
      <c r="G8" s="1398"/>
      <c r="H8" s="1398"/>
      <c r="I8" s="1398"/>
      <c r="J8" s="1399"/>
      <c r="K8" s="1398"/>
      <c r="L8" s="1398"/>
      <c r="M8" s="1398"/>
      <c r="N8" s="1400"/>
      <c r="O8" s="3"/>
      <c r="P8" s="3"/>
      <c r="Q8" s="3"/>
      <c r="R8" s="3"/>
      <c r="S8" s="3"/>
      <c r="T8" s="3"/>
      <c r="U8" s="3"/>
      <c r="V8" s="3"/>
      <c r="W8" s="3"/>
      <c r="X8" s="3"/>
      <c r="Y8" s="3"/>
      <c r="Z8" s="3"/>
    </row>
    <row r="9" spans="1:41" ht="11.25" customHeight="1" x14ac:dyDescent="0.3">
      <c r="A9" s="1387"/>
      <c r="B9" s="1401" t="s">
        <v>1345</v>
      </c>
      <c r="C9" s="1402"/>
      <c r="D9" s="1403">
        <v>0</v>
      </c>
      <c r="E9" s="493" t="s">
        <v>1346</v>
      </c>
      <c r="F9" s="1403">
        <v>0</v>
      </c>
      <c r="G9" s="1404" t="s">
        <v>1347</v>
      </c>
      <c r="H9" s="1403">
        <v>0</v>
      </c>
      <c r="I9" s="493" t="s">
        <v>1236</v>
      </c>
      <c r="J9" s="1405">
        <f>D9+F9-H9</f>
        <v>0</v>
      </c>
      <c r="K9" s="493" t="s">
        <v>1236</v>
      </c>
      <c r="L9" s="1406">
        <f>J9*1000000*0.0000192</f>
        <v>0</v>
      </c>
      <c r="M9" s="493" t="s">
        <v>1236</v>
      </c>
      <c r="N9" s="1407">
        <f>(L9*21)</f>
        <v>0</v>
      </c>
      <c r="O9" s="3"/>
      <c r="P9" s="3"/>
      <c r="Q9" s="3"/>
      <c r="R9" s="3"/>
      <c r="S9" s="3"/>
      <c r="T9" s="3"/>
      <c r="U9" s="3"/>
      <c r="V9" s="3"/>
      <c r="W9" s="3"/>
      <c r="X9" s="3"/>
      <c r="Y9" s="3"/>
      <c r="Z9" s="3"/>
    </row>
    <row r="10" spans="1:41" ht="11.25" customHeight="1" x14ac:dyDescent="0.3">
      <c r="A10" s="1387"/>
      <c r="B10" s="1408"/>
      <c r="C10" s="1409"/>
      <c r="D10" s="1410"/>
      <c r="E10" s="1411"/>
      <c r="F10" s="1412"/>
      <c r="G10" s="1411"/>
      <c r="H10" s="1413"/>
      <c r="I10" s="1411"/>
      <c r="J10" s="1414"/>
      <c r="K10" s="1411"/>
      <c r="L10" s="1415"/>
      <c r="M10" s="1411"/>
      <c r="N10" s="1416"/>
      <c r="O10" s="3"/>
      <c r="P10" s="3"/>
      <c r="Q10" s="3"/>
      <c r="R10" s="3"/>
      <c r="S10" s="3"/>
      <c r="T10" s="3"/>
      <c r="U10" s="3"/>
      <c r="V10" s="3"/>
      <c r="W10" s="3"/>
      <c r="X10" s="3"/>
      <c r="Y10" s="3"/>
      <c r="Z10" s="3"/>
    </row>
    <row r="11" spans="1:41" ht="11.25" customHeight="1" x14ac:dyDescent="0.3">
      <c r="A11" s="1387"/>
      <c r="B11" s="1417"/>
      <c r="C11" s="1418"/>
      <c r="D11" s="1419" t="s">
        <v>1348</v>
      </c>
      <c r="E11" s="1397"/>
      <c r="F11" s="1420" t="s">
        <v>1349</v>
      </c>
      <c r="G11" s="1397"/>
      <c r="H11" s="1420" t="s">
        <v>1350</v>
      </c>
      <c r="I11" s="1397"/>
      <c r="J11" s="1420" t="s">
        <v>1351</v>
      </c>
      <c r="K11" s="1398"/>
      <c r="L11" s="1420" t="s">
        <v>1352</v>
      </c>
      <c r="M11" s="1397"/>
      <c r="N11" s="1421"/>
      <c r="O11" s="3"/>
      <c r="P11" s="3"/>
      <c r="Q11" s="3"/>
      <c r="R11" s="3"/>
      <c r="S11" s="3"/>
      <c r="T11" s="3"/>
      <c r="U11" s="3"/>
      <c r="V11" s="3"/>
      <c r="W11" s="3"/>
      <c r="X11" s="3"/>
      <c r="Y11" s="3"/>
      <c r="Z11" s="3"/>
    </row>
    <row r="12" spans="1:41" ht="11.25" customHeight="1" x14ac:dyDescent="0.3">
      <c r="A12" s="1387"/>
      <c r="B12" s="1401" t="s">
        <v>1353</v>
      </c>
      <c r="C12" s="1422" t="s">
        <v>1354</v>
      </c>
      <c r="D12" s="1403">
        <f>623.689</f>
        <v>623.68899999999996</v>
      </c>
      <c r="E12" s="493" t="s">
        <v>1235</v>
      </c>
      <c r="F12" s="1423">
        <v>119</v>
      </c>
      <c r="G12" s="493" t="s">
        <v>1236</v>
      </c>
      <c r="H12" s="1406">
        <f>D12*F12</f>
        <v>74218.990999999995</v>
      </c>
      <c r="I12" s="493" t="s">
        <v>1236</v>
      </c>
      <c r="J12" s="1406">
        <f>H12*0.0000192*1000</f>
        <v>1425.0046272</v>
      </c>
      <c r="K12" s="493" t="s">
        <v>1236</v>
      </c>
      <c r="L12" s="1406">
        <f>(J12*Q15)</f>
        <v>39900.129561599999</v>
      </c>
      <c r="M12" s="493"/>
      <c r="N12" s="1424"/>
      <c r="O12" s="3"/>
      <c r="P12" s="2933" t="s">
        <v>1</v>
      </c>
      <c r="Q12" s="2934"/>
      <c r="R12" s="3"/>
      <c r="S12" s="3"/>
      <c r="T12" s="3"/>
      <c r="U12" s="3"/>
      <c r="V12" s="3"/>
      <c r="W12" s="3"/>
      <c r="X12" s="3"/>
      <c r="Y12" s="3"/>
      <c r="Z12" s="3"/>
    </row>
    <row r="13" spans="1:41" ht="11.25" customHeight="1" x14ac:dyDescent="0.3">
      <c r="A13" s="1387"/>
      <c r="B13" s="1408"/>
      <c r="C13" s="1425" t="s">
        <v>1355</v>
      </c>
      <c r="D13" s="1426">
        <v>0</v>
      </c>
      <c r="E13" s="1411" t="s">
        <v>1235</v>
      </c>
      <c r="F13" s="1427">
        <v>0</v>
      </c>
      <c r="G13" s="1411" t="s">
        <v>1236</v>
      </c>
      <c r="H13" s="1428" t="s">
        <v>1347</v>
      </c>
      <c r="I13" s="1411" t="s">
        <v>1236</v>
      </c>
      <c r="J13" s="1428" t="s">
        <v>1347</v>
      </c>
      <c r="K13" s="1429" t="s">
        <v>1236</v>
      </c>
      <c r="L13" s="1428" t="s">
        <v>1347</v>
      </c>
      <c r="M13" s="1411"/>
      <c r="N13" s="1416"/>
      <c r="O13" s="3"/>
      <c r="P13" s="2641"/>
      <c r="Q13" s="2642" t="str">
        <f>Summary!E3</f>
        <v>AR5 100-yr GWP</v>
      </c>
      <c r="R13" s="3"/>
      <c r="S13" s="3"/>
      <c r="T13" s="3"/>
      <c r="U13" s="3"/>
      <c r="V13" s="3"/>
      <c r="W13" s="3"/>
      <c r="X13" s="3"/>
      <c r="Y13" s="3"/>
      <c r="Z13" s="3"/>
    </row>
    <row r="14" spans="1:41" ht="11.25" customHeight="1" x14ac:dyDescent="0.3">
      <c r="A14" s="1387"/>
      <c r="B14" s="1430"/>
      <c r="C14" s="1398"/>
      <c r="D14" s="1396"/>
      <c r="E14" s="1398"/>
      <c r="F14" s="1431"/>
      <c r="G14" s="1398"/>
      <c r="H14" s="1398"/>
      <c r="I14" s="1398"/>
      <c r="J14" s="1398"/>
      <c r="K14" s="1398"/>
      <c r="L14" s="1398"/>
      <c r="M14" s="1398"/>
      <c r="N14" s="1400"/>
      <c r="O14" s="3"/>
      <c r="P14" s="2641" t="s">
        <v>521</v>
      </c>
      <c r="Q14" s="2642">
        <f>Summary!E4</f>
        <v>1</v>
      </c>
      <c r="R14" s="3"/>
      <c r="S14" s="3"/>
      <c r="T14" s="3"/>
      <c r="U14" s="3"/>
      <c r="V14" s="3"/>
      <c r="W14" s="3"/>
      <c r="X14" s="3"/>
      <c r="Y14" s="3"/>
      <c r="Z14" s="3"/>
    </row>
    <row r="15" spans="1:41" ht="11.25" customHeight="1" x14ac:dyDescent="0.3">
      <c r="A15" s="1387"/>
      <c r="B15" s="1432" t="s">
        <v>1356</v>
      </c>
      <c r="C15" s="1433"/>
      <c r="D15" s="1434" t="s">
        <v>1357</v>
      </c>
      <c r="E15" s="1435"/>
      <c r="F15" s="1436" t="s">
        <v>1358</v>
      </c>
      <c r="G15" s="1435"/>
      <c r="H15" s="1437" t="s">
        <v>1359</v>
      </c>
      <c r="I15" s="1438"/>
      <c r="J15" s="1437" t="s">
        <v>1360</v>
      </c>
      <c r="K15" s="1438"/>
      <c r="L15" s="1437" t="s">
        <v>1361</v>
      </c>
      <c r="M15" s="1438"/>
      <c r="N15" s="1439"/>
      <c r="O15" s="3"/>
      <c r="P15" s="2641" t="s">
        <v>523</v>
      </c>
      <c r="Q15" s="2642">
        <f>Summary!E5</f>
        <v>28</v>
      </c>
      <c r="R15" s="3"/>
      <c r="S15" s="3"/>
      <c r="T15" s="3"/>
      <c r="U15" s="3"/>
      <c r="V15" s="3"/>
      <c r="W15" s="3"/>
      <c r="X15" s="3"/>
      <c r="Y15" s="3"/>
      <c r="Z15" s="3"/>
    </row>
    <row r="16" spans="1:41" ht="11.25" customHeight="1" x14ac:dyDescent="0.3">
      <c r="A16" s="1387"/>
      <c r="B16" s="1401" t="s">
        <v>1345</v>
      </c>
      <c r="C16" s="1422" t="s">
        <v>1354</v>
      </c>
      <c r="D16" s="1403">
        <f>771.674</f>
        <v>771.67399999999998</v>
      </c>
      <c r="E16" s="493" t="s">
        <v>1235</v>
      </c>
      <c r="F16" s="1423">
        <v>44.98</v>
      </c>
      <c r="G16" s="493" t="s">
        <v>1236</v>
      </c>
      <c r="H16" s="1406">
        <f>D16*F16</f>
        <v>34709.896519999995</v>
      </c>
      <c r="I16" s="493" t="s">
        <v>1236</v>
      </c>
      <c r="J16" s="1406">
        <f>H16*0.0000192*1000</f>
        <v>666.4300131839999</v>
      </c>
      <c r="K16" s="1440" t="s">
        <v>1236</v>
      </c>
      <c r="L16" s="1406">
        <f>(J16*Q15)</f>
        <v>18660.040369151997</v>
      </c>
      <c r="M16" s="493"/>
      <c r="N16" s="1424"/>
      <c r="O16" s="3"/>
      <c r="P16" s="2641" t="s">
        <v>525</v>
      </c>
      <c r="Q16" s="2642">
        <f>Summary!E6</f>
        <v>265</v>
      </c>
      <c r="R16" s="3"/>
      <c r="S16" s="3"/>
      <c r="T16" s="3"/>
      <c r="U16" s="3"/>
      <c r="V16" s="3"/>
      <c r="W16" s="3"/>
      <c r="X16" s="3"/>
      <c r="Y16" s="3"/>
      <c r="Z16" s="3"/>
    </row>
    <row r="17" spans="1:41" ht="11.25" customHeight="1" x14ac:dyDescent="0.3">
      <c r="A17" s="1387"/>
      <c r="B17" s="1441"/>
      <c r="C17" s="1422" t="s">
        <v>1355</v>
      </c>
      <c r="D17" s="1403">
        <v>0</v>
      </c>
      <c r="E17" s="493" t="s">
        <v>1235</v>
      </c>
      <c r="F17" s="1423">
        <v>0</v>
      </c>
      <c r="G17" s="493" t="s">
        <v>1236</v>
      </c>
      <c r="H17" s="1442" t="s">
        <v>1347</v>
      </c>
      <c r="I17" s="493" t="s">
        <v>1236</v>
      </c>
      <c r="J17" s="1442" t="s">
        <v>1347</v>
      </c>
      <c r="K17" s="1440" t="s">
        <v>1236</v>
      </c>
      <c r="L17" s="1442" t="s">
        <v>1347</v>
      </c>
      <c r="M17" s="493"/>
      <c r="N17" s="1424"/>
      <c r="O17" s="3"/>
      <c r="P17" s="2641" t="s">
        <v>526</v>
      </c>
      <c r="Q17" s="2643">
        <f>Summary!E7</f>
        <v>23500</v>
      </c>
      <c r="R17" s="3"/>
      <c r="S17" s="3"/>
      <c r="T17" s="3"/>
      <c r="U17" s="3"/>
      <c r="V17" s="3"/>
      <c r="W17" s="3"/>
      <c r="X17" s="3"/>
      <c r="Y17" s="3"/>
      <c r="Z17" s="3"/>
    </row>
    <row r="18" spans="1:41" ht="11.25" customHeight="1" x14ac:dyDescent="0.3">
      <c r="A18" s="1387"/>
      <c r="B18" s="1401" t="s">
        <v>1353</v>
      </c>
      <c r="C18" s="1422" t="s">
        <v>1354</v>
      </c>
      <c r="D18" s="1403">
        <f>623.689</f>
        <v>623.68899999999996</v>
      </c>
      <c r="E18" s="493" t="s">
        <v>1235</v>
      </c>
      <c r="F18" s="1423">
        <v>19.337499999999999</v>
      </c>
      <c r="G18" s="493" t="s">
        <v>1236</v>
      </c>
      <c r="H18" s="1406">
        <f>D18*F18</f>
        <v>12060.586037499999</v>
      </c>
      <c r="I18" s="493" t="s">
        <v>1236</v>
      </c>
      <c r="J18" s="1406">
        <f>H18*0.0000192*1000</f>
        <v>231.56325191999997</v>
      </c>
      <c r="K18" s="1440" t="s">
        <v>1236</v>
      </c>
      <c r="L18" s="1406">
        <f>(J18*Q15)</f>
        <v>6483.7710537599996</v>
      </c>
      <c r="M18" s="493"/>
      <c r="N18" s="1424"/>
      <c r="O18" s="3"/>
      <c r="R18" s="3"/>
      <c r="S18" s="3"/>
      <c r="T18" s="3"/>
      <c r="U18" s="3"/>
      <c r="V18" s="3"/>
      <c r="W18" s="3"/>
      <c r="X18" s="3"/>
      <c r="Y18" s="3"/>
      <c r="Z18" s="3"/>
    </row>
    <row r="19" spans="1:41" ht="11.25" customHeight="1" x14ac:dyDescent="0.3">
      <c r="A19" s="1387"/>
      <c r="B19" s="1441"/>
      <c r="C19" s="1422" t="s">
        <v>1355</v>
      </c>
      <c r="D19" s="1403">
        <v>0</v>
      </c>
      <c r="E19" s="493" t="s">
        <v>1235</v>
      </c>
      <c r="F19" s="1423">
        <v>0</v>
      </c>
      <c r="G19" s="493" t="s">
        <v>1236</v>
      </c>
      <c r="H19" s="1443" t="s">
        <v>1355</v>
      </c>
      <c r="I19" s="493" t="s">
        <v>1236</v>
      </c>
      <c r="J19" s="1443" t="s">
        <v>1355</v>
      </c>
      <c r="K19" s="1440" t="s">
        <v>1236</v>
      </c>
      <c r="L19" s="1443" t="s">
        <v>1355</v>
      </c>
      <c r="M19" s="493"/>
      <c r="N19" s="1424"/>
      <c r="O19" s="3"/>
      <c r="P19" s="3"/>
      <c r="Q19" s="3"/>
      <c r="R19" s="3"/>
      <c r="S19" s="3"/>
      <c r="T19" s="3"/>
      <c r="U19" s="3"/>
      <c r="V19" s="3"/>
      <c r="W19" s="3"/>
      <c r="X19" s="3"/>
      <c r="Y19" s="3"/>
      <c r="Z19" s="3"/>
    </row>
    <row r="20" spans="1:41" ht="11.25" customHeight="1" x14ac:dyDescent="0.3">
      <c r="A20" s="1387"/>
      <c r="B20" s="1401" t="s">
        <v>1362</v>
      </c>
      <c r="C20" s="1422"/>
      <c r="D20" s="1402"/>
      <c r="E20" s="493"/>
      <c r="F20" s="1444"/>
      <c r="G20" s="493"/>
      <c r="H20" s="1445">
        <f>SUM(H16:H19)</f>
        <v>46770.482557499992</v>
      </c>
      <c r="I20" s="1435" t="s">
        <v>1236</v>
      </c>
      <c r="J20" s="1445">
        <f>SUM(J16:J19)</f>
        <v>897.99326510399987</v>
      </c>
      <c r="K20" s="1446" t="s">
        <v>1236</v>
      </c>
      <c r="L20" s="1445">
        <f>SUM(L16:L19)</f>
        <v>25143.811422911996</v>
      </c>
      <c r="M20" s="1438"/>
      <c r="N20" s="1447"/>
      <c r="O20" s="3"/>
      <c r="P20" s="3"/>
      <c r="Q20" s="3"/>
      <c r="R20" s="3"/>
      <c r="S20" s="3"/>
      <c r="T20" s="3"/>
      <c r="U20" s="3"/>
      <c r="V20" s="3"/>
      <c r="W20" s="3"/>
      <c r="X20" s="3"/>
      <c r="Y20" s="3"/>
      <c r="Z20" s="3"/>
    </row>
    <row r="21" spans="1:41" ht="11.25" customHeight="1" x14ac:dyDescent="0.3">
      <c r="A21" s="1387"/>
      <c r="B21" s="1448"/>
      <c r="C21" s="1449"/>
      <c r="D21" s="1412"/>
      <c r="E21" s="1449"/>
      <c r="F21" s="1449"/>
      <c r="G21" s="1449"/>
      <c r="H21" s="1449"/>
      <c r="I21" s="1449"/>
      <c r="J21" s="1449"/>
      <c r="K21" s="1449"/>
      <c r="L21" s="1449"/>
      <c r="M21" s="1449"/>
      <c r="N21" s="1450"/>
      <c r="O21" s="3"/>
      <c r="P21" s="3"/>
      <c r="Q21" s="3"/>
      <c r="R21" s="3"/>
      <c r="S21" s="3"/>
      <c r="T21" s="3"/>
      <c r="U21" s="3"/>
      <c r="V21" s="3"/>
      <c r="W21" s="3"/>
      <c r="X21" s="3"/>
      <c r="Y21" s="3"/>
      <c r="Z21" s="3"/>
    </row>
    <row r="22" spans="1:41" ht="11.25" customHeight="1" x14ac:dyDescent="0.3">
      <c r="A22" s="1387"/>
      <c r="B22" s="1451" t="s">
        <v>1363</v>
      </c>
      <c r="C22" s="1452" t="s">
        <v>1364</v>
      </c>
      <c r="D22" s="1453">
        <f>SUM(D23:D25)</f>
        <v>65043.940984511995</v>
      </c>
      <c r="E22" s="1454"/>
      <c r="F22" s="1455"/>
      <c r="G22" s="1454"/>
      <c r="H22" s="1454"/>
      <c r="I22" s="1454"/>
      <c r="J22" s="1454"/>
      <c r="K22" s="1454"/>
      <c r="L22" s="1454"/>
      <c r="M22" s="1454"/>
      <c r="N22" s="1456"/>
      <c r="O22" s="3"/>
      <c r="P22" s="3"/>
      <c r="Q22" s="3"/>
      <c r="R22" s="3"/>
      <c r="S22" s="3"/>
      <c r="T22" s="3"/>
      <c r="U22" s="3"/>
      <c r="V22" s="3"/>
      <c r="W22" s="3"/>
      <c r="X22" s="3"/>
      <c r="Y22" s="3"/>
      <c r="Z22" s="3"/>
    </row>
    <row r="23" spans="1:41" ht="11.25" customHeight="1" x14ac:dyDescent="0.3">
      <c r="A23" s="1387"/>
      <c r="B23" s="492"/>
      <c r="C23" s="1457" t="s">
        <v>1345</v>
      </c>
      <c r="D23" s="1458">
        <f>N9</f>
        <v>0</v>
      </c>
      <c r="E23" s="602"/>
      <c r="F23" s="602"/>
      <c r="G23" s="602"/>
      <c r="H23" s="602"/>
      <c r="I23" s="602"/>
      <c r="J23" s="602"/>
      <c r="K23" s="602"/>
      <c r="L23" s="602"/>
      <c r="M23" s="602"/>
      <c r="N23" s="1459"/>
      <c r="O23" s="3"/>
      <c r="P23" s="3"/>
      <c r="Q23" s="3"/>
      <c r="R23" s="3"/>
      <c r="S23" s="3"/>
      <c r="T23" s="3"/>
      <c r="U23" s="3"/>
      <c r="V23" s="3"/>
      <c r="W23" s="3"/>
      <c r="X23" s="3"/>
      <c r="Y23" s="3"/>
      <c r="Z23" s="3"/>
    </row>
    <row r="24" spans="1:41" ht="11.25" customHeight="1" x14ac:dyDescent="0.3">
      <c r="A24" s="1387"/>
      <c r="B24" s="492"/>
      <c r="C24" s="1457" t="s">
        <v>1353</v>
      </c>
      <c r="D24" s="1458">
        <f>SUM(L12:L13)</f>
        <v>39900.129561599999</v>
      </c>
      <c r="E24" s="602"/>
      <c r="F24" s="1460"/>
      <c r="G24" s="602"/>
      <c r="H24" s="602"/>
      <c r="I24" s="602"/>
      <c r="J24" s="602"/>
      <c r="K24" s="602"/>
      <c r="L24" s="602"/>
      <c r="M24" s="602"/>
      <c r="N24" s="1459"/>
      <c r="O24" s="3"/>
      <c r="P24" s="3"/>
      <c r="Q24" s="3"/>
      <c r="R24" s="3"/>
      <c r="S24" s="3"/>
      <c r="T24" s="3"/>
      <c r="U24" s="3"/>
      <c r="V24" s="3"/>
      <c r="W24" s="3"/>
      <c r="X24" s="3"/>
      <c r="Y24" s="3"/>
      <c r="Z24" s="3"/>
    </row>
    <row r="25" spans="1:41" ht="11.25" customHeight="1" x14ac:dyDescent="0.3">
      <c r="A25" s="1387"/>
      <c r="B25" s="492"/>
      <c r="C25" s="1457" t="s">
        <v>1356</v>
      </c>
      <c r="D25" s="1458">
        <f>L20</f>
        <v>25143.811422911996</v>
      </c>
      <c r="E25" s="602"/>
      <c r="F25" s="1460"/>
      <c r="G25" s="602"/>
      <c r="H25" s="1460"/>
      <c r="I25" s="602"/>
      <c r="J25" s="602"/>
      <c r="K25" s="602"/>
      <c r="L25" s="602"/>
      <c r="M25" s="602"/>
      <c r="N25" s="1459"/>
      <c r="O25" s="3"/>
      <c r="P25" s="3"/>
      <c r="Q25" s="3"/>
      <c r="R25" s="3"/>
      <c r="S25" s="3"/>
      <c r="T25" s="3"/>
      <c r="U25" s="3"/>
      <c r="V25" s="3"/>
      <c r="W25" s="3"/>
      <c r="X25" s="3"/>
      <c r="Y25" s="3"/>
      <c r="Z25" s="3"/>
    </row>
    <row r="26" spans="1:41" ht="11.25" customHeight="1" x14ac:dyDescent="0.35">
      <c r="A26" s="2"/>
      <c r="B26" s="1461"/>
      <c r="C26" s="1462"/>
      <c r="D26" s="1463"/>
      <c r="E26" s="1463"/>
      <c r="F26" s="1463"/>
      <c r="G26" s="1463"/>
      <c r="H26" s="1463"/>
      <c r="I26" s="1463"/>
      <c r="J26" s="1463"/>
      <c r="K26" s="1463"/>
      <c r="L26" s="1463"/>
      <c r="M26" s="1463"/>
      <c r="N26" s="1464"/>
      <c r="O26" s="3"/>
      <c r="P26" s="3"/>
      <c r="Q26" s="3"/>
      <c r="R26" s="3"/>
      <c r="S26" s="3"/>
      <c r="T26" s="3"/>
      <c r="U26" s="3"/>
      <c r="V26" s="3"/>
      <c r="W26" s="3"/>
      <c r="X26" s="3"/>
      <c r="Y26" s="3"/>
      <c r="Z26" s="3"/>
    </row>
    <row r="27" spans="1:41" ht="11.25" customHeight="1" x14ac:dyDescent="0.35">
      <c r="A27" s="2"/>
      <c r="B27" s="3"/>
      <c r="C27" s="1465"/>
      <c r="D27" s="3"/>
      <c r="E27" s="3"/>
      <c r="F27" s="3"/>
      <c r="G27" s="3"/>
      <c r="H27" s="3"/>
      <c r="I27" s="3"/>
      <c r="J27" s="3"/>
      <c r="K27" s="3"/>
      <c r="L27" s="3"/>
      <c r="M27" s="3"/>
      <c r="N27" s="3"/>
      <c r="O27" s="3"/>
      <c r="P27" s="3"/>
      <c r="Q27" s="3"/>
      <c r="R27" s="3"/>
      <c r="S27" s="3"/>
      <c r="T27" s="3"/>
      <c r="U27" s="3"/>
      <c r="V27" s="3"/>
      <c r="W27" s="3"/>
      <c r="X27" s="3"/>
      <c r="Y27" s="3"/>
      <c r="Z27" s="3"/>
      <c r="AA27" s="140"/>
      <c r="AB27" s="140"/>
      <c r="AC27" s="140"/>
      <c r="AD27" s="140"/>
      <c r="AE27" s="140"/>
      <c r="AF27" s="140"/>
      <c r="AG27" s="140"/>
      <c r="AH27" s="140"/>
      <c r="AI27" s="140"/>
      <c r="AJ27" s="140"/>
      <c r="AK27" s="140"/>
      <c r="AL27" s="140"/>
      <c r="AM27" s="140"/>
      <c r="AN27" s="140"/>
      <c r="AO27" s="140"/>
    </row>
    <row r="28" spans="1:41" ht="11.25" customHeight="1" x14ac:dyDescent="0.35">
      <c r="A28" s="2"/>
      <c r="B28" s="3"/>
      <c r="C28" s="1465"/>
      <c r="D28" s="3"/>
      <c r="E28" s="3"/>
      <c r="F28" s="3"/>
      <c r="G28" s="3"/>
      <c r="H28" s="3"/>
      <c r="I28" s="3"/>
      <c r="J28" s="3"/>
      <c r="K28" s="3"/>
      <c r="L28" s="3"/>
      <c r="M28" s="3"/>
      <c r="N28" s="3"/>
      <c r="O28" s="3"/>
      <c r="P28" s="3"/>
      <c r="Q28" s="3"/>
      <c r="R28" s="3"/>
      <c r="S28" s="3"/>
      <c r="T28" s="3"/>
      <c r="U28" s="3"/>
      <c r="V28" s="3"/>
      <c r="W28" s="3"/>
      <c r="X28" s="3"/>
      <c r="Y28" s="3"/>
      <c r="Z28" s="3"/>
      <c r="AA28" s="140"/>
      <c r="AB28" s="140"/>
      <c r="AC28" s="140"/>
      <c r="AD28" s="140"/>
      <c r="AE28" s="140"/>
      <c r="AF28" s="140"/>
      <c r="AG28" s="140"/>
      <c r="AH28" s="140"/>
      <c r="AI28" s="140"/>
      <c r="AJ28" s="140"/>
      <c r="AK28" s="140"/>
      <c r="AL28" s="140"/>
      <c r="AM28" s="140"/>
      <c r="AN28" s="140"/>
      <c r="AO28" s="140"/>
    </row>
    <row r="29" spans="1:41" ht="23.25" customHeight="1" x14ac:dyDescent="0.35">
      <c r="A29" s="2"/>
      <c r="B29" s="1466" t="s">
        <v>1365</v>
      </c>
      <c r="C29" s="1467"/>
      <c r="D29" s="1467"/>
      <c r="E29" s="3"/>
      <c r="F29" s="3"/>
      <c r="G29" s="3"/>
      <c r="H29" s="3"/>
      <c r="I29" s="3"/>
      <c r="J29" s="3"/>
      <c r="K29" s="3"/>
      <c r="L29" s="3"/>
      <c r="M29" s="3"/>
      <c r="N29" s="3"/>
      <c r="O29" s="3"/>
      <c r="P29" s="3"/>
      <c r="Q29" s="3"/>
      <c r="R29" s="3"/>
      <c r="S29" s="3"/>
      <c r="T29" s="3"/>
      <c r="U29" s="3"/>
      <c r="V29" s="3"/>
      <c r="W29" s="3"/>
      <c r="X29" s="3"/>
      <c r="Y29" s="3"/>
      <c r="Z29" s="3"/>
    </row>
    <row r="30" spans="1:41" ht="39" customHeight="1" x14ac:dyDescent="0.35">
      <c r="A30" s="2"/>
      <c r="B30" s="1468"/>
      <c r="C30" s="1469"/>
      <c r="D30" s="1470" t="s">
        <v>1366</v>
      </c>
      <c r="E30" s="1471"/>
      <c r="F30" s="1472" t="s">
        <v>1367</v>
      </c>
      <c r="G30" s="1469"/>
      <c r="H30" s="1470" t="s">
        <v>1368</v>
      </c>
      <c r="I30" s="1473"/>
      <c r="J30" s="1470" t="s">
        <v>1369</v>
      </c>
      <c r="K30" s="1469"/>
      <c r="L30" s="1470" t="s">
        <v>1370</v>
      </c>
      <c r="M30" s="1469"/>
      <c r="N30" s="1474"/>
      <c r="O30" s="3"/>
      <c r="P30" s="3"/>
      <c r="Q30" s="3"/>
      <c r="R30" s="3"/>
      <c r="S30" s="3"/>
      <c r="T30" s="3"/>
      <c r="U30" s="3"/>
      <c r="V30" s="3"/>
      <c r="W30" s="3"/>
      <c r="X30" s="3"/>
      <c r="Y30" s="3"/>
      <c r="Z30" s="3"/>
    </row>
    <row r="31" spans="1:41" ht="11.25" customHeight="1" x14ac:dyDescent="0.35">
      <c r="A31" s="2"/>
      <c r="B31" s="1475"/>
      <c r="C31" s="1476" t="s">
        <v>1371</v>
      </c>
      <c r="D31" s="1477">
        <v>0.2893143272</v>
      </c>
      <c r="E31" s="493" t="s">
        <v>1235</v>
      </c>
      <c r="F31" s="1478">
        <v>0.125</v>
      </c>
      <c r="G31" s="493" t="s">
        <v>1236</v>
      </c>
      <c r="H31" s="1479">
        <f t="shared" ref="H31:H33" si="0">D31*F31*1000*12/44*21</f>
        <v>207.12275697272727</v>
      </c>
      <c r="I31" s="493" t="s">
        <v>1236</v>
      </c>
      <c r="J31" s="1479">
        <f t="shared" ref="J31:J33" si="1">D31*F31*1000</f>
        <v>36.164290899999997</v>
      </c>
      <c r="K31" s="493" t="s">
        <v>1236</v>
      </c>
      <c r="L31" s="1479">
        <f>D31*F31*1000*Q15</f>
        <v>1012.6001451999999</v>
      </c>
      <c r="M31" s="602"/>
      <c r="N31" s="1480"/>
      <c r="O31" s="3"/>
      <c r="P31" s="3"/>
      <c r="Q31" s="3"/>
      <c r="R31" s="3"/>
      <c r="S31" s="3"/>
      <c r="T31" s="3"/>
      <c r="U31" s="3"/>
      <c r="V31" s="3"/>
      <c r="W31" s="3"/>
      <c r="X31" s="3"/>
      <c r="Y31" s="3"/>
      <c r="Z31" s="3"/>
    </row>
    <row r="32" spans="1:41" ht="11.25" customHeight="1" x14ac:dyDescent="0.35">
      <c r="A32" s="2"/>
      <c r="B32" s="1475"/>
      <c r="C32" s="1476" t="s">
        <v>1372</v>
      </c>
      <c r="D32" s="1477">
        <v>0.2893143272</v>
      </c>
      <c r="E32" s="493" t="s">
        <v>1235</v>
      </c>
      <c r="F32" s="1478">
        <v>0.25</v>
      </c>
      <c r="G32" s="493" t="s">
        <v>1236</v>
      </c>
      <c r="H32" s="1479">
        <f t="shared" si="0"/>
        <v>414.24551394545455</v>
      </c>
      <c r="I32" s="493" t="s">
        <v>1236</v>
      </c>
      <c r="J32" s="1479">
        <f t="shared" si="1"/>
        <v>72.328581799999995</v>
      </c>
      <c r="K32" s="493" t="s">
        <v>1236</v>
      </c>
      <c r="L32" s="1479">
        <f>D32*F32*1000*Q15</f>
        <v>2025.2002903999999</v>
      </c>
      <c r="M32" s="602"/>
      <c r="N32" s="1480"/>
      <c r="O32" s="3"/>
      <c r="P32" s="3"/>
      <c r="Q32" s="3"/>
      <c r="R32" s="3"/>
      <c r="S32" s="3"/>
      <c r="T32" s="3"/>
      <c r="U32" s="3"/>
      <c r="V32" s="3"/>
      <c r="W32" s="3"/>
      <c r="X32" s="3"/>
      <c r="Y32" s="3"/>
      <c r="Z32" s="3"/>
    </row>
    <row r="33" spans="1:26" ht="11.25" customHeight="1" x14ac:dyDescent="0.35">
      <c r="A33" s="2"/>
      <c r="B33" s="1481"/>
      <c r="C33" s="1482" t="s">
        <v>1373</v>
      </c>
      <c r="D33" s="1483">
        <v>0.2893143272</v>
      </c>
      <c r="E33" s="1484" t="s">
        <v>1235</v>
      </c>
      <c r="F33" s="1485">
        <v>0.625</v>
      </c>
      <c r="G33" s="1484" t="s">
        <v>1236</v>
      </c>
      <c r="H33" s="1486">
        <f t="shared" si="0"/>
        <v>1035.6137848636363</v>
      </c>
      <c r="I33" s="1484" t="s">
        <v>1236</v>
      </c>
      <c r="J33" s="1486">
        <f t="shared" si="1"/>
        <v>180.82145450000002</v>
      </c>
      <c r="K33" s="1484" t="s">
        <v>1236</v>
      </c>
      <c r="L33" s="1486">
        <f>D33*F33*1000*Q15</f>
        <v>5063.0007260000002</v>
      </c>
      <c r="M33" s="1487"/>
      <c r="N33" s="1488"/>
      <c r="O33" s="3"/>
      <c r="P33" s="3"/>
      <c r="Q33" s="3"/>
      <c r="R33" s="3"/>
      <c r="S33" s="3"/>
      <c r="T33" s="3"/>
      <c r="U33" s="3"/>
      <c r="V33" s="3"/>
      <c r="W33" s="3"/>
      <c r="X33" s="3"/>
      <c r="Y33" s="3"/>
      <c r="Z33" s="3"/>
    </row>
    <row r="34" spans="1:26" ht="11.25" customHeight="1" x14ac:dyDescent="0.35">
      <c r="A34" s="2"/>
      <c r="B34" s="1489"/>
      <c r="C34" s="1465"/>
      <c r="D34" s="3"/>
      <c r="E34" s="3"/>
      <c r="F34" s="3"/>
      <c r="G34" s="3"/>
      <c r="H34" s="3"/>
      <c r="I34" s="3"/>
      <c r="J34" s="3"/>
      <c r="K34" s="3"/>
      <c r="L34" s="3"/>
      <c r="M34" s="3"/>
      <c r="N34" s="3"/>
      <c r="O34" s="3"/>
      <c r="P34" s="3"/>
      <c r="Q34" s="3"/>
      <c r="R34" s="3"/>
      <c r="S34" s="3"/>
      <c r="T34" s="3"/>
      <c r="U34" s="3"/>
      <c r="V34" s="3"/>
      <c r="W34" s="3"/>
      <c r="X34" s="3"/>
      <c r="Y34" s="3"/>
      <c r="Z34" s="3"/>
    </row>
    <row r="35" spans="1:26" ht="11.25" customHeight="1" x14ac:dyDescent="0.35">
      <c r="A35" s="2"/>
      <c r="B35" s="1489"/>
      <c r="C35" s="1465"/>
      <c r="D35" s="3"/>
      <c r="E35" s="3"/>
      <c r="F35" s="3"/>
      <c r="G35" s="3"/>
      <c r="H35" s="3"/>
      <c r="I35" s="3"/>
      <c r="J35" s="3"/>
      <c r="K35" s="3"/>
      <c r="L35" s="3"/>
      <c r="M35" s="3"/>
      <c r="N35" s="3"/>
      <c r="O35" s="3"/>
      <c r="P35" s="3"/>
      <c r="Q35" s="3"/>
      <c r="R35" s="3"/>
      <c r="S35" s="3"/>
      <c r="T35" s="3"/>
      <c r="U35" s="3"/>
      <c r="V35" s="3"/>
      <c r="W35" s="3"/>
      <c r="X35" s="3"/>
      <c r="Y35" s="3"/>
      <c r="Z35" s="3"/>
    </row>
    <row r="36" spans="1:26" ht="21.75" customHeight="1" x14ac:dyDescent="0.35">
      <c r="A36" s="2"/>
      <c r="B36" s="1490" t="s">
        <v>1374</v>
      </c>
      <c r="C36" s="3"/>
      <c r="D36" s="3"/>
      <c r="E36" s="3"/>
      <c r="F36" s="3"/>
      <c r="G36" s="3"/>
      <c r="H36" s="3"/>
      <c r="I36" s="3"/>
      <c r="J36" s="3"/>
      <c r="K36" s="3"/>
      <c r="L36" s="3"/>
      <c r="M36" s="3"/>
      <c r="N36" s="3"/>
      <c r="O36" s="3"/>
      <c r="P36" s="3"/>
      <c r="Q36" s="3"/>
      <c r="R36" s="3"/>
      <c r="S36" s="3"/>
      <c r="T36" s="3"/>
      <c r="U36" s="3"/>
      <c r="V36" s="3"/>
      <c r="W36" s="3"/>
      <c r="X36" s="3"/>
      <c r="Y36" s="3"/>
      <c r="Z36" s="3"/>
    </row>
    <row r="37" spans="1:26" ht="17.25" customHeight="1" x14ac:dyDescent="0.35">
      <c r="A37" s="2"/>
      <c r="B37" s="1491" t="s">
        <v>1375</v>
      </c>
      <c r="C37" s="1492"/>
      <c r="D37" s="3"/>
      <c r="E37" s="3"/>
      <c r="F37" s="3"/>
      <c r="G37" s="3"/>
      <c r="H37" s="3"/>
      <c r="I37" s="3"/>
      <c r="J37" s="3"/>
      <c r="K37" s="3"/>
      <c r="L37" s="3"/>
      <c r="M37" s="3"/>
      <c r="N37" s="3"/>
      <c r="O37" s="3"/>
      <c r="P37" s="3"/>
      <c r="Q37" s="3"/>
      <c r="R37" s="3"/>
      <c r="S37" s="3"/>
      <c r="T37" s="3"/>
      <c r="U37" s="3"/>
      <c r="V37" s="3"/>
      <c r="W37" s="3"/>
      <c r="X37" s="3"/>
      <c r="Y37" s="3"/>
      <c r="Z37" s="3"/>
    </row>
    <row r="38" spans="1:26" ht="11.25" customHeight="1" x14ac:dyDescent="0.35">
      <c r="A38" s="2"/>
      <c r="B38" s="1493"/>
      <c r="C38" s="1493">
        <v>2020</v>
      </c>
      <c r="D38" s="3"/>
      <c r="E38" s="3"/>
      <c r="F38" s="3"/>
      <c r="G38" s="3"/>
      <c r="H38" s="3"/>
      <c r="I38" s="3"/>
      <c r="J38" s="3"/>
      <c r="K38" s="3"/>
      <c r="L38" s="3"/>
      <c r="M38" s="3"/>
      <c r="N38" s="3"/>
      <c r="O38" s="3"/>
      <c r="P38" s="3"/>
      <c r="Q38" s="3"/>
      <c r="R38" s="3"/>
      <c r="S38" s="3"/>
      <c r="T38" s="3"/>
      <c r="U38" s="3"/>
      <c r="V38" s="3"/>
      <c r="W38" s="3"/>
      <c r="X38" s="3"/>
      <c r="Y38" s="3"/>
      <c r="Z38" s="3"/>
    </row>
    <row r="39" spans="1:26" ht="11.25" customHeight="1" x14ac:dyDescent="0.35">
      <c r="A39" s="2"/>
      <c r="B39" s="1494" t="s">
        <v>1376</v>
      </c>
      <c r="C39" s="1495">
        <f>D22/1000000</f>
        <v>6.5043940984511994E-2</v>
      </c>
      <c r="D39" s="9"/>
      <c r="E39" s="3"/>
      <c r="F39" s="3"/>
      <c r="G39" s="3"/>
      <c r="H39" s="3"/>
      <c r="I39" s="3"/>
      <c r="J39" s="3"/>
      <c r="K39" s="3"/>
      <c r="L39" s="3"/>
      <c r="M39" s="3"/>
      <c r="N39" s="3"/>
      <c r="O39" s="3"/>
      <c r="P39" s="3"/>
      <c r="Q39" s="3"/>
      <c r="R39" s="3"/>
      <c r="S39" s="3"/>
      <c r="T39" s="3"/>
      <c r="U39" s="3"/>
      <c r="V39" s="3"/>
      <c r="W39" s="3"/>
      <c r="X39" s="3"/>
      <c r="Y39" s="3"/>
      <c r="Z39" s="3"/>
    </row>
    <row r="40" spans="1:26" ht="11.25" customHeight="1" x14ac:dyDescent="0.35">
      <c r="A40" s="2"/>
      <c r="B40" s="1494" t="s">
        <v>1377</v>
      </c>
      <c r="C40" s="1495">
        <f>SUM(C41:C43)</f>
        <v>8.1008011616000002E-3</v>
      </c>
      <c r="D40" s="1496"/>
      <c r="E40" s="3"/>
      <c r="F40" s="3"/>
      <c r="G40" s="3"/>
      <c r="H40" s="3"/>
      <c r="I40" s="3"/>
      <c r="J40" s="3"/>
      <c r="K40" s="3"/>
      <c r="L40" s="3"/>
      <c r="M40" s="3"/>
      <c r="N40" s="3"/>
      <c r="O40" s="3"/>
      <c r="P40" s="3"/>
      <c r="Q40" s="3"/>
      <c r="R40" s="3"/>
      <c r="S40" s="3"/>
      <c r="T40" s="3"/>
      <c r="U40" s="3"/>
      <c r="V40" s="3"/>
      <c r="W40" s="3"/>
      <c r="X40" s="3"/>
      <c r="Y40" s="3"/>
      <c r="Z40" s="3"/>
    </row>
    <row r="41" spans="1:26" ht="11.25" customHeight="1" x14ac:dyDescent="0.35">
      <c r="A41" s="2"/>
      <c r="B41" s="1497" t="s">
        <v>1378</v>
      </c>
      <c r="C41" s="1495">
        <f t="shared" ref="C41:C43" si="2">L31/1000000</f>
        <v>1.0126001452E-3</v>
      </c>
      <c r="D41" s="1496"/>
      <c r="E41" s="3"/>
      <c r="F41" s="3"/>
      <c r="G41" s="3"/>
      <c r="H41" s="3"/>
      <c r="I41" s="3"/>
      <c r="J41" s="3"/>
      <c r="K41" s="3"/>
      <c r="L41" s="3"/>
      <c r="M41" s="3"/>
      <c r="N41" s="3"/>
      <c r="O41" s="3"/>
      <c r="P41" s="3"/>
      <c r="Q41" s="3"/>
      <c r="R41" s="3"/>
      <c r="S41" s="3"/>
      <c r="T41" s="3"/>
      <c r="U41" s="3"/>
      <c r="V41" s="3"/>
      <c r="W41" s="3"/>
      <c r="X41" s="3"/>
      <c r="Y41" s="3"/>
      <c r="Z41" s="3"/>
    </row>
    <row r="42" spans="1:26" ht="11.25" customHeight="1" x14ac:dyDescent="0.35">
      <c r="A42" s="2"/>
      <c r="B42" s="1497" t="s">
        <v>1379</v>
      </c>
      <c r="C42" s="1495">
        <f t="shared" si="2"/>
        <v>2.0252002904000001E-3</v>
      </c>
      <c r="D42" s="1496"/>
      <c r="E42" s="3"/>
      <c r="F42" s="3"/>
      <c r="G42" s="3"/>
      <c r="H42" s="3"/>
      <c r="I42" s="3"/>
      <c r="J42" s="3"/>
      <c r="K42" s="3"/>
      <c r="L42" s="3"/>
      <c r="M42" s="3"/>
      <c r="N42" s="3"/>
      <c r="O42" s="3"/>
      <c r="P42" s="3"/>
      <c r="Q42" s="3"/>
      <c r="R42" s="3"/>
      <c r="S42" s="3"/>
      <c r="T42" s="3"/>
      <c r="U42" s="3"/>
      <c r="V42" s="3"/>
      <c r="W42" s="3"/>
      <c r="X42" s="3"/>
      <c r="Y42" s="3"/>
      <c r="Z42" s="3"/>
    </row>
    <row r="43" spans="1:26" ht="11.25" customHeight="1" x14ac:dyDescent="0.35">
      <c r="A43" s="2"/>
      <c r="B43" s="1497" t="s">
        <v>1380</v>
      </c>
      <c r="C43" s="1495">
        <f t="shared" si="2"/>
        <v>5.0630007260000004E-3</v>
      </c>
      <c r="D43" s="1496"/>
      <c r="E43" s="3"/>
      <c r="F43" s="3"/>
      <c r="G43" s="3"/>
      <c r="H43" s="3"/>
      <c r="I43" s="3"/>
      <c r="J43" s="3"/>
      <c r="K43" s="3"/>
      <c r="L43" s="3"/>
      <c r="M43" s="3"/>
      <c r="N43" s="3"/>
      <c r="O43" s="3"/>
      <c r="P43" s="3"/>
      <c r="Q43" s="3"/>
      <c r="R43" s="3"/>
      <c r="S43" s="3"/>
      <c r="T43" s="3"/>
      <c r="U43" s="3"/>
      <c r="V43" s="3"/>
      <c r="W43" s="3"/>
      <c r="X43" s="3"/>
      <c r="Y43" s="3"/>
      <c r="Z43" s="3"/>
    </row>
    <row r="44" spans="1:26" ht="11.25" customHeight="1" x14ac:dyDescent="0.35">
      <c r="A44" s="2"/>
      <c r="B44" s="1498"/>
      <c r="C44" s="1499"/>
      <c r="D44" s="3"/>
      <c r="E44" s="3"/>
      <c r="F44" s="3"/>
      <c r="G44" s="3"/>
      <c r="H44" s="3"/>
      <c r="I44" s="3"/>
      <c r="J44" s="3"/>
      <c r="K44" s="3"/>
      <c r="L44" s="3"/>
      <c r="M44" s="3"/>
      <c r="N44" s="3"/>
      <c r="O44" s="3"/>
      <c r="P44" s="3"/>
      <c r="Q44" s="3"/>
      <c r="R44" s="3"/>
      <c r="S44" s="3"/>
      <c r="T44" s="3"/>
      <c r="U44" s="3"/>
      <c r="V44" s="3"/>
      <c r="W44" s="3"/>
      <c r="X44" s="3"/>
      <c r="Y44" s="3"/>
      <c r="Z44" s="3"/>
    </row>
    <row r="45" spans="1:26" ht="11.25" customHeight="1" x14ac:dyDescent="0.35">
      <c r="A45" s="2"/>
      <c r="B45" s="1489"/>
      <c r="C45" s="1465"/>
      <c r="D45" s="3"/>
      <c r="E45" s="3"/>
      <c r="F45" s="3"/>
      <c r="G45" s="3"/>
      <c r="H45" s="3"/>
      <c r="I45" s="3"/>
      <c r="J45" s="3"/>
      <c r="K45" s="3"/>
      <c r="L45" s="3"/>
      <c r="M45" s="3"/>
      <c r="N45" s="3"/>
      <c r="O45" s="3"/>
      <c r="P45" s="3"/>
      <c r="Q45" s="3"/>
      <c r="R45" s="3"/>
      <c r="S45" s="3"/>
      <c r="T45" s="3"/>
      <c r="U45" s="3"/>
      <c r="V45" s="3"/>
      <c r="W45" s="3"/>
      <c r="X45" s="3"/>
      <c r="Y45" s="3"/>
      <c r="Z45" s="3"/>
    </row>
    <row r="46" spans="1:26" ht="11.25" customHeight="1" x14ac:dyDescent="0.35">
      <c r="A46" s="2"/>
      <c r="B46" s="1489"/>
      <c r="C46" s="1465"/>
      <c r="D46" s="3"/>
      <c r="E46" s="3"/>
      <c r="F46" s="3"/>
      <c r="G46" s="3"/>
      <c r="H46" s="3"/>
      <c r="I46" s="3"/>
      <c r="J46" s="3"/>
      <c r="K46" s="3"/>
      <c r="L46" s="3"/>
      <c r="M46" s="3"/>
      <c r="N46" s="3"/>
      <c r="O46" s="3"/>
      <c r="P46" s="3"/>
      <c r="Q46" s="3"/>
      <c r="R46" s="3"/>
      <c r="S46" s="3"/>
      <c r="T46" s="3"/>
      <c r="U46" s="3"/>
      <c r="V46" s="3"/>
      <c r="W46" s="3"/>
      <c r="X46" s="3"/>
      <c r="Y46" s="3"/>
      <c r="Z46" s="3"/>
    </row>
    <row r="47" spans="1:26" ht="11.25" customHeight="1" x14ac:dyDescent="0.25">
      <c r="A47" s="3"/>
      <c r="B47" s="1491" t="s">
        <v>1381</v>
      </c>
      <c r="C47" s="1492"/>
      <c r="D47" s="3"/>
      <c r="E47" s="3"/>
      <c r="F47" s="3"/>
      <c r="G47" s="3"/>
      <c r="H47" s="3"/>
      <c r="I47" s="3"/>
      <c r="J47" s="3"/>
      <c r="K47" s="3"/>
      <c r="L47" s="3"/>
      <c r="M47" s="3"/>
      <c r="N47" s="3"/>
      <c r="O47" s="3"/>
      <c r="P47" s="3"/>
      <c r="Q47" s="3"/>
      <c r="R47" s="3"/>
      <c r="S47" s="3"/>
      <c r="T47" s="3"/>
      <c r="U47" s="3"/>
      <c r="V47" s="3"/>
      <c r="W47" s="3"/>
      <c r="X47" s="3"/>
      <c r="Y47" s="3"/>
      <c r="Z47" s="3"/>
    </row>
    <row r="48" spans="1:26" ht="11.25" customHeight="1" x14ac:dyDescent="0.2">
      <c r="A48" s="3"/>
      <c r="B48" s="1500"/>
      <c r="C48" s="1501">
        <v>2020</v>
      </c>
      <c r="D48" s="3"/>
      <c r="E48" s="3"/>
      <c r="F48" s="3"/>
      <c r="G48" s="3"/>
      <c r="H48" s="3"/>
      <c r="I48" s="3"/>
      <c r="J48" s="3"/>
      <c r="K48" s="3"/>
      <c r="L48" s="3"/>
      <c r="M48" s="3"/>
      <c r="N48" s="3"/>
      <c r="O48" s="3"/>
      <c r="P48" s="3"/>
      <c r="Q48" s="3"/>
      <c r="R48" s="3"/>
      <c r="S48" s="3"/>
      <c r="T48" s="3"/>
      <c r="U48" s="3"/>
      <c r="V48" s="3"/>
      <c r="W48" s="3"/>
      <c r="X48" s="3"/>
      <c r="Y48" s="3"/>
      <c r="Z48" s="3"/>
    </row>
    <row r="49" spans="1:26" ht="11.25" customHeight="1" x14ac:dyDescent="0.2">
      <c r="A49" s="3"/>
      <c r="B49" s="1502" t="s">
        <v>1376</v>
      </c>
      <c r="C49" s="1503">
        <f>D22</f>
        <v>65043.940984511995</v>
      </c>
      <c r="D49" s="3"/>
      <c r="E49" s="3"/>
      <c r="F49" s="3"/>
      <c r="G49" s="3"/>
      <c r="H49" s="3"/>
      <c r="I49" s="3"/>
      <c r="J49" s="3"/>
      <c r="K49" s="3"/>
      <c r="L49" s="3"/>
      <c r="M49" s="3"/>
      <c r="N49" s="3"/>
      <c r="O49" s="3"/>
      <c r="P49" s="3"/>
      <c r="Q49" s="3"/>
      <c r="R49" s="3"/>
      <c r="S49" s="3"/>
      <c r="T49" s="3"/>
      <c r="U49" s="3"/>
      <c r="V49" s="3"/>
      <c r="W49" s="3"/>
      <c r="X49" s="3"/>
      <c r="Y49" s="3"/>
      <c r="Z49" s="3"/>
    </row>
    <row r="50" spans="1:26" ht="11.25" customHeight="1" x14ac:dyDescent="0.2">
      <c r="A50" s="3"/>
      <c r="B50" s="1502" t="s">
        <v>1377</v>
      </c>
      <c r="C50" s="1503">
        <f>SUM(C51:C53)</f>
        <v>8100.8011616000003</v>
      </c>
      <c r="D50" s="3"/>
      <c r="E50" s="3"/>
      <c r="F50" s="3"/>
      <c r="G50" s="3"/>
      <c r="H50" s="3"/>
      <c r="I50" s="3"/>
      <c r="J50" s="3"/>
      <c r="K50" s="3"/>
      <c r="L50" s="3"/>
      <c r="M50" s="3"/>
      <c r="N50" s="3"/>
      <c r="O50" s="3"/>
      <c r="P50" s="3"/>
      <c r="Q50" s="3"/>
      <c r="R50" s="3"/>
      <c r="S50" s="3"/>
      <c r="T50" s="3"/>
      <c r="U50" s="3"/>
      <c r="V50" s="3"/>
      <c r="W50" s="3"/>
      <c r="X50" s="3"/>
      <c r="Y50" s="3"/>
      <c r="Z50" s="3"/>
    </row>
    <row r="51" spans="1:26" ht="11.25" customHeight="1" x14ac:dyDescent="0.2">
      <c r="A51" s="3"/>
      <c r="B51" s="1504" t="s">
        <v>1371</v>
      </c>
      <c r="C51" s="1503">
        <f t="shared" ref="C51:C53" si="3">L31</f>
        <v>1012.6001451999999</v>
      </c>
      <c r="D51" s="3"/>
      <c r="E51" s="3"/>
      <c r="F51" s="3"/>
      <c r="G51" s="3"/>
      <c r="H51" s="3"/>
      <c r="I51" s="3"/>
      <c r="J51" s="3"/>
      <c r="K51" s="3"/>
      <c r="L51" s="3"/>
      <c r="M51" s="3"/>
      <c r="N51" s="3"/>
      <c r="O51" s="3"/>
      <c r="P51" s="3"/>
      <c r="Q51" s="3"/>
      <c r="R51" s="3"/>
      <c r="S51" s="3"/>
      <c r="T51" s="3"/>
      <c r="U51" s="3"/>
      <c r="V51" s="3"/>
      <c r="W51" s="3"/>
      <c r="X51" s="3"/>
      <c r="Y51" s="3"/>
      <c r="Z51" s="3"/>
    </row>
    <row r="52" spans="1:26" ht="11.25" customHeight="1" x14ac:dyDescent="0.2">
      <c r="A52" s="3"/>
      <c r="B52" s="1504" t="s">
        <v>1372</v>
      </c>
      <c r="C52" s="1503">
        <f t="shared" si="3"/>
        <v>2025.2002903999999</v>
      </c>
      <c r="D52" s="3"/>
      <c r="E52" s="3"/>
      <c r="F52" s="3"/>
      <c r="G52" s="3"/>
      <c r="H52" s="3"/>
      <c r="I52" s="3"/>
      <c r="J52" s="3"/>
      <c r="K52" s="3"/>
      <c r="L52" s="3"/>
      <c r="M52" s="3"/>
      <c r="N52" s="3"/>
      <c r="O52" s="3"/>
      <c r="P52" s="3"/>
      <c r="Q52" s="3"/>
      <c r="R52" s="3"/>
      <c r="S52" s="3"/>
      <c r="T52" s="3"/>
      <c r="U52" s="3"/>
      <c r="V52" s="3"/>
      <c r="W52" s="3"/>
      <c r="X52" s="3"/>
      <c r="Y52" s="3"/>
      <c r="Z52" s="3"/>
    </row>
    <row r="53" spans="1:26" ht="11.25" customHeight="1" x14ac:dyDescent="0.2">
      <c r="A53" s="3"/>
      <c r="B53" s="1504" t="s">
        <v>1373</v>
      </c>
      <c r="C53" s="1503">
        <f t="shared" si="3"/>
        <v>5063.0007260000002</v>
      </c>
      <c r="D53" s="3"/>
      <c r="E53" s="3"/>
      <c r="F53" s="3"/>
      <c r="G53" s="3"/>
      <c r="H53" s="3"/>
      <c r="I53" s="3"/>
      <c r="J53" s="3"/>
      <c r="K53" s="3"/>
      <c r="L53" s="3"/>
      <c r="M53" s="3"/>
      <c r="N53" s="3"/>
      <c r="O53" s="3"/>
      <c r="P53" s="3"/>
      <c r="Q53" s="3"/>
      <c r="R53" s="3"/>
      <c r="S53" s="3"/>
      <c r="T53" s="3"/>
      <c r="U53" s="3"/>
      <c r="V53" s="3"/>
      <c r="W53" s="3"/>
      <c r="X53" s="3"/>
      <c r="Y53" s="3"/>
      <c r="Z53" s="3"/>
    </row>
    <row r="54" spans="1:26" ht="11.25" customHeight="1" x14ac:dyDescent="0.2">
      <c r="A54" s="3"/>
      <c r="B54" s="1505"/>
      <c r="C54" s="1506"/>
      <c r="D54" s="3"/>
      <c r="E54" s="3"/>
      <c r="F54" s="3"/>
      <c r="G54" s="3"/>
      <c r="H54" s="3"/>
      <c r="I54" s="3"/>
      <c r="J54" s="3"/>
      <c r="K54" s="3"/>
      <c r="L54" s="3"/>
      <c r="M54" s="3"/>
      <c r="N54" s="3"/>
      <c r="O54" s="3"/>
      <c r="P54" s="3"/>
      <c r="Q54" s="3"/>
      <c r="R54" s="3"/>
      <c r="S54" s="3"/>
      <c r="T54" s="3"/>
      <c r="U54" s="3"/>
      <c r="V54" s="3"/>
      <c r="W54" s="3"/>
      <c r="X54" s="3"/>
      <c r="Y54" s="3"/>
      <c r="Z54" s="3"/>
    </row>
    <row r="55" spans="1:26" ht="11.25" customHeight="1" x14ac:dyDescent="0.2">
      <c r="A55" s="3"/>
      <c r="B55" s="1491" t="s">
        <v>1382</v>
      </c>
      <c r="C55" s="1507">
        <v>2020</v>
      </c>
      <c r="D55" s="3"/>
      <c r="E55" s="3"/>
      <c r="F55" s="3"/>
      <c r="G55" s="3"/>
      <c r="H55" s="3"/>
      <c r="I55" s="3"/>
      <c r="J55" s="3"/>
      <c r="K55" s="3"/>
      <c r="L55" s="3"/>
      <c r="M55" s="3"/>
      <c r="N55" s="3"/>
      <c r="O55" s="3"/>
      <c r="P55" s="3"/>
      <c r="Q55" s="3"/>
      <c r="R55" s="3"/>
      <c r="S55" s="3"/>
      <c r="T55" s="3"/>
      <c r="U55" s="3"/>
      <c r="V55" s="3"/>
      <c r="W55" s="3"/>
      <c r="X55" s="3"/>
      <c r="Y55" s="3"/>
      <c r="Z55" s="3"/>
    </row>
    <row r="56" spans="1:26" ht="11.25" customHeight="1" x14ac:dyDescent="0.2">
      <c r="A56" s="3"/>
      <c r="B56" s="1502" t="s">
        <v>1376</v>
      </c>
      <c r="C56" s="1503">
        <f>C49*12/44</f>
        <v>17739.256632139637</v>
      </c>
      <c r="D56" s="557"/>
      <c r="E56" s="3"/>
      <c r="F56" s="3"/>
      <c r="G56" s="3"/>
      <c r="H56" s="3"/>
      <c r="I56" s="3"/>
      <c r="J56" s="3"/>
      <c r="K56" s="3"/>
      <c r="L56" s="3"/>
      <c r="M56" s="3"/>
      <c r="N56" s="3"/>
      <c r="O56" s="3"/>
      <c r="P56" s="3"/>
      <c r="Q56" s="3"/>
      <c r="R56" s="3"/>
      <c r="S56" s="3"/>
      <c r="T56" s="3"/>
      <c r="U56" s="3"/>
      <c r="V56" s="3"/>
      <c r="W56" s="3"/>
      <c r="X56" s="3"/>
      <c r="Y56" s="3"/>
      <c r="Z56" s="3"/>
    </row>
    <row r="57" spans="1:26" ht="11.25" customHeight="1" x14ac:dyDescent="0.2">
      <c r="A57" s="3"/>
      <c r="B57" s="1502" t="s">
        <v>1377</v>
      </c>
      <c r="C57" s="1503">
        <f>SUM(C58:C60)</f>
        <v>1656.982055781818</v>
      </c>
      <c r="D57" s="3"/>
      <c r="E57" s="3"/>
      <c r="F57" s="3"/>
      <c r="G57" s="3"/>
      <c r="H57" s="3"/>
      <c r="I57" s="3"/>
      <c r="J57" s="3"/>
      <c r="K57" s="3"/>
      <c r="L57" s="3"/>
      <c r="M57" s="3"/>
      <c r="N57" s="3"/>
      <c r="O57" s="3"/>
      <c r="P57" s="3"/>
      <c r="Q57" s="3"/>
      <c r="R57" s="3"/>
      <c r="S57" s="3"/>
      <c r="T57" s="3"/>
      <c r="U57" s="3"/>
      <c r="V57" s="3"/>
      <c r="W57" s="3"/>
      <c r="X57" s="3"/>
      <c r="Y57" s="3"/>
      <c r="Z57" s="3"/>
    </row>
    <row r="58" spans="1:26" ht="11.25" customHeight="1" x14ac:dyDescent="0.2">
      <c r="A58" s="3"/>
      <c r="B58" s="1504" t="s">
        <v>1371</v>
      </c>
      <c r="C58" s="1503">
        <f t="shared" ref="C58:C60" si="4">H31</f>
        <v>207.12275697272727</v>
      </c>
      <c r="D58" s="557"/>
      <c r="E58" s="3"/>
      <c r="F58" s="3"/>
      <c r="G58" s="3"/>
      <c r="H58" s="3"/>
      <c r="I58" s="3"/>
      <c r="J58" s="3"/>
      <c r="K58" s="3"/>
      <c r="L58" s="3"/>
      <c r="M58" s="3"/>
      <c r="N58" s="3"/>
      <c r="O58" s="3"/>
      <c r="P58" s="3"/>
      <c r="Q58" s="3"/>
      <c r="R58" s="3"/>
      <c r="S58" s="3"/>
      <c r="T58" s="3"/>
      <c r="U58" s="3"/>
      <c r="V58" s="3"/>
      <c r="W58" s="3"/>
      <c r="X58" s="3"/>
      <c r="Y58" s="3"/>
      <c r="Z58" s="3"/>
    </row>
    <row r="59" spans="1:26" ht="11.25" customHeight="1" x14ac:dyDescent="0.2">
      <c r="A59" s="3"/>
      <c r="B59" s="1504" t="s">
        <v>1372</v>
      </c>
      <c r="C59" s="1503">
        <f t="shared" si="4"/>
        <v>414.24551394545455</v>
      </c>
      <c r="D59" s="557"/>
      <c r="E59" s="3"/>
      <c r="F59" s="3"/>
      <c r="G59" s="3"/>
      <c r="H59" s="3"/>
      <c r="I59" s="3"/>
      <c r="J59" s="3"/>
      <c r="K59" s="3"/>
      <c r="L59" s="3"/>
      <c r="M59" s="3"/>
      <c r="N59" s="3"/>
      <c r="O59" s="3"/>
      <c r="P59" s="3"/>
      <c r="Q59" s="3"/>
      <c r="R59" s="3"/>
      <c r="S59" s="3"/>
      <c r="T59" s="3"/>
      <c r="U59" s="3"/>
      <c r="V59" s="3"/>
      <c r="W59" s="3"/>
      <c r="X59" s="3"/>
      <c r="Y59" s="3"/>
      <c r="Z59" s="3"/>
    </row>
    <row r="60" spans="1:26" ht="11.25" customHeight="1" x14ac:dyDescent="0.2">
      <c r="A60" s="3"/>
      <c r="B60" s="1504" t="s">
        <v>1373</v>
      </c>
      <c r="C60" s="1503">
        <f t="shared" si="4"/>
        <v>1035.6137848636363</v>
      </c>
      <c r="D60" s="557"/>
      <c r="E60" s="3"/>
      <c r="F60" s="3"/>
      <c r="G60" s="3"/>
      <c r="H60" s="3"/>
      <c r="I60" s="3"/>
      <c r="J60" s="3"/>
      <c r="K60" s="3"/>
      <c r="L60" s="3"/>
      <c r="M60" s="3"/>
      <c r="N60" s="3"/>
      <c r="O60" s="3"/>
      <c r="P60" s="3"/>
      <c r="Q60" s="3"/>
      <c r="R60" s="3"/>
      <c r="S60" s="3"/>
      <c r="T60" s="3"/>
      <c r="U60" s="3"/>
      <c r="V60" s="3"/>
      <c r="W60" s="3"/>
      <c r="X60" s="3"/>
      <c r="Y60" s="3"/>
      <c r="Z60" s="3"/>
    </row>
    <row r="61" spans="1:26" ht="11.25" customHeight="1" x14ac:dyDescent="0.2">
      <c r="A61" s="3"/>
      <c r="B61" s="1505"/>
      <c r="C61" s="1506"/>
      <c r="D61" s="3"/>
      <c r="E61" s="3"/>
      <c r="F61" s="3"/>
      <c r="G61" s="3"/>
      <c r="H61" s="3"/>
      <c r="I61" s="3"/>
      <c r="J61" s="3"/>
      <c r="K61" s="3"/>
      <c r="L61" s="3"/>
      <c r="M61" s="3"/>
      <c r="N61" s="3"/>
      <c r="O61" s="3"/>
      <c r="P61" s="3"/>
      <c r="Q61" s="3"/>
      <c r="R61" s="3"/>
      <c r="S61" s="3"/>
      <c r="T61" s="3"/>
      <c r="U61" s="3"/>
      <c r="V61" s="3"/>
      <c r="W61" s="3"/>
      <c r="X61" s="3"/>
      <c r="Y61" s="3"/>
      <c r="Z61" s="3"/>
    </row>
    <row r="62" spans="1:26" ht="11.25" customHeight="1" x14ac:dyDescent="0.25">
      <c r="A62" s="3"/>
      <c r="B62" s="1491" t="s">
        <v>1383</v>
      </c>
      <c r="C62" s="1507">
        <v>2020</v>
      </c>
      <c r="D62" s="3"/>
      <c r="E62" s="3"/>
      <c r="F62" s="3"/>
      <c r="G62" s="3"/>
      <c r="H62" s="3"/>
      <c r="I62" s="3"/>
      <c r="J62" s="3"/>
      <c r="K62" s="3"/>
      <c r="L62" s="3"/>
      <c r="M62" s="3"/>
      <c r="N62" s="3"/>
      <c r="O62" s="3"/>
      <c r="P62" s="3"/>
      <c r="Q62" s="3"/>
      <c r="R62" s="3"/>
      <c r="S62" s="3"/>
      <c r="T62" s="3"/>
      <c r="U62" s="3"/>
      <c r="V62" s="3"/>
      <c r="W62" s="3"/>
      <c r="X62" s="3"/>
      <c r="Y62" s="3"/>
      <c r="Z62" s="3"/>
    </row>
    <row r="63" spans="1:26" ht="11.25" customHeight="1" x14ac:dyDescent="0.2">
      <c r="A63" s="3"/>
      <c r="B63" s="1502" t="s">
        <v>1376</v>
      </c>
      <c r="C63" s="1503">
        <f>C49/21</f>
        <v>3097.3305230719998</v>
      </c>
      <c r="D63" s="3"/>
      <c r="E63" s="3"/>
      <c r="F63" s="3"/>
      <c r="G63" s="3"/>
      <c r="H63" s="3"/>
      <c r="I63" s="3"/>
      <c r="J63" s="3"/>
      <c r="K63" s="3"/>
      <c r="L63" s="3"/>
      <c r="M63" s="3"/>
      <c r="N63" s="3"/>
      <c r="O63" s="3"/>
      <c r="P63" s="3"/>
      <c r="Q63" s="3"/>
      <c r="R63" s="3"/>
      <c r="S63" s="3"/>
      <c r="T63" s="3"/>
      <c r="U63" s="3"/>
      <c r="V63" s="3"/>
      <c r="W63" s="3"/>
      <c r="X63" s="3"/>
      <c r="Y63" s="3"/>
      <c r="Z63" s="3"/>
    </row>
    <row r="64" spans="1:26" ht="11.25" customHeight="1" x14ac:dyDescent="0.2">
      <c r="A64" s="3"/>
      <c r="B64" s="1502" t="s">
        <v>1377</v>
      </c>
      <c r="C64" s="1503">
        <f>SUM(C65:C67)</f>
        <v>289.31432719999998</v>
      </c>
      <c r="D64" s="3"/>
      <c r="E64" s="3"/>
      <c r="F64" s="3"/>
      <c r="G64" s="3"/>
      <c r="H64" s="3"/>
      <c r="I64" s="3"/>
      <c r="J64" s="3"/>
      <c r="K64" s="3"/>
      <c r="L64" s="3"/>
      <c r="M64" s="3"/>
      <c r="N64" s="3"/>
      <c r="O64" s="3"/>
      <c r="P64" s="3"/>
      <c r="Q64" s="3"/>
      <c r="R64" s="3"/>
      <c r="S64" s="3"/>
      <c r="T64" s="3"/>
      <c r="U64" s="3"/>
      <c r="V64" s="3"/>
      <c r="W64" s="3"/>
      <c r="X64" s="3"/>
      <c r="Y64" s="3"/>
      <c r="Z64" s="3"/>
    </row>
    <row r="65" spans="1:26" ht="11.25" customHeight="1" x14ac:dyDescent="0.2">
      <c r="A65" s="3"/>
      <c r="B65" s="1504" t="s">
        <v>1371</v>
      </c>
      <c r="C65" s="1503">
        <f t="shared" ref="C65:C67" si="5">J31</f>
        <v>36.164290899999997</v>
      </c>
      <c r="D65" s="557"/>
      <c r="E65" s="3"/>
      <c r="F65" s="3"/>
      <c r="G65" s="3"/>
      <c r="H65" s="3"/>
      <c r="I65" s="3"/>
      <c r="J65" s="3"/>
      <c r="K65" s="3"/>
      <c r="L65" s="3"/>
      <c r="M65" s="3"/>
      <c r="N65" s="3"/>
      <c r="O65" s="3"/>
      <c r="P65" s="3"/>
      <c r="Q65" s="3"/>
      <c r="R65" s="3"/>
      <c r="S65" s="3"/>
      <c r="T65" s="3"/>
      <c r="U65" s="3"/>
      <c r="V65" s="3"/>
      <c r="W65" s="3"/>
      <c r="X65" s="3"/>
      <c r="Y65" s="3"/>
      <c r="Z65" s="3"/>
    </row>
    <row r="66" spans="1:26" ht="11.25" customHeight="1" x14ac:dyDescent="0.2">
      <c r="A66" s="3"/>
      <c r="B66" s="1504" t="s">
        <v>1372</v>
      </c>
      <c r="C66" s="1503">
        <f t="shared" si="5"/>
        <v>72.328581799999995</v>
      </c>
      <c r="D66" s="3"/>
      <c r="E66" s="3"/>
      <c r="F66" s="3"/>
      <c r="G66" s="3"/>
      <c r="H66" s="3"/>
      <c r="I66" s="3"/>
      <c r="J66" s="3"/>
      <c r="K66" s="3"/>
      <c r="L66" s="3"/>
      <c r="M66" s="3"/>
      <c r="N66" s="3"/>
      <c r="O66" s="3"/>
      <c r="P66" s="3"/>
      <c r="Q66" s="3"/>
      <c r="R66" s="3"/>
      <c r="S66" s="3"/>
      <c r="T66" s="3"/>
      <c r="U66" s="3"/>
      <c r="V66" s="3"/>
      <c r="W66" s="3"/>
      <c r="X66" s="3"/>
      <c r="Y66" s="3"/>
      <c r="Z66" s="3"/>
    </row>
    <row r="67" spans="1:26" ht="11.25" customHeight="1" x14ac:dyDescent="0.2">
      <c r="A67" s="3"/>
      <c r="B67" s="1508" t="s">
        <v>1373</v>
      </c>
      <c r="C67" s="1506">
        <f t="shared" si="5"/>
        <v>180.82145450000002</v>
      </c>
      <c r="D67" s="3"/>
      <c r="E67" s="3"/>
      <c r="F67" s="3"/>
      <c r="G67" s="3"/>
      <c r="H67" s="3"/>
      <c r="I67" s="3"/>
      <c r="J67" s="3"/>
      <c r="K67" s="3"/>
      <c r="L67" s="3"/>
      <c r="M67" s="3"/>
      <c r="N67" s="3"/>
      <c r="O67" s="3"/>
      <c r="P67" s="3"/>
      <c r="Q67" s="3"/>
      <c r="R67" s="3"/>
      <c r="S67" s="3"/>
      <c r="T67" s="3"/>
      <c r="U67" s="3"/>
      <c r="V67" s="3"/>
      <c r="W67" s="3"/>
      <c r="X67" s="3"/>
      <c r="Y67" s="3"/>
      <c r="Z67" s="3"/>
    </row>
    <row r="68" spans="1:26" ht="11.2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1.25" customHeight="1" x14ac:dyDescent="0.2">
      <c r="D69" s="327" t="s">
        <v>1384</v>
      </c>
    </row>
    <row r="70" spans="1:26" ht="11.25" customHeight="1" x14ac:dyDescent="0.2">
      <c r="D70" s="1284" t="s">
        <v>1385</v>
      </c>
    </row>
    <row r="71" spans="1:26" ht="11.25" customHeight="1" x14ac:dyDescent="0.2"/>
    <row r="72" spans="1:26" ht="11.25" customHeight="1" x14ac:dyDescent="0.2"/>
    <row r="73" spans="1:26" ht="11.25" customHeight="1" x14ac:dyDescent="0.2"/>
    <row r="74" spans="1:26" ht="11.25" customHeight="1" x14ac:dyDescent="0.2"/>
    <row r="75" spans="1:26" ht="11.25" customHeight="1" x14ac:dyDescent="0.2"/>
    <row r="76" spans="1:26" ht="11.25" customHeight="1" x14ac:dyDescent="0.2"/>
    <row r="77" spans="1:26" ht="11.25" customHeight="1" x14ac:dyDescent="0.2"/>
    <row r="78" spans="1:26" ht="11.25" customHeight="1" x14ac:dyDescent="0.2"/>
    <row r="79" spans="1:26" ht="11.25" customHeight="1" x14ac:dyDescent="0.2"/>
    <row r="80" spans="1:26"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row r="1001" ht="11.25" customHeight="1" x14ac:dyDescent="0.2"/>
    <row r="1002" ht="11.25" customHeight="1" x14ac:dyDescent="0.2"/>
    <row r="1003" ht="11.25" customHeight="1" x14ac:dyDescent="0.2"/>
    <row r="1004" ht="11.25" customHeight="1" x14ac:dyDescent="0.2"/>
  </sheetData>
  <mergeCells count="1">
    <mergeCell ref="P12:Q12"/>
  </mergeCells>
  <hyperlinks>
    <hyperlink ref="D70" r:id="rId1" xr:uid="{00000000-0004-0000-0C00-000000000000}"/>
  </hyperlinks>
  <printOptions gridLines="1"/>
  <pageMargins left="0.33" right="0.23" top="0.28999999999999998" bottom="0.48" header="0" footer="0"/>
  <pageSetup scale="95" orientation="landscape"/>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1002"/>
  <sheetViews>
    <sheetView workbookViewId="0"/>
  </sheetViews>
  <sheetFormatPr defaultColWidth="16.85546875" defaultRowHeight="15" customHeight="1" x14ac:dyDescent="0.2"/>
  <cols>
    <col min="1" max="1" width="3" customWidth="1"/>
    <col min="2" max="2" width="5.7109375" customWidth="1"/>
    <col min="3" max="3" width="63.42578125" customWidth="1"/>
    <col min="4" max="4" width="18.7109375" customWidth="1"/>
    <col min="5" max="5" width="12.28515625" customWidth="1"/>
    <col min="6" max="6" width="17.85546875" customWidth="1"/>
    <col min="7" max="7" width="14.140625" customWidth="1"/>
    <col min="8" max="8" width="16.42578125" customWidth="1"/>
    <col min="9" max="9" width="19" customWidth="1"/>
    <col min="10" max="10" width="8.85546875" customWidth="1"/>
    <col min="11" max="11" width="13" customWidth="1"/>
    <col min="12" max="12" width="8.85546875" customWidth="1"/>
    <col min="13" max="13" width="14.42578125" customWidth="1"/>
    <col min="14" max="14" width="11.85546875" customWidth="1"/>
    <col min="15" max="15" width="11.42578125" customWidth="1"/>
    <col min="16" max="19" width="8.85546875" customWidth="1"/>
    <col min="20" max="20" width="11.85546875" customWidth="1"/>
    <col min="21" max="26" width="8.85546875" customWidth="1"/>
  </cols>
  <sheetData>
    <row r="1" spans="1:35" ht="15" customHeight="1" x14ac:dyDescent="0.2">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row>
    <row r="2" spans="1:35" ht="15" customHeight="1" x14ac:dyDescent="0.2">
      <c r="A2" s="140"/>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row>
    <row r="3" spans="1:35" ht="30" customHeight="1" x14ac:dyDescent="0.55000000000000004">
      <c r="A3" s="329" t="s">
        <v>1386</v>
      </c>
      <c r="B3" s="606"/>
      <c r="D3" s="881"/>
      <c r="G3" s="327"/>
      <c r="H3" s="327"/>
    </row>
    <row r="4" spans="1:35" ht="80.25" customHeight="1" x14ac:dyDescent="0.2"/>
    <row r="5" spans="1:35" ht="11.25" customHeight="1" x14ac:dyDescent="0.2">
      <c r="D5" s="3" t="s">
        <v>1387</v>
      </c>
    </row>
    <row r="6" spans="1:35" ht="11.25" customHeight="1" x14ac:dyDescent="0.2"/>
    <row r="7" spans="1:35" ht="11.25" customHeight="1" x14ac:dyDescent="0.2"/>
    <row r="8" spans="1:35" ht="11.25" customHeight="1" x14ac:dyDescent="0.2">
      <c r="C8" s="673"/>
      <c r="D8" s="1509"/>
      <c r="E8" s="1509"/>
      <c r="F8" s="1509" t="s">
        <v>1388</v>
      </c>
      <c r="G8" s="1509"/>
      <c r="H8" s="1509"/>
      <c r="I8" s="1510"/>
    </row>
    <row r="9" spans="1:35" ht="11.25" customHeight="1" x14ac:dyDescent="0.2">
      <c r="C9" s="1511"/>
      <c r="D9" s="1512" t="s">
        <v>512</v>
      </c>
      <c r="E9" s="1512" t="s">
        <v>178</v>
      </c>
      <c r="F9" s="1512"/>
      <c r="G9" s="1512" t="s">
        <v>1389</v>
      </c>
      <c r="H9" s="1512" t="s">
        <v>1390</v>
      </c>
      <c r="I9" s="1513" t="s">
        <v>1391</v>
      </c>
    </row>
    <row r="10" spans="1:35" ht="15.75" customHeight="1" x14ac:dyDescent="0.3">
      <c r="B10" s="1514" t="s">
        <v>1392</v>
      </c>
      <c r="C10" s="1515" t="s">
        <v>1393</v>
      </c>
      <c r="D10" s="1516"/>
      <c r="E10" s="1516"/>
      <c r="F10" s="1516"/>
      <c r="G10" s="1516"/>
      <c r="H10" s="1516"/>
      <c r="I10" s="1517"/>
    </row>
    <row r="11" spans="1:35" ht="11.25" customHeight="1" x14ac:dyDescent="0.3">
      <c r="B11" s="1518"/>
      <c r="C11" s="1519"/>
      <c r="D11" s="1520"/>
      <c r="E11" s="1520"/>
      <c r="F11" s="1520"/>
      <c r="G11" s="1521"/>
      <c r="H11" s="1521"/>
      <c r="I11" s="1522"/>
    </row>
    <row r="12" spans="1:35" ht="11.25" customHeight="1" x14ac:dyDescent="0.2">
      <c r="C12" s="1523" t="s">
        <v>1394</v>
      </c>
      <c r="D12" s="1524">
        <v>287527</v>
      </c>
      <c r="E12" s="1525" t="s">
        <v>1395</v>
      </c>
      <c r="F12" s="1526"/>
      <c r="G12" s="1527">
        <v>668862.93999999994</v>
      </c>
      <c r="H12" s="1528">
        <v>75.63</v>
      </c>
      <c r="I12" s="1529">
        <v>11</v>
      </c>
    </row>
    <row r="13" spans="1:35" ht="11.25" customHeight="1" x14ac:dyDescent="0.2">
      <c r="C13" s="1523"/>
      <c r="D13" s="1530"/>
      <c r="E13" s="1530"/>
      <c r="F13" s="1531"/>
      <c r="G13" s="1527"/>
      <c r="H13" s="1527"/>
      <c r="I13" s="1532"/>
    </row>
    <row r="14" spans="1:35" ht="11.25" customHeight="1" x14ac:dyDescent="0.2">
      <c r="C14" s="1533" t="s">
        <v>1396</v>
      </c>
      <c r="D14" s="1534">
        <v>0</v>
      </c>
      <c r="E14" s="1525" t="s">
        <v>1395</v>
      </c>
      <c r="F14" s="1535"/>
      <c r="G14" s="1536">
        <v>0</v>
      </c>
      <c r="H14" s="1537">
        <v>0</v>
      </c>
      <c r="I14" s="1538">
        <v>0</v>
      </c>
      <c r="K14" s="1539"/>
    </row>
    <row r="15" spans="1:35" ht="11.25" customHeight="1" x14ac:dyDescent="0.2">
      <c r="C15" s="1523"/>
      <c r="D15" s="1530"/>
      <c r="E15" s="1540"/>
      <c r="F15" s="1531"/>
      <c r="G15" s="1527"/>
      <c r="H15" s="1527"/>
      <c r="I15" s="1532"/>
    </row>
    <row r="16" spans="1:35" ht="11.25" customHeight="1" x14ac:dyDescent="0.2">
      <c r="C16" s="1523" t="s">
        <v>1397</v>
      </c>
      <c r="D16" s="1524">
        <v>506874.24040000001</v>
      </c>
      <c r="E16" s="1540" t="s">
        <v>1398</v>
      </c>
      <c r="F16" s="1526"/>
      <c r="G16" s="1527">
        <v>4292.72</v>
      </c>
      <c r="H16" s="1528">
        <v>0.21</v>
      </c>
      <c r="I16" s="1529">
        <v>0.04</v>
      </c>
      <c r="K16" s="811"/>
    </row>
    <row r="17" spans="3:20" ht="11.25" customHeight="1" x14ac:dyDescent="0.2">
      <c r="C17" s="1523"/>
      <c r="D17" s="1530"/>
      <c r="E17" s="1540"/>
      <c r="F17" s="1526"/>
      <c r="G17" s="1527"/>
      <c r="H17" s="1527"/>
      <c r="I17" s="1532"/>
    </row>
    <row r="18" spans="3:20" ht="11.25" customHeight="1" x14ac:dyDescent="0.25">
      <c r="C18" s="1523" t="s">
        <v>1399</v>
      </c>
      <c r="D18" s="1524">
        <v>381858</v>
      </c>
      <c r="E18" s="1540" t="s">
        <v>1400</v>
      </c>
      <c r="F18" s="1526"/>
      <c r="G18" s="1541">
        <v>93939.5</v>
      </c>
      <c r="H18" s="1528">
        <v>10.7</v>
      </c>
      <c r="I18" s="1529">
        <v>1.56</v>
      </c>
    </row>
    <row r="19" spans="3:20" ht="11.25" customHeight="1" x14ac:dyDescent="0.25">
      <c r="C19" s="1542"/>
      <c r="D19" s="1543"/>
      <c r="E19" s="1543"/>
      <c r="F19" s="1544"/>
      <c r="G19" s="1545"/>
      <c r="H19" s="1546"/>
      <c r="I19" s="1547"/>
    </row>
    <row r="20" spans="3:20" ht="13.5" customHeight="1" x14ac:dyDescent="0.25">
      <c r="C20" s="1548" t="s">
        <v>1401</v>
      </c>
      <c r="D20" s="1549"/>
      <c r="E20" s="1549"/>
      <c r="F20" s="1550"/>
      <c r="G20" s="1551">
        <f t="shared" ref="G20:I20" si="0">G12+G14+G16+G18</f>
        <v>767095.15999999992</v>
      </c>
      <c r="H20" s="1552">
        <f t="shared" si="0"/>
        <v>86.539999999999992</v>
      </c>
      <c r="I20" s="1553">
        <f t="shared" si="0"/>
        <v>12.6</v>
      </c>
    </row>
    <row r="21" spans="3:20" ht="11.25" customHeight="1" x14ac:dyDescent="0.25">
      <c r="C21" s="1554"/>
      <c r="D21" s="1555"/>
      <c r="E21" s="1555"/>
      <c r="F21" s="1556"/>
      <c r="G21" s="1557"/>
      <c r="H21" s="1558"/>
      <c r="I21" s="1559"/>
    </row>
    <row r="22" spans="3:20" ht="14.25" customHeight="1" x14ac:dyDescent="0.25">
      <c r="C22" s="1560" t="s">
        <v>1402</v>
      </c>
      <c r="D22" s="1561"/>
      <c r="E22" s="1561"/>
      <c r="F22" s="1562"/>
      <c r="G22" s="1563">
        <f>2276717</f>
        <v>2276717</v>
      </c>
      <c r="H22" s="1564"/>
      <c r="I22" s="1565"/>
      <c r="K22" s="811"/>
    </row>
    <row r="23" spans="3:20" ht="11.25" customHeight="1" x14ac:dyDescent="0.2">
      <c r="C23" s="1554"/>
      <c r="D23" s="1555"/>
      <c r="E23" s="1555"/>
      <c r="F23" s="1556"/>
      <c r="G23" s="1558"/>
      <c r="H23" s="1558"/>
      <c r="I23" s="1559"/>
    </row>
    <row r="24" spans="3:20" ht="11.25" customHeight="1" x14ac:dyDescent="0.2">
      <c r="C24" s="1566" t="s">
        <v>1403</v>
      </c>
      <c r="D24" s="1567"/>
      <c r="E24" s="1567"/>
      <c r="F24" s="1568"/>
      <c r="G24" s="1569">
        <f>G22-G20</f>
        <v>1509621.84</v>
      </c>
      <c r="H24" s="1570"/>
      <c r="I24" s="1571"/>
    </row>
    <row r="25" spans="3:20" ht="11.25" customHeight="1" x14ac:dyDescent="0.2">
      <c r="C25" s="1572"/>
      <c r="D25" s="1573"/>
      <c r="E25" s="1573"/>
      <c r="F25" s="1574"/>
      <c r="G25" s="1575"/>
      <c r="H25" s="1521"/>
      <c r="I25" s="1522"/>
    </row>
    <row r="26" spans="3:20" ht="17.25" customHeight="1" x14ac:dyDescent="0.25">
      <c r="C26" s="1576" t="s">
        <v>1404</v>
      </c>
      <c r="D26" s="1577"/>
      <c r="E26" s="1577"/>
      <c r="F26" s="1578"/>
      <c r="G26" s="1579"/>
      <c r="H26" s="1580"/>
      <c r="I26" s="1581"/>
    </row>
    <row r="27" spans="3:20" ht="11.25" customHeight="1" x14ac:dyDescent="0.2">
      <c r="C27" s="1582"/>
      <c r="D27" s="1583"/>
      <c r="E27" s="1583"/>
      <c r="F27" s="1584"/>
      <c r="G27" s="1585"/>
      <c r="H27" s="1558"/>
      <c r="I27" s="1559"/>
      <c r="L27" s="3">
        <v>0.90718399999999999</v>
      </c>
    </row>
    <row r="28" spans="3:20" ht="11.25" customHeight="1" x14ac:dyDescent="0.2">
      <c r="C28" s="1586" t="s">
        <v>1405</v>
      </c>
      <c r="D28" s="1587">
        <v>53141.599999999999</v>
      </c>
      <c r="E28" s="1588" t="s">
        <v>225</v>
      </c>
      <c r="F28" s="1589"/>
      <c r="G28" s="1590">
        <v>542.39</v>
      </c>
      <c r="H28" s="1591">
        <v>2.1999999999999999E-2</v>
      </c>
      <c r="I28" s="1592">
        <v>4.4000000000000003E-3</v>
      </c>
    </row>
    <row r="29" spans="3:20" ht="11.25" customHeight="1" x14ac:dyDescent="0.2">
      <c r="C29" s="1593"/>
      <c r="D29" s="1555"/>
      <c r="E29" s="1555"/>
      <c r="F29" s="1584"/>
      <c r="G29" s="1558"/>
      <c r="H29" s="1558"/>
      <c r="I29" s="1559"/>
      <c r="L29" s="3"/>
    </row>
    <row r="30" spans="3:20" ht="11.25" customHeight="1" x14ac:dyDescent="0.2">
      <c r="C30" s="1594" t="s">
        <v>1406</v>
      </c>
      <c r="D30" s="1595"/>
      <c r="E30" s="1595"/>
      <c r="F30" s="1596"/>
      <c r="G30" s="1597">
        <f>G22+G28</f>
        <v>2277259.39</v>
      </c>
      <c r="H30" s="1597">
        <f t="shared" ref="H30:I30" si="1">H28+H20</f>
        <v>86.561999999999998</v>
      </c>
      <c r="I30" s="1598">
        <f t="shared" si="1"/>
        <v>12.6044</v>
      </c>
      <c r="N30" s="1599"/>
      <c r="R30" s="1599"/>
    </row>
    <row r="31" spans="3:20" ht="11.25" customHeight="1" x14ac:dyDescent="0.2">
      <c r="C31" s="1582"/>
      <c r="D31" s="1555"/>
      <c r="E31" s="1555"/>
      <c r="F31" s="1584"/>
      <c r="G31" s="1558"/>
      <c r="H31" s="1558"/>
      <c r="I31" s="1559"/>
      <c r="L31" s="3"/>
      <c r="M31" s="3"/>
      <c r="N31" s="1600"/>
      <c r="O31" s="1600"/>
      <c r="P31" s="1600"/>
      <c r="Q31" s="1600"/>
      <c r="R31" s="1600"/>
      <c r="S31" s="1600"/>
      <c r="T31" s="1600"/>
    </row>
    <row r="32" spans="3:20" ht="11.25" customHeight="1" x14ac:dyDescent="0.2">
      <c r="C32" s="1601"/>
      <c r="D32" s="1602"/>
      <c r="E32" s="1603" t="s">
        <v>1407</v>
      </c>
      <c r="F32" s="1604"/>
      <c r="G32" s="1605"/>
      <c r="H32" s="1605"/>
      <c r="I32" s="1606"/>
      <c r="N32" s="1607"/>
      <c r="O32" s="1607"/>
      <c r="P32" s="1607"/>
      <c r="Q32" s="1607"/>
      <c r="R32" s="1607"/>
      <c r="S32" s="1607"/>
      <c r="T32" s="1607"/>
    </row>
    <row r="33" spans="2:20" ht="11.25" customHeight="1" x14ac:dyDescent="0.2">
      <c r="C33" s="1582"/>
      <c r="D33" s="1555"/>
      <c r="E33" s="1555"/>
      <c r="F33" s="1584"/>
      <c r="G33" s="1558"/>
      <c r="H33" s="1558"/>
      <c r="I33" s="1559"/>
      <c r="N33" s="1608"/>
      <c r="O33" s="1608"/>
      <c r="P33" s="1608"/>
      <c r="Q33" s="1609"/>
      <c r="R33" s="1608"/>
      <c r="S33" s="1608"/>
      <c r="T33" s="1608"/>
    </row>
    <row r="34" spans="2:20" ht="11.25" customHeight="1" x14ac:dyDescent="0.2">
      <c r="C34" s="1593"/>
      <c r="D34" s="1555"/>
      <c r="E34" s="1555"/>
      <c r="F34" s="1584"/>
      <c r="G34" s="1558"/>
      <c r="H34" s="1558"/>
      <c r="I34" s="1559"/>
    </row>
    <row r="35" spans="2:20" ht="13.5" customHeight="1" x14ac:dyDescent="0.25">
      <c r="C35" s="1548" t="s">
        <v>1408</v>
      </c>
      <c r="D35" s="1549"/>
      <c r="E35" s="1549"/>
      <c r="F35" s="1550"/>
      <c r="G35" s="1610">
        <f t="shared" ref="G35:I35" si="2">G20*1.10249937</f>
        <v>845721.9306300492</v>
      </c>
      <c r="H35" s="1611">
        <f t="shared" si="2"/>
        <v>95.410295479799998</v>
      </c>
      <c r="I35" s="1612">
        <f t="shared" si="2"/>
        <v>13.891492062000001</v>
      </c>
    </row>
    <row r="36" spans="2:20" ht="11.25" customHeight="1" x14ac:dyDescent="0.25">
      <c r="C36" s="1613"/>
      <c r="D36" s="1555"/>
      <c r="E36" s="1555"/>
      <c r="F36" s="1556"/>
      <c r="G36" s="1557"/>
      <c r="H36" s="1558"/>
      <c r="I36" s="1559"/>
    </row>
    <row r="37" spans="2:20" ht="11.25" customHeight="1" x14ac:dyDescent="0.25">
      <c r="C37" s="1614" t="s">
        <v>1409</v>
      </c>
      <c r="D37" s="1561"/>
      <c r="E37" s="1561"/>
      <c r="F37" s="1562"/>
      <c r="G37" s="1563">
        <f>G22*1.10249937</f>
        <v>2510079.0581682902</v>
      </c>
      <c r="H37" s="1615"/>
      <c r="I37" s="1616"/>
    </row>
    <row r="38" spans="2:20" ht="11.25" customHeight="1" x14ac:dyDescent="0.2">
      <c r="C38" s="1542"/>
      <c r="D38" s="1555"/>
      <c r="E38" s="1555"/>
      <c r="F38" s="1556"/>
      <c r="G38" s="1558"/>
      <c r="H38" s="1558"/>
      <c r="I38" s="1559"/>
    </row>
    <row r="39" spans="2:20" ht="11.25" customHeight="1" x14ac:dyDescent="0.25">
      <c r="C39" s="1617" t="s">
        <v>1410</v>
      </c>
      <c r="D39" s="1567"/>
      <c r="E39" s="1567"/>
      <c r="F39" s="1568"/>
      <c r="G39" s="1618">
        <f>G37-G35</f>
        <v>1664357.127538241</v>
      </c>
      <c r="H39" s="1570"/>
      <c r="I39" s="1571"/>
    </row>
    <row r="40" spans="2:20" ht="11.25" customHeight="1" x14ac:dyDescent="0.2">
      <c r="C40" s="1619"/>
      <c r="D40" s="1583"/>
      <c r="E40" s="1583"/>
      <c r="F40" s="1584"/>
      <c r="G40" s="1585"/>
      <c r="H40" s="1558"/>
      <c r="I40" s="1559"/>
    </row>
    <row r="41" spans="2:20" ht="11.25" customHeight="1" x14ac:dyDescent="0.25">
      <c r="C41" s="1594" t="s">
        <v>1411</v>
      </c>
      <c r="D41" s="1595"/>
      <c r="E41" s="1595"/>
      <c r="F41" s="1596"/>
      <c r="G41" s="1620">
        <f>G30*1.10249937</f>
        <v>2510677.0428015846</v>
      </c>
      <c r="H41" s="1621">
        <f t="shared" ref="H41:I41" si="3">H30*1.1023</f>
        <v>95.417292599999996</v>
      </c>
      <c r="I41" s="1622">
        <f t="shared" si="3"/>
        <v>13.893830120000001</v>
      </c>
    </row>
    <row r="42" spans="2:20" ht="11.25" customHeight="1" x14ac:dyDescent="0.2">
      <c r="C42" s="1623"/>
      <c r="D42" s="1084"/>
      <c r="E42" s="1084"/>
      <c r="F42" s="1084"/>
      <c r="G42" s="1084"/>
      <c r="H42" s="1084"/>
      <c r="I42" s="1624"/>
    </row>
    <row r="43" spans="2:20" ht="11.25" customHeight="1" x14ac:dyDescent="0.2">
      <c r="C43" s="675"/>
      <c r="D43" s="327"/>
      <c r="E43" s="327"/>
      <c r="F43" s="327"/>
      <c r="G43" s="327"/>
      <c r="H43" s="327"/>
      <c r="I43" s="694"/>
    </row>
    <row r="44" spans="2:20" ht="11.25" customHeight="1" x14ac:dyDescent="0.2">
      <c r="C44" s="675"/>
      <c r="D44" s="327"/>
      <c r="E44" s="327"/>
      <c r="F44" s="327"/>
      <c r="G44" s="327"/>
      <c r="H44" s="327"/>
      <c r="I44" s="694"/>
    </row>
    <row r="45" spans="2:20" ht="20.25" customHeight="1" x14ac:dyDescent="0.3">
      <c r="B45" s="1514" t="s">
        <v>1412</v>
      </c>
      <c r="C45" s="1625" t="s">
        <v>1413</v>
      </c>
      <c r="D45" s="1626"/>
      <c r="E45" s="1626"/>
      <c r="F45" s="1627"/>
      <c r="G45" s="1626"/>
      <c r="H45" s="1626"/>
      <c r="I45" s="1628"/>
    </row>
    <row r="46" spans="2:20" ht="11.25" customHeight="1" x14ac:dyDescent="0.2">
      <c r="C46" s="1629"/>
      <c r="D46" s="1630" t="s">
        <v>512</v>
      </c>
      <c r="E46" s="1630" t="s">
        <v>178</v>
      </c>
      <c r="F46" s="755"/>
      <c r="G46" s="1630" t="s">
        <v>1414</v>
      </c>
      <c r="H46" s="1630" t="s">
        <v>1415</v>
      </c>
      <c r="I46" s="1631" t="s">
        <v>1416</v>
      </c>
    </row>
    <row r="47" spans="2:20" ht="11.25" customHeight="1" x14ac:dyDescent="0.2">
      <c r="C47" s="1632" t="s">
        <v>1417</v>
      </c>
      <c r="D47" s="1633"/>
      <c r="E47" s="1633"/>
      <c r="F47" s="1634"/>
      <c r="G47" s="2991" t="s">
        <v>518</v>
      </c>
      <c r="H47" s="2992"/>
      <c r="I47" s="2993"/>
    </row>
    <row r="48" spans="2:20" ht="11.25" customHeight="1" x14ac:dyDescent="0.2">
      <c r="C48" s="1635"/>
      <c r="D48" s="1636"/>
      <c r="E48" s="1636"/>
      <c r="F48" s="755"/>
      <c r="G48" s="1636"/>
      <c r="H48" s="1636"/>
      <c r="I48" s="1637"/>
    </row>
    <row r="49" spans="3:15" ht="11.25" customHeight="1" x14ac:dyDescent="0.2">
      <c r="C49" s="1523" t="s">
        <v>1394</v>
      </c>
      <c r="D49" s="1540">
        <v>67302</v>
      </c>
      <c r="E49" s="1638" t="s">
        <v>1418</v>
      </c>
      <c r="F49" s="755"/>
      <c r="G49" s="1527">
        <v>136811.20000000001</v>
      </c>
      <c r="H49" s="1527">
        <v>0.02</v>
      </c>
      <c r="I49" s="1532">
        <v>2E-3</v>
      </c>
      <c r="K49" s="140"/>
      <c r="L49" s="3"/>
      <c r="M49" s="3"/>
      <c r="N49" s="3"/>
      <c r="O49" s="3"/>
    </row>
    <row r="50" spans="3:15" ht="11.25" customHeight="1" x14ac:dyDescent="0.2">
      <c r="C50" s="1523"/>
      <c r="D50" s="1530"/>
      <c r="E50" s="1638"/>
      <c r="F50" s="755"/>
      <c r="G50" s="1527"/>
      <c r="H50" s="1527"/>
      <c r="I50" s="1532"/>
      <c r="K50" s="140"/>
      <c r="L50" s="3"/>
      <c r="M50" s="3"/>
      <c r="N50" s="3"/>
      <c r="O50" s="3"/>
    </row>
    <row r="51" spans="3:15" ht="11.25" customHeight="1" x14ac:dyDescent="0.2">
      <c r="C51" s="1523" t="s">
        <v>1397</v>
      </c>
      <c r="D51" s="1540">
        <v>132529</v>
      </c>
      <c r="E51" s="1530" t="s">
        <v>1398</v>
      </c>
      <c r="F51" s="755"/>
      <c r="G51" s="1527">
        <v>556.70000000000005</v>
      </c>
      <c r="H51" s="1527">
        <v>0</v>
      </c>
      <c r="I51" s="1532">
        <v>0</v>
      </c>
      <c r="K51" s="140"/>
      <c r="L51" s="3"/>
      <c r="M51" s="1639"/>
      <c r="N51" s="1639"/>
      <c r="O51" s="1639"/>
    </row>
    <row r="52" spans="3:15" ht="11.25" customHeight="1" x14ac:dyDescent="0.2">
      <c r="C52" s="1523"/>
      <c r="D52" s="1530"/>
      <c r="E52" s="1530"/>
      <c r="F52" s="755"/>
      <c r="G52" s="1527"/>
      <c r="H52" s="1527"/>
      <c r="I52" s="1532"/>
      <c r="K52" s="140"/>
      <c r="L52" s="3"/>
      <c r="M52" s="1639"/>
      <c r="N52" s="1639"/>
      <c r="O52" s="1639"/>
    </row>
    <row r="53" spans="3:15" ht="11.25" customHeight="1" x14ac:dyDescent="0.2">
      <c r="C53" s="1523" t="s">
        <v>1419</v>
      </c>
      <c r="D53" s="1540">
        <v>1543</v>
      </c>
      <c r="E53" s="1638" t="s">
        <v>1418</v>
      </c>
      <c r="F53" s="755"/>
      <c r="G53" s="1527">
        <v>3564.4</v>
      </c>
      <c r="H53" s="1527">
        <v>0</v>
      </c>
      <c r="I53" s="1532">
        <v>0</v>
      </c>
      <c r="K53" s="140"/>
      <c r="L53" s="3"/>
      <c r="M53" s="1640"/>
      <c r="N53" s="1640"/>
      <c r="O53" s="1640"/>
    </row>
    <row r="54" spans="3:15" ht="11.25" customHeight="1" x14ac:dyDescent="0.2">
      <c r="C54" s="1523"/>
      <c r="D54" s="1543"/>
      <c r="E54" s="1543"/>
      <c r="F54" s="1641"/>
      <c r="G54" s="1546"/>
      <c r="H54" s="1546"/>
      <c r="I54" s="1547"/>
      <c r="K54" s="140"/>
      <c r="L54" s="140"/>
      <c r="M54" s="140"/>
      <c r="N54" s="140"/>
      <c r="O54" s="140"/>
    </row>
    <row r="55" spans="3:15" ht="11.25" customHeight="1" x14ac:dyDescent="0.25">
      <c r="C55" s="1642" t="s">
        <v>1420</v>
      </c>
      <c r="D55" s="1643"/>
      <c r="E55" s="1643"/>
      <c r="F55" s="1644"/>
      <c r="G55" s="1645">
        <f t="shared" ref="G55:I55" si="4">G49+G51+G53</f>
        <v>140932.30000000002</v>
      </c>
      <c r="H55" s="1646">
        <f t="shared" si="4"/>
        <v>0.02</v>
      </c>
      <c r="I55" s="1647">
        <f t="shared" si="4"/>
        <v>2E-3</v>
      </c>
      <c r="K55" s="3"/>
      <c r="L55" s="3"/>
      <c r="M55" s="3"/>
      <c r="N55" s="3"/>
      <c r="O55" s="140"/>
    </row>
    <row r="56" spans="3:15" ht="11.25" customHeight="1" x14ac:dyDescent="0.2">
      <c r="C56" s="1523"/>
      <c r="D56" s="1648"/>
      <c r="E56" s="1648"/>
      <c r="F56" s="1649"/>
      <c r="G56" s="1573"/>
      <c r="H56" s="1573"/>
      <c r="I56" s="1650"/>
      <c r="K56" s="3"/>
      <c r="L56" s="564"/>
      <c r="M56" s="564"/>
      <c r="N56" s="564"/>
      <c r="O56" s="140"/>
    </row>
    <row r="57" spans="3:15" ht="11.25" customHeight="1" x14ac:dyDescent="0.2">
      <c r="C57" s="1651" t="s">
        <v>1421</v>
      </c>
      <c r="D57" s="1652"/>
      <c r="E57" s="1652"/>
      <c r="F57" s="1653"/>
      <c r="G57" s="1654"/>
      <c r="H57" s="1655"/>
      <c r="I57" s="1656"/>
      <c r="K57" s="3"/>
      <c r="L57" s="564"/>
      <c r="M57" s="564"/>
      <c r="N57" s="564"/>
      <c r="O57" s="140"/>
    </row>
    <row r="58" spans="3:15" ht="11.25" customHeight="1" x14ac:dyDescent="0.2">
      <c r="C58" s="1593"/>
      <c r="D58" s="1555"/>
      <c r="E58" s="1555"/>
      <c r="F58" s="327"/>
      <c r="G58" s="1657"/>
      <c r="H58" s="1583"/>
      <c r="I58" s="1658"/>
      <c r="K58" s="140"/>
      <c r="L58" s="140"/>
      <c r="M58" s="140"/>
      <c r="N58" s="140"/>
      <c r="O58" s="140"/>
    </row>
    <row r="59" spans="3:15" ht="11.25" customHeight="1" x14ac:dyDescent="0.2">
      <c r="C59" s="1659" t="s">
        <v>1422</v>
      </c>
      <c r="D59" s="1660">
        <f>197684-132529</f>
        <v>65155</v>
      </c>
      <c r="E59" s="1588" t="s">
        <v>1398</v>
      </c>
      <c r="F59" s="1661"/>
      <c r="G59" s="1662">
        <v>274.68</v>
      </c>
      <c r="H59" s="1663">
        <v>0.02</v>
      </c>
      <c r="I59" s="1664">
        <v>0</v>
      </c>
      <c r="K59" s="140"/>
      <c r="L59" s="140"/>
      <c r="M59" s="140"/>
      <c r="N59" s="140"/>
      <c r="O59" s="140"/>
    </row>
    <row r="60" spans="3:15" ht="11.25" customHeight="1" x14ac:dyDescent="0.2">
      <c r="C60" s="1593"/>
      <c r="D60" s="1555"/>
      <c r="E60" s="1555"/>
      <c r="F60" s="327"/>
      <c r="G60" s="1657"/>
      <c r="H60" s="1583"/>
      <c r="I60" s="1658"/>
    </row>
    <row r="61" spans="3:15" ht="11.25" customHeight="1" x14ac:dyDescent="0.2">
      <c r="C61" s="1665" t="s">
        <v>1423</v>
      </c>
      <c r="D61" s="1561"/>
      <c r="E61" s="1561"/>
      <c r="F61" s="1666"/>
      <c r="G61" s="1667">
        <f>475825*0.907184</f>
        <v>431660.82679999998</v>
      </c>
      <c r="H61" s="1668">
        <f>22.1*L27</f>
        <v>20.048766400000002</v>
      </c>
      <c r="I61" s="1669">
        <f>2.96*L27</f>
        <v>2.6852646399999998</v>
      </c>
    </row>
    <row r="62" spans="3:15" ht="11.25" customHeight="1" x14ac:dyDescent="0.2">
      <c r="C62" s="1670"/>
      <c r="D62" s="1555"/>
      <c r="E62" s="1555"/>
      <c r="F62" s="327"/>
      <c r="G62" s="1584"/>
      <c r="H62" s="1583"/>
      <c r="I62" s="1658"/>
    </row>
    <row r="63" spans="3:15" ht="11.25" customHeight="1" x14ac:dyDescent="0.2">
      <c r="C63" s="1671" t="s">
        <v>1424</v>
      </c>
      <c r="D63" s="1672"/>
      <c r="E63" s="1672"/>
      <c r="F63" s="1673"/>
      <c r="G63" s="1674">
        <f t="shared" ref="G63:I63" si="5">G55</f>
        <v>140932.30000000002</v>
      </c>
      <c r="H63" s="1675">
        <f t="shared" si="5"/>
        <v>0.02</v>
      </c>
      <c r="I63" s="1676">
        <f t="shared" si="5"/>
        <v>2E-3</v>
      </c>
    </row>
    <row r="64" spans="3:15" ht="11.25" customHeight="1" x14ac:dyDescent="0.2">
      <c r="C64" s="1593"/>
      <c r="D64" s="1555"/>
      <c r="E64" s="1555"/>
      <c r="F64" s="327"/>
      <c r="G64" s="1657"/>
      <c r="H64" s="1583"/>
      <c r="I64" s="1658"/>
    </row>
    <row r="65" spans="3:9" ht="11.25" customHeight="1" x14ac:dyDescent="0.2">
      <c r="C65" s="1677" t="s">
        <v>1425</v>
      </c>
      <c r="D65" s="1678"/>
      <c r="E65" s="1678"/>
      <c r="F65" s="1679"/>
      <c r="G65" s="1680">
        <f t="shared" ref="G65:H65" si="6">G61-G63</f>
        <v>290728.52679999999</v>
      </c>
      <c r="H65" s="1681">
        <f t="shared" si="6"/>
        <v>20.028766400000002</v>
      </c>
      <c r="I65" s="1682">
        <v>0</v>
      </c>
    </row>
    <row r="66" spans="3:9" ht="11.25" customHeight="1" x14ac:dyDescent="0.2">
      <c r="C66" s="1593"/>
      <c r="D66" s="1555"/>
      <c r="E66" s="1555"/>
      <c r="F66" s="327"/>
      <c r="G66" s="1657"/>
      <c r="H66" s="1583"/>
      <c r="I66" s="1658"/>
    </row>
    <row r="67" spans="3:9" ht="11.25" customHeight="1" x14ac:dyDescent="0.2">
      <c r="C67" s="1683" t="s">
        <v>1426</v>
      </c>
      <c r="D67" s="1595"/>
      <c r="E67" s="1595"/>
      <c r="F67" s="1684"/>
      <c r="G67" s="1685">
        <f t="shared" ref="G67:H67" si="7">G61+G59</f>
        <v>431935.50679999997</v>
      </c>
      <c r="H67" s="1685">
        <f t="shared" si="7"/>
        <v>20.068766400000001</v>
      </c>
      <c r="I67" s="1686">
        <f>I63+I59</f>
        <v>2E-3</v>
      </c>
    </row>
    <row r="68" spans="3:9" ht="11.25" customHeight="1" x14ac:dyDescent="0.2">
      <c r="C68" s="1687"/>
      <c r="D68" s="1555"/>
      <c r="E68" s="1555"/>
      <c r="F68" s="327"/>
      <c r="G68" s="1657"/>
      <c r="H68" s="1657"/>
      <c r="I68" s="1688"/>
    </row>
    <row r="69" spans="3:9" ht="11.25" customHeight="1" x14ac:dyDescent="0.2">
      <c r="C69" s="1689"/>
      <c r="D69" s="1602"/>
      <c r="E69" s="1603" t="s">
        <v>1407</v>
      </c>
      <c r="F69" s="142"/>
      <c r="G69" s="1690"/>
      <c r="H69" s="1690"/>
      <c r="I69" s="1691"/>
    </row>
    <row r="70" spans="3:9" ht="11.25" customHeight="1" x14ac:dyDescent="0.2">
      <c r="C70" s="1687"/>
      <c r="D70" s="1555"/>
      <c r="E70" s="1555"/>
      <c r="F70" s="327"/>
      <c r="G70" s="1657"/>
      <c r="H70" s="1657"/>
      <c r="I70" s="1688"/>
    </row>
    <row r="71" spans="3:9" ht="11.25" customHeight="1" x14ac:dyDescent="0.2">
      <c r="C71" s="1687"/>
      <c r="D71" s="1555"/>
      <c r="E71" s="1555"/>
      <c r="F71" s="327"/>
      <c r="G71" s="1657"/>
      <c r="H71" s="1583"/>
      <c r="I71" s="1658"/>
    </row>
    <row r="72" spans="3:9" ht="11.25" customHeight="1" x14ac:dyDescent="0.25">
      <c r="C72" s="1665" t="s">
        <v>1427</v>
      </c>
      <c r="D72" s="1692"/>
      <c r="E72" s="1692"/>
      <c r="F72" s="1666"/>
      <c r="G72" s="1693">
        <v>475825</v>
      </c>
      <c r="H72" s="1694">
        <f t="shared" ref="H72:I72" si="8">H61*1.102312065</f>
        <v>22.099997091086617</v>
      </c>
      <c r="I72" s="1695">
        <f t="shared" si="8"/>
        <v>2.9599996103898816</v>
      </c>
    </row>
    <row r="73" spans="3:9" ht="11.25" customHeight="1" x14ac:dyDescent="0.2">
      <c r="C73" s="1670"/>
      <c r="D73" s="1555"/>
      <c r="E73" s="1555"/>
      <c r="F73" s="327"/>
      <c r="G73" s="1657"/>
      <c r="H73" s="1583"/>
      <c r="I73" s="1658"/>
    </row>
    <row r="74" spans="3:9" ht="11.25" customHeight="1" x14ac:dyDescent="0.25">
      <c r="C74" s="1671" t="s">
        <v>1428</v>
      </c>
      <c r="D74" s="1672"/>
      <c r="E74" s="1672"/>
      <c r="F74" s="1673"/>
      <c r="G74" s="1675">
        <f t="shared" ref="G74:I74" si="9">G55*1.102312065</f>
        <v>155351.37463819952</v>
      </c>
      <c r="H74" s="1696">
        <f t="shared" si="9"/>
        <v>2.2046241300000002E-2</v>
      </c>
      <c r="I74" s="1697">
        <f t="shared" si="9"/>
        <v>2.20462413E-3</v>
      </c>
    </row>
    <row r="75" spans="3:9" ht="11.25" customHeight="1" x14ac:dyDescent="0.2">
      <c r="C75" s="1593"/>
      <c r="D75" s="1555"/>
      <c r="E75" s="1555"/>
      <c r="F75" s="327"/>
      <c r="G75" s="1657"/>
      <c r="H75" s="1583"/>
      <c r="I75" s="1658"/>
    </row>
    <row r="76" spans="3:9" ht="11.25" customHeight="1" x14ac:dyDescent="0.25">
      <c r="C76" s="1677" t="s">
        <v>1429</v>
      </c>
      <c r="D76" s="1678"/>
      <c r="E76" s="1678"/>
      <c r="F76" s="1679"/>
      <c r="G76" s="1698">
        <f t="shared" ref="G76:I76" si="10">G65*1.102312065</f>
        <v>320473.56273131585</v>
      </c>
      <c r="H76" s="1681">
        <f t="shared" si="10"/>
        <v>22.077950849786617</v>
      </c>
      <c r="I76" s="1682">
        <f t="shared" si="10"/>
        <v>0</v>
      </c>
    </row>
    <row r="77" spans="3:9" ht="11.25" customHeight="1" x14ac:dyDescent="0.2">
      <c r="C77" s="1593"/>
      <c r="D77" s="1555"/>
      <c r="E77" s="1555"/>
      <c r="F77" s="327"/>
      <c r="G77" s="1657"/>
      <c r="H77" s="1583"/>
      <c r="I77" s="1658"/>
    </row>
    <row r="78" spans="3:9" ht="11.25" customHeight="1" x14ac:dyDescent="0.25">
      <c r="C78" s="1683" t="s">
        <v>1430</v>
      </c>
      <c r="D78" s="1595"/>
      <c r="E78" s="1595"/>
      <c r="F78" s="1684"/>
      <c r="G78" s="1685">
        <f t="shared" ref="G78:I78" si="11">G67*1.102312065</f>
        <v>476127.72044752951</v>
      </c>
      <c r="H78" s="1685">
        <f t="shared" si="11"/>
        <v>22.122043332386617</v>
      </c>
      <c r="I78" s="1686">
        <f t="shared" si="11"/>
        <v>2.20462413E-3</v>
      </c>
    </row>
    <row r="79" spans="3:9" ht="11.25" customHeight="1" x14ac:dyDescent="0.2">
      <c r="C79" s="1699"/>
      <c r="D79" s="1700"/>
      <c r="E79" s="1700"/>
      <c r="F79" s="1701"/>
      <c r="G79" s="1700"/>
      <c r="H79" s="1700"/>
      <c r="I79" s="1702"/>
    </row>
    <row r="80" spans="3:9" ht="11.25" customHeight="1" x14ac:dyDescent="0.2">
      <c r="C80" s="675"/>
      <c r="D80" s="327"/>
      <c r="E80" s="327"/>
      <c r="F80" s="327"/>
      <c r="G80" s="327"/>
      <c r="H80" s="327"/>
      <c r="I80" s="694"/>
    </row>
    <row r="81" spans="2:9" ht="11.25" customHeight="1" x14ac:dyDescent="0.2">
      <c r="C81" s="675"/>
      <c r="D81" s="327"/>
      <c r="E81" s="327"/>
      <c r="F81" s="327"/>
      <c r="G81" s="327"/>
      <c r="H81" s="327"/>
      <c r="I81" s="694"/>
    </row>
    <row r="82" spans="2:9" ht="15" customHeight="1" x14ac:dyDescent="0.3">
      <c r="B82" s="1514" t="s">
        <v>1431</v>
      </c>
      <c r="C82" s="1703" t="s">
        <v>1432</v>
      </c>
      <c r="D82" s="1704"/>
      <c r="E82" s="1704"/>
      <c r="F82" s="1704"/>
      <c r="G82" s="1705">
        <f>G76+G39</f>
        <v>1984830.6902695568</v>
      </c>
      <c r="H82" s="327"/>
      <c r="I82" s="694"/>
    </row>
    <row r="83" spans="2:9" ht="11.25" customHeight="1" x14ac:dyDescent="0.2">
      <c r="C83" s="1706"/>
      <c r="D83" s="327"/>
      <c r="E83" s="327"/>
      <c r="F83" s="327"/>
      <c r="G83" s="1707"/>
      <c r="H83" s="327"/>
      <c r="I83" s="694"/>
    </row>
    <row r="84" spans="2:9" ht="11.25" customHeight="1" x14ac:dyDescent="0.25">
      <c r="C84" s="1703" t="s">
        <v>1433</v>
      </c>
      <c r="D84" s="327"/>
      <c r="E84" s="327"/>
      <c r="F84" s="327"/>
      <c r="G84" s="1708">
        <f>G82*0.907184</f>
        <v>1800606.6449214977</v>
      </c>
      <c r="H84" s="327"/>
      <c r="I84" s="694"/>
    </row>
    <row r="85" spans="2:9" ht="11.25" customHeight="1" x14ac:dyDescent="0.2">
      <c r="C85" s="1706"/>
      <c r="D85" s="327"/>
      <c r="E85" s="327"/>
      <c r="F85" s="327"/>
      <c r="H85" s="327"/>
      <c r="I85" s="694"/>
    </row>
    <row r="86" spans="2:9" ht="11.25" customHeight="1" x14ac:dyDescent="0.25">
      <c r="C86" s="1703" t="s">
        <v>1434</v>
      </c>
      <c r="D86" s="327"/>
      <c r="E86" s="327"/>
      <c r="F86" s="327"/>
      <c r="G86" s="1707">
        <f>G84/1000000</f>
        <v>1.8006066449214977</v>
      </c>
      <c r="H86" s="327"/>
      <c r="I86" s="694"/>
    </row>
    <row r="87" spans="2:9" ht="11.25" customHeight="1" x14ac:dyDescent="0.2">
      <c r="C87" s="1706"/>
      <c r="D87" s="327"/>
      <c r="E87" s="327"/>
      <c r="F87" s="327"/>
      <c r="G87" s="1707"/>
      <c r="H87" s="327"/>
      <c r="I87" s="694"/>
    </row>
    <row r="88" spans="2:9" ht="11.25" customHeight="1" x14ac:dyDescent="0.2">
      <c r="C88" s="636"/>
      <c r="D88" s="637"/>
      <c r="E88" s="637"/>
      <c r="F88" s="637"/>
      <c r="G88" s="637"/>
      <c r="H88" s="637"/>
      <c r="I88" s="1283"/>
    </row>
    <row r="89" spans="2:9" ht="11.25" customHeight="1" x14ac:dyDescent="0.2"/>
    <row r="90" spans="2:9" ht="11.25" customHeight="1" x14ac:dyDescent="0.2"/>
    <row r="91" spans="2:9" ht="11.25" customHeight="1" x14ac:dyDescent="0.2"/>
    <row r="92" spans="2:9" ht="11.25" customHeight="1" x14ac:dyDescent="0.2"/>
    <row r="93" spans="2:9" ht="11.25" customHeight="1" x14ac:dyDescent="0.2"/>
    <row r="94" spans="2:9" ht="11.25" customHeight="1" x14ac:dyDescent="0.2"/>
    <row r="95" spans="2:9" ht="11.25" customHeight="1" x14ac:dyDescent="0.2"/>
    <row r="96" spans="2:9"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row r="1001" ht="11.25" customHeight="1" x14ac:dyDescent="0.2"/>
    <row r="1002" ht="11.25" customHeight="1" x14ac:dyDescent="0.2"/>
  </sheetData>
  <mergeCells count="1">
    <mergeCell ref="G47:I47"/>
  </mergeCells>
  <printOptions gridLines="1"/>
  <pageMargins left="0.34" right="0.16" top="0.21" bottom="0.25" header="0" footer="0"/>
  <pageSetup orientation="landscape"/>
  <rowBreaks count="1" manualBreakCount="1">
    <brk id="42" man="1"/>
  </rowBreaks>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1001"/>
  <sheetViews>
    <sheetView workbookViewId="0"/>
  </sheetViews>
  <sheetFormatPr defaultColWidth="16.85546875" defaultRowHeight="15" customHeight="1" x14ac:dyDescent="0.2"/>
  <cols>
    <col min="1" max="2" width="8.85546875" customWidth="1"/>
    <col min="3" max="3" width="35.28515625" customWidth="1"/>
    <col min="4" max="4" width="19.7109375" customWidth="1"/>
    <col min="5" max="5" width="3.85546875" customWidth="1"/>
    <col min="6" max="6" width="15.85546875" customWidth="1"/>
    <col min="7" max="7" width="3.85546875" customWidth="1"/>
    <col min="8" max="8" width="16.7109375" customWidth="1"/>
    <col min="9" max="9" width="3.85546875" customWidth="1"/>
    <col min="10" max="10" width="15" customWidth="1"/>
    <col min="11" max="11" width="8.85546875" customWidth="1"/>
    <col min="12" max="12" width="13.140625" customWidth="1"/>
    <col min="13" max="13" width="8.85546875" customWidth="1"/>
    <col min="14" max="14" width="12.7109375" customWidth="1"/>
    <col min="15" max="15" width="25.140625" customWidth="1"/>
    <col min="16" max="30" width="8.85546875" customWidth="1"/>
  </cols>
  <sheetData>
    <row r="1" spans="1:40" ht="15" customHeight="1" x14ac:dyDescent="0.2">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row>
    <row r="2" spans="1:40" ht="26.25" customHeight="1" x14ac:dyDescent="0.55000000000000004">
      <c r="A2" s="928" t="s">
        <v>1435</v>
      </c>
      <c r="N2" s="881"/>
    </row>
    <row r="3" spans="1:40" ht="213.75" customHeight="1" x14ac:dyDescent="0.35">
      <c r="A3" s="327"/>
      <c r="B3" s="1253"/>
      <c r="C3" s="327"/>
      <c r="D3" s="327"/>
      <c r="E3" s="327"/>
      <c r="F3" s="327"/>
      <c r="G3" s="327"/>
      <c r="H3" s="327"/>
      <c r="I3" s="327"/>
      <c r="J3" s="327"/>
      <c r="K3" s="327"/>
      <c r="L3" s="327"/>
      <c r="M3" s="327"/>
      <c r="N3" s="327"/>
      <c r="O3" s="327"/>
      <c r="P3" s="327"/>
      <c r="Q3" s="327"/>
      <c r="R3" s="327"/>
      <c r="S3" s="327"/>
      <c r="T3" s="327"/>
      <c r="U3" s="327"/>
      <c r="V3" s="327"/>
      <c r="W3" s="327"/>
      <c r="X3" s="327"/>
      <c r="Y3" s="327"/>
      <c r="Z3" s="327"/>
    </row>
    <row r="4" spans="1:40" ht="24.75" customHeight="1" x14ac:dyDescent="0.35">
      <c r="A4" s="327"/>
      <c r="B4" s="1253"/>
      <c r="C4" s="953"/>
      <c r="D4" s="953"/>
      <c r="E4" s="953"/>
      <c r="F4" s="953"/>
      <c r="G4" s="953"/>
      <c r="H4" s="953"/>
      <c r="I4" s="953"/>
      <c r="J4" s="953"/>
      <c r="K4" s="953"/>
      <c r="L4" s="953"/>
      <c r="M4" s="327"/>
      <c r="N4" s="327"/>
      <c r="O4" s="327"/>
      <c r="P4" s="327"/>
      <c r="Q4" s="327"/>
      <c r="R4" s="327"/>
      <c r="S4" s="327"/>
      <c r="T4" s="327"/>
      <c r="U4" s="327"/>
      <c r="V4" s="327"/>
      <c r="W4" s="327"/>
      <c r="X4" s="327"/>
      <c r="Y4" s="327"/>
      <c r="Z4" s="327"/>
    </row>
    <row r="5" spans="1:40" ht="20.25" customHeight="1" x14ac:dyDescent="0.45">
      <c r="A5" s="327"/>
      <c r="B5" s="327"/>
      <c r="C5" s="1709" t="s">
        <v>1436</v>
      </c>
      <c r="D5" s="1710"/>
      <c r="E5" s="1710"/>
      <c r="F5" s="1710"/>
      <c r="G5" s="1710"/>
      <c r="H5" s="1710"/>
      <c r="I5" s="1710"/>
      <c r="J5" s="1710"/>
      <c r="K5" s="1710"/>
      <c r="L5" s="1711"/>
      <c r="M5" s="327"/>
      <c r="N5" s="327"/>
      <c r="O5" s="2933" t="s">
        <v>1</v>
      </c>
      <c r="P5" s="2934"/>
      <c r="Q5" s="327"/>
      <c r="R5" s="327"/>
      <c r="S5" s="327"/>
      <c r="T5" s="327"/>
      <c r="U5" s="327"/>
      <c r="V5" s="327"/>
      <c r="W5" s="327"/>
      <c r="X5" s="327"/>
      <c r="Y5" s="327"/>
      <c r="Z5" s="327"/>
    </row>
    <row r="6" spans="1:40" ht="39.75" customHeight="1" x14ac:dyDescent="0.35">
      <c r="A6" s="4"/>
      <c r="B6" s="4"/>
      <c r="C6" s="1712"/>
      <c r="D6" s="1713" t="s">
        <v>1437</v>
      </c>
      <c r="E6" s="1714"/>
      <c r="F6" s="1715" t="s">
        <v>1438</v>
      </c>
      <c r="G6" s="4"/>
      <c r="H6" s="1715" t="s">
        <v>1368</v>
      </c>
      <c r="I6" s="4"/>
      <c r="J6" s="1715" t="s">
        <v>1439</v>
      </c>
      <c r="K6" s="4"/>
      <c r="L6" s="1716"/>
      <c r="M6" s="4"/>
      <c r="N6" s="4"/>
      <c r="O6" s="2641"/>
      <c r="P6" s="2642" t="str">
        <f>Summary!E3</f>
        <v>AR5 100-yr GWP</v>
      </c>
      <c r="Q6" s="4"/>
      <c r="R6" s="4"/>
      <c r="S6" s="4"/>
      <c r="T6" s="4"/>
      <c r="U6" s="4"/>
      <c r="V6" s="4"/>
      <c r="W6" s="4"/>
      <c r="X6" s="4"/>
      <c r="Y6" s="4"/>
      <c r="Z6" s="4"/>
    </row>
    <row r="7" spans="1:40" ht="11.25" customHeight="1" x14ac:dyDescent="0.25">
      <c r="A7" s="4"/>
      <c r="B7" s="4"/>
      <c r="C7" s="1712" t="s">
        <v>1440</v>
      </c>
      <c r="D7" s="1717">
        <f>505233</f>
        <v>505233</v>
      </c>
      <c r="E7" s="26" t="s">
        <v>1235</v>
      </c>
      <c r="F7" s="1718">
        <v>0.44</v>
      </c>
      <c r="G7" s="1719" t="s">
        <v>1236</v>
      </c>
      <c r="H7" s="1717">
        <f t="shared" ref="H7:H9" si="0">J7*12/44</f>
        <v>60627.959999999992</v>
      </c>
      <c r="I7" s="1719" t="s">
        <v>1236</v>
      </c>
      <c r="J7" s="1717">
        <f t="shared" ref="J7:J9" si="1">IF(ISERROR(D7*F7),0,D7*F7)</f>
        <v>222302.52</v>
      </c>
      <c r="K7" s="4"/>
      <c r="L7" s="1716"/>
      <c r="M7" s="4"/>
      <c r="N7" s="1720"/>
      <c r="O7" s="2641" t="s">
        <v>521</v>
      </c>
      <c r="P7" s="2642">
        <f>Summary!E4</f>
        <v>1</v>
      </c>
      <c r="Q7" s="4"/>
      <c r="R7" s="4"/>
      <c r="S7" s="4"/>
      <c r="T7" s="4"/>
      <c r="U7" s="4"/>
      <c r="V7" s="4"/>
      <c r="W7" s="4"/>
      <c r="X7" s="4"/>
      <c r="Y7" s="4"/>
      <c r="Z7" s="4"/>
    </row>
    <row r="8" spans="1:40" ht="11.25" customHeight="1" x14ac:dyDescent="0.25">
      <c r="A8" s="4"/>
      <c r="B8" s="4"/>
      <c r="C8" s="1712" t="s">
        <v>1441</v>
      </c>
      <c r="D8" s="1717">
        <v>0</v>
      </c>
      <c r="E8" s="26" t="s">
        <v>1235</v>
      </c>
      <c r="F8" s="1718">
        <v>0.48400000000000004</v>
      </c>
      <c r="G8" s="1719" t="s">
        <v>1236</v>
      </c>
      <c r="H8" s="1717">
        <f t="shared" si="0"/>
        <v>0</v>
      </c>
      <c r="I8" s="1719" t="s">
        <v>1236</v>
      </c>
      <c r="J8" s="1717">
        <f t="shared" si="1"/>
        <v>0</v>
      </c>
      <c r="K8" s="4"/>
      <c r="L8" s="1716"/>
      <c r="M8" s="4"/>
      <c r="N8" s="4"/>
      <c r="O8" s="2641" t="s">
        <v>523</v>
      </c>
      <c r="P8" s="2642">
        <f>Summary!E5</f>
        <v>28</v>
      </c>
      <c r="Q8" s="4"/>
      <c r="R8" s="4"/>
      <c r="S8" s="4"/>
      <c r="T8" s="4"/>
      <c r="U8" s="4"/>
      <c r="V8" s="4"/>
      <c r="W8" s="4"/>
      <c r="X8" s="4"/>
      <c r="Y8" s="4"/>
      <c r="Z8" s="4"/>
    </row>
    <row r="9" spans="1:40" ht="11.25" customHeight="1" x14ac:dyDescent="0.25">
      <c r="A9" s="4"/>
      <c r="B9" s="4"/>
      <c r="C9" s="1712" t="s">
        <v>1442</v>
      </c>
      <c r="D9" s="1721"/>
      <c r="E9" s="26" t="s">
        <v>1235</v>
      </c>
      <c r="F9" s="1718">
        <v>1.7966666666666669</v>
      </c>
      <c r="G9" s="1719" t="s">
        <v>1236</v>
      </c>
      <c r="H9" s="1717">
        <f t="shared" si="0"/>
        <v>0</v>
      </c>
      <c r="I9" s="1719" t="s">
        <v>1236</v>
      </c>
      <c r="J9" s="1717">
        <f t="shared" si="1"/>
        <v>0</v>
      </c>
      <c r="K9" s="4"/>
      <c r="L9" s="1716"/>
      <c r="M9" s="4"/>
      <c r="N9" s="4"/>
      <c r="O9" s="2641" t="s">
        <v>525</v>
      </c>
      <c r="P9" s="2642">
        <f>Summary!E6</f>
        <v>265</v>
      </c>
      <c r="Q9" s="4"/>
      <c r="R9" s="4"/>
      <c r="S9" s="4"/>
      <c r="T9" s="4"/>
      <c r="U9" s="4"/>
      <c r="V9" s="4"/>
      <c r="W9" s="4"/>
      <c r="X9" s="4"/>
      <c r="Y9" s="4"/>
      <c r="Z9" s="4"/>
    </row>
    <row r="10" spans="1:40" ht="11.25" customHeight="1" x14ac:dyDescent="0.35">
      <c r="A10" s="327"/>
      <c r="B10" s="1253"/>
      <c r="C10" s="1192"/>
      <c r="D10" s="953"/>
      <c r="E10" s="953"/>
      <c r="F10" s="953"/>
      <c r="G10" s="953"/>
      <c r="H10" s="953"/>
      <c r="I10" s="953"/>
      <c r="J10" s="953"/>
      <c r="K10" s="953"/>
      <c r="L10" s="1193"/>
      <c r="M10" s="327"/>
      <c r="N10" s="327"/>
      <c r="O10" s="2641" t="s">
        <v>526</v>
      </c>
      <c r="P10" s="2643">
        <f>Summary!E7</f>
        <v>23500</v>
      </c>
      <c r="Q10" s="327"/>
      <c r="R10" s="327"/>
      <c r="S10" s="327"/>
      <c r="T10" s="327"/>
      <c r="U10" s="327"/>
      <c r="V10" s="327"/>
      <c r="W10" s="327"/>
      <c r="X10" s="327"/>
      <c r="Y10" s="327"/>
      <c r="Z10" s="327"/>
    </row>
    <row r="11" spans="1:40" ht="18" customHeight="1" x14ac:dyDescent="0.45">
      <c r="A11" s="327"/>
      <c r="B11" s="1253"/>
      <c r="C11" s="1709" t="s">
        <v>1443</v>
      </c>
      <c r="D11" s="1710"/>
      <c r="E11" s="1710"/>
      <c r="F11" s="1710"/>
      <c r="G11" s="1710"/>
      <c r="H11" s="1710"/>
      <c r="I11" s="1710"/>
      <c r="J11" s="1710"/>
      <c r="K11" s="1710"/>
      <c r="L11" s="1711"/>
      <c r="M11" s="327"/>
      <c r="N11" s="327"/>
      <c r="Q11" s="327"/>
      <c r="R11" s="327"/>
      <c r="S11" s="327"/>
      <c r="T11" s="327"/>
      <c r="U11" s="327"/>
      <c r="V11" s="327"/>
      <c r="W11" s="327"/>
      <c r="X11" s="327"/>
      <c r="Y11" s="327"/>
      <c r="Z11" s="327"/>
    </row>
    <row r="12" spans="1:40" ht="40.5" customHeight="1" x14ac:dyDescent="0.35">
      <c r="A12" s="4"/>
      <c r="B12" s="21"/>
      <c r="C12" s="1712"/>
      <c r="D12" s="1715" t="s">
        <v>1444</v>
      </c>
      <c r="E12" s="1714"/>
      <c r="F12" s="1715" t="s">
        <v>1445</v>
      </c>
      <c r="G12" s="4"/>
      <c r="H12" s="1715" t="s">
        <v>1368</v>
      </c>
      <c r="I12" s="4"/>
      <c r="J12" s="1715" t="s">
        <v>1446</v>
      </c>
      <c r="K12" s="4"/>
      <c r="L12" s="1716"/>
      <c r="M12" s="4"/>
      <c r="N12" s="4"/>
      <c r="O12" s="4"/>
      <c r="P12" s="4"/>
      <c r="Q12" s="4"/>
      <c r="R12" s="4"/>
      <c r="S12" s="4"/>
      <c r="T12" s="4"/>
      <c r="U12" s="4"/>
      <c r="V12" s="4"/>
      <c r="W12" s="4"/>
      <c r="X12" s="4"/>
      <c r="Y12" s="4"/>
      <c r="Z12" s="4"/>
    </row>
    <row r="13" spans="1:40" ht="11.25" customHeight="1" x14ac:dyDescent="0.25">
      <c r="A13" s="4"/>
      <c r="B13" s="21"/>
      <c r="C13" s="1712" t="s">
        <v>1447</v>
      </c>
      <c r="D13" s="1717">
        <v>0</v>
      </c>
      <c r="E13" s="26" t="s">
        <v>1235</v>
      </c>
      <c r="F13" s="1718">
        <v>9.74E-2</v>
      </c>
      <c r="G13" s="1719" t="s">
        <v>1236</v>
      </c>
      <c r="H13" s="1717">
        <f t="shared" ref="H13:H14" si="2">J13*12/44</f>
        <v>0</v>
      </c>
      <c r="I13" s="1719" t="s">
        <v>1236</v>
      </c>
      <c r="J13" s="1717">
        <f t="shared" ref="J13:J14" si="3">IF(ISERROR(D13*F13),0,D13*F13)</f>
        <v>0</v>
      </c>
      <c r="K13" s="4"/>
      <c r="L13" s="1716"/>
      <c r="M13" s="4"/>
      <c r="N13" s="4"/>
      <c r="O13" s="4"/>
      <c r="P13" s="4"/>
      <c r="Q13" s="4"/>
      <c r="R13" s="4"/>
      <c r="S13" s="4"/>
      <c r="T13" s="4"/>
      <c r="U13" s="4"/>
      <c r="V13" s="4"/>
      <c r="W13" s="4"/>
      <c r="X13" s="4"/>
      <c r="Y13" s="4"/>
      <c r="Z13" s="4"/>
    </row>
    <row r="14" spans="1:40" ht="11.25" customHeight="1" x14ac:dyDescent="0.25">
      <c r="A14" s="4"/>
      <c r="B14" s="21"/>
      <c r="C14" s="1712" t="s">
        <v>512</v>
      </c>
      <c r="D14" s="1717">
        <v>86880</v>
      </c>
      <c r="E14" s="26" t="s">
        <v>1235</v>
      </c>
      <c r="F14" s="1718">
        <v>0.41499999999999998</v>
      </c>
      <c r="G14" s="1719" t="s">
        <v>1236</v>
      </c>
      <c r="H14" s="1717">
        <f t="shared" si="2"/>
        <v>9833.2363636363625</v>
      </c>
      <c r="I14" s="1719" t="s">
        <v>1236</v>
      </c>
      <c r="J14" s="1717">
        <f t="shared" si="3"/>
        <v>36055.199999999997</v>
      </c>
      <c r="K14" s="4"/>
      <c r="L14" s="1716"/>
      <c r="M14" s="4"/>
      <c r="N14" s="4"/>
      <c r="O14" s="4"/>
      <c r="P14" s="4"/>
      <c r="Q14" s="4"/>
      <c r="R14" s="4"/>
      <c r="S14" s="4"/>
      <c r="T14" s="4"/>
      <c r="U14" s="4"/>
      <c r="V14" s="4"/>
      <c r="W14" s="4"/>
      <c r="X14" s="4"/>
      <c r="Y14" s="4"/>
      <c r="Z14" s="4"/>
    </row>
    <row r="15" spans="1:40" ht="11.25" customHeight="1" x14ac:dyDescent="0.35">
      <c r="A15" s="327"/>
      <c r="B15" s="1253"/>
      <c r="C15" s="1192"/>
      <c r="D15" s="953"/>
      <c r="E15" s="953"/>
      <c r="F15" s="953"/>
      <c r="G15" s="953"/>
      <c r="H15" s="953"/>
      <c r="I15" s="953"/>
      <c r="J15" s="953"/>
      <c r="K15" s="953"/>
      <c r="L15" s="1193"/>
      <c r="M15" s="327"/>
      <c r="N15" s="327"/>
      <c r="O15" s="327"/>
      <c r="P15" s="327"/>
      <c r="Q15" s="327"/>
      <c r="R15" s="327"/>
      <c r="S15" s="327"/>
      <c r="T15" s="327"/>
      <c r="U15" s="327"/>
      <c r="V15" s="327"/>
      <c r="W15" s="327"/>
      <c r="X15" s="327"/>
      <c r="Y15" s="327"/>
      <c r="Z15" s="327"/>
    </row>
    <row r="16" spans="1:40" ht="21" customHeight="1" x14ac:dyDescent="0.45">
      <c r="A16" s="327"/>
      <c r="B16" s="1253"/>
      <c r="C16" s="1709" t="s">
        <v>1448</v>
      </c>
      <c r="D16" s="1710"/>
      <c r="E16" s="1710"/>
      <c r="F16" s="1710"/>
      <c r="G16" s="1710"/>
      <c r="H16" s="1710"/>
      <c r="I16" s="1710"/>
      <c r="J16" s="1710"/>
      <c r="K16" s="1710"/>
      <c r="L16" s="1711"/>
      <c r="M16" s="327"/>
      <c r="N16" s="327"/>
      <c r="O16" s="327"/>
      <c r="P16" s="327"/>
      <c r="Q16" s="327"/>
      <c r="R16" s="327"/>
      <c r="S16" s="327"/>
      <c r="T16" s="327"/>
      <c r="U16" s="327"/>
      <c r="V16" s="327"/>
      <c r="W16" s="327"/>
      <c r="X16" s="327"/>
      <c r="Y16" s="327"/>
      <c r="Z16" s="327"/>
    </row>
    <row r="17" spans="1:30" ht="48" customHeight="1" x14ac:dyDescent="0.35">
      <c r="A17" s="4"/>
      <c r="B17" s="21"/>
      <c r="C17" s="1712"/>
      <c r="D17" s="1715" t="s">
        <v>1449</v>
      </c>
      <c r="E17" s="1714"/>
      <c r="F17" s="1715" t="s">
        <v>1450</v>
      </c>
      <c r="G17" s="4"/>
      <c r="H17" s="1715" t="s">
        <v>1451</v>
      </c>
      <c r="I17" s="4"/>
      <c r="J17" s="1715" t="s">
        <v>1368</v>
      </c>
      <c r="K17" s="4"/>
      <c r="L17" s="1715" t="s">
        <v>1452</v>
      </c>
      <c r="M17" s="4"/>
      <c r="N17" s="4"/>
      <c r="Q17" s="4"/>
      <c r="R17" s="4"/>
      <c r="S17" s="4"/>
      <c r="T17" s="4"/>
      <c r="U17" s="4"/>
      <c r="V17" s="4"/>
      <c r="W17" s="4"/>
      <c r="X17" s="4"/>
      <c r="Y17" s="4"/>
      <c r="Z17" s="4"/>
    </row>
    <row r="18" spans="1:30" ht="11.25" customHeight="1" x14ac:dyDescent="0.25">
      <c r="A18" s="4"/>
      <c r="B18" s="21"/>
      <c r="C18" s="1722" t="s">
        <v>1453</v>
      </c>
      <c r="D18" s="1717">
        <v>0</v>
      </c>
      <c r="E18" s="26" t="s">
        <v>1235</v>
      </c>
      <c r="F18" s="1723">
        <v>1.2</v>
      </c>
      <c r="G18" s="1719" t="s">
        <v>1256</v>
      </c>
      <c r="H18" s="1717">
        <f>D19*F19</f>
        <v>959.22</v>
      </c>
      <c r="I18" s="26" t="s">
        <v>1257</v>
      </c>
      <c r="J18" s="1717">
        <f t="shared" ref="J18:J19" si="4">L18*12/44</f>
        <v>0</v>
      </c>
      <c r="K18" s="1719" t="s">
        <v>1236</v>
      </c>
      <c r="L18" s="1724">
        <f>IF(D18&gt;0,D18*F18-(H18),0)</f>
        <v>0</v>
      </c>
      <c r="M18" s="4"/>
      <c r="N18" s="4"/>
      <c r="Q18" s="4"/>
      <c r="R18" s="4"/>
      <c r="S18" s="4"/>
      <c r="T18" s="4"/>
      <c r="U18" s="4"/>
      <c r="V18" s="4"/>
      <c r="W18" s="4"/>
      <c r="X18" s="4"/>
      <c r="Y18" s="4"/>
      <c r="Z18" s="4"/>
    </row>
    <row r="19" spans="1:30" ht="11.25" customHeight="1" x14ac:dyDescent="0.25">
      <c r="A19" s="4"/>
      <c r="B19" s="21"/>
      <c r="C19" s="1722" t="s">
        <v>1454</v>
      </c>
      <c r="D19" s="1717">
        <v>1314</v>
      </c>
      <c r="E19" s="26"/>
      <c r="F19" s="1725">
        <v>0.73</v>
      </c>
      <c r="G19" s="26"/>
      <c r="H19" s="26"/>
      <c r="I19" s="1719" t="s">
        <v>1455</v>
      </c>
      <c r="J19" s="1717">
        <f t="shared" si="4"/>
        <v>261.60545454545451</v>
      </c>
      <c r="K19" s="26" t="s">
        <v>1236</v>
      </c>
      <c r="L19" s="1724">
        <f>D19*F19</f>
        <v>959.22</v>
      </c>
      <c r="M19" s="4"/>
      <c r="N19" s="4"/>
      <c r="Q19" s="4"/>
      <c r="R19" s="4"/>
      <c r="S19" s="4"/>
      <c r="T19" s="4"/>
      <c r="U19" s="4"/>
      <c r="V19" s="4"/>
      <c r="W19" s="4"/>
      <c r="X19" s="4"/>
      <c r="Y19" s="4"/>
      <c r="Z19" s="4"/>
    </row>
    <row r="20" spans="1:30" ht="11.25" customHeight="1" x14ac:dyDescent="0.35">
      <c r="A20" s="327"/>
      <c r="B20" s="1253"/>
      <c r="C20" s="1192"/>
      <c r="D20" s="953"/>
      <c r="E20" s="953"/>
      <c r="F20" s="953"/>
      <c r="G20" s="953"/>
      <c r="H20" s="953"/>
      <c r="I20" s="953"/>
      <c r="J20" s="953"/>
      <c r="K20" s="953"/>
      <c r="L20" s="1193"/>
      <c r="M20" s="327"/>
      <c r="N20" s="327"/>
      <c r="Q20" s="327"/>
      <c r="R20" s="327"/>
      <c r="S20" s="327"/>
      <c r="T20" s="327"/>
      <c r="U20" s="327"/>
      <c r="V20" s="327"/>
      <c r="W20" s="327"/>
      <c r="X20" s="327"/>
      <c r="Y20" s="327"/>
      <c r="Z20" s="327"/>
    </row>
    <row r="21" spans="1:30" ht="11.25" customHeight="1" x14ac:dyDescent="0.35">
      <c r="A21" s="327"/>
      <c r="B21" s="1253"/>
      <c r="C21" s="1192"/>
      <c r="D21" s="953"/>
      <c r="E21" s="953"/>
      <c r="F21" s="953"/>
      <c r="G21" s="953"/>
      <c r="H21" s="953"/>
      <c r="I21" s="953"/>
      <c r="J21" s="953"/>
      <c r="K21" s="953"/>
      <c r="L21" s="1193"/>
      <c r="M21" s="327"/>
      <c r="N21" s="327"/>
      <c r="Q21" s="327"/>
      <c r="R21" s="327"/>
      <c r="S21" s="327"/>
      <c r="T21" s="327"/>
      <c r="U21" s="327"/>
      <c r="V21" s="327"/>
      <c r="W21" s="327"/>
      <c r="X21" s="327"/>
      <c r="Y21" s="327"/>
      <c r="Z21" s="327"/>
    </row>
    <row r="22" spans="1:30" ht="17.25" customHeight="1" x14ac:dyDescent="0.45">
      <c r="A22" s="327"/>
      <c r="B22" s="1253"/>
      <c r="C22" s="1709" t="s">
        <v>1456</v>
      </c>
      <c r="D22" s="1710"/>
      <c r="E22" s="1710"/>
      <c r="F22" s="1710"/>
      <c r="G22" s="1710"/>
      <c r="H22" s="1710"/>
      <c r="I22" s="1710"/>
      <c r="J22" s="1710"/>
      <c r="K22" s="1710"/>
      <c r="L22" s="1711"/>
      <c r="M22" s="327"/>
      <c r="N22" s="327"/>
      <c r="O22" s="4" t="s">
        <v>1457</v>
      </c>
      <c r="Q22" s="4"/>
      <c r="R22" s="4"/>
      <c r="S22" s="4"/>
      <c r="T22" s="4"/>
      <c r="U22" s="4"/>
      <c r="V22" s="4"/>
      <c r="W22" s="4"/>
      <c r="X22" s="4"/>
      <c r="Y22" s="4"/>
      <c r="Z22" s="4"/>
      <c r="AA22" s="4"/>
      <c r="AB22" s="4"/>
      <c r="AC22" s="4"/>
      <c r="AD22" s="4"/>
    </row>
    <row r="23" spans="1:30" ht="47.25" customHeight="1" x14ac:dyDescent="0.35">
      <c r="A23" s="4"/>
      <c r="B23" s="21"/>
      <c r="C23" s="1712"/>
      <c r="D23" s="1715" t="s">
        <v>1458</v>
      </c>
      <c r="E23" s="1714"/>
      <c r="F23" s="1715" t="s">
        <v>1459</v>
      </c>
      <c r="G23" s="1726"/>
      <c r="H23" s="1715" t="s">
        <v>1460</v>
      </c>
      <c r="I23" s="4"/>
      <c r="J23" s="1715" t="s">
        <v>1461</v>
      </c>
      <c r="K23" s="4"/>
      <c r="L23" s="1715" t="s">
        <v>1462</v>
      </c>
      <c r="M23" s="4"/>
      <c r="N23" s="327"/>
      <c r="O23" s="1727" t="s">
        <v>49</v>
      </c>
      <c r="P23" s="1728">
        <v>2006</v>
      </c>
      <c r="Q23" s="1728">
        <v>2007</v>
      </c>
      <c r="R23" s="1728">
        <v>2008</v>
      </c>
      <c r="S23" s="1728">
        <v>2009</v>
      </c>
      <c r="T23" s="1728">
        <v>2010</v>
      </c>
      <c r="U23" s="1728">
        <v>2011</v>
      </c>
      <c r="V23" s="1728">
        <v>2012</v>
      </c>
      <c r="W23" s="1728">
        <v>2013</v>
      </c>
      <c r="X23" s="1728">
        <v>2014</v>
      </c>
      <c r="Y23" s="1728">
        <v>2015</v>
      </c>
      <c r="Z23" s="1728">
        <v>2016</v>
      </c>
      <c r="AA23" s="1728">
        <v>2017</v>
      </c>
      <c r="AB23" s="1728">
        <v>2018</v>
      </c>
      <c r="AC23" s="1728">
        <v>2019</v>
      </c>
      <c r="AD23" s="1728">
        <v>2020</v>
      </c>
    </row>
    <row r="24" spans="1:30" ht="11.25" customHeight="1" x14ac:dyDescent="0.25">
      <c r="A24" s="4"/>
      <c r="B24" s="21"/>
      <c r="C24" s="1729">
        <v>2020</v>
      </c>
      <c r="D24" s="1717">
        <f>174900000</f>
        <v>174900000</v>
      </c>
      <c r="E24" s="26" t="s">
        <v>1235</v>
      </c>
      <c r="F24" s="1717">
        <v>6055802</v>
      </c>
      <c r="G24" s="1719" t="s">
        <v>1463</v>
      </c>
      <c r="H24" s="1717">
        <v>73980646</v>
      </c>
      <c r="I24" s="26" t="s">
        <v>1235</v>
      </c>
      <c r="J24" s="1730">
        <v>0.167295658742521</v>
      </c>
      <c r="K24" s="1719" t="s">
        <v>1236</v>
      </c>
      <c r="L24" s="1731">
        <f>D24*J24*(F24/H24)</f>
        <v>2395124.143715478</v>
      </c>
      <c r="M24" s="4"/>
      <c r="O24" s="1732" t="s">
        <v>1464</v>
      </c>
      <c r="P24" s="28">
        <v>1.6982968490000001</v>
      </c>
      <c r="Q24" s="28">
        <v>1.8171300619999999</v>
      </c>
      <c r="R24" s="28">
        <v>1.9474016679999999</v>
      </c>
      <c r="S24" s="28">
        <v>2.2363934209999998</v>
      </c>
      <c r="T24" s="28">
        <v>2.2756309529999998</v>
      </c>
      <c r="U24" s="28">
        <v>2.6494067449999998</v>
      </c>
      <c r="V24" s="28">
        <v>2.2622070939999999</v>
      </c>
      <c r="W24" s="28">
        <v>2.5985235260000001</v>
      </c>
      <c r="X24" s="28">
        <v>2.196976512</v>
      </c>
      <c r="Y24" s="28">
        <v>2.262649004</v>
      </c>
      <c r="Z24" s="28">
        <v>2.2813941510000002</v>
      </c>
      <c r="AA24" s="28">
        <v>2.282050693</v>
      </c>
      <c r="AB24" s="28">
        <v>2.298196554</v>
      </c>
      <c r="AC24" s="28">
        <v>2.3493700849999999</v>
      </c>
      <c r="AD24" s="28">
        <v>2.3950297410000001</v>
      </c>
    </row>
    <row r="25" spans="1:30" ht="11.25" customHeight="1" x14ac:dyDescent="0.35">
      <c r="A25" s="327"/>
      <c r="B25" s="1253"/>
      <c r="C25" s="1192"/>
      <c r="D25" s="953"/>
      <c r="E25" s="953"/>
      <c r="F25" s="953"/>
      <c r="G25" s="953"/>
      <c r="H25" s="953"/>
      <c r="I25" s="953"/>
      <c r="J25" s="953"/>
      <c r="K25" s="953"/>
      <c r="L25" s="1193"/>
      <c r="M25" s="327"/>
      <c r="O25" s="1732" t="s">
        <v>1465</v>
      </c>
      <c r="P25" s="28">
        <v>4.0139666930000004</v>
      </c>
      <c r="Q25" s="28">
        <v>4.2586197529999996</v>
      </c>
      <c r="R25" s="28">
        <v>4.5282625989999996</v>
      </c>
      <c r="S25" s="28">
        <v>5.2032449209999996</v>
      </c>
      <c r="T25" s="28">
        <v>5.2639995830000004</v>
      </c>
      <c r="U25" s="28">
        <v>6.0454015339999998</v>
      </c>
      <c r="V25" s="28">
        <v>5.0219706620000002</v>
      </c>
      <c r="W25" s="28">
        <v>5.7208557210000004</v>
      </c>
      <c r="X25" s="28">
        <v>4.88036066</v>
      </c>
      <c r="Y25" s="28">
        <v>5.0238306860000002</v>
      </c>
      <c r="Z25" s="28">
        <v>5.0214606010000002</v>
      </c>
      <c r="AA25" s="28">
        <v>4.9836886749999998</v>
      </c>
      <c r="AB25" s="28">
        <v>4.982590321</v>
      </c>
      <c r="AC25" s="28">
        <v>5.0639371200000003</v>
      </c>
      <c r="AD25" s="28">
        <f>AD24*AC26</f>
        <v>5.1623539800686133</v>
      </c>
    </row>
    <row r="26" spans="1:30" ht="11.25" customHeight="1" x14ac:dyDescent="0.35">
      <c r="A26" s="327"/>
      <c r="B26" s="1253"/>
      <c r="C26" s="1192"/>
      <c r="D26" s="953"/>
      <c r="E26" s="953"/>
      <c r="F26" s="953"/>
      <c r="G26" s="953"/>
      <c r="H26" s="953"/>
      <c r="I26" s="953"/>
      <c r="J26" s="953"/>
      <c r="K26" s="953"/>
      <c r="L26" s="1193"/>
      <c r="M26" s="327"/>
      <c r="O26" s="1733" t="s">
        <v>1466</v>
      </c>
      <c r="P26" s="626">
        <f t="shared" ref="P26:AC26" si="5">P25/P24</f>
        <v>2.3635247838818785</v>
      </c>
      <c r="Q26" s="626">
        <f t="shared" si="5"/>
        <v>2.3435965548403326</v>
      </c>
      <c r="R26" s="626">
        <f t="shared" si="5"/>
        <v>2.3252843383104258</v>
      </c>
      <c r="S26" s="626">
        <f t="shared" si="5"/>
        <v>2.3266232462235452</v>
      </c>
      <c r="T26" s="626">
        <f t="shared" si="5"/>
        <v>2.3132044218595231</v>
      </c>
      <c r="U26" s="626">
        <f t="shared" si="5"/>
        <v>2.2817944226227143</v>
      </c>
      <c r="V26" s="626">
        <f t="shared" si="5"/>
        <v>2.219942937726461</v>
      </c>
      <c r="W26" s="626">
        <f t="shared" si="5"/>
        <v>2.2015793444850265</v>
      </c>
      <c r="X26" s="626">
        <f t="shared" si="5"/>
        <v>2.2213986509838479</v>
      </c>
      <c r="Y26" s="626">
        <f t="shared" si="5"/>
        <v>2.2203314244138945</v>
      </c>
      <c r="Z26" s="626">
        <f t="shared" si="5"/>
        <v>2.2010491255090447</v>
      </c>
      <c r="AA26" s="626">
        <f t="shared" si="5"/>
        <v>2.1838641403922572</v>
      </c>
      <c r="AB26" s="626">
        <f t="shared" si="5"/>
        <v>2.168043595891668</v>
      </c>
      <c r="AC26" s="626">
        <f t="shared" si="5"/>
        <v>2.1554446242129623</v>
      </c>
      <c r="AD26" s="70"/>
    </row>
    <row r="27" spans="1:30" ht="22.5" customHeight="1" x14ac:dyDescent="0.45">
      <c r="A27" s="327"/>
      <c r="B27" s="1253"/>
      <c r="C27" s="1709" t="s">
        <v>1467</v>
      </c>
      <c r="D27" s="1710"/>
      <c r="E27" s="1710"/>
      <c r="F27" s="1710"/>
      <c r="G27" s="1710"/>
      <c r="H27" s="1710"/>
      <c r="I27" s="1710"/>
      <c r="J27" s="1710"/>
      <c r="K27" s="1710"/>
      <c r="L27" s="1711"/>
      <c r="M27" s="327"/>
      <c r="N27" s="327"/>
      <c r="O27" s="327" t="s">
        <v>1468</v>
      </c>
      <c r="P27" s="327"/>
      <c r="Q27" s="327"/>
      <c r="R27" s="327"/>
      <c r="S27" s="327"/>
      <c r="T27" s="327"/>
      <c r="U27" s="327"/>
      <c r="V27" s="327"/>
      <c r="W27" s="327"/>
      <c r="X27" s="327"/>
      <c r="Y27" s="327"/>
      <c r="Z27" s="327"/>
    </row>
    <row r="28" spans="1:30" ht="38.25" customHeight="1" x14ac:dyDescent="0.25">
      <c r="A28" s="4"/>
      <c r="B28" s="21"/>
      <c r="C28" s="1712"/>
      <c r="D28" s="1713" t="s">
        <v>1469</v>
      </c>
      <c r="E28" s="1734"/>
      <c r="F28" s="1713" t="s">
        <v>1470</v>
      </c>
      <c r="G28" s="1735"/>
      <c r="H28" s="1713" t="s">
        <v>1471</v>
      </c>
      <c r="I28" s="1735"/>
      <c r="J28" s="1736" t="s">
        <v>1382</v>
      </c>
      <c r="K28" s="1735"/>
      <c r="L28" s="1713" t="s">
        <v>1472</v>
      </c>
      <c r="M28" s="4"/>
      <c r="N28" s="4"/>
      <c r="O28" s="4"/>
      <c r="P28" s="4"/>
      <c r="Q28" s="4"/>
      <c r="R28" s="4"/>
      <c r="S28" s="4"/>
      <c r="T28" s="4"/>
      <c r="U28" s="4"/>
      <c r="V28" s="4"/>
      <c r="W28" s="4"/>
      <c r="X28" s="4"/>
      <c r="Y28" s="4"/>
      <c r="Z28" s="4"/>
    </row>
    <row r="29" spans="1:30" ht="11.25" customHeight="1" x14ac:dyDescent="0.25">
      <c r="A29" s="4"/>
      <c r="B29" s="21"/>
      <c r="C29" s="1737">
        <v>2020</v>
      </c>
      <c r="D29" s="1721">
        <v>2.58</v>
      </c>
      <c r="E29" s="26" t="s">
        <v>1235</v>
      </c>
      <c r="F29" s="1723">
        <v>1</v>
      </c>
      <c r="G29" s="1719" t="s">
        <v>1236</v>
      </c>
      <c r="H29" s="1738">
        <f>IF(ISERROR(D29*F29),,D29*F29)</f>
        <v>2.58</v>
      </c>
      <c r="I29" s="1719" t="s">
        <v>1236</v>
      </c>
      <c r="J29" s="1717">
        <f>H29*P10*12/44</f>
        <v>16535.454545454544</v>
      </c>
      <c r="K29" s="1719" t="s">
        <v>1236</v>
      </c>
      <c r="L29" s="1724">
        <f>J29/(12/44)</f>
        <v>60630</v>
      </c>
      <c r="M29" s="4"/>
      <c r="N29" s="4"/>
      <c r="O29" s="4"/>
      <c r="P29" s="4"/>
      <c r="Q29" s="4"/>
      <c r="R29" s="4"/>
      <c r="S29" s="4"/>
      <c r="T29" s="4"/>
      <c r="U29" s="4"/>
      <c r="V29" s="4"/>
      <c r="W29" s="4"/>
      <c r="X29" s="4"/>
      <c r="Y29" s="4"/>
      <c r="Z29" s="4"/>
    </row>
    <row r="30" spans="1:30" ht="11.25" customHeight="1" x14ac:dyDescent="0.35">
      <c r="A30" s="327"/>
      <c r="B30" s="1253"/>
      <c r="C30" s="1192"/>
      <c r="D30" s="953"/>
      <c r="E30" s="953"/>
      <c r="F30" s="953"/>
      <c r="G30" s="953"/>
      <c r="H30" s="953"/>
      <c r="I30" s="953"/>
      <c r="J30" s="953"/>
      <c r="K30" s="953"/>
      <c r="L30" s="1193"/>
      <c r="M30" s="327"/>
      <c r="N30" s="327"/>
      <c r="O30" s="327"/>
      <c r="P30" s="327"/>
      <c r="Q30" s="327"/>
      <c r="R30" s="327"/>
      <c r="S30" s="327"/>
      <c r="T30" s="327"/>
      <c r="U30" s="327"/>
      <c r="V30" s="327"/>
      <c r="W30" s="327"/>
      <c r="X30" s="327"/>
      <c r="Y30" s="327"/>
      <c r="Z30" s="327"/>
    </row>
    <row r="31" spans="1:30" ht="11.25" customHeight="1" x14ac:dyDescent="0.35">
      <c r="A31" s="327"/>
      <c r="B31" s="1253"/>
      <c r="C31" s="1192"/>
      <c r="D31" s="953"/>
      <c r="E31" s="953"/>
      <c r="F31" s="953"/>
      <c r="G31" s="953"/>
      <c r="H31" s="953"/>
      <c r="I31" s="953"/>
      <c r="J31" s="953"/>
      <c r="K31" s="953"/>
      <c r="L31" s="1193"/>
      <c r="M31" s="327"/>
      <c r="N31" s="327"/>
      <c r="O31" s="327"/>
      <c r="P31" s="327"/>
      <c r="Q31" s="327"/>
      <c r="R31" s="327"/>
      <c r="S31" s="327"/>
      <c r="T31" s="327"/>
      <c r="U31" s="327"/>
      <c r="V31" s="327"/>
      <c r="W31" s="327"/>
      <c r="X31" s="327"/>
      <c r="Y31" s="327"/>
      <c r="Z31" s="327"/>
    </row>
    <row r="32" spans="1:30" ht="19.5" customHeight="1" x14ac:dyDescent="0.45">
      <c r="A32" s="327"/>
      <c r="B32" s="1253"/>
      <c r="C32" s="1709" t="s">
        <v>1473</v>
      </c>
      <c r="D32" s="1710"/>
      <c r="E32" s="1710"/>
      <c r="F32" s="1710"/>
      <c r="G32" s="1710"/>
      <c r="H32" s="1710"/>
      <c r="I32" s="1710"/>
      <c r="J32" s="1710"/>
      <c r="K32" s="1710"/>
      <c r="L32" s="1711"/>
      <c r="M32" s="327"/>
      <c r="N32" s="327"/>
      <c r="O32" s="327"/>
      <c r="P32" s="327"/>
      <c r="Q32" s="327"/>
      <c r="R32" s="327"/>
      <c r="S32" s="327"/>
      <c r="T32" s="327"/>
      <c r="U32" s="327"/>
      <c r="V32" s="327"/>
      <c r="W32" s="327"/>
      <c r="X32" s="327"/>
      <c r="Y32" s="327"/>
      <c r="Z32" s="327"/>
    </row>
    <row r="33" spans="1:26" ht="36.75" customHeight="1" x14ac:dyDescent="0.25">
      <c r="A33" s="4"/>
      <c r="B33" s="21"/>
      <c r="C33" s="1712"/>
      <c r="D33" s="1713" t="s">
        <v>1474</v>
      </c>
      <c r="E33" s="1734"/>
      <c r="F33" s="1739" t="s">
        <v>1475</v>
      </c>
      <c r="G33" s="1735"/>
      <c r="H33" s="4"/>
      <c r="I33" s="4"/>
      <c r="J33" s="1713" t="s">
        <v>1368</v>
      </c>
      <c r="K33" s="1735"/>
      <c r="L33" s="1713" t="s">
        <v>1476</v>
      </c>
      <c r="M33" s="4"/>
      <c r="N33" s="4"/>
      <c r="O33" s="4"/>
      <c r="P33" s="4"/>
      <c r="Q33" s="4"/>
      <c r="R33" s="4"/>
      <c r="S33" s="4"/>
      <c r="T33" s="4"/>
      <c r="U33" s="4"/>
      <c r="V33" s="4"/>
      <c r="W33" s="4"/>
      <c r="X33" s="4"/>
      <c r="Y33" s="4"/>
      <c r="Z33" s="4"/>
    </row>
    <row r="34" spans="1:26" ht="11.25" customHeight="1" x14ac:dyDescent="0.3">
      <c r="A34" s="4"/>
      <c r="B34" s="21"/>
      <c r="C34" s="1737">
        <v>2020</v>
      </c>
      <c r="D34" s="1740">
        <v>0</v>
      </c>
      <c r="E34" s="1741" t="s">
        <v>1235</v>
      </c>
      <c r="F34" s="1742">
        <v>0.42545454545454542</v>
      </c>
      <c r="G34" s="1743" t="s">
        <v>1236</v>
      </c>
      <c r="H34" s="4"/>
      <c r="I34" s="4"/>
      <c r="J34" s="1744">
        <f>IF(ISERROR(D34*F34),0,D34*F34)</f>
        <v>0</v>
      </c>
      <c r="K34" s="1743" t="s">
        <v>1236</v>
      </c>
      <c r="L34" s="1745">
        <f>J34/(12/44)</f>
        <v>0</v>
      </c>
      <c r="M34" s="4"/>
      <c r="N34" s="4"/>
      <c r="O34" s="4"/>
      <c r="P34" s="4"/>
      <c r="Q34" s="4"/>
      <c r="R34" s="4"/>
      <c r="S34" s="4"/>
      <c r="T34" s="4"/>
      <c r="U34" s="4"/>
      <c r="V34" s="4"/>
      <c r="W34" s="4"/>
      <c r="X34" s="4"/>
      <c r="Y34" s="4"/>
      <c r="Z34" s="4"/>
    </row>
    <row r="35" spans="1:26" ht="11.25" customHeight="1" x14ac:dyDescent="0.35">
      <c r="A35" s="327"/>
      <c r="B35" s="1253"/>
      <c r="C35" s="1192"/>
      <c r="D35" s="953"/>
      <c r="E35" s="953"/>
      <c r="F35" s="953"/>
      <c r="G35" s="953"/>
      <c r="H35" s="953"/>
      <c r="I35" s="953"/>
      <c r="J35" s="953"/>
      <c r="K35" s="953"/>
      <c r="L35" s="1193"/>
      <c r="M35" s="327"/>
      <c r="N35" s="327"/>
      <c r="O35" s="327"/>
      <c r="P35" s="327"/>
      <c r="Q35" s="327"/>
      <c r="R35" s="327"/>
      <c r="S35" s="327"/>
      <c r="T35" s="327"/>
      <c r="U35" s="327"/>
      <c r="V35" s="327"/>
      <c r="W35" s="327"/>
      <c r="X35" s="327"/>
      <c r="Y35" s="327"/>
      <c r="Z35" s="327"/>
    </row>
    <row r="36" spans="1:26" ht="11.25" customHeight="1" x14ac:dyDescent="0.35">
      <c r="A36" s="327"/>
      <c r="B36" s="1253"/>
      <c r="C36" s="327"/>
      <c r="D36" s="327"/>
      <c r="E36" s="327"/>
      <c r="F36" s="327"/>
      <c r="G36" s="327"/>
      <c r="H36" s="327"/>
      <c r="I36" s="327"/>
      <c r="J36" s="327"/>
      <c r="K36" s="327"/>
      <c r="L36" s="327"/>
      <c r="M36" s="327"/>
      <c r="N36" s="327"/>
      <c r="O36" s="327"/>
      <c r="P36" s="327"/>
      <c r="Q36" s="327"/>
      <c r="R36" s="327"/>
      <c r="S36" s="327"/>
      <c r="T36" s="327"/>
      <c r="U36" s="327"/>
      <c r="V36" s="327"/>
      <c r="W36" s="327"/>
      <c r="X36" s="327"/>
      <c r="Y36" s="327"/>
      <c r="Z36" s="327"/>
    </row>
    <row r="37" spans="1:26" ht="11.25" customHeight="1" x14ac:dyDescent="0.35">
      <c r="A37" s="327"/>
      <c r="B37" s="1253"/>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row>
    <row r="38" spans="1:26" ht="11.25" customHeight="1" x14ac:dyDescent="0.35">
      <c r="A38" s="327"/>
      <c r="B38" s="1253"/>
      <c r="C38" s="376"/>
      <c r="D38" s="327"/>
      <c r="E38" s="327"/>
      <c r="F38" s="327"/>
      <c r="G38" s="327"/>
      <c r="H38" s="327"/>
      <c r="I38" s="327"/>
      <c r="J38" s="327"/>
      <c r="K38" s="327"/>
      <c r="L38" s="327"/>
      <c r="M38" s="327"/>
      <c r="N38" s="327"/>
      <c r="O38" s="327"/>
      <c r="P38" s="327"/>
      <c r="Q38" s="327"/>
      <c r="R38" s="327"/>
      <c r="S38" s="327"/>
      <c r="T38" s="327"/>
      <c r="U38" s="327"/>
      <c r="V38" s="327"/>
      <c r="W38" s="327"/>
      <c r="X38" s="327"/>
      <c r="Y38" s="327"/>
      <c r="Z38" s="327"/>
    </row>
    <row r="39" spans="1:26" ht="11.25" customHeight="1" x14ac:dyDescent="0.35">
      <c r="A39" s="327"/>
      <c r="B39" s="1253"/>
      <c r="C39" s="376"/>
      <c r="D39" s="327"/>
      <c r="E39" s="327"/>
      <c r="F39" s="327"/>
      <c r="G39" s="327"/>
      <c r="H39" s="327"/>
      <c r="I39" s="327"/>
      <c r="J39" s="327"/>
      <c r="K39" s="327"/>
      <c r="L39" s="327"/>
      <c r="M39" s="327"/>
      <c r="N39" s="327"/>
      <c r="O39" s="327"/>
      <c r="P39" s="327"/>
      <c r="Q39" s="327"/>
      <c r="R39" s="327"/>
      <c r="S39" s="327"/>
      <c r="T39" s="327"/>
      <c r="U39" s="327"/>
      <c r="V39" s="327"/>
      <c r="W39" s="327"/>
      <c r="X39" s="327"/>
      <c r="Y39" s="327"/>
      <c r="Z39" s="327"/>
    </row>
    <row r="40" spans="1:26" ht="11.25" customHeight="1" x14ac:dyDescent="0.35">
      <c r="A40" s="327"/>
      <c r="B40" s="1253"/>
      <c r="C40" s="376"/>
      <c r="D40" s="327"/>
      <c r="E40" s="327"/>
      <c r="F40" s="327"/>
      <c r="G40" s="327"/>
      <c r="H40" s="327"/>
      <c r="I40" s="327"/>
      <c r="J40" s="327"/>
      <c r="K40" s="327"/>
      <c r="L40" s="327"/>
      <c r="M40" s="327"/>
      <c r="N40" s="327"/>
      <c r="O40" s="327"/>
      <c r="P40" s="327"/>
      <c r="Q40" s="327"/>
      <c r="R40" s="327"/>
      <c r="S40" s="327"/>
      <c r="T40" s="327"/>
      <c r="U40" s="327"/>
      <c r="V40" s="327"/>
      <c r="W40" s="327"/>
      <c r="X40" s="327"/>
      <c r="Y40" s="327"/>
      <c r="Z40" s="327"/>
    </row>
    <row r="41" spans="1:26" ht="11.25" customHeight="1" x14ac:dyDescent="0.35">
      <c r="B41" s="376"/>
      <c r="C41" s="1746"/>
      <c r="D41" s="1747">
        <v>2020</v>
      </c>
    </row>
    <row r="42" spans="1:26" ht="11.25" customHeight="1" x14ac:dyDescent="0.3">
      <c r="B42" s="376"/>
      <c r="C42" s="1748" t="s">
        <v>1477</v>
      </c>
      <c r="D42" s="1749">
        <f>D43+D44+D45+D46+D47+D48</f>
        <v>259316.93999999997</v>
      </c>
    </row>
    <row r="43" spans="1:26" ht="11.25" customHeight="1" x14ac:dyDescent="0.3">
      <c r="B43" s="376"/>
      <c r="C43" s="1378" t="s">
        <v>1478</v>
      </c>
      <c r="D43" s="1750">
        <v>0</v>
      </c>
    </row>
    <row r="44" spans="1:26" ht="11.25" customHeight="1" x14ac:dyDescent="0.3">
      <c r="B44" s="376"/>
      <c r="C44" s="1378" t="s">
        <v>1479</v>
      </c>
      <c r="D44" s="1750">
        <v>0</v>
      </c>
    </row>
    <row r="45" spans="1:26" ht="11.25" customHeight="1" x14ac:dyDescent="0.3">
      <c r="B45" s="376"/>
      <c r="C45" s="1378" t="s">
        <v>1436</v>
      </c>
      <c r="D45" s="1751">
        <f>J7</f>
        <v>222302.52</v>
      </c>
    </row>
    <row r="46" spans="1:26" ht="11.25" customHeight="1" x14ac:dyDescent="0.3">
      <c r="B46" s="376"/>
      <c r="C46" s="1378" t="s">
        <v>1480</v>
      </c>
      <c r="D46" s="1751">
        <f>J14</f>
        <v>36055.199999999997</v>
      </c>
    </row>
    <row r="47" spans="1:26" ht="11.25" customHeight="1" x14ac:dyDescent="0.3">
      <c r="B47" s="376"/>
      <c r="C47" s="1378" t="s">
        <v>1481</v>
      </c>
      <c r="D47" s="1751">
        <f>L19</f>
        <v>959.22</v>
      </c>
    </row>
    <row r="48" spans="1:26" ht="11.25" customHeight="1" x14ac:dyDescent="0.3">
      <c r="B48" s="376"/>
      <c r="C48" s="1378" t="s">
        <v>1482</v>
      </c>
      <c r="D48" s="1750">
        <v>0</v>
      </c>
    </row>
    <row r="49" spans="2:4" ht="11.25" customHeight="1" x14ac:dyDescent="0.3">
      <c r="B49" s="376"/>
      <c r="C49" s="1752" t="s">
        <v>1483</v>
      </c>
      <c r="D49" s="1753">
        <f>D50+D51</f>
        <v>0</v>
      </c>
    </row>
    <row r="50" spans="2:4" ht="11.25" customHeight="1" x14ac:dyDescent="0.3">
      <c r="B50" s="376"/>
      <c r="C50" s="1378" t="s">
        <v>1484</v>
      </c>
      <c r="D50" s="1750">
        <v>0</v>
      </c>
    </row>
    <row r="51" spans="2:4" ht="11.25" customHeight="1" x14ac:dyDescent="0.3">
      <c r="B51" s="376"/>
      <c r="C51" s="1378" t="s">
        <v>1485</v>
      </c>
      <c r="D51" s="1750">
        <v>0</v>
      </c>
    </row>
    <row r="52" spans="2:4" ht="11.25" customHeight="1" x14ac:dyDescent="0.3">
      <c r="B52" s="376"/>
      <c r="C52" s="1754" t="s">
        <v>1486</v>
      </c>
      <c r="D52" s="1755">
        <f>D53+D54+D55+D56+D57+D58</f>
        <v>2455754.143715478</v>
      </c>
    </row>
    <row r="53" spans="2:4" ht="11.25" customHeight="1" x14ac:dyDescent="0.3">
      <c r="B53" s="376"/>
      <c r="C53" s="1378" t="s">
        <v>1487</v>
      </c>
      <c r="D53" s="1751">
        <f>L24</f>
        <v>2395124.143715478</v>
      </c>
    </row>
    <row r="54" spans="2:4" ht="11.25" customHeight="1" x14ac:dyDescent="0.3">
      <c r="B54" s="376"/>
      <c r="C54" s="1378" t="s">
        <v>1488</v>
      </c>
      <c r="D54" s="1750">
        <v>0</v>
      </c>
    </row>
    <row r="55" spans="2:4" ht="11.25" customHeight="1" x14ac:dyDescent="0.3">
      <c r="B55" s="376"/>
      <c r="C55" s="1378" t="s">
        <v>1489</v>
      </c>
      <c r="D55" s="1750">
        <v>0</v>
      </c>
    </row>
    <row r="56" spans="2:4" ht="11.25" customHeight="1" x14ac:dyDescent="0.3">
      <c r="B56" s="376"/>
      <c r="C56" s="1756" t="s">
        <v>1490</v>
      </c>
      <c r="D56" s="1751">
        <f>L29</f>
        <v>60630</v>
      </c>
    </row>
    <row r="57" spans="2:4" ht="11.25" customHeight="1" x14ac:dyDescent="0.3">
      <c r="B57" s="376"/>
      <c r="C57" s="1378" t="s">
        <v>1491</v>
      </c>
      <c r="D57" s="1750">
        <v>0</v>
      </c>
    </row>
    <row r="58" spans="2:4" ht="11.25" customHeight="1" x14ac:dyDescent="0.3">
      <c r="B58" s="376"/>
      <c r="C58" s="1378" t="s">
        <v>1492</v>
      </c>
      <c r="D58" s="1750">
        <f>L34</f>
        <v>0</v>
      </c>
    </row>
    <row r="59" spans="2:4" ht="11.25" customHeight="1" x14ac:dyDescent="0.35">
      <c r="B59" s="376"/>
      <c r="C59" s="1757" t="s">
        <v>1493</v>
      </c>
      <c r="D59" s="1758">
        <f>D42+D49+D52</f>
        <v>2715071.083715478</v>
      </c>
    </row>
    <row r="60" spans="2:4" ht="11.25" customHeight="1" x14ac:dyDescent="0.2"/>
    <row r="61" spans="2:4" ht="11.25" customHeight="1" x14ac:dyDescent="0.2"/>
    <row r="62" spans="2:4" ht="11.25" customHeight="1" x14ac:dyDescent="0.2"/>
    <row r="63" spans="2:4" ht="11.25" customHeight="1" x14ac:dyDescent="0.2"/>
    <row r="64" spans="2: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row r="1001" ht="11.25" customHeight="1" x14ac:dyDescent="0.2"/>
  </sheetData>
  <mergeCells count="1">
    <mergeCell ref="O5:P5"/>
  </mergeCells>
  <printOptions gridLines="1"/>
  <pageMargins left="0.28000000000000003" right="0.17" top="1" bottom="0.46" header="0" footer="0"/>
  <pageSetup orientation="portrait"/>
  <colBreaks count="1" manualBreakCount="1">
    <brk id="12" man="1"/>
  </colBreaks>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1000"/>
  <sheetViews>
    <sheetView workbookViewId="0"/>
  </sheetViews>
  <sheetFormatPr defaultColWidth="16.85546875" defaultRowHeight="15" customHeight="1" x14ac:dyDescent="0.2"/>
  <cols>
    <col min="1" max="1" width="8.85546875" customWidth="1"/>
    <col min="2" max="2" width="0.140625" customWidth="1"/>
    <col min="3" max="3" width="14.140625" customWidth="1"/>
    <col min="4" max="4" width="15.7109375" customWidth="1"/>
    <col min="5" max="5" width="5.85546875" customWidth="1"/>
    <col min="6" max="6" width="32.7109375" customWidth="1"/>
    <col min="7" max="7" width="28.85546875" customWidth="1"/>
    <col min="8" max="8" width="11.42578125" customWidth="1"/>
    <col min="9" max="26" width="8.85546875" customWidth="1"/>
  </cols>
  <sheetData>
    <row r="1" spans="1:8" ht="27" customHeight="1" x14ac:dyDescent="0.55000000000000004">
      <c r="A1" s="329" t="s">
        <v>1494</v>
      </c>
      <c r="B1" s="606"/>
      <c r="G1" s="327"/>
      <c r="H1" s="881"/>
    </row>
    <row r="2" spans="1:8" ht="68.25" customHeight="1" x14ac:dyDescent="0.2"/>
    <row r="3" spans="1:8" ht="11.25" customHeight="1" x14ac:dyDescent="0.2"/>
    <row r="4" spans="1:8" ht="11.25" customHeight="1" x14ac:dyDescent="0.2"/>
    <row r="5" spans="1:8" ht="11.25" customHeight="1" x14ac:dyDescent="0.2"/>
    <row r="6" spans="1:8" ht="18" customHeight="1" x14ac:dyDescent="0.35">
      <c r="D6" s="1759"/>
      <c r="E6" s="1089"/>
      <c r="F6" s="434" t="s">
        <v>1495</v>
      </c>
      <c r="G6" s="435" t="s">
        <v>1496</v>
      </c>
    </row>
    <row r="7" spans="1:8" ht="11.25" customHeight="1" x14ac:dyDescent="0.2">
      <c r="D7" s="942"/>
      <c r="E7" s="1110"/>
      <c r="F7" s="1110"/>
      <c r="G7" s="1760"/>
    </row>
    <row r="8" spans="1:8" ht="11.25" customHeight="1" x14ac:dyDescent="0.35">
      <c r="D8" s="1759"/>
      <c r="E8" s="1089" t="s">
        <v>1497</v>
      </c>
      <c r="F8" s="804">
        <v>0</v>
      </c>
      <c r="G8" s="1761">
        <v>0</v>
      </c>
    </row>
    <row r="9" spans="1:8" ht="11.25" customHeight="1" x14ac:dyDescent="0.35">
      <c r="D9" s="1762" t="s">
        <v>1498</v>
      </c>
      <c r="E9" s="1763" t="s">
        <v>1499</v>
      </c>
      <c r="F9" s="1764">
        <v>0</v>
      </c>
      <c r="G9" s="1765">
        <f t="shared" ref="G9:G10" si="0">F9*1.1023</f>
        <v>0</v>
      </c>
    </row>
    <row r="10" spans="1:8" ht="11.25" customHeight="1" x14ac:dyDescent="0.35">
      <c r="D10" s="1766"/>
      <c r="E10" s="1641" t="s">
        <v>1500</v>
      </c>
      <c r="F10" s="1767">
        <v>0</v>
      </c>
      <c r="G10" s="1760">
        <f t="shared" si="0"/>
        <v>0</v>
      </c>
    </row>
    <row r="11" spans="1:8" ht="11.25" customHeight="1" x14ac:dyDescent="0.35">
      <c r="D11" s="1768"/>
      <c r="E11" s="1089" t="s">
        <v>1501</v>
      </c>
      <c r="F11" s="1769"/>
      <c r="G11" s="1770">
        <v>0</v>
      </c>
    </row>
    <row r="12" spans="1:8" ht="11.25" customHeight="1" x14ac:dyDescent="0.35">
      <c r="D12" s="1771" t="s">
        <v>1502</v>
      </c>
      <c r="E12" s="1763" t="s">
        <v>1503</v>
      </c>
      <c r="F12" s="1772"/>
      <c r="G12" s="1773">
        <v>0</v>
      </c>
    </row>
    <row r="13" spans="1:8" ht="11.25" customHeight="1" x14ac:dyDescent="0.35">
      <c r="D13" s="1768"/>
      <c r="E13" s="1641" t="s">
        <v>1504</v>
      </c>
      <c r="F13" s="1774"/>
      <c r="G13" s="1775">
        <v>0</v>
      </c>
    </row>
    <row r="14" spans="1:8" ht="11.25" customHeight="1" x14ac:dyDescent="0.35">
      <c r="D14" s="1776" t="s">
        <v>1505</v>
      </c>
      <c r="E14" s="1777" t="s">
        <v>1506</v>
      </c>
      <c r="F14" s="1778">
        <v>0</v>
      </c>
      <c r="G14" s="1779">
        <f>F14*1.1023</f>
        <v>0</v>
      </c>
    </row>
    <row r="15" spans="1:8" ht="11.25" customHeight="1" x14ac:dyDescent="0.25">
      <c r="D15" s="1768"/>
      <c r="E15" s="1780"/>
      <c r="F15" s="1774"/>
      <c r="G15" s="1781"/>
    </row>
    <row r="16" spans="1:8" ht="11.25" customHeight="1" x14ac:dyDescent="0.35">
      <c r="D16" s="1776" t="s">
        <v>1507</v>
      </c>
      <c r="E16" s="1777" t="s">
        <v>1508</v>
      </c>
      <c r="F16" s="1778">
        <v>0</v>
      </c>
      <c r="G16" s="1782">
        <f>F16*1.1023</f>
        <v>0</v>
      </c>
    </row>
    <row r="17" spans="4:7" ht="11.25" customHeight="1" x14ac:dyDescent="0.25">
      <c r="D17" s="1768"/>
      <c r="E17" s="1780"/>
      <c r="F17" s="1774"/>
      <c r="G17" s="1781"/>
    </row>
    <row r="18" spans="4:7" ht="11.25" customHeight="1" x14ac:dyDescent="0.35">
      <c r="D18" s="1783"/>
      <c r="E18" s="1784" t="s">
        <v>1509</v>
      </c>
      <c r="F18" s="1785">
        <v>0</v>
      </c>
      <c r="G18" s="1786">
        <f>G8+G14+G16+G11</f>
        <v>0</v>
      </c>
    </row>
    <row r="19" spans="4:7" ht="11.25" customHeight="1" x14ac:dyDescent="0.35">
      <c r="D19" s="1787" t="s">
        <v>86</v>
      </c>
      <c r="E19" s="1788" t="s">
        <v>1510</v>
      </c>
      <c r="F19" s="1789">
        <f t="shared" ref="F19:F20" si="1">F9</f>
        <v>0</v>
      </c>
      <c r="G19" s="1790">
        <f t="shared" ref="G19:G20" si="2">G9+G12</f>
        <v>0</v>
      </c>
    </row>
    <row r="20" spans="4:7" ht="11.25" customHeight="1" x14ac:dyDescent="0.35">
      <c r="D20" s="1791"/>
      <c r="E20" s="1792" t="s">
        <v>1511</v>
      </c>
      <c r="F20" s="1793">
        <f t="shared" si="1"/>
        <v>0</v>
      </c>
      <c r="G20" s="1794">
        <f t="shared" si="2"/>
        <v>0</v>
      </c>
    </row>
    <row r="21" spans="4:7" ht="11.25" customHeight="1" x14ac:dyDescent="0.2">
      <c r="D21" s="951"/>
      <c r="E21" s="1795"/>
      <c r="F21" s="1796"/>
      <c r="G21" s="1797"/>
    </row>
    <row r="22" spans="4:7" ht="11.25" customHeight="1" x14ac:dyDescent="0.2"/>
    <row r="23" spans="4:7" ht="11.25" customHeight="1" x14ac:dyDescent="0.2"/>
    <row r="24" spans="4:7" ht="11.25" customHeight="1" x14ac:dyDescent="0.2"/>
    <row r="25" spans="4:7" ht="11.25" customHeight="1" x14ac:dyDescent="0.2"/>
    <row r="26" spans="4:7" ht="11.25" customHeight="1" x14ac:dyDescent="0.2"/>
    <row r="27" spans="4:7" ht="11.25" customHeight="1" x14ac:dyDescent="0.2"/>
    <row r="28" spans="4:7" ht="11.25" customHeight="1" x14ac:dyDescent="0.2"/>
    <row r="29" spans="4:7" ht="11.25" customHeight="1" x14ac:dyDescent="0.2"/>
    <row r="30" spans="4:7" ht="11.25" customHeight="1" x14ac:dyDescent="0.2"/>
    <row r="31" spans="4:7" ht="11.25" customHeight="1" x14ac:dyDescent="0.2"/>
    <row r="32" spans="4:7"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sheetData>
  <printOptions gridLines="1"/>
  <pageMargins left="0.75" right="0.75" top="1" bottom="1" header="0" footer="0"/>
  <pageSetup orientation="portrait"/>
  <colBreaks count="1" manualBreakCount="1">
    <brk id="8" man="1"/>
  </colBreak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1001"/>
  <sheetViews>
    <sheetView workbookViewId="0"/>
  </sheetViews>
  <sheetFormatPr defaultColWidth="16.85546875" defaultRowHeight="15" customHeight="1" x14ac:dyDescent="0.2"/>
  <cols>
    <col min="1" max="2" width="8.85546875" customWidth="1"/>
    <col min="3" max="3" width="26.28515625" customWidth="1"/>
    <col min="4" max="4" width="32.140625" customWidth="1"/>
    <col min="5" max="5" width="22.140625" customWidth="1"/>
    <col min="6" max="6" width="2.28515625" customWidth="1"/>
    <col min="7" max="7" width="18.140625" customWidth="1"/>
    <col min="8" max="8" width="2.28515625" customWidth="1"/>
    <col min="9" max="9" width="14.42578125" customWidth="1"/>
    <col min="10" max="10" width="15" customWidth="1"/>
    <col min="11" max="26" width="8.85546875" customWidth="1"/>
  </cols>
  <sheetData>
    <row r="1" spans="1:40" ht="15" customHeight="1" x14ac:dyDescent="0.2">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row>
    <row r="2" spans="1:40" ht="25.5" customHeight="1" x14ac:dyDescent="0.55000000000000004">
      <c r="A2" s="329" t="s">
        <v>1448</v>
      </c>
      <c r="B2" s="606"/>
      <c r="E2" s="881"/>
      <c r="G2" s="327"/>
      <c r="H2" s="327"/>
    </row>
    <row r="3" spans="1:40" ht="77.25" customHeight="1" x14ac:dyDescent="0.2">
      <c r="B3" s="1798"/>
      <c r="C3" s="1798"/>
      <c r="D3" s="1285"/>
      <c r="E3" s="1285"/>
      <c r="F3" s="1285"/>
      <c r="G3" s="1285"/>
      <c r="H3" s="1799"/>
      <c r="I3" s="327"/>
      <c r="J3" s="1799"/>
      <c r="K3" s="1799"/>
      <c r="L3" s="1799"/>
      <c r="M3" s="327"/>
      <c r="N3" s="327"/>
      <c r="O3" s="327"/>
      <c r="P3" s="327"/>
      <c r="Q3" s="327"/>
      <c r="R3" s="327"/>
      <c r="S3" s="327"/>
    </row>
    <row r="4" spans="1:40" ht="17.25" customHeight="1" x14ac:dyDescent="0.25">
      <c r="B4" s="1800"/>
      <c r="C4" s="1801"/>
      <c r="D4" s="1802" t="s">
        <v>1512</v>
      </c>
      <c r="E4" s="1802" t="s">
        <v>700</v>
      </c>
      <c r="F4" s="1802"/>
      <c r="G4" s="1802" t="s">
        <v>1513</v>
      </c>
      <c r="H4" s="1801"/>
      <c r="I4" s="1802" t="s">
        <v>529</v>
      </c>
      <c r="J4" s="1803" t="s">
        <v>529</v>
      </c>
      <c r="K4" s="327"/>
      <c r="L4" s="327"/>
      <c r="M4" s="327"/>
      <c r="N4" s="327"/>
      <c r="O4" s="327"/>
      <c r="P4" s="327"/>
      <c r="Q4" s="327"/>
      <c r="R4" s="327"/>
      <c r="S4" s="327"/>
    </row>
    <row r="5" spans="1:40" ht="11.25" customHeight="1" x14ac:dyDescent="0.3">
      <c r="B5" s="1804"/>
      <c r="C5" s="1805"/>
      <c r="D5" s="1806" t="s">
        <v>1514</v>
      </c>
      <c r="E5" s="1806" t="s">
        <v>1515</v>
      </c>
      <c r="F5" s="1806"/>
      <c r="G5" s="1806" t="s">
        <v>1516</v>
      </c>
      <c r="H5" s="1805"/>
      <c r="I5" s="1806" t="s">
        <v>1517</v>
      </c>
      <c r="J5" s="1807" t="s">
        <v>1518</v>
      </c>
      <c r="K5" s="327"/>
      <c r="L5" s="327"/>
      <c r="M5" s="327"/>
      <c r="N5" s="327"/>
      <c r="O5" s="327"/>
      <c r="P5" s="327"/>
      <c r="Q5" s="327"/>
      <c r="R5" s="327"/>
      <c r="S5" s="327"/>
    </row>
    <row r="6" spans="1:40" ht="11.25" customHeight="1" x14ac:dyDescent="0.25">
      <c r="B6" s="1804"/>
      <c r="C6" s="1808"/>
      <c r="D6" s="1806"/>
      <c r="E6" s="1806"/>
      <c r="F6" s="1806"/>
      <c r="G6" s="1806"/>
      <c r="H6" s="1806"/>
      <c r="I6" s="1806"/>
      <c r="J6" s="1809"/>
      <c r="K6" s="327"/>
      <c r="L6" s="327"/>
      <c r="M6" s="327"/>
      <c r="N6" s="327"/>
      <c r="O6" s="327"/>
      <c r="P6" s="327"/>
      <c r="Q6" s="327"/>
      <c r="R6" s="327"/>
      <c r="S6" s="327"/>
    </row>
    <row r="7" spans="1:40" ht="11.25" customHeight="1" x14ac:dyDescent="0.25">
      <c r="B7" s="1810"/>
      <c r="C7" s="1811"/>
      <c r="D7" s="1805"/>
      <c r="E7" s="1805"/>
      <c r="F7" s="1805"/>
      <c r="G7" s="1812"/>
      <c r="H7" s="1805"/>
      <c r="I7" s="1805"/>
      <c r="J7" s="1809"/>
      <c r="K7" s="327"/>
      <c r="L7" s="327"/>
      <c r="M7" s="327"/>
      <c r="N7" s="327"/>
      <c r="O7" s="327"/>
      <c r="P7" s="327"/>
      <c r="Q7" s="327"/>
      <c r="R7" s="327"/>
      <c r="S7" s="327"/>
    </row>
    <row r="8" spans="1:40" ht="11.25" customHeight="1" x14ac:dyDescent="0.25">
      <c r="B8" s="1813">
        <v>2020</v>
      </c>
      <c r="C8" s="1814" t="s">
        <v>1453</v>
      </c>
      <c r="D8" s="1815">
        <v>0</v>
      </c>
      <c r="E8" s="1816">
        <v>1.2</v>
      </c>
      <c r="F8" s="1816"/>
      <c r="G8" s="1817">
        <f>D9*E9</f>
        <v>959.22</v>
      </c>
      <c r="H8" s="1811"/>
      <c r="I8" s="1817">
        <f>IF(D8&gt;0,D8*E8-(G8),0)</f>
        <v>0</v>
      </c>
      <c r="J8" s="1818"/>
      <c r="K8" s="1819"/>
      <c r="L8" s="327"/>
      <c r="M8" s="327"/>
      <c r="N8" s="327"/>
      <c r="O8" s="327"/>
      <c r="P8" s="327"/>
      <c r="Q8" s="327"/>
      <c r="R8" s="327"/>
      <c r="S8" s="327"/>
    </row>
    <row r="9" spans="1:40" ht="11.25" customHeight="1" x14ac:dyDescent="0.25">
      <c r="B9" s="1820">
        <v>18</v>
      </c>
      <c r="C9" s="1814" t="s">
        <v>1454</v>
      </c>
      <c r="D9" s="1815">
        <v>1314</v>
      </c>
      <c r="E9" s="1821">
        <v>0.73</v>
      </c>
      <c r="F9" s="1821"/>
      <c r="G9" s="1811"/>
      <c r="H9" s="1811"/>
      <c r="I9" s="1817">
        <f>D9*E9</f>
        <v>959.22</v>
      </c>
      <c r="J9" s="1822">
        <f>I9/1000000</f>
        <v>9.5921999999999999E-4</v>
      </c>
      <c r="K9" s="1819"/>
      <c r="L9" s="327"/>
      <c r="M9" s="327"/>
      <c r="N9" s="327"/>
      <c r="O9" s="327"/>
      <c r="P9" s="327"/>
      <c r="Q9" s="327"/>
      <c r="R9" s="327"/>
      <c r="S9" s="327"/>
    </row>
    <row r="10" spans="1:40" ht="11.25" customHeight="1" x14ac:dyDescent="0.25">
      <c r="B10" s="1823"/>
      <c r="C10" s="1824"/>
      <c r="D10" s="1825"/>
      <c r="E10" s="1825"/>
      <c r="F10" s="1825"/>
      <c r="G10" s="1826"/>
      <c r="H10" s="1825"/>
      <c r="I10" s="1825"/>
      <c r="J10" s="1827"/>
      <c r="K10" s="327"/>
      <c r="L10" s="327"/>
      <c r="M10" s="327"/>
      <c r="N10" s="327"/>
      <c r="O10" s="327"/>
      <c r="P10" s="327"/>
      <c r="Q10" s="327"/>
      <c r="R10" s="327"/>
      <c r="S10" s="327"/>
    </row>
    <row r="11" spans="1:40" ht="11.25" customHeight="1" x14ac:dyDescent="0.2"/>
    <row r="12" spans="1:40" ht="11.25" customHeight="1" x14ac:dyDescent="0.2"/>
    <row r="13" spans="1:40" ht="11.25" customHeight="1" x14ac:dyDescent="0.2"/>
    <row r="14" spans="1:40" ht="11.25" customHeight="1" x14ac:dyDescent="0.2"/>
    <row r="15" spans="1:40" ht="11.25" customHeight="1" x14ac:dyDescent="0.2"/>
    <row r="16" spans="1:40" ht="11.25" customHeight="1" x14ac:dyDescent="0.2"/>
    <row r="17" ht="11.25" customHeight="1" x14ac:dyDescent="0.2"/>
    <row r="18" ht="11.25" customHeight="1" x14ac:dyDescent="0.2"/>
    <row r="19" ht="11.25" customHeight="1" x14ac:dyDescent="0.2"/>
    <row r="20" ht="11.25" customHeight="1" x14ac:dyDescent="0.2"/>
    <row r="21" ht="11.25" customHeight="1" x14ac:dyDescent="0.2"/>
    <row r="22" ht="11.25" customHeight="1" x14ac:dyDescent="0.2"/>
    <row r="23" ht="11.25" customHeight="1" x14ac:dyDescent="0.2"/>
    <row r="24" ht="11.25" customHeight="1" x14ac:dyDescent="0.2"/>
    <row r="25" ht="11.25" customHeight="1" x14ac:dyDescent="0.2"/>
    <row r="26" ht="11.25" customHeight="1" x14ac:dyDescent="0.2"/>
    <row r="27" ht="11.25" customHeight="1" x14ac:dyDescent="0.2"/>
    <row r="28" ht="11.25" customHeight="1" x14ac:dyDescent="0.2"/>
    <row r="29" ht="11.25" customHeight="1" x14ac:dyDescent="0.2"/>
    <row r="30" ht="11.25" customHeight="1" x14ac:dyDescent="0.2"/>
    <row r="31" ht="11.25" customHeight="1" x14ac:dyDescent="0.2"/>
    <row r="3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row r="1001" ht="11.25" customHeight="1" x14ac:dyDescent="0.2"/>
  </sheetData>
  <pageMargins left="0.75" right="0.75" top="1" bottom="1" header="0" footer="0"/>
  <pageSetup orientation="portrait"/>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C1004"/>
  <sheetViews>
    <sheetView workbookViewId="0"/>
  </sheetViews>
  <sheetFormatPr defaultColWidth="16.85546875" defaultRowHeight="15" customHeight="1" x14ac:dyDescent="0.2"/>
  <cols>
    <col min="1" max="1" width="6" customWidth="1"/>
    <col min="2" max="2" width="34.28515625" customWidth="1"/>
    <col min="3" max="3" width="16" customWidth="1"/>
    <col min="4" max="4" width="3.85546875" customWidth="1"/>
    <col min="5" max="5" width="15.28515625" customWidth="1"/>
    <col min="6" max="6" width="3.85546875" customWidth="1"/>
    <col min="7" max="7" width="17.140625" customWidth="1"/>
    <col min="8" max="8" width="3.85546875" customWidth="1"/>
    <col min="9" max="9" width="12.85546875" customWidth="1"/>
    <col min="10" max="10" width="3.85546875" customWidth="1"/>
    <col min="11" max="11" width="12.140625" customWidth="1"/>
    <col min="12" max="12" width="3.85546875" customWidth="1"/>
    <col min="13" max="13" width="14.140625" customWidth="1"/>
    <col min="14" max="14" width="8.7109375" customWidth="1"/>
    <col min="15" max="15" width="12.85546875" customWidth="1"/>
    <col min="16" max="16" width="3.85546875" customWidth="1"/>
    <col min="17" max="17" width="12.42578125" customWidth="1"/>
    <col min="18" max="18" width="3.85546875" customWidth="1"/>
    <col min="19" max="19" width="14.7109375" customWidth="1"/>
    <col min="20" max="20" width="3.85546875" customWidth="1"/>
    <col min="21" max="21" width="13" customWidth="1"/>
    <col min="22" max="22" width="3.85546875" customWidth="1"/>
    <col min="23" max="23" width="16.140625" customWidth="1"/>
    <col min="24" max="24" width="2.85546875" customWidth="1"/>
    <col min="25" max="25" width="14" customWidth="1"/>
    <col min="26" max="26" width="8.85546875" customWidth="1"/>
    <col min="27" max="27" width="17.7109375" customWidth="1"/>
    <col min="28" max="28" width="2.85546875" customWidth="1"/>
    <col min="29" max="29" width="14" customWidth="1"/>
    <col min="30" max="30" width="2.85546875" customWidth="1"/>
    <col min="31" max="31" width="15.140625" customWidth="1"/>
    <col min="32" max="34" width="8.85546875" customWidth="1"/>
    <col min="35" max="35" width="19.42578125" customWidth="1"/>
    <col min="36" max="36" width="15.140625" customWidth="1"/>
    <col min="37" max="37" width="13.7109375" customWidth="1"/>
    <col min="38" max="44" width="8.85546875" customWidth="1"/>
    <col min="45" max="45" width="14" customWidth="1"/>
    <col min="46" max="55" width="8.85546875" customWidth="1"/>
    <col min="56" max="56" width="14.140625" customWidth="1"/>
    <col min="57" max="57" width="14.7109375" customWidth="1"/>
    <col min="58" max="58" width="9" customWidth="1"/>
    <col min="59" max="62" width="8.85546875" customWidth="1"/>
    <col min="63" max="63" width="17" customWidth="1"/>
    <col min="64" max="64" width="24.85546875" customWidth="1"/>
    <col min="65" max="73" width="8.85546875" customWidth="1"/>
    <col min="74" max="74" width="19.28515625" customWidth="1"/>
    <col min="75" max="75" width="19.7109375" customWidth="1"/>
    <col min="76" max="81" width="8.85546875" customWidth="1"/>
  </cols>
  <sheetData>
    <row r="1" spans="1:81" ht="15" customHeight="1" x14ac:dyDescent="0.2">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row>
    <row r="2" spans="1:81" ht="24.75" customHeight="1" x14ac:dyDescent="0.55000000000000004">
      <c r="B2" s="2636" t="s">
        <v>2071</v>
      </c>
      <c r="E2" s="881"/>
    </row>
    <row r="3" spans="1:81" ht="254.25" customHeight="1" x14ac:dyDescent="0.3">
      <c r="A3" s="327"/>
      <c r="B3" s="2997"/>
      <c r="C3" s="2943"/>
      <c r="D3" s="2943"/>
      <c r="E3" s="2943"/>
      <c r="F3" s="2943"/>
      <c r="G3" s="2943"/>
      <c r="H3" s="2943"/>
      <c r="I3" s="2943"/>
      <c r="J3" s="2943"/>
      <c r="K3" s="2943"/>
      <c r="L3" s="2943"/>
      <c r="M3" s="2943"/>
      <c r="N3" s="2943"/>
      <c r="O3" s="2943"/>
      <c r="P3" s="2943"/>
      <c r="Q3" s="2943"/>
      <c r="R3" s="2943"/>
      <c r="S3" s="2943"/>
      <c r="T3" s="327"/>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c r="AT3" s="327"/>
      <c r="AU3" s="327"/>
      <c r="AV3" s="327"/>
      <c r="AW3" s="327"/>
      <c r="AX3" s="327"/>
      <c r="AY3" s="327"/>
      <c r="AZ3" s="327"/>
      <c r="BA3" s="327"/>
      <c r="BB3" s="327"/>
      <c r="BC3" s="327"/>
      <c r="BD3" s="327"/>
      <c r="BE3" s="327"/>
      <c r="BF3" s="327"/>
      <c r="BG3" s="327"/>
      <c r="BH3" s="327"/>
      <c r="BI3" s="327"/>
      <c r="BJ3" s="327"/>
      <c r="BK3" s="327"/>
      <c r="BL3" s="327"/>
      <c r="BM3" s="327"/>
      <c r="BN3" s="327"/>
      <c r="BO3" s="327"/>
      <c r="BP3" s="327"/>
      <c r="BQ3" s="327"/>
      <c r="BR3" s="327"/>
      <c r="BS3" s="327"/>
      <c r="BT3" s="327"/>
      <c r="BU3" s="327"/>
      <c r="BV3" s="327"/>
      <c r="BW3" s="327"/>
      <c r="BX3" s="327"/>
      <c r="BY3" s="327"/>
      <c r="BZ3" s="327"/>
      <c r="CA3" s="327"/>
      <c r="CB3" s="327"/>
      <c r="CC3" s="327"/>
    </row>
    <row r="4" spans="1:81" ht="134.25" customHeight="1" x14ac:dyDescent="0.3">
      <c r="A4" s="327"/>
      <c r="B4" s="376"/>
      <c r="C4" s="140"/>
      <c r="D4" s="140"/>
      <c r="E4" s="140"/>
      <c r="F4" s="140"/>
      <c r="G4" s="140"/>
      <c r="H4" s="140"/>
      <c r="I4" s="140"/>
      <c r="J4" s="140"/>
      <c r="K4" s="140"/>
      <c r="L4" s="140"/>
      <c r="M4" s="140"/>
      <c r="N4" s="140"/>
      <c r="O4" s="140"/>
      <c r="P4" s="140"/>
      <c r="Q4" s="140"/>
      <c r="R4" s="140"/>
      <c r="S4" s="140"/>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27"/>
      <c r="BP4" s="327"/>
      <c r="BQ4" s="327"/>
      <c r="BR4" s="327"/>
      <c r="BS4" s="327"/>
      <c r="BT4" s="327"/>
      <c r="BU4" s="327"/>
      <c r="BV4" s="327"/>
      <c r="BW4" s="327"/>
      <c r="BX4" s="327"/>
      <c r="BY4" s="327"/>
      <c r="BZ4" s="327"/>
      <c r="CA4" s="327"/>
      <c r="CB4" s="327"/>
      <c r="CC4" s="327"/>
    </row>
    <row r="5" spans="1:81" ht="23.25" customHeight="1" thickBot="1" x14ac:dyDescent="0.35">
      <c r="A5" s="327"/>
      <c r="B5" s="376"/>
      <c r="C5" s="140"/>
      <c r="D5" s="140"/>
      <c r="E5" s="140"/>
      <c r="F5" s="140"/>
      <c r="G5" s="140"/>
      <c r="H5" s="140"/>
      <c r="I5" s="140"/>
      <c r="J5" s="140"/>
      <c r="K5" s="140"/>
      <c r="L5" s="140"/>
      <c r="M5" s="140"/>
      <c r="N5" s="140"/>
      <c r="O5" s="140"/>
      <c r="P5" s="140"/>
      <c r="Q5" s="140"/>
      <c r="R5" s="140"/>
      <c r="S5" s="140"/>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27"/>
      <c r="BP5" s="327"/>
      <c r="BQ5" s="327"/>
      <c r="BR5" s="327"/>
      <c r="BS5" s="327"/>
      <c r="BT5" s="327"/>
      <c r="BU5" s="327"/>
      <c r="BV5" s="327"/>
      <c r="BW5" s="327"/>
      <c r="BX5" s="327"/>
      <c r="BY5" s="327"/>
      <c r="BZ5" s="327"/>
      <c r="CA5" s="327"/>
      <c r="CB5" s="327"/>
      <c r="CC5" s="327"/>
    </row>
    <row r="6" spans="1:81" ht="17.25" customHeight="1" x14ac:dyDescent="0.45">
      <c r="B6" s="1828" t="s">
        <v>1519</v>
      </c>
      <c r="C6" s="1829"/>
      <c r="D6" s="1829"/>
      <c r="E6" s="1829"/>
      <c r="F6" s="1829"/>
      <c r="G6" s="1829"/>
      <c r="H6" s="1829"/>
      <c r="I6" s="1829"/>
      <c r="J6" s="1829"/>
      <c r="K6" s="1829"/>
      <c r="L6" s="1829"/>
      <c r="M6" s="1830"/>
      <c r="Y6" s="2933" t="s">
        <v>1</v>
      </c>
      <c r="Z6" s="2934"/>
    </row>
    <row r="7" spans="1:81" ht="18.75" customHeight="1" x14ac:dyDescent="0.25">
      <c r="B7" s="936"/>
      <c r="C7" s="1831" t="s">
        <v>1520</v>
      </c>
      <c r="D7" s="1831"/>
      <c r="E7" s="1831" t="s">
        <v>1521</v>
      </c>
      <c r="F7" s="1831"/>
      <c r="G7" s="1831" t="s">
        <v>1522</v>
      </c>
      <c r="H7" s="1832"/>
      <c r="I7" s="1831" t="s">
        <v>1523</v>
      </c>
      <c r="J7" s="1832"/>
      <c r="K7" s="1831" t="s">
        <v>1524</v>
      </c>
      <c r="L7" s="1832"/>
      <c r="M7" s="1833" t="s">
        <v>1525</v>
      </c>
      <c r="Y7" s="2641"/>
      <c r="Z7" s="2642" t="str">
        <f>Summary!E3</f>
        <v>AR5 100-yr GWP</v>
      </c>
    </row>
    <row r="8" spans="1:81" ht="11.25" customHeight="1" x14ac:dyDescent="0.3">
      <c r="B8" s="1834" t="s">
        <v>1526</v>
      </c>
      <c r="C8" s="1835"/>
      <c r="D8" s="1836"/>
      <c r="E8" s="755"/>
      <c r="F8" s="755"/>
      <c r="G8" s="755"/>
      <c r="H8" s="755"/>
      <c r="I8" s="1837"/>
      <c r="J8" s="755"/>
      <c r="K8" s="755"/>
      <c r="L8" s="755"/>
      <c r="M8" s="1761"/>
      <c r="Y8" s="2641" t="s">
        <v>521</v>
      </c>
      <c r="Z8" s="2642">
        <f>Summary!E4</f>
        <v>1</v>
      </c>
    </row>
    <row r="9" spans="1:81" ht="11.25" customHeight="1" x14ac:dyDescent="0.3">
      <c r="B9" s="1838" t="s">
        <v>1527</v>
      </c>
      <c r="C9" s="1839">
        <v>42</v>
      </c>
      <c r="D9" s="1836" t="s">
        <v>1235</v>
      </c>
      <c r="E9" s="1840">
        <v>143.30000000000001</v>
      </c>
      <c r="F9" s="1836" t="s">
        <v>1236</v>
      </c>
      <c r="G9" s="1841">
        <f t="shared" ref="G9:G12" si="0">C9*E9*1000</f>
        <v>6018600</v>
      </c>
      <c r="H9" s="1836" t="s">
        <v>1236</v>
      </c>
      <c r="I9" s="1842">
        <f t="shared" ref="I9:I12" si="1">G9/1000*10^-6</f>
        <v>6.0185999999999998E-3</v>
      </c>
      <c r="J9" s="1836" t="s">
        <v>1236</v>
      </c>
      <c r="K9" s="1843">
        <f>(I9*Z9)*(12/44)</f>
        <v>4.5960218181818176E-2</v>
      </c>
      <c r="L9" s="1836" t="s">
        <v>1236</v>
      </c>
      <c r="M9" s="1844">
        <f t="shared" ref="M9:M12" si="2">K9/(12/44)</f>
        <v>0.1685208</v>
      </c>
      <c r="Y9" s="2641" t="s">
        <v>523</v>
      </c>
      <c r="Z9" s="2642">
        <f>Summary!E5</f>
        <v>28</v>
      </c>
    </row>
    <row r="10" spans="1:81" ht="11.25" customHeight="1" x14ac:dyDescent="0.3">
      <c r="B10" s="1838" t="s">
        <v>1528</v>
      </c>
      <c r="C10" s="1845">
        <v>26</v>
      </c>
      <c r="D10" s="1836" t="s">
        <v>1235</v>
      </c>
      <c r="E10" s="1840">
        <v>66</v>
      </c>
      <c r="F10" s="1836" t="s">
        <v>1236</v>
      </c>
      <c r="G10" s="1841">
        <f t="shared" si="0"/>
        <v>1716000</v>
      </c>
      <c r="H10" s="1836" t="s">
        <v>1236</v>
      </c>
      <c r="I10" s="1842">
        <f t="shared" si="1"/>
        <v>1.7159999999999999E-3</v>
      </c>
      <c r="J10" s="1836" t="s">
        <v>1236</v>
      </c>
      <c r="K10" s="1843">
        <f>(I10*Z9)*(12/44)</f>
        <v>1.3103999999999998E-2</v>
      </c>
      <c r="L10" s="1836" t="s">
        <v>1236</v>
      </c>
      <c r="M10" s="1844">
        <f t="shared" si="2"/>
        <v>4.8047999999999993E-2</v>
      </c>
      <c r="Y10" s="2641" t="s">
        <v>525</v>
      </c>
      <c r="Z10" s="2642">
        <f>Summary!E6</f>
        <v>265</v>
      </c>
    </row>
    <row r="11" spans="1:81" ht="11.25" customHeight="1" x14ac:dyDescent="0.3">
      <c r="B11" s="1838" t="s">
        <v>1529</v>
      </c>
      <c r="C11" s="1845">
        <v>0</v>
      </c>
      <c r="D11" s="1836" t="s">
        <v>1235</v>
      </c>
      <c r="E11" s="1840">
        <v>48.3</v>
      </c>
      <c r="F11" s="1836" t="s">
        <v>1236</v>
      </c>
      <c r="G11" s="1841">
        <f t="shared" si="0"/>
        <v>0</v>
      </c>
      <c r="H11" s="1836" t="s">
        <v>1236</v>
      </c>
      <c r="I11" s="1842">
        <f t="shared" si="1"/>
        <v>0</v>
      </c>
      <c r="J11" s="1836" t="s">
        <v>1236</v>
      </c>
      <c r="K11" s="1843">
        <f>(I11*Z9)*(12/44)</f>
        <v>0</v>
      </c>
      <c r="L11" s="1836" t="s">
        <v>1236</v>
      </c>
      <c r="M11" s="1844">
        <f t="shared" si="2"/>
        <v>0</v>
      </c>
      <c r="Y11" s="2641" t="s">
        <v>526</v>
      </c>
      <c r="Z11" s="2643">
        <f>Summary!E7</f>
        <v>23500</v>
      </c>
    </row>
    <row r="12" spans="1:81" ht="11.25" customHeight="1" x14ac:dyDescent="0.3">
      <c r="B12" s="1838" t="s">
        <v>1530</v>
      </c>
      <c r="C12" s="1845">
        <v>0</v>
      </c>
      <c r="D12" s="1836" t="s">
        <v>1235</v>
      </c>
      <c r="E12" s="1840">
        <v>72.900000000000006</v>
      </c>
      <c r="F12" s="1836" t="s">
        <v>1236</v>
      </c>
      <c r="G12" s="1841">
        <f t="shared" si="0"/>
        <v>0</v>
      </c>
      <c r="H12" s="1836" t="s">
        <v>1236</v>
      </c>
      <c r="I12" s="1842">
        <f t="shared" si="1"/>
        <v>0</v>
      </c>
      <c r="J12" s="1836" t="s">
        <v>1236</v>
      </c>
      <c r="K12" s="1843">
        <f>(I12*Z9)*(12/44)</f>
        <v>0</v>
      </c>
      <c r="L12" s="1836" t="s">
        <v>1236</v>
      </c>
      <c r="M12" s="1844">
        <f t="shared" si="2"/>
        <v>0</v>
      </c>
    </row>
    <row r="13" spans="1:81" ht="11.25" customHeight="1" x14ac:dyDescent="0.3">
      <c r="B13" s="1834" t="s">
        <v>1531</v>
      </c>
      <c r="C13" s="1846"/>
      <c r="D13" s="1836"/>
      <c r="E13" s="1840"/>
      <c r="F13" s="1836"/>
      <c r="G13" s="1841"/>
      <c r="H13" s="1836"/>
      <c r="I13" s="1842"/>
      <c r="J13" s="1836"/>
      <c r="K13" s="1843"/>
      <c r="L13" s="1836"/>
      <c r="M13" s="1844"/>
    </row>
    <row r="14" spans="1:81" ht="11.25" customHeight="1" x14ac:dyDescent="0.3">
      <c r="B14" s="1838" t="s">
        <v>1532</v>
      </c>
      <c r="C14" s="1845">
        <v>47</v>
      </c>
      <c r="D14" s="1836" t="s">
        <v>1235</v>
      </c>
      <c r="E14" s="1840">
        <v>94.4</v>
      </c>
      <c r="F14" s="1836" t="s">
        <v>1236</v>
      </c>
      <c r="G14" s="1841">
        <f t="shared" ref="G14:G22" si="3">C14*E14*1000</f>
        <v>4436800</v>
      </c>
      <c r="H14" s="1836" t="s">
        <v>1236</v>
      </c>
      <c r="I14" s="1842">
        <f t="shared" ref="I14:I22" si="4">G14/1000*10^-6</f>
        <v>4.4368000000000003E-3</v>
      </c>
      <c r="J14" s="1836" t="s">
        <v>1236</v>
      </c>
      <c r="K14" s="1843">
        <f>(I14*Z9)*(12/44)</f>
        <v>3.3881018181818177E-2</v>
      </c>
      <c r="L14" s="1836" t="s">
        <v>1236</v>
      </c>
      <c r="M14" s="1844">
        <f t="shared" ref="M14:M22" si="5">K14/(12/44)</f>
        <v>0.12423039999999999</v>
      </c>
    </row>
    <row r="15" spans="1:81" ht="11.25" customHeight="1" x14ac:dyDescent="0.3">
      <c r="B15" s="1838" t="s">
        <v>1533</v>
      </c>
      <c r="C15" s="1845">
        <v>11</v>
      </c>
      <c r="D15" s="1836" t="s">
        <v>1235</v>
      </c>
      <c r="E15" s="1840">
        <v>66.7</v>
      </c>
      <c r="F15" s="1836" t="s">
        <v>1236</v>
      </c>
      <c r="G15" s="1841">
        <f t="shared" si="3"/>
        <v>733700</v>
      </c>
      <c r="H15" s="1836" t="s">
        <v>1236</v>
      </c>
      <c r="I15" s="1842">
        <f t="shared" si="4"/>
        <v>7.337E-4</v>
      </c>
      <c r="J15" s="1836" t="s">
        <v>1236</v>
      </c>
      <c r="K15" s="1843">
        <f>(I15*Z9)*(12/44)</f>
        <v>5.6027999999999989E-3</v>
      </c>
      <c r="L15" s="1836" t="s">
        <v>1236</v>
      </c>
      <c r="M15" s="1844">
        <f t="shared" si="5"/>
        <v>2.0543599999999999E-2</v>
      </c>
    </row>
    <row r="16" spans="1:81" ht="11.25" customHeight="1" x14ac:dyDescent="0.3">
      <c r="B16" s="1838" t="s">
        <v>1529</v>
      </c>
      <c r="C16" s="1845">
        <v>0</v>
      </c>
      <c r="D16" s="1836" t="s">
        <v>1235</v>
      </c>
      <c r="E16" s="1840">
        <v>59.9</v>
      </c>
      <c r="F16" s="1836" t="s">
        <v>1236</v>
      </c>
      <c r="G16" s="1841">
        <f t="shared" si="3"/>
        <v>0</v>
      </c>
      <c r="H16" s="1836" t="s">
        <v>1236</v>
      </c>
      <c r="I16" s="1842">
        <f t="shared" si="4"/>
        <v>0</v>
      </c>
      <c r="J16" s="1836" t="s">
        <v>1236</v>
      </c>
      <c r="K16" s="1843">
        <f>(I16*Z9)*(12/44)</f>
        <v>0</v>
      </c>
      <c r="L16" s="1836" t="s">
        <v>1236</v>
      </c>
      <c r="M16" s="1844">
        <f t="shared" si="5"/>
        <v>0</v>
      </c>
    </row>
    <row r="17" spans="2:24" ht="11.25" customHeight="1" x14ac:dyDescent="0.3">
      <c r="B17" s="1838" t="s">
        <v>1530</v>
      </c>
      <c r="C17" s="1845">
        <v>0</v>
      </c>
      <c r="D17" s="1836" t="s">
        <v>1235</v>
      </c>
      <c r="E17" s="1840">
        <v>69.400000000000006</v>
      </c>
      <c r="F17" s="1836" t="s">
        <v>1236</v>
      </c>
      <c r="G17" s="1841">
        <f t="shared" si="3"/>
        <v>0</v>
      </c>
      <c r="H17" s="1836" t="s">
        <v>1236</v>
      </c>
      <c r="I17" s="1842">
        <f t="shared" si="4"/>
        <v>0</v>
      </c>
      <c r="J17" s="1836" t="s">
        <v>1236</v>
      </c>
      <c r="K17" s="1843">
        <f>(I17*Z9)*(12/44)</f>
        <v>0</v>
      </c>
      <c r="L17" s="1836" t="s">
        <v>1236</v>
      </c>
      <c r="M17" s="1844">
        <f t="shared" si="5"/>
        <v>0</v>
      </c>
    </row>
    <row r="18" spans="2:24" ht="11.25" customHeight="1" x14ac:dyDescent="0.3">
      <c r="B18" s="1838" t="s">
        <v>1534</v>
      </c>
      <c r="C18" s="1845">
        <v>10</v>
      </c>
      <c r="D18" s="1836" t="s">
        <v>1235</v>
      </c>
      <c r="E18" s="1840">
        <v>60.3</v>
      </c>
      <c r="F18" s="1836" t="s">
        <v>1236</v>
      </c>
      <c r="G18" s="1841">
        <f t="shared" si="3"/>
        <v>603000</v>
      </c>
      <c r="H18" s="1836" t="s">
        <v>1236</v>
      </c>
      <c r="I18" s="1842">
        <f t="shared" si="4"/>
        <v>6.0300000000000002E-4</v>
      </c>
      <c r="J18" s="1836" t="s">
        <v>1236</v>
      </c>
      <c r="K18" s="1843">
        <f>(I18*Z9)*(12/44)</f>
        <v>4.6047272727272725E-3</v>
      </c>
      <c r="L18" s="1836" t="s">
        <v>1236</v>
      </c>
      <c r="M18" s="1844">
        <f t="shared" si="5"/>
        <v>1.6884E-2</v>
      </c>
    </row>
    <row r="19" spans="2:24" ht="11.25" customHeight="1" x14ac:dyDescent="0.3">
      <c r="B19" s="1838" t="s">
        <v>1535</v>
      </c>
      <c r="C19" s="1845">
        <v>11.5</v>
      </c>
      <c r="D19" s="1836" t="s">
        <v>1235</v>
      </c>
      <c r="E19" s="1840">
        <v>58.1</v>
      </c>
      <c r="F19" s="1836" t="s">
        <v>1236</v>
      </c>
      <c r="G19" s="1841">
        <f t="shared" si="3"/>
        <v>668150</v>
      </c>
      <c r="H19" s="1836" t="s">
        <v>1236</v>
      </c>
      <c r="I19" s="1842">
        <f t="shared" si="4"/>
        <v>6.6814999999999995E-4</v>
      </c>
      <c r="J19" s="1836" t="s">
        <v>1236</v>
      </c>
      <c r="K19" s="1843">
        <f>(I19*Z9)*(12/44)</f>
        <v>5.1022363636363628E-3</v>
      </c>
      <c r="L19" s="1836" t="s">
        <v>1236</v>
      </c>
      <c r="M19" s="1844">
        <f t="shared" si="5"/>
        <v>1.8708199999999998E-2</v>
      </c>
    </row>
    <row r="20" spans="2:24" ht="11.25" customHeight="1" x14ac:dyDescent="0.3">
      <c r="B20" s="1838" t="s">
        <v>1536</v>
      </c>
      <c r="C20" s="1847">
        <v>3.9119999999999999</v>
      </c>
      <c r="D20" s="1836" t="s">
        <v>1235</v>
      </c>
      <c r="E20" s="1840">
        <v>43.2</v>
      </c>
      <c r="F20" s="1836" t="s">
        <v>1236</v>
      </c>
      <c r="G20" s="1841">
        <f t="shared" si="3"/>
        <v>168998.39999999999</v>
      </c>
      <c r="H20" s="1836" t="s">
        <v>1236</v>
      </c>
      <c r="I20" s="1842">
        <f t="shared" si="4"/>
        <v>1.6899839999999998E-4</v>
      </c>
      <c r="J20" s="1836" t="s">
        <v>1236</v>
      </c>
      <c r="K20" s="1843">
        <f>(I20*Z9)*(12/44)</f>
        <v>1.2905332363636361E-3</v>
      </c>
      <c r="L20" s="1836" t="s">
        <v>1236</v>
      </c>
      <c r="M20" s="1844">
        <f t="shared" si="5"/>
        <v>4.7319551999999996E-3</v>
      </c>
    </row>
    <row r="21" spans="2:24" ht="11.25" customHeight="1" x14ac:dyDescent="0.3">
      <c r="B21" s="1838" t="s">
        <v>1537</v>
      </c>
      <c r="C21" s="1847">
        <v>7.3949999999999996</v>
      </c>
      <c r="D21" s="1836" t="s">
        <v>1235</v>
      </c>
      <c r="E21" s="1840">
        <v>42</v>
      </c>
      <c r="F21" s="1836" t="s">
        <v>1236</v>
      </c>
      <c r="G21" s="1841">
        <f t="shared" si="3"/>
        <v>310590</v>
      </c>
      <c r="H21" s="1836" t="s">
        <v>1236</v>
      </c>
      <c r="I21" s="1842">
        <f t="shared" si="4"/>
        <v>3.1058999999999997E-4</v>
      </c>
      <c r="J21" s="1836" t="s">
        <v>1236</v>
      </c>
      <c r="K21" s="1843">
        <f>(I21*Z9)*(12/44)</f>
        <v>2.3717781818181813E-3</v>
      </c>
      <c r="L21" s="1836" t="s">
        <v>1236</v>
      </c>
      <c r="M21" s="1844">
        <f t="shared" si="5"/>
        <v>8.6965199999999993E-3</v>
      </c>
    </row>
    <row r="22" spans="2:24" ht="11.25" customHeight="1" x14ac:dyDescent="0.3">
      <c r="B22" s="1838" t="s">
        <v>1538</v>
      </c>
      <c r="C22" s="1845">
        <v>3.5</v>
      </c>
      <c r="D22" s="1836" t="s">
        <v>1235</v>
      </c>
      <c r="E22" s="1840">
        <v>97.6</v>
      </c>
      <c r="F22" s="1836" t="s">
        <v>1236</v>
      </c>
      <c r="G22" s="1841">
        <f t="shared" si="3"/>
        <v>341599.99999999994</v>
      </c>
      <c r="H22" s="1836" t="s">
        <v>1236</v>
      </c>
      <c r="I22" s="1842">
        <f t="shared" si="4"/>
        <v>3.4159999999999995E-4</v>
      </c>
      <c r="J22" s="1836" t="s">
        <v>1236</v>
      </c>
      <c r="K22" s="1843">
        <f>(I22*Z9)*(12/44)</f>
        <v>2.6085818181818174E-3</v>
      </c>
      <c r="L22" s="1836" t="s">
        <v>1236</v>
      </c>
      <c r="M22" s="1844">
        <f t="shared" si="5"/>
        <v>9.5647999999999983E-3</v>
      </c>
    </row>
    <row r="23" spans="2:24" ht="11.25" customHeight="1" x14ac:dyDescent="0.3">
      <c r="B23" s="1834" t="s">
        <v>665</v>
      </c>
      <c r="C23" s="1848"/>
      <c r="D23" s="1836"/>
      <c r="E23" s="1840"/>
      <c r="F23" s="1836"/>
      <c r="G23" s="1841"/>
      <c r="H23" s="1836"/>
      <c r="I23" s="1842"/>
      <c r="J23" s="1836"/>
      <c r="K23" s="1843"/>
      <c r="L23" s="1836"/>
      <c r="M23" s="1844"/>
    </row>
    <row r="24" spans="2:24" ht="11.25" customHeight="1" x14ac:dyDescent="0.3">
      <c r="B24" s="1838" t="s">
        <v>1539</v>
      </c>
      <c r="C24" s="1847">
        <v>12.9</v>
      </c>
      <c r="D24" s="1836" t="s">
        <v>1235</v>
      </c>
      <c r="E24" s="1840">
        <v>8</v>
      </c>
      <c r="F24" s="1836" t="s">
        <v>1236</v>
      </c>
      <c r="G24" s="1841">
        <f t="shared" ref="G24:G27" si="6">C24*E24*1000</f>
        <v>103200</v>
      </c>
      <c r="H24" s="1836" t="s">
        <v>1236</v>
      </c>
      <c r="I24" s="1842">
        <f t="shared" ref="I24:I27" si="7">G24/1000*10^-6</f>
        <v>1.032E-4</v>
      </c>
      <c r="J24" s="1836" t="s">
        <v>1236</v>
      </c>
      <c r="K24" s="1843">
        <f>(I24*Z9)*(12/44)</f>
        <v>7.8807272727272719E-4</v>
      </c>
      <c r="L24" s="1836" t="s">
        <v>1236</v>
      </c>
      <c r="M24" s="1844">
        <f t="shared" ref="M24:M27" si="8">K24/(12/44)</f>
        <v>2.8896E-3</v>
      </c>
    </row>
    <row r="25" spans="2:24" ht="11.25" customHeight="1" x14ac:dyDescent="0.3">
      <c r="B25" s="1838" t="s">
        <v>1540</v>
      </c>
      <c r="C25" s="1845">
        <v>14.5</v>
      </c>
      <c r="D25" s="1836" t="s">
        <v>1235</v>
      </c>
      <c r="E25" s="1840">
        <v>5</v>
      </c>
      <c r="F25" s="1836" t="s">
        <v>1236</v>
      </c>
      <c r="G25" s="1841">
        <f t="shared" si="6"/>
        <v>72500</v>
      </c>
      <c r="H25" s="1836" t="s">
        <v>1236</v>
      </c>
      <c r="I25" s="1842">
        <f t="shared" si="7"/>
        <v>7.25E-5</v>
      </c>
      <c r="J25" s="1836" t="s">
        <v>1236</v>
      </c>
      <c r="K25" s="1843">
        <f>(I25*Z9)*(12/44)</f>
        <v>5.5363636363636368E-4</v>
      </c>
      <c r="L25" s="1836" t="s">
        <v>1236</v>
      </c>
      <c r="M25" s="1844">
        <f t="shared" si="8"/>
        <v>2.0300000000000001E-3</v>
      </c>
    </row>
    <row r="26" spans="2:24" ht="11.25" customHeight="1" x14ac:dyDescent="0.3">
      <c r="B26" s="1838" t="s">
        <v>1541</v>
      </c>
      <c r="C26" s="1845">
        <v>18.5</v>
      </c>
      <c r="D26" s="1836" t="s">
        <v>1235</v>
      </c>
      <c r="E26" s="1840">
        <v>1.5</v>
      </c>
      <c r="F26" s="1836" t="s">
        <v>1236</v>
      </c>
      <c r="G26" s="1841">
        <f t="shared" si="6"/>
        <v>27750</v>
      </c>
      <c r="H26" s="1836" t="s">
        <v>1236</v>
      </c>
      <c r="I26" s="1842">
        <f t="shared" si="7"/>
        <v>2.775E-5</v>
      </c>
      <c r="J26" s="1836" t="s">
        <v>1236</v>
      </c>
      <c r="K26" s="1843">
        <f>(I26*Z9)*(12/44)</f>
        <v>2.1190909090909089E-4</v>
      </c>
      <c r="L26" s="1836" t="s">
        <v>1236</v>
      </c>
      <c r="M26" s="1844">
        <f t="shared" si="8"/>
        <v>7.7700000000000002E-4</v>
      </c>
    </row>
    <row r="27" spans="2:24" ht="11.25" customHeight="1" x14ac:dyDescent="0.3">
      <c r="B27" s="1838" t="s">
        <v>1542</v>
      </c>
      <c r="C27" s="1847">
        <v>27.4</v>
      </c>
      <c r="D27" s="1836" t="s">
        <v>1235</v>
      </c>
      <c r="E27" s="1840">
        <v>18</v>
      </c>
      <c r="F27" s="1836" t="s">
        <v>1236</v>
      </c>
      <c r="G27" s="1841">
        <f t="shared" si="6"/>
        <v>493200</v>
      </c>
      <c r="H27" s="1836" t="s">
        <v>1236</v>
      </c>
      <c r="I27" s="1842">
        <f t="shared" si="7"/>
        <v>4.9319999999999995E-4</v>
      </c>
      <c r="J27" s="1836" t="s">
        <v>1236</v>
      </c>
      <c r="K27" s="1843">
        <f>(I27*Z9)*(12/44)</f>
        <v>3.7662545454545445E-3</v>
      </c>
      <c r="L27" s="1836" t="s">
        <v>1236</v>
      </c>
      <c r="M27" s="1844">
        <f t="shared" si="8"/>
        <v>1.3809599999999998E-2</v>
      </c>
    </row>
    <row r="28" spans="2:24" ht="11.25" customHeight="1" x14ac:dyDescent="0.3">
      <c r="B28" s="1849" t="s">
        <v>1543</v>
      </c>
      <c r="C28" s="1850"/>
      <c r="D28" s="1851"/>
      <c r="E28" s="1851"/>
      <c r="F28" s="1851"/>
      <c r="G28" s="1852">
        <f>SUM(G9:G27)</f>
        <v>15694088.4</v>
      </c>
      <c r="H28" s="1853"/>
      <c r="I28" s="1854">
        <f>SUM(I9:I27)</f>
        <v>1.5694088399999997E-2</v>
      </c>
      <c r="J28" s="1853"/>
      <c r="K28" s="1855">
        <f>SUM(K9:K27)</f>
        <v>0.11984576596363636</v>
      </c>
      <c r="L28" s="1856"/>
      <c r="M28" s="1857">
        <f>SUM(M9:M27)</f>
        <v>0.43943447519999995</v>
      </c>
    </row>
    <row r="29" spans="2:24" ht="11.25" customHeight="1" x14ac:dyDescent="0.3">
      <c r="B29" s="1858"/>
      <c r="C29" s="716"/>
      <c r="D29" s="1741"/>
      <c r="E29" s="1741"/>
      <c r="F29" s="1741"/>
      <c r="G29" s="1859"/>
      <c r="H29" s="387"/>
      <c r="I29" s="1860"/>
      <c r="J29" s="387"/>
      <c r="K29" s="1861"/>
      <c r="L29" s="327"/>
      <c r="M29" s="1861"/>
    </row>
    <row r="30" spans="2:24" ht="11.25" customHeight="1" x14ac:dyDescent="0.3">
      <c r="B30" s="1858"/>
      <c r="C30" s="716"/>
      <c r="D30" s="1741"/>
      <c r="E30" s="1741"/>
      <c r="F30" s="1741"/>
      <c r="G30" s="1859"/>
      <c r="H30" s="387"/>
      <c r="I30" s="1860"/>
      <c r="J30" s="387"/>
      <c r="K30" s="1861"/>
      <c r="L30" s="327"/>
      <c r="M30" s="1861"/>
    </row>
    <row r="31" spans="2:24" ht="11.25" customHeight="1" x14ac:dyDescent="0.3">
      <c r="B31" s="1862"/>
      <c r="C31" s="1863"/>
      <c r="D31" s="1864"/>
      <c r="E31" s="1864"/>
      <c r="F31" s="1864"/>
      <c r="G31" s="1865"/>
      <c r="H31" s="1866"/>
      <c r="I31" s="1867"/>
      <c r="J31" s="1866"/>
      <c r="K31" s="1868"/>
      <c r="L31" s="953"/>
      <c r="M31" s="1868"/>
      <c r="N31" s="953"/>
      <c r="O31" s="953"/>
      <c r="P31" s="953"/>
      <c r="Q31" s="953"/>
      <c r="R31" s="953"/>
      <c r="S31" s="953"/>
      <c r="T31" s="953"/>
      <c r="U31" s="953"/>
      <c r="V31" s="953"/>
      <c r="W31" s="953"/>
    </row>
    <row r="32" spans="2:24" ht="18.75" customHeight="1" x14ac:dyDescent="0.45">
      <c r="B32" s="1828" t="s">
        <v>1544</v>
      </c>
      <c r="C32" s="1869"/>
      <c r="D32" s="1870"/>
      <c r="E32" s="1870"/>
      <c r="F32" s="1870"/>
      <c r="G32" s="1871"/>
      <c r="H32" s="1872"/>
      <c r="I32" s="1873"/>
      <c r="J32" s="1872"/>
      <c r="K32" s="1874"/>
      <c r="L32" s="1829"/>
      <c r="M32" s="1874"/>
      <c r="N32" s="1829"/>
      <c r="O32" s="1829"/>
      <c r="P32" s="1829"/>
      <c r="Q32" s="1829"/>
      <c r="R32" s="1829"/>
      <c r="S32" s="1829"/>
      <c r="T32" s="1829"/>
      <c r="U32" s="1829"/>
      <c r="V32" s="1829"/>
      <c r="W32" s="1830"/>
      <c r="X32" s="327"/>
    </row>
    <row r="33" spans="2:23" ht="38.25" customHeight="1" x14ac:dyDescent="0.25">
      <c r="B33" s="1766"/>
      <c r="C33" s="1875" t="s">
        <v>1545</v>
      </c>
      <c r="D33" s="1876"/>
      <c r="E33" s="1875" t="s">
        <v>1546</v>
      </c>
      <c r="F33" s="1875"/>
      <c r="G33" s="1877" t="s">
        <v>1547</v>
      </c>
      <c r="H33" s="1877"/>
      <c r="I33" s="1875" t="s">
        <v>1548</v>
      </c>
      <c r="J33" s="1853"/>
      <c r="K33" s="1875" t="s">
        <v>1549</v>
      </c>
      <c r="L33" s="1875"/>
      <c r="M33" s="1875" t="s">
        <v>1550</v>
      </c>
      <c r="N33" s="1875"/>
      <c r="O33" s="1875" t="s">
        <v>1551</v>
      </c>
      <c r="P33" s="1875"/>
      <c r="Q33" s="1875" t="s">
        <v>1552</v>
      </c>
      <c r="R33" s="1875"/>
      <c r="S33" s="1875" t="s">
        <v>1553</v>
      </c>
      <c r="T33" s="1875"/>
      <c r="U33" s="1875" t="s">
        <v>1554</v>
      </c>
      <c r="V33" s="1875"/>
      <c r="W33" s="1878" t="s">
        <v>1555</v>
      </c>
    </row>
    <row r="34" spans="2:23" ht="11.25" customHeight="1" x14ac:dyDescent="0.3">
      <c r="B34" s="1879" t="s">
        <v>1526</v>
      </c>
      <c r="C34" s="1880"/>
      <c r="D34" s="1881"/>
      <c r="E34" s="1882"/>
      <c r="F34" s="1881"/>
      <c r="G34" s="1881"/>
      <c r="H34" s="1881"/>
      <c r="I34" s="1883"/>
      <c r="J34" s="1883"/>
      <c r="K34" s="1883"/>
      <c r="L34" s="1883"/>
      <c r="M34" s="1884"/>
      <c r="N34" s="1883"/>
      <c r="O34" s="1885"/>
      <c r="P34" s="1886"/>
      <c r="Q34" s="1887"/>
      <c r="R34" s="1883"/>
      <c r="S34" s="1883"/>
      <c r="T34" s="1883"/>
      <c r="U34" s="1883"/>
      <c r="V34" s="1883"/>
      <c r="W34" s="1888"/>
    </row>
    <row r="35" spans="2:23" ht="11.25" customHeight="1" x14ac:dyDescent="0.3">
      <c r="B35" s="1838" t="s">
        <v>1527</v>
      </c>
      <c r="C35" s="1889">
        <v>42</v>
      </c>
      <c r="D35" s="1836" t="s">
        <v>1235</v>
      </c>
      <c r="E35" s="1890">
        <v>679.77</v>
      </c>
      <c r="F35" s="1836" t="s">
        <v>1235</v>
      </c>
      <c r="G35" s="1891">
        <v>2582.4</v>
      </c>
      <c r="H35" s="1836" t="s">
        <v>1236</v>
      </c>
      <c r="I35" s="1892">
        <f t="shared" ref="I35:I36" si="9">C35*1000*G35</f>
        <v>108460800</v>
      </c>
      <c r="J35" s="1836" t="s">
        <v>1235</v>
      </c>
      <c r="K35" s="1893">
        <v>0.24</v>
      </c>
      <c r="L35" s="1894" t="s">
        <v>1235</v>
      </c>
      <c r="M35" s="1895">
        <v>0.28699999999999998</v>
      </c>
      <c r="N35" s="1894" t="s">
        <v>1236</v>
      </c>
      <c r="O35" s="1892">
        <f t="shared" ref="O35:O36" si="10">(I35*K35)*M35</f>
        <v>7470779.9039999992</v>
      </c>
      <c r="P35" s="1836" t="s">
        <v>1236</v>
      </c>
      <c r="Q35" s="1896">
        <f t="shared" ref="Q35:Q36" si="11">O35*0.000662</f>
        <v>4945.6562964479999</v>
      </c>
      <c r="R35" s="1836" t="s">
        <v>1236</v>
      </c>
      <c r="S35" s="1897">
        <f t="shared" ref="S35:S36" si="12">Q35/1000000</f>
        <v>4.9456562964479995E-3</v>
      </c>
      <c r="T35" s="1836" t="s">
        <v>1236</v>
      </c>
      <c r="U35" s="1897">
        <f>(S35*Z9)*12/44</f>
        <v>3.776682990014836E-2</v>
      </c>
      <c r="V35" s="1836" t="s">
        <v>1236</v>
      </c>
      <c r="W35" s="1898">
        <f t="shared" ref="W35:W36" si="13">U35/(12/44)</f>
        <v>0.13847837630054399</v>
      </c>
    </row>
    <row r="36" spans="2:23" ht="11.25" customHeight="1" x14ac:dyDescent="0.3">
      <c r="B36" s="1899" t="s">
        <v>1528</v>
      </c>
      <c r="C36" s="1889">
        <v>26</v>
      </c>
      <c r="D36" s="1836" t="s">
        <v>1235</v>
      </c>
      <c r="E36" s="1890">
        <v>406.51</v>
      </c>
      <c r="F36" s="1836" t="s">
        <v>1235</v>
      </c>
      <c r="G36" s="1891">
        <v>1251.8</v>
      </c>
      <c r="H36" s="1836" t="s">
        <v>1236</v>
      </c>
      <c r="I36" s="1892">
        <f t="shared" si="9"/>
        <v>32546800</v>
      </c>
      <c r="J36" s="1836" t="s">
        <v>1235</v>
      </c>
      <c r="K36" s="1893">
        <v>0.17</v>
      </c>
      <c r="L36" s="1894" t="s">
        <v>1235</v>
      </c>
      <c r="M36" s="1895">
        <v>1.3123459123854105E-2</v>
      </c>
      <c r="N36" s="1894" t="s">
        <v>1236</v>
      </c>
      <c r="O36" s="1892">
        <f t="shared" si="10"/>
        <v>72611.521900083317</v>
      </c>
      <c r="P36" s="1836" t="s">
        <v>1236</v>
      </c>
      <c r="Q36" s="1896">
        <f t="shared" si="11"/>
        <v>48.06882749785516</v>
      </c>
      <c r="R36" s="1836" t="s">
        <v>1236</v>
      </c>
      <c r="S36" s="1897">
        <f t="shared" si="12"/>
        <v>4.8068827497855158E-5</v>
      </c>
      <c r="T36" s="1836" t="s">
        <v>1236</v>
      </c>
      <c r="U36" s="1897">
        <f>(S36*Z9)*12/44</f>
        <v>3.6707104634725764E-4</v>
      </c>
      <c r="V36" s="1836" t="s">
        <v>1236</v>
      </c>
      <c r="W36" s="1898">
        <f t="shared" si="13"/>
        <v>1.3459271699399447E-3</v>
      </c>
    </row>
    <row r="37" spans="2:23" ht="11.25" customHeight="1" x14ac:dyDescent="0.3">
      <c r="B37" s="1900" t="s">
        <v>1531</v>
      </c>
      <c r="C37" s="1901"/>
      <c r="D37" s="1902"/>
      <c r="E37" s="1903"/>
      <c r="F37" s="1902"/>
      <c r="G37" s="1904"/>
      <c r="H37" s="1902"/>
      <c r="I37" s="1905"/>
      <c r="J37" s="1902"/>
      <c r="K37" s="1906"/>
      <c r="L37" s="1902"/>
      <c r="M37" s="1902"/>
      <c r="N37" s="1902"/>
      <c r="O37" s="1905"/>
      <c r="P37" s="1902"/>
      <c r="Q37" s="1907"/>
      <c r="R37" s="1902"/>
      <c r="S37" s="1908"/>
      <c r="T37" s="1902"/>
      <c r="U37" s="1908"/>
      <c r="V37" s="1902"/>
      <c r="W37" s="1909"/>
    </row>
    <row r="38" spans="2:23" ht="11.25" customHeight="1" x14ac:dyDescent="0.3">
      <c r="B38" s="1899" t="s">
        <v>1536</v>
      </c>
      <c r="C38" s="1910">
        <v>3.9119999999999999</v>
      </c>
      <c r="D38" s="1836" t="s">
        <v>1235</v>
      </c>
      <c r="E38" s="1890">
        <v>443.57</v>
      </c>
      <c r="F38" s="1836" t="s">
        <v>1235</v>
      </c>
      <c r="G38" s="1891">
        <v>691.1</v>
      </c>
      <c r="H38" s="1836" t="s">
        <v>1236</v>
      </c>
      <c r="I38" s="1892">
        <f t="shared" ref="I38:I40" si="14">C38*1000*G38</f>
        <v>2703583.2</v>
      </c>
      <c r="J38" s="1836" t="s">
        <v>1235</v>
      </c>
      <c r="K38" s="1893">
        <v>0.33</v>
      </c>
      <c r="L38" s="1836" t="s">
        <v>1235</v>
      </c>
      <c r="M38" s="1895">
        <v>1.3123459123854105E-2</v>
      </c>
      <c r="N38" s="1836" t="s">
        <v>1236</v>
      </c>
      <c r="O38" s="1892">
        <f t="shared" ref="O38:O45" si="15">(I38*K38)*M38</f>
        <v>11708.519992335765</v>
      </c>
      <c r="P38" s="1836" t="s">
        <v>1236</v>
      </c>
      <c r="Q38" s="1896">
        <f t="shared" ref="Q38:Q45" si="16">O38*0.000662</f>
        <v>7.7510402349262773</v>
      </c>
      <c r="R38" s="1911" t="s">
        <v>1236</v>
      </c>
      <c r="S38" s="1897">
        <f t="shared" ref="S38:S45" si="17">Q38/1000000</f>
        <v>7.7510402349262772E-6</v>
      </c>
      <c r="T38" s="1911" t="s">
        <v>1236</v>
      </c>
      <c r="U38" s="1897">
        <f>(S38*Z9)*12/44</f>
        <v>5.9189761793982481E-5</v>
      </c>
      <c r="V38" s="1911" t="s">
        <v>1236</v>
      </c>
      <c r="W38" s="1898">
        <f t="shared" ref="W38:W45" si="18">U38/(12/44)</f>
        <v>2.1702912657793578E-4</v>
      </c>
    </row>
    <row r="39" spans="2:23" ht="11.25" customHeight="1" x14ac:dyDescent="0.3">
      <c r="B39" s="1899" t="s">
        <v>1537</v>
      </c>
      <c r="C39" s="1910">
        <v>7.3949999999999996</v>
      </c>
      <c r="D39" s="1836" t="s">
        <v>1235</v>
      </c>
      <c r="E39" s="1890">
        <v>470.55</v>
      </c>
      <c r="F39" s="1836" t="s">
        <v>1235</v>
      </c>
      <c r="G39" s="1891">
        <v>669.6</v>
      </c>
      <c r="H39" s="1836" t="s">
        <v>1236</v>
      </c>
      <c r="I39" s="1892">
        <f t="shared" si="14"/>
        <v>4951692</v>
      </c>
      <c r="J39" s="1836" t="s">
        <v>1235</v>
      </c>
      <c r="K39" s="1893">
        <v>0.33</v>
      </c>
      <c r="L39" s="1836" t="s">
        <v>1235</v>
      </c>
      <c r="M39" s="1895">
        <v>1.2974017738876182E-2</v>
      </c>
      <c r="N39" s="1836" t="s">
        <v>1236</v>
      </c>
      <c r="O39" s="1892">
        <f t="shared" si="15"/>
        <v>21200.302148998922</v>
      </c>
      <c r="P39" s="1836" t="s">
        <v>1236</v>
      </c>
      <c r="Q39" s="1896">
        <f t="shared" si="16"/>
        <v>14.034600022637287</v>
      </c>
      <c r="R39" s="1911" t="s">
        <v>1236</v>
      </c>
      <c r="S39" s="1897">
        <f t="shared" si="17"/>
        <v>1.4034600022637287E-5</v>
      </c>
      <c r="T39" s="1911" t="s">
        <v>1236</v>
      </c>
      <c r="U39" s="1897">
        <f>(S39*Z9)*12/44</f>
        <v>1.0717330926377565E-4</v>
      </c>
      <c r="V39" s="1911" t="s">
        <v>1236</v>
      </c>
      <c r="W39" s="1898">
        <f t="shared" si="18"/>
        <v>3.929688006338441E-4</v>
      </c>
    </row>
    <row r="40" spans="2:23" ht="11.25" customHeight="1" x14ac:dyDescent="0.3">
      <c r="B40" s="1899" t="s">
        <v>1538</v>
      </c>
      <c r="C40" s="1889">
        <v>3.5</v>
      </c>
      <c r="D40" s="1836" t="s">
        <v>1235</v>
      </c>
      <c r="E40" s="1890">
        <v>916.34</v>
      </c>
      <c r="F40" s="1836" t="s">
        <v>1235</v>
      </c>
      <c r="G40" s="1891">
        <v>1730.7</v>
      </c>
      <c r="H40" s="1836" t="s">
        <v>1236</v>
      </c>
      <c r="I40" s="1892">
        <f t="shared" si="14"/>
        <v>6057450</v>
      </c>
      <c r="J40" s="1836" t="s">
        <v>1235</v>
      </c>
      <c r="K40" s="1893">
        <v>0.17</v>
      </c>
      <c r="L40" s="1836" t="s">
        <v>1235</v>
      </c>
      <c r="M40" s="1895">
        <v>1.0999999999999999E-2</v>
      </c>
      <c r="N40" s="1836" t="s">
        <v>1236</v>
      </c>
      <c r="O40" s="1892">
        <f t="shared" si="15"/>
        <v>11327.431500000001</v>
      </c>
      <c r="P40" s="1836" t="s">
        <v>1236</v>
      </c>
      <c r="Q40" s="1896">
        <f t="shared" si="16"/>
        <v>7.4987596530000005</v>
      </c>
      <c r="R40" s="1911" t="s">
        <v>1236</v>
      </c>
      <c r="S40" s="1897">
        <f t="shared" si="17"/>
        <v>7.4987596530000002E-6</v>
      </c>
      <c r="T40" s="1911" t="s">
        <v>1236</v>
      </c>
      <c r="U40" s="1897">
        <f>(S40*Z9)*12/44</f>
        <v>5.7263255532000003E-5</v>
      </c>
      <c r="V40" s="1911" t="s">
        <v>1236</v>
      </c>
      <c r="W40" s="1898">
        <f t="shared" si="18"/>
        <v>2.0996527028400001E-4</v>
      </c>
    </row>
    <row r="41" spans="2:23" ht="11.25" customHeight="1" x14ac:dyDescent="0.3">
      <c r="B41" s="1899" t="s">
        <v>1556</v>
      </c>
      <c r="C41" s="1889">
        <v>30</v>
      </c>
      <c r="D41" s="1836" t="s">
        <v>1235</v>
      </c>
      <c r="E41" s="1890">
        <v>122.53</v>
      </c>
      <c r="F41" s="1836" t="s">
        <v>1235</v>
      </c>
      <c r="G41" s="1891">
        <v>7.7</v>
      </c>
      <c r="H41" s="1836" t="s">
        <v>1236</v>
      </c>
      <c r="I41" s="1892">
        <f>C41*E41*G41*365</f>
        <v>10331116.949999999</v>
      </c>
      <c r="J41" s="1836" t="s">
        <v>1235</v>
      </c>
      <c r="K41" s="1893">
        <v>0.17</v>
      </c>
      <c r="L41" s="1836" t="s">
        <v>1235</v>
      </c>
      <c r="M41" s="1895">
        <v>1.0999999999999999E-2</v>
      </c>
      <c r="N41" s="1836" t="s">
        <v>1236</v>
      </c>
      <c r="O41" s="1892">
        <f t="shared" si="15"/>
        <v>19319.188696499998</v>
      </c>
      <c r="P41" s="1836" t="s">
        <v>1236</v>
      </c>
      <c r="Q41" s="1896">
        <f t="shared" si="16"/>
        <v>12.789302917082999</v>
      </c>
      <c r="R41" s="1911" t="s">
        <v>1236</v>
      </c>
      <c r="S41" s="1897">
        <f t="shared" si="17"/>
        <v>1.2789302917082999E-5</v>
      </c>
      <c r="T41" s="1911" t="s">
        <v>1236</v>
      </c>
      <c r="U41" s="1897">
        <f>(S41*Z9)*12/44</f>
        <v>9.7663767730451996E-5</v>
      </c>
      <c r="V41" s="1911" t="s">
        <v>1236</v>
      </c>
      <c r="W41" s="1898">
        <f t="shared" si="18"/>
        <v>3.5810048167832399E-4</v>
      </c>
    </row>
    <row r="42" spans="2:23" ht="11.25" customHeight="1" x14ac:dyDescent="0.3">
      <c r="B42" s="1899" t="s">
        <v>1532</v>
      </c>
      <c r="C42" s="1889">
        <v>47</v>
      </c>
      <c r="D42" s="1836" t="s">
        <v>1235</v>
      </c>
      <c r="E42" s="1890">
        <v>610.89</v>
      </c>
      <c r="F42" s="1836" t="s">
        <v>1235</v>
      </c>
      <c r="G42" s="1891">
        <v>1673.8</v>
      </c>
      <c r="H42" s="1836" t="s">
        <v>1236</v>
      </c>
      <c r="I42" s="1892">
        <f t="shared" ref="I42:I45" si="19">C42*1000*G42</f>
        <v>78668600</v>
      </c>
      <c r="J42" s="1836" t="s">
        <v>1235</v>
      </c>
      <c r="K42" s="1893">
        <v>0.17</v>
      </c>
      <c r="L42" s="1836" t="s">
        <v>1235</v>
      </c>
      <c r="M42" s="1895">
        <v>1.0999999999999999E-2</v>
      </c>
      <c r="N42" s="1836" t="s">
        <v>1236</v>
      </c>
      <c r="O42" s="1892">
        <f t="shared" si="15"/>
        <v>147110.28200000001</v>
      </c>
      <c r="P42" s="1836" t="s">
        <v>1236</v>
      </c>
      <c r="Q42" s="1896">
        <f t="shared" si="16"/>
        <v>97.387006684000013</v>
      </c>
      <c r="R42" s="1911" t="s">
        <v>1236</v>
      </c>
      <c r="S42" s="1897">
        <f t="shared" si="17"/>
        <v>9.7387006684000014E-5</v>
      </c>
      <c r="T42" s="1911" t="s">
        <v>1236</v>
      </c>
      <c r="U42" s="1897">
        <f>(S42*Z9)*12/44</f>
        <v>7.4368259649600012E-4</v>
      </c>
      <c r="V42" s="1911" t="s">
        <v>1236</v>
      </c>
      <c r="W42" s="1898">
        <f t="shared" si="18"/>
        <v>2.7268361871520008E-3</v>
      </c>
    </row>
    <row r="43" spans="2:23" ht="11.25" customHeight="1" x14ac:dyDescent="0.3">
      <c r="B43" s="1899" t="s">
        <v>1533</v>
      </c>
      <c r="C43" s="1889">
        <v>11</v>
      </c>
      <c r="D43" s="1836" t="s">
        <v>1235</v>
      </c>
      <c r="E43" s="1890">
        <v>405.54</v>
      </c>
      <c r="F43" s="1836" t="s">
        <v>1235</v>
      </c>
      <c r="G43" s="1891">
        <v>1097.0999999999999</v>
      </c>
      <c r="H43" s="1836" t="s">
        <v>1236</v>
      </c>
      <c r="I43" s="1892">
        <f t="shared" si="19"/>
        <v>12068099.999999998</v>
      </c>
      <c r="J43" s="1836" t="s">
        <v>1235</v>
      </c>
      <c r="K43" s="1893">
        <v>0.17</v>
      </c>
      <c r="L43" s="1836" t="s">
        <v>1235</v>
      </c>
      <c r="M43" s="1895">
        <v>1.0999999999999999E-2</v>
      </c>
      <c r="N43" s="1836" t="s">
        <v>1236</v>
      </c>
      <c r="O43" s="1892">
        <f t="shared" si="15"/>
        <v>22567.346999999998</v>
      </c>
      <c r="P43" s="1836" t="s">
        <v>1236</v>
      </c>
      <c r="Q43" s="1896">
        <f t="shared" si="16"/>
        <v>14.939583713999999</v>
      </c>
      <c r="R43" s="1911" t="s">
        <v>1236</v>
      </c>
      <c r="S43" s="1897">
        <f t="shared" si="17"/>
        <v>1.4939583713999999E-5</v>
      </c>
      <c r="T43" s="1911" t="s">
        <v>1236</v>
      </c>
      <c r="U43" s="1897">
        <f>(S43*Z9)*12/44</f>
        <v>1.14084093816E-4</v>
      </c>
      <c r="V43" s="1911" t="s">
        <v>1236</v>
      </c>
      <c r="W43" s="1898">
        <f t="shared" si="18"/>
        <v>4.1830834399200003E-4</v>
      </c>
    </row>
    <row r="44" spans="2:23" ht="11.25" customHeight="1" x14ac:dyDescent="0.3">
      <c r="B44" s="1899" t="s">
        <v>1535</v>
      </c>
      <c r="C44" s="1889">
        <v>11.5</v>
      </c>
      <c r="D44" s="1836" t="s">
        <v>1235</v>
      </c>
      <c r="E44" s="1890">
        <v>324.33999999999997</v>
      </c>
      <c r="F44" s="1836" t="s">
        <v>1235</v>
      </c>
      <c r="G44" s="1891">
        <v>980.7</v>
      </c>
      <c r="H44" s="1836" t="s">
        <v>1236</v>
      </c>
      <c r="I44" s="1892">
        <f t="shared" si="19"/>
        <v>11278050</v>
      </c>
      <c r="J44" s="1836" t="s">
        <v>1235</v>
      </c>
      <c r="K44" s="1893">
        <v>0.17</v>
      </c>
      <c r="L44" s="1836" t="s">
        <v>1235</v>
      </c>
      <c r="M44" s="1895">
        <v>1.0999999999999999E-2</v>
      </c>
      <c r="N44" s="1836" t="s">
        <v>1236</v>
      </c>
      <c r="O44" s="1892">
        <f t="shared" si="15"/>
        <v>21089.9535</v>
      </c>
      <c r="P44" s="1911" t="s">
        <v>1236</v>
      </c>
      <c r="Q44" s="1896">
        <f t="shared" si="16"/>
        <v>13.961549217</v>
      </c>
      <c r="R44" s="1911" t="s">
        <v>1236</v>
      </c>
      <c r="S44" s="1897">
        <f t="shared" si="17"/>
        <v>1.3961549216999999E-5</v>
      </c>
      <c r="T44" s="1911" t="s">
        <v>1236</v>
      </c>
      <c r="U44" s="1897">
        <f>(S44*Z9)*12/44</f>
        <v>1.0661546674799999E-4</v>
      </c>
      <c r="V44" s="1911" t="s">
        <v>1236</v>
      </c>
      <c r="W44" s="1898">
        <f t="shared" si="18"/>
        <v>3.9092337807599998E-4</v>
      </c>
    </row>
    <row r="45" spans="2:23" ht="11.25" customHeight="1" x14ac:dyDescent="0.3">
      <c r="B45" s="1899" t="s">
        <v>1534</v>
      </c>
      <c r="C45" s="1889">
        <v>10</v>
      </c>
      <c r="D45" s="1836" t="s">
        <v>1235</v>
      </c>
      <c r="E45" s="1890">
        <v>321.82</v>
      </c>
      <c r="F45" s="1836" t="s">
        <v>1235</v>
      </c>
      <c r="G45" s="1891">
        <v>1097.0999999999999</v>
      </c>
      <c r="H45" s="1836" t="s">
        <v>1236</v>
      </c>
      <c r="I45" s="1892">
        <f t="shared" si="19"/>
        <v>10971000</v>
      </c>
      <c r="J45" s="1836" t="s">
        <v>1235</v>
      </c>
      <c r="K45" s="1893">
        <v>0.17</v>
      </c>
      <c r="L45" s="1836" t="s">
        <v>1235</v>
      </c>
      <c r="M45" s="1895">
        <v>1.0999999999999999E-2</v>
      </c>
      <c r="N45" s="1836" t="s">
        <v>1236</v>
      </c>
      <c r="O45" s="1892">
        <f t="shared" si="15"/>
        <v>20515.77</v>
      </c>
      <c r="P45" s="1836" t="s">
        <v>1236</v>
      </c>
      <c r="Q45" s="1896">
        <f t="shared" si="16"/>
        <v>13.58143974</v>
      </c>
      <c r="R45" s="1911" t="s">
        <v>1236</v>
      </c>
      <c r="S45" s="1897">
        <f t="shared" si="17"/>
        <v>1.3581439740000001E-5</v>
      </c>
      <c r="T45" s="1911" t="s">
        <v>1236</v>
      </c>
      <c r="U45" s="1897">
        <f>(S45*Z9)*12/44</f>
        <v>1.0371281256E-4</v>
      </c>
      <c r="V45" s="1911" t="s">
        <v>1236</v>
      </c>
      <c r="W45" s="1898">
        <f t="shared" si="18"/>
        <v>3.8028031272E-4</v>
      </c>
    </row>
    <row r="46" spans="2:23" ht="11.25" customHeight="1" x14ac:dyDescent="0.3">
      <c r="B46" s="1900" t="s">
        <v>1541</v>
      </c>
      <c r="C46" s="1901"/>
      <c r="D46" s="1902"/>
      <c r="E46" s="1903"/>
      <c r="F46" s="1902"/>
      <c r="G46" s="1912"/>
      <c r="H46" s="1902"/>
      <c r="I46" s="1905"/>
      <c r="J46" s="1902"/>
      <c r="K46" s="1906"/>
      <c r="L46" s="1902"/>
      <c r="M46" s="1902"/>
      <c r="N46" s="1902"/>
      <c r="O46" s="1905"/>
      <c r="P46" s="1902"/>
      <c r="Q46" s="1907"/>
      <c r="R46" s="1913"/>
      <c r="S46" s="1908"/>
      <c r="T46" s="1913"/>
      <c r="U46" s="1908"/>
      <c r="V46" s="1913"/>
      <c r="W46" s="1909"/>
    </row>
    <row r="47" spans="2:23" ht="11.25" customHeight="1" x14ac:dyDescent="0.3">
      <c r="B47" s="1899" t="s">
        <v>1557</v>
      </c>
      <c r="C47" s="1889">
        <v>3</v>
      </c>
      <c r="D47" s="1836" t="s">
        <v>1235</v>
      </c>
      <c r="E47" s="1890">
        <v>198</v>
      </c>
      <c r="F47" s="1836" t="s">
        <v>1235</v>
      </c>
      <c r="G47" s="1840">
        <v>2.7</v>
      </c>
      <c r="H47" s="1836" t="s">
        <v>1236</v>
      </c>
      <c r="I47" s="1892">
        <f t="shared" ref="I47:I51" si="20">C47*E47*G47*365</f>
        <v>585387.00000000012</v>
      </c>
      <c r="J47" s="1836" t="s">
        <v>1235</v>
      </c>
      <c r="K47" s="1893">
        <v>0.48</v>
      </c>
      <c r="L47" s="1836" t="s">
        <v>1235</v>
      </c>
      <c r="M47" s="1895">
        <v>0.221</v>
      </c>
      <c r="N47" s="1836" t="s">
        <v>1236</v>
      </c>
      <c r="O47" s="1892">
        <f t="shared" ref="O47:O51" si="21">(I47*K47)*M47</f>
        <v>62097.852960000018</v>
      </c>
      <c r="P47" s="1836" t="s">
        <v>1236</v>
      </c>
      <c r="Q47" s="1896">
        <f t="shared" ref="Q47:Q51" si="22">O47*0.000662</f>
        <v>41.108778659520013</v>
      </c>
      <c r="R47" s="1836" t="s">
        <v>1236</v>
      </c>
      <c r="S47" s="1897">
        <f t="shared" ref="S47:S51" si="23">Q47/1000000</f>
        <v>4.1108778659520014E-5</v>
      </c>
      <c r="T47" s="1836" t="s">
        <v>1236</v>
      </c>
      <c r="U47" s="1897">
        <f>(S47*Z9)*12/44</f>
        <v>3.1392158249088012E-4</v>
      </c>
      <c r="V47" s="1836" t="s">
        <v>1236</v>
      </c>
      <c r="W47" s="1898">
        <f t="shared" ref="W47:W51" si="24">U47/(12/44)</f>
        <v>1.1510458024665605E-3</v>
      </c>
    </row>
    <row r="48" spans="2:23" ht="11.25" customHeight="1" x14ac:dyDescent="0.3">
      <c r="B48" s="1899" t="s">
        <v>1558</v>
      </c>
      <c r="C48" s="1889">
        <v>4</v>
      </c>
      <c r="D48" s="1836" t="s">
        <v>1235</v>
      </c>
      <c r="E48" s="1890">
        <v>15.88</v>
      </c>
      <c r="F48" s="1836" t="s">
        <v>1235</v>
      </c>
      <c r="G48" s="1840">
        <v>8.8000000000000007</v>
      </c>
      <c r="H48" s="1836" t="s">
        <v>1236</v>
      </c>
      <c r="I48" s="1892">
        <f t="shared" si="20"/>
        <v>204026.24000000005</v>
      </c>
      <c r="J48" s="1836" t="s">
        <v>1235</v>
      </c>
      <c r="K48" s="1893">
        <v>0.48</v>
      </c>
      <c r="L48" s="1836" t="s">
        <v>1235</v>
      </c>
      <c r="M48" s="1895">
        <v>0.221</v>
      </c>
      <c r="N48" s="1836" t="s">
        <v>1236</v>
      </c>
      <c r="O48" s="1892">
        <f t="shared" si="21"/>
        <v>21643.103539200005</v>
      </c>
      <c r="P48" s="1836" t="s">
        <v>1236</v>
      </c>
      <c r="Q48" s="1896">
        <f t="shared" si="22"/>
        <v>14.327734542950404</v>
      </c>
      <c r="R48" s="1836" t="s">
        <v>1236</v>
      </c>
      <c r="S48" s="1897">
        <f t="shared" si="23"/>
        <v>1.4327734542950404E-5</v>
      </c>
      <c r="T48" s="1836" t="s">
        <v>1236</v>
      </c>
      <c r="U48" s="1897">
        <f>(S48*Z9)*12/44</f>
        <v>1.0941179105525763E-4</v>
      </c>
      <c r="V48" s="1836" t="s">
        <v>1236</v>
      </c>
      <c r="W48" s="1898">
        <f t="shared" si="24"/>
        <v>4.0117656720261137E-4</v>
      </c>
    </row>
    <row r="49" spans="2:23" ht="11.25" customHeight="1" x14ac:dyDescent="0.3">
      <c r="B49" s="1899" t="s">
        <v>1559</v>
      </c>
      <c r="C49" s="1910">
        <v>4</v>
      </c>
      <c r="D49" s="1836" t="s">
        <v>1235</v>
      </c>
      <c r="E49" s="1890">
        <v>40.6</v>
      </c>
      <c r="F49" s="1836" t="s">
        <v>1235</v>
      </c>
      <c r="G49" s="1840">
        <v>5.4</v>
      </c>
      <c r="H49" s="1836" t="s">
        <v>1236</v>
      </c>
      <c r="I49" s="1892">
        <f t="shared" si="20"/>
        <v>320090.40000000002</v>
      </c>
      <c r="J49" s="1836" t="s">
        <v>1235</v>
      </c>
      <c r="K49" s="1893">
        <v>0.48</v>
      </c>
      <c r="L49" s="1836" t="s">
        <v>1235</v>
      </c>
      <c r="M49" s="1895">
        <v>0.221</v>
      </c>
      <c r="N49" s="1836" t="s">
        <v>1236</v>
      </c>
      <c r="O49" s="1892">
        <f t="shared" si="21"/>
        <v>33955.189632000001</v>
      </c>
      <c r="P49" s="1836" t="s">
        <v>1236</v>
      </c>
      <c r="Q49" s="1896">
        <f t="shared" si="22"/>
        <v>22.478335536384002</v>
      </c>
      <c r="R49" s="1836" t="s">
        <v>1236</v>
      </c>
      <c r="S49" s="1897">
        <f t="shared" si="23"/>
        <v>2.2478335536384E-5</v>
      </c>
      <c r="T49" s="1836" t="s">
        <v>1236</v>
      </c>
      <c r="U49" s="1897">
        <f>(S49*Z9)*12/44</f>
        <v>1.7165274409602327E-4</v>
      </c>
      <c r="V49" s="1836" t="s">
        <v>1236</v>
      </c>
      <c r="W49" s="1898">
        <f t="shared" si="24"/>
        <v>6.2939339501875209E-4</v>
      </c>
    </row>
    <row r="50" spans="2:23" ht="11.25" customHeight="1" x14ac:dyDescent="0.3">
      <c r="B50" s="1899" t="s">
        <v>1560</v>
      </c>
      <c r="C50" s="1889">
        <v>3.5</v>
      </c>
      <c r="D50" s="1836" t="s">
        <v>1235</v>
      </c>
      <c r="E50" s="1890">
        <v>67.819999999999993</v>
      </c>
      <c r="F50" s="1836" t="s">
        <v>1235</v>
      </c>
      <c r="G50" s="1840">
        <v>5.4</v>
      </c>
      <c r="H50" s="1836" t="s">
        <v>1236</v>
      </c>
      <c r="I50" s="1892">
        <f t="shared" si="20"/>
        <v>467856.27</v>
      </c>
      <c r="J50" s="1836" t="s">
        <v>1235</v>
      </c>
      <c r="K50" s="1893">
        <v>0.48</v>
      </c>
      <c r="L50" s="1836" t="s">
        <v>1235</v>
      </c>
      <c r="M50" s="1895">
        <v>0.221</v>
      </c>
      <c r="N50" s="1836" t="s">
        <v>1236</v>
      </c>
      <c r="O50" s="1892">
        <f t="shared" si="21"/>
        <v>49630.193121600001</v>
      </c>
      <c r="P50" s="1836" t="s">
        <v>1236</v>
      </c>
      <c r="Q50" s="1896">
        <f t="shared" si="22"/>
        <v>32.855187846499206</v>
      </c>
      <c r="R50" s="1836" t="s">
        <v>1236</v>
      </c>
      <c r="S50" s="1897">
        <f t="shared" si="23"/>
        <v>3.2855187846499203E-5</v>
      </c>
      <c r="T50" s="1836" t="s">
        <v>1236</v>
      </c>
      <c r="U50" s="1897">
        <f>(S50*Z9)*12/44</f>
        <v>2.5089416173690299E-4</v>
      </c>
      <c r="V50" s="1836" t="s">
        <v>1236</v>
      </c>
      <c r="W50" s="1898">
        <f t="shared" si="24"/>
        <v>9.1994525970197773E-4</v>
      </c>
    </row>
    <row r="51" spans="2:23" ht="11.25" customHeight="1" x14ac:dyDescent="0.3">
      <c r="B51" s="1899" t="s">
        <v>1561</v>
      </c>
      <c r="C51" s="1889">
        <v>4</v>
      </c>
      <c r="D51" s="1836" t="s">
        <v>1235</v>
      </c>
      <c r="E51" s="1890">
        <v>90.75</v>
      </c>
      <c r="F51" s="1836" t="s">
        <v>1235</v>
      </c>
      <c r="G51" s="1840">
        <v>5.4</v>
      </c>
      <c r="H51" s="1836" t="s">
        <v>1236</v>
      </c>
      <c r="I51" s="1892">
        <f t="shared" si="20"/>
        <v>715473</v>
      </c>
      <c r="J51" s="1836" t="s">
        <v>1235</v>
      </c>
      <c r="K51" s="1893">
        <v>0.48</v>
      </c>
      <c r="L51" s="1836" t="s">
        <v>1235</v>
      </c>
      <c r="M51" s="1895">
        <v>0.221</v>
      </c>
      <c r="N51" s="1836" t="s">
        <v>1236</v>
      </c>
      <c r="O51" s="1892">
        <f t="shared" si="21"/>
        <v>75897.375839999993</v>
      </c>
      <c r="P51" s="1836" t="s">
        <v>1236</v>
      </c>
      <c r="Q51" s="1896">
        <f t="shared" si="22"/>
        <v>50.244062806080002</v>
      </c>
      <c r="R51" s="1836" t="s">
        <v>1236</v>
      </c>
      <c r="S51" s="1897">
        <f t="shared" si="23"/>
        <v>5.024406280608E-5</v>
      </c>
      <c r="T51" s="1836" t="s">
        <v>1236</v>
      </c>
      <c r="U51" s="1897">
        <f>(S51*Z9)*12/44</f>
        <v>3.8368193415551995E-4</v>
      </c>
      <c r="V51" s="1836" t="s">
        <v>1236</v>
      </c>
      <c r="W51" s="1898">
        <f t="shared" si="24"/>
        <v>1.40683375857024E-3</v>
      </c>
    </row>
    <row r="52" spans="2:23" ht="11.25" customHeight="1" x14ac:dyDescent="0.3">
      <c r="B52" s="1900" t="s">
        <v>1562</v>
      </c>
      <c r="C52" s="1914"/>
      <c r="D52" s="1915"/>
      <c r="E52" s="1903"/>
      <c r="F52" s="1902"/>
      <c r="G52" s="1902"/>
      <c r="H52" s="1902"/>
      <c r="I52" s="1905"/>
      <c r="J52" s="1902"/>
      <c r="K52" s="1906"/>
      <c r="L52" s="1902"/>
      <c r="M52" s="1916"/>
      <c r="N52" s="1902"/>
      <c r="O52" s="1905"/>
      <c r="P52" s="1902"/>
      <c r="Q52" s="1907"/>
      <c r="R52" s="1902"/>
      <c r="S52" s="1908"/>
      <c r="T52" s="1902"/>
      <c r="U52" s="1908"/>
      <c r="V52" s="1902"/>
      <c r="W52" s="1909"/>
    </row>
    <row r="53" spans="2:23" ht="11.25" customHeight="1" x14ac:dyDescent="0.3">
      <c r="B53" s="1899" t="s">
        <v>1563</v>
      </c>
      <c r="C53" s="1917"/>
      <c r="D53" s="1918"/>
      <c r="E53" s="1919"/>
      <c r="F53" s="1918"/>
      <c r="G53" s="1918"/>
      <c r="H53" s="1918"/>
      <c r="I53" s="1920"/>
      <c r="J53" s="1918"/>
      <c r="K53" s="1921"/>
      <c r="L53" s="1918"/>
      <c r="M53" s="1922"/>
      <c r="N53" s="1918"/>
      <c r="O53" s="1920"/>
      <c r="P53" s="1918"/>
      <c r="Q53" s="1923"/>
      <c r="R53" s="1918"/>
      <c r="S53" s="1924"/>
      <c r="T53" s="1918"/>
      <c r="U53" s="1924"/>
      <c r="V53" s="1918"/>
      <c r="W53" s="1925"/>
    </row>
    <row r="54" spans="2:23" ht="11.25" customHeight="1" x14ac:dyDescent="0.3">
      <c r="B54" s="1899" t="s">
        <v>1564</v>
      </c>
      <c r="C54" s="1889">
        <v>2831</v>
      </c>
      <c r="D54" s="1836" t="s">
        <v>1235</v>
      </c>
      <c r="E54" s="1890">
        <v>1.8</v>
      </c>
      <c r="F54" s="1836" t="s">
        <v>1235</v>
      </c>
      <c r="G54" s="1836">
        <v>10.199999999999999</v>
      </c>
      <c r="H54" s="1836" t="s">
        <v>1236</v>
      </c>
      <c r="I54" s="1892">
        <f t="shared" ref="I54:I58" si="25">C54*E54*G54*365</f>
        <v>18971663.399999999</v>
      </c>
      <c r="J54" s="1836" t="s">
        <v>1235</v>
      </c>
      <c r="K54" s="1893">
        <v>0.39</v>
      </c>
      <c r="L54" s="1836" t="s">
        <v>1235</v>
      </c>
      <c r="M54" s="1895">
        <v>5.12259842612387E-2</v>
      </c>
      <c r="N54" s="1836" t="s">
        <v>1236</v>
      </c>
      <c r="O54" s="1892">
        <f t="shared" ref="O54:O58" si="26">(I54*K54)*M54</f>
        <v>379018.43098778813</v>
      </c>
      <c r="P54" s="1836" t="s">
        <v>1236</v>
      </c>
      <c r="Q54" s="1896">
        <f t="shared" ref="Q54:Q58" si="27">O54*0.000662</f>
        <v>250.91020131391576</v>
      </c>
      <c r="R54" s="1836" t="s">
        <v>1236</v>
      </c>
      <c r="S54" s="1897">
        <f t="shared" ref="S54:S58" si="28">Q54/1000000</f>
        <v>2.5091020131391575E-4</v>
      </c>
      <c r="T54" s="1836" t="s">
        <v>1236</v>
      </c>
      <c r="U54" s="1897">
        <f>(S54*Z9)*12/44</f>
        <v>1.9160415373062659E-3</v>
      </c>
      <c r="V54" s="1836" t="s">
        <v>1236</v>
      </c>
      <c r="W54" s="1898">
        <f t="shared" ref="W54:W58" si="29">U54/(12/44)</f>
        <v>7.0254856367896424E-3</v>
      </c>
    </row>
    <row r="55" spans="2:23" ht="11.25" customHeight="1" x14ac:dyDescent="0.3">
      <c r="B55" s="1899" t="s">
        <v>1565</v>
      </c>
      <c r="C55" s="1889">
        <v>1260</v>
      </c>
      <c r="D55" s="1836" t="s">
        <v>1235</v>
      </c>
      <c r="E55" s="1890">
        <v>1.8</v>
      </c>
      <c r="F55" s="1836" t="s">
        <v>1235</v>
      </c>
      <c r="G55" s="1836">
        <v>10.199999999999999</v>
      </c>
      <c r="H55" s="1836" t="s">
        <v>1236</v>
      </c>
      <c r="I55" s="1892">
        <f t="shared" si="25"/>
        <v>8443764</v>
      </c>
      <c r="J55" s="1836" t="s">
        <v>1235</v>
      </c>
      <c r="K55" s="1893">
        <v>0.39</v>
      </c>
      <c r="L55" s="1836" t="s">
        <v>1235</v>
      </c>
      <c r="M55" s="1895">
        <v>5.12259842612387E-2</v>
      </c>
      <c r="N55" s="1836" t="s">
        <v>1236</v>
      </c>
      <c r="O55" s="1892">
        <f t="shared" si="26"/>
        <v>168690.64749014942</v>
      </c>
      <c r="P55" s="1836" t="s">
        <v>1236</v>
      </c>
      <c r="Q55" s="1896">
        <f t="shared" si="27"/>
        <v>111.67320863847893</v>
      </c>
      <c r="R55" s="1836" t="s">
        <v>1236</v>
      </c>
      <c r="S55" s="1897">
        <f t="shared" si="28"/>
        <v>1.1167320863847893E-4</v>
      </c>
      <c r="T55" s="1836" t="s">
        <v>1236</v>
      </c>
      <c r="U55" s="1897">
        <f>(S55*Z9)*12/44</f>
        <v>8.5277722960293008E-4</v>
      </c>
      <c r="V55" s="1836" t="s">
        <v>1236</v>
      </c>
      <c r="W55" s="1898">
        <f t="shared" si="29"/>
        <v>3.1268498418774104E-3</v>
      </c>
    </row>
    <row r="56" spans="2:23" ht="11.25" customHeight="1" x14ac:dyDescent="0.3">
      <c r="B56" s="1899" t="s">
        <v>1566</v>
      </c>
      <c r="C56" s="1889">
        <v>8</v>
      </c>
      <c r="D56" s="1836" t="s">
        <v>1235</v>
      </c>
      <c r="E56" s="1890">
        <v>1.8</v>
      </c>
      <c r="F56" s="1836" t="s">
        <v>1235</v>
      </c>
      <c r="G56" s="1840">
        <v>11</v>
      </c>
      <c r="H56" s="1836" t="s">
        <v>1236</v>
      </c>
      <c r="I56" s="1892">
        <f t="shared" si="25"/>
        <v>57816</v>
      </c>
      <c r="J56" s="1836" t="s">
        <v>1235</v>
      </c>
      <c r="K56" s="1893">
        <v>0.39</v>
      </c>
      <c r="L56" s="1836" t="s">
        <v>1235</v>
      </c>
      <c r="M56" s="1895">
        <v>5.12259842612387E-2</v>
      </c>
      <c r="N56" s="1836" t="s">
        <v>1236</v>
      </c>
      <c r="O56" s="1892">
        <f t="shared" si="26"/>
        <v>1155.0557873586329</v>
      </c>
      <c r="P56" s="1836" t="s">
        <v>1236</v>
      </c>
      <c r="Q56" s="1896">
        <f t="shared" si="27"/>
        <v>0.76464693123141503</v>
      </c>
      <c r="R56" s="1836" t="s">
        <v>1236</v>
      </c>
      <c r="S56" s="1897">
        <f t="shared" si="28"/>
        <v>7.6464693123141506E-7</v>
      </c>
      <c r="T56" s="1836" t="s">
        <v>1236</v>
      </c>
      <c r="U56" s="1897">
        <f>(S56*Z9)*12/44</f>
        <v>5.8391220203126242E-6</v>
      </c>
      <c r="V56" s="1836" t="s">
        <v>1236</v>
      </c>
      <c r="W56" s="1898">
        <f t="shared" si="29"/>
        <v>2.1410114074479622E-5</v>
      </c>
    </row>
    <row r="57" spans="2:23" ht="11.25" customHeight="1" x14ac:dyDescent="0.3">
      <c r="B57" s="1899" t="s">
        <v>1567</v>
      </c>
      <c r="C57" s="1889">
        <v>52618.2</v>
      </c>
      <c r="D57" s="1835" t="s">
        <v>1235</v>
      </c>
      <c r="E57" s="1890">
        <v>0.9</v>
      </c>
      <c r="F57" s="1835" t="s">
        <v>1235</v>
      </c>
      <c r="G57" s="1836">
        <v>17</v>
      </c>
      <c r="H57" s="1835" t="s">
        <v>1236</v>
      </c>
      <c r="I57" s="1892">
        <f t="shared" si="25"/>
        <v>293846337.89999998</v>
      </c>
      <c r="J57" s="1835" t="s">
        <v>1235</v>
      </c>
      <c r="K57" s="1893">
        <v>0.36</v>
      </c>
      <c r="L57" s="1835" t="s">
        <v>1235</v>
      </c>
      <c r="M57" s="1926">
        <v>1.4999999999999999E-2</v>
      </c>
      <c r="N57" s="1835" t="s">
        <v>1236</v>
      </c>
      <c r="O57" s="1892">
        <f t="shared" si="26"/>
        <v>1586770.2246599998</v>
      </c>
      <c r="P57" s="1836" t="s">
        <v>1236</v>
      </c>
      <c r="Q57" s="1896">
        <f t="shared" si="27"/>
        <v>1050.4418887249199</v>
      </c>
      <c r="R57" s="1836" t="s">
        <v>1236</v>
      </c>
      <c r="S57" s="1897">
        <f t="shared" si="28"/>
        <v>1.0504418887249199E-3</v>
      </c>
      <c r="T57" s="1836" t="s">
        <v>1236</v>
      </c>
      <c r="U57" s="1897">
        <f>(S57*Z9)*12/44</f>
        <v>8.0215562411721161E-3</v>
      </c>
      <c r="V57" s="1836" t="s">
        <v>1236</v>
      </c>
      <c r="W57" s="1898">
        <f t="shared" si="29"/>
        <v>2.9412372884297763E-2</v>
      </c>
    </row>
    <row r="58" spans="2:23" ht="11.25" customHeight="1" x14ac:dyDescent="0.3">
      <c r="B58" s="1899" t="s">
        <v>1568</v>
      </c>
      <c r="C58" s="1889">
        <v>303.60000000000002</v>
      </c>
      <c r="D58" s="1835" t="s">
        <v>1235</v>
      </c>
      <c r="E58" s="1890">
        <v>6.8</v>
      </c>
      <c r="F58" s="1835" t="s">
        <v>1235</v>
      </c>
      <c r="G58" s="1836">
        <v>8.5</v>
      </c>
      <c r="H58" s="1835" t="s">
        <v>1236</v>
      </c>
      <c r="I58" s="1892">
        <f t="shared" si="25"/>
        <v>6405049.2000000002</v>
      </c>
      <c r="J58" s="1835" t="s">
        <v>1235</v>
      </c>
      <c r="K58" s="1893">
        <v>0.36</v>
      </c>
      <c r="L58" s="1835" t="s">
        <v>1235</v>
      </c>
      <c r="M58" s="1926">
        <v>1.4999999999999999E-2</v>
      </c>
      <c r="N58" s="1835" t="s">
        <v>1236</v>
      </c>
      <c r="O58" s="1892">
        <f t="shared" si="26"/>
        <v>34587.265679999997</v>
      </c>
      <c r="P58" s="1836" t="s">
        <v>1236</v>
      </c>
      <c r="Q58" s="1896">
        <f t="shared" si="27"/>
        <v>22.896769880160001</v>
      </c>
      <c r="R58" s="1836" t="s">
        <v>1236</v>
      </c>
      <c r="S58" s="1897">
        <f t="shared" si="28"/>
        <v>2.2896769880160002E-5</v>
      </c>
      <c r="T58" s="1836" t="s">
        <v>1236</v>
      </c>
      <c r="U58" s="1897">
        <f>(S58*Z9)*12/44</f>
        <v>1.7484806090304001E-4</v>
      </c>
      <c r="V58" s="1836" t="s">
        <v>1236</v>
      </c>
      <c r="W58" s="1898">
        <f t="shared" si="29"/>
        <v>6.4110955664448003E-4</v>
      </c>
    </row>
    <row r="59" spans="2:23" ht="11.25" customHeight="1" x14ac:dyDescent="0.3">
      <c r="B59" s="1900" t="s">
        <v>665</v>
      </c>
      <c r="C59" s="1914"/>
      <c r="D59" s="1927"/>
      <c r="E59" s="1903"/>
      <c r="F59" s="1928"/>
      <c r="G59" s="1902"/>
      <c r="H59" s="1928"/>
      <c r="I59" s="1905"/>
      <c r="J59" s="1902"/>
      <c r="K59" s="1906"/>
      <c r="L59" s="1902"/>
      <c r="M59" s="1916"/>
      <c r="N59" s="1902"/>
      <c r="O59" s="1905"/>
      <c r="P59" s="1902"/>
      <c r="Q59" s="1907"/>
      <c r="R59" s="1902"/>
      <c r="S59" s="1908"/>
      <c r="T59" s="1902"/>
      <c r="U59" s="1908"/>
      <c r="V59" s="1902"/>
      <c r="W59" s="1909"/>
    </row>
    <row r="60" spans="2:23" ht="11.25" customHeight="1" x14ac:dyDescent="0.3">
      <c r="B60" s="1838" t="s">
        <v>1569</v>
      </c>
      <c r="C60" s="1889">
        <v>6.4</v>
      </c>
      <c r="D60" s="1835" t="s">
        <v>1235</v>
      </c>
      <c r="E60" s="1890">
        <v>25</v>
      </c>
      <c r="F60" s="1835" t="s">
        <v>1235</v>
      </c>
      <c r="G60" s="1840">
        <v>8.3000000000000007</v>
      </c>
      <c r="H60" s="1835" t="s">
        <v>1236</v>
      </c>
      <c r="I60" s="1892">
        <f t="shared" ref="I60:I63" si="30">C60*E60*G60*365</f>
        <v>484720</v>
      </c>
      <c r="J60" s="1835" t="s">
        <v>1235</v>
      </c>
      <c r="K60" s="1893">
        <v>0.36056372132540354</v>
      </c>
      <c r="L60" s="1835" t="s">
        <v>1235</v>
      </c>
      <c r="M60" s="1926">
        <v>1.2E-2</v>
      </c>
      <c r="N60" s="1835" t="s">
        <v>1236</v>
      </c>
      <c r="O60" s="1892">
        <f t="shared" ref="O60:O63" si="31">(I60*K60)*M60</f>
        <v>2097.2693640101952</v>
      </c>
      <c r="P60" s="1836" t="s">
        <v>1236</v>
      </c>
      <c r="Q60" s="1896">
        <f t="shared" ref="Q60:Q63" si="32">O60*0.000662</f>
        <v>1.3883923189747494</v>
      </c>
      <c r="R60" s="1836" t="s">
        <v>1236</v>
      </c>
      <c r="S60" s="1897">
        <f t="shared" ref="S60:S63" si="33">Q60/1000000</f>
        <v>1.3883923189747494E-6</v>
      </c>
      <c r="T60" s="1836" t="s">
        <v>1236</v>
      </c>
      <c r="U60" s="1897">
        <f>(S60*Z9)*12/44</f>
        <v>1.060226861762536E-5</v>
      </c>
      <c r="V60" s="1836" t="s">
        <v>1236</v>
      </c>
      <c r="W60" s="1898">
        <f t="shared" ref="W60:W63" si="34">U60/(12/44)</f>
        <v>3.8874984931292992E-5</v>
      </c>
    </row>
    <row r="61" spans="2:23" ht="11.25" customHeight="1" x14ac:dyDescent="0.3">
      <c r="B61" s="1838" t="s">
        <v>1570</v>
      </c>
      <c r="C61" s="1929">
        <v>6.5</v>
      </c>
      <c r="D61" s="1835" t="s">
        <v>1235</v>
      </c>
      <c r="E61" s="1890">
        <v>80</v>
      </c>
      <c r="F61" s="1835" t="s">
        <v>1235</v>
      </c>
      <c r="G61" s="1840">
        <v>8.3000000000000007</v>
      </c>
      <c r="H61" s="1835" t="s">
        <v>1236</v>
      </c>
      <c r="I61" s="1892">
        <f t="shared" si="30"/>
        <v>1575340</v>
      </c>
      <c r="J61" s="1835" t="s">
        <v>1235</v>
      </c>
      <c r="K61" s="1893">
        <v>0.1899677145284622</v>
      </c>
      <c r="L61" s="1835" t="s">
        <v>1235</v>
      </c>
      <c r="M61" s="1926">
        <v>1.0999999999999999E-2</v>
      </c>
      <c r="N61" s="1835" t="s">
        <v>1236</v>
      </c>
      <c r="O61" s="1892">
        <f t="shared" si="31"/>
        <v>3291.9011334579436</v>
      </c>
      <c r="P61" s="1836" t="s">
        <v>1236</v>
      </c>
      <c r="Q61" s="1896">
        <f t="shared" si="32"/>
        <v>2.1792385503491589</v>
      </c>
      <c r="R61" s="1836" t="s">
        <v>1236</v>
      </c>
      <c r="S61" s="1897">
        <f t="shared" si="33"/>
        <v>2.179238550349159E-6</v>
      </c>
      <c r="T61" s="1836" t="s">
        <v>1236</v>
      </c>
      <c r="U61" s="1897">
        <f>(S61*Z9)*12/44</f>
        <v>1.6641458020848122E-5</v>
      </c>
      <c r="V61" s="1836" t="s">
        <v>1236</v>
      </c>
      <c r="W61" s="1898">
        <f t="shared" si="34"/>
        <v>6.1018679409776449E-5</v>
      </c>
    </row>
    <row r="62" spans="2:23" ht="11.25" customHeight="1" x14ac:dyDescent="0.3">
      <c r="B62" s="1838" t="s">
        <v>1540</v>
      </c>
      <c r="C62" s="1889">
        <v>14.5</v>
      </c>
      <c r="D62" s="1835" t="s">
        <v>1235</v>
      </c>
      <c r="E62" s="1890">
        <v>64</v>
      </c>
      <c r="F62" s="1835" t="s">
        <v>1235</v>
      </c>
      <c r="G62" s="1840">
        <v>9.5</v>
      </c>
      <c r="H62" s="1835" t="s">
        <v>1236</v>
      </c>
      <c r="I62" s="1892">
        <f t="shared" si="30"/>
        <v>3217840</v>
      </c>
      <c r="J62" s="1835" t="s">
        <v>1235</v>
      </c>
      <c r="K62" s="1893">
        <v>0.16997111299915041</v>
      </c>
      <c r="L62" s="1835" t="s">
        <v>1235</v>
      </c>
      <c r="M62" s="1926">
        <v>1.0999999999999999E-2</v>
      </c>
      <c r="N62" s="1835" t="s">
        <v>1236</v>
      </c>
      <c r="O62" s="1892">
        <f t="shared" si="31"/>
        <v>6016.338308785047</v>
      </c>
      <c r="P62" s="1836" t="s">
        <v>1236</v>
      </c>
      <c r="Q62" s="1896">
        <f t="shared" si="32"/>
        <v>3.9828159604157016</v>
      </c>
      <c r="R62" s="1836" t="s">
        <v>1236</v>
      </c>
      <c r="S62" s="1897">
        <f t="shared" si="33"/>
        <v>3.9828159604157014E-6</v>
      </c>
      <c r="T62" s="1836" t="s">
        <v>1236</v>
      </c>
      <c r="U62" s="1897">
        <f>(S62*Z9)*12/44</f>
        <v>3.0414230970447179E-5</v>
      </c>
      <c r="V62" s="1836" t="s">
        <v>1236</v>
      </c>
      <c r="W62" s="1898">
        <f t="shared" si="34"/>
        <v>1.1151884689163966E-4</v>
      </c>
    </row>
    <row r="63" spans="2:23" ht="11.25" customHeight="1" x14ac:dyDescent="0.3">
      <c r="B63" s="1838" t="s">
        <v>1542</v>
      </c>
      <c r="C63" s="1929">
        <v>27.4</v>
      </c>
      <c r="D63" s="1835" t="s">
        <v>1235</v>
      </c>
      <c r="E63" s="1890">
        <v>450</v>
      </c>
      <c r="F63" s="1835" t="s">
        <v>1235</v>
      </c>
      <c r="G63" s="1836">
        <v>6.1</v>
      </c>
      <c r="H63" s="1835" t="s">
        <v>1236</v>
      </c>
      <c r="I63" s="1892">
        <f t="shared" si="30"/>
        <v>27452745</v>
      </c>
      <c r="J63" s="1835" t="s">
        <v>1235</v>
      </c>
      <c r="K63" s="1893">
        <v>0.33056881903143587</v>
      </c>
      <c r="L63" s="1835" t="s">
        <v>1235</v>
      </c>
      <c r="M63" s="1926">
        <v>1.0999999999999999E-2</v>
      </c>
      <c r="N63" s="1835" t="s">
        <v>1236</v>
      </c>
      <c r="O63" s="1892">
        <f t="shared" si="31"/>
        <v>99825.236432032703</v>
      </c>
      <c r="P63" s="1836" t="s">
        <v>1236</v>
      </c>
      <c r="Q63" s="1896">
        <f t="shared" si="32"/>
        <v>66.084306518005647</v>
      </c>
      <c r="R63" s="1836" t="s">
        <v>1236</v>
      </c>
      <c r="S63" s="1897">
        <f t="shared" si="33"/>
        <v>6.6084306518005652E-5</v>
      </c>
      <c r="T63" s="1836" t="s">
        <v>1236</v>
      </c>
      <c r="U63" s="1897">
        <f>(S63*Z9)*12/44</f>
        <v>5.0464379522840682E-4</v>
      </c>
      <c r="V63" s="1836" t="s">
        <v>1236</v>
      </c>
      <c r="W63" s="1898">
        <f t="shared" si="34"/>
        <v>1.8503605825041585E-3</v>
      </c>
    </row>
    <row r="64" spans="2:23" ht="11.25" customHeight="1" x14ac:dyDescent="0.3">
      <c r="B64" s="1849" t="s">
        <v>1543</v>
      </c>
      <c r="C64" s="1930"/>
      <c r="D64" s="1930"/>
      <c r="E64" s="1931"/>
      <c r="F64" s="1930"/>
      <c r="G64" s="1930"/>
      <c r="H64" s="1930"/>
      <c r="I64" s="1930"/>
      <c r="J64" s="1851"/>
      <c r="K64" s="1851"/>
      <c r="L64" s="1851"/>
      <c r="M64" s="1851"/>
      <c r="N64" s="1851"/>
      <c r="O64" s="1932">
        <f>SUM(O35:O63)</f>
        <v>10342906.305674296</v>
      </c>
      <c r="P64" s="1851"/>
      <c r="Q64" s="1933">
        <f>SUM(Q35:Q63)</f>
        <v>6847.0039743563866</v>
      </c>
      <c r="R64" s="1851"/>
      <c r="S64" s="1934">
        <f>SUM(S35:S63)</f>
        <v>6.8470039743563854E-3</v>
      </c>
      <c r="T64" s="1851"/>
      <c r="U64" s="1934">
        <f>SUM(U35:U63)</f>
        <v>5.2286212167812408E-2</v>
      </c>
      <c r="V64" s="1930"/>
      <c r="W64" s="1935">
        <f>SUM(W35:W63)</f>
        <v>0.19171611128197882</v>
      </c>
    </row>
    <row r="65" spans="1:23" ht="11.25" customHeight="1" x14ac:dyDescent="0.3">
      <c r="A65" s="327"/>
      <c r="B65" s="1858"/>
      <c r="C65" s="143"/>
      <c r="D65" s="143"/>
      <c r="E65" s="1936"/>
      <c r="F65" s="143"/>
      <c r="G65" s="143"/>
      <c r="H65" s="143"/>
      <c r="I65" s="143"/>
      <c r="J65" s="1741"/>
      <c r="K65" s="1741"/>
      <c r="L65" s="1741"/>
      <c r="M65" s="1741"/>
      <c r="N65" s="1741"/>
      <c r="O65" s="1937"/>
      <c r="P65" s="1741"/>
      <c r="Q65" s="1938"/>
      <c r="R65" s="1741"/>
      <c r="S65" s="1939"/>
      <c r="T65" s="1741"/>
      <c r="U65" s="1939"/>
      <c r="V65" s="143"/>
      <c r="W65" s="1939"/>
    </row>
    <row r="66" spans="1:23" ht="11.25" customHeight="1" x14ac:dyDescent="0.3">
      <c r="A66" s="327"/>
      <c r="B66" s="1858"/>
      <c r="C66" s="143"/>
      <c r="D66" s="143"/>
      <c r="E66" s="1936"/>
      <c r="F66" s="143"/>
      <c r="G66" s="143"/>
      <c r="H66" s="143"/>
      <c r="I66" s="143"/>
      <c r="J66" s="1741"/>
      <c r="K66" s="1741"/>
      <c r="L66" s="1741"/>
      <c r="M66" s="1741"/>
      <c r="N66" s="1741"/>
      <c r="O66" s="1937"/>
      <c r="P66" s="1741"/>
      <c r="Q66" s="1938"/>
      <c r="R66" s="1741"/>
      <c r="S66" s="1939"/>
      <c r="T66" s="1741"/>
      <c r="U66" s="1939"/>
      <c r="V66" s="143"/>
      <c r="W66" s="1939"/>
    </row>
    <row r="67" spans="1:23" ht="11.25" customHeight="1" x14ac:dyDescent="0.3">
      <c r="B67" s="1862"/>
      <c r="C67" s="1863"/>
      <c r="D67" s="1864"/>
      <c r="E67" s="1864"/>
      <c r="F67" s="1864"/>
      <c r="G67" s="1865"/>
      <c r="H67" s="1866"/>
      <c r="I67" s="1867"/>
      <c r="J67" s="1866"/>
      <c r="K67" s="1868"/>
      <c r="L67" s="953"/>
      <c r="M67" s="1868"/>
      <c r="N67" s="953"/>
      <c r="O67" s="953"/>
      <c r="P67" s="953"/>
      <c r="Q67" s="953"/>
      <c r="R67" s="953"/>
      <c r="S67" s="953"/>
      <c r="T67" s="953"/>
      <c r="U67" s="953"/>
      <c r="V67" s="327"/>
      <c r="W67" s="327"/>
    </row>
    <row r="68" spans="1:23" ht="18.600000000000001" x14ac:dyDescent="0.45">
      <c r="B68" s="1828" t="s">
        <v>1571</v>
      </c>
      <c r="C68" s="1869"/>
      <c r="D68" s="1870"/>
      <c r="E68" s="1870"/>
      <c r="F68" s="1870"/>
      <c r="G68" s="1871"/>
      <c r="H68" s="1872"/>
      <c r="I68" s="1873"/>
      <c r="J68" s="1872"/>
      <c r="K68" s="1874"/>
      <c r="L68" s="1829"/>
      <c r="M68" s="1874"/>
      <c r="N68" s="1829"/>
      <c r="O68" s="1829"/>
      <c r="P68" s="1829"/>
      <c r="Q68" s="1829"/>
      <c r="R68" s="1829"/>
      <c r="S68" s="1829"/>
      <c r="T68" s="1829"/>
      <c r="U68" s="1830"/>
      <c r="V68" s="1191"/>
      <c r="W68" s="327"/>
    </row>
    <row r="69" spans="1:23" ht="66.75" customHeight="1" x14ac:dyDescent="0.25">
      <c r="B69" s="443"/>
      <c r="C69" s="1940" t="s">
        <v>1520</v>
      </c>
      <c r="D69" s="1941"/>
      <c r="E69" s="1831" t="s">
        <v>1572</v>
      </c>
      <c r="F69" s="1832"/>
      <c r="G69" s="1831" t="s">
        <v>1573</v>
      </c>
      <c r="H69" s="1831"/>
      <c r="I69" s="1831" t="s">
        <v>1574</v>
      </c>
      <c r="J69" s="1832"/>
      <c r="K69" s="1831" t="s">
        <v>1575</v>
      </c>
      <c r="L69" s="1942"/>
      <c r="M69" s="1831" t="s">
        <v>1576</v>
      </c>
      <c r="N69" s="1832"/>
      <c r="O69" s="1831" t="s">
        <v>1577</v>
      </c>
      <c r="P69" s="1832"/>
      <c r="Q69" s="1831" t="s">
        <v>1368</v>
      </c>
      <c r="R69" s="1832"/>
      <c r="S69" s="1831" t="s">
        <v>1524</v>
      </c>
      <c r="T69" s="1832"/>
      <c r="U69" s="1833" t="s">
        <v>1578</v>
      </c>
    </row>
    <row r="70" spans="1:23" ht="11.25" customHeight="1" x14ac:dyDescent="0.35">
      <c r="B70" s="1900" t="s">
        <v>1579</v>
      </c>
      <c r="C70" s="1943"/>
      <c r="D70" s="1944"/>
      <c r="E70" s="1945"/>
      <c r="F70" s="1946"/>
      <c r="G70" s="1946"/>
      <c r="H70" s="1946"/>
      <c r="I70" s="1947"/>
      <c r="J70" s="1946"/>
      <c r="K70" s="1946"/>
      <c r="L70" s="1948"/>
      <c r="M70" s="1946"/>
      <c r="N70" s="1946"/>
      <c r="O70" s="1946"/>
      <c r="P70" s="1946"/>
      <c r="Q70" s="1946"/>
      <c r="R70" s="1946"/>
      <c r="S70" s="1949"/>
      <c r="T70" s="1946"/>
      <c r="U70" s="1950"/>
    </row>
    <row r="71" spans="1:23" ht="11.25" customHeight="1" x14ac:dyDescent="0.3">
      <c r="B71" s="1838" t="s">
        <v>1527</v>
      </c>
      <c r="C71" s="1889">
        <v>42</v>
      </c>
      <c r="D71" s="1836"/>
      <c r="E71" s="1892">
        <f>6194530</f>
        <v>6194530</v>
      </c>
      <c r="F71" s="420"/>
      <c r="G71" s="1892">
        <f>1810805</f>
        <v>1810805</v>
      </c>
      <c r="H71" s="1841"/>
      <c r="I71" s="1892">
        <f>2839373</f>
        <v>2839373</v>
      </c>
      <c r="J71" s="420"/>
      <c r="K71" s="1892">
        <f>1811</f>
        <v>1811</v>
      </c>
      <c r="L71" s="1836" t="s">
        <v>1346</v>
      </c>
      <c r="M71" s="1892">
        <f>56787</f>
        <v>56787</v>
      </c>
      <c r="N71" s="1841" t="s">
        <v>1236</v>
      </c>
      <c r="O71" s="1892">
        <f t="shared" ref="O71:O72" si="35">(K71+M71)*(44/28)</f>
        <v>92082.57142857142</v>
      </c>
      <c r="P71" s="1841" t="s">
        <v>1236</v>
      </c>
      <c r="Q71" s="1892">
        <f>O71/1000*Z10*12/44</f>
        <v>6655.0585714285708</v>
      </c>
      <c r="R71" s="1841" t="s">
        <v>1236</v>
      </c>
      <c r="S71" s="1951">
        <f t="shared" ref="S71:S72" si="36">Q71/10^6</f>
        <v>6.6550585714285704E-3</v>
      </c>
      <c r="T71" s="1841" t="s">
        <v>1236</v>
      </c>
      <c r="U71" s="1952">
        <f t="shared" ref="U71:U72" si="37">S71/(12/44)</f>
        <v>2.4401881428571425E-2</v>
      </c>
    </row>
    <row r="72" spans="1:23" ht="11.25" customHeight="1" x14ac:dyDescent="0.3">
      <c r="B72" s="1899" t="s">
        <v>1528</v>
      </c>
      <c r="C72" s="1889">
        <v>26</v>
      </c>
      <c r="D72" s="1836"/>
      <c r="E72" s="1892">
        <f>1790671</f>
        <v>1790671</v>
      </c>
      <c r="F72" s="420"/>
      <c r="G72" s="1892">
        <f>523455</f>
        <v>523455</v>
      </c>
      <c r="H72" s="1841"/>
      <c r="I72" s="1892">
        <f>870876</f>
        <v>870876</v>
      </c>
      <c r="J72" s="420"/>
      <c r="K72" s="1892">
        <f>523</f>
        <v>523</v>
      </c>
      <c r="L72" s="1836" t="s">
        <v>1346</v>
      </c>
      <c r="M72" s="1892">
        <f>17418</f>
        <v>17418</v>
      </c>
      <c r="N72" s="1841" t="s">
        <v>1236</v>
      </c>
      <c r="O72" s="1892">
        <f t="shared" si="35"/>
        <v>28193</v>
      </c>
      <c r="P72" s="1841" t="s">
        <v>1236</v>
      </c>
      <c r="Q72" s="1892">
        <f>O72/1000*Z10*12/44</f>
        <v>2037.585</v>
      </c>
      <c r="R72" s="1841" t="s">
        <v>1236</v>
      </c>
      <c r="S72" s="1951">
        <f t="shared" si="36"/>
        <v>2.0375850000000002E-3</v>
      </c>
      <c r="T72" s="1841" t="s">
        <v>1236</v>
      </c>
      <c r="U72" s="1952">
        <f t="shared" si="37"/>
        <v>7.4711450000000011E-3</v>
      </c>
    </row>
    <row r="73" spans="1:23" ht="11.25" customHeight="1" x14ac:dyDescent="0.3">
      <c r="B73" s="1900" t="s">
        <v>1531</v>
      </c>
      <c r="C73" s="1953"/>
      <c r="D73" s="1902"/>
      <c r="E73" s="1905"/>
      <c r="F73" s="1946"/>
      <c r="G73" s="1905"/>
      <c r="H73" s="1954"/>
      <c r="I73" s="1905"/>
      <c r="J73" s="1946"/>
      <c r="K73" s="1905" t="s">
        <v>1580</v>
      </c>
      <c r="L73" s="1902"/>
      <c r="M73" s="1905"/>
      <c r="N73" s="1954"/>
      <c r="O73" s="1905"/>
      <c r="P73" s="1954"/>
      <c r="Q73" s="1905"/>
      <c r="R73" s="1954"/>
      <c r="S73" s="1905"/>
      <c r="T73" s="1954"/>
      <c r="U73" s="1955"/>
    </row>
    <row r="74" spans="1:23" ht="11.25" customHeight="1" x14ac:dyDescent="0.3">
      <c r="B74" s="1899" t="s">
        <v>1536</v>
      </c>
      <c r="C74" s="1847">
        <v>3.9119999999999999</v>
      </c>
      <c r="D74" s="1836"/>
      <c r="E74" s="1892">
        <f>217584</f>
        <v>217584</v>
      </c>
      <c r="F74" s="420"/>
      <c r="G74" s="1892" t="s">
        <v>772</v>
      </c>
      <c r="H74" s="1841"/>
      <c r="I74" s="1892">
        <f>217584</f>
        <v>217584</v>
      </c>
      <c r="J74" s="420"/>
      <c r="K74" s="1892" t="s">
        <v>772</v>
      </c>
      <c r="L74" s="1836" t="s">
        <v>1346</v>
      </c>
      <c r="M74" s="1892">
        <f>4352</f>
        <v>4352</v>
      </c>
      <c r="N74" s="1841" t="s">
        <v>1236</v>
      </c>
      <c r="O74" s="1892">
        <f t="shared" ref="O74:O75" si="38">M74*(44/28)</f>
        <v>6838.8571428571431</v>
      </c>
      <c r="P74" s="1841" t="s">
        <v>1236</v>
      </c>
      <c r="Q74" s="1892">
        <f>O74/1000*Z10*12/44</f>
        <v>494.26285714285717</v>
      </c>
      <c r="R74" s="1841" t="s">
        <v>1236</v>
      </c>
      <c r="S74" s="1951">
        <f t="shared" ref="S74:S75" si="39">Q74/10^6</f>
        <v>4.9426285714285721E-4</v>
      </c>
      <c r="T74" s="1841" t="s">
        <v>1236</v>
      </c>
      <c r="U74" s="1952">
        <f t="shared" ref="U74:U75" si="40">S74/(12/44)</f>
        <v>1.8122971428571433E-3</v>
      </c>
    </row>
    <row r="75" spans="1:23" ht="11.25" customHeight="1" x14ac:dyDescent="0.3">
      <c r="B75" s="1899" t="s">
        <v>1537</v>
      </c>
      <c r="C75" s="1847">
        <v>7.3949999999999996</v>
      </c>
      <c r="D75" s="1836"/>
      <c r="E75" s="1892">
        <f>422312</f>
        <v>422312</v>
      </c>
      <c r="F75" s="420"/>
      <c r="G75" s="1892" t="s">
        <v>772</v>
      </c>
      <c r="H75" s="1841"/>
      <c r="I75" s="1892">
        <f>422312</f>
        <v>422312</v>
      </c>
      <c r="J75" s="420"/>
      <c r="K75" s="1892" t="s">
        <v>772</v>
      </c>
      <c r="L75" s="1836" t="s">
        <v>1346</v>
      </c>
      <c r="M75" s="1892">
        <f>8446</f>
        <v>8446</v>
      </c>
      <c r="N75" s="1841" t="s">
        <v>1236</v>
      </c>
      <c r="O75" s="1892">
        <f t="shared" si="38"/>
        <v>13272.285714285714</v>
      </c>
      <c r="P75" s="1841" t="s">
        <v>1236</v>
      </c>
      <c r="Q75" s="1892">
        <f>O75/1000*Z10*12/44</f>
        <v>959.22428571428566</v>
      </c>
      <c r="R75" s="1841" t="s">
        <v>1236</v>
      </c>
      <c r="S75" s="1951">
        <f t="shared" si="39"/>
        <v>9.5922428571428562E-4</v>
      </c>
      <c r="T75" s="1841" t="s">
        <v>1236</v>
      </c>
      <c r="U75" s="1952">
        <f t="shared" si="40"/>
        <v>3.517155714285714E-3</v>
      </c>
    </row>
    <row r="76" spans="1:23" ht="11.25" customHeight="1" x14ac:dyDescent="0.3">
      <c r="B76" s="1900" t="s">
        <v>1541</v>
      </c>
      <c r="C76" s="1953"/>
      <c r="D76" s="1902"/>
      <c r="E76" s="1956"/>
      <c r="F76" s="1946"/>
      <c r="G76" s="1956"/>
      <c r="H76" s="1954"/>
      <c r="I76" s="1905"/>
      <c r="J76" s="1946"/>
      <c r="K76" s="1905" t="s">
        <v>1580</v>
      </c>
      <c r="L76" s="1902"/>
      <c r="M76" s="1905"/>
      <c r="N76" s="1954"/>
      <c r="O76" s="1905"/>
      <c r="P76" s="1954"/>
      <c r="Q76" s="1905"/>
      <c r="R76" s="1954"/>
      <c r="S76" s="1905"/>
      <c r="T76" s="1954"/>
      <c r="U76" s="1955"/>
    </row>
    <row r="77" spans="1:23" ht="11.25" customHeight="1" x14ac:dyDescent="0.3">
      <c r="B77" s="1899" t="s">
        <v>1557</v>
      </c>
      <c r="C77" s="1889">
        <v>3</v>
      </c>
      <c r="D77" s="1836"/>
      <c r="E77" s="1892">
        <f>43904</f>
        <v>43904</v>
      </c>
      <c r="F77" s="420"/>
      <c r="G77" s="1892">
        <f>24983</f>
        <v>24983</v>
      </c>
      <c r="H77" s="1841"/>
      <c r="I77" s="1892">
        <v>0</v>
      </c>
      <c r="J77" s="420"/>
      <c r="K77" s="1892">
        <f>25</f>
        <v>25</v>
      </c>
      <c r="L77" s="1836" t="s">
        <v>1346</v>
      </c>
      <c r="M77" s="1892">
        <v>0</v>
      </c>
      <c r="N77" s="1841" t="s">
        <v>1236</v>
      </c>
      <c r="O77" s="1892">
        <f t="shared" ref="O77:O81" si="41">(K77+M77)*(44/28)</f>
        <v>39.285714285714285</v>
      </c>
      <c r="P77" s="1841" t="s">
        <v>1236</v>
      </c>
      <c r="Q77" s="1892">
        <f>O77/1000*Z10*12/44</f>
        <v>2.839285714285714</v>
      </c>
      <c r="R77" s="1841" t="s">
        <v>1236</v>
      </c>
      <c r="S77" s="1951">
        <f t="shared" ref="S77:S81" si="42">Q77/10^6</f>
        <v>2.8392857142857141E-6</v>
      </c>
      <c r="T77" s="1841" t="s">
        <v>1236</v>
      </c>
      <c r="U77" s="1952">
        <f t="shared" ref="U77:U81" si="43">S77/(12/44)</f>
        <v>1.0410714285714286E-5</v>
      </c>
    </row>
    <row r="78" spans="1:23" ht="11.25" customHeight="1" x14ac:dyDescent="0.3">
      <c r="B78" s="1899" t="s">
        <v>1558</v>
      </c>
      <c r="C78" s="1889">
        <v>4</v>
      </c>
      <c r="D78" s="1836"/>
      <c r="E78" s="1892">
        <f>21330</f>
        <v>21330</v>
      </c>
      <c r="F78" s="420"/>
      <c r="G78" s="1892">
        <f>12138</f>
        <v>12138</v>
      </c>
      <c r="H78" s="1841"/>
      <c r="I78" s="1892">
        <v>0</v>
      </c>
      <c r="J78" s="420"/>
      <c r="K78" s="1892">
        <f>12</f>
        <v>12</v>
      </c>
      <c r="L78" s="1836" t="s">
        <v>1346</v>
      </c>
      <c r="M78" s="1892">
        <v>0</v>
      </c>
      <c r="N78" s="1841" t="s">
        <v>1236</v>
      </c>
      <c r="O78" s="1892">
        <f t="shared" si="41"/>
        <v>18.857142857142858</v>
      </c>
      <c r="P78" s="1841" t="s">
        <v>1236</v>
      </c>
      <c r="Q78" s="1892">
        <f>O78/1000*Z10*12/44</f>
        <v>1.3628571428571428</v>
      </c>
      <c r="R78" s="1841" t="s">
        <v>1236</v>
      </c>
      <c r="S78" s="1951">
        <f t="shared" si="42"/>
        <v>1.3628571428571428E-6</v>
      </c>
      <c r="T78" s="1841" t="s">
        <v>1236</v>
      </c>
      <c r="U78" s="1952">
        <f t="shared" si="43"/>
        <v>4.9971428571428571E-6</v>
      </c>
    </row>
    <row r="79" spans="1:23" ht="11.25" customHeight="1" x14ac:dyDescent="0.3">
      <c r="B79" s="1899" t="s">
        <v>1559</v>
      </c>
      <c r="C79" s="1957">
        <v>4</v>
      </c>
      <c r="D79" s="1836"/>
      <c r="E79" s="1892">
        <f>32009</f>
        <v>32009</v>
      </c>
      <c r="F79" s="420"/>
      <c r="G79" s="1892">
        <f>18214</f>
        <v>18214</v>
      </c>
      <c r="H79" s="1841"/>
      <c r="I79" s="1892">
        <v>0</v>
      </c>
      <c r="J79" s="420"/>
      <c r="K79" s="1892">
        <f>18</f>
        <v>18</v>
      </c>
      <c r="L79" s="1836" t="s">
        <v>1346</v>
      </c>
      <c r="M79" s="1892">
        <v>0</v>
      </c>
      <c r="N79" s="1841" t="s">
        <v>1236</v>
      </c>
      <c r="O79" s="1892">
        <f t="shared" si="41"/>
        <v>28.285714285714285</v>
      </c>
      <c r="P79" s="1841" t="s">
        <v>1236</v>
      </c>
      <c r="Q79" s="1892">
        <f>O79/1000*Z10*12/44</f>
        <v>2.044285714285714</v>
      </c>
      <c r="R79" s="1841" t="s">
        <v>1236</v>
      </c>
      <c r="S79" s="1951">
        <f t="shared" si="42"/>
        <v>2.0442857142857141E-6</v>
      </c>
      <c r="T79" s="1841" t="s">
        <v>1236</v>
      </c>
      <c r="U79" s="1952">
        <f t="shared" si="43"/>
        <v>7.4957142857142852E-6</v>
      </c>
    </row>
    <row r="80" spans="1:23" ht="11.25" customHeight="1" x14ac:dyDescent="0.3">
      <c r="B80" s="1899" t="s">
        <v>1560</v>
      </c>
      <c r="C80" s="1889">
        <v>3.5</v>
      </c>
      <c r="D80" s="1836"/>
      <c r="E80" s="1892">
        <f>46786</f>
        <v>46786</v>
      </c>
      <c r="F80" s="420"/>
      <c r="G80" s="1892">
        <f>26623</f>
        <v>26623</v>
      </c>
      <c r="H80" s="1841"/>
      <c r="I80" s="1892">
        <v>0</v>
      </c>
      <c r="J80" s="420"/>
      <c r="K80" s="1892">
        <f>27</f>
        <v>27</v>
      </c>
      <c r="L80" s="1836" t="s">
        <v>1346</v>
      </c>
      <c r="M80" s="1892">
        <v>0</v>
      </c>
      <c r="N80" s="1841" t="s">
        <v>1236</v>
      </c>
      <c r="O80" s="1892">
        <f t="shared" si="41"/>
        <v>42.428571428571431</v>
      </c>
      <c r="P80" s="1841" t="s">
        <v>1236</v>
      </c>
      <c r="Q80" s="1892">
        <f>O80/1000*Z10*12/44</f>
        <v>3.0664285714285722</v>
      </c>
      <c r="R80" s="1841" t="s">
        <v>1236</v>
      </c>
      <c r="S80" s="1951">
        <f t="shared" si="42"/>
        <v>3.0664285714285724E-6</v>
      </c>
      <c r="T80" s="1841" t="s">
        <v>1236</v>
      </c>
      <c r="U80" s="1952">
        <f t="shared" si="43"/>
        <v>1.1243571428571433E-5</v>
      </c>
    </row>
    <row r="81" spans="1:31" ht="11.25" customHeight="1" x14ac:dyDescent="0.3">
      <c r="B81" s="1899" t="s">
        <v>1561</v>
      </c>
      <c r="C81" s="1889">
        <v>4</v>
      </c>
      <c r="D81" s="1836"/>
      <c r="E81" s="1892">
        <f>71547</f>
        <v>71547</v>
      </c>
      <c r="F81" s="420"/>
      <c r="G81" s="1892">
        <f>40713</f>
        <v>40713</v>
      </c>
      <c r="H81" s="1841"/>
      <c r="I81" s="1892">
        <v>0</v>
      </c>
      <c r="J81" s="420"/>
      <c r="K81" s="1892">
        <f>41</f>
        <v>41</v>
      </c>
      <c r="L81" s="1836" t="s">
        <v>1346</v>
      </c>
      <c r="M81" s="1892">
        <v>0</v>
      </c>
      <c r="N81" s="1841" t="s">
        <v>1236</v>
      </c>
      <c r="O81" s="1892">
        <f t="shared" si="41"/>
        <v>64.428571428571431</v>
      </c>
      <c r="P81" s="1841" t="s">
        <v>1236</v>
      </c>
      <c r="Q81" s="1892">
        <f>O81/1000*Z10*12/44</f>
        <v>4.656428571428572</v>
      </c>
      <c r="R81" s="1841" t="s">
        <v>1236</v>
      </c>
      <c r="S81" s="1951">
        <f t="shared" si="42"/>
        <v>4.656428571428572E-6</v>
      </c>
      <c r="T81" s="1841" t="s">
        <v>1236</v>
      </c>
      <c r="U81" s="1952">
        <f t="shared" si="43"/>
        <v>1.7073571428571433E-5</v>
      </c>
    </row>
    <row r="82" spans="1:31" ht="11.25" customHeight="1" x14ac:dyDescent="0.3">
      <c r="B82" s="1900" t="s">
        <v>1562</v>
      </c>
      <c r="C82" s="1953"/>
      <c r="D82" s="1902"/>
      <c r="E82" s="1905"/>
      <c r="F82" s="1946"/>
      <c r="G82" s="1905"/>
      <c r="H82" s="1954"/>
      <c r="I82" s="1905"/>
      <c r="J82" s="1946"/>
      <c r="K82" s="1905" t="s">
        <v>1580</v>
      </c>
      <c r="L82" s="1902"/>
      <c r="M82" s="1905"/>
      <c r="N82" s="1954"/>
      <c r="O82" s="1905"/>
      <c r="P82" s="1954"/>
      <c r="Q82" s="1905"/>
      <c r="R82" s="1954"/>
      <c r="S82" s="1905"/>
      <c r="T82" s="1954"/>
      <c r="U82" s="1955"/>
    </row>
    <row r="83" spans="1:31" ht="11.25" customHeight="1" x14ac:dyDescent="0.3">
      <c r="B83" s="1899" t="s">
        <v>1563</v>
      </c>
      <c r="C83" s="1958"/>
      <c r="D83" s="1918"/>
      <c r="E83" s="1920"/>
      <c r="F83" s="1959"/>
      <c r="G83" s="1920"/>
      <c r="H83" s="1960"/>
      <c r="I83" s="1920"/>
      <c r="J83" s="1959"/>
      <c r="K83" s="1920"/>
      <c r="L83" s="1918"/>
      <c r="M83" s="1920"/>
      <c r="N83" s="1960"/>
      <c r="O83" s="1920"/>
      <c r="P83" s="1960"/>
      <c r="Q83" s="1920"/>
      <c r="R83" s="1960"/>
      <c r="S83" s="1920"/>
      <c r="T83" s="1960"/>
      <c r="U83" s="1961"/>
    </row>
    <row r="84" spans="1:31" ht="11.25" customHeight="1" x14ac:dyDescent="0.3">
      <c r="B84" s="1899" t="s">
        <v>1564</v>
      </c>
      <c r="C84" s="1889">
        <v>2831</v>
      </c>
      <c r="D84" s="1836"/>
      <c r="E84" s="1892">
        <f>1469374</f>
        <v>1469374</v>
      </c>
      <c r="F84" s="420"/>
      <c r="G84" s="1892">
        <f>73469</f>
        <v>73469</v>
      </c>
      <c r="H84" s="1841"/>
      <c r="I84" s="1892">
        <f>1395905</f>
        <v>1395905</v>
      </c>
      <c r="J84" s="420"/>
      <c r="K84" s="1892">
        <v>73</v>
      </c>
      <c r="L84" s="1836" t="s">
        <v>1346</v>
      </c>
      <c r="M84" s="1892">
        <f>6980</f>
        <v>6980</v>
      </c>
      <c r="N84" s="1841" t="s">
        <v>1236</v>
      </c>
      <c r="O84" s="1892">
        <f t="shared" ref="O84:O86" si="44">(K84+M84)*(44/28)</f>
        <v>11083.285714285714</v>
      </c>
      <c r="P84" s="1841" t="s">
        <v>1236</v>
      </c>
      <c r="Q84" s="1892">
        <f>O84/1000*Z10*12/44</f>
        <v>801.01928571428573</v>
      </c>
      <c r="R84" s="1841" t="s">
        <v>1236</v>
      </c>
      <c r="S84" s="1951">
        <f t="shared" ref="S84:S88" si="45">Q84/10^6</f>
        <v>8.0101928571428571E-4</v>
      </c>
      <c r="T84" s="1841" t="s">
        <v>1236</v>
      </c>
      <c r="U84" s="1952">
        <f t="shared" ref="U84:U88" si="46">S84/(12/44)</f>
        <v>2.9370707142857143E-3</v>
      </c>
    </row>
    <row r="85" spans="1:31" ht="11.25" customHeight="1" x14ac:dyDescent="0.3">
      <c r="B85" s="1899" t="s">
        <v>1565</v>
      </c>
      <c r="C85" s="1889">
        <v>1260</v>
      </c>
      <c r="D85" s="1836"/>
      <c r="E85" s="1892">
        <f>653978</f>
        <v>653978</v>
      </c>
      <c r="F85" s="420"/>
      <c r="G85" s="1892">
        <f>32699</f>
        <v>32699</v>
      </c>
      <c r="H85" s="1841"/>
      <c r="I85" s="1892">
        <f>621279</f>
        <v>621279</v>
      </c>
      <c r="J85" s="420"/>
      <c r="K85" s="1892">
        <f>33</f>
        <v>33</v>
      </c>
      <c r="L85" s="1836" t="s">
        <v>1346</v>
      </c>
      <c r="M85" s="1892">
        <f>3106</f>
        <v>3106</v>
      </c>
      <c r="N85" s="1841" t="s">
        <v>1236</v>
      </c>
      <c r="O85" s="1892">
        <f t="shared" si="44"/>
        <v>4932.7142857142853</v>
      </c>
      <c r="P85" s="1841" t="s">
        <v>1236</v>
      </c>
      <c r="Q85" s="1892">
        <f>O85/1000*Z10*12/44</f>
        <v>356.50071428571425</v>
      </c>
      <c r="R85" s="1841" t="s">
        <v>1236</v>
      </c>
      <c r="S85" s="1951">
        <f t="shared" si="45"/>
        <v>3.5650071428571423E-4</v>
      </c>
      <c r="T85" s="1841" t="s">
        <v>1236</v>
      </c>
      <c r="U85" s="1952">
        <f t="shared" si="46"/>
        <v>1.3071692857142855E-3</v>
      </c>
    </row>
    <row r="86" spans="1:31" ht="11.25" customHeight="1" x14ac:dyDescent="0.3">
      <c r="B86" s="1899" t="s">
        <v>1566</v>
      </c>
      <c r="C86" s="1889">
        <v>8</v>
      </c>
      <c r="D86" s="1836"/>
      <c r="E86" s="1892">
        <f>5782</f>
        <v>5782</v>
      </c>
      <c r="F86" s="420"/>
      <c r="G86" s="1892">
        <f>289</f>
        <v>289</v>
      </c>
      <c r="H86" s="1841"/>
      <c r="I86" s="1892">
        <f>5493</f>
        <v>5493</v>
      </c>
      <c r="J86" s="420"/>
      <c r="K86" s="1892">
        <f>0</f>
        <v>0</v>
      </c>
      <c r="L86" s="1836" t="s">
        <v>1346</v>
      </c>
      <c r="M86" s="1892">
        <f>27</f>
        <v>27</v>
      </c>
      <c r="N86" s="1841" t="s">
        <v>1236</v>
      </c>
      <c r="O86" s="1892">
        <f t="shared" si="44"/>
        <v>42.428571428571431</v>
      </c>
      <c r="P86" s="1841" t="s">
        <v>1236</v>
      </c>
      <c r="Q86" s="1892">
        <f>O86/1000*Z10*12/44</f>
        <v>3.0664285714285722</v>
      </c>
      <c r="R86" s="1841" t="s">
        <v>1236</v>
      </c>
      <c r="S86" s="1951">
        <f t="shared" si="45"/>
        <v>3.0664285714285724E-6</v>
      </c>
      <c r="T86" s="1841" t="s">
        <v>1236</v>
      </c>
      <c r="U86" s="1952">
        <f t="shared" si="46"/>
        <v>1.1243571428571433E-5</v>
      </c>
    </row>
    <row r="87" spans="1:31" ht="11.25" customHeight="1" x14ac:dyDescent="0.3">
      <c r="B87" s="1899" t="s">
        <v>1567</v>
      </c>
      <c r="C87" s="1889">
        <v>52618.2</v>
      </c>
      <c r="D87" s="1835"/>
      <c r="E87" s="1892">
        <f>16593676</f>
        <v>16593676</v>
      </c>
      <c r="F87" s="420"/>
      <c r="G87" s="1892" t="s">
        <v>772</v>
      </c>
      <c r="H87" s="1841"/>
      <c r="I87" s="1892">
        <f>16593676</f>
        <v>16593676</v>
      </c>
      <c r="J87" s="420"/>
      <c r="K87" s="1892" t="s">
        <v>772</v>
      </c>
      <c r="L87" s="1836" t="s">
        <v>1346</v>
      </c>
      <c r="M87" s="1892">
        <f>331874</f>
        <v>331874</v>
      </c>
      <c r="N87" s="1841" t="s">
        <v>1236</v>
      </c>
      <c r="O87" s="1892">
        <f t="shared" ref="O87:O88" si="47">M87*(44/28)</f>
        <v>521516.28571428568</v>
      </c>
      <c r="P87" s="1841" t="s">
        <v>1236</v>
      </c>
      <c r="Q87" s="1892">
        <f>O87/1000*Z10*12/44</f>
        <v>37691.404285714285</v>
      </c>
      <c r="R87" s="1841" t="s">
        <v>1236</v>
      </c>
      <c r="S87" s="1951">
        <f t="shared" si="45"/>
        <v>3.7691404285714283E-2</v>
      </c>
      <c r="T87" s="1841" t="s">
        <v>1236</v>
      </c>
      <c r="U87" s="1952">
        <f t="shared" si="46"/>
        <v>0.13820181571428572</v>
      </c>
    </row>
    <row r="88" spans="1:31" ht="11.25" customHeight="1" x14ac:dyDescent="0.3">
      <c r="B88" s="1899" t="s">
        <v>1568</v>
      </c>
      <c r="C88" s="1889">
        <v>303.60000000000002</v>
      </c>
      <c r="D88" s="1835"/>
      <c r="E88" s="1892">
        <f>470950</f>
        <v>470950</v>
      </c>
      <c r="F88" s="420"/>
      <c r="G88" s="1892" t="s">
        <v>772</v>
      </c>
      <c r="H88" s="1841"/>
      <c r="I88" s="1892">
        <f>470960</f>
        <v>470960</v>
      </c>
      <c r="J88" s="420"/>
      <c r="K88" s="1892" t="s">
        <v>772</v>
      </c>
      <c r="L88" s="1836" t="s">
        <v>1346</v>
      </c>
      <c r="M88" s="1892">
        <f>9419</f>
        <v>9419</v>
      </c>
      <c r="N88" s="1841" t="s">
        <v>1236</v>
      </c>
      <c r="O88" s="1892">
        <f t="shared" si="47"/>
        <v>14801.285714285714</v>
      </c>
      <c r="P88" s="1841" t="s">
        <v>1236</v>
      </c>
      <c r="Q88" s="1892">
        <f>O88/1000*Z10*12/44</f>
        <v>1069.7292857142857</v>
      </c>
      <c r="R88" s="1841" t="s">
        <v>1236</v>
      </c>
      <c r="S88" s="1951">
        <f t="shared" si="45"/>
        <v>1.0697292857142857E-3</v>
      </c>
      <c r="T88" s="1841" t="s">
        <v>1236</v>
      </c>
      <c r="U88" s="1952">
        <f t="shared" si="46"/>
        <v>3.9223407142857146E-3</v>
      </c>
    </row>
    <row r="89" spans="1:31" ht="11.25" customHeight="1" x14ac:dyDescent="0.3">
      <c r="B89" s="1900" t="s">
        <v>665</v>
      </c>
      <c r="C89" s="1953"/>
      <c r="D89" s="1928"/>
      <c r="E89" s="1905"/>
      <c r="F89" s="1946"/>
      <c r="G89" s="1905"/>
      <c r="H89" s="1954"/>
      <c r="I89" s="1905"/>
      <c r="J89" s="1946"/>
      <c r="K89" s="1905" t="s">
        <v>1580</v>
      </c>
      <c r="L89" s="1902"/>
      <c r="M89" s="1905"/>
      <c r="N89" s="1954"/>
      <c r="O89" s="1905"/>
      <c r="P89" s="1954"/>
      <c r="Q89" s="1905"/>
      <c r="R89" s="1954"/>
      <c r="S89" s="1905"/>
      <c r="T89" s="1954"/>
      <c r="U89" s="1955"/>
    </row>
    <row r="90" spans="1:31" ht="11.25" customHeight="1" x14ac:dyDescent="0.3">
      <c r="B90" s="1838" t="s">
        <v>1569</v>
      </c>
      <c r="C90" s="1889">
        <v>6.4</v>
      </c>
      <c r="D90" s="1835"/>
      <c r="E90" s="1892">
        <f>26280</f>
        <v>26280</v>
      </c>
      <c r="F90" s="420"/>
      <c r="G90" s="1892" t="s">
        <v>772</v>
      </c>
      <c r="H90" s="1841"/>
      <c r="I90" s="1892">
        <f>7712</f>
        <v>7712</v>
      </c>
      <c r="J90" s="420"/>
      <c r="K90" s="1892" t="s">
        <v>772</v>
      </c>
      <c r="L90" s="1836" t="s">
        <v>1346</v>
      </c>
      <c r="M90" s="1892">
        <f>154</f>
        <v>154</v>
      </c>
      <c r="N90" s="1841" t="s">
        <v>1236</v>
      </c>
      <c r="O90" s="1892">
        <f t="shared" ref="O90:O91" si="48">M90*(44/28)</f>
        <v>242</v>
      </c>
      <c r="P90" s="1841" t="s">
        <v>1236</v>
      </c>
      <c r="Q90" s="1892">
        <f>O90/1000*Z10*12/44</f>
        <v>17.489999999999998</v>
      </c>
      <c r="R90" s="1841" t="s">
        <v>1236</v>
      </c>
      <c r="S90" s="1951">
        <f t="shared" ref="S90:S92" si="49">Q90/10^6</f>
        <v>1.7489999999999997E-5</v>
      </c>
      <c r="T90" s="1841" t="s">
        <v>1236</v>
      </c>
      <c r="U90" s="1952">
        <f t="shared" ref="U90:U92" si="50">S90/(12/44)</f>
        <v>6.4129999999999998E-5</v>
      </c>
    </row>
    <row r="91" spans="1:31" ht="11.25" customHeight="1" x14ac:dyDescent="0.3">
      <c r="B91" s="1838" t="s">
        <v>1570</v>
      </c>
      <c r="C91" s="1847">
        <v>6.5</v>
      </c>
      <c r="D91" s="1835"/>
      <c r="E91" s="1892">
        <f>85410</f>
        <v>85410</v>
      </c>
      <c r="F91" s="420"/>
      <c r="G91" s="1892" t="s">
        <v>772</v>
      </c>
      <c r="H91" s="1841"/>
      <c r="I91" s="1892">
        <f>60345</f>
        <v>60345</v>
      </c>
      <c r="J91" s="420"/>
      <c r="K91" s="1892" t="s">
        <v>772</v>
      </c>
      <c r="L91" s="1836" t="s">
        <v>1346</v>
      </c>
      <c r="M91" s="1892">
        <f>1207</f>
        <v>1207</v>
      </c>
      <c r="N91" s="1841" t="s">
        <v>1236</v>
      </c>
      <c r="O91" s="1892">
        <f t="shared" si="48"/>
        <v>1896.7142857142858</v>
      </c>
      <c r="P91" s="1841" t="s">
        <v>1236</v>
      </c>
      <c r="Q91" s="1892">
        <f>O91/1000*Z10*12/44</f>
        <v>137.08071428571429</v>
      </c>
      <c r="R91" s="1841" t="s">
        <v>1236</v>
      </c>
      <c r="S91" s="1951">
        <f t="shared" si="49"/>
        <v>1.370807142857143E-4</v>
      </c>
      <c r="T91" s="1841" t="s">
        <v>1236</v>
      </c>
      <c r="U91" s="1952">
        <f t="shared" si="50"/>
        <v>5.0262928571428577E-4</v>
      </c>
    </row>
    <row r="92" spans="1:31" ht="11.25" customHeight="1" x14ac:dyDescent="0.3">
      <c r="B92" s="1962" t="s">
        <v>1543</v>
      </c>
      <c r="C92" s="1963" t="s">
        <v>1580</v>
      </c>
      <c r="D92" s="1964"/>
      <c r="E92" s="1965">
        <f>SUM(E71:E91)</f>
        <v>28146123</v>
      </c>
      <c r="F92" s="1964"/>
      <c r="G92" s="1965">
        <f>G71+G72+G77+G78+G79+G80+G81+G84+G85+G86</f>
        <v>2563388</v>
      </c>
      <c r="H92" s="1964"/>
      <c r="I92" s="1965">
        <f>I71+I72+I74+I75+I84+I85+I86+I87+I88+I90</f>
        <v>23445170</v>
      </c>
      <c r="J92" s="1966"/>
      <c r="K92" s="1965">
        <f>K71+K72+K77+K78+K79+K80+K81+K84+K85</f>
        <v>2563</v>
      </c>
      <c r="L92" s="1967"/>
      <c r="M92" s="1965">
        <f>M71+M72+M74+M75+M84+M85+M86+M87+M88</f>
        <v>438409</v>
      </c>
      <c r="N92" s="1966"/>
      <c r="O92" s="1965">
        <f>SUM(O71:O91)</f>
        <v>695094.71428571432</v>
      </c>
      <c r="P92" s="1966"/>
      <c r="Q92" s="1965">
        <f>SUM(Q71:Q91)</f>
        <v>50236.390714285721</v>
      </c>
      <c r="R92" s="1966"/>
      <c r="S92" s="1968">
        <f t="shared" si="49"/>
        <v>5.023639071428572E-2</v>
      </c>
      <c r="T92" s="1966"/>
      <c r="U92" s="1969">
        <f t="shared" si="50"/>
        <v>0.18420009928571432</v>
      </c>
    </row>
    <row r="93" spans="1:31" ht="11.25" customHeight="1" x14ac:dyDescent="0.3">
      <c r="A93" s="953"/>
      <c r="B93" s="1970"/>
      <c r="C93" s="1971"/>
      <c r="D93" s="1972"/>
      <c r="E93" s="1972"/>
      <c r="F93" s="1972"/>
      <c r="G93" s="1973"/>
      <c r="H93" s="1974"/>
      <c r="I93" s="1975"/>
      <c r="J93" s="1974"/>
      <c r="K93" s="1976"/>
      <c r="L93" s="1641"/>
      <c r="M93" s="1976"/>
      <c r="N93" s="1641"/>
      <c r="O93" s="1641"/>
      <c r="P93" s="1641"/>
      <c r="Q93" s="1641"/>
      <c r="R93" s="1641"/>
      <c r="S93" s="1641"/>
      <c r="T93" s="1641"/>
      <c r="U93" s="1977"/>
    </row>
    <row r="94" spans="1:31" ht="11.25" customHeight="1" x14ac:dyDescent="0.3">
      <c r="A94" s="327"/>
      <c r="B94" s="1858"/>
      <c r="C94" s="716"/>
      <c r="D94" s="1741"/>
      <c r="E94" s="1741"/>
      <c r="F94" s="1741"/>
      <c r="G94" s="1859"/>
      <c r="H94" s="387"/>
      <c r="I94" s="1860"/>
      <c r="J94" s="387"/>
      <c r="K94" s="1861"/>
      <c r="L94" s="327"/>
      <c r="M94" s="1861"/>
      <c r="N94" s="327"/>
      <c r="O94" s="327"/>
      <c r="P94" s="327"/>
      <c r="Q94" s="327"/>
      <c r="R94" s="327"/>
      <c r="S94" s="327"/>
      <c r="T94" s="327"/>
      <c r="U94" s="327"/>
    </row>
    <row r="95" spans="1:31" ht="11.25" customHeight="1" x14ac:dyDescent="0.3">
      <c r="A95" s="327"/>
      <c r="B95" s="1858"/>
      <c r="C95" s="716"/>
      <c r="D95" s="1741"/>
      <c r="E95" s="1741"/>
      <c r="F95" s="1741"/>
      <c r="G95" s="1859"/>
      <c r="H95" s="387"/>
      <c r="I95" s="1860"/>
      <c r="J95" s="387"/>
      <c r="K95" s="1861"/>
      <c r="L95" s="327"/>
      <c r="M95" s="1861"/>
      <c r="N95" s="327"/>
      <c r="O95" s="327"/>
      <c r="P95" s="327"/>
      <c r="Q95" s="327"/>
      <c r="R95" s="327"/>
      <c r="S95" s="327"/>
      <c r="T95" s="327"/>
      <c r="U95" s="327"/>
    </row>
    <row r="96" spans="1:31" ht="19.5" customHeight="1" x14ac:dyDescent="0.45">
      <c r="B96" s="1978" t="s">
        <v>1581</v>
      </c>
      <c r="C96" s="1979"/>
      <c r="D96" s="1980"/>
      <c r="E96" s="1980"/>
      <c r="F96" s="1981"/>
      <c r="G96" s="1982"/>
      <c r="H96" s="1983"/>
      <c r="I96" s="1984"/>
      <c r="J96" s="1983"/>
      <c r="K96" s="1985"/>
      <c r="L96" s="1986"/>
      <c r="M96" s="1985"/>
      <c r="N96" s="1986"/>
      <c r="O96" s="1986"/>
      <c r="P96" s="1986"/>
      <c r="Q96" s="1986"/>
      <c r="R96" s="1986"/>
      <c r="S96" s="1986"/>
      <c r="T96" s="1986"/>
      <c r="U96" s="1986"/>
      <c r="V96" s="1986"/>
      <c r="W96" s="1986"/>
      <c r="X96" s="1986"/>
      <c r="Y96" s="1986"/>
      <c r="Z96" s="1986"/>
      <c r="AA96" s="1986"/>
      <c r="AB96" s="1986"/>
      <c r="AC96" s="1986"/>
      <c r="AD96" s="1986"/>
      <c r="AE96" s="1987"/>
    </row>
    <row r="97" spans="1:81" ht="11.25" customHeight="1" x14ac:dyDescent="0.2">
      <c r="A97" s="3"/>
      <c r="B97" s="1988" t="s">
        <v>1582</v>
      </c>
      <c r="C97" s="3"/>
      <c r="D97" s="3"/>
      <c r="E97" s="3"/>
      <c r="F97" s="3"/>
      <c r="G97" s="1989"/>
      <c r="H97" s="1989"/>
      <c r="I97" s="1989"/>
      <c r="J97" s="1989"/>
      <c r="K97" s="1989"/>
      <c r="L97" s="1989"/>
      <c r="M97" s="1990"/>
      <c r="N97" s="1989"/>
      <c r="O97" s="1989"/>
      <c r="P97" s="1991"/>
      <c r="Q97" s="1989"/>
      <c r="R97" s="1989"/>
      <c r="S97" s="1989"/>
      <c r="T97" s="1989"/>
      <c r="U97" s="1989"/>
      <c r="V97" s="1989"/>
      <c r="W97" s="1989"/>
      <c r="X97" s="1989"/>
      <c r="Y97" s="1989"/>
      <c r="Z97" s="1989"/>
      <c r="AA97" s="1989"/>
      <c r="AB97" s="1989"/>
      <c r="AC97" s="1989"/>
      <c r="AD97" s="1989"/>
      <c r="AE97" s="1992"/>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row>
    <row r="98" spans="1:81" ht="36.75" customHeight="1" x14ac:dyDescent="0.25">
      <c r="A98" s="3"/>
      <c r="B98" s="1993"/>
      <c r="C98" s="1994" t="s">
        <v>178</v>
      </c>
      <c r="D98" s="1994"/>
      <c r="E98" s="1994" t="s">
        <v>1583</v>
      </c>
      <c r="F98" s="1994"/>
      <c r="G98" s="1994" t="s">
        <v>1584</v>
      </c>
      <c r="H98" s="1995"/>
      <c r="I98" s="1994" t="s">
        <v>1585</v>
      </c>
      <c r="J98" s="1995"/>
      <c r="K98" s="1994" t="s">
        <v>1586</v>
      </c>
      <c r="L98" s="1994"/>
      <c r="M98" s="1994" t="s">
        <v>1587</v>
      </c>
      <c r="N98" s="1996"/>
      <c r="O98" s="1994" t="s">
        <v>1588</v>
      </c>
      <c r="P98" s="1994"/>
      <c r="Q98" s="1994" t="s">
        <v>1589</v>
      </c>
      <c r="R98" s="1995"/>
      <c r="S98" s="1994" t="s">
        <v>1590</v>
      </c>
      <c r="T98" s="1994"/>
      <c r="U98" s="1994" t="s">
        <v>1591</v>
      </c>
      <c r="V98" s="1995"/>
      <c r="W98" s="1994" t="s">
        <v>1592</v>
      </c>
      <c r="X98" s="1997"/>
      <c r="Y98" s="1998"/>
      <c r="Z98" s="1999" t="s">
        <v>1593</v>
      </c>
      <c r="AA98" s="1994" t="s">
        <v>1594</v>
      </c>
      <c r="AB98" s="1998"/>
      <c r="AC98" s="2000" t="s">
        <v>1595</v>
      </c>
      <c r="AD98" s="1998"/>
      <c r="AE98" s="2001" t="s">
        <v>1596</v>
      </c>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row>
    <row r="99" spans="1:81" ht="11.25" customHeight="1" x14ac:dyDescent="0.2">
      <c r="A99" s="3"/>
      <c r="B99" s="2002" t="s">
        <v>1597</v>
      </c>
      <c r="C99" s="2003" t="s">
        <v>1598</v>
      </c>
      <c r="D99" s="2004"/>
      <c r="E99" s="2005">
        <v>102</v>
      </c>
      <c r="F99" s="2006"/>
      <c r="G99" s="2007" t="s">
        <v>772</v>
      </c>
      <c r="H99" s="1089"/>
      <c r="I99" s="2008">
        <v>0</v>
      </c>
      <c r="J99" s="1089"/>
      <c r="K99" s="2009">
        <f>E99*0.9072*1000</f>
        <v>92534.400000000009</v>
      </c>
      <c r="L99" s="2010"/>
      <c r="M99" s="2008">
        <v>0.85</v>
      </c>
      <c r="N99" s="1089"/>
      <c r="O99" s="2008">
        <v>0</v>
      </c>
      <c r="P99" s="1089"/>
      <c r="Q99" s="2008" t="s">
        <v>772</v>
      </c>
      <c r="R99" s="1089"/>
      <c r="S99" s="2011" t="s">
        <v>772</v>
      </c>
      <c r="T99" s="2012"/>
      <c r="U99" s="2008">
        <v>0.03</v>
      </c>
      <c r="V99" s="1089"/>
      <c r="W99" s="2013">
        <f>(K99*1000)*(1+I99)*M99*U99</f>
        <v>2359627.2000000002</v>
      </c>
      <c r="X99" s="1089"/>
      <c r="Y99" s="2014" t="s">
        <v>1599</v>
      </c>
      <c r="Z99" s="2012">
        <v>0.01</v>
      </c>
      <c r="AA99" s="2015">
        <f>S120/1000*Z99*44/28</f>
        <v>515.51077104208923</v>
      </c>
      <c r="AB99" s="1089"/>
      <c r="AC99" s="2016">
        <f>AA99*Z10*12/44*10^-6</f>
        <v>3.7257369361678262E-2</v>
      </c>
      <c r="AD99" s="1089"/>
      <c r="AE99" s="2017">
        <f t="shared" ref="AE99:AE100" si="51">AC99/(12/44)</f>
        <v>0.13661035432615365</v>
      </c>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row>
    <row r="100" spans="1:81" ht="12.75" customHeight="1" x14ac:dyDescent="0.2">
      <c r="A100" s="3"/>
      <c r="B100" s="936" t="s">
        <v>1600</v>
      </c>
      <c r="C100" s="2018" t="s">
        <v>1601</v>
      </c>
      <c r="D100" s="2019"/>
      <c r="E100" s="2020">
        <v>66650</v>
      </c>
      <c r="F100" s="755"/>
      <c r="G100" s="2021">
        <v>2.5401147108E-2</v>
      </c>
      <c r="H100" s="755"/>
      <c r="I100" s="2022">
        <v>1</v>
      </c>
      <c r="J100" s="755"/>
      <c r="K100" s="2023">
        <f t="shared" ref="K100:K106" si="52">E100*1000*G100</f>
        <v>1692986.4547482</v>
      </c>
      <c r="L100" s="2024"/>
      <c r="M100" s="2022">
        <v>0.91</v>
      </c>
      <c r="N100" s="755"/>
      <c r="O100" s="2022">
        <v>0.9</v>
      </c>
      <c r="P100" s="755"/>
      <c r="Q100" s="2022">
        <v>5.7999999999999996E-3</v>
      </c>
      <c r="R100" s="755"/>
      <c r="S100" s="2025">
        <f t="shared" ref="S100:S114" si="53">(K100*1000)*I100*M100*O100*Q100</f>
        <v>8042024.2573448988</v>
      </c>
      <c r="T100" s="2026"/>
      <c r="U100" s="2022">
        <v>0.03</v>
      </c>
      <c r="V100" s="755"/>
      <c r="W100" s="2024" t="s">
        <v>772</v>
      </c>
      <c r="X100" s="755"/>
      <c r="Y100" s="2027" t="s">
        <v>1602</v>
      </c>
      <c r="Z100" s="2026">
        <v>0.01</v>
      </c>
      <c r="AA100" s="2028">
        <f>W120/1000*Z100*44/28</f>
        <v>793.33273279389175</v>
      </c>
      <c r="AB100" s="755"/>
      <c r="AC100" s="2029">
        <f>AA100*Z10*12/44*10^-6</f>
        <v>5.7336320233740357E-2</v>
      </c>
      <c r="AD100" s="755"/>
      <c r="AE100" s="2030">
        <f t="shared" si="51"/>
        <v>0.21023317419038132</v>
      </c>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row>
    <row r="101" spans="1:81" ht="15" customHeight="1" x14ac:dyDescent="0.2">
      <c r="A101" s="3"/>
      <c r="B101" s="936" t="s">
        <v>1603</v>
      </c>
      <c r="C101" s="2018" t="s">
        <v>1601</v>
      </c>
      <c r="D101" s="2019"/>
      <c r="E101" s="2020">
        <v>10950</v>
      </c>
      <c r="F101" s="755"/>
      <c r="G101" s="2021">
        <v>2.7215442853E-2</v>
      </c>
      <c r="H101" s="755"/>
      <c r="I101" s="2022">
        <v>1.3</v>
      </c>
      <c r="J101" s="755"/>
      <c r="K101" s="2023">
        <f t="shared" si="52"/>
        <v>298009.09924035001</v>
      </c>
      <c r="L101" s="2024"/>
      <c r="M101" s="2022">
        <v>0.93</v>
      </c>
      <c r="N101" s="755"/>
      <c r="O101" s="2022">
        <v>0.9</v>
      </c>
      <c r="P101" s="755"/>
      <c r="Q101" s="2022">
        <v>6.1999999999999998E-3</v>
      </c>
      <c r="R101" s="755"/>
      <c r="S101" s="2025">
        <f t="shared" si="53"/>
        <v>2010434.9454772344</v>
      </c>
      <c r="T101" s="2026"/>
      <c r="U101" s="2022">
        <v>0.03</v>
      </c>
      <c r="V101" s="755"/>
      <c r="W101" s="2024" t="s">
        <v>772</v>
      </c>
      <c r="X101" s="755"/>
      <c r="Y101" s="2031"/>
      <c r="Z101" s="2032"/>
      <c r="AA101" s="755"/>
      <c r="AB101" s="755"/>
      <c r="AC101" s="755"/>
      <c r="AD101" s="755"/>
      <c r="AE101" s="1761"/>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row>
    <row r="102" spans="1:81" ht="12" customHeight="1" x14ac:dyDescent="0.2">
      <c r="A102" s="3"/>
      <c r="B102" s="936" t="s">
        <v>1604</v>
      </c>
      <c r="C102" s="2018" t="s">
        <v>1601</v>
      </c>
      <c r="D102" s="2019"/>
      <c r="E102" s="2020">
        <v>1533</v>
      </c>
      <c r="F102" s="755"/>
      <c r="G102" s="2021">
        <v>2.1772E-2</v>
      </c>
      <c r="H102" s="755"/>
      <c r="I102" s="2022">
        <v>1.2</v>
      </c>
      <c r="J102" s="755"/>
      <c r="K102" s="2023">
        <f t="shared" si="52"/>
        <v>33376.476000000002</v>
      </c>
      <c r="L102" s="2024"/>
      <c r="M102" s="2022">
        <v>0.93</v>
      </c>
      <c r="N102" s="755"/>
      <c r="O102" s="2022">
        <v>0.9</v>
      </c>
      <c r="P102" s="755"/>
      <c r="Q102" s="2022">
        <v>7.7000000000000002E-3</v>
      </c>
      <c r="R102" s="755"/>
      <c r="S102" s="2025">
        <f t="shared" si="53"/>
        <v>258129.66020688004</v>
      </c>
      <c r="T102" s="2026"/>
      <c r="U102" s="2022">
        <v>0.03</v>
      </c>
      <c r="V102" s="755"/>
      <c r="W102" s="2024" t="s">
        <v>772</v>
      </c>
      <c r="X102" s="755"/>
      <c r="Y102" s="755"/>
      <c r="Z102" s="2032"/>
      <c r="AA102" s="755"/>
      <c r="AB102" s="755"/>
      <c r="AC102" s="755"/>
      <c r="AD102" s="755"/>
      <c r="AE102" s="1761"/>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row>
    <row r="103" spans="1:81" ht="13.5" customHeight="1" x14ac:dyDescent="0.2">
      <c r="A103" s="3"/>
      <c r="B103" s="936" t="s">
        <v>1605</v>
      </c>
      <c r="C103" s="2018" t="s">
        <v>1601</v>
      </c>
      <c r="D103" s="2019"/>
      <c r="E103" s="2020">
        <v>0</v>
      </c>
      <c r="F103" s="755"/>
      <c r="G103" s="2021">
        <v>2.5401169512752383E-2</v>
      </c>
      <c r="H103" s="755"/>
      <c r="I103" s="2022">
        <v>1.4</v>
      </c>
      <c r="J103" s="755"/>
      <c r="K103" s="2023">
        <f t="shared" si="52"/>
        <v>0</v>
      </c>
      <c r="L103" s="2024"/>
      <c r="M103" s="2022">
        <v>0.91</v>
      </c>
      <c r="N103" s="755"/>
      <c r="O103" s="2022">
        <v>0.9</v>
      </c>
      <c r="P103" s="755"/>
      <c r="Q103" s="2022">
        <v>1.0800000000000001E-2</v>
      </c>
      <c r="R103" s="755"/>
      <c r="S103" s="2025">
        <f t="shared" si="53"/>
        <v>0</v>
      </c>
      <c r="T103" s="2026"/>
      <c r="U103" s="2022">
        <v>0.03</v>
      </c>
      <c r="V103" s="755"/>
      <c r="W103" s="2024" t="s">
        <v>772</v>
      </c>
      <c r="X103" s="755"/>
      <c r="Y103" s="755"/>
      <c r="Z103" s="2032"/>
      <c r="AA103" s="755"/>
      <c r="AB103" s="755"/>
      <c r="AC103" s="755"/>
      <c r="AD103" s="755"/>
      <c r="AE103" s="1761"/>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row>
    <row r="104" spans="1:81" ht="12.75" customHeight="1" x14ac:dyDescent="0.2">
      <c r="A104" s="3"/>
      <c r="B104" s="936" t="s">
        <v>1606</v>
      </c>
      <c r="C104" s="2018" t="s">
        <v>1601</v>
      </c>
      <c r="D104" s="2019"/>
      <c r="E104" s="2020">
        <v>0</v>
      </c>
      <c r="F104" s="755"/>
      <c r="G104" s="2021">
        <v>1.4514959222223263E-2</v>
      </c>
      <c r="H104" s="755"/>
      <c r="I104" s="2022">
        <v>1.3</v>
      </c>
      <c r="J104" s="755"/>
      <c r="K104" s="2023">
        <f t="shared" si="52"/>
        <v>0</v>
      </c>
      <c r="L104" s="2024"/>
      <c r="M104" s="2022">
        <v>0.92</v>
      </c>
      <c r="N104" s="755"/>
      <c r="O104" s="2022">
        <v>0.9</v>
      </c>
      <c r="P104" s="755"/>
      <c r="Q104" s="2022">
        <v>7.0000000000000001E-3</v>
      </c>
      <c r="R104" s="755"/>
      <c r="S104" s="2025">
        <f t="shared" si="53"/>
        <v>0</v>
      </c>
      <c r="T104" s="2026"/>
      <c r="U104" s="2022">
        <v>0.03</v>
      </c>
      <c r="V104" s="755"/>
      <c r="W104" s="2024" t="s">
        <v>772</v>
      </c>
      <c r="X104" s="755"/>
      <c r="Y104" s="755"/>
      <c r="Z104" s="2032"/>
      <c r="AA104" s="755"/>
      <c r="AB104" s="755"/>
      <c r="AC104" s="755"/>
      <c r="AD104" s="755"/>
      <c r="AE104" s="1761"/>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row>
    <row r="105" spans="1:81" ht="11.25" customHeight="1" x14ac:dyDescent="0.2">
      <c r="A105" s="3"/>
      <c r="B105" s="936" t="s">
        <v>1607</v>
      </c>
      <c r="C105" s="2018" t="s">
        <v>1601</v>
      </c>
      <c r="D105" s="2019"/>
      <c r="E105" s="2020">
        <v>0</v>
      </c>
      <c r="F105" s="755"/>
      <c r="G105" s="2021">
        <v>2.5401046494036766E-2</v>
      </c>
      <c r="H105" s="755"/>
      <c r="I105" s="2022">
        <v>1.6</v>
      </c>
      <c r="J105" s="755"/>
      <c r="K105" s="2023">
        <f t="shared" si="52"/>
        <v>0</v>
      </c>
      <c r="L105" s="2024"/>
      <c r="M105" s="2022">
        <v>0.9</v>
      </c>
      <c r="N105" s="755"/>
      <c r="O105" s="2022">
        <v>0.9</v>
      </c>
      <c r="P105" s="755"/>
      <c r="Q105" s="2022">
        <v>4.7999999999999996E-3</v>
      </c>
      <c r="R105" s="755"/>
      <c r="S105" s="2025">
        <f t="shared" si="53"/>
        <v>0</v>
      </c>
      <c r="T105" s="2026"/>
      <c r="U105" s="2022">
        <v>0.03</v>
      </c>
      <c r="V105" s="755"/>
      <c r="W105" s="2024" t="s">
        <v>772</v>
      </c>
      <c r="X105" s="755"/>
      <c r="Y105" s="755"/>
      <c r="Z105" s="2032"/>
      <c r="AA105" s="755"/>
      <c r="AB105" s="755"/>
      <c r="AC105" s="755"/>
      <c r="AD105" s="755"/>
      <c r="AE105" s="1761"/>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row>
    <row r="106" spans="1:81" ht="15" customHeight="1" x14ac:dyDescent="0.2">
      <c r="A106" s="3"/>
      <c r="B106" s="936" t="s">
        <v>1608</v>
      </c>
      <c r="C106" s="2018" t="s">
        <v>1601</v>
      </c>
      <c r="D106" s="2019"/>
      <c r="E106" s="2033">
        <v>0</v>
      </c>
      <c r="F106" s="755"/>
      <c r="G106" s="2021">
        <v>2.7215E-2</v>
      </c>
      <c r="H106" s="755"/>
      <c r="I106" s="2022">
        <v>1.4</v>
      </c>
      <c r="J106" s="755"/>
      <c r="K106" s="2023">
        <f t="shared" si="52"/>
        <v>0</v>
      </c>
      <c r="L106" s="2026"/>
      <c r="M106" s="2022">
        <v>0.89</v>
      </c>
      <c r="N106" s="755"/>
      <c r="O106" s="2022">
        <v>0.89</v>
      </c>
      <c r="P106" s="755"/>
      <c r="Q106" s="2022">
        <v>7.0000000000000001E-3</v>
      </c>
      <c r="R106" s="755"/>
      <c r="S106" s="2025">
        <f t="shared" si="53"/>
        <v>0</v>
      </c>
      <c r="T106" s="2026"/>
      <c r="U106" s="2022">
        <v>0.03</v>
      </c>
      <c r="V106" s="755"/>
      <c r="W106" s="2024" t="s">
        <v>772</v>
      </c>
      <c r="X106" s="755"/>
      <c r="Y106" s="755"/>
      <c r="Z106" s="650"/>
      <c r="AA106" s="755"/>
      <c r="AB106" s="755"/>
      <c r="AC106" s="755"/>
      <c r="AD106" s="755"/>
      <c r="AE106" s="1761"/>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row>
    <row r="107" spans="1:81" ht="29.25" customHeight="1" x14ac:dyDescent="0.2">
      <c r="A107" s="3"/>
      <c r="B107" s="936" t="s">
        <v>1609</v>
      </c>
      <c r="C107" s="2018" t="s">
        <v>1610</v>
      </c>
      <c r="D107" s="2019"/>
      <c r="E107" s="2020">
        <v>0</v>
      </c>
      <c r="F107" s="755"/>
      <c r="G107" s="2021" t="s">
        <v>772</v>
      </c>
      <c r="H107" s="755"/>
      <c r="I107" s="2022">
        <v>1.4</v>
      </c>
      <c r="J107" s="755"/>
      <c r="K107" s="2023">
        <f>(E107*0.454)*100</f>
        <v>0</v>
      </c>
      <c r="L107" s="2024"/>
      <c r="M107" s="2022">
        <v>0.91</v>
      </c>
      <c r="N107" s="755"/>
      <c r="O107" s="2022">
        <v>1</v>
      </c>
      <c r="P107" s="755"/>
      <c r="Q107" s="2022">
        <v>7.1999999999999998E-3</v>
      </c>
      <c r="R107" s="755"/>
      <c r="S107" s="2025">
        <f t="shared" si="53"/>
        <v>0</v>
      </c>
      <c r="T107" s="2026"/>
      <c r="U107" s="2022">
        <v>0.03</v>
      </c>
      <c r="V107" s="755"/>
      <c r="W107" s="2024" t="s">
        <v>772</v>
      </c>
      <c r="X107" s="755"/>
      <c r="Y107" s="755"/>
      <c r="Z107" s="2032"/>
      <c r="AA107" s="755"/>
      <c r="AB107" s="755"/>
      <c r="AC107" s="755"/>
      <c r="AD107" s="755"/>
      <c r="AE107" s="1761"/>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row>
    <row r="108" spans="1:81" ht="15.75" customHeight="1" x14ac:dyDescent="0.2">
      <c r="A108" s="3"/>
      <c r="B108" s="936" t="s">
        <v>1611</v>
      </c>
      <c r="C108" s="2018" t="s">
        <v>1601</v>
      </c>
      <c r="D108" s="2019"/>
      <c r="E108" s="2020">
        <v>21855</v>
      </c>
      <c r="F108" s="755"/>
      <c r="G108" s="2021">
        <v>2.7215692074999999E-2</v>
      </c>
      <c r="H108" s="755"/>
      <c r="I108" s="2022">
        <v>2.1</v>
      </c>
      <c r="J108" s="755"/>
      <c r="K108" s="2023">
        <f>E108*1000*G108</f>
        <v>594798.95029912493</v>
      </c>
      <c r="L108" s="2024"/>
      <c r="M108" s="2022">
        <v>0.87</v>
      </c>
      <c r="N108" s="755"/>
      <c r="O108" s="2022">
        <v>0.9</v>
      </c>
      <c r="P108" s="755"/>
      <c r="Q108" s="2022">
        <v>2.3E-2</v>
      </c>
      <c r="R108" s="755"/>
      <c r="S108" s="2025">
        <f t="shared" si="53"/>
        <v>22494642.021467574</v>
      </c>
      <c r="T108" s="2026"/>
      <c r="U108" s="2022">
        <v>0.03</v>
      </c>
      <c r="V108" s="755"/>
      <c r="W108" s="2024">
        <f t="shared" ref="W108:W119" si="54">(K108*1000)*(1+I108)*M108*U108</f>
        <v>48125183.068702199</v>
      </c>
      <c r="X108" s="755"/>
      <c r="Y108" s="755"/>
      <c r="Z108" s="2032"/>
      <c r="AA108" s="755"/>
      <c r="AB108" s="755"/>
      <c r="AC108" s="755"/>
      <c r="AD108" s="755"/>
      <c r="AE108" s="1761"/>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row>
    <row r="109" spans="1:81" ht="11.25" customHeight="1" x14ac:dyDescent="0.2">
      <c r="A109" s="3"/>
      <c r="B109" s="936" t="s">
        <v>1612</v>
      </c>
      <c r="C109" s="2018" t="s">
        <v>1613</v>
      </c>
      <c r="D109" s="2019"/>
      <c r="E109" s="2020">
        <v>0</v>
      </c>
      <c r="F109" s="755"/>
      <c r="G109" s="2021" t="s">
        <v>772</v>
      </c>
      <c r="H109" s="755"/>
      <c r="I109" s="2022">
        <v>1</v>
      </c>
      <c r="J109" s="755"/>
      <c r="K109" s="2023">
        <f>(E109*1000/2000*0.9072)</f>
        <v>0</v>
      </c>
      <c r="L109" s="2024"/>
      <c r="M109" s="2022">
        <v>0.86</v>
      </c>
      <c r="N109" s="755"/>
      <c r="O109" s="2022">
        <v>0.9</v>
      </c>
      <c r="P109" s="755"/>
      <c r="Q109" s="2022">
        <v>1.06E-2</v>
      </c>
      <c r="R109" s="755"/>
      <c r="S109" s="2025">
        <f t="shared" si="53"/>
        <v>0</v>
      </c>
      <c r="T109" s="2026"/>
      <c r="U109" s="2022">
        <v>0.03</v>
      </c>
      <c r="V109" s="755"/>
      <c r="W109" s="2024">
        <f t="shared" si="54"/>
        <v>0</v>
      </c>
      <c r="X109" s="755"/>
      <c r="Y109" s="755"/>
      <c r="Z109" s="2032"/>
      <c r="AA109" s="755"/>
      <c r="AB109" s="755"/>
      <c r="AC109" s="755"/>
      <c r="AD109" s="755"/>
      <c r="AE109" s="1761"/>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row>
    <row r="110" spans="1:81" ht="32.25" customHeight="1" x14ac:dyDescent="0.2">
      <c r="A110" s="3"/>
      <c r="B110" s="936" t="s">
        <v>1614</v>
      </c>
      <c r="C110" s="2018" t="s">
        <v>1610</v>
      </c>
      <c r="D110" s="2019"/>
      <c r="E110" s="2020">
        <v>0</v>
      </c>
      <c r="F110" s="755"/>
      <c r="G110" s="2021" t="s">
        <v>772</v>
      </c>
      <c r="H110" s="755"/>
      <c r="I110" s="2022">
        <v>2.1</v>
      </c>
      <c r="J110" s="755"/>
      <c r="K110" s="2023">
        <f t="shared" ref="K110:K114" si="55">(E110*0.454)*100</f>
        <v>0</v>
      </c>
      <c r="L110" s="2024"/>
      <c r="M110" s="2022">
        <v>0.87</v>
      </c>
      <c r="N110" s="755"/>
      <c r="O110" s="2022">
        <v>1.55</v>
      </c>
      <c r="P110" s="755"/>
      <c r="Q110" s="2022">
        <v>1.6799999999999999E-2</v>
      </c>
      <c r="R110" s="755"/>
      <c r="S110" s="2025">
        <f t="shared" si="53"/>
        <v>0</v>
      </c>
      <c r="T110" s="2026"/>
      <c r="U110" s="2022">
        <v>0.03</v>
      </c>
      <c r="V110" s="755"/>
      <c r="W110" s="2024">
        <f t="shared" si="54"/>
        <v>0</v>
      </c>
      <c r="X110" s="755"/>
      <c r="Y110" s="755"/>
      <c r="Z110" s="2032"/>
      <c r="AA110" s="755"/>
      <c r="AB110" s="755"/>
      <c r="AC110" s="755"/>
      <c r="AD110" s="755"/>
      <c r="AE110" s="1761"/>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row>
    <row r="111" spans="1:81" ht="11.25" customHeight="1" x14ac:dyDescent="0.2">
      <c r="A111" s="3"/>
      <c r="B111" s="936" t="s">
        <v>1615</v>
      </c>
      <c r="C111" s="2018" t="s">
        <v>1610</v>
      </c>
      <c r="D111" s="2019"/>
      <c r="E111" s="2020">
        <v>0</v>
      </c>
      <c r="F111" s="755"/>
      <c r="G111" s="2021" t="s">
        <v>772</v>
      </c>
      <c r="H111" s="755"/>
      <c r="I111" s="2022">
        <v>1.5</v>
      </c>
      <c r="J111" s="755"/>
      <c r="K111" s="2023">
        <f t="shared" si="55"/>
        <v>0</v>
      </c>
      <c r="L111" s="2024"/>
      <c r="M111" s="2022">
        <v>0.87</v>
      </c>
      <c r="N111" s="755"/>
      <c r="O111" s="2022">
        <v>0.9</v>
      </c>
      <c r="P111" s="755"/>
      <c r="Q111" s="2022">
        <v>1.6799999999999999E-2</v>
      </c>
      <c r="R111" s="755"/>
      <c r="S111" s="2025">
        <f t="shared" si="53"/>
        <v>0</v>
      </c>
      <c r="T111" s="2026"/>
      <c r="U111" s="2022">
        <v>0.03</v>
      </c>
      <c r="V111" s="755"/>
      <c r="W111" s="2024">
        <f t="shared" si="54"/>
        <v>0</v>
      </c>
      <c r="X111" s="755"/>
      <c r="Y111" s="755"/>
      <c r="Z111" s="2032"/>
      <c r="AA111" s="755"/>
      <c r="AB111" s="755"/>
      <c r="AC111" s="755"/>
      <c r="AD111" s="755"/>
      <c r="AE111" s="1761"/>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row>
    <row r="112" spans="1:81" ht="11.25" customHeight="1" x14ac:dyDescent="0.2">
      <c r="A112" s="3"/>
      <c r="B112" s="2034" t="s">
        <v>1616</v>
      </c>
      <c r="C112" s="2018" t="s">
        <v>1610</v>
      </c>
      <c r="D112" s="2019"/>
      <c r="E112" s="2020">
        <v>0</v>
      </c>
      <c r="F112" s="755"/>
      <c r="G112" s="2021" t="s">
        <v>772</v>
      </c>
      <c r="H112" s="755"/>
      <c r="I112" s="2022">
        <v>1.5</v>
      </c>
      <c r="J112" s="755"/>
      <c r="K112" s="2023">
        <f t="shared" si="55"/>
        <v>0</v>
      </c>
      <c r="L112" s="2024"/>
      <c r="M112" s="2022">
        <v>0.87</v>
      </c>
      <c r="N112" s="755"/>
      <c r="O112" s="2022">
        <v>0.9</v>
      </c>
      <c r="P112" s="755"/>
      <c r="Q112" s="2022">
        <v>1.6799999999999999E-2</v>
      </c>
      <c r="R112" s="755"/>
      <c r="S112" s="2025">
        <f t="shared" si="53"/>
        <v>0</v>
      </c>
      <c r="T112" s="2026"/>
      <c r="U112" s="2022">
        <v>0.03</v>
      </c>
      <c r="V112" s="755"/>
      <c r="W112" s="2024">
        <f t="shared" si="54"/>
        <v>0</v>
      </c>
      <c r="X112" s="755"/>
      <c r="Y112" s="755"/>
      <c r="Z112" s="2032"/>
      <c r="AA112" s="755"/>
      <c r="AB112" s="755"/>
      <c r="AC112" s="755"/>
      <c r="AD112" s="755"/>
      <c r="AE112" s="1761"/>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row>
    <row r="113" spans="1:81" ht="11.25" customHeight="1" x14ac:dyDescent="0.2">
      <c r="A113" s="3"/>
      <c r="B113" s="2034" t="s">
        <v>1617</v>
      </c>
      <c r="C113" s="2018" t="s">
        <v>1610</v>
      </c>
      <c r="D113" s="2019"/>
      <c r="E113" s="2020">
        <v>0</v>
      </c>
      <c r="F113" s="755"/>
      <c r="G113" s="2021" t="s">
        <v>772</v>
      </c>
      <c r="H113" s="755"/>
      <c r="I113" s="2022">
        <v>2.1</v>
      </c>
      <c r="J113" s="755"/>
      <c r="K113" s="2023">
        <f t="shared" si="55"/>
        <v>0</v>
      </c>
      <c r="L113" s="2024"/>
      <c r="M113" s="2022">
        <v>0.87</v>
      </c>
      <c r="N113" s="755"/>
      <c r="O113" s="2022">
        <v>1.55</v>
      </c>
      <c r="P113" s="755"/>
      <c r="Q113" s="2022">
        <v>1.6799999999999999E-2</v>
      </c>
      <c r="R113" s="755"/>
      <c r="S113" s="2025">
        <f t="shared" si="53"/>
        <v>0</v>
      </c>
      <c r="T113" s="2026"/>
      <c r="U113" s="2022">
        <v>0.03</v>
      </c>
      <c r="V113" s="755"/>
      <c r="W113" s="2024">
        <f t="shared" si="54"/>
        <v>0</v>
      </c>
      <c r="X113" s="755"/>
      <c r="Y113" s="2035"/>
      <c r="Z113" s="2032"/>
      <c r="AA113" s="755"/>
      <c r="AB113" s="755"/>
      <c r="AC113" s="755"/>
      <c r="AD113" s="755"/>
      <c r="AE113" s="1761"/>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row>
    <row r="114" spans="1:81" ht="11.25" customHeight="1" x14ac:dyDescent="0.2">
      <c r="A114" s="3"/>
      <c r="B114" s="2034" t="s">
        <v>1618</v>
      </c>
      <c r="C114" s="2018" t="s">
        <v>1610</v>
      </c>
      <c r="D114" s="2019"/>
      <c r="E114" s="2020">
        <v>0</v>
      </c>
      <c r="F114" s="755"/>
      <c r="G114" s="2021" t="s">
        <v>772</v>
      </c>
      <c r="H114" s="755"/>
      <c r="I114" s="2022">
        <v>1.5</v>
      </c>
      <c r="J114" s="755"/>
      <c r="K114" s="2023">
        <f t="shared" si="55"/>
        <v>0</v>
      </c>
      <c r="L114" s="2024"/>
      <c r="M114" s="2022">
        <v>0.87</v>
      </c>
      <c r="N114" s="755"/>
      <c r="O114" s="2022">
        <v>0.9</v>
      </c>
      <c r="P114" s="755"/>
      <c r="Q114" s="2022">
        <v>1.6799999999999999E-2</v>
      </c>
      <c r="R114" s="755"/>
      <c r="S114" s="2025">
        <f t="shared" si="53"/>
        <v>0</v>
      </c>
      <c r="T114" s="2026"/>
      <c r="U114" s="2022">
        <v>0.03</v>
      </c>
      <c r="V114" s="755"/>
      <c r="W114" s="2024">
        <f t="shared" si="54"/>
        <v>0</v>
      </c>
      <c r="X114" s="755"/>
      <c r="Y114" s="2035"/>
      <c r="Z114" s="2032"/>
      <c r="AA114" s="755"/>
      <c r="AB114" s="755"/>
      <c r="AC114" s="755"/>
      <c r="AD114" s="755"/>
      <c r="AE114" s="1761"/>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row>
    <row r="115" spans="1:81" ht="11.25" customHeight="1" x14ac:dyDescent="0.2">
      <c r="A115" s="3"/>
      <c r="B115" s="2034" t="s">
        <v>1619</v>
      </c>
      <c r="C115" s="2019" t="s">
        <v>1400</v>
      </c>
      <c r="D115" s="2019"/>
      <c r="E115" s="2033"/>
      <c r="F115" s="755"/>
      <c r="G115" s="2021" t="s">
        <v>772</v>
      </c>
      <c r="H115" s="755"/>
      <c r="I115" s="2022"/>
      <c r="J115" s="755"/>
      <c r="K115" s="2023">
        <f t="shared" ref="K115:K119" si="56">E115</f>
        <v>0</v>
      </c>
      <c r="L115" s="2026"/>
      <c r="M115" s="2022"/>
      <c r="N115" s="755"/>
      <c r="O115" s="2022"/>
      <c r="P115" s="755"/>
      <c r="Q115" s="755"/>
      <c r="R115" s="755"/>
      <c r="S115" s="2025" t="s">
        <v>772</v>
      </c>
      <c r="T115" s="2026"/>
      <c r="U115" s="2022">
        <v>0.03</v>
      </c>
      <c r="V115" s="755"/>
      <c r="W115" s="2024">
        <f t="shared" si="54"/>
        <v>0</v>
      </c>
      <c r="X115" s="755"/>
      <c r="Y115" s="2035"/>
      <c r="Z115" s="2032"/>
      <c r="AA115" s="755"/>
      <c r="AB115" s="755"/>
      <c r="AC115" s="755"/>
      <c r="AD115" s="755"/>
      <c r="AE115" s="1761"/>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row>
    <row r="116" spans="1:81" ht="11.25" customHeight="1" x14ac:dyDescent="0.2">
      <c r="A116" s="3"/>
      <c r="B116" s="2034" t="s">
        <v>1620</v>
      </c>
      <c r="C116" s="2019" t="s">
        <v>1400</v>
      </c>
      <c r="D116" s="2019"/>
      <c r="E116" s="2033"/>
      <c r="F116" s="755"/>
      <c r="G116" s="2021" t="s">
        <v>772</v>
      </c>
      <c r="H116" s="755"/>
      <c r="I116" s="2022"/>
      <c r="J116" s="755"/>
      <c r="K116" s="2023">
        <f t="shared" si="56"/>
        <v>0</v>
      </c>
      <c r="L116" s="2026"/>
      <c r="M116" s="2022"/>
      <c r="N116" s="755"/>
      <c r="O116" s="2022"/>
      <c r="P116" s="755"/>
      <c r="Q116" s="755"/>
      <c r="R116" s="755"/>
      <c r="S116" s="2025" t="s">
        <v>772</v>
      </c>
      <c r="T116" s="2026"/>
      <c r="U116" s="2022">
        <v>0.03</v>
      </c>
      <c r="V116" s="755"/>
      <c r="W116" s="2024">
        <f t="shared" si="54"/>
        <v>0</v>
      </c>
      <c r="X116" s="755"/>
      <c r="Y116" s="2035"/>
      <c r="Z116" s="2032"/>
      <c r="AA116" s="755"/>
      <c r="AB116" s="755"/>
      <c r="AC116" s="755"/>
      <c r="AD116" s="755"/>
      <c r="AE116" s="1761"/>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row>
    <row r="117" spans="1:81" ht="11.25" customHeight="1" x14ac:dyDescent="0.2">
      <c r="A117" s="3"/>
      <c r="B117" s="2034" t="s">
        <v>1621</v>
      </c>
      <c r="C117" s="2019" t="s">
        <v>1400</v>
      </c>
      <c r="D117" s="2019"/>
      <c r="E117" s="2033"/>
      <c r="F117" s="755"/>
      <c r="G117" s="2021" t="s">
        <v>772</v>
      </c>
      <c r="H117" s="755"/>
      <c r="I117" s="2022"/>
      <c r="J117" s="755"/>
      <c r="K117" s="2023">
        <f t="shared" si="56"/>
        <v>0</v>
      </c>
      <c r="L117" s="2026"/>
      <c r="M117" s="2022"/>
      <c r="N117" s="755"/>
      <c r="O117" s="2022"/>
      <c r="P117" s="755"/>
      <c r="Q117" s="755"/>
      <c r="R117" s="755"/>
      <c r="S117" s="2025" t="s">
        <v>772</v>
      </c>
      <c r="T117" s="2026"/>
      <c r="U117" s="2022">
        <v>0.03</v>
      </c>
      <c r="V117" s="755"/>
      <c r="W117" s="2024">
        <f t="shared" si="54"/>
        <v>0</v>
      </c>
      <c r="X117" s="755"/>
      <c r="Y117" s="2035"/>
      <c r="Z117" s="2032"/>
      <c r="AA117" s="755"/>
      <c r="AB117" s="755"/>
      <c r="AC117" s="755"/>
      <c r="AD117" s="755"/>
      <c r="AE117" s="1761"/>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row>
    <row r="118" spans="1:81" ht="11.25" customHeight="1" x14ac:dyDescent="0.2">
      <c r="A118" s="3"/>
      <c r="B118" s="2034" t="s">
        <v>1622</v>
      </c>
      <c r="C118" s="2019" t="s">
        <v>1400</v>
      </c>
      <c r="D118" s="2019"/>
      <c r="E118" s="2033"/>
      <c r="F118" s="755"/>
      <c r="G118" s="2021" t="s">
        <v>772</v>
      </c>
      <c r="H118" s="755"/>
      <c r="I118" s="2022"/>
      <c r="J118" s="755"/>
      <c r="K118" s="2023">
        <f t="shared" si="56"/>
        <v>0</v>
      </c>
      <c r="L118" s="2026"/>
      <c r="M118" s="2022"/>
      <c r="N118" s="755"/>
      <c r="O118" s="2022"/>
      <c r="P118" s="755"/>
      <c r="Q118" s="755"/>
      <c r="R118" s="755"/>
      <c r="S118" s="2025" t="s">
        <v>772</v>
      </c>
      <c r="T118" s="2026"/>
      <c r="U118" s="2022">
        <v>0.03</v>
      </c>
      <c r="V118" s="755"/>
      <c r="W118" s="2024">
        <f t="shared" si="54"/>
        <v>0</v>
      </c>
      <c r="X118" s="755"/>
      <c r="Y118" s="2035"/>
      <c r="Z118" s="2032"/>
      <c r="AA118" s="755"/>
      <c r="AB118" s="755"/>
      <c r="AC118" s="755"/>
      <c r="AD118" s="755"/>
      <c r="AE118" s="1761"/>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row>
    <row r="119" spans="1:81" ht="11.25" customHeight="1" x14ac:dyDescent="0.2">
      <c r="A119" s="3"/>
      <c r="B119" s="2034" t="s">
        <v>1623</v>
      </c>
      <c r="C119" s="2019" t="s">
        <v>1400</v>
      </c>
      <c r="D119" s="2019"/>
      <c r="E119" s="2033"/>
      <c r="F119" s="755"/>
      <c r="G119" s="2021" t="s">
        <v>772</v>
      </c>
      <c r="H119" s="755"/>
      <c r="I119" s="2022"/>
      <c r="J119" s="755"/>
      <c r="K119" s="2023">
        <f t="shared" si="56"/>
        <v>0</v>
      </c>
      <c r="L119" s="2026"/>
      <c r="M119" s="2022"/>
      <c r="N119" s="755"/>
      <c r="O119" s="755"/>
      <c r="P119" s="755"/>
      <c r="Q119" s="755"/>
      <c r="R119" s="755"/>
      <c r="S119" s="2025" t="s">
        <v>772</v>
      </c>
      <c r="T119" s="2026"/>
      <c r="U119" s="2022">
        <v>0.03</v>
      </c>
      <c r="V119" s="755"/>
      <c r="W119" s="2024">
        <f t="shared" si="54"/>
        <v>0</v>
      </c>
      <c r="X119" s="755"/>
      <c r="Y119" s="2035"/>
      <c r="Z119" s="2032"/>
      <c r="AA119" s="755"/>
      <c r="AB119" s="755"/>
      <c r="AC119" s="755"/>
      <c r="AD119" s="755"/>
      <c r="AE119" s="1761"/>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row>
    <row r="120" spans="1:81" ht="11.25" customHeight="1" x14ac:dyDescent="0.25">
      <c r="A120" s="3"/>
      <c r="B120" s="2036" t="s">
        <v>1543</v>
      </c>
      <c r="C120" s="2037"/>
      <c r="D120" s="2037"/>
      <c r="E120" s="2038"/>
      <c r="F120" s="2038"/>
      <c r="G120" s="2038"/>
      <c r="H120" s="2038"/>
      <c r="I120" s="2038"/>
      <c r="J120" s="2038"/>
      <c r="K120" s="2039">
        <f>SUM(K99:K119)</f>
        <v>2711705.3802876752</v>
      </c>
      <c r="L120" s="2040"/>
      <c r="M120" s="1855"/>
      <c r="N120" s="2038"/>
      <c r="O120" s="2038"/>
      <c r="P120" s="2038"/>
      <c r="Q120" s="2038"/>
      <c r="R120" s="2038"/>
      <c r="S120" s="2040">
        <f>SUM(S99:S114)</f>
        <v>32805230.884496588</v>
      </c>
      <c r="T120" s="2041"/>
      <c r="U120" s="2038"/>
      <c r="V120" s="2038"/>
      <c r="W120" s="2042">
        <f>SUM(W99:W119)</f>
        <v>50484810.268702202</v>
      </c>
      <c r="X120" s="2038"/>
      <c r="Y120" s="2038"/>
      <c r="Z120" s="2043"/>
      <c r="AA120" s="2038"/>
      <c r="AB120" s="2038"/>
      <c r="AC120" s="2038"/>
      <c r="AD120" s="2038"/>
      <c r="AE120" s="2044"/>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row>
    <row r="121" spans="1:81" ht="11.25" customHeight="1" x14ac:dyDescent="0.25">
      <c r="A121" s="3"/>
      <c r="B121" s="1599"/>
      <c r="C121" s="1599"/>
      <c r="D121" s="1599"/>
      <c r="E121" s="3"/>
      <c r="F121" s="3"/>
      <c r="G121" s="3"/>
      <c r="H121" s="3"/>
      <c r="I121" s="3"/>
      <c r="J121" s="3"/>
      <c r="K121" s="2045"/>
      <c r="L121" s="2045"/>
      <c r="M121" s="1861"/>
      <c r="N121" s="3"/>
      <c r="O121" s="3"/>
      <c r="P121" s="3"/>
      <c r="Q121" s="3"/>
      <c r="R121" s="3"/>
      <c r="S121" s="2045"/>
      <c r="T121" s="2046"/>
      <c r="U121" s="3"/>
      <c r="V121" s="3"/>
      <c r="W121" s="2047"/>
      <c r="X121" s="3"/>
      <c r="Y121" s="3"/>
      <c r="Z121" s="2048"/>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row>
    <row r="122" spans="1:81" ht="11.25" customHeight="1" x14ac:dyDescent="0.25">
      <c r="A122" s="3"/>
      <c r="B122" s="1599"/>
      <c r="C122" s="1599"/>
      <c r="D122" s="1599"/>
      <c r="E122" s="3"/>
      <c r="F122" s="3"/>
      <c r="G122" s="3"/>
      <c r="H122" s="3"/>
      <c r="I122" s="3"/>
      <c r="J122" s="3"/>
      <c r="K122" s="2045"/>
      <c r="L122" s="2045"/>
      <c r="M122" s="1861"/>
      <c r="N122" s="3"/>
      <c r="O122" s="3"/>
      <c r="P122" s="3"/>
      <c r="Q122" s="3"/>
      <c r="R122" s="3"/>
      <c r="S122" s="2045"/>
      <c r="T122" s="2046"/>
      <c r="U122" s="3"/>
      <c r="V122" s="3"/>
      <c r="W122" s="2047"/>
      <c r="X122" s="3"/>
      <c r="Y122" s="3"/>
      <c r="Z122" s="2048"/>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row>
    <row r="123" spans="1:81" ht="11.25" customHeight="1" x14ac:dyDescent="0.3">
      <c r="A123" s="327"/>
      <c r="B123" s="1862"/>
      <c r="C123" s="1863"/>
      <c r="D123" s="1864"/>
      <c r="E123" s="1864"/>
      <c r="F123" s="1864"/>
      <c r="G123" s="1865"/>
      <c r="H123" s="1866"/>
      <c r="I123" s="1867"/>
      <c r="J123" s="1866"/>
      <c r="K123" s="1868"/>
      <c r="L123" s="953"/>
      <c r="M123" s="1868"/>
      <c r="N123" s="953"/>
      <c r="O123" s="953"/>
      <c r="P123" s="953"/>
      <c r="Q123" s="953"/>
      <c r="R123" s="953"/>
      <c r="S123" s="953"/>
      <c r="T123" s="953"/>
      <c r="U123" s="953"/>
    </row>
    <row r="124" spans="1:81" ht="26.25" customHeight="1" x14ac:dyDescent="0.45">
      <c r="A124" s="2049"/>
      <c r="B124" s="1978" t="s">
        <v>1624</v>
      </c>
      <c r="C124" s="1979"/>
      <c r="D124" s="1980"/>
      <c r="E124" s="1980"/>
      <c r="F124" s="1981"/>
      <c r="G124" s="1982"/>
      <c r="H124" s="1983"/>
      <c r="I124" s="1984"/>
      <c r="J124" s="1983"/>
      <c r="K124" s="1985"/>
      <c r="L124" s="1986"/>
      <c r="M124" s="1985"/>
      <c r="N124" s="1986"/>
      <c r="O124" s="1986"/>
      <c r="P124" s="1986"/>
      <c r="Q124" s="1986"/>
      <c r="R124" s="1986"/>
      <c r="S124" s="1986"/>
      <c r="T124" s="1986"/>
      <c r="U124" s="1986"/>
      <c r="V124" s="1986"/>
      <c r="W124" s="1986"/>
      <c r="X124" s="1986"/>
      <c r="Y124" s="1987"/>
    </row>
    <row r="125" spans="1:81" ht="11.25" customHeight="1" x14ac:dyDescent="0.2">
      <c r="A125" s="3"/>
      <c r="B125" s="2050" t="s">
        <v>1625</v>
      </c>
      <c r="C125" s="2051">
        <v>2020</v>
      </c>
      <c r="D125" s="2052"/>
      <c r="E125" s="2052"/>
      <c r="F125" s="2052"/>
      <c r="G125" s="2052"/>
      <c r="H125" s="2052"/>
      <c r="I125" s="2052"/>
      <c r="J125" s="2052"/>
      <c r="K125" s="2052"/>
      <c r="L125" s="2052"/>
      <c r="M125" s="2052"/>
      <c r="N125" s="3"/>
      <c r="O125" s="3"/>
      <c r="P125" s="3"/>
      <c r="Q125" s="3"/>
      <c r="R125" s="3"/>
      <c r="S125" s="3"/>
      <c r="T125" s="3"/>
      <c r="U125" s="3"/>
      <c r="V125" s="1989"/>
      <c r="W125" s="1989"/>
      <c r="X125" s="1989"/>
      <c r="Y125" s="1992"/>
      <c r="Z125" s="3"/>
      <c r="AA125" s="3"/>
      <c r="AB125" s="3"/>
      <c r="AC125" s="3"/>
      <c r="AD125" s="3"/>
      <c r="AE125" s="1607"/>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row>
    <row r="126" spans="1:81" ht="20.25" customHeight="1" x14ac:dyDescent="0.2">
      <c r="A126" s="2053"/>
      <c r="B126" s="2054" t="s">
        <v>1626</v>
      </c>
      <c r="C126" s="2055" t="s">
        <v>1627</v>
      </c>
      <c r="D126" s="2055"/>
      <c r="E126" s="2056" t="s">
        <v>1628</v>
      </c>
      <c r="F126" s="2057"/>
      <c r="G126" s="2058" t="s">
        <v>1629</v>
      </c>
      <c r="H126" s="2059"/>
      <c r="I126" s="2060" t="s">
        <v>1630</v>
      </c>
      <c r="J126" s="2059"/>
      <c r="K126" s="2055" t="s">
        <v>1631</v>
      </c>
      <c r="L126" s="2055"/>
      <c r="M126" s="2055" t="s">
        <v>1632</v>
      </c>
      <c r="N126" s="2055"/>
      <c r="O126" s="2058" t="s">
        <v>1633</v>
      </c>
      <c r="P126" s="2055"/>
      <c r="Q126" s="2058" t="s">
        <v>1634</v>
      </c>
      <c r="R126" s="2061"/>
      <c r="S126" s="2062" t="s">
        <v>1635</v>
      </c>
      <c r="T126" s="2061"/>
      <c r="U126" s="2062" t="s">
        <v>1636</v>
      </c>
      <c r="V126" s="2061"/>
      <c r="W126" s="2058" t="s">
        <v>1637</v>
      </c>
      <c r="X126" s="2059"/>
      <c r="Y126" s="2063" t="s">
        <v>1638</v>
      </c>
      <c r="Z126" s="2053"/>
      <c r="AA126" s="2053"/>
      <c r="AB126" s="2053"/>
      <c r="AC126" s="2053"/>
      <c r="AD126" s="2053"/>
      <c r="AE126" s="2053"/>
      <c r="AF126" s="2053"/>
      <c r="AG126" s="2053"/>
      <c r="AH126" s="2053"/>
      <c r="AI126" s="2053"/>
      <c r="AJ126" s="2053"/>
      <c r="AK126" s="2053"/>
      <c r="AL126" s="2053"/>
      <c r="AM126" s="2053"/>
      <c r="AN126" s="2053"/>
      <c r="AO126" s="2053"/>
      <c r="AP126" s="2053"/>
      <c r="AQ126" s="2053"/>
      <c r="AR126" s="2053"/>
      <c r="AS126" s="2053"/>
      <c r="AT126" s="2053"/>
      <c r="AU126" s="2053"/>
      <c r="AV126" s="2053"/>
      <c r="AW126" s="2053"/>
      <c r="AX126" s="2053"/>
      <c r="AY126" s="2053"/>
      <c r="AZ126" s="2053"/>
      <c r="BA126" s="2053"/>
      <c r="BB126" s="2053"/>
      <c r="BC126" s="2053"/>
      <c r="BD126" s="2053"/>
      <c r="BE126" s="2053"/>
      <c r="BF126" s="2053"/>
      <c r="BG126" s="2053"/>
      <c r="BH126" s="2053"/>
      <c r="BI126" s="2053"/>
      <c r="BJ126" s="2053"/>
      <c r="BK126" s="2053"/>
      <c r="BL126" s="2053"/>
      <c r="BM126" s="2053"/>
      <c r="BN126" s="2053"/>
      <c r="BO126" s="2053"/>
      <c r="BP126" s="2053"/>
      <c r="BQ126" s="2053"/>
      <c r="BR126" s="2053"/>
      <c r="BS126" s="2053"/>
      <c r="BT126" s="2053"/>
      <c r="BU126" s="2053"/>
      <c r="BV126" s="2053"/>
      <c r="BW126" s="2053"/>
      <c r="BX126" s="2053"/>
      <c r="BY126" s="2053"/>
      <c r="BZ126" s="2053"/>
      <c r="CA126" s="2053"/>
      <c r="CB126" s="2053"/>
      <c r="CC126" s="2053"/>
    </row>
    <row r="127" spans="1:81" ht="11.25" customHeight="1" x14ac:dyDescent="0.2">
      <c r="A127" s="3"/>
      <c r="B127" s="2064" t="s">
        <v>1639</v>
      </c>
      <c r="C127" s="2065">
        <f>40158687</f>
        <v>40158687</v>
      </c>
      <c r="D127" s="884"/>
      <c r="E127" s="2066">
        <f>26103147</f>
        <v>26103147</v>
      </c>
      <c r="F127" s="2067"/>
      <c r="G127" s="2068">
        <v>0.1</v>
      </c>
      <c r="H127" s="602"/>
      <c r="I127" s="602"/>
      <c r="J127" s="602"/>
      <c r="K127" s="2069">
        <f>($E127*(1-G127))</f>
        <v>23492832.300000001</v>
      </c>
      <c r="L127" s="2069"/>
      <c r="M127" s="2069">
        <f>$E127*G127</f>
        <v>2610314.7000000002</v>
      </c>
      <c r="N127" s="2069"/>
      <c r="O127" s="2070">
        <f>((K127+K128)/(1000))*0.01*(44/28)</f>
        <v>382.69698405714291</v>
      </c>
      <c r="P127" s="2069"/>
      <c r="Q127" s="2070">
        <f>((M127+M128)/(1000))*0.01*(44/28)</f>
        <v>44.400207264285719</v>
      </c>
      <c r="R127" s="2071"/>
      <c r="S127" s="2072">
        <f>O127*Z10*12/44*10^-6</f>
        <v>2.7658554756857148E-2</v>
      </c>
      <c r="T127" s="2073"/>
      <c r="U127" s="2072">
        <f>Q127*Z10*12/44*10^-6</f>
        <v>3.2089240704642865E-3</v>
      </c>
      <c r="V127" s="2071"/>
      <c r="W127" s="2074">
        <f>S127/(12/44)</f>
        <v>0.10141470077514289</v>
      </c>
      <c r="X127" s="2075"/>
      <c r="Y127" s="2076">
        <f>U127/(12/44)</f>
        <v>1.1766054925035718E-2</v>
      </c>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row>
    <row r="128" spans="1:81" ht="11.25" customHeight="1" x14ac:dyDescent="0.2">
      <c r="A128" s="3"/>
      <c r="B128" s="2064" t="s">
        <v>1640</v>
      </c>
      <c r="C128" s="1440">
        <f>E128</f>
        <v>26724473</v>
      </c>
      <c r="D128" s="1440"/>
      <c r="E128" s="2066">
        <f>SUM(E129:E135)</f>
        <v>26724473</v>
      </c>
      <c r="F128" s="2077"/>
      <c r="G128" s="2078">
        <v>0.2</v>
      </c>
      <c r="H128" s="1463"/>
      <c r="I128" s="1463">
        <v>4.1000000000000002E-2</v>
      </c>
      <c r="J128" s="1463"/>
      <c r="K128" s="2079">
        <f>$E137*I128*(1-G128)</f>
        <v>860612.14000000013</v>
      </c>
      <c r="L128" s="2080"/>
      <c r="M128" s="2080">
        <f>$E137*G128*I128</f>
        <v>215153.035</v>
      </c>
      <c r="N128" s="2080"/>
      <c r="O128" s="2080"/>
      <c r="P128" s="2080"/>
      <c r="Q128" s="2080"/>
      <c r="R128" s="2081"/>
      <c r="S128" s="2081"/>
      <c r="T128" s="2081"/>
      <c r="U128" s="2081"/>
      <c r="V128" s="2081"/>
      <c r="W128" s="2081"/>
      <c r="X128" s="1463"/>
      <c r="Y128" s="1464"/>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row>
    <row r="129" spans="1:81" ht="11.25" customHeight="1" x14ac:dyDescent="0.2">
      <c r="A129" s="3"/>
      <c r="B129" s="2082" t="s">
        <v>1641</v>
      </c>
      <c r="C129" s="2065"/>
      <c r="D129" s="884"/>
      <c r="E129" s="2066">
        <f t="shared" ref="E129:E130" si="57">$C129*0.65+$C145*0.35</f>
        <v>0</v>
      </c>
      <c r="F129" s="2052"/>
      <c r="G129" s="2083"/>
      <c r="H129" s="2052"/>
      <c r="I129" s="3"/>
      <c r="J129" s="3"/>
      <c r="K129" s="2083"/>
      <c r="L129" s="2083"/>
      <c r="M129" s="2083"/>
      <c r="N129" s="2083"/>
      <c r="O129" s="2083"/>
      <c r="P129" s="1607"/>
      <c r="Q129" s="1607"/>
      <c r="R129" s="1607"/>
      <c r="S129" s="1607"/>
      <c r="T129" s="1607"/>
      <c r="U129" s="1607"/>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row>
    <row r="130" spans="1:81" ht="11.25" customHeight="1" x14ac:dyDescent="0.2">
      <c r="A130" s="3"/>
      <c r="B130" s="2082" t="s">
        <v>1642</v>
      </c>
      <c r="C130" s="2065"/>
      <c r="D130" s="884"/>
      <c r="E130" s="2066">
        <f t="shared" si="57"/>
        <v>0</v>
      </c>
      <c r="F130" s="2052"/>
      <c r="G130" s="2052"/>
      <c r="H130" s="2052"/>
      <c r="I130" s="2083"/>
      <c r="J130" s="2083"/>
      <c r="K130" s="2083"/>
      <c r="L130" s="2083"/>
      <c r="M130" s="2083"/>
      <c r="N130" s="1607"/>
      <c r="O130" s="1607"/>
      <c r="P130" s="1607"/>
      <c r="Q130" s="1607"/>
      <c r="R130" s="1607"/>
      <c r="S130" s="1607"/>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row>
    <row r="131" spans="1:81" ht="11.25" customHeight="1" x14ac:dyDescent="0.2">
      <c r="A131" s="3"/>
      <c r="B131" s="2082" t="s">
        <v>1643</v>
      </c>
      <c r="C131" s="2065">
        <v>486298</v>
      </c>
      <c r="D131" s="884"/>
      <c r="E131" s="2066">
        <f t="shared" ref="E131:E132" si="58">C131</f>
        <v>486298</v>
      </c>
      <c r="F131" s="2052"/>
      <c r="G131" s="2052"/>
      <c r="H131" s="2052"/>
      <c r="I131" s="2083"/>
      <c r="J131" s="2083"/>
      <c r="K131" s="2083"/>
      <c r="L131" s="2083"/>
      <c r="M131" s="2083"/>
      <c r="N131" s="1607"/>
      <c r="O131" s="1607"/>
      <c r="P131" s="1607"/>
      <c r="Q131" s="1607"/>
      <c r="R131" s="1607"/>
      <c r="S131" s="1607"/>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row>
    <row r="132" spans="1:81" ht="11.25" customHeight="1" x14ac:dyDescent="0.2">
      <c r="A132" s="3"/>
      <c r="B132" s="2082" t="s">
        <v>1644</v>
      </c>
      <c r="C132" s="2065">
        <v>25853131</v>
      </c>
      <c r="D132" s="884"/>
      <c r="E132" s="2066">
        <f t="shared" si="58"/>
        <v>25853131</v>
      </c>
      <c r="F132" s="2052"/>
      <c r="G132" s="2052"/>
      <c r="H132" s="2052"/>
      <c r="I132" s="2083"/>
      <c r="J132" s="2083"/>
      <c r="K132" s="2083"/>
      <c r="L132" s="2083"/>
      <c r="M132" s="2083"/>
      <c r="N132" s="1607"/>
      <c r="O132" s="1607"/>
      <c r="P132" s="1607"/>
      <c r="Q132" s="1607"/>
      <c r="R132" s="1607"/>
      <c r="S132" s="1607"/>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row>
    <row r="133" spans="1:81" ht="11.25" customHeight="1" x14ac:dyDescent="0.2">
      <c r="A133" s="3"/>
      <c r="B133" s="2082" t="s">
        <v>1645</v>
      </c>
      <c r="C133" s="2065"/>
      <c r="D133" s="884"/>
      <c r="E133" s="2066">
        <f t="shared" ref="E133:E134" si="59">$C133*0.65+$C149*0.35</f>
        <v>0</v>
      </c>
      <c r="F133" s="2052"/>
      <c r="G133" s="2052"/>
      <c r="H133" s="2052"/>
      <c r="I133" s="2083"/>
      <c r="J133" s="2083"/>
      <c r="K133" s="2083"/>
      <c r="L133" s="2083"/>
      <c r="M133" s="2083"/>
      <c r="N133" s="1607"/>
      <c r="O133" s="1607"/>
      <c r="P133" s="1607"/>
      <c r="Q133" s="1607"/>
      <c r="R133" s="1607"/>
      <c r="S133" s="1607"/>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row>
    <row r="134" spans="1:81" ht="11.25" customHeight="1" x14ac:dyDescent="0.2">
      <c r="A134" s="3"/>
      <c r="B134" s="2082" t="s">
        <v>1646</v>
      </c>
      <c r="C134" s="2065"/>
      <c r="D134" s="884"/>
      <c r="E134" s="2066">
        <f t="shared" si="59"/>
        <v>0</v>
      </c>
      <c r="F134" s="2052"/>
      <c r="G134" s="2052"/>
      <c r="H134" s="2052"/>
      <c r="I134" s="2083"/>
      <c r="J134" s="2083"/>
      <c r="K134" s="2083"/>
      <c r="L134" s="2083"/>
      <c r="M134" s="2083"/>
      <c r="N134" s="1607"/>
      <c r="O134" s="1607"/>
      <c r="P134" s="1607"/>
      <c r="Q134" s="1607"/>
      <c r="R134" s="1607"/>
      <c r="S134" s="1607"/>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row>
    <row r="135" spans="1:81" ht="11.25" customHeight="1" x14ac:dyDescent="0.2">
      <c r="A135" s="3"/>
      <c r="B135" s="2082" t="s">
        <v>1647</v>
      </c>
      <c r="C135" s="2065">
        <v>385044</v>
      </c>
      <c r="D135" s="884"/>
      <c r="E135" s="2066">
        <f>C135</f>
        <v>385044</v>
      </c>
      <c r="F135" s="2052"/>
      <c r="G135" s="2052"/>
      <c r="H135" s="2052"/>
      <c r="I135" s="2083"/>
      <c r="J135" s="2084"/>
      <c r="K135" s="2083"/>
      <c r="L135" s="2083"/>
      <c r="M135" s="2083"/>
      <c r="N135" s="1607"/>
      <c r="O135" s="1607"/>
      <c r="P135" s="1607"/>
      <c r="Q135" s="1607"/>
      <c r="R135" s="1607"/>
      <c r="S135" s="1607"/>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row>
    <row r="136" spans="1:81" ht="11.25" customHeight="1" x14ac:dyDescent="0.2">
      <c r="A136" s="3"/>
      <c r="B136" s="2085" t="s">
        <v>1648</v>
      </c>
      <c r="C136" s="2086">
        <v>0.02</v>
      </c>
      <c r="D136" s="884"/>
      <c r="E136" s="2087">
        <f>IF(E128=0,0,E131/E128)</f>
        <v>1.81967292675893E-2</v>
      </c>
      <c r="F136" s="2052"/>
      <c r="G136" s="2052"/>
      <c r="H136" s="2052"/>
      <c r="I136" s="2052"/>
      <c r="J136" s="2052"/>
      <c r="K136" s="2052"/>
      <c r="L136" s="2052"/>
      <c r="M136" s="2052"/>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row>
    <row r="137" spans="1:81" ht="11.25" customHeight="1" x14ac:dyDescent="0.2">
      <c r="A137" s="3"/>
      <c r="B137" s="2085" t="s">
        <v>1649</v>
      </c>
      <c r="C137" s="884">
        <v>26238175</v>
      </c>
      <c r="D137" s="884"/>
      <c r="E137" s="2088">
        <f>E128*(1-E136)</f>
        <v>26238175</v>
      </c>
      <c r="F137" s="2052"/>
      <c r="G137" s="2052"/>
      <c r="H137" s="2052"/>
      <c r="I137" s="2052"/>
      <c r="J137" s="2052"/>
      <c r="K137" s="2052"/>
      <c r="L137" s="2052"/>
      <c r="M137" s="2052"/>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row>
    <row r="138" spans="1:81" ht="11.25" customHeight="1" x14ac:dyDescent="0.2">
      <c r="A138" s="3"/>
      <c r="B138" s="2085" t="s">
        <v>1650</v>
      </c>
      <c r="C138" s="884">
        <f>486298</f>
        <v>486298</v>
      </c>
      <c r="D138" s="884"/>
      <c r="E138" s="2089">
        <f>E128*E136</f>
        <v>486298</v>
      </c>
      <c r="F138" s="2052"/>
      <c r="G138" s="2052"/>
      <c r="H138" s="2052"/>
      <c r="I138" s="2052"/>
      <c r="J138" s="2052"/>
      <c r="K138" s="2052"/>
      <c r="L138" s="2052"/>
      <c r="M138" s="2052"/>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row>
    <row r="139" spans="1:81" ht="11.25" customHeight="1" x14ac:dyDescent="0.2">
      <c r="A139" s="3"/>
      <c r="B139" s="492"/>
      <c r="C139" s="884"/>
      <c r="D139" s="884"/>
      <c r="E139" s="2089"/>
      <c r="F139" s="2052"/>
      <c r="G139" s="2052"/>
      <c r="H139" s="2052"/>
      <c r="I139" s="2052"/>
      <c r="J139" s="2052"/>
      <c r="K139" s="2052"/>
      <c r="L139" s="2052"/>
      <c r="M139" s="2052"/>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row>
    <row r="140" spans="1:81" ht="11.25" customHeight="1" x14ac:dyDescent="0.2">
      <c r="A140" s="3"/>
      <c r="B140" s="2090"/>
      <c r="C140" s="2091"/>
      <c r="D140" s="602"/>
      <c r="E140" s="1459"/>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row>
    <row r="141" spans="1:81" ht="11.25" customHeight="1" x14ac:dyDescent="0.2">
      <c r="A141" s="3"/>
      <c r="B141" s="2092" t="s">
        <v>1625</v>
      </c>
      <c r="C141" s="2093">
        <v>2021</v>
      </c>
      <c r="D141" s="2094"/>
      <c r="E141" s="494"/>
      <c r="F141" s="1607"/>
      <c r="G141" s="1607"/>
      <c r="H141" s="1607"/>
      <c r="I141" s="1607"/>
      <c r="J141" s="1607"/>
      <c r="K141" s="1607"/>
      <c r="L141" s="1607"/>
      <c r="M141" s="1607"/>
      <c r="N141" s="1607"/>
      <c r="O141" s="1607"/>
      <c r="P141" s="1607"/>
      <c r="Q141" s="1607"/>
      <c r="R141" s="1607"/>
      <c r="S141" s="1607"/>
      <c r="T141" s="1607"/>
      <c r="U141" s="1607"/>
      <c r="V141" s="1607"/>
      <c r="W141" s="1607"/>
      <c r="X141" s="1607"/>
      <c r="Y141" s="1607"/>
      <c r="Z141" s="1607"/>
      <c r="AA141" s="1607"/>
      <c r="AB141" s="1607"/>
      <c r="AC141" s="1607"/>
      <c r="AD141" s="1607"/>
      <c r="AE141" s="1607"/>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row>
    <row r="142" spans="1:81" ht="11.25" customHeight="1" x14ac:dyDescent="0.2">
      <c r="A142" s="2053"/>
      <c r="B142" s="2095" t="s">
        <v>1626</v>
      </c>
      <c r="C142" s="2096" t="s">
        <v>1651</v>
      </c>
      <c r="D142" s="2097"/>
      <c r="E142" s="2098"/>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row>
    <row r="143" spans="1:81" ht="11.25" customHeight="1" x14ac:dyDescent="0.2">
      <c r="A143" s="3"/>
      <c r="B143" s="2064" t="s">
        <v>1639</v>
      </c>
      <c r="C143" s="2065"/>
      <c r="D143" s="884"/>
      <c r="E143" s="2089"/>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row>
    <row r="144" spans="1:81" ht="11.25" customHeight="1" x14ac:dyDescent="0.2">
      <c r="A144" s="3"/>
      <c r="B144" s="2064" t="s">
        <v>1640</v>
      </c>
      <c r="C144" s="1440"/>
      <c r="D144" s="1440"/>
      <c r="E144" s="2099"/>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row>
    <row r="145" spans="1:81" ht="11.25" customHeight="1" x14ac:dyDescent="0.2">
      <c r="A145" s="3"/>
      <c r="B145" s="2082" t="s">
        <v>1641</v>
      </c>
      <c r="C145" s="2065"/>
      <c r="D145" s="884"/>
      <c r="E145" s="2089"/>
      <c r="F145" s="2052"/>
      <c r="G145" s="2052"/>
      <c r="H145" s="2083"/>
      <c r="I145" s="2083"/>
      <c r="J145" s="2083"/>
      <c r="K145" s="2083"/>
      <c r="L145" s="2083"/>
      <c r="M145" s="1607"/>
      <c r="N145" s="1607"/>
      <c r="O145" s="1607"/>
      <c r="P145" s="1607"/>
      <c r="Q145" s="1607"/>
      <c r="R145" s="1607"/>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row>
    <row r="146" spans="1:81" ht="11.25" customHeight="1" x14ac:dyDescent="0.2">
      <c r="A146" s="3"/>
      <c r="B146" s="2082" t="s">
        <v>1642</v>
      </c>
      <c r="C146" s="2065"/>
      <c r="D146" s="884"/>
      <c r="E146" s="2089"/>
      <c r="F146" s="2052"/>
      <c r="G146" s="2052"/>
      <c r="H146" s="2083"/>
      <c r="I146" s="2083"/>
      <c r="J146" s="2083"/>
      <c r="K146" s="2083"/>
      <c r="L146" s="2083"/>
      <c r="M146" s="1607"/>
      <c r="N146" s="1607"/>
      <c r="O146" s="1607"/>
      <c r="P146" s="1607"/>
      <c r="Q146" s="1607"/>
      <c r="R146" s="1607"/>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row>
    <row r="147" spans="1:81" ht="11.25" customHeight="1" x14ac:dyDescent="0.2">
      <c r="A147" s="3"/>
      <c r="B147" s="2082" t="s">
        <v>1643</v>
      </c>
      <c r="C147" s="2065"/>
      <c r="D147" s="884"/>
      <c r="E147" s="2089"/>
      <c r="F147" s="2052"/>
      <c r="G147" s="2052"/>
      <c r="H147" s="2083"/>
      <c r="I147" s="2083"/>
      <c r="J147" s="2083"/>
      <c r="K147" s="2083"/>
      <c r="L147" s="2083"/>
      <c r="M147" s="1607"/>
      <c r="N147" s="1607"/>
      <c r="O147" s="1607"/>
      <c r="P147" s="1607"/>
      <c r="Q147" s="1607"/>
      <c r="R147" s="1607"/>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row>
    <row r="148" spans="1:81" ht="11.25" customHeight="1" x14ac:dyDescent="0.2">
      <c r="A148" s="3"/>
      <c r="B148" s="2082" t="s">
        <v>1644</v>
      </c>
      <c r="C148" s="2065"/>
      <c r="D148" s="884"/>
      <c r="E148" s="2089"/>
      <c r="F148" s="2052"/>
      <c r="G148" s="2052"/>
      <c r="H148" s="2083"/>
      <c r="I148" s="2083"/>
      <c r="J148" s="2083"/>
      <c r="K148" s="2083"/>
      <c r="L148" s="2083"/>
      <c r="M148" s="1607"/>
      <c r="N148" s="1607"/>
      <c r="O148" s="1607"/>
      <c r="P148" s="1607"/>
      <c r="Q148" s="1607"/>
      <c r="R148" s="1607"/>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row>
    <row r="149" spans="1:81" ht="11.25" customHeight="1" x14ac:dyDescent="0.2">
      <c r="A149" s="3"/>
      <c r="B149" s="2082" t="s">
        <v>1645</v>
      </c>
      <c r="C149" s="2065"/>
      <c r="D149" s="884"/>
      <c r="E149" s="2089"/>
      <c r="F149" s="2052"/>
      <c r="G149" s="2052"/>
      <c r="H149" s="2083"/>
      <c r="I149" s="2083"/>
      <c r="J149" s="2083"/>
      <c r="K149" s="2083"/>
      <c r="L149" s="2083"/>
      <c r="M149" s="1607"/>
      <c r="N149" s="1607"/>
      <c r="O149" s="1607"/>
      <c r="P149" s="1607"/>
      <c r="Q149" s="1607"/>
      <c r="R149" s="1607"/>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row>
    <row r="150" spans="1:81" ht="11.25" customHeight="1" x14ac:dyDescent="0.2">
      <c r="A150" s="3"/>
      <c r="B150" s="2082" t="s">
        <v>1646</v>
      </c>
      <c r="C150" s="2065"/>
      <c r="D150" s="884"/>
      <c r="E150" s="2089"/>
      <c r="F150" s="2052"/>
      <c r="G150" s="2052"/>
      <c r="H150" s="2083"/>
      <c r="I150" s="2083"/>
      <c r="J150" s="2083"/>
      <c r="K150" s="2083"/>
      <c r="L150" s="2083"/>
      <c r="M150" s="1607"/>
      <c r="N150" s="1607"/>
      <c r="O150" s="1607"/>
      <c r="P150" s="1607"/>
      <c r="Q150" s="1607"/>
      <c r="R150" s="1607"/>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row>
    <row r="151" spans="1:81" ht="11.25" customHeight="1" x14ac:dyDescent="0.2">
      <c r="A151" s="3"/>
      <c r="B151" s="2082" t="s">
        <v>1647</v>
      </c>
      <c r="C151" s="2065"/>
      <c r="D151" s="884"/>
      <c r="E151" s="2089"/>
      <c r="F151" s="2052"/>
      <c r="G151" s="2052"/>
      <c r="H151" s="2083"/>
      <c r="I151" s="2084"/>
      <c r="J151" s="2083"/>
      <c r="K151" s="2083"/>
      <c r="L151" s="2083"/>
      <c r="M151" s="1607"/>
      <c r="N151" s="1607"/>
      <c r="O151" s="1607"/>
      <c r="P151" s="1607"/>
      <c r="Q151" s="1607"/>
      <c r="R151" s="1607"/>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row>
    <row r="152" spans="1:81" ht="11.25" customHeight="1" x14ac:dyDescent="0.2">
      <c r="A152" s="3"/>
      <c r="B152" s="2085" t="s">
        <v>1648</v>
      </c>
      <c r="C152" s="2086">
        <v>5.0683858558632864E-3</v>
      </c>
      <c r="D152" s="884"/>
      <c r="E152" s="2089"/>
      <c r="F152" s="2052"/>
      <c r="G152" s="2052"/>
      <c r="H152" s="2052"/>
      <c r="I152" s="2052"/>
      <c r="J152" s="2052"/>
      <c r="K152" s="2052"/>
      <c r="L152" s="2052"/>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row>
    <row r="153" spans="1:81" ht="11.25" customHeight="1" x14ac:dyDescent="0.2">
      <c r="A153" s="3"/>
      <c r="B153" s="2085" t="s">
        <v>1649</v>
      </c>
      <c r="C153" s="884"/>
      <c r="D153" s="884"/>
      <c r="E153" s="2089"/>
      <c r="F153" s="2052"/>
      <c r="G153" s="2052"/>
      <c r="H153" s="2052"/>
      <c r="I153" s="2052"/>
      <c r="J153" s="2052"/>
      <c r="K153" s="2052"/>
      <c r="L153" s="2052"/>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row>
    <row r="154" spans="1:81" ht="11.25" customHeight="1" x14ac:dyDescent="0.2">
      <c r="A154" s="3"/>
      <c r="B154" s="2100" t="s">
        <v>1650</v>
      </c>
      <c r="C154" s="2101"/>
      <c r="D154" s="2101"/>
      <c r="E154" s="2102"/>
      <c r="F154" s="2052"/>
      <c r="G154" s="2052"/>
      <c r="H154" s="2052"/>
      <c r="I154" s="2052"/>
      <c r="J154" s="2052"/>
      <c r="K154" s="2052"/>
      <c r="L154" s="2052"/>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row>
    <row r="155" spans="1:81" ht="11.25" customHeight="1" x14ac:dyDescent="0.3">
      <c r="A155" s="327"/>
      <c r="B155" s="1862"/>
      <c r="C155" s="1863"/>
      <c r="D155" s="1864"/>
      <c r="E155" s="1864"/>
      <c r="F155" s="1864"/>
      <c r="G155" s="1865"/>
      <c r="H155" s="1866"/>
      <c r="I155" s="1867"/>
      <c r="J155" s="1866"/>
      <c r="K155" s="1868"/>
      <c r="L155" s="953"/>
      <c r="M155" s="1868"/>
      <c r="N155" s="953"/>
      <c r="O155" s="953"/>
      <c r="P155" s="953"/>
      <c r="Q155" s="953"/>
      <c r="R155" s="953"/>
      <c r="S155" s="953"/>
      <c r="T155" s="953"/>
      <c r="U155" s="953"/>
    </row>
    <row r="156" spans="1:81" ht="21.75" customHeight="1" x14ac:dyDescent="0.45">
      <c r="A156" s="2049"/>
      <c r="B156" s="2103" t="s">
        <v>1652</v>
      </c>
      <c r="C156" s="2104"/>
      <c r="D156" s="2105"/>
      <c r="E156" s="2105"/>
      <c r="F156" s="2105"/>
      <c r="G156" s="2106"/>
      <c r="H156" s="1983"/>
      <c r="I156" s="1984"/>
      <c r="J156" s="1983"/>
      <c r="K156" s="1985"/>
      <c r="L156" s="1986"/>
      <c r="M156" s="1985"/>
      <c r="N156" s="1986"/>
      <c r="O156" s="1986"/>
      <c r="P156" s="1986"/>
      <c r="Q156" s="1986"/>
      <c r="R156" s="1986"/>
      <c r="S156" s="1986"/>
      <c r="T156" s="1986"/>
      <c r="U156" s="1986"/>
      <c r="V156" s="1986"/>
      <c r="W156" s="1986"/>
      <c r="X156" s="1986"/>
      <c r="Y156" s="1986"/>
      <c r="Z156" s="1986"/>
      <c r="AA156" s="1987"/>
      <c r="AH156" s="2107" t="s">
        <v>1653</v>
      </c>
    </row>
    <row r="157" spans="1:81" ht="11.25" customHeight="1" x14ac:dyDescent="0.2">
      <c r="A157" s="3"/>
      <c r="B157" s="2108"/>
      <c r="C157" s="2109"/>
      <c r="D157" s="2110"/>
      <c r="E157" s="530"/>
      <c r="F157" s="530"/>
      <c r="G157" s="530"/>
      <c r="H157" s="530"/>
      <c r="I157" s="2110"/>
      <c r="J157" s="2110"/>
      <c r="K157" s="2111"/>
      <c r="L157" s="2112"/>
      <c r="M157" s="2113" t="s">
        <v>1654</v>
      </c>
      <c r="N157" s="2113"/>
      <c r="O157" s="2114"/>
      <c r="P157" s="2115"/>
      <c r="Q157" s="2116"/>
      <c r="R157" s="1998"/>
      <c r="S157" s="1996" t="s">
        <v>1655</v>
      </c>
      <c r="T157" s="1996"/>
      <c r="U157" s="1996"/>
      <c r="V157" s="1998"/>
      <c r="W157" s="2117"/>
      <c r="X157" s="530"/>
      <c r="Y157" s="530"/>
      <c r="Z157" s="530"/>
      <c r="AA157" s="2118"/>
      <c r="AB157" s="3"/>
      <c r="AC157" s="3"/>
      <c r="AD157" s="3"/>
      <c r="AE157" s="3"/>
      <c r="AF157" s="3"/>
      <c r="AG157" s="3"/>
      <c r="AH157" s="2119" t="s">
        <v>1656</v>
      </c>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row>
    <row r="158" spans="1:81" ht="54.75" customHeight="1" x14ac:dyDescent="0.25">
      <c r="A158" s="3"/>
      <c r="B158" s="2120"/>
      <c r="C158" s="2121" t="s">
        <v>1657</v>
      </c>
      <c r="D158" s="2122"/>
      <c r="E158" s="2123" t="s">
        <v>1658</v>
      </c>
      <c r="F158" s="2124"/>
      <c r="G158" s="2123" t="s">
        <v>1659</v>
      </c>
      <c r="H158" s="2124"/>
      <c r="I158" s="2122" t="s">
        <v>1660</v>
      </c>
      <c r="J158" s="2125"/>
      <c r="K158" s="2126" t="s">
        <v>1661</v>
      </c>
      <c r="L158" s="2127"/>
      <c r="M158" s="2128" t="s">
        <v>1662</v>
      </c>
      <c r="N158" s="1994"/>
      <c r="O158" s="2001" t="s">
        <v>1663</v>
      </c>
      <c r="P158" s="2129"/>
      <c r="Q158" s="2126" t="s">
        <v>1664</v>
      </c>
      <c r="R158" s="2127"/>
      <c r="S158" s="1994" t="s">
        <v>1665</v>
      </c>
      <c r="T158" s="1994"/>
      <c r="U158" s="1994" t="s">
        <v>1666</v>
      </c>
      <c r="V158" s="2127"/>
      <c r="W158" s="2001" t="s">
        <v>1667</v>
      </c>
      <c r="X158" s="2130"/>
      <c r="Y158" s="2131"/>
      <c r="Z158" s="2124"/>
      <c r="AA158" s="2132"/>
      <c r="AB158" s="3"/>
      <c r="AC158" s="3"/>
      <c r="AD158" s="3"/>
      <c r="AE158" s="3"/>
      <c r="AF158" s="3"/>
      <c r="AG158" s="3"/>
      <c r="AH158" s="2998" t="s">
        <v>1668</v>
      </c>
      <c r="AI158" s="2999"/>
      <c r="AJ158" s="2999"/>
      <c r="AK158" s="2999"/>
      <c r="AL158" s="2999"/>
      <c r="AM158" s="2999"/>
      <c r="AN158" s="2999"/>
      <c r="AO158" s="143"/>
      <c r="AP158" s="2998" t="s">
        <v>1669</v>
      </c>
      <c r="AQ158" s="2999"/>
      <c r="AR158" s="2999"/>
      <c r="AS158" s="2999"/>
      <c r="AT158" s="143"/>
      <c r="AU158" s="2998" t="s">
        <v>1670</v>
      </c>
      <c r="AV158" s="2999"/>
      <c r="AW158" s="143"/>
      <c r="AX158" s="2998" t="s">
        <v>1671</v>
      </c>
      <c r="AY158" s="2999"/>
      <c r="AZ158" s="143"/>
      <c r="BA158" s="3000" t="s">
        <v>1541</v>
      </c>
      <c r="BB158" s="2943"/>
      <c r="BC158" s="2943"/>
      <c r="BD158" s="2943"/>
      <c r="BE158" s="2943"/>
      <c r="BF158" s="2943"/>
      <c r="BG158" s="327"/>
      <c r="BH158" s="3000" t="s">
        <v>1563</v>
      </c>
      <c r="BI158" s="2943"/>
      <c r="BJ158" s="2943"/>
      <c r="BK158" s="2943"/>
      <c r="BL158" s="2943"/>
      <c r="BM158" s="327"/>
      <c r="BN158" s="3001" t="s">
        <v>1567</v>
      </c>
      <c r="BO158" s="2999"/>
      <c r="BP158" s="2133"/>
      <c r="BQ158" s="3002" t="s">
        <v>1568</v>
      </c>
      <c r="BR158" s="2943"/>
      <c r="BS158" s="2943"/>
      <c r="BT158" s="327"/>
      <c r="BU158" s="3001" t="s">
        <v>1539</v>
      </c>
      <c r="BV158" s="2999"/>
      <c r="BW158" s="2999"/>
      <c r="BX158" s="2133"/>
      <c r="BY158" s="3001" t="s">
        <v>1540</v>
      </c>
      <c r="BZ158" s="2999"/>
      <c r="CA158" s="327"/>
      <c r="CB158" s="2994" t="s">
        <v>1542</v>
      </c>
      <c r="CC158" s="2995"/>
    </row>
    <row r="159" spans="1:81" ht="14.25" customHeight="1" x14ac:dyDescent="0.25">
      <c r="A159" s="3"/>
      <c r="B159" s="2134" t="s">
        <v>1526</v>
      </c>
      <c r="C159" s="2135"/>
      <c r="D159" s="2136"/>
      <c r="E159" s="2137"/>
      <c r="F159" s="2137"/>
      <c r="G159" s="2137"/>
      <c r="H159" s="2137"/>
      <c r="I159" s="2138"/>
      <c r="J159" s="2139"/>
      <c r="K159" s="2138"/>
      <c r="L159" s="2139"/>
      <c r="M159" s="2140"/>
      <c r="N159" s="2140"/>
      <c r="O159" s="2139"/>
      <c r="P159" s="2139"/>
      <c r="Q159" s="2141"/>
      <c r="R159" s="2141"/>
      <c r="S159" s="2142"/>
      <c r="T159" s="2142"/>
      <c r="U159" s="2141"/>
      <c r="V159" s="2141"/>
      <c r="W159" s="2143"/>
      <c r="X159" s="2144"/>
      <c r="Y159" s="2144"/>
      <c r="Z159" s="2144"/>
      <c r="AA159" s="2145"/>
      <c r="AB159" s="3"/>
      <c r="AC159" s="3"/>
      <c r="AD159" s="3"/>
      <c r="AE159" s="3"/>
      <c r="AF159" s="3"/>
      <c r="AG159" s="3"/>
      <c r="AH159" s="2146" t="s">
        <v>1672</v>
      </c>
      <c r="AI159" s="2147" t="s">
        <v>1673</v>
      </c>
      <c r="AJ159" s="2147" t="s">
        <v>1674</v>
      </c>
      <c r="AK159" s="2147" t="s">
        <v>1675</v>
      </c>
      <c r="AL159" s="2147" t="s">
        <v>1676</v>
      </c>
      <c r="AM159" s="2147" t="s">
        <v>1677</v>
      </c>
      <c r="AN159" s="2148" t="s">
        <v>1678</v>
      </c>
      <c r="AO159" s="143"/>
      <c r="AP159" s="2149" t="s">
        <v>1672</v>
      </c>
      <c r="AQ159" s="2147" t="s">
        <v>1679</v>
      </c>
      <c r="AR159" s="2147" t="s">
        <v>1680</v>
      </c>
      <c r="AS159" s="2148" t="s">
        <v>1675</v>
      </c>
      <c r="AT159" s="143"/>
      <c r="AU159" s="2149" t="s">
        <v>1681</v>
      </c>
      <c r="AV159" s="2148" t="s">
        <v>1682</v>
      </c>
      <c r="AW159" s="143"/>
      <c r="AX159" s="2149" t="s">
        <v>1681</v>
      </c>
      <c r="AY159" s="2148" t="s">
        <v>1677</v>
      </c>
      <c r="AZ159" s="143"/>
      <c r="BA159" s="2150" t="s">
        <v>1672</v>
      </c>
      <c r="BB159" s="2147" t="s">
        <v>1677</v>
      </c>
      <c r="BC159" s="2147" t="s">
        <v>1676</v>
      </c>
      <c r="BD159" s="2147" t="s">
        <v>1674</v>
      </c>
      <c r="BE159" s="2147" t="s">
        <v>1673</v>
      </c>
      <c r="BF159" s="2148" t="s">
        <v>1678</v>
      </c>
      <c r="BG159" s="2107"/>
      <c r="BH159" s="2150" t="s">
        <v>1672</v>
      </c>
      <c r="BI159" s="2147" t="s">
        <v>1676</v>
      </c>
      <c r="BJ159" s="2147" t="s">
        <v>1674</v>
      </c>
      <c r="BK159" s="2147" t="s">
        <v>1673</v>
      </c>
      <c r="BL159" s="2148" t="s">
        <v>1683</v>
      </c>
      <c r="BM159" s="2107"/>
      <c r="BN159" s="2149" t="s">
        <v>61</v>
      </c>
      <c r="BO159" s="2148" t="s">
        <v>66</v>
      </c>
      <c r="BP159" s="2151"/>
      <c r="BQ159" s="2149" t="s">
        <v>61</v>
      </c>
      <c r="BR159" s="2152" t="s">
        <v>66</v>
      </c>
      <c r="BS159" s="2153" t="s">
        <v>1684</v>
      </c>
      <c r="BT159" s="327"/>
      <c r="BU159" s="2154" t="s">
        <v>1672</v>
      </c>
      <c r="BV159" s="2155" t="s">
        <v>1685</v>
      </c>
      <c r="BW159" s="2156" t="s">
        <v>1686</v>
      </c>
      <c r="BX159" s="2157"/>
      <c r="BY159" s="2149" t="s">
        <v>1681</v>
      </c>
      <c r="BZ159" s="2153" t="s">
        <v>1687</v>
      </c>
      <c r="CA159" s="327"/>
      <c r="CB159" s="2149" t="s">
        <v>1681</v>
      </c>
      <c r="CC159" s="2153" t="s">
        <v>1687</v>
      </c>
    </row>
    <row r="160" spans="1:81" ht="11.25" customHeight="1" x14ac:dyDescent="0.3">
      <c r="A160" s="3"/>
      <c r="B160" s="2158" t="s">
        <v>1527</v>
      </c>
      <c r="C160" s="1889">
        <v>42</v>
      </c>
      <c r="D160" s="493"/>
      <c r="E160" s="2159">
        <v>680</v>
      </c>
      <c r="F160" s="602"/>
      <c r="G160" s="493">
        <v>147.49</v>
      </c>
      <c r="H160" s="602"/>
      <c r="I160" s="1440">
        <f t="shared" ref="I160:I161" si="60">C160*1000*G160</f>
        <v>6194580</v>
      </c>
      <c r="J160" s="493"/>
      <c r="K160" s="1440">
        <f t="shared" ref="K160:K161" si="61">(I160*0.2*0.01)/1000</f>
        <v>12.38916</v>
      </c>
      <c r="L160" s="602"/>
      <c r="M160" s="884">
        <f>I160*(AI160+AJ160+AL160+AN160)</f>
        <v>4583989.2</v>
      </c>
      <c r="N160" s="602"/>
      <c r="O160" s="884">
        <f>I160*(AM160)</f>
        <v>1300861.8</v>
      </c>
      <c r="P160" s="884"/>
      <c r="Q160" s="884">
        <f>I160*(AK160)</f>
        <v>247783.2</v>
      </c>
      <c r="R160" s="884"/>
      <c r="S160" s="2160">
        <f t="shared" ref="S160:S161" si="62">((M160+Q160)*(1-0.2)*0.0125)/1000</f>
        <v>48.317724000000013</v>
      </c>
      <c r="T160" s="884"/>
      <c r="U160" s="2089">
        <f t="shared" ref="U160:U161" si="63">(O160*0.02)/1000</f>
        <v>26.017236</v>
      </c>
      <c r="V160" s="492"/>
      <c r="W160" s="2161">
        <f>K128</f>
        <v>860612.14000000013</v>
      </c>
      <c r="X160" s="602" t="s">
        <v>1688</v>
      </c>
      <c r="Y160" s="602"/>
      <c r="Z160" s="602"/>
      <c r="AA160" s="1459"/>
      <c r="AB160" s="3"/>
      <c r="AC160" s="3"/>
      <c r="AD160" s="3"/>
      <c r="AE160" s="3"/>
      <c r="AF160" s="3"/>
      <c r="AG160" s="3"/>
      <c r="AH160" s="2162" t="s">
        <v>1689</v>
      </c>
      <c r="AI160" s="2163">
        <v>0.23</v>
      </c>
      <c r="AJ160" s="2163">
        <v>0.06</v>
      </c>
      <c r="AK160" s="2163">
        <v>0.04</v>
      </c>
      <c r="AL160" s="2163">
        <v>0.16</v>
      </c>
      <c r="AM160" s="2163">
        <v>0.21</v>
      </c>
      <c r="AN160" s="2164">
        <v>0.28999999999999998</v>
      </c>
      <c r="AO160" s="143"/>
      <c r="AP160" s="2165" t="s">
        <v>1689</v>
      </c>
      <c r="AQ160" s="2163">
        <f>1-SUM(AR160:AS160)</f>
        <v>0.49023125518227884</v>
      </c>
      <c r="AR160" s="2163">
        <v>6.5960402236453913E-2</v>
      </c>
      <c r="AS160" s="2164">
        <v>0.44380834258126728</v>
      </c>
      <c r="AT160" s="143"/>
      <c r="AU160" s="2165" t="s">
        <v>1689</v>
      </c>
      <c r="AV160" s="2166">
        <v>1</v>
      </c>
      <c r="AW160" s="143"/>
      <c r="AX160" s="2165" t="s">
        <v>1689</v>
      </c>
      <c r="AY160" s="2166">
        <v>1</v>
      </c>
      <c r="AZ160" s="143"/>
      <c r="BA160" s="2165" t="s">
        <v>1689</v>
      </c>
      <c r="BB160" s="2167">
        <v>0.37</v>
      </c>
      <c r="BC160" s="2163">
        <v>0</v>
      </c>
      <c r="BD160" s="2163">
        <v>0.1</v>
      </c>
      <c r="BE160" s="2163">
        <v>0.02</v>
      </c>
      <c r="BF160" s="2164">
        <v>0.44</v>
      </c>
      <c r="BG160" s="327"/>
      <c r="BH160" s="2168" t="s">
        <v>1689</v>
      </c>
      <c r="BI160" s="2163">
        <v>0</v>
      </c>
      <c r="BJ160" s="2163">
        <v>0</v>
      </c>
      <c r="BK160" s="2163">
        <v>0.05</v>
      </c>
      <c r="BL160" s="2164">
        <v>0.95</v>
      </c>
      <c r="BM160" s="3"/>
      <c r="BN160" s="2169" t="s">
        <v>1690</v>
      </c>
      <c r="BO160" s="2170">
        <v>1</v>
      </c>
      <c r="BP160" s="3"/>
      <c r="BQ160" s="2171" t="s">
        <v>1690</v>
      </c>
      <c r="BR160" s="2172">
        <v>0.99</v>
      </c>
      <c r="BS160" s="2173">
        <v>0.01</v>
      </c>
      <c r="BT160" s="3"/>
      <c r="BU160" s="2171" t="s">
        <v>1690</v>
      </c>
      <c r="BV160" s="2174">
        <v>0.71</v>
      </c>
      <c r="BW160" s="2170">
        <v>0.28999999999999998</v>
      </c>
      <c r="BX160" s="3"/>
      <c r="BY160" s="2171" t="s">
        <v>1690</v>
      </c>
      <c r="BZ160" s="2173">
        <v>1</v>
      </c>
      <c r="CA160" s="3"/>
      <c r="CB160" s="2171" t="s">
        <v>1690</v>
      </c>
      <c r="CC160" s="2173">
        <v>1</v>
      </c>
    </row>
    <row r="161" spans="1:81" ht="11.25" customHeight="1" x14ac:dyDescent="0.3">
      <c r="A161" s="3"/>
      <c r="B161" s="2082" t="s">
        <v>1528</v>
      </c>
      <c r="C161" s="1889">
        <v>26</v>
      </c>
      <c r="D161" s="493"/>
      <c r="E161" s="2159">
        <v>407</v>
      </c>
      <c r="F161" s="602"/>
      <c r="G161" s="493">
        <v>68.87</v>
      </c>
      <c r="H161" s="602"/>
      <c r="I161" s="1440">
        <f t="shared" si="60"/>
        <v>1790620.0000000002</v>
      </c>
      <c r="J161" s="493"/>
      <c r="K161" s="1440">
        <f t="shared" si="61"/>
        <v>3.5812400000000006</v>
      </c>
      <c r="L161" s="602"/>
      <c r="M161" s="884">
        <f>I161*(AQ160)</f>
        <v>877817.89015449223</v>
      </c>
      <c r="N161" s="602"/>
      <c r="O161" s="884">
        <f>I161*(AR160)</f>
        <v>118110.01545263913</v>
      </c>
      <c r="P161" s="602"/>
      <c r="Q161" s="884">
        <f>I161*(AS160)</f>
        <v>794692.09439286892</v>
      </c>
      <c r="R161" s="884"/>
      <c r="S161" s="2160">
        <f t="shared" si="62"/>
        <v>16.725099845473615</v>
      </c>
      <c r="T161" s="884"/>
      <c r="U161" s="2089">
        <f t="shared" si="63"/>
        <v>2.362200309052783</v>
      </c>
      <c r="V161" s="492"/>
      <c r="W161" s="2175">
        <f>K127</f>
        <v>23492832.300000001</v>
      </c>
      <c r="X161" s="2091" t="s">
        <v>1691</v>
      </c>
      <c r="Y161" s="2176"/>
      <c r="Z161" s="2091"/>
      <c r="AA161" s="2177"/>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row>
    <row r="162" spans="1:81" ht="11.25" customHeight="1" x14ac:dyDescent="0.2">
      <c r="A162" s="3"/>
      <c r="B162" s="2178" t="s">
        <v>1531</v>
      </c>
      <c r="C162" s="2179"/>
      <c r="D162" s="2180"/>
      <c r="E162" s="2181"/>
      <c r="F162" s="2144"/>
      <c r="G162" s="2180"/>
      <c r="H162" s="2144"/>
      <c r="I162" s="2182"/>
      <c r="J162" s="2180"/>
      <c r="K162" s="2182"/>
      <c r="L162" s="2144"/>
      <c r="M162" s="2183"/>
      <c r="N162" s="2144"/>
      <c r="O162" s="2144"/>
      <c r="P162" s="2144"/>
      <c r="Q162" s="2144"/>
      <c r="R162" s="2183"/>
      <c r="S162" s="2184"/>
      <c r="T162" s="2144"/>
      <c r="U162" s="2145"/>
      <c r="V162" s="492"/>
      <c r="W162" s="2185">
        <f>SUM(W160:W161)/1000*0.3</f>
        <v>7306.0333320000009</v>
      </c>
      <c r="X162" s="1995" t="s">
        <v>1692</v>
      </c>
      <c r="Y162" s="1998"/>
      <c r="Z162" s="1998"/>
      <c r="AA162" s="2117"/>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row>
    <row r="163" spans="1:81" ht="11.25" customHeight="1" x14ac:dyDescent="0.2">
      <c r="A163" s="3"/>
      <c r="B163" s="2082" t="s">
        <v>1536</v>
      </c>
      <c r="C163" s="1847">
        <v>3.9119999999999999</v>
      </c>
      <c r="D163" s="493"/>
      <c r="E163" s="2159">
        <v>444</v>
      </c>
      <c r="F163" s="602"/>
      <c r="G163" s="493">
        <v>55.79</v>
      </c>
      <c r="H163" s="602"/>
      <c r="I163" s="1440">
        <f t="shared" ref="I163:I169" si="64">C163*1000*G163</f>
        <v>218250.48</v>
      </c>
      <c r="J163" s="493"/>
      <c r="K163" s="1440">
        <f t="shared" ref="K163:K169" si="65">(I163*0.2*0.01)/1000</f>
        <v>0.4365009600000001</v>
      </c>
      <c r="L163" s="602"/>
      <c r="M163" s="884">
        <f>I163*(AV160)</f>
        <v>218250.48</v>
      </c>
      <c r="N163" s="602"/>
      <c r="O163" s="493" t="s">
        <v>772</v>
      </c>
      <c r="P163" s="2186"/>
      <c r="Q163" s="493" t="s">
        <v>772</v>
      </c>
      <c r="R163" s="884"/>
      <c r="S163" s="2160">
        <f t="shared" ref="S163:S164" si="66">((M163)*(1-0.2)*0.0125)/1000</f>
        <v>2.1825048000000002</v>
      </c>
      <c r="T163" s="884"/>
      <c r="U163" s="494" t="s">
        <v>772</v>
      </c>
      <c r="V163" s="2187"/>
      <c r="W163" s="2188"/>
      <c r="X163" s="64"/>
      <c r="Y163" s="64"/>
      <c r="Z163" s="64"/>
      <c r="AA163" s="2189"/>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row>
    <row r="164" spans="1:81" ht="11.25" customHeight="1" x14ac:dyDescent="0.2">
      <c r="A164" s="3"/>
      <c r="B164" s="2082" t="s">
        <v>1537</v>
      </c>
      <c r="C164" s="1847">
        <v>7.3949999999999996</v>
      </c>
      <c r="D164" s="493"/>
      <c r="E164" s="2159">
        <v>471</v>
      </c>
      <c r="F164" s="602"/>
      <c r="G164" s="493">
        <v>57.07</v>
      </c>
      <c r="H164" s="602"/>
      <c r="I164" s="1440">
        <f t="shared" si="64"/>
        <v>422032.65</v>
      </c>
      <c r="J164" s="493"/>
      <c r="K164" s="1440">
        <f t="shared" si="65"/>
        <v>0.84406530000000024</v>
      </c>
      <c r="L164" s="602"/>
      <c r="M164" s="884">
        <f>I164*AV160</f>
        <v>422032.65</v>
      </c>
      <c r="N164" s="602"/>
      <c r="O164" s="493" t="s">
        <v>772</v>
      </c>
      <c r="P164" s="2186"/>
      <c r="Q164" s="493" t="s">
        <v>772</v>
      </c>
      <c r="R164" s="884"/>
      <c r="S164" s="2160">
        <f t="shared" si="66"/>
        <v>4.2203265000000014</v>
      </c>
      <c r="T164" s="884"/>
      <c r="U164" s="494" t="s">
        <v>772</v>
      </c>
      <c r="V164" s="2187"/>
      <c r="W164" s="2190">
        <f>I188</f>
        <v>35592637.130000003</v>
      </c>
      <c r="X164" s="2091" t="s">
        <v>1693</v>
      </c>
      <c r="Y164" s="2176"/>
      <c r="Z164" s="2091"/>
      <c r="AA164" s="2177"/>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row>
    <row r="165" spans="1:81" ht="11.25" customHeight="1" x14ac:dyDescent="0.3">
      <c r="A165" s="3"/>
      <c r="B165" s="2082" t="s">
        <v>1538</v>
      </c>
      <c r="C165" s="1889">
        <v>3.5</v>
      </c>
      <c r="D165" s="493"/>
      <c r="E165" s="2159">
        <v>916</v>
      </c>
      <c r="F165" s="602"/>
      <c r="G165" s="493">
        <v>84.21</v>
      </c>
      <c r="H165" s="602"/>
      <c r="I165" s="1440">
        <f t="shared" si="64"/>
        <v>294735</v>
      </c>
      <c r="J165" s="493"/>
      <c r="K165" s="1440">
        <f t="shared" si="65"/>
        <v>0.58947000000000005</v>
      </c>
      <c r="L165" s="602"/>
      <c r="M165" s="1440" t="s">
        <v>772</v>
      </c>
      <c r="N165" s="602"/>
      <c r="O165" s="2191">
        <f t="shared" ref="O165:O169" si="67">I165*(AY$160)</f>
        <v>294735</v>
      </c>
      <c r="P165" s="2186"/>
      <c r="Q165" s="493" t="s">
        <v>772</v>
      </c>
      <c r="R165" s="884"/>
      <c r="S165" s="1440" t="s">
        <v>772</v>
      </c>
      <c r="T165" s="884"/>
      <c r="U165" s="2089">
        <f t="shared" ref="U165:U169" si="68">(O165*0.02)/1000</f>
        <v>5.8946999999999994</v>
      </c>
      <c r="V165" s="492"/>
      <c r="W165" s="2185">
        <f>(W164*(1-0)/1000*0.3)</f>
        <v>10677.791139000001</v>
      </c>
      <c r="X165" s="1995" t="s">
        <v>1694</v>
      </c>
      <c r="Y165" s="1998"/>
      <c r="Z165" s="1998"/>
      <c r="AA165" s="2117"/>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row>
    <row r="166" spans="1:81" ht="11.25" customHeight="1" x14ac:dyDescent="0.3">
      <c r="A166" s="3"/>
      <c r="B166" s="2082" t="s">
        <v>1556</v>
      </c>
      <c r="C166" s="1889">
        <v>30</v>
      </c>
      <c r="D166" s="493"/>
      <c r="E166" s="2159">
        <v>123</v>
      </c>
      <c r="F166" s="602"/>
      <c r="G166" s="493">
        <v>20.13</v>
      </c>
      <c r="H166" s="602"/>
      <c r="I166" s="1440">
        <f t="shared" si="64"/>
        <v>603900</v>
      </c>
      <c r="J166" s="493"/>
      <c r="K166" s="1440">
        <f t="shared" si="65"/>
        <v>1.2078</v>
      </c>
      <c r="L166" s="602"/>
      <c r="M166" s="1440" t="s">
        <v>772</v>
      </c>
      <c r="N166" s="602"/>
      <c r="O166" s="2191">
        <f t="shared" si="67"/>
        <v>603900</v>
      </c>
      <c r="P166" s="2186"/>
      <c r="Q166" s="493" t="s">
        <v>772</v>
      </c>
      <c r="R166" s="884"/>
      <c r="S166" s="1440" t="s">
        <v>772</v>
      </c>
      <c r="T166" s="884"/>
      <c r="U166" s="2089">
        <f t="shared" si="68"/>
        <v>12.077999999999999</v>
      </c>
      <c r="V166" s="492"/>
      <c r="W166" s="2192"/>
      <c r="X166" s="2193"/>
      <c r="Y166" s="2194"/>
      <c r="Z166" s="2193"/>
      <c r="AA166" s="2195"/>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row>
    <row r="167" spans="1:81" ht="11.25" customHeight="1" x14ac:dyDescent="0.3">
      <c r="A167" s="3"/>
      <c r="B167" s="2082" t="s">
        <v>1532</v>
      </c>
      <c r="C167" s="1889">
        <v>47</v>
      </c>
      <c r="D167" s="493"/>
      <c r="E167" s="2159">
        <v>611</v>
      </c>
      <c r="F167" s="602"/>
      <c r="G167" s="493">
        <v>74.3</v>
      </c>
      <c r="H167" s="602"/>
      <c r="I167" s="1440">
        <f t="shared" si="64"/>
        <v>3492100</v>
      </c>
      <c r="J167" s="493"/>
      <c r="K167" s="1440">
        <f t="shared" si="65"/>
        <v>6.9841999999999995</v>
      </c>
      <c r="L167" s="602"/>
      <c r="M167" s="1440" t="s">
        <v>772</v>
      </c>
      <c r="N167" s="602"/>
      <c r="O167" s="2191">
        <f t="shared" si="67"/>
        <v>3492100</v>
      </c>
      <c r="P167" s="2186"/>
      <c r="Q167" s="493" t="s">
        <v>772</v>
      </c>
      <c r="R167" s="884"/>
      <c r="S167" s="1440" t="s">
        <v>772</v>
      </c>
      <c r="T167" s="884"/>
      <c r="U167" s="2089">
        <f t="shared" si="68"/>
        <v>69.841999999999999</v>
      </c>
      <c r="V167" s="492"/>
      <c r="W167" s="2185">
        <f>SUM(W162,W165)*0.0075</f>
        <v>134.87868353249999</v>
      </c>
      <c r="X167" s="1995" t="s">
        <v>1695</v>
      </c>
      <c r="Y167" s="1998"/>
      <c r="Z167" s="1998"/>
      <c r="AA167" s="2117"/>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row>
    <row r="168" spans="1:81" ht="11.25" customHeight="1" x14ac:dyDescent="0.3">
      <c r="A168" s="3"/>
      <c r="B168" s="2082" t="s">
        <v>1535</v>
      </c>
      <c r="C168" s="1889">
        <v>11.5</v>
      </c>
      <c r="D168" s="493"/>
      <c r="E168" s="2159">
        <v>406</v>
      </c>
      <c r="F168" s="602"/>
      <c r="G168" s="493">
        <v>42.47</v>
      </c>
      <c r="H168" s="602"/>
      <c r="I168" s="1440">
        <f t="shared" si="64"/>
        <v>488405</v>
      </c>
      <c r="J168" s="493"/>
      <c r="K168" s="1440">
        <f t="shared" si="65"/>
        <v>0.97681000000000007</v>
      </c>
      <c r="L168" s="602"/>
      <c r="M168" s="1440" t="s">
        <v>772</v>
      </c>
      <c r="N168" s="602"/>
      <c r="O168" s="2191">
        <f t="shared" si="67"/>
        <v>488405</v>
      </c>
      <c r="P168" s="2186"/>
      <c r="Q168" s="493" t="s">
        <v>772</v>
      </c>
      <c r="R168" s="884"/>
      <c r="S168" s="1440" t="s">
        <v>772</v>
      </c>
      <c r="T168" s="884"/>
      <c r="U168" s="2089">
        <f t="shared" si="68"/>
        <v>9.7681000000000004</v>
      </c>
      <c r="V168" s="492"/>
      <c r="W168" s="2196"/>
      <c r="X168" s="2197"/>
      <c r="Y168" s="2197"/>
      <c r="Z168" s="2197"/>
      <c r="AA168" s="2198"/>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row>
    <row r="169" spans="1:81" ht="11.25" customHeight="1" x14ac:dyDescent="0.2">
      <c r="A169" s="3"/>
      <c r="B169" s="2082" t="s">
        <v>1696</v>
      </c>
      <c r="C169" s="2199">
        <f>10+11</f>
        <v>21</v>
      </c>
      <c r="D169" s="493"/>
      <c r="E169" s="2159">
        <v>406</v>
      </c>
      <c r="F169" s="602"/>
      <c r="G169" s="493">
        <v>50.68</v>
      </c>
      <c r="H169" s="602"/>
      <c r="I169" s="1440">
        <f t="shared" si="64"/>
        <v>1064280</v>
      </c>
      <c r="J169" s="493"/>
      <c r="K169" s="1440">
        <f t="shared" si="65"/>
        <v>2.1285599999999998</v>
      </c>
      <c r="L169" s="602"/>
      <c r="M169" s="1440" t="s">
        <v>772</v>
      </c>
      <c r="N169" s="602"/>
      <c r="O169" s="2191">
        <f t="shared" si="67"/>
        <v>1064280</v>
      </c>
      <c r="P169" s="2186"/>
      <c r="Q169" s="493" t="s">
        <v>772</v>
      </c>
      <c r="R169" s="884"/>
      <c r="S169" s="1440" t="s">
        <v>772</v>
      </c>
      <c r="T169" s="884"/>
      <c r="U169" s="2089">
        <f t="shared" si="68"/>
        <v>21.285600000000002</v>
      </c>
      <c r="V169" s="2200"/>
      <c r="W169" s="2201"/>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row>
    <row r="170" spans="1:81" ht="11.25" customHeight="1" x14ac:dyDescent="0.2">
      <c r="A170" s="3"/>
      <c r="B170" s="2178" t="s">
        <v>1541</v>
      </c>
      <c r="C170" s="2179"/>
      <c r="D170" s="2180"/>
      <c r="E170" s="2181"/>
      <c r="F170" s="2144"/>
      <c r="G170" s="2180"/>
      <c r="H170" s="2144"/>
      <c r="I170" s="2182"/>
      <c r="J170" s="2180"/>
      <c r="K170" s="2182"/>
      <c r="L170" s="2144"/>
      <c r="M170" s="2144"/>
      <c r="N170" s="2144"/>
      <c r="O170" s="2144"/>
      <c r="P170" s="2144"/>
      <c r="Q170" s="2144"/>
      <c r="R170" s="2183"/>
      <c r="S170" s="2180"/>
      <c r="T170" s="2144"/>
      <c r="U170" s="2145"/>
      <c r="V170" s="2200"/>
      <c r="W170" s="2201"/>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row>
    <row r="171" spans="1:81" ht="11.25" customHeight="1" x14ac:dyDescent="0.3">
      <c r="A171" s="3"/>
      <c r="B171" s="2082" t="s">
        <v>1557</v>
      </c>
      <c r="C171" s="1889">
        <v>3</v>
      </c>
      <c r="D171" s="493"/>
      <c r="E171" s="2159">
        <v>198</v>
      </c>
      <c r="F171" s="602"/>
      <c r="G171" s="493">
        <v>14.63</v>
      </c>
      <c r="H171" s="602"/>
      <c r="I171" s="1440">
        <f t="shared" ref="I171:I175" si="69">C171*1000*G171</f>
        <v>43890</v>
      </c>
      <c r="J171" s="493"/>
      <c r="K171" s="1440">
        <f t="shared" ref="K171:K175" si="70">(I171*0.2*0.01)/1000</f>
        <v>8.7779999999999997E-2</v>
      </c>
      <c r="L171" s="602"/>
      <c r="M171" s="884">
        <f>I171*(BC160+BD160+BE160+BF160)</f>
        <v>24578.400000000001</v>
      </c>
      <c r="N171" s="602"/>
      <c r="O171" s="884">
        <f t="shared" ref="O171:O175" si="71">I171*(BB$160)</f>
        <v>16239.3</v>
      </c>
      <c r="P171" s="602"/>
      <c r="Q171" s="493" t="s">
        <v>772</v>
      </c>
      <c r="R171" s="884"/>
      <c r="S171" s="2160">
        <f t="shared" ref="S171:S175" si="72">((M171)*(1-0.2)*0.0125)/1000</f>
        <v>0.24578400000000003</v>
      </c>
      <c r="T171" s="884"/>
      <c r="U171" s="2089">
        <f t="shared" ref="U171:U175" si="73">(O171*0.02)/1000</f>
        <v>0.32478600000000002</v>
      </c>
      <c r="V171" s="2202"/>
      <c r="W171" s="2201"/>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row>
    <row r="172" spans="1:81" ht="11.25" customHeight="1" x14ac:dyDescent="0.3">
      <c r="A172" s="3"/>
      <c r="B172" s="2082" t="s">
        <v>1558</v>
      </c>
      <c r="C172" s="1889">
        <v>4</v>
      </c>
      <c r="D172" s="493"/>
      <c r="E172" s="2159">
        <v>15.88</v>
      </c>
      <c r="F172" s="602"/>
      <c r="G172" s="493">
        <v>5.33</v>
      </c>
      <c r="H172" s="602"/>
      <c r="I172" s="1440">
        <f t="shared" si="69"/>
        <v>21320</v>
      </c>
      <c r="J172" s="493"/>
      <c r="K172" s="1440">
        <f t="shared" si="70"/>
        <v>4.2639999999999997E-2</v>
      </c>
      <c r="L172" s="602"/>
      <c r="M172" s="884">
        <f>I172*(BC160+BD160+BE160+BF160)</f>
        <v>11939.2</v>
      </c>
      <c r="N172" s="602"/>
      <c r="O172" s="884">
        <f t="shared" si="71"/>
        <v>7888.4</v>
      </c>
      <c r="P172" s="602"/>
      <c r="Q172" s="493" t="s">
        <v>772</v>
      </c>
      <c r="R172" s="884"/>
      <c r="S172" s="2160">
        <f t="shared" si="72"/>
        <v>0.11939200000000001</v>
      </c>
      <c r="T172" s="884"/>
      <c r="U172" s="2089">
        <f t="shared" si="73"/>
        <v>0.15776799999999999</v>
      </c>
      <c r="V172" s="2203"/>
      <c r="W172" s="2201"/>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row>
    <row r="173" spans="1:81" ht="11.25" customHeight="1" x14ac:dyDescent="0.3">
      <c r="A173" s="3"/>
      <c r="B173" s="2082" t="s">
        <v>1559</v>
      </c>
      <c r="C173" s="1957">
        <v>4</v>
      </c>
      <c r="D173" s="493"/>
      <c r="E173" s="2159">
        <v>40.6</v>
      </c>
      <c r="F173" s="602"/>
      <c r="G173" s="493">
        <v>8</v>
      </c>
      <c r="H173" s="602"/>
      <c r="I173" s="1440">
        <f t="shared" si="69"/>
        <v>32000</v>
      </c>
      <c r="J173" s="493"/>
      <c r="K173" s="1440">
        <f t="shared" si="70"/>
        <v>6.4000000000000001E-2</v>
      </c>
      <c r="L173" s="602"/>
      <c r="M173" s="884">
        <f>I173*(BC160+BD160+BE160+BF160)</f>
        <v>17920</v>
      </c>
      <c r="N173" s="602"/>
      <c r="O173" s="884">
        <f t="shared" si="71"/>
        <v>11840</v>
      </c>
      <c r="P173" s="602"/>
      <c r="Q173" s="493" t="s">
        <v>772</v>
      </c>
      <c r="R173" s="884"/>
      <c r="S173" s="2160">
        <f t="shared" si="72"/>
        <v>0.17920000000000003</v>
      </c>
      <c r="T173" s="884"/>
      <c r="U173" s="2089">
        <f t="shared" si="73"/>
        <v>0.23680000000000001</v>
      </c>
      <c r="V173" s="2202"/>
      <c r="W173" s="2201"/>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row>
    <row r="174" spans="1:81" ht="11.25" customHeight="1" x14ac:dyDescent="0.3">
      <c r="A174" s="3"/>
      <c r="B174" s="2082" t="s">
        <v>1560</v>
      </c>
      <c r="C174" s="1889">
        <v>3.5</v>
      </c>
      <c r="D174" s="493"/>
      <c r="E174" s="2159">
        <v>67.819999999999993</v>
      </c>
      <c r="F174" s="602"/>
      <c r="G174" s="493">
        <v>13.37</v>
      </c>
      <c r="H174" s="602"/>
      <c r="I174" s="1440">
        <f t="shared" si="69"/>
        <v>46795</v>
      </c>
      <c r="J174" s="493"/>
      <c r="K174" s="1440">
        <f t="shared" si="70"/>
        <v>9.3590000000000007E-2</v>
      </c>
      <c r="L174" s="602"/>
      <c r="M174" s="884">
        <f>I174*(BC160+BD160+BE160+BF160)</f>
        <v>26205.200000000001</v>
      </c>
      <c r="N174" s="602"/>
      <c r="O174" s="884">
        <f t="shared" si="71"/>
        <v>17314.150000000001</v>
      </c>
      <c r="P174" s="602"/>
      <c r="Q174" s="493" t="s">
        <v>772</v>
      </c>
      <c r="R174" s="884"/>
      <c r="S174" s="2160">
        <f t="shared" si="72"/>
        <v>0.26205200000000006</v>
      </c>
      <c r="T174" s="884"/>
      <c r="U174" s="2089">
        <f t="shared" si="73"/>
        <v>0.34628300000000001</v>
      </c>
      <c r="V174" s="2200"/>
      <c r="W174" s="2201"/>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row>
    <row r="175" spans="1:81" ht="11.25" customHeight="1" x14ac:dyDescent="0.3">
      <c r="A175" s="3"/>
      <c r="B175" s="2082" t="s">
        <v>1561</v>
      </c>
      <c r="C175" s="1889">
        <v>4</v>
      </c>
      <c r="D175" s="493"/>
      <c r="E175" s="2159">
        <v>90.75</v>
      </c>
      <c r="F175" s="602"/>
      <c r="G175" s="493">
        <v>17.89</v>
      </c>
      <c r="H175" s="602"/>
      <c r="I175" s="1440">
        <f t="shared" si="69"/>
        <v>71560</v>
      </c>
      <c r="J175" s="493"/>
      <c r="K175" s="1440">
        <f t="shared" si="70"/>
        <v>0.14312</v>
      </c>
      <c r="L175" s="602"/>
      <c r="M175" s="884">
        <f>I175*(BC160+BD160+BE160+BF160)</f>
        <v>40073.600000000006</v>
      </c>
      <c r="N175" s="602"/>
      <c r="O175" s="884">
        <f t="shared" si="71"/>
        <v>26477.200000000001</v>
      </c>
      <c r="P175" s="602"/>
      <c r="Q175" s="493" t="s">
        <v>772</v>
      </c>
      <c r="R175" s="884"/>
      <c r="S175" s="2160">
        <f t="shared" si="72"/>
        <v>0.40073600000000009</v>
      </c>
      <c r="T175" s="884"/>
      <c r="U175" s="2089">
        <f t="shared" si="73"/>
        <v>0.52954400000000001</v>
      </c>
      <c r="V175" s="2200"/>
      <c r="W175" s="2201"/>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row>
    <row r="176" spans="1:81" ht="11.25" customHeight="1" x14ac:dyDescent="0.2">
      <c r="A176" s="3"/>
      <c r="B176" s="2178" t="s">
        <v>1562</v>
      </c>
      <c r="C176" s="2179"/>
      <c r="D176" s="2180"/>
      <c r="E176" s="2181"/>
      <c r="F176" s="2144"/>
      <c r="G176" s="2180"/>
      <c r="H176" s="2144"/>
      <c r="I176" s="2182"/>
      <c r="J176" s="2180"/>
      <c r="K176" s="2182"/>
      <c r="L176" s="2144"/>
      <c r="M176" s="2144"/>
      <c r="N176" s="2144"/>
      <c r="O176" s="2144"/>
      <c r="P176" s="2144"/>
      <c r="Q176" s="2144"/>
      <c r="R176" s="2183"/>
      <c r="S176" s="2184"/>
      <c r="T176" s="2144"/>
      <c r="U176" s="2144"/>
      <c r="V176" s="2200"/>
      <c r="W176" s="2052"/>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row>
    <row r="177" spans="1:81" ht="11.25" customHeight="1" x14ac:dyDescent="0.2">
      <c r="A177" s="3"/>
      <c r="B177" s="2082" t="s">
        <v>1563</v>
      </c>
      <c r="C177" s="2204"/>
      <c r="D177" s="493"/>
      <c r="E177" s="2159"/>
      <c r="F177" s="602"/>
      <c r="G177" s="493"/>
      <c r="H177" s="602"/>
      <c r="I177" s="1440"/>
      <c r="J177" s="493"/>
      <c r="K177" s="1440"/>
      <c r="L177" s="602"/>
      <c r="M177" s="602"/>
      <c r="N177" s="602"/>
      <c r="O177" s="602"/>
      <c r="P177" s="602"/>
      <c r="Q177" s="602"/>
      <c r="R177" s="884"/>
      <c r="S177" s="2160"/>
      <c r="T177" s="602"/>
      <c r="U177" s="1459"/>
      <c r="V177" s="2203"/>
      <c r="W177" s="2201"/>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row>
    <row r="178" spans="1:81" ht="11.25" customHeight="1" x14ac:dyDescent="0.3">
      <c r="A178" s="3"/>
      <c r="B178" s="2082" t="s">
        <v>1564</v>
      </c>
      <c r="C178" s="1889">
        <v>2831</v>
      </c>
      <c r="D178" s="493"/>
      <c r="E178" s="2159">
        <v>1.8</v>
      </c>
      <c r="F178" s="602"/>
      <c r="G178" s="493">
        <v>0.52</v>
      </c>
      <c r="H178" s="602"/>
      <c r="I178" s="1440">
        <f t="shared" ref="I178:I182" si="74">C178*1000*G178</f>
        <v>1472120</v>
      </c>
      <c r="J178" s="493"/>
      <c r="K178" s="1440">
        <f t="shared" ref="K178:K182" si="75">(I178*0.2*0.01)/1000</f>
        <v>2.9442400000000002</v>
      </c>
      <c r="L178" s="602"/>
      <c r="M178" s="884">
        <f t="shared" ref="M178:M182" si="76">I178*(BI$160+BJ$160+BK$160+BL$160)</f>
        <v>1472120</v>
      </c>
      <c r="N178" s="602"/>
      <c r="O178" s="493" t="s">
        <v>772</v>
      </c>
      <c r="P178" s="602"/>
      <c r="Q178" s="493" t="s">
        <v>772</v>
      </c>
      <c r="R178" s="884"/>
      <c r="S178" s="2160">
        <f t="shared" ref="S178:S179" si="77">((M178)*(1-0.042)*(1-0.2)*0.0125)/1000</f>
        <v>14.102909599999998</v>
      </c>
      <c r="T178" s="884"/>
      <c r="U178" s="494" t="s">
        <v>772</v>
      </c>
      <c r="V178" s="2203"/>
      <c r="W178" s="2201"/>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row>
    <row r="179" spans="1:81" ht="11.25" customHeight="1" x14ac:dyDescent="0.3">
      <c r="A179" s="3"/>
      <c r="B179" s="2082" t="s">
        <v>1565</v>
      </c>
      <c r="C179" s="1889">
        <v>1260</v>
      </c>
      <c r="D179" s="493"/>
      <c r="E179" s="2159">
        <v>1.8</v>
      </c>
      <c r="F179" s="602"/>
      <c r="G179" s="493">
        <v>0.52</v>
      </c>
      <c r="H179" s="602"/>
      <c r="I179" s="1440">
        <f t="shared" si="74"/>
        <v>655200</v>
      </c>
      <c r="J179" s="493"/>
      <c r="K179" s="1440">
        <f t="shared" si="75"/>
        <v>1.3104</v>
      </c>
      <c r="L179" s="602"/>
      <c r="M179" s="884">
        <f t="shared" si="76"/>
        <v>655200</v>
      </c>
      <c r="N179" s="602"/>
      <c r="O179" s="493" t="s">
        <v>772</v>
      </c>
      <c r="P179" s="602"/>
      <c r="Q179" s="493" t="s">
        <v>772</v>
      </c>
      <c r="R179" s="884"/>
      <c r="S179" s="2160">
        <f t="shared" si="77"/>
        <v>6.2768160000000011</v>
      </c>
      <c r="T179" s="884"/>
      <c r="U179" s="494" t="s">
        <v>772</v>
      </c>
      <c r="V179" s="2203"/>
      <c r="W179" s="2201"/>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row>
    <row r="180" spans="1:81" ht="11.25" customHeight="1" x14ac:dyDescent="0.3">
      <c r="A180" s="3"/>
      <c r="B180" s="2082" t="s">
        <v>1566</v>
      </c>
      <c r="C180" s="1889">
        <v>8</v>
      </c>
      <c r="D180" s="493"/>
      <c r="E180" s="2159">
        <v>1.8</v>
      </c>
      <c r="F180" s="602"/>
      <c r="G180" s="493">
        <v>0.72</v>
      </c>
      <c r="H180" s="602"/>
      <c r="I180" s="1440">
        <f t="shared" si="74"/>
        <v>5760</v>
      </c>
      <c r="J180" s="493"/>
      <c r="K180" s="1440">
        <f t="shared" si="75"/>
        <v>1.1519999999999999E-2</v>
      </c>
      <c r="L180" s="602"/>
      <c r="M180" s="884">
        <f t="shared" si="76"/>
        <v>5760</v>
      </c>
      <c r="N180" s="602"/>
      <c r="O180" s="493" t="s">
        <v>772</v>
      </c>
      <c r="P180" s="602"/>
      <c r="Q180" s="493" t="s">
        <v>772</v>
      </c>
      <c r="R180" s="884"/>
      <c r="S180" s="2160">
        <f t="shared" ref="S180:S182" si="78">(((M180)*(0.958)*(1-0.2)*0.0125))/1000</f>
        <v>5.5180800000000002E-2</v>
      </c>
      <c r="T180" s="884"/>
      <c r="U180" s="494" t="s">
        <v>772</v>
      </c>
      <c r="V180" s="2203"/>
      <c r="W180" s="2201"/>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row>
    <row r="181" spans="1:81" ht="11.25" customHeight="1" x14ac:dyDescent="0.3">
      <c r="A181" s="3"/>
      <c r="B181" s="2082" t="s">
        <v>1567</v>
      </c>
      <c r="C181" s="1889">
        <v>52618.2</v>
      </c>
      <c r="D181" s="493"/>
      <c r="E181" s="2159">
        <v>0.9</v>
      </c>
      <c r="F181" s="602"/>
      <c r="G181" s="493">
        <v>0.32</v>
      </c>
      <c r="H181" s="602"/>
      <c r="I181" s="1440">
        <f t="shared" si="74"/>
        <v>16837824</v>
      </c>
      <c r="J181" s="493"/>
      <c r="K181" s="1440">
        <f t="shared" si="75"/>
        <v>33.675648000000002</v>
      </c>
      <c r="L181" s="602"/>
      <c r="M181" s="884">
        <f t="shared" si="76"/>
        <v>16837824</v>
      </c>
      <c r="N181" s="602"/>
      <c r="O181" s="493" t="s">
        <v>772</v>
      </c>
      <c r="P181" s="602"/>
      <c r="Q181" s="493" t="s">
        <v>772</v>
      </c>
      <c r="R181" s="884"/>
      <c r="S181" s="2160">
        <f t="shared" si="78"/>
        <v>161.30635392000002</v>
      </c>
      <c r="T181" s="884"/>
      <c r="U181" s="494" t="s">
        <v>772</v>
      </c>
      <c r="V181" s="2200"/>
      <c r="W181" s="2201"/>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row>
    <row r="182" spans="1:81" ht="11.25" customHeight="1" x14ac:dyDescent="0.3">
      <c r="A182" s="3"/>
      <c r="B182" s="2082" t="s">
        <v>1568</v>
      </c>
      <c r="C182" s="1889">
        <v>303.60000000000002</v>
      </c>
      <c r="D182" s="493"/>
      <c r="E182" s="2159">
        <v>6.8</v>
      </c>
      <c r="F182" s="602"/>
      <c r="G182" s="493">
        <v>1.55</v>
      </c>
      <c r="H182" s="602"/>
      <c r="I182" s="1440">
        <f t="shared" si="74"/>
        <v>470580</v>
      </c>
      <c r="J182" s="493"/>
      <c r="K182" s="2204">
        <f t="shared" si="75"/>
        <v>0.94116</v>
      </c>
      <c r="L182" s="602"/>
      <c r="M182" s="884">
        <f t="shared" si="76"/>
        <v>470580</v>
      </c>
      <c r="N182" s="602"/>
      <c r="O182" s="1440">
        <f>I182*(BS160)</f>
        <v>4705.8</v>
      </c>
      <c r="P182" s="602"/>
      <c r="Q182" s="493" t="s">
        <v>772</v>
      </c>
      <c r="R182" s="884"/>
      <c r="S182" s="884">
        <f t="shared" si="78"/>
        <v>4.5081563999999998</v>
      </c>
      <c r="T182" s="884"/>
      <c r="U182" s="2089">
        <f>(O182*0.02)/1000</f>
        <v>9.4116000000000005E-2</v>
      </c>
      <c r="V182" s="2200"/>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row>
    <row r="183" spans="1:81" ht="11.25" customHeight="1" x14ac:dyDescent="0.2">
      <c r="A183" s="3"/>
      <c r="B183" s="2178" t="s">
        <v>665</v>
      </c>
      <c r="C183" s="2204"/>
      <c r="D183" s="493"/>
      <c r="E183" s="2159"/>
      <c r="F183" s="602"/>
      <c r="G183" s="493"/>
      <c r="H183" s="602"/>
      <c r="I183" s="1440"/>
      <c r="J183" s="493"/>
      <c r="K183" s="1440"/>
      <c r="L183" s="602"/>
      <c r="M183" s="602"/>
      <c r="N183" s="602"/>
      <c r="O183" s="602"/>
      <c r="P183" s="602"/>
      <c r="Q183" s="602"/>
      <c r="R183" s="884"/>
      <c r="S183" s="602"/>
      <c r="T183" s="602"/>
      <c r="U183" s="1459"/>
      <c r="V183" s="2200"/>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row>
    <row r="184" spans="1:81" ht="11.25" customHeight="1" x14ac:dyDescent="0.3">
      <c r="A184" s="3"/>
      <c r="B184" s="2082" t="s">
        <v>1569</v>
      </c>
      <c r="C184" s="1889">
        <v>6.4</v>
      </c>
      <c r="D184" s="493"/>
      <c r="E184" s="2159">
        <v>25</v>
      </c>
      <c r="F184" s="602"/>
      <c r="G184" s="493">
        <v>4.1100000000000003</v>
      </c>
      <c r="H184" s="602"/>
      <c r="I184" s="1440">
        <f t="shared" ref="I184:I187" si="79">C184*1000*G184</f>
        <v>26304.000000000004</v>
      </c>
      <c r="J184" s="493"/>
      <c r="K184" s="1440">
        <f t="shared" ref="K184:K187" si="80">(I184*0.2*0.01)/1000</f>
        <v>5.2608000000000009E-2</v>
      </c>
      <c r="L184" s="493"/>
      <c r="M184" s="884">
        <f>I184*(1-BV160)</f>
        <v>7628.1600000000017</v>
      </c>
      <c r="N184" s="493"/>
      <c r="O184" s="1440">
        <f>I184*(BV160)</f>
        <v>18675.84</v>
      </c>
      <c r="P184" s="493"/>
      <c r="Q184" s="493" t="s">
        <v>772</v>
      </c>
      <c r="R184" s="884"/>
      <c r="S184" s="884">
        <f t="shared" ref="S184:S185" si="81">((M184)*(1-0.2)*0.0125)/1000</f>
        <v>7.6281600000000033E-2</v>
      </c>
      <c r="T184" s="884"/>
      <c r="U184" s="2089">
        <f t="shared" ref="U184:U187" si="82">(O184*0.02)/1000</f>
        <v>0.37351679999999998</v>
      </c>
      <c r="V184" s="2200"/>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row>
    <row r="185" spans="1:81" ht="11.25" customHeight="1" x14ac:dyDescent="0.2">
      <c r="A185" s="3"/>
      <c r="B185" s="2082" t="s">
        <v>1570</v>
      </c>
      <c r="C185" s="1847">
        <v>6.5</v>
      </c>
      <c r="D185" s="493"/>
      <c r="E185" s="2159">
        <v>80</v>
      </c>
      <c r="F185" s="602"/>
      <c r="G185" s="493">
        <v>13.14</v>
      </c>
      <c r="H185" s="602"/>
      <c r="I185" s="1440">
        <f t="shared" si="79"/>
        <v>85410</v>
      </c>
      <c r="J185" s="493"/>
      <c r="K185" s="1440">
        <f t="shared" si="80"/>
        <v>0.17082</v>
      </c>
      <c r="L185" s="493"/>
      <c r="M185" s="884">
        <f>I185*(1-BW160)</f>
        <v>60641.1</v>
      </c>
      <c r="N185" s="493"/>
      <c r="O185" s="1440">
        <f>I185*(BW160)</f>
        <v>24768.899999999998</v>
      </c>
      <c r="P185" s="493"/>
      <c r="Q185" s="493" t="s">
        <v>772</v>
      </c>
      <c r="R185" s="884"/>
      <c r="S185" s="884">
        <f t="shared" si="81"/>
        <v>0.60641100000000003</v>
      </c>
      <c r="T185" s="884"/>
      <c r="U185" s="2089">
        <f t="shared" si="82"/>
        <v>0.49537799999999999</v>
      </c>
      <c r="V185" s="2200"/>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row>
    <row r="186" spans="1:81" ht="11.25" customHeight="1" x14ac:dyDescent="0.3">
      <c r="A186" s="3"/>
      <c r="B186" s="2082" t="s">
        <v>1540</v>
      </c>
      <c r="C186" s="1889">
        <v>14.5</v>
      </c>
      <c r="D186" s="493"/>
      <c r="E186" s="2159">
        <v>64</v>
      </c>
      <c r="F186" s="602"/>
      <c r="G186" s="493">
        <v>10.51</v>
      </c>
      <c r="H186" s="602"/>
      <c r="I186" s="1440">
        <f t="shared" si="79"/>
        <v>152395</v>
      </c>
      <c r="J186" s="493"/>
      <c r="K186" s="1440">
        <f t="shared" si="80"/>
        <v>0.30479000000000001</v>
      </c>
      <c r="L186" s="493"/>
      <c r="M186" s="1440" t="s">
        <v>772</v>
      </c>
      <c r="N186" s="493"/>
      <c r="O186" s="1440">
        <f>I186*(BZ160)</f>
        <v>152395</v>
      </c>
      <c r="P186" s="493"/>
      <c r="Q186" s="493" t="s">
        <v>772</v>
      </c>
      <c r="R186" s="884"/>
      <c r="S186" s="1440" t="s">
        <v>772</v>
      </c>
      <c r="T186" s="884"/>
      <c r="U186" s="2089">
        <f t="shared" si="82"/>
        <v>3.0479000000000003</v>
      </c>
      <c r="V186" s="2200"/>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row>
    <row r="187" spans="1:81" ht="11.25" customHeight="1" x14ac:dyDescent="0.2">
      <c r="A187" s="3"/>
      <c r="B187" s="2082" t="s">
        <v>1542</v>
      </c>
      <c r="C187" s="1847">
        <v>27.4</v>
      </c>
      <c r="D187" s="493"/>
      <c r="E187" s="2159">
        <v>450</v>
      </c>
      <c r="F187" s="602"/>
      <c r="G187" s="493">
        <v>40.24</v>
      </c>
      <c r="H187" s="602"/>
      <c r="I187" s="1440">
        <f t="shared" si="79"/>
        <v>1102576</v>
      </c>
      <c r="J187" s="493"/>
      <c r="K187" s="1440">
        <f t="shared" si="80"/>
        <v>2.205152</v>
      </c>
      <c r="L187" s="493"/>
      <c r="M187" s="1440" t="s">
        <v>772</v>
      </c>
      <c r="N187" s="493"/>
      <c r="O187" s="1440">
        <f>I187*CC160</f>
        <v>1102576</v>
      </c>
      <c r="P187" s="493"/>
      <c r="Q187" s="493" t="s">
        <v>772</v>
      </c>
      <c r="R187" s="884"/>
      <c r="S187" s="1440" t="s">
        <v>772</v>
      </c>
      <c r="T187" s="884"/>
      <c r="U187" s="2089">
        <f t="shared" si="82"/>
        <v>22.05152</v>
      </c>
      <c r="V187" s="2200"/>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row>
    <row r="188" spans="1:81" ht="11.25" customHeight="1" x14ac:dyDescent="0.2">
      <c r="A188" s="3"/>
      <c r="B188" s="2036" t="s">
        <v>1543</v>
      </c>
      <c r="C188" s="2205"/>
      <c r="D188" s="2206"/>
      <c r="E188" s="2038"/>
      <c r="F188" s="2038"/>
      <c r="G188" s="2038"/>
      <c r="H188" s="2038"/>
      <c r="I188" s="2207">
        <f>SUM(I160:I187)</f>
        <v>35592637.130000003</v>
      </c>
      <c r="J188" s="2206"/>
      <c r="K188" s="2207">
        <f>SUM(K160:K187)</f>
        <v>71.18527426</v>
      </c>
      <c r="L188" s="2038"/>
      <c r="M188" s="2207">
        <f>SUM(M160:M187)</f>
        <v>25732559.880154494</v>
      </c>
      <c r="N188" s="2206"/>
      <c r="O188" s="2207">
        <f>SUM(O160:O187)</f>
        <v>8745272.4054526389</v>
      </c>
      <c r="P188" s="2038"/>
      <c r="Q188" s="2207">
        <f>SUM(Q160:Q187)</f>
        <v>1042475.2943928689</v>
      </c>
      <c r="R188" s="2206"/>
      <c r="S188" s="2208">
        <f>SUM(S160:S187)</f>
        <v>259.58492846547364</v>
      </c>
      <c r="T188" s="2207"/>
      <c r="U188" s="2209">
        <f>SUM(U160:U187)</f>
        <v>174.90544810905277</v>
      </c>
      <c r="V188" s="2210"/>
      <c r="W188" s="3"/>
      <c r="X188" s="3"/>
      <c r="Y188" s="557"/>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row>
    <row r="189" spans="1:81" ht="11.25" customHeight="1" x14ac:dyDescent="0.2">
      <c r="A189" s="3"/>
      <c r="B189" s="2211"/>
      <c r="C189" s="2212"/>
      <c r="D189" s="2213"/>
      <c r="E189" s="2214"/>
      <c r="F189" s="2213"/>
      <c r="G189" s="2214"/>
      <c r="H189" s="2193"/>
      <c r="I189" s="2193"/>
      <c r="J189" s="2193"/>
      <c r="K189" s="2193"/>
      <c r="L189" s="2193"/>
      <c r="M189" s="2193"/>
      <c r="N189" s="2215"/>
      <c r="O189" s="3"/>
      <c r="P189" s="3"/>
      <c r="Q189" s="3"/>
      <c r="R189" s="3"/>
      <c r="S189" s="3"/>
      <c r="T189" s="3"/>
      <c r="U189" s="3"/>
      <c r="V189" s="2216"/>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row>
    <row r="190" spans="1:81" ht="11.25" customHeight="1" x14ac:dyDescent="0.2">
      <c r="A190" s="3"/>
      <c r="B190" s="2217" t="s">
        <v>1697</v>
      </c>
      <c r="C190" s="2218"/>
      <c r="D190" s="2219"/>
      <c r="E190" s="2219"/>
      <c r="F190" s="2219"/>
      <c r="G190" s="2219"/>
      <c r="H190" s="2219"/>
      <c r="I190" s="2219"/>
      <c r="J190" s="2219"/>
      <c r="K190" s="2219"/>
      <c r="L190" s="2219"/>
      <c r="M190" s="2219"/>
      <c r="N190" s="2219"/>
      <c r="O190" s="2220"/>
      <c r="P190" s="2219"/>
      <c r="Q190" s="2221"/>
      <c r="R190" s="2222"/>
      <c r="S190" s="2223"/>
      <c r="T190" s="1502"/>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row>
    <row r="191" spans="1:81" ht="11.25" customHeight="1" x14ac:dyDescent="0.2">
      <c r="A191" s="3"/>
      <c r="B191" s="2224"/>
      <c r="C191" s="2225"/>
      <c r="D191" s="2226"/>
      <c r="E191" s="64"/>
      <c r="F191" s="2227"/>
      <c r="G191" s="2228" t="s">
        <v>1698</v>
      </c>
      <c r="H191" s="2229"/>
      <c r="I191" s="2228" t="s">
        <v>1699</v>
      </c>
      <c r="J191" s="2229"/>
      <c r="K191" s="2228" t="s">
        <v>1700</v>
      </c>
      <c r="L191" s="2229"/>
      <c r="M191" s="2229"/>
      <c r="N191" s="2230"/>
      <c r="O191" s="2231" t="s">
        <v>1701</v>
      </c>
      <c r="P191" s="2232"/>
      <c r="Q191" s="2233" t="s">
        <v>1702</v>
      </c>
      <c r="R191" s="2234"/>
      <c r="S191" s="2235" t="s">
        <v>1703</v>
      </c>
      <c r="T191" s="1502"/>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row>
    <row r="192" spans="1:81" ht="11.25" customHeight="1" x14ac:dyDescent="0.2">
      <c r="A192" s="3"/>
      <c r="B192" s="2064"/>
      <c r="C192" s="2996" t="s">
        <v>1704</v>
      </c>
      <c r="D192" s="2992"/>
      <c r="E192" s="2969"/>
      <c r="F192" s="2236"/>
      <c r="G192" s="2237">
        <f>K188*44/28</f>
        <v>111.86257383714285</v>
      </c>
      <c r="H192" s="2238"/>
      <c r="I192" s="2239">
        <f>G192*Z10*12/44*10^-6</f>
        <v>8.0846132909571412E-3</v>
      </c>
      <c r="J192" s="2238"/>
      <c r="K192" s="2239">
        <f t="shared" ref="K192:K195" si="83">I192/(12/44)</f>
        <v>2.9643582066842852E-2</v>
      </c>
      <c r="L192" s="602"/>
      <c r="M192" s="2240"/>
      <c r="N192" s="2241" t="s">
        <v>1705</v>
      </c>
      <c r="O192" s="2242">
        <f>W167*44/28</f>
        <v>211.95221697964283</v>
      </c>
      <c r="P192" s="2240"/>
      <c r="Q192" s="2243">
        <f>O192*Z10*12/44*10^-6</f>
        <v>1.5318364772619639E-2</v>
      </c>
      <c r="R192" s="2240"/>
      <c r="S192" s="2244">
        <f t="shared" ref="S192:S194" si="84">Q192/(12/44)</f>
        <v>5.6167337499605348E-2</v>
      </c>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row>
    <row r="193" spans="1:81" ht="11.25" customHeight="1" x14ac:dyDescent="0.25">
      <c r="A193" s="3"/>
      <c r="B193" s="2187"/>
      <c r="C193" s="2245"/>
      <c r="D193" s="2245"/>
      <c r="E193" s="2246" t="s">
        <v>1706</v>
      </c>
      <c r="F193" s="493"/>
      <c r="G193" s="1440">
        <f>(U188+S188)*44/28</f>
        <v>682.77059175996999</v>
      </c>
      <c r="H193" s="602"/>
      <c r="I193" s="2072">
        <f>G193*Z10*12/44*10^-6</f>
        <v>4.9345692768106929E-2</v>
      </c>
      <c r="J193" s="602"/>
      <c r="K193" s="2247">
        <f t="shared" si="83"/>
        <v>0.18093420681639208</v>
      </c>
      <c r="L193" s="602"/>
      <c r="M193" s="602"/>
      <c r="N193" s="2248" t="s">
        <v>1707</v>
      </c>
      <c r="O193" s="2249">
        <f>SUM(W162)*0.0075*44/28</f>
        <v>86.106821412857144</v>
      </c>
      <c r="P193" s="602"/>
      <c r="Q193" s="2182">
        <f>O193*Z10*12/44*10^-6</f>
        <v>6.2231748202928568E-3</v>
      </c>
      <c r="R193" s="602"/>
      <c r="S193" s="2250">
        <f t="shared" si="84"/>
        <v>2.2818307674407144E-2</v>
      </c>
      <c r="T193" s="1502"/>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row>
    <row r="194" spans="1:81" ht="11.25" customHeight="1" x14ac:dyDescent="0.25">
      <c r="A194" s="3"/>
      <c r="B194" s="2187"/>
      <c r="C194" s="2245"/>
      <c r="D194" s="2245"/>
      <c r="E194" s="2246" t="s">
        <v>1708</v>
      </c>
      <c r="F194" s="493"/>
      <c r="G194" s="1440">
        <f>U188*44/28</f>
        <v>274.85141845708296</v>
      </c>
      <c r="H194" s="602"/>
      <c r="I194" s="2072">
        <f>G194*Z10*12/44*10^-6</f>
        <v>1.9864261606670996E-2</v>
      </c>
      <c r="J194" s="602"/>
      <c r="K194" s="2247">
        <f t="shared" si="83"/>
        <v>7.2835625891126993E-2</v>
      </c>
      <c r="L194" s="602"/>
      <c r="M194" s="602"/>
      <c r="N194" s="2248" t="s">
        <v>1709</v>
      </c>
      <c r="O194" s="2249">
        <f>SUM(W165)*0.0075*44/28</f>
        <v>125.84539556678571</v>
      </c>
      <c r="P194" s="602"/>
      <c r="Q194" s="2182">
        <f>O194*Z10*12/44*10^-6</f>
        <v>9.0951899523267852E-3</v>
      </c>
      <c r="R194" s="602"/>
      <c r="S194" s="2250">
        <f t="shared" si="84"/>
        <v>3.3349029825198218E-2</v>
      </c>
      <c r="T194" s="1502"/>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row>
    <row r="195" spans="1:81" ht="11.25" customHeight="1" x14ac:dyDescent="0.2">
      <c r="A195" s="3"/>
      <c r="B195" s="2064"/>
      <c r="C195" s="2996" t="s">
        <v>1710</v>
      </c>
      <c r="D195" s="2992"/>
      <c r="E195" s="2969"/>
      <c r="F195" s="2251"/>
      <c r="G195" s="2237">
        <f>SUM(G193:G194)</f>
        <v>957.622010217053</v>
      </c>
      <c r="H195" s="2240"/>
      <c r="I195" s="2239">
        <f>G195*Z10*12/44*10^-6</f>
        <v>6.9209954374777907E-2</v>
      </c>
      <c r="J195" s="2251"/>
      <c r="K195" s="2239">
        <f t="shared" si="83"/>
        <v>0.25376983270751902</v>
      </c>
      <c r="L195" s="602"/>
      <c r="M195" s="493"/>
      <c r="N195" s="602"/>
      <c r="O195" s="2144"/>
      <c r="P195" s="493"/>
      <c r="Q195" s="2180"/>
      <c r="R195" s="602"/>
      <c r="S195" s="2145"/>
      <c r="T195" s="1502"/>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row>
    <row r="196" spans="1:81" ht="11.25" customHeight="1" x14ac:dyDescent="0.2">
      <c r="A196" s="3"/>
      <c r="B196" s="2252"/>
      <c r="C196" s="2253"/>
      <c r="D196" s="2253"/>
      <c r="E196" s="2253"/>
      <c r="F196" s="2254"/>
      <c r="G196" s="2255"/>
      <c r="H196" s="1463"/>
      <c r="I196" s="2256"/>
      <c r="J196" s="2254"/>
      <c r="K196" s="2256"/>
      <c r="L196" s="1463"/>
      <c r="M196" s="2254"/>
      <c r="N196" s="1463"/>
      <c r="O196" s="1989"/>
      <c r="P196" s="2257"/>
      <c r="Q196" s="2258"/>
      <c r="R196" s="2197"/>
      <c r="S196" s="1992"/>
      <c r="T196" s="1502"/>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row>
    <row r="197" spans="1:81" ht="11.25" customHeight="1" x14ac:dyDescent="0.2">
      <c r="A197" s="3"/>
      <c r="B197" s="2259"/>
      <c r="C197" s="2260"/>
      <c r="D197" s="2260"/>
      <c r="E197" s="2260"/>
      <c r="F197" s="1607"/>
      <c r="G197" s="2261"/>
      <c r="H197" s="3"/>
      <c r="I197" s="2262"/>
      <c r="J197" s="1607"/>
      <c r="K197" s="2262"/>
      <c r="L197" s="3"/>
      <c r="M197" s="1607"/>
      <c r="N197" s="3"/>
      <c r="O197" s="3"/>
      <c r="P197" s="1607"/>
      <c r="Q197" s="1607"/>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row>
    <row r="198" spans="1:81" ht="11.25" customHeight="1" x14ac:dyDescent="0.3">
      <c r="A198" s="327"/>
      <c r="B198" s="1862"/>
      <c r="C198" s="1863"/>
      <c r="D198" s="1864"/>
      <c r="E198" s="1864"/>
      <c r="F198" s="1864"/>
      <c r="G198" s="1865"/>
      <c r="H198" s="387"/>
      <c r="I198" s="1860"/>
      <c r="J198" s="387"/>
      <c r="K198" s="1861"/>
      <c r="L198" s="327"/>
      <c r="M198" s="1861"/>
      <c r="N198" s="327"/>
      <c r="O198" s="327"/>
      <c r="P198" s="327"/>
      <c r="Q198" s="327"/>
      <c r="R198" s="327"/>
      <c r="S198" s="327"/>
      <c r="T198" s="327"/>
      <c r="U198" s="327"/>
    </row>
    <row r="199" spans="1:81" ht="24.75" customHeight="1" x14ac:dyDescent="0.45">
      <c r="A199" s="327"/>
      <c r="B199" s="2263" t="s">
        <v>1711</v>
      </c>
      <c r="C199" s="1869"/>
      <c r="D199" s="1870"/>
      <c r="E199" s="1870"/>
      <c r="F199" s="1870"/>
      <c r="G199" s="1871"/>
      <c r="H199" s="1872"/>
      <c r="I199" s="1873"/>
      <c r="J199" s="1872"/>
      <c r="K199" s="1874"/>
      <c r="L199" s="1829"/>
      <c r="M199" s="1874"/>
      <c r="N199" s="1829"/>
      <c r="O199" s="1829"/>
      <c r="P199" s="1829"/>
      <c r="Q199" s="1829"/>
      <c r="R199" s="1829"/>
      <c r="S199" s="1829"/>
      <c r="T199" s="1829"/>
      <c r="U199" s="1829"/>
      <c r="V199" s="1829"/>
      <c r="W199" s="1829"/>
      <c r="X199" s="1829"/>
      <c r="Y199" s="1829"/>
      <c r="Z199" s="1829"/>
      <c r="AA199" s="1829"/>
      <c r="AB199" s="1829"/>
      <c r="AC199" s="2264"/>
      <c r="AD199" s="1191"/>
      <c r="AH199" s="2107" t="s">
        <v>1653</v>
      </c>
    </row>
    <row r="200" spans="1:81" ht="30.75" customHeight="1" x14ac:dyDescent="0.25">
      <c r="A200" s="2265"/>
      <c r="B200" s="2266" t="s">
        <v>1712</v>
      </c>
      <c r="C200" s="2267" t="s">
        <v>178</v>
      </c>
      <c r="D200" s="2075"/>
      <c r="E200" s="2268" t="s">
        <v>1713</v>
      </c>
      <c r="F200" s="2268"/>
      <c r="G200" s="2268" t="s">
        <v>1714</v>
      </c>
      <c r="H200" s="2075"/>
      <c r="I200" s="2268" t="s">
        <v>1715</v>
      </c>
      <c r="J200" s="2268"/>
      <c r="K200" s="2268" t="s">
        <v>1716</v>
      </c>
      <c r="L200" s="2269"/>
      <c r="M200" s="2268" t="s">
        <v>1717</v>
      </c>
      <c r="N200" s="2269"/>
      <c r="O200" s="2268" t="s">
        <v>1718</v>
      </c>
      <c r="P200" s="2269"/>
      <c r="Q200" s="2268" t="s">
        <v>1719</v>
      </c>
      <c r="R200" s="2075"/>
      <c r="S200" s="2268" t="s">
        <v>1720</v>
      </c>
      <c r="T200" s="2075"/>
      <c r="U200" s="2270" t="s">
        <v>1721</v>
      </c>
      <c r="V200" s="2075"/>
      <c r="W200" s="2270" t="s">
        <v>1722</v>
      </c>
      <c r="X200" s="2075"/>
      <c r="Y200" s="2268" t="s">
        <v>1723</v>
      </c>
      <c r="Z200" s="2075"/>
      <c r="AA200" s="2268" t="s">
        <v>1724</v>
      </c>
      <c r="AB200" s="2269"/>
      <c r="AC200" s="2271" t="s">
        <v>1725</v>
      </c>
      <c r="AD200" s="1502"/>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row>
    <row r="201" spans="1:81" ht="11.25" customHeight="1" x14ac:dyDescent="0.2">
      <c r="A201" s="2265"/>
      <c r="B201" s="492"/>
      <c r="C201" s="602"/>
      <c r="D201" s="602"/>
      <c r="E201" s="493"/>
      <c r="F201" s="493"/>
      <c r="G201" s="602"/>
      <c r="H201" s="602"/>
      <c r="I201" s="602"/>
      <c r="J201" s="602"/>
      <c r="K201" s="602"/>
      <c r="L201" s="602"/>
      <c r="M201" s="602"/>
      <c r="N201" s="602"/>
      <c r="O201" s="602"/>
      <c r="P201" s="602"/>
      <c r="Q201" s="602"/>
      <c r="R201" s="602"/>
      <c r="S201" s="602"/>
      <c r="T201" s="602"/>
      <c r="U201" s="884"/>
      <c r="V201" s="602"/>
      <c r="W201" s="884"/>
      <c r="X201" s="602"/>
      <c r="Y201" s="602"/>
      <c r="Z201" s="602"/>
      <c r="AA201" s="602"/>
      <c r="AB201" s="602"/>
      <c r="AC201" s="2272"/>
      <c r="AD201" s="1502"/>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row>
    <row r="202" spans="1:81" ht="11.25" customHeight="1" x14ac:dyDescent="0.3">
      <c r="A202" s="2265"/>
      <c r="B202" s="2082" t="s">
        <v>1726</v>
      </c>
      <c r="C202" s="2273" t="s">
        <v>1601</v>
      </c>
      <c r="D202" s="602"/>
      <c r="E202" s="2274">
        <v>1533</v>
      </c>
      <c r="F202" s="493" t="s">
        <v>1236</v>
      </c>
      <c r="G202" s="493">
        <v>2.1772E-2</v>
      </c>
      <c r="H202" s="602"/>
      <c r="I202" s="1440">
        <f t="shared" ref="I202:I203" si="85">E202*G202*1000</f>
        <v>33376.475999999995</v>
      </c>
      <c r="J202" s="493" t="s">
        <v>1235</v>
      </c>
      <c r="K202" s="2275">
        <v>1.2</v>
      </c>
      <c r="L202" s="493" t="s">
        <v>1235</v>
      </c>
      <c r="M202" s="2276">
        <v>0.03</v>
      </c>
      <c r="N202" s="493" t="s">
        <v>1235</v>
      </c>
      <c r="O202" s="493">
        <v>0.93</v>
      </c>
      <c r="P202" s="493" t="s">
        <v>1235</v>
      </c>
      <c r="Q202" s="2277">
        <v>0.93</v>
      </c>
      <c r="R202" s="493" t="s">
        <v>1235</v>
      </c>
      <c r="S202" s="2277">
        <v>0.88</v>
      </c>
      <c r="T202" s="493" t="s">
        <v>1236</v>
      </c>
      <c r="U202" s="2278">
        <v>0.44850000000000001</v>
      </c>
      <c r="V202" s="493" t="s">
        <v>1236</v>
      </c>
      <c r="W202" s="1440">
        <f t="shared" ref="W202:W210" si="86">I202*K202*M202*O202*Q202*S202*U202</f>
        <v>410.16065493558352</v>
      </c>
      <c r="X202" s="493" t="s">
        <v>1236</v>
      </c>
      <c r="Y202" s="2279">
        <f t="shared" ref="Y202:Y210" si="87">W202*0.005*(16/12)</f>
        <v>2.7344043662372233</v>
      </c>
      <c r="Z202" s="2280" t="s">
        <v>1236</v>
      </c>
      <c r="AA202" s="2281">
        <f>Y202/(10^6)*Z9*12/44</f>
        <v>2.0880906069447887E-5</v>
      </c>
      <c r="AB202" s="2280" t="s">
        <v>1236</v>
      </c>
      <c r="AC202" s="2282">
        <f t="shared" ref="AC202:AC210" si="88">AA202/(12/44)</f>
        <v>7.6563322254642261E-5</v>
      </c>
      <c r="AD202" s="1502"/>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row>
    <row r="203" spans="1:81" ht="11.25" customHeight="1" x14ac:dyDescent="0.3">
      <c r="A203" s="2265"/>
      <c r="B203" s="2082" t="s">
        <v>1727</v>
      </c>
      <c r="C203" s="2273" t="s">
        <v>1601</v>
      </c>
      <c r="D203" s="602"/>
      <c r="E203" s="2274">
        <v>66650</v>
      </c>
      <c r="F203" s="493" t="s">
        <v>1236</v>
      </c>
      <c r="G203" s="493">
        <v>2.5401147108E-2</v>
      </c>
      <c r="H203" s="602"/>
      <c r="I203" s="1440">
        <f t="shared" si="85"/>
        <v>1692986.4547482</v>
      </c>
      <c r="J203" s="493" t="s">
        <v>1235</v>
      </c>
      <c r="K203" s="2275">
        <v>1</v>
      </c>
      <c r="L203" s="493" t="s">
        <v>1235</v>
      </c>
      <c r="M203" s="2276">
        <v>0.17</v>
      </c>
      <c r="N203" s="493" t="s">
        <v>1235</v>
      </c>
      <c r="O203" s="493">
        <v>0.91</v>
      </c>
      <c r="P203" s="493" t="s">
        <v>1235</v>
      </c>
      <c r="Q203" s="2277">
        <v>0.93</v>
      </c>
      <c r="R203" s="493" t="s">
        <v>1235</v>
      </c>
      <c r="S203" s="2277">
        <v>0.88</v>
      </c>
      <c r="T203" s="493" t="s">
        <v>1236</v>
      </c>
      <c r="U203" s="2278">
        <v>0.44779999999999998</v>
      </c>
      <c r="V203" s="493" t="s">
        <v>1236</v>
      </c>
      <c r="W203" s="1440">
        <f t="shared" si="86"/>
        <v>95982.820352915645</v>
      </c>
      <c r="X203" s="493" t="s">
        <v>1236</v>
      </c>
      <c r="Y203" s="2279">
        <f t="shared" si="87"/>
        <v>639.88546901943755</v>
      </c>
      <c r="Z203" s="2280" t="s">
        <v>1236</v>
      </c>
      <c r="AA203" s="2281">
        <f>Y203/(10^6)*Z9*12/44</f>
        <v>4.8863981270575226E-3</v>
      </c>
      <c r="AB203" s="2280" t="s">
        <v>1236</v>
      </c>
      <c r="AC203" s="2282">
        <f t="shared" si="88"/>
        <v>1.791679313254425E-2</v>
      </c>
      <c r="AD203" s="1502"/>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row>
    <row r="204" spans="1:81" ht="11.25" customHeight="1" x14ac:dyDescent="0.3">
      <c r="A204" s="2265"/>
      <c r="B204" s="2082" t="s">
        <v>1612</v>
      </c>
      <c r="C204" s="2273" t="s">
        <v>1728</v>
      </c>
      <c r="D204" s="602"/>
      <c r="E204" s="2274">
        <v>0</v>
      </c>
      <c r="F204" s="493" t="s">
        <v>1236</v>
      </c>
      <c r="G204" s="493" t="s">
        <v>772</v>
      </c>
      <c r="H204" s="602"/>
      <c r="I204" s="1440">
        <f>(E204*1000/2000*0.9072)</f>
        <v>0</v>
      </c>
      <c r="J204" s="493" t="s">
        <v>1235</v>
      </c>
      <c r="K204" s="2275">
        <v>1</v>
      </c>
      <c r="L204" s="493" t="s">
        <v>1235</v>
      </c>
      <c r="M204" s="2276">
        <v>0.03</v>
      </c>
      <c r="N204" s="493" t="s">
        <v>1235</v>
      </c>
      <c r="O204" s="493">
        <v>0.86</v>
      </c>
      <c r="P204" s="493" t="s">
        <v>1235</v>
      </c>
      <c r="Q204" s="2277">
        <v>0.93</v>
      </c>
      <c r="R204" s="493" t="s">
        <v>1235</v>
      </c>
      <c r="S204" s="2277">
        <v>0.88</v>
      </c>
      <c r="T204" s="493" t="s">
        <v>1236</v>
      </c>
      <c r="U204" s="2278">
        <v>0.45</v>
      </c>
      <c r="V204" s="493" t="s">
        <v>1236</v>
      </c>
      <c r="W204" s="1440">
        <f t="shared" si="86"/>
        <v>0</v>
      </c>
      <c r="X204" s="493" t="s">
        <v>1236</v>
      </c>
      <c r="Y204" s="2279">
        <f t="shared" si="87"/>
        <v>0</v>
      </c>
      <c r="Z204" s="2280" t="s">
        <v>1236</v>
      </c>
      <c r="AA204" s="2281">
        <f>Y204/(10^6)*Z9*12/44</f>
        <v>0</v>
      </c>
      <c r="AB204" s="2280" t="s">
        <v>1236</v>
      </c>
      <c r="AC204" s="2282">
        <f t="shared" si="88"/>
        <v>0</v>
      </c>
      <c r="AD204" s="1502"/>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row>
    <row r="205" spans="1:81" ht="11.25" customHeight="1" x14ac:dyDescent="0.3">
      <c r="A205" s="2265"/>
      <c r="B205" s="2082" t="s">
        <v>1609</v>
      </c>
      <c r="C205" s="2273" t="s">
        <v>1729</v>
      </c>
      <c r="D205" s="602"/>
      <c r="E205" s="2274">
        <v>0</v>
      </c>
      <c r="F205" s="493" t="s">
        <v>1236</v>
      </c>
      <c r="G205" s="493" t="s">
        <v>772</v>
      </c>
      <c r="H205" s="602"/>
      <c r="I205" s="1440">
        <v>0</v>
      </c>
      <c r="J205" s="493" t="s">
        <v>1235</v>
      </c>
      <c r="K205" s="2275">
        <v>1.4</v>
      </c>
      <c r="L205" s="493" t="s">
        <v>1235</v>
      </c>
      <c r="M205" s="2276">
        <v>0</v>
      </c>
      <c r="N205" s="493" t="s">
        <v>1235</v>
      </c>
      <c r="O205" s="493">
        <v>0.91</v>
      </c>
      <c r="P205" s="493" t="s">
        <v>1235</v>
      </c>
      <c r="Q205" s="2277">
        <v>0.93</v>
      </c>
      <c r="R205" s="493" t="s">
        <v>1235</v>
      </c>
      <c r="S205" s="2277">
        <v>0.88</v>
      </c>
      <c r="T205" s="493" t="s">
        <v>1236</v>
      </c>
      <c r="U205" s="2278">
        <v>0.38059999999999999</v>
      </c>
      <c r="V205" s="493" t="s">
        <v>1236</v>
      </c>
      <c r="W205" s="1440">
        <f t="shared" si="86"/>
        <v>0</v>
      </c>
      <c r="X205" s="493" t="s">
        <v>1236</v>
      </c>
      <c r="Y205" s="2279">
        <f t="shared" si="87"/>
        <v>0</v>
      </c>
      <c r="Z205" s="2280" t="s">
        <v>1236</v>
      </c>
      <c r="AA205" s="2281">
        <f>Y205/(10^6)*Z9*12/44</f>
        <v>0</v>
      </c>
      <c r="AB205" s="2280" t="s">
        <v>1236</v>
      </c>
      <c r="AC205" s="2282">
        <f t="shared" si="88"/>
        <v>0</v>
      </c>
      <c r="AD205" s="1502"/>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row>
    <row r="206" spans="1:81" ht="11.25" customHeight="1" x14ac:dyDescent="0.3">
      <c r="A206" s="2265"/>
      <c r="B206" s="2082" t="s">
        <v>1730</v>
      </c>
      <c r="C206" s="2273" t="s">
        <v>1601</v>
      </c>
      <c r="D206" s="602"/>
      <c r="E206" s="2274">
        <v>21855</v>
      </c>
      <c r="F206" s="493" t="s">
        <v>1236</v>
      </c>
      <c r="G206" s="493">
        <v>2.7215692074999999E-2</v>
      </c>
      <c r="H206" s="602"/>
      <c r="I206" s="1440">
        <f>E206*G206*1000</f>
        <v>594798.95029912493</v>
      </c>
      <c r="J206" s="493" t="s">
        <v>1235</v>
      </c>
      <c r="K206" s="2275">
        <v>2.1</v>
      </c>
      <c r="L206" s="493" t="s">
        <v>1235</v>
      </c>
      <c r="M206" s="2276">
        <v>0.21</v>
      </c>
      <c r="N206" s="493" t="s">
        <v>1235</v>
      </c>
      <c r="O206" s="493">
        <v>0.87</v>
      </c>
      <c r="P206" s="493" t="s">
        <v>1235</v>
      </c>
      <c r="Q206" s="2277">
        <v>0.93</v>
      </c>
      <c r="R206" s="493" t="s">
        <v>1235</v>
      </c>
      <c r="S206" s="2277">
        <v>0.88</v>
      </c>
      <c r="T206" s="493" t="s">
        <v>1236</v>
      </c>
      <c r="U206" s="2278">
        <v>0.45</v>
      </c>
      <c r="V206" s="493" t="s">
        <v>1236</v>
      </c>
      <c r="W206" s="1440">
        <f t="shared" si="86"/>
        <v>84043.894703858765</v>
      </c>
      <c r="X206" s="493" t="s">
        <v>1236</v>
      </c>
      <c r="Y206" s="2279">
        <f t="shared" si="87"/>
        <v>560.29263135905842</v>
      </c>
      <c r="Z206" s="2280" t="s">
        <v>1236</v>
      </c>
      <c r="AA206" s="2281">
        <f>Y206/(10^6)*Z9*12/44</f>
        <v>4.2785982758328104E-3</v>
      </c>
      <c r="AB206" s="2280" t="s">
        <v>1236</v>
      </c>
      <c r="AC206" s="2282">
        <f t="shared" si="88"/>
        <v>1.5688193678053641E-2</v>
      </c>
      <c r="AD206" s="1502"/>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row>
    <row r="207" spans="1:81" ht="11.25" customHeight="1" x14ac:dyDescent="0.3">
      <c r="A207" s="2265"/>
      <c r="B207" s="2082" t="s">
        <v>1731</v>
      </c>
      <c r="C207" s="2273" t="s">
        <v>1598</v>
      </c>
      <c r="D207" s="602"/>
      <c r="E207" s="2274">
        <v>0</v>
      </c>
      <c r="F207" s="493" t="s">
        <v>1236</v>
      </c>
      <c r="G207" s="493" t="s">
        <v>772</v>
      </c>
      <c r="H207" s="602"/>
      <c r="I207" s="1440">
        <f>E207*0.9072*1000</f>
        <v>0</v>
      </c>
      <c r="J207" s="493" t="s">
        <v>1235</v>
      </c>
      <c r="K207" s="2275">
        <v>0.2</v>
      </c>
      <c r="L207" s="493" t="s">
        <v>1235</v>
      </c>
      <c r="M207" s="2276">
        <v>0.03</v>
      </c>
      <c r="N207" s="493" t="s">
        <v>1235</v>
      </c>
      <c r="O207" s="493">
        <v>0.62</v>
      </c>
      <c r="P207" s="493" t="s">
        <v>1235</v>
      </c>
      <c r="Q207" s="2277">
        <v>0.93</v>
      </c>
      <c r="R207" s="493" t="s">
        <v>1235</v>
      </c>
      <c r="S207" s="2277">
        <v>0.88</v>
      </c>
      <c r="T207" s="493" t="s">
        <v>1236</v>
      </c>
      <c r="U207" s="2278">
        <v>0.42349999999999999</v>
      </c>
      <c r="V207" s="493" t="s">
        <v>1236</v>
      </c>
      <c r="W207" s="1440">
        <f t="shared" si="86"/>
        <v>0</v>
      </c>
      <c r="X207" s="493" t="s">
        <v>1236</v>
      </c>
      <c r="Y207" s="2279">
        <f t="shared" si="87"/>
        <v>0</v>
      </c>
      <c r="Z207" s="2280" t="s">
        <v>1236</v>
      </c>
      <c r="AA207" s="2281">
        <f>Y207/(10^6)*Z9*12/44</f>
        <v>0</v>
      </c>
      <c r="AB207" s="2280" t="s">
        <v>1236</v>
      </c>
      <c r="AC207" s="2282">
        <f t="shared" si="88"/>
        <v>0</v>
      </c>
      <c r="AD207" s="1502"/>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row>
    <row r="208" spans="1:81" ht="11.25" customHeight="1" x14ac:dyDescent="0.3">
      <c r="A208" s="2265"/>
      <c r="B208" s="2082" t="s">
        <v>1732</v>
      </c>
      <c r="C208" s="2273" t="s">
        <v>1601</v>
      </c>
      <c r="D208" s="602"/>
      <c r="E208" s="2274">
        <v>10950</v>
      </c>
      <c r="F208" s="493" t="s">
        <v>1236</v>
      </c>
      <c r="G208" s="493">
        <v>2.7215442853E-2</v>
      </c>
      <c r="H208" s="602"/>
      <c r="I208" s="1440">
        <f>E208*G208*1000</f>
        <v>298009.09924035001</v>
      </c>
      <c r="J208" s="493" t="s">
        <v>1235</v>
      </c>
      <c r="K208" s="2275">
        <v>1.3</v>
      </c>
      <c r="L208" s="493" t="s">
        <v>1235</v>
      </c>
      <c r="M208" s="2276">
        <v>0.47</v>
      </c>
      <c r="N208" s="493" t="s">
        <v>1235</v>
      </c>
      <c r="O208" s="493">
        <v>0.93</v>
      </c>
      <c r="P208" s="493" t="s">
        <v>1235</v>
      </c>
      <c r="Q208" s="2277">
        <v>0.93</v>
      </c>
      <c r="R208" s="493" t="s">
        <v>1235</v>
      </c>
      <c r="S208" s="2277">
        <v>0.88</v>
      </c>
      <c r="T208" s="493" t="s">
        <v>1236</v>
      </c>
      <c r="U208" s="2278">
        <v>0.44280000000000003</v>
      </c>
      <c r="V208" s="493" t="s">
        <v>1236</v>
      </c>
      <c r="W208" s="1440">
        <f t="shared" si="86"/>
        <v>61365.872936564541</v>
      </c>
      <c r="X208" s="493" t="s">
        <v>1236</v>
      </c>
      <c r="Y208" s="2279">
        <f t="shared" si="87"/>
        <v>409.1058195770969</v>
      </c>
      <c r="Z208" s="2280" t="s">
        <v>1236</v>
      </c>
      <c r="AA208" s="2281">
        <f>Y208/(10^6)*Z9*12/44</f>
        <v>3.1240808040432851E-3</v>
      </c>
      <c r="AB208" s="2280" t="s">
        <v>1236</v>
      </c>
      <c r="AC208" s="2282">
        <f t="shared" si="88"/>
        <v>1.1454962948158712E-2</v>
      </c>
      <c r="AD208" s="1502"/>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row>
    <row r="209" spans="1:81" ht="11.25" customHeight="1" x14ac:dyDescent="0.3">
      <c r="A209" s="2265"/>
      <c r="B209" s="2082" t="s">
        <v>665</v>
      </c>
      <c r="C209" s="602" t="s">
        <v>1400</v>
      </c>
      <c r="D209" s="602"/>
      <c r="E209" s="2274"/>
      <c r="F209" s="493" t="s">
        <v>1236</v>
      </c>
      <c r="G209" s="493" t="s">
        <v>772</v>
      </c>
      <c r="H209" s="602"/>
      <c r="I209" s="1440">
        <f t="shared" ref="I209:I210" si="89">E209</f>
        <v>0</v>
      </c>
      <c r="J209" s="493" t="s">
        <v>1235</v>
      </c>
      <c r="K209" s="2283"/>
      <c r="L209" s="493" t="s">
        <v>1235</v>
      </c>
      <c r="M209" s="2284"/>
      <c r="N209" s="493" t="s">
        <v>1235</v>
      </c>
      <c r="O209" s="2285"/>
      <c r="P209" s="493" t="s">
        <v>1235</v>
      </c>
      <c r="Q209" s="2286"/>
      <c r="R209" s="493" t="s">
        <v>1235</v>
      </c>
      <c r="S209" s="2287"/>
      <c r="T209" s="493" t="s">
        <v>1236</v>
      </c>
      <c r="U209" s="2288"/>
      <c r="V209" s="493" t="s">
        <v>1236</v>
      </c>
      <c r="W209" s="1440">
        <f t="shared" si="86"/>
        <v>0</v>
      </c>
      <c r="X209" s="493" t="s">
        <v>1236</v>
      </c>
      <c r="Y209" s="2279">
        <f t="shared" si="87"/>
        <v>0</v>
      </c>
      <c r="Z209" s="2280" t="s">
        <v>1236</v>
      </c>
      <c r="AA209" s="2281">
        <f>Y209/(10^6)*Z9*12/44</f>
        <v>0</v>
      </c>
      <c r="AB209" s="2280" t="s">
        <v>1236</v>
      </c>
      <c r="AC209" s="2282">
        <f t="shared" si="88"/>
        <v>0</v>
      </c>
      <c r="AD209" s="1502"/>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row>
    <row r="210" spans="1:81" ht="11.25" customHeight="1" x14ac:dyDescent="0.3">
      <c r="A210" s="2265"/>
      <c r="B210" s="2082"/>
      <c r="C210" s="602" t="s">
        <v>1400</v>
      </c>
      <c r="D210" s="602"/>
      <c r="E210" s="2274"/>
      <c r="F210" s="493" t="s">
        <v>1236</v>
      </c>
      <c r="G210" s="493" t="s">
        <v>772</v>
      </c>
      <c r="H210" s="602"/>
      <c r="I210" s="1440">
        <f t="shared" si="89"/>
        <v>0</v>
      </c>
      <c r="J210" s="493" t="s">
        <v>1235</v>
      </c>
      <c r="K210" s="2283"/>
      <c r="L210" s="493" t="s">
        <v>1235</v>
      </c>
      <c r="M210" s="2284"/>
      <c r="N210" s="493" t="s">
        <v>1235</v>
      </c>
      <c r="O210" s="2285"/>
      <c r="P210" s="493" t="s">
        <v>1235</v>
      </c>
      <c r="Q210" s="2286"/>
      <c r="R210" s="493" t="s">
        <v>1235</v>
      </c>
      <c r="S210" s="2287"/>
      <c r="T210" s="493" t="s">
        <v>1236</v>
      </c>
      <c r="U210" s="2288"/>
      <c r="V210" s="493" t="s">
        <v>1236</v>
      </c>
      <c r="W210" s="1440">
        <f t="shared" si="86"/>
        <v>0</v>
      </c>
      <c r="X210" s="493" t="s">
        <v>1236</v>
      </c>
      <c r="Y210" s="2279">
        <f t="shared" si="87"/>
        <v>0</v>
      </c>
      <c r="Z210" s="2280" t="s">
        <v>1236</v>
      </c>
      <c r="AA210" s="2281">
        <f>Y210/(10^6)*Z9*12/44</f>
        <v>0</v>
      </c>
      <c r="AB210" s="2280" t="s">
        <v>1236</v>
      </c>
      <c r="AC210" s="2282">
        <f t="shared" si="88"/>
        <v>0</v>
      </c>
      <c r="AD210" s="1502"/>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row>
    <row r="211" spans="1:81" ht="11.25" customHeight="1" x14ac:dyDescent="0.2">
      <c r="A211" s="2265"/>
      <c r="B211" s="2178"/>
      <c r="C211" s="2245"/>
      <c r="D211" s="602"/>
      <c r="E211" s="2160"/>
      <c r="F211" s="493"/>
      <c r="G211" s="602"/>
      <c r="H211" s="602"/>
      <c r="I211" s="493"/>
      <c r="J211" s="493"/>
      <c r="K211" s="884"/>
      <c r="L211" s="493"/>
      <c r="M211" s="2289"/>
      <c r="N211" s="493"/>
      <c r="O211" s="2277"/>
      <c r="P211" s="602"/>
      <c r="Q211" s="602"/>
      <c r="R211" s="602"/>
      <c r="S211" s="602"/>
      <c r="T211" s="602"/>
      <c r="U211" s="884"/>
      <c r="V211" s="602"/>
      <c r="W211" s="884"/>
      <c r="X211" s="602"/>
      <c r="Y211" s="602"/>
      <c r="Z211" s="602"/>
      <c r="AA211" s="602"/>
      <c r="AB211" s="602"/>
      <c r="AC211" s="2272"/>
      <c r="AD211" s="1502"/>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row>
    <row r="212" spans="1:81" ht="11.25" customHeight="1" x14ac:dyDescent="0.2">
      <c r="A212" s="2265"/>
      <c r="B212" s="2036" t="s">
        <v>1543</v>
      </c>
      <c r="C212" s="2037"/>
      <c r="D212" s="2038"/>
      <c r="E212" s="2206"/>
      <c r="F212" s="2206"/>
      <c r="G212" s="2038"/>
      <c r="H212" s="2038"/>
      <c r="I212" s="2206"/>
      <c r="J212" s="2206"/>
      <c r="K212" s="2290"/>
      <c r="L212" s="2291"/>
      <c r="M212" s="2290"/>
      <c r="N212" s="2291"/>
      <c r="O212" s="2292"/>
      <c r="P212" s="2038"/>
      <c r="Q212" s="2292"/>
      <c r="R212" s="2038"/>
      <c r="S212" s="2292"/>
      <c r="T212" s="2038"/>
      <c r="U212" s="2290"/>
      <c r="V212" s="2038"/>
      <c r="W212" s="2290">
        <f>SUM(W202:W210)</f>
        <v>241802.74864827452</v>
      </c>
      <c r="X212" s="2038"/>
      <c r="Y212" s="2293">
        <f>SUM(Y202:Y210)</f>
        <v>1612.0183243218303</v>
      </c>
      <c r="Z212" s="2038"/>
      <c r="AA212" s="2292">
        <f>SUM(AA202:AA210)</f>
        <v>1.2309958113003065E-2</v>
      </c>
      <c r="AB212" s="2038"/>
      <c r="AC212" s="2294">
        <f>SUM(AC202:AC210)</f>
        <v>4.5136513081011242E-2</v>
      </c>
      <c r="AD212" s="1502"/>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row>
    <row r="213" spans="1:81" ht="11.25" customHeight="1" x14ac:dyDescent="0.3">
      <c r="A213" s="327"/>
      <c r="B213" s="1858"/>
      <c r="C213" s="716"/>
      <c r="D213" s="1741"/>
      <c r="E213" s="1741"/>
      <c r="F213" s="1741"/>
      <c r="G213" s="1859"/>
      <c r="H213" s="387"/>
      <c r="I213" s="1860"/>
      <c r="J213" s="387"/>
      <c r="K213" s="1861"/>
      <c r="L213" s="327"/>
      <c r="M213" s="1861"/>
      <c r="N213" s="327"/>
      <c r="O213" s="327"/>
      <c r="P213" s="327"/>
      <c r="Q213" s="327"/>
      <c r="R213" s="327"/>
      <c r="S213" s="327"/>
      <c r="T213" s="327"/>
      <c r="U213" s="327"/>
    </row>
    <row r="214" spans="1:81" ht="22.5" customHeight="1" x14ac:dyDescent="0.45">
      <c r="A214" s="2049"/>
      <c r="B214" s="2295" t="s">
        <v>1733</v>
      </c>
      <c r="C214" s="1869"/>
      <c r="D214" s="1870"/>
      <c r="E214" s="1870"/>
      <c r="F214" s="1870"/>
      <c r="G214" s="1871"/>
      <c r="H214" s="1872"/>
      <c r="I214" s="1873"/>
      <c r="J214" s="1872"/>
      <c r="K214" s="1874"/>
      <c r="L214" s="1829"/>
      <c r="M214" s="1874"/>
      <c r="N214" s="1829"/>
      <c r="O214" s="1829"/>
      <c r="P214" s="1829"/>
      <c r="Q214" s="1829"/>
      <c r="R214" s="1829"/>
      <c r="S214" s="1829"/>
      <c r="T214" s="1829"/>
      <c r="U214" s="1829"/>
      <c r="V214" s="1829"/>
      <c r="W214" s="1829"/>
      <c r="X214" s="1829"/>
      <c r="Y214" s="1829"/>
      <c r="Z214" s="1829"/>
      <c r="AA214" s="1829"/>
      <c r="AB214" s="1829"/>
      <c r="AC214" s="1830"/>
      <c r="AD214" s="2296"/>
      <c r="AH214" s="2107" t="s">
        <v>1653</v>
      </c>
    </row>
    <row r="215" spans="1:81" ht="30.75" customHeight="1" x14ac:dyDescent="0.25">
      <c r="A215" s="2297"/>
      <c r="B215" s="2298" t="s">
        <v>1712</v>
      </c>
      <c r="C215" s="2267" t="s">
        <v>178</v>
      </c>
      <c r="D215" s="2075"/>
      <c r="E215" s="2268" t="s">
        <v>1713</v>
      </c>
      <c r="F215" s="2268"/>
      <c r="G215" s="2075" t="s">
        <v>1714</v>
      </c>
      <c r="H215" s="2075"/>
      <c r="I215" s="2268" t="s">
        <v>1715</v>
      </c>
      <c r="J215" s="2268"/>
      <c r="K215" s="2268" t="s">
        <v>1716</v>
      </c>
      <c r="L215" s="2269"/>
      <c r="M215" s="2268" t="s">
        <v>1734</v>
      </c>
      <c r="N215" s="2269"/>
      <c r="O215" s="2268" t="s">
        <v>1718</v>
      </c>
      <c r="P215" s="2269"/>
      <c r="Q215" s="2268" t="s">
        <v>1719</v>
      </c>
      <c r="R215" s="2075"/>
      <c r="S215" s="2268" t="s">
        <v>1720</v>
      </c>
      <c r="T215" s="2075"/>
      <c r="U215" s="2270" t="s">
        <v>1735</v>
      </c>
      <c r="V215" s="2075"/>
      <c r="W215" s="2268" t="s">
        <v>1736</v>
      </c>
      <c r="X215" s="2075"/>
      <c r="Y215" s="2268" t="s">
        <v>1737</v>
      </c>
      <c r="Z215" s="2075"/>
      <c r="AA215" s="2268" t="s">
        <v>1738</v>
      </c>
      <c r="AB215" s="2075"/>
      <c r="AC215" s="2299" t="s">
        <v>1739</v>
      </c>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row>
    <row r="216" spans="1:81" ht="11.25" customHeight="1" x14ac:dyDescent="0.2">
      <c r="A216" s="2297"/>
      <c r="B216" s="2300"/>
      <c r="C216" s="602"/>
      <c r="D216" s="602"/>
      <c r="E216" s="493"/>
      <c r="F216" s="493"/>
      <c r="G216" s="602"/>
      <c r="H216" s="602"/>
      <c r="I216" s="602"/>
      <c r="J216" s="602"/>
      <c r="K216" s="602"/>
      <c r="L216" s="602"/>
      <c r="M216" s="602"/>
      <c r="N216" s="602"/>
      <c r="O216" s="602"/>
      <c r="P216" s="602"/>
      <c r="Q216" s="602"/>
      <c r="R216" s="602"/>
      <c r="S216" s="602"/>
      <c r="T216" s="602"/>
      <c r="U216" s="884"/>
      <c r="V216" s="602"/>
      <c r="W216" s="602"/>
      <c r="X216" s="602"/>
      <c r="Y216" s="602"/>
      <c r="Z216" s="602"/>
      <c r="AA216" s="602"/>
      <c r="AB216" s="602"/>
      <c r="AC216" s="1459"/>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row>
    <row r="217" spans="1:81" ht="11.25" customHeight="1" x14ac:dyDescent="0.3">
      <c r="A217" s="2297"/>
      <c r="B217" s="2301" t="s">
        <v>1726</v>
      </c>
      <c r="C217" s="2273" t="s">
        <v>1601</v>
      </c>
      <c r="D217" s="602"/>
      <c r="E217" s="2302">
        <v>1533</v>
      </c>
      <c r="F217" s="493" t="s">
        <v>1236</v>
      </c>
      <c r="G217" s="493">
        <v>2.1772E-2</v>
      </c>
      <c r="H217" s="602"/>
      <c r="I217" s="1440">
        <f t="shared" ref="I217:I218" si="90">E217*G217*1000</f>
        <v>33376.475999999995</v>
      </c>
      <c r="J217" s="493" t="s">
        <v>1235</v>
      </c>
      <c r="K217" s="2275">
        <v>1.2</v>
      </c>
      <c r="L217" s="493" t="s">
        <v>1235</v>
      </c>
      <c r="M217" s="2276">
        <v>0.03</v>
      </c>
      <c r="N217" s="493" t="s">
        <v>1235</v>
      </c>
      <c r="O217" s="493">
        <v>0.93</v>
      </c>
      <c r="P217" s="493" t="s">
        <v>1235</v>
      </c>
      <c r="Q217" s="2277">
        <v>0.93</v>
      </c>
      <c r="R217" s="493" t="s">
        <v>1235</v>
      </c>
      <c r="S217" s="2277">
        <v>0.88</v>
      </c>
      <c r="T217" s="493" t="s">
        <v>1236</v>
      </c>
      <c r="U217" s="2278">
        <v>7.7000000000000002E-3</v>
      </c>
      <c r="V217" s="493" t="s">
        <v>1236</v>
      </c>
      <c r="W217" s="2276">
        <f t="shared" ref="W217:W225" si="91">I217*K217*M217*O217*Q217*S217*U217</f>
        <v>7.0417771304436858</v>
      </c>
      <c r="X217" s="493" t="s">
        <v>1236</v>
      </c>
      <c r="Y217" s="2303">
        <f t="shared" ref="Y217:Y225" si="92">W217*0.007*(44/28)</f>
        <v>7.7459548434880537E-2</v>
      </c>
      <c r="Z217" s="493" t="s">
        <v>1236</v>
      </c>
      <c r="AA217" s="2304">
        <f>Y217/(10^6)*Z10*12/44</f>
        <v>5.5982128187027288E-6</v>
      </c>
      <c r="AB217" s="493" t="s">
        <v>1236</v>
      </c>
      <c r="AC217" s="2305">
        <f t="shared" ref="AC217:AC225" si="93">AA217/(12/44)</f>
        <v>2.0526780335243342E-5</v>
      </c>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row>
    <row r="218" spans="1:81" ht="11.25" customHeight="1" x14ac:dyDescent="0.3">
      <c r="A218" s="2297"/>
      <c r="B218" s="2301" t="s">
        <v>1727</v>
      </c>
      <c r="C218" s="2273" t="s">
        <v>1601</v>
      </c>
      <c r="D218" s="602"/>
      <c r="E218" s="2302">
        <v>66650</v>
      </c>
      <c r="F218" s="493" t="s">
        <v>1236</v>
      </c>
      <c r="G218" s="493">
        <v>2.5401147108E-2</v>
      </c>
      <c r="H218" s="602"/>
      <c r="I218" s="1440">
        <f t="shared" si="90"/>
        <v>1692986.4547482</v>
      </c>
      <c r="J218" s="493" t="s">
        <v>1235</v>
      </c>
      <c r="K218" s="2275">
        <v>1</v>
      </c>
      <c r="L218" s="493" t="s">
        <v>1235</v>
      </c>
      <c r="M218" s="2276">
        <v>0.17</v>
      </c>
      <c r="N218" s="493" t="s">
        <v>1235</v>
      </c>
      <c r="O218" s="493">
        <v>0.91</v>
      </c>
      <c r="P218" s="493" t="s">
        <v>1235</v>
      </c>
      <c r="Q218" s="2277">
        <v>0.93</v>
      </c>
      <c r="R218" s="493" t="s">
        <v>1235</v>
      </c>
      <c r="S218" s="2277">
        <v>0.88</v>
      </c>
      <c r="T218" s="493" t="s">
        <v>1236</v>
      </c>
      <c r="U218" s="2278">
        <v>5.7999999999999996E-3</v>
      </c>
      <c r="V218" s="493" t="s">
        <v>1236</v>
      </c>
      <c r="W218" s="2276">
        <f t="shared" si="91"/>
        <v>1243.1897231954238</v>
      </c>
      <c r="X218" s="493" t="s">
        <v>1236</v>
      </c>
      <c r="Y218" s="2303">
        <f t="shared" si="92"/>
        <v>13.675086955149661</v>
      </c>
      <c r="Z218" s="493" t="s">
        <v>1236</v>
      </c>
      <c r="AA218" s="2304">
        <f>Y218/(10^6)*Z10*12/44</f>
        <v>9.88335829940362E-4</v>
      </c>
      <c r="AB218" s="493" t="s">
        <v>1236</v>
      </c>
      <c r="AC218" s="2305">
        <f t="shared" si="93"/>
        <v>3.6238980431146611E-3</v>
      </c>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row>
    <row r="219" spans="1:81" ht="11.25" customHeight="1" x14ac:dyDescent="0.3">
      <c r="A219" s="2297"/>
      <c r="B219" s="2301" t="s">
        <v>1612</v>
      </c>
      <c r="C219" s="2273" t="s">
        <v>1728</v>
      </c>
      <c r="D219" s="602"/>
      <c r="E219" s="2306">
        <v>0</v>
      </c>
      <c r="F219" s="493" t="s">
        <v>1236</v>
      </c>
      <c r="G219" s="493" t="s">
        <v>772</v>
      </c>
      <c r="H219" s="602"/>
      <c r="I219" s="1440">
        <f>(E219*1000/2000*0.9072)</f>
        <v>0</v>
      </c>
      <c r="J219" s="493" t="s">
        <v>1235</v>
      </c>
      <c r="K219" s="2275">
        <v>1</v>
      </c>
      <c r="L219" s="493" t="s">
        <v>1235</v>
      </c>
      <c r="M219" s="2276">
        <v>0.03</v>
      </c>
      <c r="N219" s="493" t="s">
        <v>1235</v>
      </c>
      <c r="O219" s="493">
        <v>0.86</v>
      </c>
      <c r="P219" s="493" t="s">
        <v>1235</v>
      </c>
      <c r="Q219" s="2277">
        <v>0.93</v>
      </c>
      <c r="R219" s="493" t="s">
        <v>1235</v>
      </c>
      <c r="S219" s="2277">
        <v>0.88</v>
      </c>
      <c r="T219" s="493" t="s">
        <v>1236</v>
      </c>
      <c r="U219" s="2278">
        <v>1.06E-2</v>
      </c>
      <c r="V219" s="493" t="s">
        <v>1236</v>
      </c>
      <c r="W219" s="2276">
        <f t="shared" si="91"/>
        <v>0</v>
      </c>
      <c r="X219" s="493" t="s">
        <v>1236</v>
      </c>
      <c r="Y219" s="2303">
        <f t="shared" si="92"/>
        <v>0</v>
      </c>
      <c r="Z219" s="493" t="s">
        <v>1236</v>
      </c>
      <c r="AA219" s="2304">
        <f>Y219/(10^6)*Z10*12/44</f>
        <v>0</v>
      </c>
      <c r="AB219" s="493" t="s">
        <v>1236</v>
      </c>
      <c r="AC219" s="2305">
        <f t="shared" si="93"/>
        <v>0</v>
      </c>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row>
    <row r="220" spans="1:81" ht="11.25" customHeight="1" x14ac:dyDescent="0.3">
      <c r="A220" s="2297"/>
      <c r="B220" s="2301" t="s">
        <v>1609</v>
      </c>
      <c r="C220" s="2273" t="s">
        <v>1729</v>
      </c>
      <c r="D220" s="602"/>
      <c r="E220" s="2306">
        <v>0</v>
      </c>
      <c r="F220" s="493" t="s">
        <v>1236</v>
      </c>
      <c r="G220" s="493" t="s">
        <v>772</v>
      </c>
      <c r="H220" s="602"/>
      <c r="I220" s="1440">
        <v>0</v>
      </c>
      <c r="J220" s="493" t="s">
        <v>1235</v>
      </c>
      <c r="K220" s="2275">
        <v>1.4</v>
      </c>
      <c r="L220" s="493" t="s">
        <v>1235</v>
      </c>
      <c r="M220" s="2276">
        <v>0</v>
      </c>
      <c r="N220" s="493" t="s">
        <v>1235</v>
      </c>
      <c r="O220" s="493">
        <v>0.91</v>
      </c>
      <c r="P220" s="493" t="s">
        <v>1235</v>
      </c>
      <c r="Q220" s="2277">
        <v>0.93</v>
      </c>
      <c r="R220" s="493" t="s">
        <v>1235</v>
      </c>
      <c r="S220" s="2277">
        <v>0.88</v>
      </c>
      <c r="T220" s="493" t="s">
        <v>1236</v>
      </c>
      <c r="U220" s="2278">
        <v>7.1999999999999998E-3</v>
      </c>
      <c r="V220" s="493" t="s">
        <v>1236</v>
      </c>
      <c r="W220" s="2276">
        <f t="shared" si="91"/>
        <v>0</v>
      </c>
      <c r="X220" s="493" t="s">
        <v>1236</v>
      </c>
      <c r="Y220" s="2303">
        <f t="shared" si="92"/>
        <v>0</v>
      </c>
      <c r="Z220" s="493" t="s">
        <v>1236</v>
      </c>
      <c r="AA220" s="2304">
        <f>Y220/(10^6)*Z10*12/44</f>
        <v>0</v>
      </c>
      <c r="AB220" s="493" t="s">
        <v>1236</v>
      </c>
      <c r="AC220" s="2305">
        <f t="shared" si="93"/>
        <v>0</v>
      </c>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row>
    <row r="221" spans="1:81" ht="11.25" customHeight="1" x14ac:dyDescent="0.3">
      <c r="A221" s="2297"/>
      <c r="B221" s="2301" t="s">
        <v>1730</v>
      </c>
      <c r="C221" s="2273" t="s">
        <v>1601</v>
      </c>
      <c r="D221" s="602"/>
      <c r="E221" s="2302">
        <v>21855</v>
      </c>
      <c r="F221" s="493" t="s">
        <v>1236</v>
      </c>
      <c r="G221" s="493">
        <v>2.7215692074999999E-2</v>
      </c>
      <c r="H221" s="602"/>
      <c r="I221" s="1440">
        <f>E221*G221*1000</f>
        <v>594798.95029912493</v>
      </c>
      <c r="J221" s="493" t="s">
        <v>1235</v>
      </c>
      <c r="K221" s="2275">
        <v>2.1</v>
      </c>
      <c r="L221" s="493" t="s">
        <v>1235</v>
      </c>
      <c r="M221" s="2276">
        <v>0.21</v>
      </c>
      <c r="N221" s="493" t="s">
        <v>1235</v>
      </c>
      <c r="O221" s="493">
        <v>0.87</v>
      </c>
      <c r="P221" s="493" t="s">
        <v>1235</v>
      </c>
      <c r="Q221" s="2277">
        <v>0.93</v>
      </c>
      <c r="R221" s="493" t="s">
        <v>1235</v>
      </c>
      <c r="S221" s="2277">
        <v>0.88</v>
      </c>
      <c r="T221" s="493" t="s">
        <v>1236</v>
      </c>
      <c r="U221" s="2278">
        <v>2.3E-2</v>
      </c>
      <c r="V221" s="493" t="s">
        <v>1236</v>
      </c>
      <c r="W221" s="2276">
        <f t="shared" si="91"/>
        <v>4295.5768404194478</v>
      </c>
      <c r="X221" s="493" t="s">
        <v>1236</v>
      </c>
      <c r="Y221" s="2303">
        <f t="shared" si="92"/>
        <v>47.25134524461393</v>
      </c>
      <c r="Z221" s="493" t="s">
        <v>1236</v>
      </c>
      <c r="AA221" s="2304">
        <f>Y221/(10^6)*Z10*12/44</f>
        <v>3.4149835881334615E-3</v>
      </c>
      <c r="AB221" s="493" t="s">
        <v>1236</v>
      </c>
      <c r="AC221" s="2305">
        <f t="shared" si="93"/>
        <v>1.2521606489822694E-2</v>
      </c>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row>
    <row r="222" spans="1:81" ht="11.25" customHeight="1" x14ac:dyDescent="0.3">
      <c r="A222" s="2297"/>
      <c r="B222" s="2301" t="s">
        <v>1731</v>
      </c>
      <c r="C222" s="2273" t="s">
        <v>1598</v>
      </c>
      <c r="D222" s="602"/>
      <c r="E222" s="2306">
        <v>0</v>
      </c>
      <c r="F222" s="493" t="s">
        <v>1236</v>
      </c>
      <c r="G222" s="493" t="s">
        <v>772</v>
      </c>
      <c r="H222" s="602"/>
      <c r="I222" s="1440">
        <f>E222*0.9072*1000</f>
        <v>0</v>
      </c>
      <c r="J222" s="493" t="s">
        <v>1235</v>
      </c>
      <c r="K222" s="2275">
        <v>0.2</v>
      </c>
      <c r="L222" s="493" t="s">
        <v>1235</v>
      </c>
      <c r="M222" s="2276">
        <v>0.03</v>
      </c>
      <c r="N222" s="493" t="s">
        <v>1235</v>
      </c>
      <c r="O222" s="493">
        <v>0.62</v>
      </c>
      <c r="P222" s="493" t="s">
        <v>1235</v>
      </c>
      <c r="Q222" s="2277">
        <v>0.93</v>
      </c>
      <c r="R222" s="493" t="s">
        <v>1235</v>
      </c>
      <c r="S222" s="2277">
        <v>0.88</v>
      </c>
      <c r="T222" s="493" t="s">
        <v>1236</v>
      </c>
      <c r="U222" s="2278">
        <v>4.0000000000000001E-3</v>
      </c>
      <c r="V222" s="493" t="s">
        <v>1236</v>
      </c>
      <c r="W222" s="2276">
        <f t="shared" si="91"/>
        <v>0</v>
      </c>
      <c r="X222" s="493" t="s">
        <v>1236</v>
      </c>
      <c r="Y222" s="2303">
        <f t="shared" si="92"/>
        <v>0</v>
      </c>
      <c r="Z222" s="493" t="s">
        <v>1236</v>
      </c>
      <c r="AA222" s="2304">
        <f>Y222/(10^6)*Z10*12/44</f>
        <v>0</v>
      </c>
      <c r="AB222" s="493" t="s">
        <v>1236</v>
      </c>
      <c r="AC222" s="2305">
        <f t="shared" si="93"/>
        <v>0</v>
      </c>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row>
    <row r="223" spans="1:81" ht="11.25" customHeight="1" x14ac:dyDescent="0.3">
      <c r="A223" s="2297"/>
      <c r="B223" s="2301" t="s">
        <v>1732</v>
      </c>
      <c r="C223" s="2273" t="s">
        <v>1601</v>
      </c>
      <c r="D223" s="602"/>
      <c r="E223" s="2302">
        <v>10950</v>
      </c>
      <c r="F223" s="493" t="s">
        <v>1236</v>
      </c>
      <c r="G223" s="493">
        <v>2.7215442853E-2</v>
      </c>
      <c r="H223" s="602"/>
      <c r="I223" s="1440">
        <f>E223*G223*1000</f>
        <v>298009.09924035001</v>
      </c>
      <c r="J223" s="493" t="s">
        <v>1235</v>
      </c>
      <c r="K223" s="2275">
        <v>1.3</v>
      </c>
      <c r="L223" s="493" t="s">
        <v>1235</v>
      </c>
      <c r="M223" s="2276">
        <v>0.47</v>
      </c>
      <c r="N223" s="493" t="s">
        <v>1235</v>
      </c>
      <c r="O223" s="493">
        <v>0.93</v>
      </c>
      <c r="P223" s="493" t="s">
        <v>1235</v>
      </c>
      <c r="Q223" s="2277">
        <v>0.93</v>
      </c>
      <c r="R223" s="493" t="s">
        <v>1235</v>
      </c>
      <c r="S223" s="2277">
        <v>0.88</v>
      </c>
      <c r="T223" s="493" t="s">
        <v>1236</v>
      </c>
      <c r="U223" s="2278">
        <v>6.1999999999999998E-3</v>
      </c>
      <c r="V223" s="493" t="s">
        <v>1236</v>
      </c>
      <c r="W223" s="2276">
        <f t="shared" si="91"/>
        <v>859.23308989769669</v>
      </c>
      <c r="X223" s="493" t="s">
        <v>1236</v>
      </c>
      <c r="Y223" s="2303">
        <f t="shared" si="92"/>
        <v>9.4515639888746641</v>
      </c>
      <c r="Z223" s="493" t="s">
        <v>1236</v>
      </c>
      <c r="AA223" s="2304">
        <f>Y223/(10^6)*Z10*12/44</f>
        <v>6.8309030646866893E-4</v>
      </c>
      <c r="AB223" s="493" t="s">
        <v>1236</v>
      </c>
      <c r="AC223" s="2305">
        <f t="shared" si="93"/>
        <v>2.5046644570517864E-3</v>
      </c>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row>
    <row r="224" spans="1:81" ht="11.25" customHeight="1" x14ac:dyDescent="0.3">
      <c r="A224" s="2297"/>
      <c r="B224" s="2301" t="s">
        <v>665</v>
      </c>
      <c r="C224" s="602"/>
      <c r="D224" s="602"/>
      <c r="E224" s="2306">
        <v>0</v>
      </c>
      <c r="F224" s="493" t="s">
        <v>1236</v>
      </c>
      <c r="G224" s="493" t="s">
        <v>772</v>
      </c>
      <c r="H224" s="602"/>
      <c r="I224" s="1440">
        <f t="shared" ref="I224:I225" si="94">E224</f>
        <v>0</v>
      </c>
      <c r="J224" s="493" t="s">
        <v>1235</v>
      </c>
      <c r="K224" s="2283"/>
      <c r="L224" s="493" t="s">
        <v>1235</v>
      </c>
      <c r="M224" s="2284"/>
      <c r="N224" s="493" t="s">
        <v>1235</v>
      </c>
      <c r="O224" s="2285"/>
      <c r="P224" s="493" t="s">
        <v>1235</v>
      </c>
      <c r="Q224" s="2286"/>
      <c r="R224" s="493" t="s">
        <v>1235</v>
      </c>
      <c r="S224" s="2287"/>
      <c r="T224" s="493" t="s">
        <v>1236</v>
      </c>
      <c r="U224" s="2288"/>
      <c r="V224" s="493" t="s">
        <v>1236</v>
      </c>
      <c r="W224" s="2276">
        <f t="shared" si="91"/>
        <v>0</v>
      </c>
      <c r="X224" s="493" t="s">
        <v>1236</v>
      </c>
      <c r="Y224" s="2303">
        <f t="shared" si="92"/>
        <v>0</v>
      </c>
      <c r="Z224" s="493" t="s">
        <v>1236</v>
      </c>
      <c r="AA224" s="2304">
        <f>Y224/(10^6)*Z10*12/44</f>
        <v>0</v>
      </c>
      <c r="AB224" s="493" t="s">
        <v>1236</v>
      </c>
      <c r="AC224" s="2305">
        <f t="shared" si="93"/>
        <v>0</v>
      </c>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row>
    <row r="225" spans="1:81" ht="11.25" customHeight="1" x14ac:dyDescent="0.3">
      <c r="A225" s="2297"/>
      <c r="B225" s="2300"/>
      <c r="C225" s="602"/>
      <c r="D225" s="602"/>
      <c r="E225" s="2306">
        <v>0</v>
      </c>
      <c r="F225" s="493" t="s">
        <v>1236</v>
      </c>
      <c r="G225" s="493" t="s">
        <v>772</v>
      </c>
      <c r="H225" s="602"/>
      <c r="I225" s="1440">
        <f t="shared" si="94"/>
        <v>0</v>
      </c>
      <c r="J225" s="493" t="s">
        <v>1235</v>
      </c>
      <c r="K225" s="2283"/>
      <c r="L225" s="493" t="s">
        <v>1235</v>
      </c>
      <c r="M225" s="2284"/>
      <c r="N225" s="493" t="s">
        <v>1235</v>
      </c>
      <c r="O225" s="2285"/>
      <c r="P225" s="493" t="s">
        <v>1235</v>
      </c>
      <c r="Q225" s="2286"/>
      <c r="R225" s="493" t="s">
        <v>1235</v>
      </c>
      <c r="S225" s="2287"/>
      <c r="T225" s="493" t="s">
        <v>1236</v>
      </c>
      <c r="U225" s="2288"/>
      <c r="V225" s="493" t="s">
        <v>1236</v>
      </c>
      <c r="W225" s="2276">
        <f t="shared" si="91"/>
        <v>0</v>
      </c>
      <c r="X225" s="493" t="s">
        <v>1236</v>
      </c>
      <c r="Y225" s="2303">
        <f t="shared" si="92"/>
        <v>0</v>
      </c>
      <c r="Z225" s="493" t="s">
        <v>1236</v>
      </c>
      <c r="AA225" s="2304">
        <f>Y225/(10^6)*Z10*12/44</f>
        <v>0</v>
      </c>
      <c r="AB225" s="493" t="s">
        <v>1236</v>
      </c>
      <c r="AC225" s="2305">
        <f t="shared" si="93"/>
        <v>0</v>
      </c>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row>
    <row r="226" spans="1:81" ht="11.25" customHeight="1" x14ac:dyDescent="0.2">
      <c r="A226" s="2297"/>
      <c r="B226" s="2307"/>
      <c r="C226" s="2245"/>
      <c r="D226" s="602"/>
      <c r="E226" s="2160"/>
      <c r="F226" s="493"/>
      <c r="G226" s="602"/>
      <c r="H226" s="602"/>
      <c r="I226" s="493"/>
      <c r="J226" s="493"/>
      <c r="K226" s="884"/>
      <c r="L226" s="493"/>
      <c r="M226" s="2289"/>
      <c r="N226" s="493"/>
      <c r="O226" s="2277"/>
      <c r="P226" s="602"/>
      <c r="Q226" s="602"/>
      <c r="R226" s="602"/>
      <c r="S226" s="602"/>
      <c r="T226" s="602"/>
      <c r="U226" s="602"/>
      <c r="V226" s="602"/>
      <c r="W226" s="2276"/>
      <c r="X226" s="602"/>
      <c r="Y226" s="2308"/>
      <c r="Z226" s="602"/>
      <c r="AA226" s="602"/>
      <c r="AB226" s="602"/>
      <c r="AC226" s="1459"/>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row>
    <row r="227" spans="1:81" ht="11.25" customHeight="1" x14ac:dyDescent="0.2">
      <c r="A227" s="2297"/>
      <c r="B227" s="2309" t="s">
        <v>1543</v>
      </c>
      <c r="C227" s="2269"/>
      <c r="D227" s="2075"/>
      <c r="E227" s="2310"/>
      <c r="F227" s="2310"/>
      <c r="G227" s="2075"/>
      <c r="H227" s="2075"/>
      <c r="I227" s="2310"/>
      <c r="J227" s="2310"/>
      <c r="K227" s="2311"/>
      <c r="L227" s="2267"/>
      <c r="M227" s="2311"/>
      <c r="N227" s="2267"/>
      <c r="O227" s="2312"/>
      <c r="P227" s="2075"/>
      <c r="Q227" s="2312"/>
      <c r="R227" s="2075"/>
      <c r="S227" s="2075"/>
      <c r="T227" s="2075"/>
      <c r="U227" s="2312"/>
      <c r="V227" s="2075"/>
      <c r="W227" s="2313">
        <f>SUM(W217:W225)</f>
        <v>6405.0414306430121</v>
      </c>
      <c r="X227" s="2075"/>
      <c r="Y227" s="2314">
        <f>SUM(Y217:Y225)</f>
        <v>70.455455737073137</v>
      </c>
      <c r="Z227" s="2075"/>
      <c r="AA227" s="2315">
        <f>SUM(AA217:AA225)</f>
        <v>5.0920079373611947E-3</v>
      </c>
      <c r="AB227" s="2075"/>
      <c r="AC227" s="2316">
        <f>SUM(AC217:AC225)</f>
        <v>1.8670695770324385E-2</v>
      </c>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row>
    <row r="228" spans="1:81" ht="11.25" customHeight="1" x14ac:dyDescent="0.3">
      <c r="A228" s="2049"/>
      <c r="B228" s="2317"/>
      <c r="C228" s="1971"/>
      <c r="D228" s="1972"/>
      <c r="E228" s="1972"/>
      <c r="F228" s="1972"/>
      <c r="G228" s="1973"/>
      <c r="H228" s="1974"/>
      <c r="I228" s="1975"/>
      <c r="J228" s="1974"/>
      <c r="K228" s="1976"/>
      <c r="L228" s="1641"/>
      <c r="M228" s="1976"/>
      <c r="N228" s="1641"/>
      <c r="O228" s="1641"/>
      <c r="P228" s="1641"/>
      <c r="Q228" s="1641"/>
      <c r="R228" s="1641"/>
      <c r="S228" s="1641"/>
      <c r="T228" s="1641"/>
      <c r="U228" s="1641"/>
      <c r="V228" s="1641"/>
      <c r="W228" s="1641"/>
      <c r="X228" s="1641"/>
      <c r="Y228" s="1641"/>
      <c r="Z228" s="1641"/>
      <c r="AA228" s="1641"/>
      <c r="AB228" s="1641"/>
      <c r="AC228" s="1977"/>
    </row>
    <row r="229" spans="1:81" ht="11.25" customHeight="1" x14ac:dyDescent="0.3">
      <c r="A229" s="327"/>
      <c r="B229" s="1858"/>
      <c r="C229" s="716"/>
      <c r="D229" s="1741"/>
      <c r="E229" s="1741"/>
      <c r="F229" s="1741"/>
      <c r="G229" s="1859"/>
      <c r="H229" s="387"/>
      <c r="I229" s="1860"/>
      <c r="J229" s="387"/>
      <c r="K229" s="1861"/>
      <c r="L229" s="327"/>
      <c r="M229" s="1861"/>
      <c r="N229" s="327"/>
      <c r="O229" s="327"/>
      <c r="P229" s="327"/>
      <c r="Q229" s="327"/>
      <c r="R229" s="327"/>
      <c r="S229" s="327"/>
      <c r="T229" s="327"/>
      <c r="U229" s="327"/>
      <c r="V229" s="327"/>
      <c r="W229" s="327"/>
      <c r="X229" s="327"/>
      <c r="Y229" s="327"/>
      <c r="Z229" s="327"/>
      <c r="AA229" s="327"/>
      <c r="AB229" s="327"/>
      <c r="AC229" s="327"/>
    </row>
    <row r="230" spans="1:81" ht="11.25" customHeight="1" x14ac:dyDescent="0.3">
      <c r="A230" s="327"/>
      <c r="B230" s="1858"/>
      <c r="C230" s="716"/>
      <c r="D230" s="1741"/>
      <c r="E230" s="1741"/>
      <c r="F230" s="1741"/>
      <c r="G230" s="1859"/>
      <c r="H230" s="387"/>
      <c r="I230" s="1860"/>
      <c r="J230" s="387"/>
      <c r="K230" s="1861"/>
      <c r="L230" s="327"/>
      <c r="M230" s="1861"/>
      <c r="N230" s="327"/>
      <c r="O230" s="327"/>
      <c r="P230" s="327"/>
      <c r="Q230" s="327"/>
      <c r="R230" s="327"/>
      <c r="S230" s="327"/>
      <c r="T230" s="327"/>
      <c r="U230" s="327"/>
      <c r="V230" s="327"/>
      <c r="W230" s="327"/>
      <c r="X230" s="327"/>
      <c r="Y230" s="327"/>
      <c r="Z230" s="327"/>
      <c r="AA230" s="327"/>
      <c r="AB230" s="327"/>
      <c r="AC230" s="327"/>
    </row>
    <row r="231" spans="1:81" ht="11.25" customHeight="1" x14ac:dyDescent="0.3">
      <c r="A231" s="327"/>
      <c r="B231" s="1858"/>
      <c r="C231" s="716"/>
      <c r="D231" s="1741"/>
      <c r="E231" s="1741"/>
      <c r="F231" s="1741"/>
      <c r="G231" s="1859"/>
      <c r="H231" s="387"/>
      <c r="I231" s="1860"/>
      <c r="J231" s="387"/>
      <c r="K231" s="1861"/>
      <c r="L231" s="327"/>
      <c r="M231" s="1861"/>
      <c r="N231" s="327"/>
      <c r="O231" s="327"/>
      <c r="P231" s="327"/>
      <c r="Q231" s="327"/>
      <c r="R231" s="327"/>
      <c r="S231" s="327"/>
      <c r="T231" s="327"/>
      <c r="U231" s="327"/>
      <c r="V231" s="327"/>
      <c r="W231" s="327"/>
      <c r="X231" s="327"/>
      <c r="Y231" s="327"/>
      <c r="Z231" s="327"/>
      <c r="AA231" s="327"/>
      <c r="AB231" s="327"/>
      <c r="AC231" s="327"/>
    </row>
    <row r="232" spans="1:81" ht="11.25" customHeight="1" x14ac:dyDescent="0.3">
      <c r="A232" s="4"/>
      <c r="B232" s="2318" t="s">
        <v>1740</v>
      </c>
      <c r="C232" s="2319"/>
      <c r="D232" s="2319"/>
      <c r="E232" s="2320"/>
      <c r="F232" s="1741"/>
      <c r="G232" s="1859"/>
      <c r="H232" s="387"/>
      <c r="I232" s="1860"/>
      <c r="J232" s="387"/>
      <c r="K232" s="1861"/>
      <c r="M232" s="1861"/>
      <c r="AH232" s="2107" t="s">
        <v>1653</v>
      </c>
    </row>
    <row r="233" spans="1:81" ht="11.25" customHeight="1" x14ac:dyDescent="0.25">
      <c r="A233" s="4"/>
      <c r="B233" s="4"/>
      <c r="C233" s="4"/>
      <c r="D233" s="4"/>
      <c r="E233" s="4"/>
    </row>
    <row r="234" spans="1:81" ht="11.25" customHeight="1" x14ac:dyDescent="0.35">
      <c r="A234" s="4"/>
      <c r="B234" s="2321" t="s">
        <v>1741</v>
      </c>
      <c r="C234" s="2322">
        <v>2020</v>
      </c>
      <c r="D234" s="2323"/>
      <c r="E234" s="2324" t="s">
        <v>1742</v>
      </c>
    </row>
    <row r="235" spans="1:81" ht="11.25" customHeight="1" x14ac:dyDescent="0.25">
      <c r="A235" s="4"/>
      <c r="B235" s="2325" t="s">
        <v>26</v>
      </c>
      <c r="C235" s="28">
        <f>M28</f>
        <v>0.43943447519999995</v>
      </c>
      <c r="D235" s="2326"/>
      <c r="E235" s="2327">
        <f t="shared" ref="E235:E240" si="95">C235</f>
        <v>0.43943447519999995</v>
      </c>
    </row>
    <row r="236" spans="1:81" ht="11.25" customHeight="1" x14ac:dyDescent="0.25">
      <c r="A236" s="4"/>
      <c r="B236" s="2325" t="s">
        <v>27</v>
      </c>
      <c r="C236" s="28">
        <f>W64+U92</f>
        <v>0.37591621056769314</v>
      </c>
      <c r="D236" s="2328"/>
      <c r="E236" s="2327">
        <f t="shared" si="95"/>
        <v>0.37591621056769314</v>
      </c>
    </row>
    <row r="237" spans="1:81" ht="11.25" customHeight="1" x14ac:dyDescent="0.25">
      <c r="A237" s="4"/>
      <c r="B237" s="2325" t="s">
        <v>1743</v>
      </c>
      <c r="C237" s="28">
        <f>C266*Z10/1000000</f>
        <v>0.79960503649068082</v>
      </c>
      <c r="D237" s="2328"/>
      <c r="E237" s="2327">
        <f t="shared" si="95"/>
        <v>0.79960503649068082</v>
      </c>
      <c r="G237" s="2329"/>
    </row>
    <row r="238" spans="1:81" ht="11.25" customHeight="1" x14ac:dyDescent="0.25">
      <c r="A238" s="4"/>
      <c r="B238" s="2325" t="s">
        <v>1744</v>
      </c>
      <c r="C238" s="2328">
        <v>0</v>
      </c>
      <c r="D238" s="2328"/>
      <c r="E238" s="2327">
        <f t="shared" si="95"/>
        <v>0</v>
      </c>
    </row>
    <row r="239" spans="1:81" ht="11.25" customHeight="1" x14ac:dyDescent="0.25">
      <c r="A239" s="4"/>
      <c r="B239" s="2325" t="s">
        <v>1745</v>
      </c>
      <c r="C239" s="28">
        <f>AC212+AC227</f>
        <v>6.3807208851335631E-2</v>
      </c>
      <c r="D239" s="2328"/>
      <c r="E239" s="2327">
        <f t="shared" si="95"/>
        <v>6.3807208851335631E-2</v>
      </c>
    </row>
    <row r="240" spans="1:81" ht="11.25" customHeight="1" x14ac:dyDescent="0.25">
      <c r="A240" s="4"/>
      <c r="B240" s="2330" t="s">
        <v>1543</v>
      </c>
      <c r="C240" s="2331">
        <f>SUM(C235:C239)</f>
        <v>1.6787629311097096</v>
      </c>
      <c r="D240" s="2331"/>
      <c r="E240" s="2332">
        <f t="shared" si="95"/>
        <v>1.6787629311097096</v>
      </c>
    </row>
    <row r="241" spans="1:5" ht="11.25" customHeight="1" x14ac:dyDescent="0.25">
      <c r="A241" s="4"/>
      <c r="B241" s="2333"/>
      <c r="C241" s="25"/>
      <c r="D241" s="25"/>
      <c r="E241" s="2334"/>
    </row>
    <row r="242" spans="1:5" ht="11.25" customHeight="1" x14ac:dyDescent="0.35">
      <c r="A242" s="4"/>
      <c r="B242" s="2335" t="s">
        <v>1746</v>
      </c>
      <c r="C242" s="2336">
        <v>2017</v>
      </c>
      <c r="D242" s="2336"/>
      <c r="E242" s="2337" t="s">
        <v>1747</v>
      </c>
    </row>
    <row r="243" spans="1:5" ht="11.25" customHeight="1" x14ac:dyDescent="0.25">
      <c r="A243" s="4"/>
      <c r="B243" s="2333" t="s">
        <v>1748</v>
      </c>
      <c r="C243" s="2338">
        <f>SUM(C244:C247)</f>
        <v>2.4153110698678211E-2</v>
      </c>
      <c r="D243" s="2338"/>
      <c r="E243" s="2339">
        <f>C243*Z9</f>
        <v>0.67628709956298994</v>
      </c>
    </row>
    <row r="244" spans="1:5" ht="11.25" customHeight="1" x14ac:dyDescent="0.25">
      <c r="A244" s="4"/>
      <c r="B244" s="2340" t="s">
        <v>26</v>
      </c>
      <c r="C244" s="2328">
        <f>I28</f>
        <v>1.5694088399999997E-2</v>
      </c>
      <c r="D244" s="2328"/>
      <c r="E244" s="2327">
        <f>C244*Z9</f>
        <v>0.4394344751999999</v>
      </c>
    </row>
    <row r="245" spans="1:5" ht="11.25" customHeight="1" x14ac:dyDescent="0.25">
      <c r="A245" s="4"/>
      <c r="B245" s="2340" t="s">
        <v>27</v>
      </c>
      <c r="C245" s="2328">
        <f>S64</f>
        <v>6.8470039743563854E-3</v>
      </c>
      <c r="D245" s="2328"/>
      <c r="E245" s="2327">
        <f>C245*Z9</f>
        <v>0.1917161112819788</v>
      </c>
    </row>
    <row r="246" spans="1:5" ht="11.25" customHeight="1" x14ac:dyDescent="0.25">
      <c r="A246" s="4"/>
      <c r="B246" s="2340" t="s">
        <v>1744</v>
      </c>
      <c r="C246" s="2328">
        <v>0</v>
      </c>
      <c r="D246" s="2328"/>
      <c r="E246" s="2327">
        <f>C246*Z9</f>
        <v>0</v>
      </c>
    </row>
    <row r="247" spans="1:5" ht="11.25" customHeight="1" x14ac:dyDescent="0.25">
      <c r="A247" s="4"/>
      <c r="B247" s="2340" t="s">
        <v>1745</v>
      </c>
      <c r="C247" s="2328">
        <f>Y212/1000000</f>
        <v>1.6120183243218302E-3</v>
      </c>
      <c r="D247" s="2328"/>
      <c r="E247" s="2327">
        <f>C247*Z9</f>
        <v>4.5136513081011249E-2</v>
      </c>
    </row>
    <row r="248" spans="1:5" ht="11.25" customHeight="1" x14ac:dyDescent="0.25">
      <c r="A248" s="4"/>
      <c r="B248" s="2341" t="s">
        <v>1749</v>
      </c>
      <c r="C248" s="2338">
        <f>SUM(C249:C251)</f>
        <v>3.7829276662140359E-3</v>
      </c>
      <c r="D248" s="2338"/>
      <c r="E248" s="2339">
        <f>C248*Z10</f>
        <v>1.0024758315467195</v>
      </c>
    </row>
    <row r="249" spans="1:5" ht="11.25" customHeight="1" x14ac:dyDescent="0.25">
      <c r="A249" s="4"/>
      <c r="B249" s="2340" t="s">
        <v>27</v>
      </c>
      <c r="C249" s="2328">
        <f>O92*0.000000001</f>
        <v>6.9509471428571439E-4</v>
      </c>
      <c r="D249" s="2328"/>
      <c r="E249" s="2327">
        <f>C249*Z10</f>
        <v>0.18420009928571432</v>
      </c>
    </row>
    <row r="250" spans="1:5" ht="11.25" customHeight="1" x14ac:dyDescent="0.25">
      <c r="A250" s="4"/>
      <c r="B250" s="2340" t="s">
        <v>1743</v>
      </c>
      <c r="C250" s="2328">
        <f>(AA99+AA100+O127+Q127+G192+G195+O192)*0.000001</f>
        <v>3.0173774961912486E-3</v>
      </c>
      <c r="D250" s="2328"/>
      <c r="E250" s="2327">
        <f>C250*Z10</f>
        <v>0.79960503649068082</v>
      </c>
    </row>
    <row r="251" spans="1:5" ht="11.25" customHeight="1" x14ac:dyDescent="0.25">
      <c r="A251" s="4"/>
      <c r="B251" s="2340" t="s">
        <v>1745</v>
      </c>
      <c r="C251" s="2328">
        <f>Y227*0.000001</f>
        <v>7.0455455737073136E-5</v>
      </c>
      <c r="D251" s="2328"/>
      <c r="E251" s="2327">
        <f>C251*Z10</f>
        <v>1.8670695770324382E-2</v>
      </c>
    </row>
    <row r="252" spans="1:5" ht="11.25" customHeight="1" x14ac:dyDescent="0.25">
      <c r="A252" s="4"/>
      <c r="B252" s="2325"/>
      <c r="C252" s="25"/>
      <c r="D252" s="25"/>
      <c r="E252" s="2342"/>
    </row>
    <row r="253" spans="1:5" ht="11.25" customHeight="1" x14ac:dyDescent="0.35">
      <c r="A253" s="4"/>
      <c r="B253" s="2335" t="s">
        <v>1750</v>
      </c>
      <c r="C253" s="2336">
        <v>2020</v>
      </c>
      <c r="D253" s="2336"/>
      <c r="E253" s="2343"/>
    </row>
    <row r="254" spans="1:5" ht="11.25" customHeight="1" x14ac:dyDescent="0.25">
      <c r="A254" s="4"/>
      <c r="B254" s="2333" t="s">
        <v>1751</v>
      </c>
      <c r="C254" s="2344">
        <f>SUM(C255:C259)</f>
        <v>2649.1624981101768</v>
      </c>
      <c r="D254" s="2344"/>
      <c r="E254" s="1731"/>
    </row>
    <row r="255" spans="1:5" ht="11.25" customHeight="1" x14ac:dyDescent="0.25">
      <c r="A255" s="4"/>
      <c r="B255" s="2340" t="s">
        <v>1752</v>
      </c>
      <c r="C255" s="1717">
        <f>O127</f>
        <v>382.69698405714291</v>
      </c>
      <c r="D255" s="1717"/>
      <c r="E255" s="1724"/>
    </row>
    <row r="256" spans="1:5" ht="11.25" customHeight="1" x14ac:dyDescent="0.25">
      <c r="A256" s="4"/>
      <c r="B256" s="2340" t="s">
        <v>1753</v>
      </c>
      <c r="C256" s="1717">
        <f t="shared" ref="C256:C257" si="96">AA99</f>
        <v>515.51077104208923</v>
      </c>
      <c r="D256" s="1717"/>
      <c r="E256" s="2345"/>
    </row>
    <row r="257" spans="1:5" ht="11.25" customHeight="1" x14ac:dyDescent="0.25">
      <c r="A257" s="4"/>
      <c r="B257" s="2340" t="s">
        <v>1754</v>
      </c>
      <c r="C257" s="1717">
        <f t="shared" si="96"/>
        <v>793.33273279389175</v>
      </c>
      <c r="D257" s="1717"/>
      <c r="E257" s="2345"/>
    </row>
    <row r="258" spans="1:5" ht="11.25" customHeight="1" x14ac:dyDescent="0.25">
      <c r="A258" s="4"/>
      <c r="B258" s="2340" t="s">
        <v>1755</v>
      </c>
      <c r="C258" s="1717">
        <v>0</v>
      </c>
      <c r="D258" s="1717"/>
      <c r="E258" s="1724"/>
    </row>
    <row r="259" spans="1:5" ht="11.25" customHeight="1" x14ac:dyDescent="0.25">
      <c r="A259" s="4"/>
      <c r="B259" s="2340" t="s">
        <v>1756</v>
      </c>
      <c r="C259" s="1717">
        <f>G195</f>
        <v>957.622010217053</v>
      </c>
      <c r="D259" s="1717"/>
      <c r="E259" s="1724"/>
    </row>
    <row r="260" spans="1:5" ht="11.25" customHeight="1" x14ac:dyDescent="0.25">
      <c r="A260" s="4"/>
      <c r="B260" s="2333" t="s">
        <v>1757</v>
      </c>
      <c r="C260" s="2344">
        <f>SUM(C261:C263)</f>
        <v>368.21499808107137</v>
      </c>
      <c r="D260" s="2344"/>
      <c r="E260" s="1731"/>
    </row>
    <row r="261" spans="1:5" ht="11.25" customHeight="1" x14ac:dyDescent="0.25">
      <c r="A261" s="4"/>
      <c r="B261" s="2340" t="s">
        <v>1752</v>
      </c>
      <c r="C261" s="1717">
        <f>Q127</f>
        <v>44.400207264285719</v>
      </c>
      <c r="D261" s="1717"/>
      <c r="E261" s="1724"/>
    </row>
    <row r="262" spans="1:5" ht="11.25" customHeight="1" x14ac:dyDescent="0.25">
      <c r="A262" s="4"/>
      <c r="B262" s="2340" t="s">
        <v>1756</v>
      </c>
      <c r="C262" s="1717">
        <f>G192</f>
        <v>111.86257383714285</v>
      </c>
      <c r="D262" s="1717"/>
      <c r="E262" s="1724"/>
    </row>
    <row r="263" spans="1:5" ht="11.25" customHeight="1" x14ac:dyDescent="0.25">
      <c r="A263" s="4"/>
      <c r="B263" s="2340" t="s">
        <v>1758</v>
      </c>
      <c r="C263" s="1717">
        <f>+O192</f>
        <v>211.95221697964283</v>
      </c>
      <c r="D263" s="1717"/>
      <c r="E263" s="1724"/>
    </row>
    <row r="264" spans="1:5" ht="11.25" customHeight="1" x14ac:dyDescent="0.25">
      <c r="A264" s="4"/>
      <c r="B264" s="2346" t="s">
        <v>1707</v>
      </c>
      <c r="C264" s="1717">
        <f t="shared" ref="C264:C265" si="97">O193</f>
        <v>86.106821412857144</v>
      </c>
      <c r="D264" s="1717"/>
      <c r="E264" s="1724"/>
    </row>
    <row r="265" spans="1:5" ht="11.25" customHeight="1" x14ac:dyDescent="0.25">
      <c r="A265" s="4"/>
      <c r="B265" s="2346" t="s">
        <v>1709</v>
      </c>
      <c r="C265" s="1717">
        <f t="shared" si="97"/>
        <v>125.84539556678571</v>
      </c>
      <c r="D265" s="1717"/>
      <c r="E265" s="1724"/>
    </row>
    <row r="266" spans="1:5" ht="11.25" customHeight="1" x14ac:dyDescent="0.25">
      <c r="A266" s="4"/>
      <c r="B266" s="2347" t="s">
        <v>1543</v>
      </c>
      <c r="C266" s="2348">
        <f>C260+C254</f>
        <v>3017.3774961912482</v>
      </c>
      <c r="D266" s="2349"/>
      <c r="E266" s="2350"/>
    </row>
    <row r="267" spans="1:5" ht="11.25" customHeight="1" x14ac:dyDescent="0.25">
      <c r="A267" s="4"/>
      <c r="B267" s="4"/>
      <c r="C267" s="4"/>
      <c r="D267" s="4"/>
      <c r="E267" s="4"/>
    </row>
    <row r="268" spans="1:5" ht="11.25" customHeight="1" x14ac:dyDescent="0.2"/>
    <row r="269" spans="1:5" ht="11.25" customHeight="1" x14ac:dyDescent="0.2"/>
    <row r="270" spans="1:5" ht="11.25" customHeight="1" x14ac:dyDescent="0.2"/>
    <row r="271" spans="1:5" ht="11.25" customHeight="1" x14ac:dyDescent="0.2"/>
    <row r="272" spans="1:5"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row r="1001" ht="11.25" customHeight="1" x14ac:dyDescent="0.2"/>
    <row r="1002" ht="11.25" customHeight="1" x14ac:dyDescent="0.2"/>
    <row r="1003" ht="11.25" customHeight="1" x14ac:dyDescent="0.2"/>
    <row r="1004" ht="11.25" customHeight="1" x14ac:dyDescent="0.2"/>
  </sheetData>
  <mergeCells count="15">
    <mergeCell ref="CB158:CC158"/>
    <mergeCell ref="C192:E192"/>
    <mergeCell ref="C195:E195"/>
    <mergeCell ref="B3:S3"/>
    <mergeCell ref="Y6:Z6"/>
    <mergeCell ref="AH158:AN158"/>
    <mergeCell ref="AP158:AS158"/>
    <mergeCell ref="AU158:AV158"/>
    <mergeCell ref="AX158:AY158"/>
    <mergeCell ref="BA158:BF158"/>
    <mergeCell ref="BH158:BL158"/>
    <mergeCell ref="BN158:BO158"/>
    <mergeCell ref="BQ158:BS158"/>
    <mergeCell ref="BU158:BW158"/>
    <mergeCell ref="BY158:BZ158"/>
  </mergeCells>
  <printOptions gridLines="1"/>
  <pageMargins left="0.25" right="0.25" top="0.21" bottom="0.5" header="0" footer="0"/>
  <pageSetup paperSize="5" orientation="landscape"/>
  <rowBreaks count="7" manualBreakCount="7">
    <brk id="64" man="1"/>
    <brk id="198" man="1"/>
    <brk id="231" man="1"/>
    <brk id="123" man="1"/>
    <brk id="155" man="1"/>
    <brk id="31" man="1"/>
    <brk id="95" man="1"/>
  </rowBreaks>
  <colBreaks count="1" manualBreakCount="1">
    <brk id="29" man="1"/>
  </colBreaks>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O35"/>
  <sheetViews>
    <sheetView workbookViewId="0"/>
  </sheetViews>
  <sheetFormatPr defaultColWidth="16.85546875" defaultRowHeight="15" customHeight="1" x14ac:dyDescent="0.2"/>
  <cols>
    <col min="1" max="1" width="4.28515625" customWidth="1"/>
    <col min="4" max="4" width="29.140625" customWidth="1"/>
    <col min="5" max="5" width="21.140625" customWidth="1"/>
    <col min="6" max="6" width="26" customWidth="1"/>
    <col min="7" max="7" width="34.7109375" customWidth="1"/>
    <col min="8" max="8" width="27.85546875" customWidth="1"/>
  </cols>
  <sheetData>
    <row r="1" spans="1:15" ht="15" customHeight="1" x14ac:dyDescent="0.2">
      <c r="A1" s="2644"/>
      <c r="B1" s="2644"/>
      <c r="C1" s="2644"/>
      <c r="D1" s="2644"/>
      <c r="E1" s="2644"/>
      <c r="F1" s="2644"/>
      <c r="G1" s="2644"/>
    </row>
    <row r="2" spans="1:15" ht="48" customHeight="1" x14ac:dyDescent="0.25">
      <c r="A2" s="2644"/>
      <c r="B2" s="3003" t="s">
        <v>1759</v>
      </c>
      <c r="C2" s="3004"/>
      <c r="D2" s="3004"/>
      <c r="E2" s="3004"/>
      <c r="F2" s="3004"/>
      <c r="G2" s="3005"/>
      <c r="H2" s="2351"/>
      <c r="I2" s="2351"/>
      <c r="J2" s="2351"/>
      <c r="K2" s="2351"/>
      <c r="L2" s="2351"/>
      <c r="M2" s="2351"/>
      <c r="N2" s="2351"/>
      <c r="O2" s="2351"/>
    </row>
    <row r="3" spans="1:15" ht="15" customHeight="1" x14ac:dyDescent="0.2">
      <c r="A3" s="2644"/>
      <c r="B3" s="2645"/>
      <c r="C3" s="2644"/>
      <c r="D3" s="2644"/>
      <c r="E3" s="2644"/>
      <c r="F3" s="2644"/>
      <c r="G3" s="2644"/>
    </row>
    <row r="4" spans="1:15" ht="22.8" x14ac:dyDescent="0.4">
      <c r="A4" s="2644"/>
      <c r="B4" s="2646" t="s">
        <v>1760</v>
      </c>
      <c r="C4" s="2646"/>
      <c r="D4" s="2646"/>
      <c r="E4" s="2647"/>
      <c r="F4" s="2645"/>
      <c r="G4" s="2645"/>
    </row>
    <row r="5" spans="1:15" ht="15" customHeight="1" x14ac:dyDescent="0.2">
      <c r="A5" s="2644"/>
      <c r="B5" s="2648"/>
      <c r="C5" s="2648"/>
      <c r="D5" s="2648"/>
      <c r="E5" s="2648"/>
      <c r="F5" s="2648"/>
      <c r="G5" s="2648"/>
    </row>
    <row r="6" spans="1:15" ht="14.4" x14ac:dyDescent="0.35">
      <c r="A6" s="2644"/>
      <c r="B6" s="2649" t="s">
        <v>49</v>
      </c>
      <c r="C6" s="2650"/>
      <c r="D6" s="2649" t="s">
        <v>1761</v>
      </c>
      <c r="E6" s="2649" t="s">
        <v>700</v>
      </c>
      <c r="F6" s="2649" t="s">
        <v>1762</v>
      </c>
      <c r="G6" s="2649" t="s">
        <v>1762</v>
      </c>
    </row>
    <row r="7" spans="1:15" ht="14.4" x14ac:dyDescent="0.35">
      <c r="A7" s="2644"/>
      <c r="B7" s="2650"/>
      <c r="C7" s="2650"/>
      <c r="D7" s="2649" t="s">
        <v>1514</v>
      </c>
      <c r="E7" s="2649" t="s">
        <v>1763</v>
      </c>
      <c r="F7" s="2649" t="s">
        <v>1764</v>
      </c>
      <c r="G7" s="2649" t="s">
        <v>714</v>
      </c>
    </row>
    <row r="8" spans="1:15" ht="15" customHeight="1" x14ac:dyDescent="0.2">
      <c r="A8" s="2644"/>
      <c r="B8" s="2648"/>
      <c r="C8" s="2648"/>
      <c r="D8" s="2648"/>
      <c r="E8" s="2648"/>
      <c r="F8" s="2648"/>
      <c r="G8" s="2648"/>
    </row>
    <row r="9" spans="1:15" ht="14.4" x14ac:dyDescent="0.35">
      <c r="A9" s="2644"/>
      <c r="B9" s="2651">
        <v>2020</v>
      </c>
      <c r="C9" s="2648"/>
      <c r="D9" s="2652">
        <v>10111</v>
      </c>
      <c r="E9" s="2648">
        <v>0.2</v>
      </c>
      <c r="F9" s="2653">
        <f>(D9*E9)*(44/12)</f>
        <v>7414.7333333333336</v>
      </c>
      <c r="G9" s="2654">
        <f>F9/1000000</f>
        <v>7.4147333333333338E-3</v>
      </c>
    </row>
    <row r="10" spans="1:15" ht="15" customHeight="1" x14ac:dyDescent="0.2">
      <c r="A10" s="2644"/>
      <c r="B10" s="2648"/>
      <c r="C10" s="2648"/>
      <c r="D10" s="2648"/>
      <c r="E10" s="2648"/>
      <c r="F10" s="2648"/>
      <c r="G10" s="2648"/>
    </row>
    <row r="11" spans="1:15" ht="15" customHeight="1" x14ac:dyDescent="0.2">
      <c r="A11" s="2644"/>
      <c r="B11" s="2648"/>
      <c r="C11" s="2648"/>
      <c r="D11" s="2648"/>
      <c r="E11" s="2648"/>
      <c r="F11" s="2648"/>
      <c r="G11" s="2648"/>
    </row>
    <row r="12" spans="1:15" ht="15" customHeight="1" x14ac:dyDescent="0.2">
      <c r="A12" s="2644"/>
      <c r="B12" s="2644"/>
      <c r="C12" s="2644"/>
      <c r="D12" s="2644"/>
      <c r="E12" s="2644"/>
      <c r="F12" s="2644"/>
      <c r="G12" s="2644"/>
    </row>
    <row r="13" spans="1:15" ht="15" customHeight="1" x14ac:dyDescent="0.2">
      <c r="A13" s="2644"/>
      <c r="B13" s="2644"/>
      <c r="C13" s="2644"/>
      <c r="D13" s="2644"/>
      <c r="E13" s="2644"/>
      <c r="F13" s="2644"/>
      <c r="G13" s="2644"/>
    </row>
    <row r="14" spans="1:15" ht="15" customHeight="1" x14ac:dyDescent="0.2">
      <c r="A14" s="2644"/>
      <c r="B14" s="2644"/>
      <c r="C14" s="2644"/>
      <c r="D14" s="2644"/>
      <c r="E14" s="2644"/>
      <c r="F14" s="2644"/>
      <c r="G14" s="2644"/>
    </row>
    <row r="15" spans="1:15" ht="51" customHeight="1" x14ac:dyDescent="0.25">
      <c r="A15" s="2644"/>
      <c r="B15" s="3006" t="s">
        <v>1765</v>
      </c>
      <c r="C15" s="3004"/>
      <c r="D15" s="3004"/>
      <c r="E15" s="3004"/>
      <c r="F15" s="3004"/>
      <c r="G15" s="3005"/>
    </row>
    <row r="16" spans="1:15" ht="15" customHeight="1" x14ac:dyDescent="0.2">
      <c r="A16" s="2644"/>
      <c r="B16" s="2644"/>
      <c r="C16" s="2644"/>
      <c r="D16" s="2644"/>
      <c r="E16" s="2644"/>
      <c r="F16" s="2644"/>
      <c r="G16" s="2644"/>
    </row>
    <row r="17" spans="1:9" ht="22.8" x14ac:dyDescent="0.4">
      <c r="A17" s="2644"/>
      <c r="B17" s="2655" t="s">
        <v>1766</v>
      </c>
      <c r="C17" s="2650"/>
      <c r="D17" s="2650"/>
      <c r="E17" s="2656"/>
      <c r="F17" s="2645"/>
      <c r="G17" s="2645"/>
      <c r="H17" s="1861"/>
      <c r="I17" s="327"/>
    </row>
    <row r="18" spans="1:9" ht="15" customHeight="1" x14ac:dyDescent="0.25">
      <c r="A18" s="2644"/>
      <c r="B18" s="2648"/>
      <c r="C18" s="2648"/>
      <c r="D18" s="2648"/>
      <c r="E18" s="2648"/>
      <c r="F18" s="2648"/>
      <c r="G18" s="2648"/>
      <c r="H18" s="1861"/>
      <c r="I18" s="327"/>
    </row>
    <row r="19" spans="1:9" ht="15" customHeight="1" x14ac:dyDescent="0.35">
      <c r="A19" s="2644"/>
      <c r="B19" s="2657" t="s">
        <v>49</v>
      </c>
      <c r="C19" s="2658"/>
      <c r="D19" s="2657" t="s">
        <v>1767</v>
      </c>
      <c r="E19" s="2657" t="s">
        <v>700</v>
      </c>
      <c r="F19" s="2657" t="s">
        <v>1762</v>
      </c>
      <c r="G19" s="2657" t="s">
        <v>1768</v>
      </c>
      <c r="H19" s="2353"/>
      <c r="I19" s="327"/>
    </row>
    <row r="20" spans="1:9" ht="15" customHeight="1" x14ac:dyDescent="0.35">
      <c r="A20" s="2644"/>
      <c r="B20" s="2658"/>
      <c r="C20" s="2658"/>
      <c r="D20" s="2657" t="s">
        <v>1769</v>
      </c>
      <c r="E20" s="2657" t="s">
        <v>1770</v>
      </c>
      <c r="F20" s="2657" t="s">
        <v>1764</v>
      </c>
      <c r="G20" s="2657" t="s">
        <v>714</v>
      </c>
      <c r="H20" s="2353"/>
      <c r="I20" s="327"/>
    </row>
    <row r="21" spans="1:9" ht="15" customHeight="1" x14ac:dyDescent="0.25">
      <c r="A21" s="2644"/>
      <c r="B21" s="2648"/>
      <c r="C21" s="2648"/>
      <c r="D21" s="2648"/>
      <c r="E21" s="2648"/>
      <c r="F21" s="2648"/>
      <c r="G21" s="2648"/>
      <c r="H21" s="1861"/>
      <c r="I21" s="327"/>
    </row>
    <row r="22" spans="1:9" ht="15" customHeight="1" x14ac:dyDescent="0.35">
      <c r="A22" s="2644"/>
      <c r="B22" s="2659">
        <v>2020</v>
      </c>
      <c r="C22" s="2660" t="s">
        <v>1440</v>
      </c>
      <c r="D22" s="2661">
        <v>152.69</v>
      </c>
      <c r="E22" s="2662">
        <v>5.8999999999999997E-2</v>
      </c>
      <c r="F22" s="2663">
        <f t="shared" ref="F22:F23" si="0">D22*E22*1000*44/12</f>
        <v>33031.936666666668</v>
      </c>
      <c r="G22" s="3007">
        <f>(F22+F23)/1000000</f>
        <v>3.6490923333333335E-2</v>
      </c>
      <c r="H22" s="1861"/>
      <c r="I22" s="327"/>
    </row>
    <row r="23" spans="1:9" ht="15" customHeight="1" x14ac:dyDescent="0.35">
      <c r="A23" s="2644"/>
      <c r="B23" s="2659">
        <v>2020</v>
      </c>
      <c r="C23" s="2664" t="s">
        <v>1441</v>
      </c>
      <c r="D23" s="2661">
        <v>14.74</v>
      </c>
      <c r="E23" s="2662">
        <v>6.4000000000000001E-2</v>
      </c>
      <c r="F23" s="2663">
        <f t="shared" si="0"/>
        <v>3458.9866666666671</v>
      </c>
      <c r="G23" s="3008"/>
    </row>
    <row r="24" spans="1:9" ht="15" customHeight="1" x14ac:dyDescent="0.2">
      <c r="A24" s="2644"/>
      <c r="B24" s="2645"/>
      <c r="C24" s="2645"/>
      <c r="D24" s="2645"/>
      <c r="E24" s="2645"/>
      <c r="F24" s="2645"/>
      <c r="G24" s="2645"/>
    </row>
    <row r="25" spans="1:9" ht="15" customHeight="1" x14ac:dyDescent="0.2">
      <c r="A25" s="2644"/>
      <c r="B25" s="2645"/>
      <c r="C25" s="2645"/>
      <c r="D25" s="2645"/>
      <c r="E25" s="2645"/>
      <c r="F25" s="2645"/>
      <c r="G25" s="2645"/>
    </row>
    <row r="26" spans="1:9" ht="15" customHeight="1" x14ac:dyDescent="0.2">
      <c r="B26" s="2352"/>
      <c r="C26" s="2352"/>
      <c r="D26" s="2352"/>
      <c r="E26" s="2352"/>
      <c r="F26" s="2352"/>
      <c r="G26" s="2352"/>
    </row>
    <row r="35" spans="2:7" ht="15" customHeight="1" x14ac:dyDescent="0.2">
      <c r="B35" s="2352"/>
      <c r="C35" s="2352"/>
      <c r="D35" s="2352"/>
      <c r="E35" s="2352"/>
      <c r="F35" s="2352"/>
      <c r="G35" s="2352"/>
    </row>
  </sheetData>
  <mergeCells count="3">
    <mergeCell ref="B2:G2"/>
    <mergeCell ref="B15:G15"/>
    <mergeCell ref="G22:G23"/>
  </mergeCell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G1000"/>
  <sheetViews>
    <sheetView topLeftCell="G1" workbookViewId="0"/>
  </sheetViews>
  <sheetFormatPr defaultColWidth="16.85546875" defaultRowHeight="15" customHeight="1" x14ac:dyDescent="0.2"/>
  <cols>
    <col min="1" max="1" width="2.42578125" customWidth="1"/>
    <col min="2" max="2" width="35.7109375" customWidth="1"/>
    <col min="3" max="3" width="21.7109375" customWidth="1"/>
    <col min="4" max="4" width="15.7109375" customWidth="1"/>
    <col min="5" max="5" width="16.140625" customWidth="1"/>
    <col min="6" max="6" width="17.140625" customWidth="1"/>
    <col min="7" max="7" width="11.42578125" customWidth="1"/>
    <col min="8" max="8" width="3" customWidth="1"/>
    <col min="9" max="9" width="33.7109375" customWidth="1"/>
    <col min="10" max="10" width="25.42578125" customWidth="1"/>
    <col min="11" max="12" width="16.140625" customWidth="1"/>
    <col min="13" max="13" width="11.140625" customWidth="1"/>
    <col min="14" max="14" width="11.42578125" customWidth="1"/>
    <col min="15" max="15" width="2" customWidth="1"/>
    <col min="16" max="16" width="32.28515625" customWidth="1"/>
    <col min="17" max="17" width="12.7109375" customWidth="1"/>
    <col min="18" max="18" width="14.42578125" customWidth="1"/>
    <col min="19" max="20" width="14.85546875" customWidth="1"/>
    <col min="21" max="21" width="9.42578125" customWidth="1"/>
    <col min="22" max="22" width="11.140625" customWidth="1"/>
    <col min="23" max="23" width="4.140625" customWidth="1"/>
    <col min="24" max="24" width="31.7109375" customWidth="1"/>
    <col min="25" max="25" width="17.85546875" customWidth="1"/>
    <col min="26" max="26" width="11.28515625" customWidth="1"/>
    <col min="27" max="27" width="4" customWidth="1"/>
    <col min="28" max="28" width="39.85546875" customWidth="1"/>
    <col min="29" max="29" width="14.140625" customWidth="1"/>
    <col min="30" max="30" width="12.42578125" customWidth="1"/>
  </cols>
  <sheetData>
    <row r="1" spans="1:33" ht="10.199999999999999" x14ac:dyDescent="0.2">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row>
    <row r="2" spans="1:33" ht="33.75" customHeight="1" x14ac:dyDescent="0.55000000000000004">
      <c r="B2" s="2636" t="s">
        <v>2074</v>
      </c>
      <c r="C2" s="140"/>
      <c r="D2" s="140"/>
      <c r="E2" s="140"/>
      <c r="F2" s="140"/>
      <c r="G2" s="327"/>
      <c r="H2" s="327"/>
      <c r="I2" s="140"/>
      <c r="J2" s="881"/>
      <c r="K2" s="140"/>
      <c r="L2" s="140"/>
      <c r="M2" s="140"/>
      <c r="N2" s="140"/>
      <c r="O2" s="140"/>
      <c r="P2" s="140"/>
      <c r="Q2" s="140"/>
      <c r="R2" s="140"/>
      <c r="S2" s="140"/>
      <c r="T2" s="140"/>
      <c r="U2" s="140"/>
      <c r="V2" s="140"/>
      <c r="W2" s="140"/>
      <c r="X2" s="140"/>
      <c r="Y2" s="140"/>
      <c r="Z2" s="140"/>
      <c r="AA2" s="140"/>
      <c r="AB2" s="140"/>
      <c r="AC2" s="140"/>
      <c r="AD2" s="140"/>
    </row>
    <row r="3" spans="1:33" ht="54" customHeight="1" x14ac:dyDescent="0.2">
      <c r="A3" s="140"/>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row>
    <row r="4" spans="1:33" ht="18.75" customHeight="1" x14ac:dyDescent="0.2">
      <c r="A4" s="140"/>
      <c r="B4" s="140"/>
      <c r="C4" s="14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row>
    <row r="5" spans="1:33" ht="11.25" customHeight="1" x14ac:dyDescent="0.2">
      <c r="A5" s="140"/>
      <c r="B5" s="140"/>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row>
    <row r="6" spans="1:33" ht="11.25" customHeight="1" thickBot="1" x14ac:dyDescent="0.25">
      <c r="A6" s="140"/>
      <c r="B6" s="140"/>
      <c r="C6" s="1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row>
    <row r="7" spans="1:33" ht="11.25" customHeight="1" thickTop="1" x14ac:dyDescent="0.2">
      <c r="A7" s="140"/>
      <c r="B7" s="1759"/>
      <c r="C7" s="2354">
        <v>2020</v>
      </c>
      <c r="D7" s="1089"/>
      <c r="E7" s="1089"/>
      <c r="F7" s="1089"/>
      <c r="G7" s="1093"/>
      <c r="H7" s="140"/>
      <c r="I7" s="1759"/>
      <c r="J7" s="1089">
        <v>2020</v>
      </c>
      <c r="K7" s="1089"/>
      <c r="L7" s="1089"/>
      <c r="M7" s="1089"/>
      <c r="N7" s="1093"/>
      <c r="O7" s="140"/>
      <c r="P7" s="1759"/>
      <c r="Q7" s="1089">
        <v>2020</v>
      </c>
      <c r="R7" s="1089"/>
      <c r="S7" s="1089"/>
      <c r="T7" s="1089"/>
      <c r="U7" s="1089"/>
      <c r="V7" s="1093"/>
      <c r="W7" s="140"/>
      <c r="X7" s="1759"/>
      <c r="Y7" s="1089">
        <v>2020</v>
      </c>
      <c r="Z7" s="1093"/>
      <c r="AA7" s="140"/>
      <c r="AB7" s="2355"/>
      <c r="AC7" s="738">
        <v>2020</v>
      </c>
      <c r="AD7" s="2356"/>
      <c r="AF7" s="2933" t="s">
        <v>1</v>
      </c>
      <c r="AG7" s="2934"/>
    </row>
    <row r="8" spans="1:33" ht="11.25" customHeight="1" x14ac:dyDescent="0.2">
      <c r="A8" s="140"/>
      <c r="B8" s="936"/>
      <c r="C8" s="755"/>
      <c r="D8" s="755"/>
      <c r="E8" s="755"/>
      <c r="F8" s="755"/>
      <c r="G8" s="1761"/>
      <c r="H8" s="140"/>
      <c r="I8" s="936"/>
      <c r="J8" s="755"/>
      <c r="K8" s="755"/>
      <c r="L8" s="755"/>
      <c r="M8" s="755"/>
      <c r="N8" s="1761"/>
      <c r="O8" s="140"/>
      <c r="P8" s="936"/>
      <c r="Q8" s="755"/>
      <c r="R8" s="755"/>
      <c r="S8" s="755"/>
      <c r="T8" s="755"/>
      <c r="U8" s="755"/>
      <c r="V8" s="1761"/>
      <c r="W8" s="140"/>
      <c r="X8" s="2357" t="s">
        <v>799</v>
      </c>
      <c r="Y8" s="755"/>
      <c r="Z8" s="1761"/>
      <c r="AA8" s="140"/>
      <c r="AB8" s="2358" t="s">
        <v>1771</v>
      </c>
      <c r="AC8" s="755"/>
      <c r="AD8" s="2359"/>
      <c r="AF8" s="2641"/>
      <c r="AG8" s="2641" t="str">
        <f>Summary!E3</f>
        <v>AR5 100-yr GWP</v>
      </c>
    </row>
    <row r="9" spans="1:33" ht="11.25" customHeight="1" x14ac:dyDescent="0.2">
      <c r="A9" s="140"/>
      <c r="B9" s="2360" t="s">
        <v>1772</v>
      </c>
      <c r="C9" s="2361" t="s">
        <v>193</v>
      </c>
      <c r="D9" s="2361" t="s">
        <v>197</v>
      </c>
      <c r="E9" s="2361" t="s">
        <v>206</v>
      </c>
      <c r="F9" s="2361" t="s">
        <v>86</v>
      </c>
      <c r="G9" s="2362"/>
      <c r="H9" s="140"/>
      <c r="I9" s="2360" t="s">
        <v>802</v>
      </c>
      <c r="J9" s="2031" t="s">
        <v>193</v>
      </c>
      <c r="K9" s="2031" t="s">
        <v>197</v>
      </c>
      <c r="L9" s="2031" t="s">
        <v>206</v>
      </c>
      <c r="M9" s="2031" t="s">
        <v>86</v>
      </c>
      <c r="N9" s="1761"/>
      <c r="O9" s="140"/>
      <c r="P9" s="2363" t="s">
        <v>1773</v>
      </c>
      <c r="Q9" s="755" t="s">
        <v>1774</v>
      </c>
      <c r="R9" s="755" t="s">
        <v>1775</v>
      </c>
      <c r="S9" s="755" t="s">
        <v>1776</v>
      </c>
      <c r="T9" s="755" t="s">
        <v>1777</v>
      </c>
      <c r="U9" s="2031" t="s">
        <v>86</v>
      </c>
      <c r="V9" s="1761"/>
      <c r="W9" s="140"/>
      <c r="X9" s="936"/>
      <c r="Y9" s="755"/>
      <c r="Z9" s="1761"/>
      <c r="AA9" s="140"/>
      <c r="AB9" s="837"/>
      <c r="AC9" s="755"/>
      <c r="AD9" s="2359"/>
      <c r="AF9" s="2641" t="s">
        <v>521</v>
      </c>
      <c r="AG9" s="2642">
        <f>Summary!E4</f>
        <v>1</v>
      </c>
    </row>
    <row r="10" spans="1:33" ht="11.25" customHeight="1" x14ac:dyDescent="0.2">
      <c r="A10" s="140"/>
      <c r="B10" s="936"/>
      <c r="C10" s="2026"/>
      <c r="D10" s="2026"/>
      <c r="E10" s="2026"/>
      <c r="F10" s="2026"/>
      <c r="G10" s="2362"/>
      <c r="H10" s="140"/>
      <c r="I10" s="936"/>
      <c r="J10" s="755"/>
      <c r="K10" s="755"/>
      <c r="L10" s="755"/>
      <c r="M10" s="755"/>
      <c r="N10" s="1761"/>
      <c r="O10" s="140"/>
      <c r="P10" s="936"/>
      <c r="Q10" s="755"/>
      <c r="R10" s="755"/>
      <c r="S10" s="755"/>
      <c r="T10" s="755"/>
      <c r="U10" s="755"/>
      <c r="V10" s="1761"/>
      <c r="W10" s="140"/>
      <c r="X10" s="936"/>
      <c r="Y10" s="755"/>
      <c r="Z10" s="1761"/>
      <c r="AA10" s="140"/>
      <c r="AB10" s="837"/>
      <c r="AC10" s="755"/>
      <c r="AD10" s="2359"/>
      <c r="AF10" s="2641" t="s">
        <v>523</v>
      </c>
      <c r="AG10" s="2642">
        <f>Summary!E5</f>
        <v>28</v>
      </c>
    </row>
    <row r="11" spans="1:33" ht="11.25" customHeight="1" x14ac:dyDescent="0.2">
      <c r="A11" s="140"/>
      <c r="B11" s="936" t="s">
        <v>1778</v>
      </c>
      <c r="C11" s="2364">
        <v>222071</v>
      </c>
      <c r="D11" s="2364">
        <v>222998</v>
      </c>
      <c r="E11" s="2364">
        <v>216842</v>
      </c>
      <c r="F11" s="2365">
        <f>SUM(C11:E11)</f>
        <v>661911</v>
      </c>
      <c r="G11" s="2362"/>
      <c r="H11" s="140"/>
      <c r="I11" s="936" t="s">
        <v>1778</v>
      </c>
      <c r="J11" s="2366">
        <v>191553</v>
      </c>
      <c r="K11" s="2366">
        <v>182590</v>
      </c>
      <c r="L11" s="2366">
        <v>177247</v>
      </c>
      <c r="M11" s="2367">
        <f>SUM(J11:L11)</f>
        <v>551390</v>
      </c>
      <c r="N11" s="1761"/>
      <c r="O11" s="140"/>
      <c r="P11" s="2368" t="s">
        <v>1778</v>
      </c>
      <c r="Q11" s="2369">
        <v>0</v>
      </c>
      <c r="R11" s="2369">
        <v>0</v>
      </c>
      <c r="S11" s="2369">
        <v>0</v>
      </c>
      <c r="T11" s="2369">
        <v>0</v>
      </c>
      <c r="U11" s="2370">
        <f>SUM(Q11:S11)</f>
        <v>0</v>
      </c>
      <c r="V11" s="1761"/>
      <c r="W11" s="140"/>
      <c r="X11" s="2368" t="s">
        <v>1778</v>
      </c>
      <c r="Y11" s="2371">
        <v>0</v>
      </c>
      <c r="Z11" s="1761"/>
      <c r="AA11" s="140"/>
      <c r="AB11" s="837" t="s">
        <v>1778</v>
      </c>
      <c r="AC11" s="625">
        <f>F11+M11+U11+Y11</f>
        <v>1213301</v>
      </c>
      <c r="AD11" s="2359"/>
      <c r="AF11" s="2641" t="s">
        <v>525</v>
      </c>
      <c r="AG11" s="2642">
        <f>Summary!E6</f>
        <v>265</v>
      </c>
    </row>
    <row r="12" spans="1:33" ht="11.25" customHeight="1" x14ac:dyDescent="0.2">
      <c r="A12" s="140"/>
      <c r="B12" s="936"/>
      <c r="C12" s="2024"/>
      <c r="D12" s="2024"/>
      <c r="E12" s="2024"/>
      <c r="F12" s="2024"/>
      <c r="G12" s="2362"/>
      <c r="H12" s="140"/>
      <c r="I12" s="936"/>
      <c r="J12" s="2372"/>
      <c r="K12" s="2372"/>
      <c r="L12" s="2372"/>
      <c r="M12" s="2372"/>
      <c r="N12" s="1761"/>
      <c r="O12" s="140"/>
      <c r="P12" s="936"/>
      <c r="Q12" s="755"/>
      <c r="R12" s="755"/>
      <c r="S12" s="755"/>
      <c r="T12" s="755"/>
      <c r="U12" s="755"/>
      <c r="V12" s="1761"/>
      <c r="W12" s="140"/>
      <c r="X12" s="936"/>
      <c r="Y12" s="755"/>
      <c r="Z12" s="1761"/>
      <c r="AA12" s="140"/>
      <c r="AB12" s="837"/>
      <c r="AC12" s="755"/>
      <c r="AD12" s="2359"/>
      <c r="AF12" s="2641" t="s">
        <v>526</v>
      </c>
      <c r="AG12" s="2643">
        <f>Summary!E7</f>
        <v>23500</v>
      </c>
    </row>
    <row r="13" spans="1:33" ht="11.25" customHeight="1" x14ac:dyDescent="0.2">
      <c r="A13" s="140"/>
      <c r="B13" s="936" t="s">
        <v>1779</v>
      </c>
      <c r="C13" s="2373">
        <v>9.9499999999999993</v>
      </c>
      <c r="D13" s="2373">
        <v>9.9499999999999993</v>
      </c>
      <c r="E13" s="2373">
        <v>9.9499999999999993</v>
      </c>
      <c r="F13" s="2373"/>
      <c r="G13" s="2362"/>
      <c r="H13" s="140"/>
      <c r="I13" s="936" t="s">
        <v>1779</v>
      </c>
      <c r="J13" s="2372">
        <v>9.9499999999999993</v>
      </c>
      <c r="K13" s="2372">
        <v>9.9499999999999993</v>
      </c>
      <c r="L13" s="2372">
        <v>9.9499999999999993</v>
      </c>
      <c r="M13" s="2372"/>
      <c r="N13" s="1761" t="s">
        <v>1780</v>
      </c>
      <c r="O13" s="140"/>
      <c r="P13" s="936" t="s">
        <v>1779</v>
      </c>
      <c r="Q13" s="755">
        <v>9.9499999999999993</v>
      </c>
      <c r="R13" s="755">
        <v>9.9499999999999993</v>
      </c>
      <c r="S13" s="755">
        <v>9.9499999999999993</v>
      </c>
      <c r="T13" s="755">
        <v>9.9499999999999993</v>
      </c>
      <c r="U13" s="755"/>
      <c r="V13" s="1761" t="s">
        <v>1780</v>
      </c>
      <c r="W13" s="140"/>
      <c r="X13" s="936" t="s">
        <v>1779</v>
      </c>
      <c r="Y13" s="755">
        <v>9.9499999999999993</v>
      </c>
      <c r="Z13" s="1761" t="s">
        <v>1780</v>
      </c>
      <c r="AA13" s="140"/>
      <c r="AB13" s="837" t="s">
        <v>1779</v>
      </c>
      <c r="AC13" s="755">
        <v>9.9499999999999993</v>
      </c>
      <c r="AD13" s="2359" t="s">
        <v>1780</v>
      </c>
    </row>
    <row r="14" spans="1:33" ht="11.25" customHeight="1" x14ac:dyDescent="0.2">
      <c r="A14" s="140"/>
      <c r="B14" s="936"/>
      <c r="C14" s="2373"/>
      <c r="D14" s="2373"/>
      <c r="E14" s="2373"/>
      <c r="F14" s="2373"/>
      <c r="G14" s="2362"/>
      <c r="H14" s="140"/>
      <c r="I14" s="936"/>
      <c r="J14" s="2372"/>
      <c r="K14" s="2372"/>
      <c r="L14" s="2372"/>
      <c r="M14" s="2372"/>
      <c r="N14" s="1761"/>
      <c r="O14" s="140"/>
      <c r="P14" s="936"/>
      <c r="Q14" s="755"/>
      <c r="R14" s="755"/>
      <c r="S14" s="755"/>
      <c r="T14" s="755"/>
      <c r="U14" s="755"/>
      <c r="V14" s="1761"/>
      <c r="W14" s="140"/>
      <c r="X14" s="936"/>
      <c r="Y14" s="755"/>
      <c r="Z14" s="1761"/>
      <c r="AA14" s="140"/>
      <c r="AB14" s="837"/>
      <c r="AC14" s="755"/>
      <c r="AD14" s="2359"/>
    </row>
    <row r="15" spans="1:33" ht="11.25" customHeight="1" x14ac:dyDescent="0.2">
      <c r="A15" s="140"/>
      <c r="B15" s="936" t="s">
        <v>1781</v>
      </c>
      <c r="C15" s="2373">
        <f t="shared" ref="C15:E15" si="0">C11*C13</f>
        <v>2209606.4499999997</v>
      </c>
      <c r="D15" s="2373">
        <f t="shared" si="0"/>
        <v>2218830.0999999996</v>
      </c>
      <c r="E15" s="2373">
        <f t="shared" si="0"/>
        <v>2157577.9</v>
      </c>
      <c r="F15" s="2373"/>
      <c r="G15" s="2362"/>
      <c r="H15" s="140"/>
      <c r="I15" s="936" t="s">
        <v>1781</v>
      </c>
      <c r="J15" s="2372">
        <f t="shared" ref="J15:L15" si="1">J11*J13</f>
        <v>1905952.3499999999</v>
      </c>
      <c r="K15" s="2372">
        <f t="shared" si="1"/>
        <v>1816770.4999999998</v>
      </c>
      <c r="L15" s="2372">
        <f t="shared" si="1"/>
        <v>1763607.65</v>
      </c>
      <c r="M15" s="2372"/>
      <c r="N15" s="1761"/>
      <c r="O15" s="140"/>
      <c r="P15" s="936" t="s">
        <v>1781</v>
      </c>
      <c r="Q15" s="2372">
        <f t="shared" ref="Q15:T15" si="2">Q11*Q13</f>
        <v>0</v>
      </c>
      <c r="R15" s="2372">
        <f t="shared" si="2"/>
        <v>0</v>
      </c>
      <c r="S15" s="2372">
        <f t="shared" si="2"/>
        <v>0</v>
      </c>
      <c r="T15" s="2372">
        <f t="shared" si="2"/>
        <v>0</v>
      </c>
      <c r="U15" s="755"/>
      <c r="V15" s="1761"/>
      <c r="W15" s="140"/>
      <c r="X15" s="936" t="s">
        <v>1781</v>
      </c>
      <c r="Y15" s="625">
        <f>Y11*Y13</f>
        <v>0</v>
      </c>
      <c r="Z15" s="1761"/>
      <c r="AA15" s="140"/>
      <c r="AB15" s="837" t="s">
        <v>1781</v>
      </c>
      <c r="AC15" s="625">
        <f>AC11*AC13</f>
        <v>12072344.949999999</v>
      </c>
      <c r="AD15" s="2359"/>
    </row>
    <row r="16" spans="1:33" ht="11.25" customHeight="1" x14ac:dyDescent="0.2">
      <c r="A16" s="140"/>
      <c r="B16" s="936"/>
      <c r="C16" s="2373"/>
      <c r="D16" s="2373"/>
      <c r="E16" s="2373"/>
      <c r="F16" s="2373"/>
      <c r="G16" s="2362"/>
      <c r="H16" s="140"/>
      <c r="I16" s="936"/>
      <c r="J16" s="2372"/>
      <c r="K16" s="2372"/>
      <c r="L16" s="2372"/>
      <c r="M16" s="2372"/>
      <c r="N16" s="1761"/>
      <c r="O16" s="140"/>
      <c r="P16" s="936"/>
      <c r="Q16" s="755"/>
      <c r="R16" s="755"/>
      <c r="S16" s="755"/>
      <c r="T16" s="755"/>
      <c r="U16" s="755"/>
      <c r="V16" s="1761"/>
      <c r="W16" s="140"/>
      <c r="X16" s="936"/>
      <c r="Y16" s="755"/>
      <c r="Z16" s="1761"/>
      <c r="AA16" s="140"/>
      <c r="AB16" s="837"/>
      <c r="AC16" s="755"/>
      <c r="AD16" s="2359"/>
    </row>
    <row r="17" spans="1:30" ht="11.25" customHeight="1" x14ac:dyDescent="0.3">
      <c r="A17" s="140"/>
      <c r="B17" s="936" t="s">
        <v>1782</v>
      </c>
      <c r="C17" s="2373">
        <v>90.7</v>
      </c>
      <c r="D17" s="2373">
        <v>90.7</v>
      </c>
      <c r="E17" s="2373">
        <v>90.7</v>
      </c>
      <c r="F17" s="2373"/>
      <c r="G17" s="2362"/>
      <c r="H17" s="140"/>
      <c r="I17" s="936" t="s">
        <v>1783</v>
      </c>
      <c r="J17" s="2372">
        <v>90.7</v>
      </c>
      <c r="K17" s="2372">
        <v>90.7</v>
      </c>
      <c r="L17" s="2372">
        <v>90.7</v>
      </c>
      <c r="M17" s="2372"/>
      <c r="N17" s="1761" t="s">
        <v>1780</v>
      </c>
      <c r="O17" s="140"/>
      <c r="P17" s="936" t="s">
        <v>1784</v>
      </c>
      <c r="Q17" s="755">
        <v>90.7</v>
      </c>
      <c r="R17" s="755">
        <v>90.7</v>
      </c>
      <c r="S17" s="755">
        <v>90.7</v>
      </c>
      <c r="T17" s="755">
        <v>90.7</v>
      </c>
      <c r="U17" s="755"/>
      <c r="V17" s="1761"/>
      <c r="W17" s="140"/>
      <c r="X17" s="936" t="s">
        <v>1785</v>
      </c>
      <c r="Y17" s="755">
        <v>90.7</v>
      </c>
      <c r="Z17" s="1761" t="s">
        <v>1780</v>
      </c>
      <c r="AA17" s="140"/>
      <c r="AB17" s="837" t="s">
        <v>1786</v>
      </c>
      <c r="AC17" s="755">
        <v>90.7</v>
      </c>
      <c r="AD17" s="2359" t="s">
        <v>1780</v>
      </c>
    </row>
    <row r="18" spans="1:30" ht="11.25" customHeight="1" x14ac:dyDescent="0.2">
      <c r="A18" s="140"/>
      <c r="B18" s="936"/>
      <c r="C18" s="2373"/>
      <c r="D18" s="2373"/>
      <c r="E18" s="2373"/>
      <c r="F18" s="2373"/>
      <c r="G18" s="2362"/>
      <c r="H18" s="140"/>
      <c r="I18" s="936"/>
      <c r="J18" s="2372"/>
      <c r="K18" s="2372"/>
      <c r="L18" s="2372"/>
      <c r="M18" s="2372"/>
      <c r="N18" s="1761"/>
      <c r="O18" s="140"/>
      <c r="P18" s="936"/>
      <c r="Q18" s="755"/>
      <c r="R18" s="755"/>
      <c r="S18" s="755"/>
      <c r="T18" s="755"/>
      <c r="U18" s="755"/>
      <c r="V18" s="1761"/>
      <c r="W18" s="140"/>
      <c r="X18" s="936"/>
      <c r="Y18" s="755"/>
      <c r="Z18" s="1761"/>
      <c r="AA18" s="140"/>
      <c r="AB18" s="837"/>
      <c r="AC18" s="755"/>
      <c r="AD18" s="2359"/>
    </row>
    <row r="19" spans="1:30" ht="11.25" customHeight="1" x14ac:dyDescent="0.3">
      <c r="A19" s="140"/>
      <c r="B19" s="936" t="s">
        <v>1787</v>
      </c>
      <c r="C19" s="2024">
        <f t="shared" ref="C19:E19" si="3">C15*C17</f>
        <v>200411305.01499999</v>
      </c>
      <c r="D19" s="2024">
        <f t="shared" si="3"/>
        <v>201247890.06999996</v>
      </c>
      <c r="E19" s="2024">
        <f t="shared" si="3"/>
        <v>195692315.53</v>
      </c>
      <c r="F19" s="2373"/>
      <c r="G19" s="2362"/>
      <c r="H19" s="140"/>
      <c r="I19" s="936" t="s">
        <v>1788</v>
      </c>
      <c r="J19" s="2372">
        <f t="shared" ref="J19:L19" si="4">J15*J17</f>
        <v>172869878.14499998</v>
      </c>
      <c r="K19" s="2372">
        <f t="shared" si="4"/>
        <v>164781084.34999999</v>
      </c>
      <c r="L19" s="2372">
        <f t="shared" si="4"/>
        <v>159959213.85499999</v>
      </c>
      <c r="M19" s="2372"/>
      <c r="N19" s="1761"/>
      <c r="O19" s="140"/>
      <c r="P19" s="936" t="s">
        <v>1789</v>
      </c>
      <c r="Q19" s="2372">
        <f t="shared" ref="Q19:T19" si="5">Q15*Q17</f>
        <v>0</v>
      </c>
      <c r="R19" s="2372">
        <f t="shared" si="5"/>
        <v>0</v>
      </c>
      <c r="S19" s="2372">
        <f t="shared" si="5"/>
        <v>0</v>
      </c>
      <c r="T19" s="2372">
        <f t="shared" si="5"/>
        <v>0</v>
      </c>
      <c r="U19" s="755"/>
      <c r="V19" s="1761"/>
      <c r="W19" s="140"/>
      <c r="X19" s="936" t="s">
        <v>1790</v>
      </c>
      <c r="Y19" s="2372">
        <f>Y15*Y17</f>
        <v>0</v>
      </c>
      <c r="Z19" s="1761"/>
      <c r="AA19" s="140"/>
      <c r="AB19" s="837" t="s">
        <v>1791</v>
      </c>
      <c r="AC19" s="625">
        <f>AC15*AC17</f>
        <v>1094961686.9649999</v>
      </c>
      <c r="AD19" s="2359"/>
    </row>
    <row r="20" spans="1:30" ht="11.25" customHeight="1" x14ac:dyDescent="0.2">
      <c r="A20" s="140"/>
      <c r="B20" s="936"/>
      <c r="C20" s="2373"/>
      <c r="D20" s="2373"/>
      <c r="E20" s="2373"/>
      <c r="F20" s="2373"/>
      <c r="G20" s="2362"/>
      <c r="H20" s="140"/>
      <c r="I20" s="936"/>
      <c r="J20" s="2372"/>
      <c r="K20" s="2372"/>
      <c r="L20" s="2372"/>
      <c r="M20" s="2372"/>
      <c r="N20" s="1761"/>
      <c r="O20" s="140"/>
      <c r="P20" s="936"/>
      <c r="Q20" s="755"/>
      <c r="R20" s="755"/>
      <c r="S20" s="755"/>
      <c r="T20" s="755"/>
      <c r="U20" s="755"/>
      <c r="V20" s="1761"/>
      <c r="W20" s="140"/>
      <c r="X20" s="936"/>
      <c r="Y20" s="755"/>
      <c r="Z20" s="1761"/>
      <c r="AA20" s="140"/>
      <c r="AB20" s="837"/>
      <c r="AC20" s="755"/>
      <c r="AD20" s="2359"/>
    </row>
    <row r="21" spans="1:30" ht="11.25" customHeight="1" x14ac:dyDescent="0.3">
      <c r="A21" s="140"/>
      <c r="B21" s="936" t="s">
        <v>1792</v>
      </c>
      <c r="C21" s="2024">
        <f t="shared" ref="C21:E21" si="6">C19*0.0011023</f>
        <v>220913.3815180345</v>
      </c>
      <c r="D21" s="2024">
        <f t="shared" si="6"/>
        <v>221835.54922416096</v>
      </c>
      <c r="E21" s="2024">
        <f t="shared" si="6"/>
        <v>215711.63940871903</v>
      </c>
      <c r="F21" s="2374">
        <f>SUM(C21:E21)</f>
        <v>658460.57015091449</v>
      </c>
      <c r="G21" s="2362" t="s">
        <v>1780</v>
      </c>
      <c r="H21" s="140"/>
      <c r="I21" s="936" t="s">
        <v>1793</v>
      </c>
      <c r="J21" s="2372">
        <f t="shared" ref="J21:L21" si="7">J19*0.0011023</f>
        <v>190554.4666792335</v>
      </c>
      <c r="K21" s="2372">
        <f t="shared" si="7"/>
        <v>181638.18927900502</v>
      </c>
      <c r="L21" s="2372">
        <f t="shared" si="7"/>
        <v>176323.0414323665</v>
      </c>
      <c r="M21" s="2372">
        <v>554009.90692775359</v>
      </c>
      <c r="N21" s="1761" t="s">
        <v>1780</v>
      </c>
      <c r="O21" s="140"/>
      <c r="P21" s="936" t="s">
        <v>1794</v>
      </c>
      <c r="Q21" s="625">
        <f t="shared" ref="Q21:T21" si="8">Q19*0.0011023</f>
        <v>0</v>
      </c>
      <c r="R21" s="625">
        <f t="shared" si="8"/>
        <v>0</v>
      </c>
      <c r="S21" s="625">
        <f t="shared" si="8"/>
        <v>0</v>
      </c>
      <c r="T21" s="625">
        <f t="shared" si="8"/>
        <v>0</v>
      </c>
      <c r="U21" s="625">
        <f>SUM(Q21:S21)</f>
        <v>0</v>
      </c>
      <c r="V21" s="1761" t="s">
        <v>1780</v>
      </c>
      <c r="W21" s="140"/>
      <c r="X21" s="936" t="s">
        <v>1795</v>
      </c>
      <c r="Y21" s="625">
        <f>Y19*0.0011023</f>
        <v>0</v>
      </c>
      <c r="Z21" s="1761" t="s">
        <v>1780</v>
      </c>
      <c r="AA21" s="140"/>
      <c r="AB21" s="837" t="s">
        <v>1796</v>
      </c>
      <c r="AC21" s="625">
        <f>AC19*0.0011023</f>
        <v>1206976.2675415194</v>
      </c>
      <c r="AD21" s="2359" t="s">
        <v>1780</v>
      </c>
    </row>
    <row r="22" spans="1:30" ht="11.25" customHeight="1" x14ac:dyDescent="0.2">
      <c r="A22" s="140"/>
      <c r="B22" s="936"/>
      <c r="C22" s="2373"/>
      <c r="D22" s="2373"/>
      <c r="E22" s="2373"/>
      <c r="F22" s="2373"/>
      <c r="G22" s="2362"/>
      <c r="H22" s="140"/>
      <c r="I22" s="936"/>
      <c r="J22" s="2372"/>
      <c r="K22" s="2372"/>
      <c r="L22" s="2372"/>
      <c r="M22" s="2372"/>
      <c r="N22" s="1761"/>
      <c r="O22" s="140"/>
      <c r="P22" s="936"/>
      <c r="Q22" s="755"/>
      <c r="R22" s="755"/>
      <c r="S22" s="755"/>
      <c r="T22" s="755"/>
      <c r="U22" s="755"/>
      <c r="V22" s="1761"/>
      <c r="W22" s="140"/>
      <c r="X22" s="936"/>
      <c r="Y22" s="2032"/>
      <c r="Z22" s="1761"/>
      <c r="AA22" s="140"/>
      <c r="AB22" s="837"/>
      <c r="AC22" s="755"/>
      <c r="AD22" s="2359"/>
    </row>
    <row r="23" spans="1:30" ht="11.25" customHeight="1" x14ac:dyDescent="0.3">
      <c r="A23" s="140"/>
      <c r="B23" s="936" t="s">
        <v>1797</v>
      </c>
      <c r="C23" s="2364">
        <v>225003</v>
      </c>
      <c r="D23" s="2364">
        <v>198711</v>
      </c>
      <c r="E23" s="2364">
        <v>202273</v>
      </c>
      <c r="F23" s="2375">
        <f>C23+D23+E23</f>
        <v>625987</v>
      </c>
      <c r="G23" s="2376" t="s">
        <v>1798</v>
      </c>
      <c r="H23" s="140"/>
      <c r="I23" s="936" t="s">
        <v>1799</v>
      </c>
      <c r="J23" s="2372">
        <f>J25*0.907181</f>
        <v>168834.59408804998</v>
      </c>
      <c r="K23" s="2372">
        <f t="shared" ref="K23:L23" si="9">K25*0.907184</f>
        <v>155199.27878304</v>
      </c>
      <c r="L23" s="2372">
        <f t="shared" si="9"/>
        <v>155486.14850752</v>
      </c>
      <c r="M23" s="2372"/>
      <c r="N23" s="2377" t="s">
        <v>1800</v>
      </c>
      <c r="O23" s="140"/>
      <c r="P23" s="936" t="s">
        <v>1801</v>
      </c>
      <c r="Q23" s="2372">
        <f t="shared" ref="Q23:S23" si="10">Q25*0.907184</f>
        <v>0</v>
      </c>
      <c r="R23" s="2372">
        <f t="shared" si="10"/>
        <v>0</v>
      </c>
      <c r="S23" s="2372">
        <f t="shared" si="10"/>
        <v>0</v>
      </c>
      <c r="T23" s="2372">
        <f>T25*0.907441</f>
        <v>0</v>
      </c>
      <c r="U23" s="755"/>
      <c r="V23" s="2377" t="s">
        <v>1800</v>
      </c>
      <c r="W23" s="140"/>
      <c r="X23" s="936" t="s">
        <v>1802</v>
      </c>
      <c r="Y23" s="2378">
        <f>Y25*0.907184</f>
        <v>0</v>
      </c>
      <c r="Z23" s="2377" t="s">
        <v>1800</v>
      </c>
      <c r="AA23" s="140"/>
      <c r="AB23" s="837"/>
      <c r="AC23" s="755"/>
      <c r="AD23" s="2359"/>
    </row>
    <row r="24" spans="1:30" ht="11.25" customHeight="1" x14ac:dyDescent="0.2">
      <c r="A24" s="140"/>
      <c r="B24" s="936"/>
      <c r="C24" s="2373"/>
      <c r="D24" s="2373"/>
      <c r="E24" s="2373"/>
      <c r="F24" s="2373"/>
      <c r="G24" s="2362"/>
      <c r="H24" s="140"/>
      <c r="I24" s="936"/>
      <c r="J24" s="2372"/>
      <c r="K24" s="2372"/>
      <c r="L24" s="2372"/>
      <c r="M24" s="2372"/>
      <c r="N24" s="1761"/>
      <c r="O24" s="140"/>
      <c r="P24" s="936"/>
      <c r="Q24" s="755"/>
      <c r="R24" s="755"/>
      <c r="S24" s="755"/>
      <c r="T24" s="755"/>
      <c r="U24" s="755"/>
      <c r="V24" s="1761"/>
      <c r="W24" s="140"/>
      <c r="X24" s="936"/>
      <c r="Y24" s="2032"/>
      <c r="Z24" s="1761"/>
      <c r="AA24" s="140"/>
      <c r="AB24" s="837"/>
      <c r="AC24" s="755"/>
      <c r="AD24" s="2359"/>
    </row>
    <row r="25" spans="1:30" ht="11.25" customHeight="1" x14ac:dyDescent="0.3">
      <c r="A25" s="140"/>
      <c r="B25" s="2379" t="s">
        <v>1803</v>
      </c>
      <c r="C25" s="2380">
        <f t="shared" ref="C25:D25" si="11">C23*1.1023</f>
        <v>248020.80690000003</v>
      </c>
      <c r="D25" s="2380">
        <f t="shared" si="11"/>
        <v>219039.13530000002</v>
      </c>
      <c r="E25" s="2380">
        <v>217072</v>
      </c>
      <c r="F25" s="2381">
        <f>SUM(C25:E25)</f>
        <v>684131.94220000005</v>
      </c>
      <c r="G25" s="2382" t="s">
        <v>1798</v>
      </c>
      <c r="H25" s="140"/>
      <c r="I25" s="2379" t="s">
        <v>1804</v>
      </c>
      <c r="J25" s="2383">
        <v>186109.05</v>
      </c>
      <c r="K25" s="2383">
        <v>171078.06</v>
      </c>
      <c r="L25" s="2383">
        <v>171394.28</v>
      </c>
      <c r="M25" s="2384">
        <f>SUM(J25:L25)</f>
        <v>528581.39</v>
      </c>
      <c r="N25" s="2385" t="s">
        <v>1800</v>
      </c>
      <c r="O25" s="140"/>
      <c r="P25" s="2379" t="s">
        <v>1805</v>
      </c>
      <c r="Q25" s="2386">
        <v>0</v>
      </c>
      <c r="R25" s="2386">
        <v>0</v>
      </c>
      <c r="S25" s="2386">
        <v>0</v>
      </c>
      <c r="T25" s="2386">
        <v>0</v>
      </c>
      <c r="U25" s="2387">
        <f>SUM(Q25:S25)</f>
        <v>0</v>
      </c>
      <c r="V25" s="2377" t="s">
        <v>1800</v>
      </c>
      <c r="W25" s="140"/>
      <c r="X25" s="2379" t="s">
        <v>1806</v>
      </c>
      <c r="Y25" s="2388">
        <v>0</v>
      </c>
      <c r="Z25" s="2377" t="s">
        <v>1800</v>
      </c>
      <c r="AA25" s="140"/>
      <c r="AB25" s="2389" t="s">
        <v>1807</v>
      </c>
      <c r="AC25" s="2390">
        <f>F25+M25+U25+Y25</f>
        <v>1212713.3322000001</v>
      </c>
      <c r="AD25" s="2359"/>
    </row>
    <row r="26" spans="1:30" ht="11.25" customHeight="1" x14ac:dyDescent="0.2">
      <c r="A26" s="140"/>
      <c r="B26" s="936"/>
      <c r="C26" s="2373"/>
      <c r="D26" s="2373"/>
      <c r="E26" s="2373"/>
      <c r="F26" s="2373"/>
      <c r="G26" s="2362"/>
      <c r="H26" s="140"/>
      <c r="I26" s="936"/>
      <c r="J26" s="2372"/>
      <c r="K26" s="2372"/>
      <c r="L26" s="2372"/>
      <c r="M26" s="2372"/>
      <c r="N26" s="1761"/>
      <c r="O26" s="140"/>
      <c r="P26" s="936"/>
      <c r="Q26" s="755"/>
      <c r="R26" s="755"/>
      <c r="S26" s="755"/>
      <c r="T26" s="755"/>
      <c r="U26" s="755"/>
      <c r="V26" s="1761"/>
      <c r="W26" s="140"/>
      <c r="X26" s="936"/>
      <c r="Y26" s="2032"/>
      <c r="Z26" s="1761"/>
      <c r="AA26" s="140"/>
      <c r="AB26" s="837"/>
      <c r="AC26" s="755"/>
      <c r="AD26" s="2359"/>
    </row>
    <row r="27" spans="1:30" ht="11.25" customHeight="1" x14ac:dyDescent="0.3">
      <c r="A27" s="140"/>
      <c r="B27" s="936" t="s">
        <v>1808</v>
      </c>
      <c r="C27" s="2373">
        <v>3.2000000000000001E-2</v>
      </c>
      <c r="D27" s="2373">
        <v>3.2000000000000001E-2</v>
      </c>
      <c r="E27" s="2373">
        <v>3.2000000000000001E-2</v>
      </c>
      <c r="F27" s="2373"/>
      <c r="G27" s="2362"/>
      <c r="H27" s="140"/>
      <c r="I27" s="936" t="s">
        <v>1809</v>
      </c>
      <c r="J27" s="2372">
        <v>3.2000000000000001E-2</v>
      </c>
      <c r="K27" s="2372">
        <v>3.2000000000000001E-2</v>
      </c>
      <c r="L27" s="2372">
        <v>3.2000000000000001E-2</v>
      </c>
      <c r="M27" s="2372"/>
      <c r="N27" s="1761"/>
      <c r="O27" s="140"/>
      <c r="P27" s="936" t="s">
        <v>1810</v>
      </c>
      <c r="Q27" s="755">
        <v>3.2000000000000001E-2</v>
      </c>
      <c r="R27" s="755">
        <v>3.2000000000000001E-2</v>
      </c>
      <c r="S27" s="755">
        <v>3.2000000000000001E-2</v>
      </c>
      <c r="T27" s="755">
        <v>3.2000000000000001E-2</v>
      </c>
      <c r="U27" s="755"/>
      <c r="V27" s="1761" t="s">
        <v>1780</v>
      </c>
      <c r="W27" s="140"/>
      <c r="X27" s="936" t="s">
        <v>1811</v>
      </c>
      <c r="Y27" s="2032">
        <v>3.2000000000000001E-2</v>
      </c>
      <c r="Z27" s="1761"/>
      <c r="AA27" s="140"/>
      <c r="AB27" s="837" t="s">
        <v>1812</v>
      </c>
      <c r="AC27" s="755">
        <v>3.2000000000000001E-2</v>
      </c>
      <c r="AD27" s="2359"/>
    </row>
    <row r="28" spans="1:30" ht="11.25" customHeight="1" x14ac:dyDescent="0.3">
      <c r="A28" s="140"/>
      <c r="B28" s="936" t="s">
        <v>1813</v>
      </c>
      <c r="C28" s="2373">
        <f t="shared" ref="C28:E28" si="12">C15*C27</f>
        <v>70707.406399999993</v>
      </c>
      <c r="D28" s="2373">
        <f t="shared" si="12"/>
        <v>71002.56319999999</v>
      </c>
      <c r="E28" s="2373">
        <f t="shared" si="12"/>
        <v>69042.492799999993</v>
      </c>
      <c r="F28" s="2373"/>
      <c r="G28" s="2362"/>
      <c r="H28" s="140"/>
      <c r="I28" s="936" t="s">
        <v>1814</v>
      </c>
      <c r="J28" s="2372">
        <f t="shared" ref="J28:L28" si="13">J15*J27</f>
        <v>60990.475199999993</v>
      </c>
      <c r="K28" s="2372">
        <f t="shared" si="13"/>
        <v>58136.655999999995</v>
      </c>
      <c r="L28" s="2372">
        <f t="shared" si="13"/>
        <v>56435.444799999997</v>
      </c>
      <c r="M28" s="2372"/>
      <c r="N28" s="1761"/>
      <c r="O28" s="140"/>
      <c r="P28" s="936" t="s">
        <v>1815</v>
      </c>
      <c r="Q28" s="2372">
        <f t="shared" ref="Q28:T28" si="14">Q15*Q27</f>
        <v>0</v>
      </c>
      <c r="R28" s="2372">
        <f t="shared" si="14"/>
        <v>0</v>
      </c>
      <c r="S28" s="2372">
        <f t="shared" si="14"/>
        <v>0</v>
      </c>
      <c r="T28" s="2372">
        <f t="shared" si="14"/>
        <v>0</v>
      </c>
      <c r="U28" s="755"/>
      <c r="V28" s="1761"/>
      <c r="W28" s="140"/>
      <c r="X28" s="936" t="s">
        <v>1816</v>
      </c>
      <c r="Y28" s="2032">
        <v>0</v>
      </c>
      <c r="Z28" s="1761"/>
      <c r="AA28" s="140"/>
      <c r="AB28" s="837" t="s">
        <v>1817</v>
      </c>
      <c r="AC28" s="2372">
        <f>AC15*AC27</f>
        <v>386315.03839999996</v>
      </c>
      <c r="AD28" s="2359"/>
    </row>
    <row r="29" spans="1:30" ht="11.25" customHeight="1" x14ac:dyDescent="0.3">
      <c r="A29" s="140"/>
      <c r="B29" s="936" t="s">
        <v>1818</v>
      </c>
      <c r="C29" s="2373">
        <f t="shared" ref="C29:E29" si="15">C28*0.0011023</f>
        <v>77.940774074719997</v>
      </c>
      <c r="D29" s="2373">
        <f t="shared" si="15"/>
        <v>78.266125415359994</v>
      </c>
      <c r="E29" s="2373">
        <f t="shared" si="15"/>
        <v>76.105539813440004</v>
      </c>
      <c r="F29" s="2373">
        <f>SUM(C29:E29)</f>
        <v>232.31243930351999</v>
      </c>
      <c r="G29" s="2362" t="s">
        <v>1780</v>
      </c>
      <c r="H29" s="140"/>
      <c r="I29" s="936" t="s">
        <v>1819</v>
      </c>
      <c r="J29" s="2372">
        <v>83.394994316799981</v>
      </c>
      <c r="K29" s="2372">
        <v>82.256329721440011</v>
      </c>
      <c r="L29" s="2372">
        <v>81.416452959680001</v>
      </c>
      <c r="M29" s="2372">
        <v>195.44356166143999</v>
      </c>
      <c r="N29" s="1761" t="s">
        <v>1780</v>
      </c>
      <c r="O29" s="140"/>
      <c r="P29" s="936" t="s">
        <v>1820</v>
      </c>
      <c r="Q29" s="2372">
        <f t="shared" ref="Q29:T29" si="16">Q28*0.0011023</f>
        <v>0</v>
      </c>
      <c r="R29" s="2372">
        <f t="shared" si="16"/>
        <v>0</v>
      </c>
      <c r="S29" s="2372">
        <f t="shared" si="16"/>
        <v>0</v>
      </c>
      <c r="T29" s="2372">
        <f t="shared" si="16"/>
        <v>0</v>
      </c>
      <c r="U29" s="2372">
        <f>SUM(Q29:S29)</f>
        <v>0</v>
      </c>
      <c r="V29" s="1761"/>
      <c r="W29" s="140"/>
      <c r="X29" s="936" t="s">
        <v>1821</v>
      </c>
      <c r="Y29" s="2032">
        <v>41.46872548479999</v>
      </c>
      <c r="Z29" s="1761" t="s">
        <v>1780</v>
      </c>
      <c r="AA29" s="140"/>
      <c r="AB29" s="837" t="s">
        <v>1822</v>
      </c>
      <c r="AC29" s="2372">
        <f>AC28*0.0011023</f>
        <v>425.83506682832001</v>
      </c>
      <c r="AD29" s="2359" t="s">
        <v>1780</v>
      </c>
    </row>
    <row r="30" spans="1:30" ht="11.25" customHeight="1" x14ac:dyDescent="0.2">
      <c r="A30" s="140"/>
      <c r="B30" s="936"/>
      <c r="C30" s="2373"/>
      <c r="D30" s="2373"/>
      <c r="E30" s="2373"/>
      <c r="F30" s="2374"/>
      <c r="G30" s="2362"/>
      <c r="H30" s="140"/>
      <c r="I30" s="936"/>
      <c r="J30" s="2372"/>
      <c r="K30" s="2372"/>
      <c r="L30" s="2372"/>
      <c r="M30" s="2372"/>
      <c r="N30" s="1761"/>
      <c r="O30" s="140"/>
      <c r="P30" s="936"/>
      <c r="Q30" s="2372"/>
      <c r="R30" s="2372"/>
      <c r="S30" s="2372"/>
      <c r="T30" s="2372"/>
      <c r="U30" s="755"/>
      <c r="V30" s="1761"/>
      <c r="W30" s="140"/>
      <c r="X30" s="936"/>
      <c r="Y30" s="2032"/>
      <c r="Z30" s="1761"/>
      <c r="AA30" s="140"/>
      <c r="AB30" s="837"/>
      <c r="AC30" s="755"/>
      <c r="AD30" s="2359"/>
    </row>
    <row r="31" spans="1:30" ht="11.25" customHeight="1" x14ac:dyDescent="0.3">
      <c r="A31" s="140"/>
      <c r="B31" s="2391" t="s">
        <v>1823</v>
      </c>
      <c r="C31" s="2392">
        <f>76.991*1.10231</f>
        <v>84.867949209999992</v>
      </c>
      <c r="D31" s="2392">
        <f>77.318*1.10231</f>
        <v>85.228404579999989</v>
      </c>
      <c r="E31" s="2392">
        <f>75.181*1.10231</f>
        <v>82.872768109999996</v>
      </c>
      <c r="F31" s="2393">
        <f>SUM(C31:E31)</f>
        <v>252.96912189999995</v>
      </c>
      <c r="G31" s="2394" t="s">
        <v>1798</v>
      </c>
      <c r="H31" s="140"/>
      <c r="I31" s="2395" t="s">
        <v>1824</v>
      </c>
      <c r="J31" s="2396">
        <v>1.83E-2</v>
      </c>
      <c r="K31" s="2396">
        <v>1.7399999999999999E-2</v>
      </c>
      <c r="L31" s="2396">
        <v>1.41E-2</v>
      </c>
      <c r="M31" s="2397">
        <f>SUM(J31:L31)</f>
        <v>4.9799999999999997E-2</v>
      </c>
      <c r="N31" s="2398" t="s">
        <v>1800</v>
      </c>
      <c r="O31" s="140"/>
      <c r="P31" s="2395" t="s">
        <v>1825</v>
      </c>
      <c r="Q31" s="2399">
        <v>0</v>
      </c>
      <c r="R31" s="2399">
        <v>0</v>
      </c>
      <c r="S31" s="2399">
        <v>0</v>
      </c>
      <c r="T31" s="2399">
        <v>0</v>
      </c>
      <c r="U31" s="2400">
        <f>SUM(Q31:T31)</f>
        <v>0</v>
      </c>
      <c r="V31" s="2401" t="s">
        <v>1800</v>
      </c>
      <c r="W31" s="140"/>
      <c r="X31" s="2391" t="s">
        <v>1826</v>
      </c>
      <c r="Y31" s="2402">
        <f>Y35</f>
        <v>0</v>
      </c>
      <c r="Z31" s="2403"/>
      <c r="AA31" s="140"/>
      <c r="AB31" s="2404" t="s">
        <v>1827</v>
      </c>
      <c r="AC31" s="2405">
        <f>(F31+M31+U31+Y31)*AG10</f>
        <v>7084.5298131999989</v>
      </c>
      <c r="AD31" s="2403" t="s">
        <v>1800</v>
      </c>
    </row>
    <row r="32" spans="1:30" ht="11.25" customHeight="1" x14ac:dyDescent="0.2">
      <c r="A32" s="140"/>
      <c r="B32" s="936"/>
      <c r="C32" s="2373"/>
      <c r="D32" s="2373"/>
      <c r="E32" s="2373"/>
      <c r="F32" s="2373"/>
      <c r="G32" s="2362"/>
      <c r="H32" s="140"/>
      <c r="I32" s="936"/>
      <c r="J32" s="2372"/>
      <c r="K32" s="2372"/>
      <c r="L32" s="2372"/>
      <c r="M32" s="2372"/>
      <c r="N32" s="1761"/>
      <c r="O32" s="140"/>
      <c r="P32" s="936"/>
      <c r="Q32" s="755"/>
      <c r="R32" s="755"/>
      <c r="S32" s="755"/>
      <c r="T32" s="755"/>
      <c r="U32" s="755"/>
      <c r="V32" s="1761"/>
      <c r="W32" s="140"/>
      <c r="X32" s="936"/>
      <c r="Y32" s="2406"/>
      <c r="Z32" s="1761"/>
      <c r="AA32" s="140"/>
      <c r="AB32" s="837"/>
      <c r="AC32" s="755"/>
      <c r="AD32" s="2359"/>
    </row>
    <row r="33" spans="1:30" ht="11.25" customHeight="1" x14ac:dyDescent="0.3">
      <c r="A33" s="140"/>
      <c r="B33" s="936" t="s">
        <v>1828</v>
      </c>
      <c r="C33" s="2407">
        <v>4.1999999999999997E-3</v>
      </c>
      <c r="D33" s="2407">
        <v>4.1999999999999997E-3</v>
      </c>
      <c r="E33" s="2407">
        <v>4.1999999999999997E-3</v>
      </c>
      <c r="F33" s="2373"/>
      <c r="G33" s="2362"/>
      <c r="H33" s="140"/>
      <c r="I33" s="936" t="s">
        <v>1829</v>
      </c>
      <c r="J33" s="2408">
        <v>4.1999999999999997E-3</v>
      </c>
      <c r="K33" s="2408">
        <v>4.1999999999999997E-3</v>
      </c>
      <c r="L33" s="2408">
        <v>4.1999999999999997E-3</v>
      </c>
      <c r="M33" s="2372"/>
      <c r="N33" s="1761"/>
      <c r="O33" s="140"/>
      <c r="P33" s="936" t="s">
        <v>1830</v>
      </c>
      <c r="Q33" s="755">
        <v>4.1999999999999997E-3</v>
      </c>
      <c r="R33" s="755">
        <v>4.1999999999999997E-3</v>
      </c>
      <c r="S33" s="755">
        <v>4.1999999999999997E-3</v>
      </c>
      <c r="T33" s="755">
        <v>4.1999999999999997E-3</v>
      </c>
      <c r="U33" s="755"/>
      <c r="V33" s="1761" t="s">
        <v>1780</v>
      </c>
      <c r="W33" s="140"/>
      <c r="X33" s="936" t="s">
        <v>1831</v>
      </c>
      <c r="Y33" s="2406">
        <v>0</v>
      </c>
      <c r="Z33" s="1761"/>
      <c r="AA33" s="140"/>
      <c r="AB33" s="837" t="s">
        <v>1832</v>
      </c>
      <c r="AC33" s="755">
        <v>4.1999999999999997E-3</v>
      </c>
      <c r="AD33" s="2359"/>
    </row>
    <row r="34" spans="1:30" ht="11.25" customHeight="1" x14ac:dyDescent="0.3">
      <c r="A34" s="140"/>
      <c r="B34" s="936" t="s">
        <v>1833</v>
      </c>
      <c r="C34" s="2373">
        <f t="shared" ref="C34:E34" si="17">C15*C33</f>
        <v>9280.3470899999975</v>
      </c>
      <c r="D34" s="2373">
        <f t="shared" si="17"/>
        <v>9319.0864199999978</v>
      </c>
      <c r="E34" s="2373">
        <f t="shared" si="17"/>
        <v>9061.8271799999984</v>
      </c>
      <c r="F34" s="2373"/>
      <c r="G34" s="2362"/>
      <c r="H34" s="140"/>
      <c r="I34" s="936" t="s">
        <v>1834</v>
      </c>
      <c r="J34" s="2372">
        <f t="shared" ref="J34:L34" si="18">J15*J33</f>
        <v>8004.9998699999987</v>
      </c>
      <c r="K34" s="2372">
        <f t="shared" si="18"/>
        <v>7630.436099999999</v>
      </c>
      <c r="L34" s="2372">
        <f t="shared" si="18"/>
        <v>7407.1521299999995</v>
      </c>
      <c r="M34" s="2372"/>
      <c r="N34" s="1761"/>
      <c r="O34" s="140"/>
      <c r="P34" s="936" t="s">
        <v>1835</v>
      </c>
      <c r="Q34" s="2372">
        <f t="shared" ref="Q34:T34" si="19">Q15*Q33</f>
        <v>0</v>
      </c>
      <c r="R34" s="2372">
        <f t="shared" si="19"/>
        <v>0</v>
      </c>
      <c r="S34" s="2372">
        <f t="shared" si="19"/>
        <v>0</v>
      </c>
      <c r="T34" s="2372">
        <f t="shared" si="19"/>
        <v>0</v>
      </c>
      <c r="U34" s="755"/>
      <c r="V34" s="1761"/>
      <c r="W34" s="140"/>
      <c r="X34" s="936" t="s">
        <v>1836</v>
      </c>
      <c r="Y34" s="2406">
        <f>Y15*Y33</f>
        <v>0</v>
      </c>
      <c r="Z34" s="1761"/>
      <c r="AA34" s="140"/>
      <c r="AB34" s="837" t="s">
        <v>1837</v>
      </c>
      <c r="AC34" s="2372">
        <f>AC15*AC33</f>
        <v>50703.848789999996</v>
      </c>
      <c r="AD34" s="2359"/>
    </row>
    <row r="35" spans="1:30" ht="11.25" customHeight="1" x14ac:dyDescent="0.3">
      <c r="A35" s="140"/>
      <c r="B35" s="936" t="s">
        <v>1838</v>
      </c>
      <c r="C35" s="2373">
        <f t="shared" ref="C35:E35" si="20">C34*0.0011023</f>
        <v>10.229726597306998</v>
      </c>
      <c r="D35" s="2373">
        <f t="shared" si="20"/>
        <v>10.272428960765998</v>
      </c>
      <c r="E35" s="2373">
        <f t="shared" si="20"/>
        <v>9.9888521005139985</v>
      </c>
      <c r="F35" s="2374">
        <f>SUM(C35:E35)</f>
        <v>30.491007658586994</v>
      </c>
      <c r="G35" s="2362" t="s">
        <v>1780</v>
      </c>
      <c r="H35" s="140"/>
      <c r="I35" s="936" t="s">
        <v>1839</v>
      </c>
      <c r="J35" s="2372">
        <f t="shared" ref="J35:L35" si="21">J34*0.0011023</f>
        <v>8.8239113567009984</v>
      </c>
      <c r="K35" s="2372">
        <f t="shared" si="21"/>
        <v>8.4110297130299987</v>
      </c>
      <c r="L35" s="2372">
        <f t="shared" si="21"/>
        <v>8.1649037928990005</v>
      </c>
      <c r="M35" s="2372">
        <f>SUM(J35:L35)</f>
        <v>25.399844862629998</v>
      </c>
      <c r="N35" s="1761" t="s">
        <v>1780</v>
      </c>
      <c r="O35" s="140"/>
      <c r="P35" s="936" t="s">
        <v>1840</v>
      </c>
      <c r="Q35" s="2372">
        <f t="shared" ref="Q35:T35" si="22">Q34*0.0011023</f>
        <v>0</v>
      </c>
      <c r="R35" s="2372">
        <f t="shared" si="22"/>
        <v>0</v>
      </c>
      <c r="S35" s="2372">
        <f t="shared" si="22"/>
        <v>0</v>
      </c>
      <c r="T35" s="2372">
        <f t="shared" si="22"/>
        <v>0</v>
      </c>
      <c r="U35" s="626">
        <v>9.8723234772949489E-2</v>
      </c>
      <c r="V35" s="1761"/>
      <c r="W35" s="140"/>
      <c r="X35" s="936" t="s">
        <v>1841</v>
      </c>
      <c r="Y35" s="2406">
        <f>Y34*0.0011023</f>
        <v>0</v>
      </c>
      <c r="Z35" s="1761" t="s">
        <v>1780</v>
      </c>
      <c r="AA35" s="140"/>
      <c r="AB35" s="837" t="s">
        <v>1842</v>
      </c>
      <c r="AC35" s="2372">
        <f>AC34*0.0011023</f>
        <v>55.890852521216999</v>
      </c>
      <c r="AD35" s="2359" t="s">
        <v>1780</v>
      </c>
    </row>
    <row r="36" spans="1:30" ht="11.25" customHeight="1" x14ac:dyDescent="0.2">
      <c r="A36" s="140"/>
      <c r="B36" s="945"/>
      <c r="C36" s="2373"/>
      <c r="D36" s="2373"/>
      <c r="E36" s="2373"/>
      <c r="F36" s="2373"/>
      <c r="G36" s="2362"/>
      <c r="H36" s="140"/>
      <c r="I36" s="936"/>
      <c r="J36" s="755"/>
      <c r="K36" s="755"/>
      <c r="L36" s="755"/>
      <c r="M36" s="755"/>
      <c r="N36" s="1761"/>
      <c r="O36" s="140"/>
      <c r="P36" s="936"/>
      <c r="Q36" s="755"/>
      <c r="R36" s="755"/>
      <c r="S36" s="755"/>
      <c r="T36" s="755"/>
      <c r="U36" s="755"/>
      <c r="V36" s="1761"/>
      <c r="W36" s="140"/>
      <c r="X36" s="936"/>
      <c r="Y36" s="755"/>
      <c r="Z36" s="1761"/>
      <c r="AA36" s="140"/>
      <c r="AB36" s="2409"/>
      <c r="AC36" s="1110"/>
      <c r="AD36" s="2410"/>
    </row>
    <row r="37" spans="1:30" ht="11.25" customHeight="1" x14ac:dyDescent="0.3">
      <c r="A37" s="140"/>
      <c r="B37" s="2411" t="s">
        <v>1843</v>
      </c>
      <c r="C37" s="2412">
        <f>10.105*1.10231</f>
        <v>11.13884255</v>
      </c>
      <c r="D37" s="2412">
        <f>10.148*1.10231</f>
        <v>11.186241879999999</v>
      </c>
      <c r="E37" s="2412">
        <f>9.867*1.10231</f>
        <v>10.87649277</v>
      </c>
      <c r="F37" s="2413">
        <f>SUM(C37:E37)</f>
        <v>33.201577199999996</v>
      </c>
      <c r="G37" s="2414" t="s">
        <v>1798</v>
      </c>
      <c r="H37" s="2415"/>
      <c r="I37" s="2416" t="s">
        <v>1844</v>
      </c>
      <c r="J37" s="2417">
        <v>1.7500000000000002E-2</v>
      </c>
      <c r="K37" s="2417">
        <v>1.66E-2</v>
      </c>
      <c r="L37" s="2417">
        <v>1.35E-2</v>
      </c>
      <c r="M37" s="2417">
        <f>SUM(J37:L37)</f>
        <v>4.7600000000000003E-2</v>
      </c>
      <c r="N37" s="2418" t="s">
        <v>1800</v>
      </c>
      <c r="O37" s="2415"/>
      <c r="P37" s="2416" t="s">
        <v>1845</v>
      </c>
      <c r="Q37" s="2419">
        <v>0</v>
      </c>
      <c r="R37" s="2419">
        <v>0</v>
      </c>
      <c r="S37" s="2419">
        <v>0</v>
      </c>
      <c r="T37" s="2419">
        <v>0</v>
      </c>
      <c r="U37" s="2420">
        <v>0</v>
      </c>
      <c r="V37" s="2421" t="s">
        <v>1800</v>
      </c>
      <c r="W37" s="2415"/>
      <c r="X37" s="2416" t="s">
        <v>1846</v>
      </c>
      <c r="Y37" s="2422">
        <v>0</v>
      </c>
      <c r="Z37" s="2418" t="s">
        <v>1800</v>
      </c>
      <c r="AA37" s="2415"/>
      <c r="AB37" s="2423" t="s">
        <v>1847</v>
      </c>
      <c r="AC37" s="2424">
        <f>(F37+M37+U37+Y37)*AG11</f>
        <v>8811.0319579999996</v>
      </c>
      <c r="AD37" s="694"/>
    </row>
    <row r="38" spans="1:30" ht="11.25" customHeight="1" x14ac:dyDescent="0.2">
      <c r="A38" s="140"/>
      <c r="B38" s="1192"/>
      <c r="C38" s="2425"/>
      <c r="D38" s="2425"/>
      <c r="E38" s="2425"/>
      <c r="F38" s="2425"/>
      <c r="G38" s="2426"/>
      <c r="H38" s="140"/>
      <c r="I38" s="953"/>
      <c r="J38" s="953"/>
      <c r="K38" s="953"/>
      <c r="L38" s="953"/>
      <c r="M38" s="953"/>
      <c r="N38" s="2427"/>
      <c r="O38" s="140"/>
      <c r="P38" s="2428"/>
      <c r="Q38" s="2429"/>
      <c r="R38" s="2429"/>
      <c r="S38" s="2429"/>
      <c r="T38" s="2429"/>
      <c r="U38" s="2429"/>
      <c r="V38" s="2427"/>
      <c r="W38" s="140"/>
      <c r="X38" s="1192"/>
      <c r="Y38" s="953"/>
      <c r="Z38" s="1193"/>
      <c r="AA38" s="140"/>
      <c r="AB38" s="636"/>
      <c r="AC38" s="637"/>
      <c r="AD38" s="1283"/>
    </row>
    <row r="39" spans="1:30" ht="11.25" customHeight="1" x14ac:dyDescent="0.2">
      <c r="A39" s="140"/>
      <c r="B39" s="140"/>
      <c r="C39" s="140"/>
      <c r="D39" s="140"/>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row>
    <row r="40" spans="1:30" ht="11.25" customHeight="1" x14ac:dyDescent="0.2">
      <c r="A40" s="140"/>
      <c r="B40" s="140"/>
      <c r="C40" s="811"/>
      <c r="D40" s="140"/>
      <c r="E40" s="140"/>
      <c r="F40" s="140"/>
      <c r="G40" s="140"/>
      <c r="H40" s="140"/>
      <c r="I40" s="140"/>
      <c r="J40" s="140"/>
      <c r="K40" s="140"/>
      <c r="L40" s="140"/>
      <c r="M40" s="140"/>
      <c r="N40" s="140"/>
      <c r="O40" s="140"/>
      <c r="P40" s="140"/>
      <c r="Q40" s="140"/>
      <c r="R40" s="140"/>
      <c r="S40" s="140"/>
      <c r="T40" s="140"/>
      <c r="U40" s="140"/>
      <c r="V40" s="140"/>
      <c r="W40" s="140"/>
      <c r="X40" s="140"/>
      <c r="Y40" s="140"/>
      <c r="Z40" s="140"/>
      <c r="AA40" s="140"/>
      <c r="AB40" s="140"/>
      <c r="AC40" s="140"/>
      <c r="AD40" s="140"/>
    </row>
    <row r="41" spans="1:30" ht="11.25" customHeight="1" x14ac:dyDescent="0.2">
      <c r="A41" s="140"/>
      <c r="B41" s="140"/>
      <c r="C41" s="140"/>
      <c r="D41" s="140"/>
      <c r="E41" s="140"/>
      <c r="F41" s="140"/>
      <c r="G41" s="140"/>
      <c r="H41" s="140"/>
      <c r="I41" s="140"/>
      <c r="J41" s="140"/>
      <c r="K41" s="140"/>
      <c r="L41" s="140"/>
      <c r="M41" s="140"/>
      <c r="N41" s="140"/>
      <c r="O41" s="140"/>
      <c r="P41" s="140"/>
      <c r="Q41" s="140"/>
      <c r="R41" s="140"/>
      <c r="S41" s="140"/>
      <c r="T41" s="140"/>
      <c r="U41" s="140"/>
      <c r="V41" s="140"/>
      <c r="W41" s="140"/>
      <c r="X41" s="140"/>
      <c r="Y41" s="140"/>
      <c r="Z41" s="140"/>
      <c r="AA41" s="140"/>
      <c r="AB41" s="140"/>
      <c r="AC41" s="140"/>
      <c r="AD41" s="140"/>
    </row>
    <row r="42" spans="1:30" ht="11.25" customHeight="1" x14ac:dyDescent="0.2">
      <c r="A42" s="140"/>
      <c r="B42" s="140"/>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140"/>
      <c r="AA42" s="140"/>
      <c r="AB42" s="140"/>
      <c r="AC42" s="140"/>
      <c r="AD42" s="140"/>
    </row>
    <row r="43" spans="1:30" ht="11.25" customHeight="1" x14ac:dyDescent="0.2">
      <c r="A43" s="140"/>
      <c r="B43" s="140"/>
      <c r="C43" s="140"/>
      <c r="D43" s="140"/>
      <c r="E43" s="140"/>
      <c r="F43" s="140"/>
      <c r="G43" s="140"/>
      <c r="H43" s="140"/>
      <c r="I43" s="140"/>
      <c r="J43" s="140"/>
      <c r="K43" s="140"/>
      <c r="L43" s="140"/>
      <c r="M43" s="140"/>
      <c r="N43" s="140"/>
      <c r="O43" s="140"/>
      <c r="P43" s="140"/>
      <c r="Q43" s="140"/>
      <c r="R43" s="140"/>
      <c r="S43" s="140"/>
      <c r="T43" s="140"/>
      <c r="U43" s="140"/>
      <c r="V43" s="140"/>
      <c r="W43" s="140"/>
      <c r="X43" s="140"/>
      <c r="Y43" s="140"/>
      <c r="Z43" s="140"/>
      <c r="AA43" s="140"/>
      <c r="AB43" s="140"/>
      <c r="AC43" s="140"/>
      <c r="AD43" s="140"/>
    </row>
    <row r="44" spans="1:30" ht="11.25" customHeight="1" x14ac:dyDescent="0.2">
      <c r="A44" s="140"/>
      <c r="B44" s="140"/>
      <c r="C44" s="140"/>
      <c r="D44" s="140"/>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row>
    <row r="45" spans="1:30" ht="11.25" customHeight="1" x14ac:dyDescent="0.2">
      <c r="A45" s="140"/>
      <c r="B45" s="755"/>
      <c r="C45" s="1634" t="s">
        <v>1848</v>
      </c>
      <c r="D45" s="755"/>
      <c r="E45" s="755"/>
      <c r="F45" s="140"/>
      <c r="G45" s="140"/>
      <c r="H45" s="140"/>
      <c r="I45" s="140"/>
      <c r="J45" s="140"/>
      <c r="K45" s="140"/>
      <c r="L45" s="140"/>
      <c r="M45" s="140"/>
      <c r="N45" s="140"/>
      <c r="O45" s="140"/>
      <c r="P45" s="140"/>
      <c r="Q45" s="140"/>
      <c r="R45" s="140"/>
      <c r="S45" s="140"/>
      <c r="T45" s="140"/>
      <c r="U45" s="140"/>
      <c r="V45" s="140"/>
      <c r="W45" s="140"/>
      <c r="X45" s="140"/>
      <c r="Y45" s="140"/>
      <c r="Z45" s="140"/>
      <c r="AA45" s="140"/>
      <c r="AB45" s="140"/>
      <c r="AC45" s="140"/>
      <c r="AD45" s="140"/>
    </row>
    <row r="46" spans="1:30" ht="11.25" customHeight="1" x14ac:dyDescent="0.2">
      <c r="A46" s="140"/>
      <c r="B46" s="755" t="s">
        <v>582</v>
      </c>
      <c r="C46" s="755" t="s">
        <v>1849</v>
      </c>
      <c r="D46" s="755" t="s">
        <v>1850</v>
      </c>
      <c r="E46" s="755"/>
      <c r="F46" s="140"/>
      <c r="G46" s="140"/>
      <c r="H46" s="140"/>
      <c r="I46" s="140"/>
      <c r="J46" s="140"/>
      <c r="K46" s="140"/>
      <c r="L46" s="140"/>
      <c r="M46" s="140"/>
      <c r="N46" s="140"/>
      <c r="O46" s="140"/>
      <c r="P46" s="140"/>
      <c r="Q46" s="140"/>
      <c r="R46" s="140"/>
      <c r="S46" s="140"/>
      <c r="T46" s="140"/>
      <c r="U46" s="140"/>
      <c r="V46" s="140"/>
      <c r="W46" s="140"/>
      <c r="X46" s="140"/>
      <c r="Y46" s="140"/>
      <c r="Z46" s="140"/>
      <c r="AA46" s="140"/>
      <c r="AB46" s="140"/>
      <c r="AC46" s="140"/>
      <c r="AD46" s="140"/>
    </row>
    <row r="47" spans="1:30" ht="11.25" customHeight="1" x14ac:dyDescent="0.3">
      <c r="A47" s="140"/>
      <c r="B47" s="755" t="s">
        <v>1851</v>
      </c>
      <c r="C47" s="755">
        <v>90.7</v>
      </c>
      <c r="D47" s="755">
        <v>53.06</v>
      </c>
      <c r="E47" s="755" t="s">
        <v>1852</v>
      </c>
      <c r="F47" s="140"/>
      <c r="G47" s="140"/>
      <c r="H47" s="140"/>
      <c r="I47" s="140"/>
      <c r="J47" s="140"/>
      <c r="K47" s="140"/>
      <c r="L47" s="140"/>
      <c r="M47" s="140"/>
      <c r="N47" s="140"/>
      <c r="O47" s="140"/>
      <c r="P47" s="140"/>
      <c r="Q47" s="140"/>
      <c r="R47" s="140"/>
      <c r="S47" s="140"/>
      <c r="T47" s="140"/>
      <c r="U47" s="140"/>
      <c r="V47" s="140"/>
      <c r="W47" s="140"/>
      <c r="X47" s="140"/>
      <c r="Y47" s="140"/>
      <c r="Z47" s="140"/>
      <c r="AA47" s="140"/>
      <c r="AB47" s="140"/>
      <c r="AC47" s="140"/>
      <c r="AD47" s="140"/>
    </row>
    <row r="48" spans="1:30" ht="11.25" customHeight="1" x14ac:dyDescent="0.3">
      <c r="A48" s="140"/>
      <c r="B48" s="755" t="s">
        <v>1853</v>
      </c>
      <c r="C48" s="755">
        <v>3.2000000000000001E-2</v>
      </c>
      <c r="D48" s="755">
        <v>1E-3</v>
      </c>
      <c r="E48" s="755" t="s">
        <v>1854</v>
      </c>
      <c r="F48" s="140"/>
      <c r="G48" s="140"/>
      <c r="H48" s="140"/>
      <c r="I48" s="140"/>
      <c r="J48" s="140"/>
      <c r="K48" s="140"/>
      <c r="L48" s="140"/>
      <c r="M48" s="140"/>
      <c r="N48" s="140"/>
      <c r="O48" s="140"/>
      <c r="P48" s="140"/>
      <c r="Q48" s="140"/>
      <c r="R48" s="140"/>
      <c r="S48" s="140"/>
      <c r="T48" s="140"/>
      <c r="U48" s="140"/>
      <c r="V48" s="140"/>
      <c r="W48" s="140"/>
      <c r="X48" s="140"/>
      <c r="Y48" s="140"/>
      <c r="Z48" s="140"/>
      <c r="AA48" s="140"/>
      <c r="AB48" s="140"/>
      <c r="AC48" s="140"/>
      <c r="AD48" s="140"/>
    </row>
    <row r="49" spans="1:30" ht="11.25" customHeight="1" x14ac:dyDescent="0.3">
      <c r="A49" s="140"/>
      <c r="B49" s="755" t="s">
        <v>1855</v>
      </c>
      <c r="C49" s="755">
        <v>4.1999999999999997E-3</v>
      </c>
      <c r="D49" s="755">
        <v>1E-4</v>
      </c>
      <c r="E49" s="755" t="s">
        <v>1856</v>
      </c>
      <c r="F49" s="140"/>
      <c r="G49" s="140"/>
      <c r="H49" s="140"/>
      <c r="I49" s="140"/>
      <c r="J49" s="140"/>
      <c r="K49" s="140"/>
      <c r="L49" s="140"/>
      <c r="M49" s="140"/>
      <c r="N49" s="140"/>
      <c r="O49" s="140"/>
      <c r="P49" s="140"/>
      <c r="Q49" s="140"/>
      <c r="R49" s="140"/>
      <c r="S49" s="140"/>
      <c r="T49" s="140"/>
      <c r="U49" s="140"/>
      <c r="V49" s="140"/>
      <c r="W49" s="140"/>
      <c r="X49" s="140"/>
      <c r="Y49" s="140"/>
      <c r="Z49" s="140"/>
      <c r="AA49" s="140"/>
      <c r="AB49" s="140"/>
      <c r="AC49" s="140"/>
      <c r="AD49" s="140"/>
    </row>
    <row r="50" spans="1:30" ht="11.25" customHeight="1" x14ac:dyDescent="0.2">
      <c r="A50" s="140"/>
      <c r="B50" s="140"/>
      <c r="C50" s="140"/>
      <c r="D50" s="140"/>
      <c r="E50" s="140"/>
      <c r="F50" s="140"/>
      <c r="G50" s="140"/>
      <c r="H50" s="140"/>
      <c r="I50" s="140"/>
      <c r="J50" s="140"/>
      <c r="K50" s="140"/>
      <c r="L50" s="140"/>
      <c r="M50" s="140"/>
      <c r="N50" s="140"/>
      <c r="O50" s="140"/>
      <c r="P50" s="140"/>
      <c r="Q50" s="140"/>
      <c r="R50" s="140"/>
      <c r="S50" s="140"/>
      <c r="T50" s="140"/>
      <c r="U50" s="140"/>
      <c r="V50" s="140"/>
      <c r="W50" s="140"/>
      <c r="X50" s="140"/>
      <c r="Y50" s="140"/>
      <c r="Z50" s="140"/>
      <c r="AA50" s="140"/>
      <c r="AB50" s="140"/>
      <c r="AC50" s="140"/>
      <c r="AD50" s="140"/>
    </row>
    <row r="51" spans="1:30" ht="11.25" customHeight="1" x14ac:dyDescent="0.2">
      <c r="A51" s="140"/>
      <c r="B51" s="140"/>
      <c r="C51" s="140"/>
      <c r="D51" s="140"/>
      <c r="E51" s="140"/>
      <c r="F51" s="140"/>
      <c r="G51" s="140"/>
      <c r="H51" s="140"/>
      <c r="I51" s="140"/>
      <c r="J51" s="140"/>
      <c r="K51" s="140"/>
      <c r="L51" s="140"/>
      <c r="M51" s="140"/>
      <c r="N51" s="140"/>
      <c r="O51" s="140"/>
      <c r="P51" s="140"/>
      <c r="Q51" s="140"/>
      <c r="R51" s="140"/>
      <c r="S51" s="140"/>
      <c r="T51" s="140"/>
      <c r="U51" s="140"/>
      <c r="V51" s="140"/>
      <c r="W51" s="140"/>
      <c r="X51" s="140"/>
      <c r="Y51" s="140"/>
      <c r="Z51" s="140"/>
      <c r="AA51" s="140"/>
      <c r="AB51" s="140"/>
      <c r="AC51" s="140"/>
      <c r="AD51" s="140"/>
    </row>
    <row r="52" spans="1:30" ht="11.25" customHeight="1" x14ac:dyDescent="0.2">
      <c r="A52" s="140"/>
      <c r="B52" s="755" t="s">
        <v>439</v>
      </c>
      <c r="C52" s="1634" t="s">
        <v>1857</v>
      </c>
      <c r="D52" s="2430"/>
      <c r="E52" s="327"/>
      <c r="F52" s="140"/>
      <c r="G52" s="140"/>
      <c r="H52" s="140"/>
      <c r="I52" s="140"/>
      <c r="J52" s="140"/>
      <c r="K52" s="140"/>
      <c r="L52" s="140"/>
      <c r="M52" s="140"/>
      <c r="N52" s="140"/>
      <c r="O52" s="140"/>
      <c r="P52" s="140"/>
      <c r="Q52" s="140"/>
      <c r="R52" s="140"/>
      <c r="S52" s="140"/>
      <c r="T52" s="140"/>
      <c r="U52" s="140"/>
      <c r="V52" s="140"/>
      <c r="W52" s="140"/>
      <c r="X52" s="140"/>
      <c r="Y52" s="140"/>
      <c r="Z52" s="140"/>
      <c r="AA52" s="140"/>
      <c r="AB52" s="140"/>
      <c r="AC52" s="140"/>
      <c r="AD52" s="140"/>
    </row>
    <row r="53" spans="1:30" ht="11.25" customHeight="1" x14ac:dyDescent="0.3">
      <c r="A53" s="140"/>
      <c r="B53" s="755" t="s">
        <v>1858</v>
      </c>
      <c r="C53" s="755">
        <v>1</v>
      </c>
      <c r="D53" s="2430"/>
      <c r="E53" s="327"/>
      <c r="F53" s="140"/>
      <c r="G53" s="140"/>
      <c r="H53" s="140"/>
      <c r="I53" s="140"/>
      <c r="J53" s="140"/>
      <c r="K53" s="140"/>
      <c r="L53" s="140"/>
      <c r="M53" s="140"/>
      <c r="N53" s="140"/>
      <c r="O53" s="140"/>
      <c r="P53" s="140"/>
      <c r="Q53" s="140"/>
      <c r="R53" s="140"/>
      <c r="S53" s="140"/>
      <c r="T53" s="140"/>
      <c r="U53" s="140"/>
      <c r="V53" s="140"/>
      <c r="W53" s="140"/>
      <c r="X53" s="140"/>
      <c r="Y53" s="140"/>
      <c r="Z53" s="140"/>
      <c r="AA53" s="140"/>
      <c r="AB53" s="140"/>
      <c r="AC53" s="140"/>
      <c r="AD53" s="140"/>
    </row>
    <row r="54" spans="1:30" ht="11.25" customHeight="1" x14ac:dyDescent="0.3">
      <c r="A54" s="140"/>
      <c r="B54" s="755" t="s">
        <v>1859</v>
      </c>
      <c r="C54" s="755">
        <v>21</v>
      </c>
      <c r="D54" s="2431"/>
      <c r="E54" s="882"/>
      <c r="F54" s="140"/>
      <c r="G54" s="140"/>
      <c r="H54" s="140"/>
      <c r="I54" s="140"/>
      <c r="J54" s="140"/>
      <c r="K54" s="140"/>
      <c r="L54" s="140"/>
      <c r="M54" s="140"/>
      <c r="N54" s="140"/>
      <c r="O54" s="140"/>
      <c r="P54" s="140"/>
      <c r="Q54" s="140"/>
      <c r="R54" s="140"/>
      <c r="S54" s="140"/>
      <c r="T54" s="140"/>
      <c r="U54" s="140"/>
      <c r="V54" s="140"/>
      <c r="W54" s="140"/>
      <c r="X54" s="140"/>
      <c r="Y54" s="140"/>
      <c r="Z54" s="140"/>
      <c r="AA54" s="140"/>
      <c r="AB54" s="140"/>
      <c r="AC54" s="140"/>
      <c r="AD54" s="140"/>
    </row>
    <row r="55" spans="1:30" ht="11.25" customHeight="1" x14ac:dyDescent="0.3">
      <c r="A55" s="140"/>
      <c r="B55" s="755" t="s">
        <v>1860</v>
      </c>
      <c r="C55" s="755">
        <v>310</v>
      </c>
      <c r="D55" s="2430"/>
      <c r="E55" s="327"/>
      <c r="F55" s="140"/>
      <c r="G55" s="140"/>
      <c r="H55" s="140"/>
      <c r="I55" s="140"/>
      <c r="J55" s="140"/>
      <c r="K55" s="140"/>
      <c r="L55" s="140"/>
      <c r="M55" s="140"/>
      <c r="N55" s="140"/>
      <c r="O55" s="140"/>
      <c r="P55" s="140"/>
      <c r="Q55" s="140"/>
      <c r="R55" s="140"/>
      <c r="S55" s="140"/>
      <c r="T55" s="140"/>
      <c r="U55" s="140"/>
      <c r="V55" s="140"/>
      <c r="W55" s="140"/>
      <c r="X55" s="140"/>
      <c r="Y55" s="140"/>
      <c r="Z55" s="140"/>
      <c r="AA55" s="140"/>
      <c r="AB55" s="140"/>
      <c r="AC55" s="140"/>
      <c r="AD55" s="140"/>
    </row>
    <row r="56" spans="1:30" ht="11.25" customHeight="1" x14ac:dyDescent="0.2">
      <c r="A56" s="140"/>
      <c r="B56" s="140"/>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40"/>
      <c r="AC56" s="140"/>
      <c r="AD56" s="140"/>
    </row>
    <row r="57" spans="1:30" ht="11.25" customHeight="1" x14ac:dyDescent="0.2">
      <c r="A57" s="140"/>
      <c r="B57" s="140"/>
      <c r="C57" s="140"/>
      <c r="D57" s="140"/>
      <c r="E57" s="140"/>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c r="AD57" s="140"/>
    </row>
    <row r="58" spans="1:30" ht="11.25" customHeight="1" x14ac:dyDescent="0.2">
      <c r="A58" s="140"/>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c r="AA58" s="140"/>
      <c r="AB58" s="140"/>
      <c r="AC58" s="140"/>
      <c r="AD58" s="140"/>
    </row>
    <row r="59" spans="1:30" ht="11.25" customHeight="1" x14ac:dyDescent="0.2">
      <c r="A59" s="140"/>
      <c r="B59" s="140"/>
      <c r="C59" s="140"/>
      <c r="D59" s="140"/>
      <c r="E59" s="140"/>
      <c r="F59" s="140"/>
      <c r="G59" s="140"/>
      <c r="H59" s="140"/>
      <c r="I59" s="140"/>
      <c r="J59" s="140"/>
      <c r="K59" s="140"/>
      <c r="L59" s="140"/>
      <c r="M59" s="140"/>
      <c r="N59" s="140"/>
      <c r="O59" s="140"/>
      <c r="P59" s="140"/>
      <c r="Q59" s="140"/>
      <c r="R59" s="140"/>
      <c r="S59" s="140"/>
      <c r="T59" s="140"/>
      <c r="U59" s="140"/>
      <c r="V59" s="140"/>
      <c r="W59" s="140"/>
      <c r="X59" s="140"/>
      <c r="Y59" s="140"/>
      <c r="Z59" s="140"/>
      <c r="AA59" s="140"/>
      <c r="AB59" s="140"/>
      <c r="AC59" s="140"/>
      <c r="AD59" s="140"/>
    </row>
    <row r="60" spans="1:30" ht="11.25" customHeight="1" x14ac:dyDescent="0.2">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40"/>
      <c r="AB60" s="140"/>
      <c r="AC60" s="140"/>
      <c r="AD60" s="140"/>
    </row>
    <row r="61" spans="1:30" ht="11.25" customHeight="1" x14ac:dyDescent="0.2">
      <c r="A61" s="140"/>
      <c r="B61" s="140"/>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40"/>
      <c r="AA61" s="140"/>
      <c r="AB61" s="140"/>
      <c r="AC61" s="140"/>
      <c r="AD61" s="140"/>
    </row>
    <row r="62" spans="1:30" ht="11.25" customHeight="1" x14ac:dyDescent="0.2">
      <c r="A62" s="140"/>
      <c r="B62" s="140"/>
      <c r="C62" s="140"/>
      <c r="D62" s="140"/>
      <c r="E62" s="140"/>
      <c r="F62" s="140"/>
      <c r="G62" s="140"/>
      <c r="H62" s="140"/>
      <c r="I62" s="140"/>
      <c r="J62" s="140"/>
      <c r="K62" s="140"/>
      <c r="L62" s="140"/>
      <c r="M62" s="140"/>
      <c r="N62" s="140"/>
      <c r="O62" s="140"/>
      <c r="P62" s="140"/>
      <c r="Q62" s="140"/>
      <c r="R62" s="140"/>
      <c r="S62" s="140"/>
      <c r="T62" s="140"/>
      <c r="U62" s="140"/>
      <c r="V62" s="140"/>
      <c r="W62" s="140"/>
      <c r="X62" s="140"/>
      <c r="Y62" s="140"/>
      <c r="Z62" s="140"/>
      <c r="AA62" s="140"/>
      <c r="AB62" s="140"/>
      <c r="AC62" s="140"/>
      <c r="AD62" s="140"/>
    </row>
    <row r="63" spans="1:30" ht="11.25" customHeight="1" x14ac:dyDescent="0.2">
      <c r="A63" s="140"/>
      <c r="B63" s="140"/>
      <c r="C63" s="140"/>
      <c r="D63" s="140"/>
      <c r="E63" s="140"/>
      <c r="F63" s="140"/>
      <c r="G63" s="140"/>
      <c r="H63" s="140"/>
      <c r="I63" s="140"/>
      <c r="J63" s="140"/>
      <c r="K63" s="140"/>
      <c r="L63" s="140"/>
      <c r="M63" s="140"/>
      <c r="N63" s="140"/>
      <c r="O63" s="140"/>
      <c r="P63" s="140"/>
      <c r="Q63" s="140"/>
      <c r="R63" s="140"/>
      <c r="S63" s="140"/>
      <c r="T63" s="140"/>
      <c r="U63" s="140"/>
      <c r="V63" s="140"/>
      <c r="W63" s="140"/>
      <c r="X63" s="140"/>
      <c r="Y63" s="140"/>
      <c r="Z63" s="140"/>
      <c r="AA63" s="140"/>
      <c r="AB63" s="140"/>
      <c r="AC63" s="140"/>
      <c r="AD63" s="140"/>
    </row>
    <row r="64" spans="1:30" ht="11.25" customHeight="1" x14ac:dyDescent="0.2">
      <c r="A64" s="140"/>
      <c r="B64" s="140"/>
      <c r="C64" s="140"/>
      <c r="D64" s="140"/>
      <c r="E64" s="140"/>
      <c r="F64" s="140"/>
      <c r="G64" s="140"/>
      <c r="H64" s="140"/>
      <c r="I64" s="140"/>
      <c r="J64" s="140"/>
      <c r="K64" s="140"/>
      <c r="L64" s="140"/>
      <c r="M64" s="140"/>
      <c r="N64" s="140"/>
      <c r="O64" s="140"/>
      <c r="P64" s="140"/>
      <c r="Q64" s="140"/>
      <c r="R64" s="140"/>
      <c r="S64" s="140"/>
      <c r="T64" s="140"/>
      <c r="U64" s="140"/>
      <c r="V64" s="140"/>
      <c r="W64" s="140"/>
      <c r="X64" s="140"/>
      <c r="Y64" s="140"/>
      <c r="Z64" s="140"/>
      <c r="AA64" s="140"/>
      <c r="AB64" s="140"/>
      <c r="AC64" s="140"/>
      <c r="AD64" s="140"/>
    </row>
    <row r="65" spans="1:30" ht="11.25" customHeight="1" x14ac:dyDescent="0.2">
      <c r="A65" s="140"/>
      <c r="B65" s="140"/>
      <c r="C65" s="140"/>
      <c r="D65" s="140"/>
      <c r="E65" s="140"/>
      <c r="F65" s="140"/>
      <c r="G65" s="140"/>
      <c r="H65" s="140"/>
      <c r="I65" s="140"/>
      <c r="J65" s="140"/>
      <c r="K65" s="140"/>
      <c r="L65" s="140"/>
      <c r="M65" s="140"/>
      <c r="N65" s="140"/>
      <c r="O65" s="140"/>
      <c r="P65" s="140"/>
      <c r="Q65" s="140"/>
      <c r="R65" s="140"/>
      <c r="S65" s="140"/>
      <c r="T65" s="140"/>
      <c r="U65" s="140"/>
      <c r="V65" s="140"/>
      <c r="W65" s="140"/>
      <c r="X65" s="140"/>
      <c r="Y65" s="140"/>
      <c r="Z65" s="140"/>
      <c r="AA65" s="140"/>
      <c r="AB65" s="140"/>
      <c r="AC65" s="140"/>
      <c r="AD65" s="140"/>
    </row>
    <row r="66" spans="1:30" ht="11.25" customHeight="1" x14ac:dyDescent="0.2">
      <c r="A66" s="140"/>
      <c r="B66" s="140"/>
      <c r="C66" s="140"/>
      <c r="D66" s="140"/>
      <c r="E66" s="140"/>
      <c r="F66" s="140"/>
      <c r="G66" s="140"/>
      <c r="H66" s="140"/>
      <c r="I66" s="140"/>
      <c r="J66" s="140"/>
      <c r="K66" s="140"/>
      <c r="L66" s="140"/>
      <c r="M66" s="140"/>
      <c r="N66" s="140"/>
      <c r="O66" s="140"/>
      <c r="P66" s="140"/>
      <c r="Q66" s="140"/>
      <c r="R66" s="140"/>
      <c r="S66" s="140"/>
      <c r="T66" s="140"/>
      <c r="U66" s="140"/>
      <c r="V66" s="140"/>
      <c r="W66" s="140"/>
      <c r="X66" s="140"/>
      <c r="Y66" s="140"/>
      <c r="Z66" s="140"/>
      <c r="AA66" s="140"/>
      <c r="AB66" s="140"/>
      <c r="AC66" s="140"/>
      <c r="AD66" s="140"/>
    </row>
    <row r="67" spans="1:30" ht="11.25" customHeight="1" x14ac:dyDescent="0.2">
      <c r="A67" s="140"/>
      <c r="B67" s="140"/>
      <c r="C67" s="140"/>
      <c r="D67" s="140"/>
      <c r="E67" s="140"/>
      <c r="F67" s="140"/>
      <c r="G67" s="140"/>
      <c r="H67" s="140"/>
      <c r="I67" s="140"/>
      <c r="J67" s="140"/>
      <c r="K67" s="140"/>
      <c r="L67" s="140"/>
      <c r="M67" s="140"/>
      <c r="N67" s="140"/>
      <c r="O67" s="140"/>
      <c r="P67" s="140"/>
      <c r="Q67" s="140"/>
      <c r="R67" s="140"/>
      <c r="S67" s="140"/>
      <c r="T67" s="140"/>
      <c r="U67" s="140"/>
      <c r="V67" s="140"/>
      <c r="W67" s="140"/>
      <c r="X67" s="140"/>
      <c r="Y67" s="140"/>
      <c r="Z67" s="140"/>
      <c r="AA67" s="140"/>
      <c r="AB67" s="140"/>
      <c r="AC67" s="140"/>
      <c r="AD67" s="140"/>
    </row>
    <row r="68" spans="1:30" ht="11.25" customHeight="1" x14ac:dyDescent="0.2">
      <c r="A68" s="140"/>
      <c r="B68" s="140"/>
      <c r="C68" s="140"/>
      <c r="D68" s="140"/>
      <c r="E68" s="140"/>
      <c r="F68" s="140"/>
      <c r="G68" s="140"/>
      <c r="H68" s="140"/>
      <c r="I68" s="140"/>
      <c r="J68" s="140"/>
      <c r="K68" s="140"/>
      <c r="L68" s="140"/>
      <c r="M68" s="140"/>
      <c r="N68" s="140"/>
      <c r="O68" s="140"/>
      <c r="P68" s="140"/>
      <c r="Q68" s="140"/>
      <c r="R68" s="140"/>
      <c r="S68" s="140"/>
      <c r="T68" s="140"/>
      <c r="U68" s="140"/>
      <c r="V68" s="140"/>
      <c r="W68" s="140"/>
      <c r="X68" s="140"/>
      <c r="Y68" s="140"/>
      <c r="Z68" s="140"/>
      <c r="AA68" s="140"/>
      <c r="AB68" s="140"/>
      <c r="AC68" s="140"/>
      <c r="AD68" s="140"/>
    </row>
    <row r="69" spans="1:30" ht="11.25" customHeight="1" x14ac:dyDescent="0.2">
      <c r="A69" s="140"/>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row>
    <row r="70" spans="1:30" ht="11.25" customHeight="1" x14ac:dyDescent="0.2">
      <c r="A70" s="140"/>
      <c r="B70" s="140"/>
      <c r="C70" s="140"/>
      <c r="D70" s="140"/>
      <c r="E70" s="140"/>
      <c r="F70" s="140"/>
      <c r="G70" s="140"/>
      <c r="H70" s="140"/>
      <c r="I70" s="140"/>
      <c r="J70" s="140"/>
      <c r="K70" s="140"/>
      <c r="L70" s="140"/>
      <c r="M70" s="140"/>
      <c r="N70" s="140"/>
      <c r="O70" s="140"/>
      <c r="P70" s="140"/>
      <c r="Q70" s="140"/>
      <c r="R70" s="140"/>
      <c r="S70" s="140"/>
      <c r="T70" s="140"/>
      <c r="U70" s="140"/>
      <c r="V70" s="140"/>
      <c r="W70" s="140"/>
      <c r="X70" s="140"/>
      <c r="Y70" s="140"/>
      <c r="Z70" s="140"/>
      <c r="AA70" s="140"/>
      <c r="AB70" s="140"/>
      <c r="AC70" s="140"/>
      <c r="AD70" s="140"/>
    </row>
    <row r="71" spans="1:30" ht="11.25" customHeight="1" x14ac:dyDescent="0.2">
      <c r="A71" s="140"/>
      <c r="B71" s="140"/>
      <c r="C71" s="140"/>
      <c r="D71" s="140"/>
      <c r="E71" s="140"/>
      <c r="F71" s="140"/>
      <c r="G71" s="140"/>
      <c r="H71" s="140"/>
      <c r="I71" s="140"/>
      <c r="J71" s="140"/>
      <c r="K71" s="140"/>
      <c r="L71" s="140"/>
      <c r="M71" s="140"/>
      <c r="N71" s="140"/>
      <c r="O71" s="140"/>
      <c r="P71" s="140"/>
      <c r="Q71" s="140"/>
      <c r="R71" s="140"/>
      <c r="S71" s="140"/>
      <c r="T71" s="140"/>
      <c r="U71" s="140"/>
      <c r="V71" s="140"/>
      <c r="W71" s="140"/>
      <c r="X71" s="140"/>
      <c r="Y71" s="140"/>
      <c r="Z71" s="140"/>
      <c r="AA71" s="140"/>
      <c r="AB71" s="140"/>
      <c r="AC71" s="140"/>
      <c r="AD71" s="140"/>
    </row>
    <row r="72" spans="1:30" ht="11.25" customHeight="1" x14ac:dyDescent="0.2">
      <c r="A72" s="140"/>
      <c r="B72" s="140"/>
      <c r="C72" s="140"/>
      <c r="D72" s="140"/>
      <c r="E72" s="140"/>
      <c r="F72" s="140"/>
      <c r="G72" s="140"/>
      <c r="H72" s="140"/>
      <c r="I72" s="140"/>
      <c r="J72" s="140"/>
      <c r="K72" s="140"/>
      <c r="L72" s="140"/>
      <c r="M72" s="140"/>
      <c r="N72" s="140"/>
      <c r="O72" s="140"/>
      <c r="P72" s="140"/>
      <c r="Q72" s="140"/>
      <c r="R72" s="140"/>
      <c r="S72" s="140"/>
      <c r="T72" s="140"/>
      <c r="U72" s="140"/>
      <c r="V72" s="140"/>
      <c r="W72" s="140"/>
      <c r="X72" s="140"/>
      <c r="Y72" s="140"/>
      <c r="Z72" s="140"/>
      <c r="AA72" s="140"/>
      <c r="AB72" s="140"/>
      <c r="AC72" s="140"/>
      <c r="AD72" s="140"/>
    </row>
    <row r="73" spans="1:30" ht="11.25" customHeight="1" x14ac:dyDescent="0.2">
      <c r="A73" s="140"/>
      <c r="B73" s="140"/>
      <c r="C73" s="140"/>
      <c r="D73" s="140"/>
      <c r="E73" s="140"/>
      <c r="F73" s="140"/>
      <c r="G73" s="140"/>
      <c r="H73" s="140"/>
      <c r="I73" s="140"/>
      <c r="J73" s="140"/>
      <c r="K73" s="140"/>
      <c r="L73" s="140"/>
      <c r="M73" s="140"/>
      <c r="N73" s="140"/>
      <c r="O73" s="140"/>
      <c r="P73" s="140"/>
      <c r="Q73" s="140"/>
      <c r="R73" s="140"/>
      <c r="S73" s="140"/>
      <c r="T73" s="140"/>
      <c r="U73" s="140"/>
      <c r="V73" s="140"/>
      <c r="W73" s="140"/>
      <c r="X73" s="140"/>
      <c r="Y73" s="140"/>
      <c r="Z73" s="140"/>
      <c r="AA73" s="140"/>
      <c r="AB73" s="140"/>
      <c r="AC73" s="140"/>
      <c r="AD73" s="140"/>
    </row>
    <row r="74" spans="1:30" ht="11.25" customHeight="1" x14ac:dyDescent="0.2">
      <c r="A74" s="140"/>
      <c r="B74" s="140"/>
      <c r="C74" s="140"/>
      <c r="D74" s="140"/>
      <c r="E74" s="140"/>
      <c r="F74" s="140"/>
      <c r="G74" s="140"/>
      <c r="H74" s="140"/>
      <c r="I74" s="140"/>
      <c r="J74" s="140"/>
      <c r="K74" s="140"/>
      <c r="L74" s="140"/>
      <c r="M74" s="140"/>
      <c r="N74" s="140"/>
      <c r="O74" s="140"/>
      <c r="P74" s="140"/>
      <c r="Q74" s="140"/>
      <c r="R74" s="140"/>
      <c r="S74" s="140"/>
      <c r="T74" s="140"/>
      <c r="U74" s="140"/>
      <c r="V74" s="140"/>
      <c r="W74" s="140"/>
      <c r="X74" s="140"/>
      <c r="Y74" s="140"/>
      <c r="Z74" s="140"/>
      <c r="AA74" s="140"/>
      <c r="AB74" s="140"/>
      <c r="AC74" s="140"/>
      <c r="AD74" s="140"/>
    </row>
    <row r="75" spans="1:30" ht="11.25" customHeight="1" x14ac:dyDescent="0.2">
      <c r="A75" s="140"/>
      <c r="B75" s="140"/>
      <c r="C75" s="140"/>
      <c r="D75" s="140"/>
      <c r="E75" s="140"/>
      <c r="F75" s="140"/>
      <c r="G75" s="140"/>
      <c r="H75" s="140"/>
      <c r="I75" s="140"/>
      <c r="J75" s="140"/>
      <c r="K75" s="140"/>
      <c r="L75" s="140"/>
      <c r="M75" s="140"/>
      <c r="N75" s="140"/>
      <c r="O75" s="140"/>
      <c r="P75" s="140"/>
      <c r="Q75" s="140"/>
      <c r="R75" s="140"/>
      <c r="S75" s="140"/>
      <c r="T75" s="140"/>
      <c r="U75" s="140"/>
      <c r="V75" s="140"/>
      <c r="W75" s="140"/>
      <c r="X75" s="140"/>
      <c r="Y75" s="140"/>
      <c r="Z75" s="140"/>
      <c r="AA75" s="140"/>
      <c r="AB75" s="140"/>
      <c r="AC75" s="140"/>
      <c r="AD75" s="140"/>
    </row>
    <row r="76" spans="1:30" ht="11.25" customHeight="1" x14ac:dyDescent="0.2">
      <c r="A76" s="140"/>
      <c r="B76" s="140"/>
      <c r="C76" s="140"/>
      <c r="D76" s="140"/>
      <c r="E76" s="140"/>
      <c r="F76" s="140"/>
      <c r="G76" s="140"/>
      <c r="H76" s="140"/>
      <c r="I76" s="140"/>
      <c r="J76" s="140"/>
      <c r="K76" s="140"/>
      <c r="L76" s="140"/>
      <c r="M76" s="140"/>
      <c r="N76" s="140"/>
      <c r="O76" s="140"/>
      <c r="P76" s="140"/>
      <c r="Q76" s="140"/>
      <c r="R76" s="140"/>
      <c r="S76" s="140"/>
      <c r="T76" s="140"/>
      <c r="U76" s="140"/>
      <c r="V76" s="140"/>
      <c r="W76" s="140"/>
      <c r="X76" s="140"/>
      <c r="Y76" s="140"/>
      <c r="Z76" s="140"/>
      <c r="AA76" s="140"/>
      <c r="AB76" s="140"/>
      <c r="AC76" s="140"/>
      <c r="AD76" s="140"/>
    </row>
    <row r="77" spans="1:30" ht="11.25" customHeight="1" x14ac:dyDescent="0.2">
      <c r="A77" s="140"/>
      <c r="B77" s="140"/>
      <c r="C77" s="140"/>
      <c r="D77" s="140"/>
      <c r="E77" s="140"/>
      <c r="F77" s="140"/>
      <c r="G77" s="140"/>
      <c r="H77" s="140"/>
      <c r="I77" s="140"/>
      <c r="J77" s="140"/>
      <c r="K77" s="140"/>
      <c r="L77" s="140"/>
      <c r="M77" s="140"/>
      <c r="N77" s="140"/>
      <c r="O77" s="140"/>
      <c r="P77" s="140"/>
      <c r="Q77" s="140"/>
      <c r="R77" s="140"/>
      <c r="S77" s="140"/>
      <c r="T77" s="140"/>
      <c r="U77" s="140"/>
      <c r="V77" s="140"/>
      <c r="W77" s="140"/>
      <c r="X77" s="140"/>
      <c r="Y77" s="140"/>
      <c r="Z77" s="140"/>
      <c r="AA77" s="140"/>
      <c r="AB77" s="140"/>
      <c r="AC77" s="140"/>
      <c r="AD77" s="140"/>
    </row>
    <row r="78" spans="1:30" ht="11.25" customHeight="1" x14ac:dyDescent="0.2">
      <c r="A78" s="140"/>
      <c r="B78" s="140"/>
      <c r="C78" s="140"/>
      <c r="D78" s="140"/>
      <c r="E78" s="140"/>
      <c r="F78" s="140"/>
      <c r="G78" s="140"/>
      <c r="H78" s="140"/>
      <c r="I78" s="140"/>
      <c r="J78" s="140"/>
      <c r="K78" s="140"/>
      <c r="L78" s="140"/>
      <c r="M78" s="140"/>
      <c r="N78" s="140"/>
      <c r="O78" s="140"/>
      <c r="P78" s="140"/>
      <c r="Q78" s="140"/>
      <c r="R78" s="140"/>
      <c r="S78" s="140"/>
      <c r="T78" s="140"/>
      <c r="U78" s="140"/>
      <c r="V78" s="140"/>
      <c r="W78" s="140"/>
      <c r="X78" s="140"/>
      <c r="Y78" s="140"/>
      <c r="Z78" s="140"/>
      <c r="AA78" s="140"/>
      <c r="AB78" s="140"/>
      <c r="AC78" s="140"/>
      <c r="AD78" s="140"/>
    </row>
    <row r="79" spans="1:30" ht="11.25" customHeight="1" x14ac:dyDescent="0.2">
      <c r="A79" s="140"/>
      <c r="B79" s="140"/>
      <c r="C79" s="140"/>
      <c r="D79" s="140"/>
      <c r="E79" s="140"/>
      <c r="F79" s="140"/>
      <c r="G79" s="140"/>
      <c r="H79" s="140"/>
      <c r="I79" s="140"/>
      <c r="J79" s="140"/>
      <c r="K79" s="140"/>
      <c r="L79" s="140"/>
      <c r="M79" s="140"/>
      <c r="N79" s="140"/>
      <c r="O79" s="140"/>
      <c r="P79" s="140"/>
      <c r="Q79" s="140"/>
      <c r="R79" s="140"/>
      <c r="S79" s="140"/>
      <c r="T79" s="140"/>
      <c r="U79" s="140"/>
      <c r="V79" s="140"/>
      <c r="W79" s="140"/>
      <c r="X79" s="140"/>
      <c r="Y79" s="140"/>
      <c r="Z79" s="140"/>
      <c r="AA79" s="140"/>
      <c r="AB79" s="140"/>
      <c r="AC79" s="140"/>
      <c r="AD79" s="140"/>
    </row>
    <row r="80" spans="1:30" ht="11.25" customHeight="1" x14ac:dyDescent="0.2">
      <c r="A80" s="140"/>
      <c r="B80" s="140"/>
      <c r="C80" s="140"/>
      <c r="D80" s="140"/>
      <c r="E80" s="140"/>
      <c r="F80" s="140"/>
      <c r="G80" s="140"/>
      <c r="H80" s="140"/>
      <c r="I80" s="140"/>
      <c r="J80" s="140"/>
      <c r="K80" s="140"/>
      <c r="L80" s="140"/>
      <c r="M80" s="140"/>
      <c r="N80" s="140"/>
      <c r="O80" s="140"/>
      <c r="P80" s="140"/>
      <c r="Q80" s="140"/>
      <c r="R80" s="140"/>
      <c r="S80" s="140"/>
      <c r="T80" s="140"/>
      <c r="U80" s="140"/>
      <c r="V80" s="140"/>
      <c r="W80" s="140"/>
      <c r="X80" s="140"/>
      <c r="Y80" s="140"/>
      <c r="Z80" s="140"/>
      <c r="AA80" s="140"/>
      <c r="AB80" s="140"/>
      <c r="AC80" s="140"/>
      <c r="AD80" s="140"/>
    </row>
    <row r="81" spans="1:30" ht="11.25" customHeight="1" x14ac:dyDescent="0.2">
      <c r="A81" s="140"/>
      <c r="B81" s="140"/>
      <c r="C81" s="140"/>
      <c r="D81" s="140"/>
      <c r="E81" s="140"/>
      <c r="F81" s="140"/>
      <c r="G81" s="140"/>
      <c r="H81" s="140"/>
      <c r="I81" s="140"/>
      <c r="J81" s="140"/>
      <c r="K81" s="140"/>
      <c r="L81" s="140"/>
      <c r="M81" s="140"/>
      <c r="N81" s="140"/>
      <c r="O81" s="140"/>
      <c r="P81" s="140"/>
      <c r="Q81" s="140"/>
      <c r="R81" s="140"/>
      <c r="S81" s="140"/>
      <c r="T81" s="140"/>
      <c r="U81" s="140"/>
      <c r="V81" s="140"/>
      <c r="W81" s="140"/>
      <c r="X81" s="140"/>
      <c r="Y81" s="140"/>
      <c r="Z81" s="140"/>
      <c r="AA81" s="140"/>
      <c r="AB81" s="140"/>
      <c r="AC81" s="140"/>
      <c r="AD81" s="140"/>
    </row>
    <row r="82" spans="1:30" ht="11.25" customHeight="1" x14ac:dyDescent="0.2">
      <c r="A82" s="140"/>
      <c r="B82" s="140"/>
      <c r="C82" s="140"/>
      <c r="D82" s="140"/>
      <c r="E82" s="140"/>
      <c r="F82" s="140"/>
      <c r="G82" s="140"/>
      <c r="H82" s="140"/>
      <c r="I82" s="140"/>
      <c r="J82" s="140"/>
      <c r="K82" s="140"/>
      <c r="L82" s="140"/>
      <c r="M82" s="140"/>
      <c r="N82" s="140"/>
      <c r="O82" s="140"/>
      <c r="P82" s="140"/>
      <c r="Q82" s="140"/>
      <c r="R82" s="140"/>
      <c r="S82" s="140"/>
      <c r="T82" s="140"/>
      <c r="U82" s="140"/>
      <c r="V82" s="140"/>
      <c r="W82" s="140"/>
      <c r="X82" s="140"/>
      <c r="Y82" s="140"/>
      <c r="Z82" s="140"/>
      <c r="AA82" s="140"/>
      <c r="AB82" s="140"/>
      <c r="AC82" s="140"/>
      <c r="AD82" s="140"/>
    </row>
    <row r="83" spans="1:30" ht="11.25" customHeight="1" x14ac:dyDescent="0.2">
      <c r="A83" s="140"/>
      <c r="B83" s="140"/>
      <c r="C83" s="140"/>
      <c r="D83" s="140"/>
      <c r="E83" s="140"/>
      <c r="F83" s="140"/>
      <c r="G83" s="140"/>
      <c r="H83" s="140"/>
      <c r="I83" s="140"/>
      <c r="J83" s="140"/>
      <c r="K83" s="140"/>
      <c r="L83" s="140"/>
      <c r="M83" s="140"/>
      <c r="N83" s="140"/>
      <c r="O83" s="140"/>
      <c r="P83" s="140"/>
      <c r="Q83" s="140"/>
      <c r="R83" s="140"/>
      <c r="S83" s="140"/>
      <c r="T83" s="140"/>
      <c r="U83" s="140"/>
      <c r="V83" s="140"/>
      <c r="W83" s="140"/>
      <c r="X83" s="140"/>
      <c r="Y83" s="140"/>
      <c r="Z83" s="140"/>
      <c r="AA83" s="140"/>
      <c r="AB83" s="140"/>
      <c r="AC83" s="140"/>
      <c r="AD83" s="140"/>
    </row>
    <row r="84" spans="1:30" ht="11.25" customHeight="1" x14ac:dyDescent="0.2">
      <c r="A84" s="140"/>
      <c r="B84" s="140"/>
      <c r="C84" s="140"/>
      <c r="D84" s="140"/>
      <c r="E84" s="140"/>
      <c r="F84" s="140"/>
      <c r="G84" s="140"/>
      <c r="H84" s="140"/>
      <c r="I84" s="140"/>
      <c r="J84" s="140"/>
      <c r="K84" s="140"/>
      <c r="L84" s="140"/>
      <c r="M84" s="140"/>
      <c r="N84" s="140"/>
      <c r="O84" s="140"/>
      <c r="P84" s="140"/>
      <c r="Q84" s="140"/>
      <c r="R84" s="140"/>
      <c r="S84" s="140"/>
      <c r="T84" s="140"/>
      <c r="U84" s="140"/>
      <c r="V84" s="140"/>
      <c r="W84" s="140"/>
      <c r="X84" s="140"/>
      <c r="Y84" s="140"/>
      <c r="Z84" s="140"/>
      <c r="AA84" s="140"/>
      <c r="AB84" s="140"/>
      <c r="AC84" s="140"/>
      <c r="AD84" s="140"/>
    </row>
    <row r="85" spans="1:30" ht="11.25" customHeight="1" x14ac:dyDescent="0.2">
      <c r="A85" s="140"/>
      <c r="B85" s="140"/>
      <c r="C85" s="140"/>
      <c r="D85" s="140"/>
      <c r="E85" s="140"/>
      <c r="F85" s="140"/>
      <c r="G85" s="140"/>
      <c r="H85" s="140"/>
      <c r="I85" s="140"/>
      <c r="J85" s="140"/>
      <c r="K85" s="140"/>
      <c r="L85" s="140"/>
      <c r="M85" s="140"/>
      <c r="N85" s="140"/>
      <c r="O85" s="140"/>
      <c r="P85" s="140"/>
      <c r="Q85" s="140"/>
      <c r="R85" s="140"/>
      <c r="S85" s="140"/>
      <c r="T85" s="140"/>
      <c r="U85" s="140"/>
      <c r="V85" s="140"/>
      <c r="W85" s="140"/>
      <c r="X85" s="140"/>
      <c r="Y85" s="140"/>
      <c r="Z85" s="140"/>
      <c r="AA85" s="140"/>
      <c r="AB85" s="140"/>
      <c r="AC85" s="140"/>
      <c r="AD85" s="140"/>
    </row>
    <row r="86" spans="1:30" ht="11.25" customHeight="1" x14ac:dyDescent="0.2">
      <c r="A86" s="140"/>
      <c r="B86" s="140"/>
      <c r="C86" s="140"/>
      <c r="D86" s="140"/>
      <c r="E86" s="140"/>
      <c r="F86" s="140"/>
      <c r="G86" s="140"/>
      <c r="H86" s="140"/>
      <c r="I86" s="140"/>
      <c r="J86" s="140"/>
      <c r="K86" s="140"/>
      <c r="L86" s="140"/>
      <c r="M86" s="140"/>
      <c r="N86" s="140"/>
      <c r="O86" s="140"/>
      <c r="P86" s="140"/>
      <c r="Q86" s="140"/>
      <c r="R86" s="140"/>
      <c r="S86" s="140"/>
      <c r="T86" s="140"/>
      <c r="U86" s="140"/>
      <c r="V86" s="140"/>
      <c r="W86" s="140"/>
      <c r="X86" s="140"/>
      <c r="Y86" s="140"/>
      <c r="Z86" s="140"/>
      <c r="AA86" s="140"/>
      <c r="AB86" s="140"/>
      <c r="AC86" s="140"/>
      <c r="AD86" s="140"/>
    </row>
    <row r="87" spans="1:30" ht="11.25" customHeight="1" x14ac:dyDescent="0.2">
      <c r="A87" s="140"/>
      <c r="B87" s="140"/>
      <c r="C87" s="140"/>
      <c r="D87" s="140"/>
      <c r="E87" s="140"/>
      <c r="F87" s="140"/>
      <c r="G87" s="140"/>
      <c r="H87" s="140"/>
      <c r="I87" s="140"/>
      <c r="J87" s="140"/>
      <c r="K87" s="140"/>
      <c r="L87" s="140"/>
      <c r="M87" s="140"/>
      <c r="N87" s="140"/>
      <c r="O87" s="140"/>
      <c r="P87" s="140"/>
      <c r="Q87" s="140"/>
      <c r="R87" s="140"/>
      <c r="S87" s="140"/>
      <c r="T87" s="140"/>
      <c r="U87" s="140"/>
      <c r="V87" s="140"/>
      <c r="W87" s="140"/>
      <c r="X87" s="140"/>
      <c r="Y87" s="140"/>
      <c r="Z87" s="140"/>
      <c r="AA87" s="140"/>
      <c r="AB87" s="140"/>
      <c r="AC87" s="140"/>
      <c r="AD87" s="140"/>
    </row>
    <row r="88" spans="1:30" ht="11.25" customHeight="1" x14ac:dyDescent="0.2">
      <c r="A88" s="140"/>
      <c r="B88" s="140"/>
      <c r="C88" s="140"/>
      <c r="D88" s="140"/>
      <c r="E88" s="140"/>
      <c r="F88" s="140"/>
      <c r="G88" s="140"/>
      <c r="H88" s="140"/>
      <c r="I88" s="140"/>
      <c r="J88" s="140"/>
      <c r="K88" s="140"/>
      <c r="L88" s="140"/>
      <c r="M88" s="140"/>
      <c r="N88" s="140"/>
      <c r="O88" s="140"/>
      <c r="P88" s="140"/>
      <c r="Q88" s="140"/>
      <c r="R88" s="140"/>
      <c r="S88" s="140"/>
      <c r="T88" s="140"/>
      <c r="U88" s="140"/>
      <c r="V88" s="140"/>
      <c r="W88" s="140"/>
      <c r="X88" s="140"/>
      <c r="Y88" s="140"/>
      <c r="Z88" s="140"/>
      <c r="AA88" s="140"/>
      <c r="AB88" s="140"/>
      <c r="AC88" s="140"/>
      <c r="AD88" s="140"/>
    </row>
    <row r="89" spans="1:30" ht="11.25" customHeight="1" x14ac:dyDescent="0.2">
      <c r="A89" s="140"/>
      <c r="B89" s="140"/>
      <c r="C89" s="140"/>
      <c r="D89" s="140"/>
      <c r="E89" s="140"/>
      <c r="F89" s="140"/>
      <c r="G89" s="140"/>
      <c r="H89" s="140"/>
      <c r="I89" s="140"/>
      <c r="J89" s="140"/>
      <c r="K89" s="140"/>
      <c r="L89" s="140"/>
      <c r="M89" s="140"/>
      <c r="N89" s="140"/>
      <c r="O89" s="140"/>
      <c r="P89" s="140"/>
      <c r="Q89" s="140"/>
      <c r="R89" s="140"/>
      <c r="S89" s="140"/>
      <c r="T89" s="140"/>
      <c r="U89" s="140"/>
      <c r="V89" s="140"/>
      <c r="W89" s="140"/>
      <c r="X89" s="140"/>
      <c r="Y89" s="140"/>
      <c r="Z89" s="140"/>
      <c r="AA89" s="140"/>
      <c r="AB89" s="140"/>
      <c r="AC89" s="140"/>
      <c r="AD89" s="140"/>
    </row>
    <row r="90" spans="1:30" ht="11.25" customHeight="1" x14ac:dyDescent="0.2">
      <c r="A90" s="140"/>
      <c r="B90" s="140"/>
      <c r="C90" s="140"/>
      <c r="D90" s="140"/>
      <c r="E90" s="140"/>
      <c r="F90" s="140"/>
      <c r="G90" s="140"/>
      <c r="H90" s="140"/>
      <c r="I90" s="140"/>
      <c r="J90" s="140"/>
      <c r="K90" s="140"/>
      <c r="L90" s="140"/>
      <c r="M90" s="140"/>
      <c r="N90" s="140"/>
      <c r="O90" s="140"/>
      <c r="P90" s="140"/>
      <c r="Q90" s="140"/>
      <c r="R90" s="140"/>
      <c r="S90" s="140"/>
      <c r="T90" s="140"/>
      <c r="U90" s="140"/>
      <c r="V90" s="140"/>
      <c r="W90" s="140"/>
      <c r="X90" s="140"/>
      <c r="Y90" s="140"/>
      <c r="Z90" s="140"/>
      <c r="AA90" s="140"/>
      <c r="AB90" s="140"/>
      <c r="AC90" s="140"/>
      <c r="AD90" s="140"/>
    </row>
    <row r="91" spans="1:30" ht="11.25" customHeight="1" x14ac:dyDescent="0.2">
      <c r="A91" s="140"/>
      <c r="B91" s="140"/>
      <c r="C91" s="140"/>
      <c r="D91" s="140"/>
      <c r="E91" s="140"/>
      <c r="F91" s="140"/>
      <c r="G91" s="140"/>
      <c r="H91" s="140"/>
      <c r="I91" s="140"/>
      <c r="J91" s="140"/>
      <c r="K91" s="140"/>
      <c r="L91" s="140"/>
      <c r="M91" s="140"/>
      <c r="N91" s="140"/>
      <c r="O91" s="140"/>
      <c r="P91" s="140"/>
      <c r="Q91" s="140"/>
      <c r="R91" s="140"/>
      <c r="S91" s="140"/>
      <c r="T91" s="140"/>
      <c r="U91" s="140"/>
      <c r="V91" s="140"/>
      <c r="W91" s="140"/>
      <c r="X91" s="140"/>
      <c r="Y91" s="140"/>
      <c r="Z91" s="140"/>
      <c r="AA91" s="140"/>
      <c r="AB91" s="140"/>
      <c r="AC91" s="140"/>
      <c r="AD91" s="140"/>
    </row>
    <row r="92" spans="1:30" ht="11.25" customHeight="1" x14ac:dyDescent="0.2">
      <c r="A92" s="140"/>
      <c r="B92" s="140"/>
      <c r="C92" s="140"/>
      <c r="D92" s="140"/>
      <c r="E92" s="140"/>
      <c r="F92" s="140"/>
      <c r="G92" s="140"/>
      <c r="H92" s="140"/>
      <c r="I92" s="140"/>
      <c r="J92" s="140"/>
      <c r="K92" s="140"/>
      <c r="L92" s="140"/>
      <c r="M92" s="140"/>
      <c r="N92" s="140"/>
      <c r="O92" s="140"/>
      <c r="P92" s="140"/>
      <c r="Q92" s="140"/>
      <c r="R92" s="140"/>
      <c r="S92" s="140"/>
      <c r="T92" s="140"/>
      <c r="U92" s="140"/>
      <c r="V92" s="140"/>
      <c r="W92" s="140"/>
      <c r="X92" s="140"/>
      <c r="Y92" s="140"/>
      <c r="Z92" s="140"/>
      <c r="AA92" s="140"/>
      <c r="AB92" s="140"/>
      <c r="AC92" s="140"/>
      <c r="AD92" s="140"/>
    </row>
    <row r="93" spans="1:30" ht="11.25" customHeight="1" x14ac:dyDescent="0.2">
      <c r="A93" s="140"/>
      <c r="B93" s="140"/>
      <c r="C93" s="140"/>
      <c r="D93" s="140"/>
      <c r="E93" s="140"/>
      <c r="F93" s="140"/>
      <c r="G93" s="140"/>
      <c r="H93" s="140"/>
      <c r="I93" s="140"/>
      <c r="J93" s="140"/>
      <c r="K93" s="140"/>
      <c r="L93" s="140"/>
      <c r="M93" s="140"/>
      <c r="N93" s="140"/>
      <c r="O93" s="140"/>
      <c r="P93" s="140"/>
      <c r="Q93" s="140"/>
      <c r="R93" s="140"/>
      <c r="S93" s="140"/>
      <c r="T93" s="140"/>
      <c r="U93" s="140"/>
      <c r="V93" s="140"/>
      <c r="W93" s="140"/>
      <c r="X93" s="140"/>
      <c r="Y93" s="140"/>
      <c r="Z93" s="140"/>
      <c r="AA93" s="140"/>
      <c r="AB93" s="140"/>
      <c r="AC93" s="140"/>
      <c r="AD93" s="140"/>
    </row>
    <row r="94" spans="1:30" ht="11.25" customHeight="1" x14ac:dyDescent="0.2">
      <c r="A94" s="140"/>
      <c r="B94" s="140"/>
      <c r="C94" s="140"/>
      <c r="D94" s="140"/>
      <c r="E94" s="140"/>
      <c r="F94" s="140"/>
      <c r="G94" s="140"/>
      <c r="H94" s="140"/>
      <c r="I94" s="140"/>
      <c r="J94" s="140"/>
      <c r="K94" s="140"/>
      <c r="L94" s="140"/>
      <c r="M94" s="140"/>
      <c r="N94" s="140"/>
      <c r="O94" s="140"/>
      <c r="P94" s="140"/>
      <c r="Q94" s="140"/>
      <c r="R94" s="140"/>
      <c r="S94" s="140"/>
      <c r="T94" s="140"/>
      <c r="U94" s="140"/>
      <c r="V94" s="140"/>
      <c r="W94" s="140"/>
      <c r="X94" s="140"/>
      <c r="Y94" s="140"/>
      <c r="Z94" s="140"/>
      <c r="AA94" s="140"/>
      <c r="AB94" s="140"/>
      <c r="AC94" s="140"/>
      <c r="AD94" s="140"/>
    </row>
    <row r="95" spans="1:30" ht="11.25" customHeight="1" x14ac:dyDescent="0.2">
      <c r="A95" s="140"/>
      <c r="B95" s="140"/>
      <c r="C95" s="140"/>
      <c r="D95" s="140"/>
      <c r="E95" s="140"/>
      <c r="F95" s="140"/>
      <c r="G95" s="140"/>
      <c r="H95" s="140"/>
      <c r="I95" s="140"/>
      <c r="J95" s="140"/>
      <c r="K95" s="140"/>
      <c r="L95" s="140"/>
      <c r="M95" s="140"/>
      <c r="N95" s="140"/>
      <c r="O95" s="140"/>
      <c r="P95" s="140"/>
      <c r="Q95" s="140"/>
      <c r="R95" s="140"/>
      <c r="S95" s="140"/>
      <c r="T95" s="140"/>
      <c r="U95" s="140"/>
      <c r="V95" s="140"/>
      <c r="W95" s="140"/>
      <c r="X95" s="140"/>
      <c r="Y95" s="140"/>
      <c r="Z95" s="140"/>
      <c r="AA95" s="140"/>
      <c r="AB95" s="140"/>
      <c r="AC95" s="140"/>
      <c r="AD95" s="140"/>
    </row>
    <row r="96" spans="1:30" ht="11.25" customHeight="1" x14ac:dyDescent="0.2">
      <c r="A96" s="140"/>
      <c r="B96" s="140"/>
      <c r="C96" s="140"/>
      <c r="D96" s="140"/>
      <c r="E96" s="140"/>
      <c r="F96" s="140"/>
      <c r="G96" s="140"/>
      <c r="H96" s="140"/>
      <c r="I96" s="140"/>
      <c r="J96" s="140"/>
      <c r="K96" s="140"/>
      <c r="L96" s="140"/>
      <c r="M96" s="140"/>
      <c r="N96" s="140"/>
      <c r="O96" s="140"/>
      <c r="P96" s="140"/>
      <c r="Q96" s="140"/>
      <c r="R96" s="140"/>
      <c r="S96" s="140"/>
      <c r="T96" s="140"/>
      <c r="U96" s="140"/>
      <c r="V96" s="140"/>
      <c r="W96" s="140"/>
      <c r="X96" s="140"/>
      <c r="Y96" s="140"/>
      <c r="Z96" s="140"/>
      <c r="AA96" s="140"/>
      <c r="AB96" s="140"/>
      <c r="AC96" s="140"/>
      <c r="AD96" s="140"/>
    </row>
    <row r="97" spans="1:30" ht="11.25" customHeight="1" x14ac:dyDescent="0.2">
      <c r="A97" s="140"/>
      <c r="B97" s="140"/>
      <c r="C97" s="140"/>
      <c r="D97" s="140"/>
      <c r="E97" s="140"/>
      <c r="F97" s="140"/>
      <c r="G97" s="140"/>
      <c r="H97" s="140"/>
      <c r="I97" s="140"/>
      <c r="J97" s="140"/>
      <c r="K97" s="140"/>
      <c r="L97" s="140"/>
      <c r="M97" s="140"/>
      <c r="N97" s="140"/>
      <c r="O97" s="140"/>
      <c r="P97" s="140"/>
      <c r="Q97" s="140"/>
      <c r="R97" s="140"/>
      <c r="S97" s="140"/>
      <c r="T97" s="140"/>
      <c r="U97" s="140"/>
      <c r="V97" s="140"/>
      <c r="W97" s="140"/>
      <c r="X97" s="140"/>
      <c r="Y97" s="140"/>
      <c r="Z97" s="140"/>
      <c r="AA97" s="140"/>
      <c r="AB97" s="140"/>
      <c r="AC97" s="140"/>
      <c r="AD97" s="140"/>
    </row>
    <row r="98" spans="1:30" ht="11.25" customHeight="1" x14ac:dyDescent="0.2">
      <c r="A98" s="140"/>
      <c r="B98" s="140"/>
      <c r="C98" s="140"/>
      <c r="D98" s="140"/>
      <c r="E98" s="140"/>
      <c r="F98" s="140"/>
      <c r="G98" s="140"/>
      <c r="H98" s="140"/>
      <c r="I98" s="140"/>
      <c r="J98" s="140"/>
      <c r="K98" s="140"/>
      <c r="L98" s="140"/>
      <c r="M98" s="140"/>
      <c r="N98" s="140"/>
      <c r="O98" s="140"/>
      <c r="P98" s="140"/>
      <c r="Q98" s="140"/>
      <c r="R98" s="140"/>
      <c r="S98" s="140"/>
      <c r="T98" s="140"/>
      <c r="U98" s="140"/>
      <c r="V98" s="140"/>
      <c r="W98" s="140"/>
      <c r="X98" s="140"/>
      <c r="Y98" s="140"/>
      <c r="Z98" s="140"/>
      <c r="AA98" s="140"/>
      <c r="AB98" s="140"/>
      <c r="AC98" s="140"/>
      <c r="AD98" s="140"/>
    </row>
    <row r="99" spans="1:30" ht="11.25" customHeight="1" x14ac:dyDescent="0.2">
      <c r="A99" s="140"/>
      <c r="B99" s="140"/>
      <c r="C99" s="140"/>
      <c r="D99" s="140"/>
      <c r="E99" s="140"/>
      <c r="F99" s="140"/>
      <c r="G99" s="140"/>
      <c r="H99" s="140"/>
      <c r="I99" s="140"/>
      <c r="J99" s="140"/>
      <c r="K99" s="140"/>
      <c r="L99" s="140"/>
      <c r="M99" s="140"/>
      <c r="N99" s="140"/>
      <c r="O99" s="140"/>
      <c r="P99" s="140"/>
      <c r="Q99" s="140"/>
      <c r="R99" s="140"/>
      <c r="S99" s="140"/>
      <c r="T99" s="140"/>
      <c r="U99" s="140"/>
      <c r="V99" s="140"/>
      <c r="W99" s="140"/>
      <c r="X99" s="140"/>
      <c r="Y99" s="140"/>
      <c r="Z99" s="140"/>
      <c r="AA99" s="140"/>
      <c r="AB99" s="140"/>
      <c r="AC99" s="140"/>
      <c r="AD99" s="140"/>
    </row>
    <row r="100" spans="1:30" ht="11.25" customHeight="1" x14ac:dyDescent="0.2">
      <c r="A100" s="140"/>
      <c r="B100" s="140"/>
      <c r="C100" s="140"/>
      <c r="D100" s="140"/>
      <c r="E100" s="140"/>
      <c r="F100" s="140"/>
      <c r="G100" s="140"/>
      <c r="H100" s="140"/>
      <c r="I100" s="140"/>
      <c r="J100" s="140"/>
      <c r="K100" s="140"/>
      <c r="L100" s="140"/>
      <c r="M100" s="140"/>
      <c r="N100" s="140"/>
      <c r="O100" s="140"/>
      <c r="P100" s="140"/>
      <c r="Q100" s="140"/>
      <c r="R100" s="140"/>
      <c r="S100" s="140"/>
      <c r="T100" s="140"/>
      <c r="U100" s="140"/>
      <c r="V100" s="140"/>
      <c r="W100" s="140"/>
      <c r="X100" s="140"/>
      <c r="Y100" s="140"/>
      <c r="Z100" s="140"/>
      <c r="AA100" s="140"/>
      <c r="AB100" s="140"/>
      <c r="AC100" s="140"/>
      <c r="AD100" s="140"/>
    </row>
    <row r="101" spans="1:30" ht="11.25" customHeight="1" x14ac:dyDescent="0.2">
      <c r="A101" s="140"/>
      <c r="B101" s="140"/>
      <c r="C101" s="140"/>
      <c r="D101" s="140"/>
      <c r="E101" s="140"/>
      <c r="F101" s="140"/>
      <c r="G101" s="140"/>
      <c r="H101" s="140"/>
      <c r="I101" s="140"/>
      <c r="J101" s="140"/>
      <c r="K101" s="140"/>
      <c r="L101" s="140"/>
      <c r="M101" s="140"/>
      <c r="N101" s="140"/>
      <c r="O101" s="140"/>
      <c r="P101" s="140"/>
      <c r="Q101" s="140"/>
      <c r="R101" s="140"/>
      <c r="S101" s="140"/>
      <c r="T101" s="140"/>
      <c r="U101" s="140"/>
      <c r="V101" s="140"/>
      <c r="W101" s="140"/>
      <c r="X101" s="140"/>
      <c r="Y101" s="140"/>
      <c r="Z101" s="140"/>
      <c r="AA101" s="140"/>
      <c r="AB101" s="140"/>
      <c r="AC101" s="140"/>
      <c r="AD101" s="140"/>
    </row>
    <row r="102" spans="1:30" ht="11.25" customHeight="1" x14ac:dyDescent="0.2">
      <c r="A102" s="140"/>
      <c r="B102" s="140"/>
      <c r="C102" s="140"/>
      <c r="D102" s="140"/>
      <c r="E102" s="140"/>
      <c r="F102" s="140"/>
      <c r="G102" s="140"/>
      <c r="H102" s="140"/>
      <c r="I102" s="140"/>
      <c r="J102" s="140"/>
      <c r="K102" s="140"/>
      <c r="L102" s="140"/>
      <c r="M102" s="140"/>
      <c r="N102" s="140"/>
      <c r="O102" s="140"/>
      <c r="P102" s="140"/>
      <c r="Q102" s="140"/>
      <c r="R102" s="140"/>
      <c r="S102" s="140"/>
      <c r="T102" s="140"/>
      <c r="U102" s="140"/>
      <c r="V102" s="140"/>
      <c r="W102" s="140"/>
      <c r="X102" s="140"/>
      <c r="Y102" s="140"/>
      <c r="Z102" s="140"/>
      <c r="AA102" s="140"/>
      <c r="AB102" s="140"/>
      <c r="AC102" s="140"/>
      <c r="AD102" s="140"/>
    </row>
    <row r="103" spans="1:30" ht="11.25" customHeight="1" x14ac:dyDescent="0.2">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c r="AA103" s="140"/>
      <c r="AB103" s="140"/>
      <c r="AC103" s="140"/>
      <c r="AD103" s="140"/>
    </row>
    <row r="104" spans="1:30" ht="11.25" customHeight="1" x14ac:dyDescent="0.2">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c r="AA104" s="140"/>
      <c r="AB104" s="140"/>
      <c r="AC104" s="140"/>
      <c r="AD104" s="140"/>
    </row>
    <row r="105" spans="1:30" ht="11.25" customHeight="1" x14ac:dyDescent="0.2">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c r="AA105" s="140"/>
      <c r="AB105" s="140"/>
      <c r="AC105" s="140"/>
      <c r="AD105" s="140"/>
    </row>
    <row r="106" spans="1:30" ht="11.25" customHeight="1" x14ac:dyDescent="0.2">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c r="AA106" s="140"/>
      <c r="AB106" s="140"/>
      <c r="AC106" s="140"/>
      <c r="AD106" s="140"/>
    </row>
    <row r="107" spans="1:30" ht="11.25" customHeight="1" x14ac:dyDescent="0.2">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c r="AA107" s="140"/>
      <c r="AB107" s="140"/>
      <c r="AC107" s="140"/>
      <c r="AD107" s="140"/>
    </row>
    <row r="108" spans="1:30" ht="11.25" customHeight="1" x14ac:dyDescent="0.2">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row>
    <row r="109" spans="1:30" ht="11.25" customHeight="1" x14ac:dyDescent="0.2">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c r="AA109" s="140"/>
      <c r="AB109" s="140"/>
      <c r="AC109" s="140"/>
      <c r="AD109" s="140"/>
    </row>
    <row r="110" spans="1:30" ht="11.25" customHeight="1" x14ac:dyDescent="0.2">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c r="AA110" s="140"/>
      <c r="AB110" s="140"/>
      <c r="AC110" s="140"/>
      <c r="AD110" s="140"/>
    </row>
    <row r="111" spans="1:30" ht="11.25" customHeight="1" x14ac:dyDescent="0.2">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140"/>
      <c r="AB111" s="140"/>
      <c r="AC111" s="140"/>
      <c r="AD111" s="140"/>
    </row>
    <row r="112" spans="1:30" ht="11.25" customHeight="1" x14ac:dyDescent="0.2">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c r="AA112" s="140"/>
      <c r="AB112" s="140"/>
      <c r="AC112" s="140"/>
      <c r="AD112" s="140"/>
    </row>
    <row r="113" spans="1:30" ht="11.25" customHeight="1" x14ac:dyDescent="0.2">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row>
    <row r="114" spans="1:30" ht="11.25" customHeight="1" x14ac:dyDescent="0.2">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c r="AA114" s="140"/>
      <c r="AB114" s="140"/>
      <c r="AC114" s="140"/>
      <c r="AD114" s="140"/>
    </row>
    <row r="115" spans="1:30" ht="11.25" customHeight="1" x14ac:dyDescent="0.2">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c r="AA115" s="140"/>
      <c r="AB115" s="140"/>
      <c r="AC115" s="140"/>
      <c r="AD115" s="140"/>
    </row>
    <row r="116" spans="1:30" ht="11.25" customHeight="1" x14ac:dyDescent="0.2">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c r="AA116" s="140"/>
      <c r="AB116" s="140"/>
      <c r="AC116" s="140"/>
      <c r="AD116" s="140"/>
    </row>
    <row r="117" spans="1:30" ht="11.25" customHeight="1" x14ac:dyDescent="0.2">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c r="AA117" s="140"/>
      <c r="AB117" s="140"/>
      <c r="AC117" s="140"/>
      <c r="AD117" s="140"/>
    </row>
    <row r="118" spans="1:30" ht="11.25" customHeight="1" x14ac:dyDescent="0.2">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c r="AA118" s="140"/>
      <c r="AB118" s="140"/>
      <c r="AC118" s="140"/>
      <c r="AD118" s="140"/>
    </row>
    <row r="119" spans="1:30" ht="11.25" customHeight="1" x14ac:dyDescent="0.2">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c r="AA119" s="140"/>
      <c r="AB119" s="140"/>
      <c r="AC119" s="140"/>
      <c r="AD119" s="140"/>
    </row>
    <row r="120" spans="1:30" ht="11.25" customHeight="1" x14ac:dyDescent="0.2">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row>
    <row r="121" spans="1:30" ht="11.25" customHeight="1" x14ac:dyDescent="0.2">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row>
    <row r="122" spans="1:30" ht="11.25" customHeight="1" x14ac:dyDescent="0.2">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c r="AA122" s="140"/>
      <c r="AB122" s="140"/>
      <c r="AC122" s="140"/>
      <c r="AD122" s="140"/>
    </row>
    <row r="123" spans="1:30" ht="11.25" customHeight="1" x14ac:dyDescent="0.2">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c r="AA123" s="140"/>
      <c r="AB123" s="140"/>
      <c r="AC123" s="140"/>
      <c r="AD123" s="140"/>
    </row>
    <row r="124" spans="1:30" ht="11.25" customHeight="1" x14ac:dyDescent="0.2">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c r="AA124" s="140"/>
      <c r="AB124" s="140"/>
      <c r="AC124" s="140"/>
      <c r="AD124" s="140"/>
    </row>
    <row r="125" spans="1:30" ht="11.25" customHeight="1" x14ac:dyDescent="0.2">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c r="AA125" s="140"/>
      <c r="AB125" s="140"/>
      <c r="AC125" s="140"/>
      <c r="AD125" s="140"/>
    </row>
    <row r="126" spans="1:30" ht="11.25" customHeight="1" x14ac:dyDescent="0.2">
      <c r="A126" s="140"/>
      <c r="B126" s="140"/>
      <c r="C126" s="140"/>
      <c r="D126" s="140"/>
      <c r="E126" s="140"/>
      <c r="F126" s="140"/>
      <c r="G126" s="140"/>
      <c r="H126" s="140"/>
      <c r="I126" s="140"/>
      <c r="J126" s="140"/>
      <c r="K126" s="140"/>
      <c r="L126" s="140"/>
      <c r="M126" s="140"/>
      <c r="N126" s="140"/>
      <c r="O126" s="140"/>
      <c r="P126" s="140"/>
      <c r="Q126" s="140"/>
      <c r="R126" s="140"/>
      <c r="S126" s="140"/>
      <c r="T126" s="140"/>
      <c r="U126" s="140"/>
      <c r="V126" s="140"/>
      <c r="W126" s="140"/>
      <c r="X126" s="140"/>
      <c r="Y126" s="140"/>
      <c r="Z126" s="140"/>
      <c r="AA126" s="140"/>
      <c r="AB126" s="140"/>
      <c r="AC126" s="140"/>
      <c r="AD126" s="140"/>
    </row>
    <row r="127" spans="1:30" ht="11.25" customHeight="1" x14ac:dyDescent="0.2">
      <c r="A127" s="140"/>
      <c r="B127" s="140"/>
      <c r="C127" s="140"/>
      <c r="D127" s="140"/>
      <c r="E127" s="140"/>
      <c r="F127" s="140"/>
      <c r="G127" s="140"/>
      <c r="H127" s="140"/>
      <c r="I127" s="140"/>
      <c r="J127" s="140"/>
      <c r="K127" s="140"/>
      <c r="L127" s="140"/>
      <c r="M127" s="140"/>
      <c r="N127" s="140"/>
      <c r="O127" s="140"/>
      <c r="P127" s="140"/>
      <c r="Q127" s="140"/>
      <c r="R127" s="140"/>
      <c r="S127" s="140"/>
      <c r="T127" s="140"/>
      <c r="U127" s="140"/>
      <c r="V127" s="140"/>
      <c r="W127" s="140"/>
      <c r="X127" s="140"/>
      <c r="Y127" s="140"/>
      <c r="Z127" s="140"/>
      <c r="AA127" s="140"/>
      <c r="AB127" s="140"/>
      <c r="AC127" s="140"/>
      <c r="AD127" s="140"/>
    </row>
    <row r="128" spans="1:30" ht="11.25" customHeight="1" x14ac:dyDescent="0.2">
      <c r="A128" s="140"/>
      <c r="B128" s="140"/>
      <c r="C128" s="140"/>
      <c r="D128" s="140"/>
      <c r="E128" s="140"/>
      <c r="F128" s="140"/>
      <c r="G128" s="140"/>
      <c r="H128" s="140"/>
      <c r="I128" s="140"/>
      <c r="J128" s="140"/>
      <c r="K128" s="140"/>
      <c r="L128" s="140"/>
      <c r="M128" s="140"/>
      <c r="N128" s="140"/>
      <c r="O128" s="140"/>
      <c r="P128" s="140"/>
      <c r="Q128" s="140"/>
      <c r="R128" s="140"/>
      <c r="S128" s="140"/>
      <c r="T128" s="140"/>
      <c r="U128" s="140"/>
      <c r="V128" s="140"/>
      <c r="W128" s="140"/>
      <c r="X128" s="140"/>
      <c r="Y128" s="140"/>
      <c r="Z128" s="140"/>
      <c r="AA128" s="140"/>
      <c r="AB128" s="140"/>
      <c r="AC128" s="140"/>
      <c r="AD128" s="140"/>
    </row>
    <row r="129" spans="1:30" ht="11.25" customHeight="1" x14ac:dyDescent="0.2">
      <c r="A129" s="140"/>
      <c r="B129" s="140"/>
      <c r="C129" s="140"/>
      <c r="D129" s="140"/>
      <c r="E129" s="140"/>
      <c r="F129" s="140"/>
      <c r="G129" s="140"/>
      <c r="H129" s="140"/>
      <c r="I129" s="140"/>
      <c r="J129" s="140"/>
      <c r="K129" s="140"/>
      <c r="L129" s="140"/>
      <c r="M129" s="140"/>
      <c r="N129" s="140"/>
      <c r="O129" s="140"/>
      <c r="P129" s="140"/>
      <c r="Q129" s="140"/>
      <c r="R129" s="140"/>
      <c r="S129" s="140"/>
      <c r="T129" s="140"/>
      <c r="U129" s="140"/>
      <c r="V129" s="140"/>
      <c r="W129" s="140"/>
      <c r="X129" s="140"/>
      <c r="Y129" s="140"/>
      <c r="Z129" s="140"/>
      <c r="AA129" s="140"/>
      <c r="AB129" s="140"/>
      <c r="AC129" s="140"/>
      <c r="AD129" s="140"/>
    </row>
    <row r="130" spans="1:30" ht="11.25" customHeight="1" x14ac:dyDescent="0.2">
      <c r="A130" s="140"/>
      <c r="B130" s="140"/>
      <c r="C130" s="140"/>
      <c r="D130" s="140"/>
      <c r="E130" s="140"/>
      <c r="F130" s="140"/>
      <c r="G130" s="140"/>
      <c r="H130" s="140"/>
      <c r="I130" s="140"/>
      <c r="J130" s="140"/>
      <c r="K130" s="140"/>
      <c r="L130" s="140"/>
      <c r="M130" s="140"/>
      <c r="N130" s="140"/>
      <c r="O130" s="140"/>
      <c r="P130" s="140"/>
      <c r="Q130" s="140"/>
      <c r="R130" s="140"/>
      <c r="S130" s="140"/>
      <c r="T130" s="140"/>
      <c r="U130" s="140"/>
      <c r="V130" s="140"/>
      <c r="W130" s="140"/>
      <c r="X130" s="140"/>
      <c r="Y130" s="140"/>
      <c r="Z130" s="140"/>
      <c r="AA130" s="140"/>
      <c r="AB130" s="140"/>
      <c r="AC130" s="140"/>
      <c r="AD130" s="140"/>
    </row>
    <row r="131" spans="1:30" ht="11.25" customHeight="1" x14ac:dyDescent="0.2">
      <c r="A131" s="140"/>
      <c r="B131" s="140"/>
      <c r="C131" s="140"/>
      <c r="D131" s="140"/>
      <c r="E131" s="140"/>
      <c r="F131" s="140"/>
      <c r="G131" s="140"/>
      <c r="H131" s="140"/>
      <c r="I131" s="140"/>
      <c r="J131" s="140"/>
      <c r="K131" s="140"/>
      <c r="L131" s="140"/>
      <c r="M131" s="140"/>
      <c r="N131" s="140"/>
      <c r="O131" s="140"/>
      <c r="P131" s="140"/>
      <c r="Q131" s="140"/>
      <c r="R131" s="140"/>
      <c r="S131" s="140"/>
      <c r="T131" s="140"/>
      <c r="U131" s="140"/>
      <c r="V131" s="140"/>
      <c r="W131" s="140"/>
      <c r="X131" s="140"/>
      <c r="Y131" s="140"/>
      <c r="Z131" s="140"/>
      <c r="AA131" s="140"/>
      <c r="AB131" s="140"/>
      <c r="AC131" s="140"/>
      <c r="AD131" s="140"/>
    </row>
    <row r="132" spans="1:30" ht="11.25" customHeight="1" x14ac:dyDescent="0.2">
      <c r="A132" s="140"/>
      <c r="B132" s="140"/>
      <c r="C132" s="140"/>
      <c r="D132" s="140"/>
      <c r="E132" s="140"/>
      <c r="F132" s="140"/>
      <c r="G132" s="140"/>
      <c r="H132" s="140"/>
      <c r="I132" s="140"/>
      <c r="J132" s="140"/>
      <c r="K132" s="140"/>
      <c r="L132" s="140"/>
      <c r="M132" s="140"/>
      <c r="N132" s="140"/>
      <c r="O132" s="140"/>
      <c r="P132" s="140"/>
      <c r="Q132" s="140"/>
      <c r="R132" s="140"/>
      <c r="S132" s="140"/>
      <c r="T132" s="140"/>
      <c r="U132" s="140"/>
      <c r="V132" s="140"/>
      <c r="W132" s="140"/>
      <c r="X132" s="140"/>
      <c r="Y132" s="140"/>
      <c r="Z132" s="140"/>
      <c r="AA132" s="140"/>
      <c r="AB132" s="140"/>
      <c r="AC132" s="140"/>
      <c r="AD132" s="140"/>
    </row>
    <row r="133" spans="1:30" ht="11.25" customHeight="1" x14ac:dyDescent="0.2">
      <c r="A133" s="140"/>
      <c r="B133" s="140"/>
      <c r="C133" s="140"/>
      <c r="D133" s="140"/>
      <c r="E133" s="140"/>
      <c r="F133" s="140"/>
      <c r="G133" s="140"/>
      <c r="H133" s="140"/>
      <c r="I133" s="140"/>
      <c r="J133" s="140"/>
      <c r="K133" s="140"/>
      <c r="L133" s="140"/>
      <c r="M133" s="140"/>
      <c r="N133" s="140"/>
      <c r="O133" s="140"/>
      <c r="P133" s="140"/>
      <c r="Q133" s="140"/>
      <c r="R133" s="140"/>
      <c r="S133" s="140"/>
      <c r="T133" s="140"/>
      <c r="U133" s="140"/>
      <c r="V133" s="140"/>
      <c r="W133" s="140"/>
      <c r="X133" s="140"/>
      <c r="Y133" s="140"/>
      <c r="Z133" s="140"/>
      <c r="AA133" s="140"/>
      <c r="AB133" s="140"/>
      <c r="AC133" s="140"/>
      <c r="AD133" s="140"/>
    </row>
    <row r="134" spans="1:30" ht="11.25" customHeight="1" x14ac:dyDescent="0.2">
      <c r="A134" s="140"/>
      <c r="B134" s="140"/>
      <c r="C134" s="140"/>
      <c r="D134" s="140"/>
      <c r="E134" s="140"/>
      <c r="F134" s="140"/>
      <c r="G134" s="140"/>
      <c r="H134" s="140"/>
      <c r="I134" s="140"/>
      <c r="J134" s="140"/>
      <c r="K134" s="140"/>
      <c r="L134" s="140"/>
      <c r="M134" s="140"/>
      <c r="N134" s="140"/>
      <c r="O134" s="140"/>
      <c r="P134" s="140"/>
      <c r="Q134" s="140"/>
      <c r="R134" s="140"/>
      <c r="S134" s="140"/>
      <c r="T134" s="140"/>
      <c r="U134" s="140"/>
      <c r="V134" s="140"/>
      <c r="W134" s="140"/>
      <c r="X134" s="140"/>
      <c r="Y134" s="140"/>
      <c r="Z134" s="140"/>
      <c r="AA134" s="140"/>
      <c r="AB134" s="140"/>
      <c r="AC134" s="140"/>
      <c r="AD134" s="140"/>
    </row>
    <row r="135" spans="1:30" ht="11.25" customHeight="1" x14ac:dyDescent="0.2">
      <c r="A135" s="140"/>
      <c r="B135" s="140"/>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c r="Y135" s="140"/>
      <c r="Z135" s="140"/>
      <c r="AA135" s="140"/>
      <c r="AB135" s="140"/>
      <c r="AC135" s="140"/>
      <c r="AD135" s="140"/>
    </row>
    <row r="136" spans="1:30" ht="11.25" customHeight="1" x14ac:dyDescent="0.2">
      <c r="A136" s="140"/>
      <c r="B136" s="140"/>
      <c r="C136" s="140"/>
      <c r="D136" s="140"/>
      <c r="E136" s="140"/>
      <c r="F136" s="140"/>
      <c r="G136" s="140"/>
      <c r="H136" s="140"/>
      <c r="I136" s="140"/>
      <c r="J136" s="140"/>
      <c r="K136" s="140"/>
      <c r="L136" s="140"/>
      <c r="M136" s="140"/>
      <c r="N136" s="140"/>
      <c r="O136" s="140"/>
      <c r="P136" s="140"/>
      <c r="Q136" s="140"/>
      <c r="R136" s="140"/>
      <c r="S136" s="140"/>
      <c r="T136" s="140"/>
      <c r="U136" s="140"/>
      <c r="V136" s="140"/>
      <c r="W136" s="140"/>
      <c r="X136" s="140"/>
      <c r="Y136" s="140"/>
      <c r="Z136" s="140"/>
      <c r="AA136" s="140"/>
      <c r="AB136" s="140"/>
      <c r="AC136" s="140"/>
      <c r="AD136" s="140"/>
    </row>
    <row r="137" spans="1:30" ht="11.25" customHeight="1" x14ac:dyDescent="0.2">
      <c r="A137" s="140"/>
      <c r="B137" s="140"/>
      <c r="C137" s="140"/>
      <c r="D137" s="140"/>
      <c r="E137" s="140"/>
      <c r="F137" s="140"/>
      <c r="G137" s="140"/>
      <c r="H137" s="140"/>
      <c r="I137" s="140"/>
      <c r="J137" s="140"/>
      <c r="K137" s="140"/>
      <c r="L137" s="140"/>
      <c r="M137" s="140"/>
      <c r="N137" s="140"/>
      <c r="O137" s="140"/>
      <c r="P137" s="140"/>
      <c r="Q137" s="140"/>
      <c r="R137" s="140"/>
      <c r="S137" s="140"/>
      <c r="T137" s="140"/>
      <c r="U137" s="140"/>
      <c r="V137" s="140"/>
      <c r="W137" s="140"/>
      <c r="X137" s="140"/>
      <c r="Y137" s="140"/>
      <c r="Z137" s="140"/>
      <c r="AA137" s="140"/>
      <c r="AB137" s="140"/>
      <c r="AC137" s="140"/>
      <c r="AD137" s="140"/>
    </row>
    <row r="138" spans="1:30" ht="11.25" customHeight="1" x14ac:dyDescent="0.2">
      <c r="A138" s="140"/>
      <c r="B138" s="140"/>
      <c r="C138" s="140"/>
      <c r="D138" s="140"/>
      <c r="E138" s="140"/>
      <c r="F138" s="140"/>
      <c r="G138" s="140"/>
      <c r="H138" s="140"/>
      <c r="I138" s="140"/>
      <c r="J138" s="140"/>
      <c r="K138" s="140"/>
      <c r="L138" s="140"/>
      <c r="M138" s="140"/>
      <c r="N138" s="140"/>
      <c r="O138" s="140"/>
      <c r="P138" s="140"/>
      <c r="Q138" s="140"/>
      <c r="R138" s="140"/>
      <c r="S138" s="140"/>
      <c r="T138" s="140"/>
      <c r="U138" s="140"/>
      <c r="V138" s="140"/>
      <c r="W138" s="140"/>
      <c r="X138" s="140"/>
      <c r="Y138" s="140"/>
      <c r="Z138" s="140"/>
      <c r="AA138" s="140"/>
      <c r="AB138" s="140"/>
      <c r="AC138" s="140"/>
      <c r="AD138" s="140"/>
    </row>
    <row r="139" spans="1:30" ht="11.25" customHeight="1" x14ac:dyDescent="0.2">
      <c r="A139" s="140"/>
      <c r="B139" s="140"/>
      <c r="C139" s="140"/>
      <c r="D139" s="140"/>
      <c r="E139" s="140"/>
      <c r="F139" s="140"/>
      <c r="G139" s="140"/>
      <c r="H139" s="140"/>
      <c r="I139" s="140"/>
      <c r="J139" s="140"/>
      <c r="K139" s="140"/>
      <c r="L139" s="140"/>
      <c r="M139" s="140"/>
      <c r="N139" s="140"/>
      <c r="O139" s="140"/>
      <c r="P139" s="140"/>
      <c r="Q139" s="140"/>
      <c r="R139" s="140"/>
      <c r="S139" s="140"/>
      <c r="T139" s="140"/>
      <c r="U139" s="140"/>
      <c r="V139" s="140"/>
      <c r="W139" s="140"/>
      <c r="X139" s="140"/>
      <c r="Y139" s="140"/>
      <c r="Z139" s="140"/>
      <c r="AA139" s="140"/>
      <c r="AB139" s="140"/>
      <c r="AC139" s="140"/>
      <c r="AD139" s="140"/>
    </row>
    <row r="140" spans="1:30" ht="11.25" customHeight="1" x14ac:dyDescent="0.2">
      <c r="A140" s="140"/>
      <c r="B140" s="140"/>
      <c r="C140" s="140"/>
      <c r="D140" s="140"/>
      <c r="E140" s="140"/>
      <c r="F140" s="140"/>
      <c r="G140" s="140"/>
      <c r="H140" s="140"/>
      <c r="I140" s="140"/>
      <c r="J140" s="140"/>
      <c r="K140" s="140"/>
      <c r="L140" s="140"/>
      <c r="M140" s="140"/>
      <c r="N140" s="140"/>
      <c r="O140" s="140"/>
      <c r="P140" s="140"/>
      <c r="Q140" s="140"/>
      <c r="R140" s="140"/>
      <c r="S140" s="140"/>
      <c r="T140" s="140"/>
      <c r="U140" s="140"/>
      <c r="V140" s="140"/>
      <c r="W140" s="140"/>
      <c r="X140" s="140"/>
      <c r="Y140" s="140"/>
      <c r="Z140" s="140"/>
      <c r="AA140" s="140"/>
      <c r="AB140" s="140"/>
      <c r="AC140" s="140"/>
      <c r="AD140" s="140"/>
    </row>
    <row r="141" spans="1:30" ht="11.25" customHeight="1" x14ac:dyDescent="0.2">
      <c r="A141" s="140"/>
      <c r="B141" s="140"/>
      <c r="C141" s="140"/>
      <c r="D141" s="140"/>
      <c r="E141" s="140"/>
      <c r="F141" s="140"/>
      <c r="G141" s="140"/>
      <c r="H141" s="140"/>
      <c r="I141" s="140"/>
      <c r="J141" s="140"/>
      <c r="K141" s="140"/>
      <c r="L141" s="140"/>
      <c r="M141" s="140"/>
      <c r="N141" s="140"/>
      <c r="O141" s="140"/>
      <c r="P141" s="140"/>
      <c r="Q141" s="140"/>
      <c r="R141" s="140"/>
      <c r="S141" s="140"/>
      <c r="T141" s="140"/>
      <c r="U141" s="140"/>
      <c r="V141" s="140"/>
      <c r="W141" s="140"/>
      <c r="X141" s="140"/>
      <c r="Y141" s="140"/>
      <c r="Z141" s="140"/>
      <c r="AA141" s="140"/>
      <c r="AB141" s="140"/>
      <c r="AC141" s="140"/>
      <c r="AD141" s="140"/>
    </row>
    <row r="142" spans="1:30" ht="11.25" customHeight="1" x14ac:dyDescent="0.2">
      <c r="A142" s="140"/>
      <c r="B142" s="140"/>
      <c r="C142" s="140"/>
      <c r="D142" s="140"/>
      <c r="E142" s="140"/>
      <c r="F142" s="140"/>
      <c r="G142" s="140"/>
      <c r="H142" s="140"/>
      <c r="I142" s="140"/>
      <c r="J142" s="140"/>
      <c r="K142" s="140"/>
      <c r="L142" s="140"/>
      <c r="M142" s="140"/>
      <c r="N142" s="140"/>
      <c r="O142" s="140"/>
      <c r="P142" s="140"/>
      <c r="Q142" s="140"/>
      <c r="R142" s="140"/>
      <c r="S142" s="140"/>
      <c r="T142" s="140"/>
      <c r="U142" s="140"/>
      <c r="V142" s="140"/>
      <c r="W142" s="140"/>
      <c r="X142" s="140"/>
      <c r="Y142" s="140"/>
      <c r="Z142" s="140"/>
      <c r="AA142" s="140"/>
      <c r="AB142" s="140"/>
      <c r="AC142" s="140"/>
      <c r="AD142" s="140"/>
    </row>
    <row r="143" spans="1:30" ht="11.25" customHeight="1" x14ac:dyDescent="0.2">
      <c r="A143" s="140"/>
      <c r="B143" s="140"/>
      <c r="C143" s="140"/>
      <c r="D143" s="140"/>
      <c r="E143" s="140"/>
      <c r="F143" s="140"/>
      <c r="G143" s="140"/>
      <c r="H143" s="140"/>
      <c r="I143" s="140"/>
      <c r="J143" s="140"/>
      <c r="K143" s="140"/>
      <c r="L143" s="140"/>
      <c r="M143" s="140"/>
      <c r="N143" s="140"/>
      <c r="O143" s="140"/>
      <c r="P143" s="140"/>
      <c r="Q143" s="140"/>
      <c r="R143" s="140"/>
      <c r="S143" s="140"/>
      <c r="T143" s="140"/>
      <c r="U143" s="140"/>
      <c r="V143" s="140"/>
      <c r="W143" s="140"/>
      <c r="X143" s="140"/>
      <c r="Y143" s="140"/>
      <c r="Z143" s="140"/>
      <c r="AA143" s="140"/>
      <c r="AB143" s="140"/>
      <c r="AC143" s="140"/>
      <c r="AD143" s="140"/>
    </row>
    <row r="144" spans="1:30" ht="11.25" customHeight="1" x14ac:dyDescent="0.2">
      <c r="A144" s="140"/>
      <c r="B144" s="140"/>
      <c r="C144" s="140"/>
      <c r="D144" s="140"/>
      <c r="E144" s="140"/>
      <c r="F144" s="140"/>
      <c r="G144" s="140"/>
      <c r="H144" s="140"/>
      <c r="I144" s="140"/>
      <c r="J144" s="140"/>
      <c r="K144" s="140"/>
      <c r="L144" s="140"/>
      <c r="M144" s="140"/>
      <c r="N144" s="140"/>
      <c r="O144" s="140"/>
      <c r="P144" s="140"/>
      <c r="Q144" s="140"/>
      <c r="R144" s="140"/>
      <c r="S144" s="140"/>
      <c r="T144" s="140"/>
      <c r="U144" s="140"/>
      <c r="V144" s="140"/>
      <c r="W144" s="140"/>
      <c r="X144" s="140"/>
      <c r="Y144" s="140"/>
      <c r="Z144" s="140"/>
      <c r="AA144" s="140"/>
      <c r="AB144" s="140"/>
      <c r="AC144" s="140"/>
      <c r="AD144" s="140"/>
    </row>
    <row r="145" spans="1:30" ht="11.25" customHeight="1" x14ac:dyDescent="0.2">
      <c r="A145" s="140"/>
      <c r="B145" s="140"/>
      <c r="C145" s="140"/>
      <c r="D145" s="140"/>
      <c r="E145" s="140"/>
      <c r="F145" s="140"/>
      <c r="G145" s="140"/>
      <c r="H145" s="140"/>
      <c r="I145" s="140"/>
      <c r="J145" s="140"/>
      <c r="K145" s="140"/>
      <c r="L145" s="140"/>
      <c r="M145" s="140"/>
      <c r="N145" s="140"/>
      <c r="O145" s="140"/>
      <c r="P145" s="140"/>
      <c r="Q145" s="140"/>
      <c r="R145" s="140"/>
      <c r="S145" s="140"/>
      <c r="T145" s="140"/>
      <c r="U145" s="140"/>
      <c r="V145" s="140"/>
      <c r="W145" s="140"/>
      <c r="X145" s="140"/>
      <c r="Y145" s="140"/>
      <c r="Z145" s="140"/>
      <c r="AA145" s="140"/>
      <c r="AB145" s="140"/>
      <c r="AC145" s="140"/>
      <c r="AD145" s="140"/>
    </row>
    <row r="146" spans="1:30" ht="11.25" customHeight="1" x14ac:dyDescent="0.2">
      <c r="A146" s="140"/>
      <c r="B146" s="140"/>
      <c r="C146" s="140"/>
      <c r="D146" s="140"/>
      <c r="E146" s="140"/>
      <c r="F146" s="140"/>
      <c r="G146" s="140"/>
      <c r="H146" s="140"/>
      <c r="I146" s="140"/>
      <c r="J146" s="140"/>
      <c r="K146" s="140"/>
      <c r="L146" s="140"/>
      <c r="M146" s="140"/>
      <c r="N146" s="140"/>
      <c r="O146" s="140"/>
      <c r="P146" s="140"/>
      <c r="Q146" s="140"/>
      <c r="R146" s="140"/>
      <c r="S146" s="140"/>
      <c r="T146" s="140"/>
      <c r="U146" s="140"/>
      <c r="V146" s="140"/>
      <c r="W146" s="140"/>
      <c r="X146" s="140"/>
      <c r="Y146" s="140"/>
      <c r="Z146" s="140"/>
      <c r="AA146" s="140"/>
      <c r="AB146" s="140"/>
      <c r="AC146" s="140"/>
      <c r="AD146" s="140"/>
    </row>
    <row r="147" spans="1:30" ht="11.25" customHeight="1" x14ac:dyDescent="0.2">
      <c r="A147" s="140"/>
      <c r="B147" s="140"/>
      <c r="C147" s="140"/>
      <c r="D147" s="140"/>
      <c r="E147" s="140"/>
      <c r="F147" s="140"/>
      <c r="G147" s="140"/>
      <c r="H147" s="140"/>
      <c r="I147" s="140"/>
      <c r="J147" s="140"/>
      <c r="K147" s="140"/>
      <c r="L147" s="140"/>
      <c r="M147" s="140"/>
      <c r="N147" s="140"/>
      <c r="O147" s="140"/>
      <c r="P147" s="140"/>
      <c r="Q147" s="140"/>
      <c r="R147" s="140"/>
      <c r="S147" s="140"/>
      <c r="T147" s="140"/>
      <c r="U147" s="140"/>
      <c r="V147" s="140"/>
      <c r="W147" s="140"/>
      <c r="X147" s="140"/>
      <c r="Y147" s="140"/>
      <c r="Z147" s="140"/>
      <c r="AA147" s="140"/>
      <c r="AB147" s="140"/>
      <c r="AC147" s="140"/>
      <c r="AD147" s="140"/>
    </row>
    <row r="148" spans="1:30" ht="11.25" customHeight="1" x14ac:dyDescent="0.2">
      <c r="A148" s="140"/>
      <c r="B148" s="140"/>
      <c r="C148" s="140"/>
      <c r="D148" s="140"/>
      <c r="E148" s="140"/>
      <c r="F148" s="140"/>
      <c r="G148" s="140"/>
      <c r="H148" s="140"/>
      <c r="I148" s="140"/>
      <c r="J148" s="140"/>
      <c r="K148" s="140"/>
      <c r="L148" s="140"/>
      <c r="M148" s="140"/>
      <c r="N148" s="140"/>
      <c r="O148" s="140"/>
      <c r="P148" s="140"/>
      <c r="Q148" s="140"/>
      <c r="R148" s="140"/>
      <c r="S148" s="140"/>
      <c r="T148" s="140"/>
      <c r="U148" s="140"/>
      <c r="V148" s="140"/>
      <c r="W148" s="140"/>
      <c r="X148" s="140"/>
      <c r="Y148" s="140"/>
      <c r="Z148" s="140"/>
      <c r="AA148" s="140"/>
      <c r="AB148" s="140"/>
      <c r="AC148" s="140"/>
      <c r="AD148" s="140"/>
    </row>
    <row r="149" spans="1:30" ht="11.25" customHeight="1" x14ac:dyDescent="0.2">
      <c r="A149" s="140"/>
      <c r="B149" s="140"/>
      <c r="C149" s="140"/>
      <c r="D149" s="140"/>
      <c r="E149" s="140"/>
      <c r="F149" s="140"/>
      <c r="G149" s="140"/>
      <c r="H149" s="140"/>
      <c r="I149" s="140"/>
      <c r="J149" s="140"/>
      <c r="K149" s="140"/>
      <c r="L149" s="140"/>
      <c r="M149" s="140"/>
      <c r="N149" s="140"/>
      <c r="O149" s="140"/>
      <c r="P149" s="140"/>
      <c r="Q149" s="140"/>
      <c r="R149" s="140"/>
      <c r="S149" s="140"/>
      <c r="T149" s="140"/>
      <c r="U149" s="140"/>
      <c r="V149" s="140"/>
      <c r="W149" s="140"/>
      <c r="X149" s="140"/>
      <c r="Y149" s="140"/>
      <c r="Z149" s="140"/>
      <c r="AA149" s="140"/>
      <c r="AB149" s="140"/>
      <c r="AC149" s="140"/>
      <c r="AD149" s="140"/>
    </row>
    <row r="150" spans="1:30" ht="11.25" customHeight="1" x14ac:dyDescent="0.2">
      <c r="A150" s="140"/>
      <c r="B150" s="140"/>
      <c r="C150" s="140"/>
      <c r="D150" s="140"/>
      <c r="E150" s="140"/>
      <c r="F150" s="140"/>
      <c r="G150" s="140"/>
      <c r="H150" s="140"/>
      <c r="I150" s="140"/>
      <c r="J150" s="140"/>
      <c r="K150" s="140"/>
      <c r="L150" s="140"/>
      <c r="M150" s="140"/>
      <c r="N150" s="140"/>
      <c r="O150" s="140"/>
      <c r="P150" s="140"/>
      <c r="Q150" s="140"/>
      <c r="R150" s="140"/>
      <c r="S150" s="140"/>
      <c r="T150" s="140"/>
      <c r="U150" s="140"/>
      <c r="V150" s="140"/>
      <c r="W150" s="140"/>
      <c r="X150" s="140"/>
      <c r="Y150" s="140"/>
      <c r="Z150" s="140"/>
      <c r="AA150" s="140"/>
      <c r="AB150" s="140"/>
      <c r="AC150" s="140"/>
      <c r="AD150" s="140"/>
    </row>
    <row r="151" spans="1:30" ht="11.25" customHeight="1" x14ac:dyDescent="0.2">
      <c r="A151" s="140"/>
      <c r="B151" s="140"/>
      <c r="C151" s="140"/>
      <c r="D151" s="140"/>
      <c r="E151" s="140"/>
      <c r="F151" s="140"/>
      <c r="G151" s="140"/>
      <c r="H151" s="140"/>
      <c r="I151" s="140"/>
      <c r="J151" s="140"/>
      <c r="K151" s="140"/>
      <c r="L151" s="140"/>
      <c r="M151" s="140"/>
      <c r="N151" s="140"/>
      <c r="O151" s="140"/>
      <c r="P151" s="140"/>
      <c r="Q151" s="140"/>
      <c r="R151" s="140"/>
      <c r="S151" s="140"/>
      <c r="T151" s="140"/>
      <c r="U151" s="140"/>
      <c r="V151" s="140"/>
      <c r="W151" s="140"/>
      <c r="X151" s="140"/>
      <c r="Y151" s="140"/>
      <c r="Z151" s="140"/>
      <c r="AA151" s="140"/>
      <c r="AB151" s="140"/>
      <c r="AC151" s="140"/>
      <c r="AD151" s="140"/>
    </row>
    <row r="152" spans="1:30" ht="11.25" customHeight="1" x14ac:dyDescent="0.2">
      <c r="A152" s="140"/>
      <c r="B152" s="140"/>
      <c r="C152" s="140"/>
      <c r="D152" s="140"/>
      <c r="E152" s="140"/>
      <c r="F152" s="140"/>
      <c r="G152" s="140"/>
      <c r="H152" s="140"/>
      <c r="I152" s="140"/>
      <c r="J152" s="140"/>
      <c r="K152" s="140"/>
      <c r="L152" s="140"/>
      <c r="M152" s="140"/>
      <c r="N152" s="140"/>
      <c r="O152" s="140"/>
      <c r="P152" s="140"/>
      <c r="Q152" s="140"/>
      <c r="R152" s="140"/>
      <c r="S152" s="140"/>
      <c r="T152" s="140"/>
      <c r="U152" s="140"/>
      <c r="V152" s="140"/>
      <c r="W152" s="140"/>
      <c r="X152" s="140"/>
      <c r="Y152" s="140"/>
      <c r="Z152" s="140"/>
      <c r="AA152" s="140"/>
      <c r="AB152" s="140"/>
      <c r="AC152" s="140"/>
      <c r="AD152" s="140"/>
    </row>
    <row r="153" spans="1:30" ht="11.25" customHeight="1" x14ac:dyDescent="0.2">
      <c r="A153" s="140"/>
      <c r="B153" s="140"/>
      <c r="C153" s="140"/>
      <c r="D153" s="140"/>
      <c r="E153" s="140"/>
      <c r="F153" s="140"/>
      <c r="G153" s="140"/>
      <c r="H153" s="140"/>
      <c r="I153" s="140"/>
      <c r="J153" s="140"/>
      <c r="K153" s="140"/>
      <c r="L153" s="140"/>
      <c r="M153" s="140"/>
      <c r="N153" s="140"/>
      <c r="O153" s="140"/>
      <c r="P153" s="140"/>
      <c r="Q153" s="140"/>
      <c r="R153" s="140"/>
      <c r="S153" s="140"/>
      <c r="T153" s="140"/>
      <c r="U153" s="140"/>
      <c r="V153" s="140"/>
      <c r="W153" s="140"/>
      <c r="X153" s="140"/>
      <c r="Y153" s="140"/>
      <c r="Z153" s="140"/>
      <c r="AA153" s="140"/>
      <c r="AB153" s="140"/>
      <c r="AC153" s="140"/>
      <c r="AD153" s="140"/>
    </row>
    <row r="154" spans="1:30" ht="11.25" customHeight="1" x14ac:dyDescent="0.2">
      <c r="A154" s="140"/>
      <c r="B154" s="140"/>
      <c r="C154" s="140"/>
      <c r="D154" s="140"/>
      <c r="E154" s="140"/>
      <c r="F154" s="140"/>
      <c r="G154" s="140"/>
      <c r="H154" s="140"/>
      <c r="I154" s="140"/>
      <c r="J154" s="140"/>
      <c r="K154" s="140"/>
      <c r="L154" s="140"/>
      <c r="M154" s="140"/>
      <c r="N154" s="140"/>
      <c r="O154" s="140"/>
      <c r="P154" s="140"/>
      <c r="Q154" s="140"/>
      <c r="R154" s="140"/>
      <c r="S154" s="140"/>
      <c r="T154" s="140"/>
      <c r="U154" s="140"/>
      <c r="V154" s="140"/>
      <c r="W154" s="140"/>
      <c r="X154" s="140"/>
      <c r="Y154" s="140"/>
      <c r="Z154" s="140"/>
      <c r="AA154" s="140"/>
      <c r="AB154" s="140"/>
      <c r="AC154" s="140"/>
      <c r="AD154" s="140"/>
    </row>
    <row r="155" spans="1:30" ht="11.25" customHeight="1" x14ac:dyDescent="0.2">
      <c r="A155" s="140"/>
      <c r="B155" s="140"/>
      <c r="C155" s="140"/>
      <c r="D155" s="140"/>
      <c r="E155" s="140"/>
      <c r="F155" s="140"/>
      <c r="G155" s="140"/>
      <c r="H155" s="140"/>
      <c r="I155" s="140"/>
      <c r="J155" s="140"/>
      <c r="K155" s="140"/>
      <c r="L155" s="140"/>
      <c r="M155" s="140"/>
      <c r="N155" s="140"/>
      <c r="O155" s="140"/>
      <c r="P155" s="140"/>
      <c r="Q155" s="140"/>
      <c r="R155" s="140"/>
      <c r="S155" s="140"/>
      <c r="T155" s="140"/>
      <c r="U155" s="140"/>
      <c r="V155" s="140"/>
      <c r="W155" s="140"/>
      <c r="X155" s="140"/>
      <c r="Y155" s="140"/>
      <c r="Z155" s="140"/>
      <c r="AA155" s="140"/>
      <c r="AB155" s="140"/>
      <c r="AC155" s="140"/>
      <c r="AD155" s="140"/>
    </row>
    <row r="156" spans="1:30" ht="11.25" customHeight="1" x14ac:dyDescent="0.2">
      <c r="A156" s="140"/>
      <c r="B156" s="140"/>
      <c r="C156" s="140"/>
      <c r="D156" s="140"/>
      <c r="E156" s="140"/>
      <c r="F156" s="140"/>
      <c r="G156" s="140"/>
      <c r="H156" s="140"/>
      <c r="I156" s="140"/>
      <c r="J156" s="140"/>
      <c r="K156" s="140"/>
      <c r="L156" s="140"/>
      <c r="M156" s="140"/>
      <c r="N156" s="140"/>
      <c r="O156" s="140"/>
      <c r="P156" s="140"/>
      <c r="Q156" s="140"/>
      <c r="R156" s="140"/>
      <c r="S156" s="140"/>
      <c r="T156" s="140"/>
      <c r="U156" s="140"/>
      <c r="V156" s="140"/>
      <c r="W156" s="140"/>
      <c r="X156" s="140"/>
      <c r="Y156" s="140"/>
      <c r="Z156" s="140"/>
      <c r="AA156" s="140"/>
      <c r="AB156" s="140"/>
      <c r="AC156" s="140"/>
      <c r="AD156" s="140"/>
    </row>
    <row r="157" spans="1:30" ht="11.25" customHeight="1" x14ac:dyDescent="0.2">
      <c r="A157" s="140"/>
      <c r="B157" s="140"/>
      <c r="C157" s="140"/>
      <c r="D157" s="140"/>
      <c r="E157" s="140"/>
      <c r="F157" s="140"/>
      <c r="G157" s="140"/>
      <c r="H157" s="140"/>
      <c r="I157" s="140"/>
      <c r="J157" s="140"/>
      <c r="K157" s="140"/>
      <c r="L157" s="140"/>
      <c r="M157" s="140"/>
      <c r="N157" s="140"/>
      <c r="O157" s="140"/>
      <c r="P157" s="140"/>
      <c r="Q157" s="140"/>
      <c r="R157" s="140"/>
      <c r="S157" s="140"/>
      <c r="T157" s="140"/>
      <c r="U157" s="140"/>
      <c r="V157" s="140"/>
      <c r="W157" s="140"/>
      <c r="X157" s="140"/>
      <c r="Y157" s="140"/>
      <c r="Z157" s="140"/>
      <c r="AA157" s="140"/>
      <c r="AB157" s="140"/>
      <c r="AC157" s="140"/>
      <c r="AD157" s="140"/>
    </row>
    <row r="158" spans="1:30" ht="11.25" customHeight="1" x14ac:dyDescent="0.2">
      <c r="A158" s="140"/>
      <c r="B158" s="140"/>
      <c r="C158" s="140"/>
      <c r="D158" s="140"/>
      <c r="E158" s="140"/>
      <c r="F158" s="140"/>
      <c r="G158" s="140"/>
      <c r="H158" s="140"/>
      <c r="I158" s="140"/>
      <c r="J158" s="140"/>
      <c r="K158" s="140"/>
      <c r="L158" s="140"/>
      <c r="M158" s="140"/>
      <c r="N158" s="140"/>
      <c r="O158" s="140"/>
      <c r="P158" s="140"/>
      <c r="Q158" s="140"/>
      <c r="R158" s="140"/>
      <c r="S158" s="140"/>
      <c r="T158" s="140"/>
      <c r="U158" s="140"/>
      <c r="V158" s="140"/>
      <c r="W158" s="140"/>
      <c r="X158" s="140"/>
      <c r="Y158" s="140"/>
      <c r="Z158" s="140"/>
      <c r="AA158" s="140"/>
      <c r="AB158" s="140"/>
      <c r="AC158" s="140"/>
      <c r="AD158" s="140"/>
    </row>
    <row r="159" spans="1:30" ht="11.25" customHeight="1" x14ac:dyDescent="0.2">
      <c r="A159" s="140"/>
      <c r="B159" s="140"/>
      <c r="C159" s="140"/>
      <c r="D159" s="140"/>
      <c r="E159" s="140"/>
      <c r="F159" s="140"/>
      <c r="G159" s="140"/>
      <c r="H159" s="140"/>
      <c r="I159" s="140"/>
      <c r="J159" s="140"/>
      <c r="K159" s="140"/>
      <c r="L159" s="140"/>
      <c r="M159" s="140"/>
      <c r="N159" s="140"/>
      <c r="O159" s="140"/>
      <c r="P159" s="140"/>
      <c r="Q159" s="140"/>
      <c r="R159" s="140"/>
      <c r="S159" s="140"/>
      <c r="T159" s="140"/>
      <c r="U159" s="140"/>
      <c r="V159" s="140"/>
      <c r="W159" s="140"/>
      <c r="X159" s="140"/>
      <c r="Y159" s="140"/>
      <c r="Z159" s="140"/>
      <c r="AA159" s="140"/>
      <c r="AB159" s="140"/>
      <c r="AC159" s="140"/>
      <c r="AD159" s="140"/>
    </row>
    <row r="160" spans="1:30" ht="11.25" customHeight="1" x14ac:dyDescent="0.2">
      <c r="A160" s="140"/>
      <c r="B160" s="140"/>
      <c r="C160" s="140"/>
      <c r="D160" s="140"/>
      <c r="E160" s="140"/>
      <c r="F160" s="140"/>
      <c r="G160" s="140"/>
      <c r="H160" s="140"/>
      <c r="I160" s="140"/>
      <c r="J160" s="140"/>
      <c r="K160" s="140"/>
      <c r="L160" s="140"/>
      <c r="M160" s="140"/>
      <c r="N160" s="140"/>
      <c r="O160" s="140"/>
      <c r="P160" s="140"/>
      <c r="Q160" s="140"/>
      <c r="R160" s="140"/>
      <c r="S160" s="140"/>
      <c r="T160" s="140"/>
      <c r="U160" s="140"/>
      <c r="V160" s="140"/>
      <c r="W160" s="140"/>
      <c r="X160" s="140"/>
      <c r="Y160" s="140"/>
      <c r="Z160" s="140"/>
      <c r="AA160" s="140"/>
      <c r="AB160" s="140"/>
      <c r="AC160" s="140"/>
      <c r="AD160" s="140"/>
    </row>
    <row r="161" spans="1:30" ht="11.25" customHeight="1" x14ac:dyDescent="0.2">
      <c r="A161" s="140"/>
      <c r="B161" s="140"/>
      <c r="C161" s="140"/>
      <c r="D161" s="140"/>
      <c r="E161" s="140"/>
      <c r="F161" s="140"/>
      <c r="G161" s="140"/>
      <c r="H161" s="140"/>
      <c r="I161" s="140"/>
      <c r="J161" s="140"/>
      <c r="K161" s="140"/>
      <c r="L161" s="140"/>
      <c r="M161" s="140"/>
      <c r="N161" s="140"/>
      <c r="O161" s="140"/>
      <c r="P161" s="140"/>
      <c r="Q161" s="140"/>
      <c r="R161" s="140"/>
      <c r="S161" s="140"/>
      <c r="T161" s="140"/>
      <c r="U161" s="140"/>
      <c r="V161" s="140"/>
      <c r="W161" s="140"/>
      <c r="X161" s="140"/>
      <c r="Y161" s="140"/>
      <c r="Z161" s="140"/>
      <c r="AA161" s="140"/>
      <c r="AB161" s="140"/>
      <c r="AC161" s="140"/>
      <c r="AD161" s="140"/>
    </row>
    <row r="162" spans="1:30" ht="11.25" customHeight="1" x14ac:dyDescent="0.2">
      <c r="A162" s="140"/>
      <c r="B162" s="140"/>
      <c r="C162" s="140"/>
      <c r="D162" s="140"/>
      <c r="E162" s="140"/>
      <c r="F162" s="140"/>
      <c r="G162" s="140"/>
      <c r="H162" s="140"/>
      <c r="I162" s="140"/>
      <c r="J162" s="140"/>
      <c r="K162" s="140"/>
      <c r="L162" s="140"/>
      <c r="M162" s="140"/>
      <c r="N162" s="140"/>
      <c r="O162" s="140"/>
      <c r="P162" s="140"/>
      <c r="Q162" s="140"/>
      <c r="R162" s="140"/>
      <c r="S162" s="140"/>
      <c r="T162" s="140"/>
      <c r="U162" s="140"/>
      <c r="V162" s="140"/>
      <c r="W162" s="140"/>
      <c r="X162" s="140"/>
      <c r="Y162" s="140"/>
      <c r="Z162" s="140"/>
      <c r="AA162" s="140"/>
      <c r="AB162" s="140"/>
      <c r="AC162" s="140"/>
      <c r="AD162" s="140"/>
    </row>
    <row r="163" spans="1:30" ht="11.25" customHeight="1" x14ac:dyDescent="0.2">
      <c r="A163" s="140"/>
      <c r="B163" s="140"/>
      <c r="C163" s="140"/>
      <c r="D163" s="140"/>
      <c r="E163" s="140"/>
      <c r="F163" s="140"/>
      <c r="G163" s="140"/>
      <c r="H163" s="140"/>
      <c r="I163" s="140"/>
      <c r="J163" s="140"/>
      <c r="K163" s="140"/>
      <c r="L163" s="140"/>
      <c r="M163" s="140"/>
      <c r="N163" s="140"/>
      <c r="O163" s="140"/>
      <c r="P163" s="140"/>
      <c r="Q163" s="140"/>
      <c r="R163" s="140"/>
      <c r="S163" s="140"/>
      <c r="T163" s="140"/>
      <c r="U163" s="140"/>
      <c r="V163" s="140"/>
      <c r="W163" s="140"/>
      <c r="X163" s="140"/>
      <c r="Y163" s="140"/>
      <c r="Z163" s="140"/>
      <c r="AA163" s="140"/>
      <c r="AB163" s="140"/>
      <c r="AC163" s="140"/>
      <c r="AD163" s="140"/>
    </row>
    <row r="164" spans="1:30" ht="11.25" customHeight="1" x14ac:dyDescent="0.2">
      <c r="A164" s="140"/>
      <c r="B164" s="140"/>
      <c r="C164" s="140"/>
      <c r="D164" s="140"/>
      <c r="E164" s="140"/>
      <c r="F164" s="140"/>
      <c r="G164" s="140"/>
      <c r="H164" s="140"/>
      <c r="I164" s="140"/>
      <c r="J164" s="140"/>
      <c r="K164" s="140"/>
      <c r="L164" s="140"/>
      <c r="M164" s="140"/>
      <c r="N164" s="140"/>
      <c r="O164" s="140"/>
      <c r="P164" s="140"/>
      <c r="Q164" s="140"/>
      <c r="R164" s="140"/>
      <c r="S164" s="140"/>
      <c r="T164" s="140"/>
      <c r="U164" s="140"/>
      <c r="V164" s="140"/>
      <c r="W164" s="140"/>
      <c r="X164" s="140"/>
      <c r="Y164" s="140"/>
      <c r="Z164" s="140"/>
      <c r="AA164" s="140"/>
      <c r="AB164" s="140"/>
      <c r="AC164" s="140"/>
      <c r="AD164" s="140"/>
    </row>
    <row r="165" spans="1:30" ht="11.25" customHeight="1" x14ac:dyDescent="0.2">
      <c r="A165" s="140"/>
      <c r="B165" s="140"/>
      <c r="C165" s="140"/>
      <c r="D165" s="140"/>
      <c r="E165" s="140"/>
      <c r="F165" s="140"/>
      <c r="G165" s="140"/>
      <c r="H165" s="140"/>
      <c r="I165" s="140"/>
      <c r="J165" s="140"/>
      <c r="K165" s="140"/>
      <c r="L165" s="140"/>
      <c r="M165" s="140"/>
      <c r="N165" s="140"/>
      <c r="O165" s="140"/>
      <c r="P165" s="140"/>
      <c r="Q165" s="140"/>
      <c r="R165" s="140"/>
      <c r="S165" s="140"/>
      <c r="T165" s="140"/>
      <c r="U165" s="140"/>
      <c r="V165" s="140"/>
      <c r="W165" s="140"/>
      <c r="X165" s="140"/>
      <c r="Y165" s="140"/>
      <c r="Z165" s="140"/>
      <c r="AA165" s="140"/>
      <c r="AB165" s="140"/>
      <c r="AC165" s="140"/>
      <c r="AD165" s="140"/>
    </row>
    <row r="166" spans="1:30" ht="11.25" customHeight="1" x14ac:dyDescent="0.2">
      <c r="A166" s="140"/>
      <c r="B166" s="140"/>
      <c r="C166" s="140"/>
      <c r="D166" s="140"/>
      <c r="E166" s="140"/>
      <c r="F166" s="140"/>
      <c r="G166" s="140"/>
      <c r="H166" s="140"/>
      <c r="I166" s="140"/>
      <c r="J166" s="140"/>
      <c r="K166" s="140"/>
      <c r="L166" s="140"/>
      <c r="M166" s="140"/>
      <c r="N166" s="140"/>
      <c r="O166" s="140"/>
      <c r="P166" s="140"/>
      <c r="Q166" s="140"/>
      <c r="R166" s="140"/>
      <c r="S166" s="140"/>
      <c r="T166" s="140"/>
      <c r="U166" s="140"/>
      <c r="V166" s="140"/>
      <c r="W166" s="140"/>
      <c r="X166" s="140"/>
      <c r="Y166" s="140"/>
      <c r="Z166" s="140"/>
      <c r="AA166" s="140"/>
      <c r="AB166" s="140"/>
      <c r="AC166" s="140"/>
      <c r="AD166" s="140"/>
    </row>
    <row r="167" spans="1:30" ht="11.25" customHeight="1" x14ac:dyDescent="0.2">
      <c r="A167" s="140"/>
      <c r="B167" s="140"/>
      <c r="C167" s="140"/>
      <c r="D167" s="140"/>
      <c r="E167" s="140"/>
      <c r="F167" s="140"/>
      <c r="G167" s="140"/>
      <c r="H167" s="140"/>
      <c r="I167" s="140"/>
      <c r="J167" s="140"/>
      <c r="K167" s="140"/>
      <c r="L167" s="140"/>
      <c r="M167" s="140"/>
      <c r="N167" s="140"/>
      <c r="O167" s="140"/>
      <c r="P167" s="140"/>
      <c r="Q167" s="140"/>
      <c r="R167" s="140"/>
      <c r="S167" s="140"/>
      <c r="T167" s="140"/>
      <c r="U167" s="140"/>
      <c r="V167" s="140"/>
      <c r="W167" s="140"/>
      <c r="X167" s="140"/>
      <c r="Y167" s="140"/>
      <c r="Z167" s="140"/>
      <c r="AA167" s="140"/>
      <c r="AB167" s="140"/>
      <c r="AC167" s="140"/>
      <c r="AD167" s="140"/>
    </row>
    <row r="168" spans="1:30" ht="11.25" customHeight="1" x14ac:dyDescent="0.2">
      <c r="A168" s="140"/>
      <c r="B168" s="140"/>
      <c r="C168" s="140"/>
      <c r="D168" s="140"/>
      <c r="E168" s="140"/>
      <c r="F168" s="140"/>
      <c r="G168" s="140"/>
      <c r="H168" s="140"/>
      <c r="I168" s="140"/>
      <c r="J168" s="140"/>
      <c r="K168" s="140"/>
      <c r="L168" s="140"/>
      <c r="M168" s="140"/>
      <c r="N168" s="140"/>
      <c r="O168" s="140"/>
      <c r="P168" s="140"/>
      <c r="Q168" s="140"/>
      <c r="R168" s="140"/>
      <c r="S168" s="140"/>
      <c r="T168" s="140"/>
      <c r="U168" s="140"/>
      <c r="V168" s="140"/>
      <c r="W168" s="140"/>
      <c r="X168" s="140"/>
      <c r="Y168" s="140"/>
      <c r="Z168" s="140"/>
      <c r="AA168" s="140"/>
      <c r="AB168" s="140"/>
      <c r="AC168" s="140"/>
      <c r="AD168" s="140"/>
    </row>
    <row r="169" spans="1:30" ht="11.25" customHeight="1" x14ac:dyDescent="0.2">
      <c r="A169" s="140"/>
      <c r="B169" s="140"/>
      <c r="C169" s="140"/>
      <c r="D169" s="140"/>
      <c r="E169" s="140"/>
      <c r="F169" s="140"/>
      <c r="G169" s="140"/>
      <c r="H169" s="140"/>
      <c r="I169" s="140"/>
      <c r="J169" s="140"/>
      <c r="K169" s="140"/>
      <c r="L169" s="140"/>
      <c r="M169" s="140"/>
      <c r="N169" s="140"/>
      <c r="O169" s="140"/>
      <c r="P169" s="140"/>
      <c r="Q169" s="140"/>
      <c r="R169" s="140"/>
      <c r="S169" s="140"/>
      <c r="T169" s="140"/>
      <c r="U169" s="140"/>
      <c r="V169" s="140"/>
      <c r="W169" s="140"/>
      <c r="X169" s="140"/>
      <c r="Y169" s="140"/>
      <c r="Z169" s="140"/>
      <c r="AA169" s="140"/>
      <c r="AB169" s="140"/>
      <c r="AC169" s="140"/>
      <c r="AD169" s="140"/>
    </row>
    <row r="170" spans="1:30" ht="11.25" customHeight="1" x14ac:dyDescent="0.2">
      <c r="A170" s="140"/>
      <c r="B170" s="140"/>
      <c r="C170" s="140"/>
      <c r="D170" s="140"/>
      <c r="E170" s="140"/>
      <c r="F170" s="140"/>
      <c r="G170" s="140"/>
      <c r="H170" s="140"/>
      <c r="I170" s="140"/>
      <c r="J170" s="140"/>
      <c r="K170" s="140"/>
      <c r="L170" s="140"/>
      <c r="M170" s="140"/>
      <c r="N170" s="140"/>
      <c r="O170" s="140"/>
      <c r="P170" s="140"/>
      <c r="Q170" s="140"/>
      <c r="R170" s="140"/>
      <c r="S170" s="140"/>
      <c r="T170" s="140"/>
      <c r="U170" s="140"/>
      <c r="V170" s="140"/>
      <c r="W170" s="140"/>
      <c r="X170" s="140"/>
      <c r="Y170" s="140"/>
      <c r="Z170" s="140"/>
      <c r="AA170" s="140"/>
      <c r="AB170" s="140"/>
      <c r="AC170" s="140"/>
      <c r="AD170" s="140"/>
    </row>
    <row r="171" spans="1:30" ht="11.25" customHeight="1" x14ac:dyDescent="0.2">
      <c r="A171" s="140"/>
      <c r="B171" s="140"/>
      <c r="C171" s="140"/>
      <c r="D171" s="140"/>
      <c r="E171" s="140"/>
      <c r="F171" s="140"/>
      <c r="G171" s="140"/>
      <c r="H171" s="140"/>
      <c r="I171" s="140"/>
      <c r="J171" s="140"/>
      <c r="K171" s="140"/>
      <c r="L171" s="140"/>
      <c r="M171" s="140"/>
      <c r="N171" s="140"/>
      <c r="O171" s="140"/>
      <c r="P171" s="140"/>
      <c r="Q171" s="140"/>
      <c r="R171" s="140"/>
      <c r="S171" s="140"/>
      <c r="T171" s="140"/>
      <c r="U171" s="140"/>
      <c r="V171" s="140"/>
      <c r="W171" s="140"/>
      <c r="X171" s="140"/>
      <c r="Y171" s="140"/>
      <c r="Z171" s="140"/>
      <c r="AA171" s="140"/>
      <c r="AB171" s="140"/>
      <c r="AC171" s="140"/>
      <c r="AD171" s="140"/>
    </row>
    <row r="172" spans="1:30" ht="11.25" customHeight="1" x14ac:dyDescent="0.2">
      <c r="A172" s="140"/>
      <c r="B172" s="140"/>
      <c r="C172" s="140"/>
      <c r="D172" s="140"/>
      <c r="E172" s="140"/>
      <c r="F172" s="140"/>
      <c r="G172" s="140"/>
      <c r="H172" s="140"/>
      <c r="I172" s="140"/>
      <c r="J172" s="140"/>
      <c r="K172" s="140"/>
      <c r="L172" s="140"/>
      <c r="M172" s="140"/>
      <c r="N172" s="140"/>
      <c r="O172" s="140"/>
      <c r="P172" s="140"/>
      <c r="Q172" s="140"/>
      <c r="R172" s="140"/>
      <c r="S172" s="140"/>
      <c r="T172" s="140"/>
      <c r="U172" s="140"/>
      <c r="V172" s="140"/>
      <c r="W172" s="140"/>
      <c r="X172" s="140"/>
      <c r="Y172" s="140"/>
      <c r="Z172" s="140"/>
      <c r="AA172" s="140"/>
      <c r="AB172" s="140"/>
      <c r="AC172" s="140"/>
      <c r="AD172" s="140"/>
    </row>
    <row r="173" spans="1:30" ht="11.25" customHeight="1" x14ac:dyDescent="0.2">
      <c r="A173" s="140"/>
      <c r="B173" s="140"/>
      <c r="C173" s="140"/>
      <c r="D173" s="140"/>
      <c r="E173" s="140"/>
      <c r="F173" s="140"/>
      <c r="G173" s="140"/>
      <c r="H173" s="140"/>
      <c r="I173" s="140"/>
      <c r="J173" s="140"/>
      <c r="K173" s="140"/>
      <c r="L173" s="140"/>
      <c r="M173" s="140"/>
      <c r="N173" s="140"/>
      <c r="O173" s="140"/>
      <c r="P173" s="140"/>
      <c r="Q173" s="140"/>
      <c r="R173" s="140"/>
      <c r="S173" s="140"/>
      <c r="T173" s="140"/>
      <c r="U173" s="140"/>
      <c r="V173" s="140"/>
      <c r="W173" s="140"/>
      <c r="X173" s="140"/>
      <c r="Y173" s="140"/>
      <c r="Z173" s="140"/>
      <c r="AA173" s="140"/>
      <c r="AB173" s="140"/>
      <c r="AC173" s="140"/>
      <c r="AD173" s="140"/>
    </row>
    <row r="174" spans="1:30" ht="11.25" customHeight="1" x14ac:dyDescent="0.2">
      <c r="A174" s="140"/>
      <c r="B174" s="140"/>
      <c r="C174" s="140"/>
      <c r="D174" s="140"/>
      <c r="E174" s="140"/>
      <c r="F174" s="140"/>
      <c r="G174" s="140"/>
      <c r="H174" s="140"/>
      <c r="I174" s="140"/>
      <c r="J174" s="140"/>
      <c r="K174" s="140"/>
      <c r="L174" s="140"/>
      <c r="M174" s="140"/>
      <c r="N174" s="140"/>
      <c r="O174" s="140"/>
      <c r="P174" s="140"/>
      <c r="Q174" s="140"/>
      <c r="R174" s="140"/>
      <c r="S174" s="140"/>
      <c r="T174" s="140"/>
      <c r="U174" s="140"/>
      <c r="V174" s="140"/>
      <c r="W174" s="140"/>
      <c r="X174" s="140"/>
      <c r="Y174" s="140"/>
      <c r="Z174" s="140"/>
      <c r="AA174" s="140"/>
      <c r="AB174" s="140"/>
      <c r="AC174" s="140"/>
      <c r="AD174" s="140"/>
    </row>
    <row r="175" spans="1:30" ht="11.25" customHeight="1" x14ac:dyDescent="0.2">
      <c r="A175" s="140"/>
      <c r="B175" s="140"/>
      <c r="C175" s="140"/>
      <c r="D175" s="140"/>
      <c r="E175" s="140"/>
      <c r="F175" s="140"/>
      <c r="G175" s="140"/>
      <c r="H175" s="140"/>
      <c r="I175" s="140"/>
      <c r="J175" s="140"/>
      <c r="K175" s="140"/>
      <c r="L175" s="140"/>
      <c r="M175" s="140"/>
      <c r="N175" s="140"/>
      <c r="O175" s="140"/>
      <c r="P175" s="140"/>
      <c r="Q175" s="140"/>
      <c r="R175" s="140"/>
      <c r="S175" s="140"/>
      <c r="T175" s="140"/>
      <c r="U175" s="140"/>
      <c r="V175" s="140"/>
      <c r="W175" s="140"/>
      <c r="X175" s="140"/>
      <c r="Y175" s="140"/>
      <c r="Z175" s="140"/>
      <c r="AA175" s="140"/>
      <c r="AB175" s="140"/>
      <c r="AC175" s="140"/>
      <c r="AD175" s="140"/>
    </row>
    <row r="176" spans="1:30" ht="11.25" customHeight="1" x14ac:dyDescent="0.2">
      <c r="A176" s="140"/>
      <c r="B176" s="140"/>
      <c r="C176" s="140"/>
      <c r="D176" s="140"/>
      <c r="E176" s="140"/>
      <c r="F176" s="140"/>
      <c r="G176" s="140"/>
      <c r="H176" s="140"/>
      <c r="I176" s="140"/>
      <c r="J176" s="140"/>
      <c r="K176" s="140"/>
      <c r="L176" s="140"/>
      <c r="M176" s="140"/>
      <c r="N176" s="140"/>
      <c r="O176" s="140"/>
      <c r="P176" s="140"/>
      <c r="Q176" s="140"/>
      <c r="R176" s="140"/>
      <c r="S176" s="140"/>
      <c r="T176" s="140"/>
      <c r="U176" s="140"/>
      <c r="V176" s="140"/>
      <c r="W176" s="140"/>
      <c r="X176" s="140"/>
      <c r="Y176" s="140"/>
      <c r="Z176" s="140"/>
      <c r="AA176" s="140"/>
      <c r="AB176" s="140"/>
      <c r="AC176" s="140"/>
      <c r="AD176" s="140"/>
    </row>
    <row r="177" spans="1:30" ht="11.25" customHeight="1" x14ac:dyDescent="0.2">
      <c r="A177" s="140"/>
      <c r="B177" s="140"/>
      <c r="C177" s="140"/>
      <c r="D177" s="140"/>
      <c r="E177" s="140"/>
      <c r="F177" s="140"/>
      <c r="G177" s="140"/>
      <c r="H177" s="140"/>
      <c r="I177" s="140"/>
      <c r="J177" s="140"/>
      <c r="K177" s="140"/>
      <c r="L177" s="140"/>
      <c r="M177" s="140"/>
      <c r="N177" s="140"/>
      <c r="O177" s="140"/>
      <c r="P177" s="140"/>
      <c r="Q177" s="140"/>
      <c r="R177" s="140"/>
      <c r="S177" s="140"/>
      <c r="T177" s="140"/>
      <c r="U177" s="140"/>
      <c r="V177" s="140"/>
      <c r="W177" s="140"/>
      <c r="X177" s="140"/>
      <c r="Y177" s="140"/>
      <c r="Z177" s="140"/>
      <c r="AA177" s="140"/>
      <c r="AB177" s="140"/>
      <c r="AC177" s="140"/>
      <c r="AD177" s="140"/>
    </row>
    <row r="178" spans="1:30" ht="11.25" customHeight="1" x14ac:dyDescent="0.2">
      <c r="A178" s="140"/>
      <c r="B178" s="140"/>
      <c r="C178" s="140"/>
      <c r="D178" s="140"/>
      <c r="E178" s="140"/>
      <c r="F178" s="140"/>
      <c r="G178" s="140"/>
      <c r="H178" s="140"/>
      <c r="I178" s="140"/>
      <c r="J178" s="140"/>
      <c r="K178" s="140"/>
      <c r="L178" s="140"/>
      <c r="M178" s="140"/>
      <c r="N178" s="140"/>
      <c r="O178" s="140"/>
      <c r="P178" s="140"/>
      <c r="Q178" s="140"/>
      <c r="R178" s="140"/>
      <c r="S178" s="140"/>
      <c r="T178" s="140"/>
      <c r="U178" s="140"/>
      <c r="V178" s="140"/>
      <c r="W178" s="140"/>
      <c r="X178" s="140"/>
      <c r="Y178" s="140"/>
      <c r="Z178" s="140"/>
      <c r="AA178" s="140"/>
      <c r="AB178" s="140"/>
      <c r="AC178" s="140"/>
      <c r="AD178" s="140"/>
    </row>
    <row r="179" spans="1:30" ht="11.25" customHeight="1" x14ac:dyDescent="0.2">
      <c r="A179" s="140"/>
      <c r="B179" s="140"/>
      <c r="C179" s="140"/>
      <c r="D179" s="140"/>
      <c r="E179" s="140"/>
      <c r="F179" s="140"/>
      <c r="G179" s="140"/>
      <c r="H179" s="140"/>
      <c r="I179" s="140"/>
      <c r="J179" s="140"/>
      <c r="K179" s="140"/>
      <c r="L179" s="140"/>
      <c r="M179" s="140"/>
      <c r="N179" s="140"/>
      <c r="O179" s="140"/>
      <c r="P179" s="140"/>
      <c r="Q179" s="140"/>
      <c r="R179" s="140"/>
      <c r="S179" s="140"/>
      <c r="T179" s="140"/>
      <c r="U179" s="140"/>
      <c r="V179" s="140"/>
      <c r="W179" s="140"/>
      <c r="X179" s="140"/>
      <c r="Y179" s="140"/>
      <c r="Z179" s="140"/>
      <c r="AA179" s="140"/>
      <c r="AB179" s="140"/>
      <c r="AC179" s="140"/>
      <c r="AD179" s="140"/>
    </row>
    <row r="180" spans="1:30" ht="11.25" customHeight="1" x14ac:dyDescent="0.2">
      <c r="A180" s="140"/>
      <c r="B180" s="140"/>
      <c r="C180" s="140"/>
      <c r="D180" s="140"/>
      <c r="E180" s="140"/>
      <c r="F180" s="140"/>
      <c r="G180" s="140"/>
      <c r="H180" s="140"/>
      <c r="I180" s="140"/>
      <c r="J180" s="140"/>
      <c r="K180" s="140"/>
      <c r="L180" s="140"/>
      <c r="M180" s="140"/>
      <c r="N180" s="140"/>
      <c r="O180" s="140"/>
      <c r="P180" s="140"/>
      <c r="Q180" s="140"/>
      <c r="R180" s="140"/>
      <c r="S180" s="140"/>
      <c r="T180" s="140"/>
      <c r="U180" s="140"/>
      <c r="V180" s="140"/>
      <c r="W180" s="140"/>
      <c r="X180" s="140"/>
      <c r="Y180" s="140"/>
      <c r="Z180" s="140"/>
      <c r="AA180" s="140"/>
      <c r="AB180" s="140"/>
      <c r="AC180" s="140"/>
      <c r="AD180" s="140"/>
    </row>
    <row r="181" spans="1:30" ht="11.25" customHeight="1" x14ac:dyDescent="0.2">
      <c r="A181" s="140"/>
      <c r="B181" s="140"/>
      <c r="C181" s="140"/>
      <c r="D181" s="140"/>
      <c r="E181" s="140"/>
      <c r="F181" s="140"/>
      <c r="G181" s="140"/>
      <c r="H181" s="140"/>
      <c r="I181" s="140"/>
      <c r="J181" s="140"/>
      <c r="K181" s="140"/>
      <c r="L181" s="140"/>
      <c r="M181" s="140"/>
      <c r="N181" s="140"/>
      <c r="O181" s="140"/>
      <c r="P181" s="140"/>
      <c r="Q181" s="140"/>
      <c r="R181" s="140"/>
      <c r="S181" s="140"/>
      <c r="T181" s="140"/>
      <c r="U181" s="140"/>
      <c r="V181" s="140"/>
      <c r="W181" s="140"/>
      <c r="X181" s="140"/>
      <c r="Y181" s="140"/>
      <c r="Z181" s="140"/>
      <c r="AA181" s="140"/>
      <c r="AB181" s="140"/>
      <c r="AC181" s="140"/>
      <c r="AD181" s="140"/>
    </row>
    <row r="182" spans="1:30" ht="11.25" customHeight="1" x14ac:dyDescent="0.2">
      <c r="A182" s="140"/>
      <c r="B182" s="140"/>
      <c r="C182" s="140"/>
      <c r="D182" s="140"/>
      <c r="E182" s="140"/>
      <c r="F182" s="140"/>
      <c r="G182" s="140"/>
      <c r="H182" s="140"/>
      <c r="I182" s="140"/>
      <c r="J182" s="140"/>
      <c r="K182" s="140"/>
      <c r="L182" s="140"/>
      <c r="M182" s="140"/>
      <c r="N182" s="140"/>
      <c r="O182" s="140"/>
      <c r="P182" s="140"/>
      <c r="Q182" s="140"/>
      <c r="R182" s="140"/>
      <c r="S182" s="140"/>
      <c r="T182" s="140"/>
      <c r="U182" s="140"/>
      <c r="V182" s="140"/>
      <c r="W182" s="140"/>
      <c r="X182" s="140"/>
      <c r="Y182" s="140"/>
      <c r="Z182" s="140"/>
      <c r="AA182" s="140"/>
      <c r="AB182" s="140"/>
      <c r="AC182" s="140"/>
      <c r="AD182" s="140"/>
    </row>
    <row r="183" spans="1:30" ht="11.25" customHeight="1" x14ac:dyDescent="0.2">
      <c r="A183" s="140"/>
      <c r="B183" s="140"/>
      <c r="C183" s="140"/>
      <c r="D183" s="140"/>
      <c r="E183" s="140"/>
      <c r="F183" s="140"/>
      <c r="G183" s="140"/>
      <c r="H183" s="140"/>
      <c r="I183" s="140"/>
      <c r="J183" s="140"/>
      <c r="K183" s="140"/>
      <c r="L183" s="140"/>
      <c r="M183" s="140"/>
      <c r="N183" s="140"/>
      <c r="O183" s="140"/>
      <c r="P183" s="140"/>
      <c r="Q183" s="140"/>
      <c r="R183" s="140"/>
      <c r="S183" s="140"/>
      <c r="T183" s="140"/>
      <c r="U183" s="140"/>
      <c r="V183" s="140"/>
      <c r="W183" s="140"/>
      <c r="X183" s="140"/>
      <c r="Y183" s="140"/>
      <c r="Z183" s="140"/>
      <c r="AA183" s="140"/>
      <c r="AB183" s="140"/>
      <c r="AC183" s="140"/>
      <c r="AD183" s="140"/>
    </row>
    <row r="184" spans="1:30" ht="11.25" customHeight="1" x14ac:dyDescent="0.2">
      <c r="A184" s="140"/>
      <c r="B184" s="140"/>
      <c r="C184" s="140"/>
      <c r="D184" s="140"/>
      <c r="E184" s="140"/>
      <c r="F184" s="140"/>
      <c r="G184" s="140"/>
      <c r="H184" s="140"/>
      <c r="I184" s="140"/>
      <c r="J184" s="140"/>
      <c r="K184" s="140"/>
      <c r="L184" s="140"/>
      <c r="M184" s="140"/>
      <c r="N184" s="140"/>
      <c r="O184" s="140"/>
      <c r="P184" s="140"/>
      <c r="Q184" s="140"/>
      <c r="R184" s="140"/>
      <c r="S184" s="140"/>
      <c r="T184" s="140"/>
      <c r="U184" s="140"/>
      <c r="V184" s="140"/>
      <c r="W184" s="140"/>
      <c r="X184" s="140"/>
      <c r="Y184" s="140"/>
      <c r="Z184" s="140"/>
      <c r="AA184" s="140"/>
      <c r="AB184" s="140"/>
      <c r="AC184" s="140"/>
      <c r="AD184" s="140"/>
    </row>
    <row r="185" spans="1:30" ht="11.25" customHeight="1" x14ac:dyDescent="0.2">
      <c r="A185" s="140"/>
      <c r="B185" s="140"/>
      <c r="C185" s="140"/>
      <c r="D185" s="140"/>
      <c r="E185" s="140"/>
      <c r="F185" s="140"/>
      <c r="G185" s="140"/>
      <c r="H185" s="140"/>
      <c r="I185" s="140"/>
      <c r="J185" s="140"/>
      <c r="K185" s="140"/>
      <c r="L185" s="140"/>
      <c r="M185" s="140"/>
      <c r="N185" s="140"/>
      <c r="O185" s="140"/>
      <c r="P185" s="140"/>
      <c r="Q185" s="140"/>
      <c r="R185" s="140"/>
      <c r="S185" s="140"/>
      <c r="T185" s="140"/>
      <c r="U185" s="140"/>
      <c r="V185" s="140"/>
      <c r="W185" s="140"/>
      <c r="X185" s="140"/>
      <c r="Y185" s="140"/>
      <c r="Z185" s="140"/>
      <c r="AA185" s="140"/>
      <c r="AB185" s="140"/>
      <c r="AC185" s="140"/>
      <c r="AD185" s="140"/>
    </row>
    <row r="186" spans="1:30" ht="11.25" customHeight="1" x14ac:dyDescent="0.2">
      <c r="A186" s="140"/>
      <c r="B186" s="140"/>
      <c r="C186" s="140"/>
      <c r="D186" s="140"/>
      <c r="E186" s="140"/>
      <c r="F186" s="140"/>
      <c r="G186" s="140"/>
      <c r="H186" s="140"/>
      <c r="I186" s="140"/>
      <c r="J186" s="140"/>
      <c r="K186" s="140"/>
      <c r="L186" s="140"/>
      <c r="M186" s="140"/>
      <c r="N186" s="140"/>
      <c r="O186" s="140"/>
      <c r="P186" s="140"/>
      <c r="Q186" s="140"/>
      <c r="R186" s="140"/>
      <c r="S186" s="140"/>
      <c r="T186" s="140"/>
      <c r="U186" s="140"/>
      <c r="V186" s="140"/>
      <c r="W186" s="140"/>
      <c r="X186" s="140"/>
      <c r="Y186" s="140"/>
      <c r="Z186" s="140"/>
      <c r="AA186" s="140"/>
      <c r="AB186" s="140"/>
      <c r="AC186" s="140"/>
      <c r="AD186" s="140"/>
    </row>
    <row r="187" spans="1:30" ht="11.25" customHeight="1" x14ac:dyDescent="0.2">
      <c r="A187" s="140"/>
      <c r="B187" s="140"/>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c r="AA187" s="140"/>
      <c r="AB187" s="140"/>
      <c r="AC187" s="140"/>
      <c r="AD187" s="140"/>
    </row>
    <row r="188" spans="1:30" ht="11.25" customHeight="1" x14ac:dyDescent="0.2">
      <c r="A188" s="140"/>
      <c r="B188" s="140"/>
      <c r="C188" s="140"/>
      <c r="D188" s="140"/>
      <c r="E188" s="140"/>
      <c r="F188" s="140"/>
      <c r="G188" s="140"/>
      <c r="H188" s="140"/>
      <c r="I188" s="140"/>
      <c r="J188" s="140"/>
      <c r="K188" s="140"/>
      <c r="L188" s="140"/>
      <c r="M188" s="140"/>
      <c r="N188" s="140"/>
      <c r="O188" s="140"/>
      <c r="P188" s="140"/>
      <c r="Q188" s="140"/>
      <c r="R188" s="140"/>
      <c r="S188" s="140"/>
      <c r="T188" s="140"/>
      <c r="U188" s="140"/>
      <c r="V188" s="140"/>
      <c r="W188" s="140"/>
      <c r="X188" s="140"/>
      <c r="Y188" s="140"/>
      <c r="Z188" s="140"/>
      <c r="AA188" s="140"/>
      <c r="AB188" s="140"/>
      <c r="AC188" s="140"/>
      <c r="AD188" s="140"/>
    </row>
    <row r="189" spans="1:30" ht="11.25" customHeight="1" x14ac:dyDescent="0.2">
      <c r="A189" s="140"/>
      <c r="B189" s="140"/>
      <c r="C189" s="140"/>
      <c r="D189" s="140"/>
      <c r="E189" s="140"/>
      <c r="F189" s="140"/>
      <c r="G189" s="140"/>
      <c r="H189" s="140"/>
      <c r="I189" s="140"/>
      <c r="J189" s="140"/>
      <c r="K189" s="140"/>
      <c r="L189" s="140"/>
      <c r="M189" s="140"/>
      <c r="N189" s="140"/>
      <c r="O189" s="140"/>
      <c r="P189" s="140"/>
      <c r="Q189" s="140"/>
      <c r="R189" s="140"/>
      <c r="S189" s="140"/>
      <c r="T189" s="140"/>
      <c r="U189" s="140"/>
      <c r="V189" s="140"/>
      <c r="W189" s="140"/>
      <c r="X189" s="140"/>
      <c r="Y189" s="140"/>
      <c r="Z189" s="140"/>
      <c r="AA189" s="140"/>
      <c r="AB189" s="140"/>
      <c r="AC189" s="140"/>
      <c r="AD189" s="140"/>
    </row>
    <row r="190" spans="1:30" ht="11.25" customHeight="1" x14ac:dyDescent="0.2">
      <c r="A190" s="140"/>
      <c r="B190" s="140"/>
      <c r="C190" s="140"/>
      <c r="D190" s="140"/>
      <c r="E190" s="140"/>
      <c r="F190" s="140"/>
      <c r="G190" s="140"/>
      <c r="H190" s="140"/>
      <c r="I190" s="140"/>
      <c r="J190" s="140"/>
      <c r="K190" s="140"/>
      <c r="L190" s="140"/>
      <c r="M190" s="140"/>
      <c r="N190" s="140"/>
      <c r="O190" s="140"/>
      <c r="P190" s="140"/>
      <c r="Q190" s="140"/>
      <c r="R190" s="140"/>
      <c r="S190" s="140"/>
      <c r="T190" s="140"/>
      <c r="U190" s="140"/>
      <c r="V190" s="140"/>
      <c r="W190" s="140"/>
      <c r="X190" s="140"/>
      <c r="Y190" s="140"/>
      <c r="Z190" s="140"/>
      <c r="AA190" s="140"/>
      <c r="AB190" s="140"/>
      <c r="AC190" s="140"/>
      <c r="AD190" s="140"/>
    </row>
    <row r="191" spans="1:30" ht="11.25" customHeight="1" x14ac:dyDescent="0.2">
      <c r="A191" s="140"/>
      <c r="B191" s="140"/>
      <c r="C191" s="140"/>
      <c r="D191" s="140"/>
      <c r="E191" s="140"/>
      <c r="F191" s="140"/>
      <c r="G191" s="140"/>
      <c r="H191" s="140"/>
      <c r="I191" s="140"/>
      <c r="J191" s="140"/>
      <c r="K191" s="140"/>
      <c r="L191" s="140"/>
      <c r="M191" s="140"/>
      <c r="N191" s="140"/>
      <c r="O191" s="140"/>
      <c r="P191" s="140"/>
      <c r="Q191" s="140"/>
      <c r="R191" s="140"/>
      <c r="S191" s="140"/>
      <c r="T191" s="140"/>
      <c r="U191" s="140"/>
      <c r="V191" s="140"/>
      <c r="W191" s="140"/>
      <c r="X191" s="140"/>
      <c r="Y191" s="140"/>
      <c r="Z191" s="140"/>
      <c r="AA191" s="140"/>
      <c r="AB191" s="140"/>
      <c r="AC191" s="140"/>
      <c r="AD191" s="140"/>
    </row>
    <row r="192" spans="1:30" ht="11.25" customHeight="1" x14ac:dyDescent="0.2">
      <c r="A192" s="140"/>
      <c r="B192" s="140"/>
      <c r="C192" s="140"/>
      <c r="D192" s="140"/>
      <c r="E192" s="140"/>
      <c r="F192" s="140"/>
      <c r="G192" s="140"/>
      <c r="H192" s="140"/>
      <c r="I192" s="140"/>
      <c r="J192" s="140"/>
      <c r="K192" s="140"/>
      <c r="L192" s="140"/>
      <c r="M192" s="140"/>
      <c r="N192" s="140"/>
      <c r="O192" s="140"/>
      <c r="P192" s="140"/>
      <c r="Q192" s="140"/>
      <c r="R192" s="140"/>
      <c r="S192" s="140"/>
      <c r="T192" s="140"/>
      <c r="U192" s="140"/>
      <c r="V192" s="140"/>
      <c r="W192" s="140"/>
      <c r="X192" s="140"/>
      <c r="Y192" s="140"/>
      <c r="Z192" s="140"/>
      <c r="AA192" s="140"/>
      <c r="AB192" s="140"/>
      <c r="AC192" s="140"/>
      <c r="AD192" s="140"/>
    </row>
    <row r="193" spans="1:30" ht="11.25" customHeight="1" x14ac:dyDescent="0.2">
      <c r="A193" s="140"/>
      <c r="B193" s="140"/>
      <c r="C193" s="140"/>
      <c r="D193" s="140"/>
      <c r="E193" s="140"/>
      <c r="F193" s="140"/>
      <c r="G193" s="140"/>
      <c r="H193" s="140"/>
      <c r="I193" s="140"/>
      <c r="J193" s="140"/>
      <c r="K193" s="140"/>
      <c r="L193" s="140"/>
      <c r="M193" s="140"/>
      <c r="N193" s="140"/>
      <c r="O193" s="140"/>
      <c r="P193" s="140"/>
      <c r="Q193" s="140"/>
      <c r="R193" s="140"/>
      <c r="S193" s="140"/>
      <c r="T193" s="140"/>
      <c r="U193" s="140"/>
      <c r="V193" s="140"/>
      <c r="W193" s="140"/>
      <c r="X193" s="140"/>
      <c r="Y193" s="140"/>
      <c r="Z193" s="140"/>
      <c r="AA193" s="140"/>
      <c r="AB193" s="140"/>
      <c r="AC193" s="140"/>
      <c r="AD193" s="140"/>
    </row>
    <row r="194" spans="1:30" ht="11.25" customHeight="1" x14ac:dyDescent="0.2">
      <c r="A194" s="140"/>
      <c r="B194" s="140"/>
      <c r="C194" s="140"/>
      <c r="D194" s="140"/>
      <c r="E194" s="140"/>
      <c r="F194" s="140"/>
      <c r="G194" s="140"/>
      <c r="H194" s="140"/>
      <c r="I194" s="140"/>
      <c r="J194" s="140"/>
      <c r="K194" s="140"/>
      <c r="L194" s="140"/>
      <c r="M194" s="140"/>
      <c r="N194" s="140"/>
      <c r="O194" s="140"/>
      <c r="P194" s="140"/>
      <c r="Q194" s="140"/>
      <c r="R194" s="140"/>
      <c r="S194" s="140"/>
      <c r="T194" s="140"/>
      <c r="U194" s="140"/>
      <c r="V194" s="140"/>
      <c r="W194" s="140"/>
      <c r="X194" s="140"/>
      <c r="Y194" s="140"/>
      <c r="Z194" s="140"/>
      <c r="AA194" s="140"/>
      <c r="AB194" s="140"/>
      <c r="AC194" s="140"/>
      <c r="AD194" s="140"/>
    </row>
    <row r="195" spans="1:30" ht="11.25" customHeight="1" x14ac:dyDescent="0.2">
      <c r="A195" s="140"/>
      <c r="B195" s="140"/>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c r="AA195" s="140"/>
      <c r="AB195" s="140"/>
      <c r="AC195" s="140"/>
      <c r="AD195" s="140"/>
    </row>
    <row r="196" spans="1:30" ht="11.25" customHeight="1" x14ac:dyDescent="0.2">
      <c r="A196" s="140"/>
      <c r="B196" s="140"/>
      <c r="C196" s="140"/>
      <c r="D196" s="140"/>
      <c r="E196" s="140"/>
      <c r="F196" s="140"/>
      <c r="G196" s="140"/>
      <c r="H196" s="140"/>
      <c r="I196" s="140"/>
      <c r="J196" s="140"/>
      <c r="K196" s="140"/>
      <c r="L196" s="140"/>
      <c r="M196" s="140"/>
      <c r="N196" s="140"/>
      <c r="O196" s="140"/>
      <c r="P196" s="140"/>
      <c r="Q196" s="140"/>
      <c r="R196" s="140"/>
      <c r="S196" s="140"/>
      <c r="T196" s="140"/>
      <c r="U196" s="140"/>
      <c r="V196" s="140"/>
      <c r="W196" s="140"/>
      <c r="X196" s="140"/>
      <c r="Y196" s="140"/>
      <c r="Z196" s="140"/>
      <c r="AA196" s="140"/>
      <c r="AB196" s="140"/>
      <c r="AC196" s="140"/>
      <c r="AD196" s="140"/>
    </row>
    <row r="197" spans="1:30" ht="11.25" customHeight="1" x14ac:dyDescent="0.2">
      <c r="A197" s="140"/>
      <c r="B197" s="140"/>
      <c r="C197" s="140"/>
      <c r="D197" s="140"/>
      <c r="E197" s="140"/>
      <c r="F197" s="140"/>
      <c r="G197" s="140"/>
      <c r="H197" s="140"/>
      <c r="I197" s="140"/>
      <c r="J197" s="140"/>
      <c r="K197" s="140"/>
      <c r="L197" s="140"/>
      <c r="M197" s="140"/>
      <c r="N197" s="140"/>
      <c r="O197" s="140"/>
      <c r="P197" s="140"/>
      <c r="Q197" s="140"/>
      <c r="R197" s="140"/>
      <c r="S197" s="140"/>
      <c r="T197" s="140"/>
      <c r="U197" s="140"/>
      <c r="V197" s="140"/>
      <c r="W197" s="140"/>
      <c r="X197" s="140"/>
      <c r="Y197" s="140"/>
      <c r="Z197" s="140"/>
      <c r="AA197" s="140"/>
      <c r="AB197" s="140"/>
      <c r="AC197" s="140"/>
      <c r="AD197" s="140"/>
    </row>
    <row r="198" spans="1:30" ht="11.25" customHeight="1" x14ac:dyDescent="0.2">
      <c r="A198" s="140"/>
      <c r="B198" s="140"/>
      <c r="C198" s="140"/>
      <c r="D198" s="140"/>
      <c r="E198" s="140"/>
      <c r="F198" s="140"/>
      <c r="G198" s="140"/>
      <c r="H198" s="140"/>
      <c r="I198" s="140"/>
      <c r="J198" s="140"/>
      <c r="K198" s="140"/>
      <c r="L198" s="140"/>
      <c r="M198" s="140"/>
      <c r="N198" s="140"/>
      <c r="O198" s="140"/>
      <c r="P198" s="140"/>
      <c r="Q198" s="140"/>
      <c r="R198" s="140"/>
      <c r="S198" s="140"/>
      <c r="T198" s="140"/>
      <c r="U198" s="140"/>
      <c r="V198" s="140"/>
      <c r="W198" s="140"/>
      <c r="X198" s="140"/>
      <c r="Y198" s="140"/>
      <c r="Z198" s="140"/>
      <c r="AA198" s="140"/>
      <c r="AB198" s="140"/>
      <c r="AC198" s="140"/>
      <c r="AD198" s="140"/>
    </row>
    <row r="199" spans="1:30" ht="11.25" customHeight="1" x14ac:dyDescent="0.2">
      <c r="A199" s="140"/>
      <c r="B199" s="140"/>
      <c r="C199" s="140"/>
      <c r="D199" s="140"/>
      <c r="E199" s="140"/>
      <c r="F199" s="140"/>
      <c r="G199" s="140"/>
      <c r="H199" s="140"/>
      <c r="I199" s="140"/>
      <c r="J199" s="140"/>
      <c r="K199" s="140"/>
      <c r="L199" s="140"/>
      <c r="M199" s="140"/>
      <c r="N199" s="140"/>
      <c r="O199" s="140"/>
      <c r="P199" s="140"/>
      <c r="Q199" s="140"/>
      <c r="R199" s="140"/>
      <c r="S199" s="140"/>
      <c r="T199" s="140"/>
      <c r="U199" s="140"/>
      <c r="V199" s="140"/>
      <c r="W199" s="140"/>
      <c r="X199" s="140"/>
      <c r="Y199" s="140"/>
      <c r="Z199" s="140"/>
      <c r="AA199" s="140"/>
      <c r="AB199" s="140"/>
      <c r="AC199" s="140"/>
      <c r="AD199" s="140"/>
    </row>
    <row r="200" spans="1:30" ht="11.25" customHeight="1" x14ac:dyDescent="0.2">
      <c r="A200" s="140"/>
      <c r="B200" s="140"/>
      <c r="C200" s="140"/>
      <c r="D200" s="140"/>
      <c r="E200" s="140"/>
      <c r="F200" s="140"/>
      <c r="G200" s="140"/>
      <c r="H200" s="140"/>
      <c r="I200" s="140"/>
      <c r="J200" s="140"/>
      <c r="K200" s="140"/>
      <c r="L200" s="140"/>
      <c r="M200" s="140"/>
      <c r="N200" s="140"/>
      <c r="O200" s="140"/>
      <c r="P200" s="140"/>
      <c r="Q200" s="140"/>
      <c r="R200" s="140"/>
      <c r="S200" s="140"/>
      <c r="T200" s="140"/>
      <c r="U200" s="140"/>
      <c r="V200" s="140"/>
      <c r="W200" s="140"/>
      <c r="X200" s="140"/>
      <c r="Y200" s="140"/>
      <c r="Z200" s="140"/>
      <c r="AA200" s="140"/>
      <c r="AB200" s="140"/>
      <c r="AC200" s="140"/>
      <c r="AD200" s="140"/>
    </row>
    <row r="201" spans="1:30" ht="11.25" customHeight="1" x14ac:dyDescent="0.2">
      <c r="A201" s="140"/>
      <c r="B201" s="140"/>
      <c r="C201" s="140"/>
      <c r="D201" s="140"/>
      <c r="E201" s="140"/>
      <c r="F201" s="140"/>
      <c r="G201" s="140"/>
      <c r="H201" s="140"/>
      <c r="I201" s="140"/>
      <c r="J201" s="140"/>
      <c r="K201" s="140"/>
      <c r="L201" s="140"/>
      <c r="M201" s="140"/>
      <c r="N201" s="140"/>
      <c r="O201" s="140"/>
      <c r="P201" s="140"/>
      <c r="Q201" s="140"/>
      <c r="R201" s="140"/>
      <c r="S201" s="140"/>
      <c r="T201" s="140"/>
      <c r="U201" s="140"/>
      <c r="V201" s="140"/>
      <c r="W201" s="140"/>
      <c r="X201" s="140"/>
      <c r="Y201" s="140"/>
      <c r="Z201" s="140"/>
      <c r="AA201" s="140"/>
      <c r="AB201" s="140"/>
      <c r="AC201" s="140"/>
      <c r="AD201" s="140"/>
    </row>
    <row r="202" spans="1:30" ht="11.25" customHeight="1" x14ac:dyDescent="0.2">
      <c r="A202" s="140"/>
      <c r="B202" s="140"/>
      <c r="C202" s="140"/>
      <c r="D202" s="140"/>
      <c r="E202" s="140"/>
      <c r="F202" s="140"/>
      <c r="G202" s="140"/>
      <c r="H202" s="140"/>
      <c r="I202" s="140"/>
      <c r="J202" s="140"/>
      <c r="K202" s="140"/>
      <c r="L202" s="140"/>
      <c r="M202" s="140"/>
      <c r="N202" s="140"/>
      <c r="O202" s="140"/>
      <c r="P202" s="140"/>
      <c r="Q202" s="140"/>
      <c r="R202" s="140"/>
      <c r="S202" s="140"/>
      <c r="T202" s="140"/>
      <c r="U202" s="140"/>
      <c r="V202" s="140"/>
      <c r="W202" s="140"/>
      <c r="X202" s="140"/>
      <c r="Y202" s="140"/>
      <c r="Z202" s="140"/>
      <c r="AA202" s="140"/>
      <c r="AB202" s="140"/>
      <c r="AC202" s="140"/>
      <c r="AD202" s="140"/>
    </row>
    <row r="203" spans="1:30" ht="11.25" customHeight="1" x14ac:dyDescent="0.2">
      <c r="A203" s="140"/>
      <c r="B203" s="140"/>
      <c r="C203" s="140"/>
      <c r="D203" s="140"/>
      <c r="E203" s="140"/>
      <c r="F203" s="140"/>
      <c r="G203" s="140"/>
      <c r="H203" s="140"/>
      <c r="I203" s="140"/>
      <c r="J203" s="140"/>
      <c r="K203" s="140"/>
      <c r="L203" s="140"/>
      <c r="M203" s="140"/>
      <c r="N203" s="140"/>
      <c r="O203" s="140"/>
      <c r="P203" s="140"/>
      <c r="Q203" s="140"/>
      <c r="R203" s="140"/>
      <c r="S203" s="140"/>
      <c r="T203" s="140"/>
      <c r="U203" s="140"/>
      <c r="V203" s="140"/>
      <c r="W203" s="140"/>
      <c r="X203" s="140"/>
      <c r="Y203" s="140"/>
      <c r="Z203" s="140"/>
      <c r="AA203" s="140"/>
      <c r="AB203" s="140"/>
      <c r="AC203" s="140"/>
      <c r="AD203" s="140"/>
    </row>
    <row r="204" spans="1:30" ht="11.25" customHeight="1" x14ac:dyDescent="0.2">
      <c r="A204" s="140"/>
      <c r="B204" s="140"/>
      <c r="C204" s="140"/>
      <c r="D204" s="140"/>
      <c r="E204" s="140"/>
      <c r="F204" s="140"/>
      <c r="G204" s="140"/>
      <c r="H204" s="140"/>
      <c r="I204" s="140"/>
      <c r="J204" s="140"/>
      <c r="K204" s="140"/>
      <c r="L204" s="140"/>
      <c r="M204" s="140"/>
      <c r="N204" s="140"/>
      <c r="O204" s="140"/>
      <c r="P204" s="140"/>
      <c r="Q204" s="140"/>
      <c r="R204" s="140"/>
      <c r="S204" s="140"/>
      <c r="T204" s="140"/>
      <c r="U204" s="140"/>
      <c r="V204" s="140"/>
      <c r="W204" s="140"/>
      <c r="X204" s="140"/>
      <c r="Y204" s="140"/>
      <c r="Z204" s="140"/>
      <c r="AA204" s="140"/>
      <c r="AB204" s="140"/>
      <c r="AC204" s="140"/>
      <c r="AD204" s="140"/>
    </row>
    <row r="205" spans="1:30" ht="11.25" customHeight="1" x14ac:dyDescent="0.2">
      <c r="A205" s="140"/>
      <c r="B205" s="140"/>
      <c r="C205" s="140"/>
      <c r="D205" s="140"/>
      <c r="E205" s="140"/>
      <c r="F205" s="140"/>
      <c r="G205" s="140"/>
      <c r="H205" s="140"/>
      <c r="I205" s="140"/>
      <c r="J205" s="140"/>
      <c r="K205" s="140"/>
      <c r="L205" s="140"/>
      <c r="M205" s="140"/>
      <c r="N205" s="140"/>
      <c r="O205" s="140"/>
      <c r="P205" s="140"/>
      <c r="Q205" s="140"/>
      <c r="R205" s="140"/>
      <c r="S205" s="140"/>
      <c r="T205" s="140"/>
      <c r="U205" s="140"/>
      <c r="V205" s="140"/>
      <c r="W205" s="140"/>
      <c r="X205" s="140"/>
      <c r="Y205" s="140"/>
      <c r="Z205" s="140"/>
      <c r="AA205" s="140"/>
      <c r="AB205" s="140"/>
      <c r="AC205" s="140"/>
      <c r="AD205" s="140"/>
    </row>
    <row r="206" spans="1:30" ht="11.25" customHeight="1" x14ac:dyDescent="0.2">
      <c r="A206" s="140"/>
      <c r="B206" s="140"/>
      <c r="C206" s="140"/>
      <c r="D206" s="140"/>
      <c r="E206" s="140"/>
      <c r="F206" s="140"/>
      <c r="G206" s="140"/>
      <c r="H206" s="140"/>
      <c r="I206" s="140"/>
      <c r="J206" s="140"/>
      <c r="K206" s="140"/>
      <c r="L206" s="140"/>
      <c r="M206" s="140"/>
      <c r="N206" s="140"/>
      <c r="O206" s="140"/>
      <c r="P206" s="140"/>
      <c r="Q206" s="140"/>
      <c r="R206" s="140"/>
      <c r="S206" s="140"/>
      <c r="T206" s="140"/>
      <c r="U206" s="140"/>
      <c r="V206" s="140"/>
      <c r="W206" s="140"/>
      <c r="X206" s="140"/>
      <c r="Y206" s="140"/>
      <c r="Z206" s="140"/>
      <c r="AA206" s="140"/>
      <c r="AB206" s="140"/>
      <c r="AC206" s="140"/>
      <c r="AD206" s="140"/>
    </row>
    <row r="207" spans="1:30" ht="11.25" customHeight="1" x14ac:dyDescent="0.2">
      <c r="A207" s="140"/>
      <c r="B207" s="140"/>
      <c r="C207" s="140"/>
      <c r="D207" s="140"/>
      <c r="E207" s="140"/>
      <c r="F207" s="140"/>
      <c r="G207" s="140"/>
      <c r="H207" s="140"/>
      <c r="I207" s="140"/>
      <c r="J207" s="140"/>
      <c r="K207" s="140"/>
      <c r="L207" s="140"/>
      <c r="M207" s="140"/>
      <c r="N207" s="140"/>
      <c r="O207" s="140"/>
      <c r="P207" s="140"/>
      <c r="Q207" s="140"/>
      <c r="R207" s="140"/>
      <c r="S207" s="140"/>
      <c r="T207" s="140"/>
      <c r="U207" s="140"/>
      <c r="V207" s="140"/>
      <c r="W207" s="140"/>
      <c r="X207" s="140"/>
      <c r="Y207" s="140"/>
      <c r="Z207" s="140"/>
      <c r="AA207" s="140"/>
      <c r="AB207" s="140"/>
      <c r="AC207" s="140"/>
      <c r="AD207" s="140"/>
    </row>
    <row r="208" spans="1:30" ht="11.25" customHeight="1" x14ac:dyDescent="0.2">
      <c r="A208" s="140"/>
      <c r="B208" s="140"/>
      <c r="C208" s="140"/>
      <c r="D208" s="140"/>
      <c r="E208" s="140"/>
      <c r="F208" s="140"/>
      <c r="G208" s="140"/>
      <c r="H208" s="140"/>
      <c r="I208" s="140"/>
      <c r="J208" s="140"/>
      <c r="K208" s="140"/>
      <c r="L208" s="140"/>
      <c r="M208" s="140"/>
      <c r="N208" s="140"/>
      <c r="O208" s="140"/>
      <c r="P208" s="140"/>
      <c r="Q208" s="140"/>
      <c r="R208" s="140"/>
      <c r="S208" s="140"/>
      <c r="T208" s="140"/>
      <c r="U208" s="140"/>
      <c r="V208" s="140"/>
      <c r="W208" s="140"/>
      <c r="X208" s="140"/>
      <c r="Y208" s="140"/>
      <c r="Z208" s="140"/>
      <c r="AA208" s="140"/>
      <c r="AB208" s="140"/>
      <c r="AC208" s="140"/>
      <c r="AD208" s="140"/>
    </row>
    <row r="209" spans="1:30" ht="11.25" customHeight="1" x14ac:dyDescent="0.2">
      <c r="A209" s="140"/>
      <c r="B209" s="140"/>
      <c r="C209" s="140"/>
      <c r="D209" s="140"/>
      <c r="E209" s="140"/>
      <c r="F209" s="140"/>
      <c r="G209" s="140"/>
      <c r="H209" s="140"/>
      <c r="I209" s="140"/>
      <c r="J209" s="140"/>
      <c r="K209" s="140"/>
      <c r="L209" s="140"/>
      <c r="M209" s="140"/>
      <c r="N209" s="140"/>
      <c r="O209" s="140"/>
      <c r="P209" s="140"/>
      <c r="Q209" s="140"/>
      <c r="R209" s="140"/>
      <c r="S209" s="140"/>
      <c r="T209" s="140"/>
      <c r="U209" s="140"/>
      <c r="V209" s="140"/>
      <c r="W209" s="140"/>
      <c r="X209" s="140"/>
      <c r="Y209" s="140"/>
      <c r="Z209" s="140"/>
      <c r="AA209" s="140"/>
      <c r="AB209" s="140"/>
      <c r="AC209" s="140"/>
      <c r="AD209" s="140"/>
    </row>
    <row r="210" spans="1:30" ht="11.25" customHeight="1" x14ac:dyDescent="0.2">
      <c r="A210" s="140"/>
      <c r="B210" s="140"/>
      <c r="C210" s="140"/>
      <c r="D210" s="140"/>
      <c r="E210" s="140"/>
      <c r="F210" s="140"/>
      <c r="G210" s="140"/>
      <c r="H210" s="140"/>
      <c r="I210" s="140"/>
      <c r="J210" s="140"/>
      <c r="K210" s="140"/>
      <c r="L210" s="140"/>
      <c r="M210" s="140"/>
      <c r="N210" s="140"/>
      <c r="O210" s="140"/>
      <c r="P210" s="140"/>
      <c r="Q210" s="140"/>
      <c r="R210" s="140"/>
      <c r="S210" s="140"/>
      <c r="T210" s="140"/>
      <c r="U210" s="140"/>
      <c r="V210" s="140"/>
      <c r="W210" s="140"/>
      <c r="X210" s="140"/>
      <c r="Y210" s="140"/>
      <c r="Z210" s="140"/>
      <c r="AA210" s="140"/>
      <c r="AB210" s="140"/>
      <c r="AC210" s="140"/>
      <c r="AD210" s="140"/>
    </row>
    <row r="211" spans="1:30" ht="11.25" customHeight="1" x14ac:dyDescent="0.2">
      <c r="A211" s="140"/>
      <c r="B211" s="140"/>
      <c r="C211" s="140"/>
      <c r="D211" s="140"/>
      <c r="E211" s="140"/>
      <c r="F211" s="140"/>
      <c r="G211" s="140"/>
      <c r="H211" s="140"/>
      <c r="I211" s="140"/>
      <c r="J211" s="140"/>
      <c r="K211" s="140"/>
      <c r="L211" s="140"/>
      <c r="M211" s="140"/>
      <c r="N211" s="140"/>
      <c r="O211" s="140"/>
      <c r="P211" s="140"/>
      <c r="Q211" s="140"/>
      <c r="R211" s="140"/>
      <c r="S211" s="140"/>
      <c r="T211" s="140"/>
      <c r="U211" s="140"/>
      <c r="V211" s="140"/>
      <c r="W211" s="140"/>
      <c r="X211" s="140"/>
      <c r="Y211" s="140"/>
      <c r="Z211" s="140"/>
      <c r="AA211" s="140"/>
      <c r="AB211" s="140"/>
      <c r="AC211" s="140"/>
      <c r="AD211" s="140"/>
    </row>
    <row r="212" spans="1:30" ht="11.25" customHeight="1" x14ac:dyDescent="0.2">
      <c r="A212" s="140"/>
      <c r="B212" s="140"/>
      <c r="C212" s="140"/>
      <c r="D212" s="140"/>
      <c r="E212" s="140"/>
      <c r="F212" s="140"/>
      <c r="G212" s="140"/>
      <c r="H212" s="140"/>
      <c r="I212" s="140"/>
      <c r="J212" s="140"/>
      <c r="K212" s="140"/>
      <c r="L212" s="140"/>
      <c r="M212" s="140"/>
      <c r="N212" s="140"/>
      <c r="O212" s="140"/>
      <c r="P212" s="140"/>
      <c r="Q212" s="140"/>
      <c r="R212" s="140"/>
      <c r="S212" s="140"/>
      <c r="T212" s="140"/>
      <c r="U212" s="140"/>
      <c r="V212" s="140"/>
      <c r="W212" s="140"/>
      <c r="X212" s="140"/>
      <c r="Y212" s="140"/>
      <c r="Z212" s="140"/>
      <c r="AA212" s="140"/>
      <c r="AB212" s="140"/>
      <c r="AC212" s="140"/>
      <c r="AD212" s="140"/>
    </row>
    <row r="213" spans="1:30" ht="11.25" customHeight="1" x14ac:dyDescent="0.2">
      <c r="A213" s="140"/>
      <c r="B213" s="140"/>
      <c r="C213" s="140"/>
      <c r="D213" s="140"/>
      <c r="E213" s="140"/>
      <c r="F213" s="140"/>
      <c r="G213" s="140"/>
      <c r="H213" s="140"/>
      <c r="I213" s="140"/>
      <c r="J213" s="140"/>
      <c r="K213" s="140"/>
      <c r="L213" s="140"/>
      <c r="M213" s="140"/>
      <c r="N213" s="140"/>
      <c r="O213" s="140"/>
      <c r="P213" s="140"/>
      <c r="Q213" s="140"/>
      <c r="R213" s="140"/>
      <c r="S213" s="140"/>
      <c r="T213" s="140"/>
      <c r="U213" s="140"/>
      <c r="V213" s="140"/>
      <c r="W213" s="140"/>
      <c r="X213" s="140"/>
      <c r="Y213" s="140"/>
      <c r="Z213" s="140"/>
      <c r="AA213" s="140"/>
      <c r="AB213" s="140"/>
      <c r="AC213" s="140"/>
      <c r="AD213" s="140"/>
    </row>
    <row r="214" spans="1:30" ht="11.25" customHeight="1" x14ac:dyDescent="0.2">
      <c r="A214" s="140"/>
      <c r="B214" s="140"/>
      <c r="C214" s="140"/>
      <c r="D214" s="140"/>
      <c r="E214" s="140"/>
      <c r="F214" s="140"/>
      <c r="G214" s="140"/>
      <c r="H214" s="140"/>
      <c r="I214" s="140"/>
      <c r="J214" s="140"/>
      <c r="K214" s="140"/>
      <c r="L214" s="140"/>
      <c r="M214" s="140"/>
      <c r="N214" s="140"/>
      <c r="O214" s="140"/>
      <c r="P214" s="140"/>
      <c r="Q214" s="140"/>
      <c r="R214" s="140"/>
      <c r="S214" s="140"/>
      <c r="T214" s="140"/>
      <c r="U214" s="140"/>
      <c r="V214" s="140"/>
      <c r="W214" s="140"/>
      <c r="X214" s="140"/>
      <c r="Y214" s="140"/>
      <c r="Z214" s="140"/>
      <c r="AA214" s="140"/>
      <c r="AB214" s="140"/>
      <c r="AC214" s="140"/>
      <c r="AD214" s="140"/>
    </row>
    <row r="215" spans="1:30" ht="11.25" customHeight="1" x14ac:dyDescent="0.2">
      <c r="A215" s="140"/>
      <c r="B215" s="140"/>
      <c r="C215" s="140"/>
      <c r="D215" s="140"/>
      <c r="E215" s="140"/>
      <c r="F215" s="140"/>
      <c r="G215" s="140"/>
      <c r="H215" s="140"/>
      <c r="I215" s="140"/>
      <c r="J215" s="140"/>
      <c r="K215" s="140"/>
      <c r="L215" s="140"/>
      <c r="M215" s="140"/>
      <c r="N215" s="140"/>
      <c r="O215" s="140"/>
      <c r="P215" s="140"/>
      <c r="Q215" s="140"/>
      <c r="R215" s="140"/>
      <c r="S215" s="140"/>
      <c r="T215" s="140"/>
      <c r="U215" s="140"/>
      <c r="V215" s="140"/>
      <c r="W215" s="140"/>
      <c r="X215" s="140"/>
      <c r="Y215" s="140"/>
      <c r="Z215" s="140"/>
      <c r="AA215" s="140"/>
      <c r="AB215" s="140"/>
      <c r="AC215" s="140"/>
      <c r="AD215" s="140"/>
    </row>
    <row r="216" spans="1:30" ht="11.25" customHeight="1" x14ac:dyDescent="0.2">
      <c r="A216" s="140"/>
      <c r="B216" s="140"/>
      <c r="C216" s="140"/>
      <c r="D216" s="140"/>
      <c r="E216" s="140"/>
      <c r="F216" s="140"/>
      <c r="G216" s="140"/>
      <c r="H216" s="140"/>
      <c r="I216" s="140"/>
      <c r="J216" s="140"/>
      <c r="K216" s="140"/>
      <c r="L216" s="140"/>
      <c r="M216" s="140"/>
      <c r="N216" s="140"/>
      <c r="O216" s="140"/>
      <c r="P216" s="140"/>
      <c r="Q216" s="140"/>
      <c r="R216" s="140"/>
      <c r="S216" s="140"/>
      <c r="T216" s="140"/>
      <c r="U216" s="140"/>
      <c r="V216" s="140"/>
      <c r="W216" s="140"/>
      <c r="X216" s="140"/>
      <c r="Y216" s="140"/>
      <c r="Z216" s="140"/>
      <c r="AA216" s="140"/>
      <c r="AB216" s="140"/>
      <c r="AC216" s="140"/>
      <c r="AD216" s="140"/>
    </row>
    <row r="217" spans="1:30" ht="11.25" customHeight="1" x14ac:dyDescent="0.2">
      <c r="A217" s="140"/>
      <c r="B217" s="140"/>
      <c r="C217" s="140"/>
      <c r="D217" s="140"/>
      <c r="E217" s="140"/>
      <c r="F217" s="140"/>
      <c r="G217" s="140"/>
      <c r="H217" s="140"/>
      <c r="I217" s="140"/>
      <c r="J217" s="140"/>
      <c r="K217" s="140"/>
      <c r="L217" s="140"/>
      <c r="M217" s="140"/>
      <c r="N217" s="140"/>
      <c r="O217" s="140"/>
      <c r="P217" s="140"/>
      <c r="Q217" s="140"/>
      <c r="R217" s="140"/>
      <c r="S217" s="140"/>
      <c r="T217" s="140"/>
      <c r="U217" s="140"/>
      <c r="V217" s="140"/>
      <c r="W217" s="140"/>
      <c r="X217" s="140"/>
      <c r="Y217" s="140"/>
      <c r="Z217" s="140"/>
      <c r="AA217" s="140"/>
      <c r="AB217" s="140"/>
      <c r="AC217" s="140"/>
      <c r="AD217" s="140"/>
    </row>
    <row r="218" spans="1:30" ht="11.25" customHeight="1" x14ac:dyDescent="0.2">
      <c r="A218" s="140"/>
      <c r="B218" s="140"/>
      <c r="C218" s="140"/>
      <c r="D218" s="140"/>
      <c r="E218" s="140"/>
      <c r="F218" s="140"/>
      <c r="G218" s="140"/>
      <c r="H218" s="140"/>
      <c r="I218" s="140"/>
      <c r="J218" s="140"/>
      <c r="K218" s="140"/>
      <c r="L218" s="140"/>
      <c r="M218" s="140"/>
      <c r="N218" s="140"/>
      <c r="O218" s="140"/>
      <c r="P218" s="140"/>
      <c r="Q218" s="140"/>
      <c r="R218" s="140"/>
      <c r="S218" s="140"/>
      <c r="T218" s="140"/>
      <c r="U218" s="140"/>
      <c r="V218" s="140"/>
      <c r="W218" s="140"/>
      <c r="X218" s="140"/>
      <c r="Y218" s="140"/>
      <c r="Z218" s="140"/>
      <c r="AA218" s="140"/>
      <c r="AB218" s="140"/>
      <c r="AC218" s="140"/>
      <c r="AD218" s="140"/>
    </row>
    <row r="219" spans="1:30" ht="11.25" customHeight="1" x14ac:dyDescent="0.2">
      <c r="A219" s="140"/>
      <c r="B219" s="140"/>
      <c r="C219" s="140"/>
      <c r="D219" s="140"/>
      <c r="E219" s="140"/>
      <c r="F219" s="140"/>
      <c r="G219" s="140"/>
      <c r="H219" s="140"/>
      <c r="I219" s="140"/>
      <c r="J219" s="140"/>
      <c r="K219" s="140"/>
      <c r="L219" s="140"/>
      <c r="M219" s="140"/>
      <c r="N219" s="140"/>
      <c r="O219" s="140"/>
      <c r="P219" s="140"/>
      <c r="Q219" s="140"/>
      <c r="R219" s="140"/>
      <c r="S219" s="140"/>
      <c r="T219" s="140"/>
      <c r="U219" s="140"/>
      <c r="V219" s="140"/>
      <c r="W219" s="140"/>
      <c r="X219" s="140"/>
      <c r="Y219" s="140"/>
      <c r="Z219" s="140"/>
      <c r="AA219" s="140"/>
      <c r="AB219" s="140"/>
      <c r="AC219" s="140"/>
      <c r="AD219" s="140"/>
    </row>
    <row r="220" spans="1:30" ht="11.25" customHeight="1" x14ac:dyDescent="0.2">
      <c r="A220" s="140"/>
      <c r="B220" s="140"/>
      <c r="C220" s="140"/>
      <c r="D220" s="140"/>
      <c r="E220" s="140"/>
      <c r="F220" s="140"/>
      <c r="G220" s="140"/>
      <c r="H220" s="140"/>
      <c r="I220" s="140"/>
      <c r="J220" s="140"/>
      <c r="K220" s="140"/>
      <c r="L220" s="140"/>
      <c r="M220" s="140"/>
      <c r="N220" s="140"/>
      <c r="O220" s="140"/>
      <c r="P220" s="140"/>
      <c r="Q220" s="140"/>
      <c r="R220" s="140"/>
      <c r="S220" s="140"/>
      <c r="T220" s="140"/>
      <c r="U220" s="140"/>
      <c r="V220" s="140"/>
      <c r="W220" s="140"/>
      <c r="X220" s="140"/>
      <c r="Y220" s="140"/>
      <c r="Z220" s="140"/>
      <c r="AA220" s="140"/>
      <c r="AB220" s="140"/>
      <c r="AC220" s="140"/>
      <c r="AD220" s="140"/>
    </row>
    <row r="221" spans="1:30" ht="11.25" customHeight="1" x14ac:dyDescent="0.2">
      <c r="A221" s="140"/>
      <c r="B221" s="140"/>
      <c r="C221" s="140"/>
      <c r="D221" s="140"/>
      <c r="E221" s="140"/>
      <c r="F221" s="140"/>
      <c r="G221" s="140"/>
      <c r="H221" s="140"/>
      <c r="I221" s="140"/>
      <c r="J221" s="140"/>
      <c r="K221" s="140"/>
      <c r="L221" s="140"/>
      <c r="M221" s="140"/>
      <c r="N221" s="140"/>
      <c r="O221" s="140"/>
      <c r="P221" s="140"/>
      <c r="Q221" s="140"/>
      <c r="R221" s="140"/>
      <c r="S221" s="140"/>
      <c r="T221" s="140"/>
      <c r="U221" s="140"/>
      <c r="V221" s="140"/>
      <c r="W221" s="140"/>
      <c r="X221" s="140"/>
      <c r="Y221" s="140"/>
      <c r="Z221" s="140"/>
      <c r="AA221" s="140"/>
      <c r="AB221" s="140"/>
      <c r="AC221" s="140"/>
      <c r="AD221" s="140"/>
    </row>
    <row r="222" spans="1:30" ht="11.25" customHeight="1" x14ac:dyDescent="0.2">
      <c r="A222" s="140"/>
      <c r="B222" s="140"/>
      <c r="C222" s="140"/>
      <c r="D222" s="140"/>
      <c r="E222" s="140"/>
      <c r="F222" s="140"/>
      <c r="G222" s="140"/>
      <c r="H222" s="140"/>
      <c r="I222" s="140"/>
      <c r="J222" s="140"/>
      <c r="K222" s="140"/>
      <c r="L222" s="140"/>
      <c r="M222" s="140"/>
      <c r="N222" s="140"/>
      <c r="O222" s="140"/>
      <c r="P222" s="140"/>
      <c r="Q222" s="140"/>
      <c r="R222" s="140"/>
      <c r="S222" s="140"/>
      <c r="T222" s="140"/>
      <c r="U222" s="140"/>
      <c r="V222" s="140"/>
      <c r="W222" s="140"/>
      <c r="X222" s="140"/>
      <c r="Y222" s="140"/>
      <c r="Z222" s="140"/>
      <c r="AA222" s="140"/>
      <c r="AB222" s="140"/>
      <c r="AC222" s="140"/>
      <c r="AD222" s="140"/>
    </row>
    <row r="223" spans="1:30" ht="11.25" customHeight="1" x14ac:dyDescent="0.2">
      <c r="A223" s="140"/>
      <c r="B223" s="140"/>
      <c r="C223" s="140"/>
      <c r="D223" s="140"/>
      <c r="E223" s="140"/>
      <c r="F223" s="140"/>
      <c r="G223" s="140"/>
      <c r="H223" s="140"/>
      <c r="I223" s="140"/>
      <c r="J223" s="140"/>
      <c r="K223" s="140"/>
      <c r="L223" s="140"/>
      <c r="M223" s="140"/>
      <c r="N223" s="140"/>
      <c r="O223" s="140"/>
      <c r="P223" s="140"/>
      <c r="Q223" s="140"/>
      <c r="R223" s="140"/>
      <c r="S223" s="140"/>
      <c r="T223" s="140"/>
      <c r="U223" s="140"/>
      <c r="V223" s="140"/>
      <c r="W223" s="140"/>
      <c r="X223" s="140"/>
      <c r="Y223" s="140"/>
      <c r="Z223" s="140"/>
      <c r="AA223" s="140"/>
      <c r="AB223" s="140"/>
      <c r="AC223" s="140"/>
      <c r="AD223" s="140"/>
    </row>
    <row r="224" spans="1:30" ht="11.25" customHeight="1" x14ac:dyDescent="0.2">
      <c r="A224" s="140"/>
      <c r="B224" s="140"/>
      <c r="C224" s="140"/>
      <c r="D224" s="140"/>
      <c r="E224" s="140"/>
      <c r="F224" s="140"/>
      <c r="G224" s="140"/>
      <c r="H224" s="140"/>
      <c r="I224" s="140"/>
      <c r="J224" s="140"/>
      <c r="K224" s="140"/>
      <c r="L224" s="140"/>
      <c r="M224" s="140"/>
      <c r="N224" s="140"/>
      <c r="O224" s="140"/>
      <c r="P224" s="140"/>
      <c r="Q224" s="140"/>
      <c r="R224" s="140"/>
      <c r="S224" s="140"/>
      <c r="T224" s="140"/>
      <c r="U224" s="140"/>
      <c r="V224" s="140"/>
      <c r="W224" s="140"/>
      <c r="X224" s="140"/>
      <c r="Y224" s="140"/>
      <c r="Z224" s="140"/>
      <c r="AA224" s="140"/>
      <c r="AB224" s="140"/>
      <c r="AC224" s="140"/>
      <c r="AD224" s="140"/>
    </row>
    <row r="225" spans="1:30" ht="11.25" customHeight="1" x14ac:dyDescent="0.2">
      <c r="A225" s="140"/>
      <c r="B225" s="140"/>
      <c r="C225" s="140"/>
      <c r="D225" s="140"/>
      <c r="E225" s="140"/>
      <c r="F225" s="140"/>
      <c r="G225" s="140"/>
      <c r="H225" s="140"/>
      <c r="I225" s="140"/>
      <c r="J225" s="140"/>
      <c r="K225" s="140"/>
      <c r="L225" s="140"/>
      <c r="M225" s="140"/>
      <c r="N225" s="140"/>
      <c r="O225" s="140"/>
      <c r="P225" s="140"/>
      <c r="Q225" s="140"/>
      <c r="R225" s="140"/>
      <c r="S225" s="140"/>
      <c r="T225" s="140"/>
      <c r="U225" s="140"/>
      <c r="V225" s="140"/>
      <c r="W225" s="140"/>
      <c r="X225" s="140"/>
      <c r="Y225" s="140"/>
      <c r="Z225" s="140"/>
      <c r="AA225" s="140"/>
      <c r="AB225" s="140"/>
      <c r="AC225" s="140"/>
      <c r="AD225" s="140"/>
    </row>
    <row r="226" spans="1:30" ht="11.25" customHeight="1" x14ac:dyDescent="0.2">
      <c r="A226" s="140"/>
      <c r="B226" s="140"/>
      <c r="C226" s="140"/>
      <c r="D226" s="140"/>
      <c r="E226" s="140"/>
      <c r="F226" s="140"/>
      <c r="G226" s="140"/>
      <c r="H226" s="140"/>
      <c r="I226" s="140"/>
      <c r="J226" s="140"/>
      <c r="K226" s="140"/>
      <c r="L226" s="140"/>
      <c r="M226" s="140"/>
      <c r="N226" s="140"/>
      <c r="O226" s="140"/>
      <c r="P226" s="140"/>
      <c r="Q226" s="140"/>
      <c r="R226" s="140"/>
      <c r="S226" s="140"/>
      <c r="T226" s="140"/>
      <c r="U226" s="140"/>
      <c r="V226" s="140"/>
      <c r="W226" s="140"/>
      <c r="X226" s="140"/>
      <c r="Y226" s="140"/>
      <c r="Z226" s="140"/>
      <c r="AA226" s="140"/>
      <c r="AB226" s="140"/>
      <c r="AC226" s="140"/>
      <c r="AD226" s="140"/>
    </row>
    <row r="227" spans="1:30" ht="11.25" customHeight="1" x14ac:dyDescent="0.2">
      <c r="A227" s="140"/>
      <c r="B227" s="140"/>
      <c r="C227" s="140"/>
      <c r="D227" s="140"/>
      <c r="E227" s="140"/>
      <c r="F227" s="140"/>
      <c r="G227" s="140"/>
      <c r="H227" s="140"/>
      <c r="I227" s="140"/>
      <c r="J227" s="140"/>
      <c r="K227" s="140"/>
      <c r="L227" s="140"/>
      <c r="M227" s="140"/>
      <c r="N227" s="140"/>
      <c r="O227" s="140"/>
      <c r="P227" s="140"/>
      <c r="Q227" s="140"/>
      <c r="R227" s="140"/>
      <c r="S227" s="140"/>
      <c r="T227" s="140"/>
      <c r="U227" s="140"/>
      <c r="V227" s="140"/>
      <c r="W227" s="140"/>
      <c r="X227" s="140"/>
      <c r="Y227" s="140"/>
      <c r="Z227" s="140"/>
      <c r="AA227" s="140"/>
      <c r="AB227" s="140"/>
      <c r="AC227" s="140"/>
      <c r="AD227" s="140"/>
    </row>
    <row r="228" spans="1:30" ht="11.25" customHeight="1" x14ac:dyDescent="0.2">
      <c r="A228" s="140"/>
      <c r="B228" s="140"/>
      <c r="C228" s="140"/>
      <c r="D228" s="140"/>
      <c r="E228" s="140"/>
      <c r="F228" s="140"/>
      <c r="G228" s="140"/>
      <c r="H228" s="140"/>
      <c r="I228" s="140"/>
      <c r="J228" s="140"/>
      <c r="K228" s="140"/>
      <c r="L228" s="140"/>
      <c r="M228" s="140"/>
      <c r="N228" s="140"/>
      <c r="O228" s="140"/>
      <c r="P228" s="140"/>
      <c r="Q228" s="140"/>
      <c r="R228" s="140"/>
      <c r="S228" s="140"/>
      <c r="T228" s="140"/>
      <c r="U228" s="140"/>
      <c r="V228" s="140"/>
      <c r="W228" s="140"/>
      <c r="X228" s="140"/>
      <c r="Y228" s="140"/>
      <c r="Z228" s="140"/>
      <c r="AA228" s="140"/>
      <c r="AB228" s="140"/>
      <c r="AC228" s="140"/>
      <c r="AD228" s="140"/>
    </row>
    <row r="229" spans="1:30" ht="11.25" customHeight="1" x14ac:dyDescent="0.2">
      <c r="A229" s="140"/>
      <c r="B229" s="140"/>
      <c r="C229" s="140"/>
      <c r="D229" s="140"/>
      <c r="E229" s="140"/>
      <c r="F229" s="140"/>
      <c r="G229" s="140"/>
      <c r="H229" s="140"/>
      <c r="I229" s="140"/>
      <c r="J229" s="140"/>
      <c r="K229" s="140"/>
      <c r="L229" s="140"/>
      <c r="M229" s="140"/>
      <c r="N229" s="140"/>
      <c r="O229" s="140"/>
      <c r="P229" s="140"/>
      <c r="Q229" s="140"/>
      <c r="R229" s="140"/>
      <c r="S229" s="140"/>
      <c r="T229" s="140"/>
      <c r="U229" s="140"/>
      <c r="V229" s="140"/>
      <c r="W229" s="140"/>
      <c r="X229" s="140"/>
      <c r="Y229" s="140"/>
      <c r="Z229" s="140"/>
      <c r="AA229" s="140"/>
      <c r="AB229" s="140"/>
      <c r="AC229" s="140"/>
      <c r="AD229" s="140"/>
    </row>
    <row r="230" spans="1:30" ht="11.25" customHeight="1" x14ac:dyDescent="0.2">
      <c r="A230" s="140"/>
      <c r="B230" s="140"/>
      <c r="C230" s="140"/>
      <c r="D230" s="140"/>
      <c r="E230" s="140"/>
      <c r="F230" s="140"/>
      <c r="G230" s="140"/>
      <c r="H230" s="140"/>
      <c r="I230" s="140"/>
      <c r="J230" s="140"/>
      <c r="K230" s="140"/>
      <c r="L230" s="140"/>
      <c r="M230" s="140"/>
      <c r="N230" s="140"/>
      <c r="O230" s="140"/>
      <c r="P230" s="140"/>
      <c r="Q230" s="140"/>
      <c r="R230" s="140"/>
      <c r="S230" s="140"/>
      <c r="T230" s="140"/>
      <c r="U230" s="140"/>
      <c r="V230" s="140"/>
      <c r="W230" s="140"/>
      <c r="X230" s="140"/>
      <c r="Y230" s="140"/>
      <c r="Z230" s="140"/>
      <c r="AA230" s="140"/>
      <c r="AB230" s="140"/>
      <c r="AC230" s="140"/>
      <c r="AD230" s="140"/>
    </row>
    <row r="231" spans="1:30" ht="11.25" customHeight="1" x14ac:dyDescent="0.2">
      <c r="A231" s="140"/>
      <c r="B231" s="140"/>
      <c r="C231" s="140"/>
      <c r="D231" s="140"/>
      <c r="E231" s="140"/>
      <c r="F231" s="140"/>
      <c r="G231" s="140"/>
      <c r="H231" s="140"/>
      <c r="I231" s="140"/>
      <c r="J231" s="140"/>
      <c r="K231" s="140"/>
      <c r="L231" s="140"/>
      <c r="M231" s="140"/>
      <c r="N231" s="140"/>
      <c r="O231" s="140"/>
      <c r="P231" s="140"/>
      <c r="Q231" s="140"/>
      <c r="R231" s="140"/>
      <c r="S231" s="140"/>
      <c r="T231" s="140"/>
      <c r="U231" s="140"/>
      <c r="V231" s="140"/>
      <c r="W231" s="140"/>
      <c r="X231" s="140"/>
      <c r="Y231" s="140"/>
      <c r="Z231" s="140"/>
      <c r="AA231" s="140"/>
      <c r="AB231" s="140"/>
      <c r="AC231" s="140"/>
      <c r="AD231" s="140"/>
    </row>
    <row r="232" spans="1:30" ht="11.25" customHeight="1" x14ac:dyDescent="0.2">
      <c r="A232" s="140"/>
      <c r="B232" s="140"/>
      <c r="C232" s="140"/>
      <c r="D232" s="140"/>
      <c r="E232" s="140"/>
      <c r="F232" s="140"/>
      <c r="G232" s="140"/>
      <c r="H232" s="140"/>
      <c r="I232" s="140"/>
      <c r="J232" s="140"/>
      <c r="K232" s="140"/>
      <c r="L232" s="140"/>
      <c r="M232" s="140"/>
      <c r="N232" s="140"/>
      <c r="O232" s="140"/>
      <c r="P232" s="140"/>
      <c r="Q232" s="140"/>
      <c r="R232" s="140"/>
      <c r="S232" s="140"/>
      <c r="T232" s="140"/>
      <c r="U232" s="140"/>
      <c r="V232" s="140"/>
      <c r="W232" s="140"/>
      <c r="X232" s="140"/>
      <c r="Y232" s="140"/>
      <c r="Z232" s="140"/>
      <c r="AA232" s="140"/>
      <c r="AB232" s="140"/>
      <c r="AC232" s="140"/>
      <c r="AD232" s="140"/>
    </row>
    <row r="233" spans="1:30" ht="11.25" customHeight="1" x14ac:dyDescent="0.2">
      <c r="A233" s="140"/>
      <c r="B233" s="140"/>
      <c r="C233" s="140"/>
      <c r="D233" s="140"/>
      <c r="E233" s="140"/>
      <c r="F233" s="140"/>
      <c r="G233" s="140"/>
      <c r="H233" s="140"/>
      <c r="I233" s="140"/>
      <c r="J233" s="140"/>
      <c r="K233" s="140"/>
      <c r="L233" s="140"/>
      <c r="M233" s="140"/>
      <c r="N233" s="140"/>
      <c r="O233" s="140"/>
      <c r="P233" s="140"/>
      <c r="Q233" s="140"/>
      <c r="R233" s="140"/>
      <c r="S233" s="140"/>
      <c r="T233" s="140"/>
      <c r="U233" s="140"/>
      <c r="V233" s="140"/>
      <c r="W233" s="140"/>
      <c r="X233" s="140"/>
      <c r="Y233" s="140"/>
      <c r="Z233" s="140"/>
      <c r="AA233" s="140"/>
      <c r="AB233" s="140"/>
      <c r="AC233" s="140"/>
      <c r="AD233" s="140"/>
    </row>
    <row r="234" spans="1:30" ht="11.25" customHeight="1" x14ac:dyDescent="0.2">
      <c r="A234" s="140"/>
      <c r="B234" s="140"/>
      <c r="C234" s="140"/>
      <c r="D234" s="140"/>
      <c r="E234" s="140"/>
      <c r="F234" s="140"/>
      <c r="G234" s="140"/>
      <c r="H234" s="140"/>
      <c r="I234" s="140"/>
      <c r="J234" s="140"/>
      <c r="K234" s="140"/>
      <c r="L234" s="140"/>
      <c r="M234" s="140"/>
      <c r="N234" s="140"/>
      <c r="O234" s="140"/>
      <c r="P234" s="140"/>
      <c r="Q234" s="140"/>
      <c r="R234" s="140"/>
      <c r="S234" s="140"/>
      <c r="T234" s="140"/>
      <c r="U234" s="140"/>
      <c r="V234" s="140"/>
      <c r="W234" s="140"/>
      <c r="X234" s="140"/>
      <c r="Y234" s="140"/>
      <c r="Z234" s="140"/>
      <c r="AA234" s="140"/>
      <c r="AB234" s="140"/>
      <c r="AC234" s="140"/>
      <c r="AD234" s="140"/>
    </row>
    <row r="235" spans="1:30" ht="11.25" customHeight="1" x14ac:dyDescent="0.2">
      <c r="A235" s="140"/>
      <c r="B235" s="140"/>
      <c r="C235" s="140"/>
      <c r="D235" s="140"/>
      <c r="E235" s="140"/>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row>
    <row r="236" spans="1:30" ht="11.25" customHeight="1" x14ac:dyDescent="0.2">
      <c r="A236" s="140"/>
      <c r="B236" s="140"/>
      <c r="C236" s="140"/>
      <c r="D236" s="140"/>
      <c r="E236" s="140"/>
      <c r="F236" s="140"/>
      <c r="G236" s="140"/>
      <c r="H236" s="140"/>
      <c r="I236" s="140"/>
      <c r="J236" s="140"/>
      <c r="K236" s="140"/>
      <c r="L236" s="140"/>
      <c r="M236" s="140"/>
      <c r="N236" s="140"/>
      <c r="O236" s="140"/>
      <c r="P236" s="140"/>
      <c r="Q236" s="140"/>
      <c r="R236" s="140"/>
      <c r="S236" s="140"/>
      <c r="T236" s="140"/>
      <c r="U236" s="140"/>
      <c r="V236" s="140"/>
      <c r="W236" s="140"/>
      <c r="X236" s="140"/>
      <c r="Y236" s="140"/>
      <c r="Z236" s="140"/>
      <c r="AA236" s="140"/>
      <c r="AB236" s="140"/>
      <c r="AC236" s="140"/>
      <c r="AD236" s="140"/>
    </row>
    <row r="237" spans="1:30" ht="11.25" customHeight="1" x14ac:dyDescent="0.2">
      <c r="A237" s="140"/>
      <c r="B237" s="140"/>
      <c r="C237" s="140"/>
      <c r="D237" s="140"/>
      <c r="E237" s="140"/>
      <c r="F237" s="140"/>
      <c r="G237" s="140"/>
      <c r="H237" s="140"/>
      <c r="I237" s="140"/>
      <c r="J237" s="140"/>
      <c r="K237" s="140"/>
      <c r="L237" s="140"/>
      <c r="M237" s="140"/>
      <c r="N237" s="140"/>
      <c r="O237" s="140"/>
      <c r="P237" s="140"/>
      <c r="Q237" s="140"/>
      <c r="R237" s="140"/>
      <c r="S237" s="140"/>
      <c r="T237" s="140"/>
      <c r="U237" s="140"/>
      <c r="V237" s="140"/>
      <c r="W237" s="140"/>
      <c r="X237" s="140"/>
      <c r="Y237" s="140"/>
      <c r="Z237" s="140"/>
      <c r="AA237" s="140"/>
      <c r="AB237" s="140"/>
      <c r="AC237" s="140"/>
      <c r="AD237" s="140"/>
    </row>
    <row r="238" spans="1:30" ht="11.25" customHeight="1" x14ac:dyDescent="0.2">
      <c r="A238" s="140"/>
      <c r="B238" s="140"/>
      <c r="C238" s="140"/>
      <c r="D238" s="140"/>
      <c r="E238" s="140"/>
      <c r="F238" s="140"/>
      <c r="G238" s="140"/>
      <c r="H238" s="140"/>
      <c r="I238" s="140"/>
      <c r="J238" s="140"/>
      <c r="K238" s="140"/>
      <c r="L238" s="140"/>
      <c r="M238" s="140"/>
      <c r="N238" s="140"/>
      <c r="O238" s="140"/>
      <c r="P238" s="140"/>
      <c r="Q238" s="140"/>
      <c r="R238" s="140"/>
      <c r="S238" s="140"/>
      <c r="T238" s="140"/>
      <c r="U238" s="140"/>
      <c r="V238" s="140"/>
      <c r="W238" s="140"/>
      <c r="X238" s="140"/>
      <c r="Y238" s="140"/>
      <c r="Z238" s="140"/>
      <c r="AA238" s="140"/>
      <c r="AB238" s="140"/>
      <c r="AC238" s="140"/>
      <c r="AD238" s="140"/>
    </row>
    <row r="239" spans="1:30" ht="11.25" customHeight="1" x14ac:dyDescent="0.2">
      <c r="A239" s="140"/>
      <c r="B239" s="140"/>
      <c r="C239" s="140"/>
      <c r="D239" s="140"/>
      <c r="E239" s="140"/>
      <c r="F239" s="140"/>
      <c r="G239" s="140"/>
      <c r="H239" s="140"/>
      <c r="I239" s="140"/>
      <c r="J239" s="140"/>
      <c r="K239" s="140"/>
      <c r="L239" s="140"/>
      <c r="M239" s="140"/>
      <c r="N239" s="140"/>
      <c r="O239" s="140"/>
      <c r="P239" s="140"/>
      <c r="Q239" s="140"/>
      <c r="R239" s="140"/>
      <c r="S239" s="140"/>
      <c r="T239" s="140"/>
      <c r="U239" s="140"/>
      <c r="V239" s="140"/>
      <c r="W239" s="140"/>
      <c r="X239" s="140"/>
      <c r="Y239" s="140"/>
      <c r="Z239" s="140"/>
      <c r="AA239" s="140"/>
      <c r="AB239" s="140"/>
      <c r="AC239" s="140"/>
      <c r="AD239" s="140"/>
    </row>
    <row r="240" spans="1:30" ht="11.25" customHeight="1" x14ac:dyDescent="0.2">
      <c r="A240" s="140"/>
      <c r="B240" s="140"/>
      <c r="C240" s="140"/>
      <c r="D240" s="140"/>
      <c r="E240" s="140"/>
      <c r="F240" s="140"/>
      <c r="G240" s="140"/>
      <c r="H240" s="140"/>
      <c r="I240" s="140"/>
      <c r="J240" s="140"/>
      <c r="K240" s="140"/>
      <c r="L240" s="140"/>
      <c r="M240" s="140"/>
      <c r="N240" s="140"/>
      <c r="O240" s="140"/>
      <c r="P240" s="140"/>
      <c r="Q240" s="140"/>
      <c r="R240" s="140"/>
      <c r="S240" s="140"/>
      <c r="T240" s="140"/>
      <c r="U240" s="140"/>
      <c r="V240" s="140"/>
      <c r="W240" s="140"/>
      <c r="X240" s="140"/>
      <c r="Y240" s="140"/>
      <c r="Z240" s="140"/>
      <c r="AA240" s="140"/>
      <c r="AB240" s="140"/>
      <c r="AC240" s="140"/>
      <c r="AD240" s="140"/>
    </row>
    <row r="241" spans="1:30" ht="11.25" customHeight="1" x14ac:dyDescent="0.2">
      <c r="A241" s="140"/>
      <c r="B241" s="140"/>
      <c r="C241" s="140"/>
      <c r="D241" s="140"/>
      <c r="E241" s="140"/>
      <c r="F241" s="140"/>
      <c r="G241" s="140"/>
      <c r="H241" s="140"/>
      <c r="I241" s="140"/>
      <c r="J241" s="140"/>
      <c r="K241" s="140"/>
      <c r="L241" s="140"/>
      <c r="M241" s="140"/>
      <c r="N241" s="140"/>
      <c r="O241" s="140"/>
      <c r="P241" s="140"/>
      <c r="Q241" s="140"/>
      <c r="R241" s="140"/>
      <c r="S241" s="140"/>
      <c r="T241" s="140"/>
      <c r="U241" s="140"/>
      <c r="V241" s="140"/>
      <c r="W241" s="140"/>
      <c r="X241" s="140"/>
      <c r="Y241" s="140"/>
      <c r="Z241" s="140"/>
      <c r="AA241" s="140"/>
      <c r="AB241" s="140"/>
      <c r="AC241" s="140"/>
      <c r="AD241" s="140"/>
    </row>
    <row r="242" spans="1:30" ht="11.25" customHeight="1" x14ac:dyDescent="0.2">
      <c r="A242" s="140"/>
      <c r="B242" s="140"/>
      <c r="C242" s="140"/>
      <c r="D242" s="140"/>
      <c r="E242" s="140"/>
      <c r="F242" s="140"/>
      <c r="G242" s="140"/>
      <c r="H242" s="140"/>
      <c r="I242" s="140"/>
      <c r="J242" s="140"/>
      <c r="K242" s="140"/>
      <c r="L242" s="140"/>
      <c r="M242" s="140"/>
      <c r="N242" s="140"/>
      <c r="O242" s="140"/>
      <c r="P242" s="140"/>
      <c r="Q242" s="140"/>
      <c r="R242" s="140"/>
      <c r="S242" s="140"/>
      <c r="T242" s="140"/>
      <c r="U242" s="140"/>
      <c r="V242" s="140"/>
      <c r="W242" s="140"/>
      <c r="X242" s="140"/>
      <c r="Y242" s="140"/>
      <c r="Z242" s="140"/>
      <c r="AA242" s="140"/>
      <c r="AB242" s="140"/>
      <c r="AC242" s="140"/>
      <c r="AD242" s="140"/>
    </row>
    <row r="243" spans="1:30" ht="11.25" customHeight="1" x14ac:dyDescent="0.2">
      <c r="A243" s="140"/>
      <c r="B243" s="140"/>
      <c r="C243" s="140"/>
      <c r="D243" s="140"/>
      <c r="E243" s="140"/>
      <c r="F243" s="140"/>
      <c r="G243" s="140"/>
      <c r="H243" s="140"/>
      <c r="I243" s="140"/>
      <c r="J243" s="140"/>
      <c r="K243" s="140"/>
      <c r="L243" s="140"/>
      <c r="M243" s="140"/>
      <c r="N243" s="140"/>
      <c r="O243" s="140"/>
      <c r="P243" s="140"/>
      <c r="Q243" s="140"/>
      <c r="R243" s="140"/>
      <c r="S243" s="140"/>
      <c r="T243" s="140"/>
      <c r="U243" s="140"/>
      <c r="V243" s="140"/>
      <c r="W243" s="140"/>
      <c r="X243" s="140"/>
      <c r="Y243" s="140"/>
      <c r="Z243" s="140"/>
      <c r="AA243" s="140"/>
      <c r="AB243" s="140"/>
      <c r="AC243" s="140"/>
      <c r="AD243" s="140"/>
    </row>
    <row r="244" spans="1:30" ht="11.25" customHeight="1" x14ac:dyDescent="0.2">
      <c r="A244" s="140"/>
      <c r="B244" s="140"/>
      <c r="C244" s="140"/>
      <c r="D244" s="140"/>
      <c r="E244" s="140"/>
      <c r="F244" s="140"/>
      <c r="G244" s="140"/>
      <c r="H244" s="140"/>
      <c r="I244" s="140"/>
      <c r="J244" s="140"/>
      <c r="K244" s="140"/>
      <c r="L244" s="140"/>
      <c r="M244" s="140"/>
      <c r="N244" s="140"/>
      <c r="O244" s="140"/>
      <c r="P244" s="140"/>
      <c r="Q244" s="140"/>
      <c r="R244" s="140"/>
      <c r="S244" s="140"/>
      <c r="T244" s="140"/>
      <c r="U244" s="140"/>
      <c r="V244" s="140"/>
      <c r="W244" s="140"/>
      <c r="X244" s="140"/>
      <c r="Y244" s="140"/>
      <c r="Z244" s="140"/>
      <c r="AA244" s="140"/>
      <c r="AB244" s="140"/>
      <c r="AC244" s="140"/>
      <c r="AD244" s="140"/>
    </row>
    <row r="245" spans="1:30" ht="11.25" customHeight="1" x14ac:dyDescent="0.2">
      <c r="A245" s="140"/>
      <c r="B245" s="140"/>
      <c r="C245" s="140"/>
      <c r="D245" s="140"/>
      <c r="E245" s="140"/>
      <c r="F245" s="140"/>
      <c r="G245" s="140"/>
      <c r="H245" s="140"/>
      <c r="I245" s="140"/>
      <c r="J245" s="140"/>
      <c r="K245" s="140"/>
      <c r="L245" s="140"/>
      <c r="M245" s="140"/>
      <c r="N245" s="140"/>
      <c r="O245" s="140"/>
      <c r="P245" s="140"/>
      <c r="Q245" s="140"/>
      <c r="R245" s="140"/>
      <c r="S245" s="140"/>
      <c r="T245" s="140"/>
      <c r="U245" s="140"/>
      <c r="V245" s="140"/>
      <c r="W245" s="140"/>
      <c r="X245" s="140"/>
      <c r="Y245" s="140"/>
      <c r="Z245" s="140"/>
      <c r="AA245" s="140"/>
      <c r="AB245" s="140"/>
      <c r="AC245" s="140"/>
      <c r="AD245" s="140"/>
    </row>
    <row r="246" spans="1:30" ht="11.25" customHeight="1" x14ac:dyDescent="0.2">
      <c r="A246" s="140"/>
      <c r="B246" s="140"/>
      <c r="C246" s="140"/>
      <c r="D246" s="140"/>
      <c r="E246" s="140"/>
      <c r="F246" s="140"/>
      <c r="G246" s="140"/>
      <c r="H246" s="140"/>
      <c r="I246" s="140"/>
      <c r="J246" s="140"/>
      <c r="K246" s="140"/>
      <c r="L246" s="140"/>
      <c r="M246" s="140"/>
      <c r="N246" s="140"/>
      <c r="O246" s="140"/>
      <c r="P246" s="140"/>
      <c r="Q246" s="140"/>
      <c r="R246" s="140"/>
      <c r="S246" s="140"/>
      <c r="T246" s="140"/>
      <c r="U246" s="140"/>
      <c r="V246" s="140"/>
      <c r="W246" s="140"/>
      <c r="X246" s="140"/>
      <c r="Y246" s="140"/>
      <c r="Z246" s="140"/>
      <c r="AA246" s="140"/>
      <c r="AB246" s="140"/>
      <c r="AC246" s="140"/>
      <c r="AD246" s="140"/>
    </row>
    <row r="247" spans="1:30" ht="11.25" customHeight="1" x14ac:dyDescent="0.2">
      <c r="A247" s="140"/>
      <c r="B247" s="140"/>
      <c r="C247" s="140"/>
      <c r="D247" s="140"/>
      <c r="E247" s="140"/>
      <c r="F247" s="140"/>
      <c r="G247" s="140"/>
      <c r="H247" s="140"/>
      <c r="I247" s="140"/>
      <c r="J247" s="140"/>
      <c r="K247" s="140"/>
      <c r="L247" s="140"/>
      <c r="M247" s="140"/>
      <c r="N247" s="140"/>
      <c r="O247" s="140"/>
      <c r="P247" s="140"/>
      <c r="Q247" s="140"/>
      <c r="R247" s="140"/>
      <c r="S247" s="140"/>
      <c r="T247" s="140"/>
      <c r="U247" s="140"/>
      <c r="V247" s="140"/>
      <c r="W247" s="140"/>
      <c r="X247" s="140"/>
      <c r="Y247" s="140"/>
      <c r="Z247" s="140"/>
      <c r="AA247" s="140"/>
      <c r="AB247" s="140"/>
      <c r="AC247" s="140"/>
      <c r="AD247" s="140"/>
    </row>
    <row r="248" spans="1:30" ht="11.25" customHeight="1" x14ac:dyDescent="0.2">
      <c r="A248" s="140"/>
      <c r="B248" s="140"/>
      <c r="C248" s="140"/>
      <c r="D248" s="140"/>
      <c r="E248" s="140"/>
      <c r="F248" s="140"/>
      <c r="G248" s="140"/>
      <c r="H248" s="140"/>
      <c r="I248" s="140"/>
      <c r="J248" s="140"/>
      <c r="K248" s="140"/>
      <c r="L248" s="140"/>
      <c r="M248" s="140"/>
      <c r="N248" s="140"/>
      <c r="O248" s="140"/>
      <c r="P248" s="140"/>
      <c r="Q248" s="140"/>
      <c r="R248" s="140"/>
      <c r="S248" s="140"/>
      <c r="T248" s="140"/>
      <c r="U248" s="140"/>
      <c r="V248" s="140"/>
      <c r="W248" s="140"/>
      <c r="X248" s="140"/>
      <c r="Y248" s="140"/>
      <c r="Z248" s="140"/>
      <c r="AA248" s="140"/>
      <c r="AB248" s="140"/>
      <c r="AC248" s="140"/>
      <c r="AD248" s="140"/>
    </row>
    <row r="249" spans="1:30" ht="11.25" customHeight="1" x14ac:dyDescent="0.2">
      <c r="A249" s="140"/>
      <c r="B249" s="140"/>
      <c r="C249" s="140"/>
      <c r="D249" s="140"/>
      <c r="E249" s="140"/>
      <c r="F249" s="140"/>
      <c r="G249" s="140"/>
      <c r="H249" s="140"/>
      <c r="I249" s="140"/>
      <c r="J249" s="140"/>
      <c r="K249" s="140"/>
      <c r="L249" s="140"/>
      <c r="M249" s="140"/>
      <c r="N249" s="140"/>
      <c r="O249" s="140"/>
      <c r="P249" s="140"/>
      <c r="Q249" s="140"/>
      <c r="R249" s="140"/>
      <c r="S249" s="140"/>
      <c r="T249" s="140"/>
      <c r="U249" s="140"/>
      <c r="V249" s="140"/>
      <c r="W249" s="140"/>
      <c r="X249" s="140"/>
      <c r="Y249" s="140"/>
      <c r="Z249" s="140"/>
      <c r="AA249" s="140"/>
      <c r="AB249" s="140"/>
      <c r="AC249" s="140"/>
      <c r="AD249" s="140"/>
    </row>
    <row r="250" spans="1:30" ht="11.25" customHeight="1" x14ac:dyDescent="0.2">
      <c r="A250" s="140"/>
      <c r="B250" s="140"/>
      <c r="C250" s="140"/>
      <c r="D250" s="140"/>
      <c r="E250" s="140"/>
      <c r="F250" s="140"/>
      <c r="G250" s="140"/>
      <c r="H250" s="140"/>
      <c r="I250" s="140"/>
      <c r="J250" s="140"/>
      <c r="K250" s="140"/>
      <c r="L250" s="140"/>
      <c r="M250" s="140"/>
      <c r="N250" s="140"/>
      <c r="O250" s="140"/>
      <c r="P250" s="140"/>
      <c r="Q250" s="140"/>
      <c r="R250" s="140"/>
      <c r="S250" s="140"/>
      <c r="T250" s="140"/>
      <c r="U250" s="140"/>
      <c r="V250" s="140"/>
      <c r="W250" s="140"/>
      <c r="X250" s="140"/>
      <c r="Y250" s="140"/>
      <c r="Z250" s="140"/>
      <c r="AA250" s="140"/>
      <c r="AB250" s="140"/>
      <c r="AC250" s="140"/>
      <c r="AD250" s="140"/>
    </row>
    <row r="251" spans="1:30" ht="11.25" customHeight="1" x14ac:dyDescent="0.2">
      <c r="A251" s="140"/>
      <c r="B251" s="140"/>
      <c r="C251" s="140"/>
      <c r="D251" s="140"/>
      <c r="E251" s="140"/>
      <c r="F251" s="140"/>
      <c r="G251" s="140"/>
      <c r="H251" s="140"/>
      <c r="I251" s="140"/>
      <c r="J251" s="140"/>
      <c r="K251" s="140"/>
      <c r="L251" s="140"/>
      <c r="M251" s="140"/>
      <c r="N251" s="140"/>
      <c r="O251" s="140"/>
      <c r="P251" s="140"/>
      <c r="Q251" s="140"/>
      <c r="R251" s="140"/>
      <c r="S251" s="140"/>
      <c r="T251" s="140"/>
      <c r="U251" s="140"/>
      <c r="V251" s="140"/>
      <c r="W251" s="140"/>
      <c r="X251" s="140"/>
      <c r="Y251" s="140"/>
      <c r="Z251" s="140"/>
      <c r="AA251" s="140"/>
      <c r="AB251" s="140"/>
      <c r="AC251" s="140"/>
      <c r="AD251" s="140"/>
    </row>
    <row r="252" spans="1:30" ht="11.25" customHeight="1" x14ac:dyDescent="0.2">
      <c r="A252" s="140"/>
      <c r="B252" s="140"/>
      <c r="C252" s="140"/>
      <c r="D252" s="140"/>
      <c r="E252" s="140"/>
      <c r="F252" s="140"/>
      <c r="G252" s="140"/>
      <c r="H252" s="140"/>
      <c r="I252" s="140"/>
      <c r="J252" s="140"/>
      <c r="K252" s="140"/>
      <c r="L252" s="140"/>
      <c r="M252" s="140"/>
      <c r="N252" s="140"/>
      <c r="O252" s="140"/>
      <c r="P252" s="140"/>
      <c r="Q252" s="140"/>
      <c r="R252" s="140"/>
      <c r="S252" s="140"/>
      <c r="T252" s="140"/>
      <c r="U252" s="140"/>
      <c r="V252" s="140"/>
      <c r="W252" s="140"/>
      <c r="X252" s="140"/>
      <c r="Y252" s="140"/>
      <c r="Z252" s="140"/>
      <c r="AA252" s="140"/>
      <c r="AB252" s="140"/>
      <c r="AC252" s="140"/>
      <c r="AD252" s="140"/>
    </row>
    <row r="253" spans="1:30" ht="11.25" customHeight="1" x14ac:dyDescent="0.2">
      <c r="A253" s="140"/>
      <c r="B253" s="140"/>
      <c r="C253" s="140"/>
      <c r="D253" s="140"/>
      <c r="E253" s="140"/>
      <c r="F253" s="140"/>
      <c r="G253" s="140"/>
      <c r="H253" s="140"/>
      <c r="I253" s="140"/>
      <c r="J253" s="140"/>
      <c r="K253" s="140"/>
      <c r="L253" s="140"/>
      <c r="M253" s="140"/>
      <c r="N253" s="140"/>
      <c r="O253" s="140"/>
      <c r="P253" s="140"/>
      <c r="Q253" s="140"/>
      <c r="R253" s="140"/>
      <c r="S253" s="140"/>
      <c r="T253" s="140"/>
      <c r="U253" s="140"/>
      <c r="V253" s="140"/>
      <c r="W253" s="140"/>
      <c r="X253" s="140"/>
      <c r="Y253" s="140"/>
      <c r="Z253" s="140"/>
      <c r="AA253" s="140"/>
      <c r="AB253" s="140"/>
      <c r="AC253" s="140"/>
      <c r="AD253" s="140"/>
    </row>
    <row r="254" spans="1:30" ht="11.25" customHeight="1" x14ac:dyDescent="0.2">
      <c r="A254" s="140"/>
      <c r="B254" s="140"/>
      <c r="C254" s="140"/>
      <c r="D254" s="140"/>
      <c r="E254" s="140"/>
      <c r="F254" s="140"/>
      <c r="G254" s="140"/>
      <c r="H254" s="140"/>
      <c r="I254" s="140"/>
      <c r="J254" s="140"/>
      <c r="K254" s="140"/>
      <c r="L254" s="140"/>
      <c r="M254" s="140"/>
      <c r="N254" s="140"/>
      <c r="O254" s="140"/>
      <c r="P254" s="140"/>
      <c r="Q254" s="140"/>
      <c r="R254" s="140"/>
      <c r="S254" s="140"/>
      <c r="T254" s="140"/>
      <c r="U254" s="140"/>
      <c r="V254" s="140"/>
      <c r="W254" s="140"/>
      <c r="X254" s="140"/>
      <c r="Y254" s="140"/>
      <c r="Z254" s="140"/>
      <c r="AA254" s="140"/>
      <c r="AB254" s="140"/>
      <c r="AC254" s="140"/>
      <c r="AD254" s="140"/>
    </row>
    <row r="255" spans="1:30" ht="11.25" customHeight="1" x14ac:dyDescent="0.2">
      <c r="A255" s="140"/>
      <c r="B255" s="140"/>
      <c r="C255" s="140"/>
      <c r="D255" s="140"/>
      <c r="E255" s="140"/>
      <c r="F255" s="140"/>
      <c r="G255" s="140"/>
      <c r="H255" s="140"/>
      <c r="I255" s="140"/>
      <c r="J255" s="140"/>
      <c r="K255" s="140"/>
      <c r="L255" s="140"/>
      <c r="M255" s="140"/>
      <c r="N255" s="140"/>
      <c r="O255" s="140"/>
      <c r="P255" s="140"/>
      <c r="Q255" s="140"/>
      <c r="R255" s="140"/>
      <c r="S255" s="140"/>
      <c r="T255" s="140"/>
      <c r="U255" s="140"/>
      <c r="V255" s="140"/>
      <c r="W255" s="140"/>
      <c r="X255" s="140"/>
      <c r="Y255" s="140"/>
      <c r="Z255" s="140"/>
      <c r="AA255" s="140"/>
      <c r="AB255" s="140"/>
      <c r="AC255" s="140"/>
      <c r="AD255" s="140"/>
    </row>
    <row r="256" spans="1:30" ht="15.75" customHeight="1" x14ac:dyDescent="0.2">
      <c r="A256" s="140"/>
      <c r="B256" s="140"/>
      <c r="C256" s="140"/>
      <c r="D256" s="140"/>
      <c r="E256" s="140"/>
      <c r="F256" s="140"/>
      <c r="G256" s="140"/>
      <c r="H256" s="140"/>
      <c r="I256" s="140"/>
      <c r="J256" s="140"/>
      <c r="K256" s="140"/>
      <c r="L256" s="140"/>
      <c r="M256" s="140"/>
      <c r="N256" s="140"/>
      <c r="O256" s="140"/>
      <c r="P256" s="140"/>
      <c r="Q256" s="140"/>
      <c r="R256" s="140"/>
      <c r="S256" s="140"/>
      <c r="T256" s="140"/>
      <c r="U256" s="140"/>
      <c r="V256" s="140"/>
      <c r="W256" s="140"/>
      <c r="X256" s="140"/>
      <c r="Y256" s="140"/>
      <c r="Z256" s="140"/>
      <c r="AA256" s="140"/>
      <c r="AB256" s="140"/>
      <c r="AC256" s="140"/>
      <c r="AD256" s="140"/>
    </row>
    <row r="257" spans="1:30" ht="15.75" customHeight="1" x14ac:dyDescent="0.2">
      <c r="A257" s="140"/>
      <c r="B257" s="140"/>
      <c r="C257" s="140"/>
      <c r="D257" s="140"/>
      <c r="E257" s="140"/>
      <c r="F257" s="140"/>
      <c r="G257" s="140"/>
      <c r="H257" s="140"/>
      <c r="I257" s="140"/>
      <c r="J257" s="140"/>
      <c r="K257" s="140"/>
      <c r="L257" s="140"/>
      <c r="M257" s="140"/>
      <c r="N257" s="140"/>
      <c r="O257" s="140"/>
      <c r="P257" s="140"/>
      <c r="Q257" s="140"/>
      <c r="R257" s="140"/>
      <c r="S257" s="140"/>
      <c r="T257" s="140"/>
      <c r="U257" s="140"/>
      <c r="V257" s="140"/>
      <c r="W257" s="140"/>
      <c r="X257" s="140"/>
      <c r="Y257" s="140"/>
      <c r="Z257" s="140"/>
      <c r="AA257" s="140"/>
      <c r="AB257" s="140"/>
      <c r="AC257" s="140"/>
      <c r="AD257" s="140"/>
    </row>
    <row r="258" spans="1:30" ht="15.75" customHeight="1" x14ac:dyDescent="0.2">
      <c r="A258" s="140"/>
      <c r="B258" s="140"/>
      <c r="C258" s="140"/>
      <c r="D258" s="140"/>
      <c r="E258" s="140"/>
      <c r="F258" s="140"/>
      <c r="G258" s="140"/>
      <c r="H258" s="140"/>
      <c r="I258" s="140"/>
      <c r="J258" s="140"/>
      <c r="K258" s="140"/>
      <c r="L258" s="140"/>
      <c r="M258" s="140"/>
      <c r="N258" s="140"/>
      <c r="O258" s="140"/>
      <c r="P258" s="140"/>
      <c r="Q258" s="140"/>
      <c r="R258" s="140"/>
      <c r="S258" s="140"/>
      <c r="T258" s="140"/>
      <c r="U258" s="140"/>
      <c r="V258" s="140"/>
      <c r="W258" s="140"/>
      <c r="X258" s="140"/>
      <c r="Y258" s="140"/>
      <c r="Z258" s="140"/>
      <c r="AA258" s="140"/>
      <c r="AB258" s="140"/>
      <c r="AC258" s="140"/>
      <c r="AD258" s="140"/>
    </row>
    <row r="259" spans="1:30" ht="15.75" customHeight="1" x14ac:dyDescent="0.2">
      <c r="A259" s="140"/>
      <c r="B259" s="140"/>
      <c r="C259" s="140"/>
      <c r="D259" s="140"/>
      <c r="E259" s="140"/>
      <c r="F259" s="140"/>
      <c r="G259" s="140"/>
      <c r="H259" s="140"/>
      <c r="I259" s="140"/>
      <c r="J259" s="140"/>
      <c r="K259" s="140"/>
      <c r="L259" s="140"/>
      <c r="M259" s="140"/>
      <c r="N259" s="140"/>
      <c r="O259" s="140"/>
      <c r="P259" s="140"/>
      <c r="Q259" s="140"/>
      <c r="R259" s="140"/>
      <c r="S259" s="140"/>
      <c r="T259" s="140"/>
      <c r="U259" s="140"/>
      <c r="V259" s="140"/>
      <c r="W259" s="140"/>
      <c r="X259" s="140"/>
      <c r="Y259" s="140"/>
      <c r="Z259" s="140"/>
      <c r="AA259" s="140"/>
      <c r="AB259" s="140"/>
      <c r="AC259" s="140"/>
      <c r="AD259" s="140"/>
    </row>
    <row r="260" spans="1:30" ht="15.75" customHeight="1" x14ac:dyDescent="0.2">
      <c r="A260" s="140"/>
      <c r="B260" s="140"/>
      <c r="C260" s="140"/>
      <c r="D260" s="140"/>
      <c r="E260" s="140"/>
      <c r="F260" s="140"/>
      <c r="G260" s="140"/>
      <c r="H260" s="140"/>
      <c r="I260" s="140"/>
      <c r="J260" s="140"/>
      <c r="K260" s="140"/>
      <c r="L260" s="140"/>
      <c r="M260" s="140"/>
      <c r="N260" s="140"/>
      <c r="O260" s="140"/>
      <c r="P260" s="140"/>
      <c r="Q260" s="140"/>
      <c r="R260" s="140"/>
      <c r="S260" s="140"/>
      <c r="T260" s="140"/>
      <c r="U260" s="140"/>
      <c r="V260" s="140"/>
      <c r="W260" s="140"/>
      <c r="X260" s="140"/>
      <c r="Y260" s="140"/>
      <c r="Z260" s="140"/>
      <c r="AA260" s="140"/>
      <c r="AB260" s="140"/>
      <c r="AC260" s="140"/>
      <c r="AD260" s="140"/>
    </row>
    <row r="261" spans="1:30" ht="15.75" customHeight="1" x14ac:dyDescent="0.2">
      <c r="A261" s="140"/>
      <c r="B261" s="140"/>
      <c r="C261" s="140"/>
      <c r="D261" s="140"/>
      <c r="E261" s="140"/>
      <c r="F261" s="140"/>
      <c r="G261" s="140"/>
      <c r="H261" s="140"/>
      <c r="I261" s="140"/>
      <c r="J261" s="140"/>
      <c r="K261" s="140"/>
      <c r="L261" s="140"/>
      <c r="M261" s="140"/>
      <c r="N261" s="140"/>
      <c r="O261" s="140"/>
      <c r="P261" s="140"/>
      <c r="Q261" s="140"/>
      <c r="R261" s="140"/>
      <c r="S261" s="140"/>
      <c r="T261" s="140"/>
      <c r="U261" s="140"/>
      <c r="V261" s="140"/>
      <c r="W261" s="140"/>
      <c r="X261" s="140"/>
      <c r="Y261" s="140"/>
      <c r="Z261" s="140"/>
      <c r="AA261" s="140"/>
      <c r="AB261" s="140"/>
      <c r="AC261" s="140"/>
      <c r="AD261" s="140"/>
    </row>
    <row r="262" spans="1:30" ht="15.75" customHeight="1" x14ac:dyDescent="0.2">
      <c r="A262" s="140"/>
      <c r="B262" s="140"/>
      <c r="C262" s="140"/>
      <c r="D262" s="140"/>
      <c r="E262" s="140"/>
      <c r="F262" s="140"/>
      <c r="G262" s="140"/>
      <c r="H262" s="140"/>
      <c r="I262" s="140"/>
      <c r="J262" s="140"/>
      <c r="K262" s="140"/>
      <c r="L262" s="140"/>
      <c r="M262" s="140"/>
      <c r="N262" s="140"/>
      <c r="O262" s="140"/>
      <c r="P262" s="140"/>
      <c r="Q262" s="140"/>
      <c r="R262" s="140"/>
      <c r="S262" s="140"/>
      <c r="T262" s="140"/>
      <c r="U262" s="140"/>
      <c r="V262" s="140"/>
      <c r="W262" s="140"/>
      <c r="X262" s="140"/>
      <c r="Y262" s="140"/>
      <c r="Z262" s="140"/>
      <c r="AA262" s="140"/>
      <c r="AB262" s="140"/>
      <c r="AC262" s="140"/>
      <c r="AD262" s="140"/>
    </row>
    <row r="263" spans="1:30" ht="15.75" customHeight="1" x14ac:dyDescent="0.2">
      <c r="A263" s="140"/>
      <c r="B263" s="140"/>
      <c r="C263" s="140"/>
      <c r="D263" s="140"/>
      <c r="E263" s="140"/>
      <c r="F263" s="140"/>
      <c r="G263" s="140"/>
      <c r="H263" s="140"/>
      <c r="I263" s="140"/>
      <c r="J263" s="140"/>
      <c r="K263" s="140"/>
      <c r="L263" s="140"/>
      <c r="M263" s="140"/>
      <c r="N263" s="140"/>
      <c r="O263" s="140"/>
      <c r="P263" s="140"/>
      <c r="Q263" s="140"/>
      <c r="R263" s="140"/>
      <c r="S263" s="140"/>
      <c r="T263" s="140"/>
      <c r="U263" s="140"/>
      <c r="V263" s="140"/>
      <c r="W263" s="140"/>
      <c r="X263" s="140"/>
      <c r="Y263" s="140"/>
      <c r="Z263" s="140"/>
      <c r="AA263" s="140"/>
      <c r="AB263" s="140"/>
      <c r="AC263" s="140"/>
      <c r="AD263" s="140"/>
    </row>
    <row r="264" spans="1:30" ht="15.75" customHeight="1" x14ac:dyDescent="0.2">
      <c r="A264" s="140"/>
      <c r="B264" s="140"/>
      <c r="C264" s="140"/>
      <c r="D264" s="140"/>
      <c r="E264" s="140"/>
      <c r="F264" s="140"/>
      <c r="G264" s="140"/>
      <c r="H264" s="140"/>
      <c r="I264" s="140"/>
      <c r="J264" s="140"/>
      <c r="K264" s="140"/>
      <c r="L264" s="140"/>
      <c r="M264" s="140"/>
      <c r="N264" s="140"/>
      <c r="O264" s="140"/>
      <c r="P264" s="140"/>
      <c r="Q264" s="140"/>
      <c r="R264" s="140"/>
      <c r="S264" s="140"/>
      <c r="T264" s="140"/>
      <c r="U264" s="140"/>
      <c r="V264" s="140"/>
      <c r="W264" s="140"/>
      <c r="X264" s="140"/>
      <c r="Y264" s="140"/>
      <c r="Z264" s="140"/>
      <c r="AA264" s="140"/>
      <c r="AB264" s="140"/>
      <c r="AC264" s="140"/>
      <c r="AD264" s="140"/>
    </row>
    <row r="265" spans="1:30" ht="15.75" customHeight="1" x14ac:dyDescent="0.2">
      <c r="A265" s="140"/>
      <c r="B265" s="140"/>
      <c r="C265" s="140"/>
      <c r="D265" s="140"/>
      <c r="E265" s="140"/>
      <c r="F265" s="140"/>
      <c r="G265" s="140"/>
      <c r="H265" s="140"/>
      <c r="I265" s="140"/>
      <c r="J265" s="140"/>
      <c r="K265" s="140"/>
      <c r="L265" s="140"/>
      <c r="M265" s="140"/>
      <c r="N265" s="140"/>
      <c r="O265" s="140"/>
      <c r="P265" s="140"/>
      <c r="Q265" s="140"/>
      <c r="R265" s="140"/>
      <c r="S265" s="140"/>
      <c r="T265" s="140"/>
      <c r="U265" s="140"/>
      <c r="V265" s="140"/>
      <c r="W265" s="140"/>
      <c r="X265" s="140"/>
      <c r="Y265" s="140"/>
      <c r="Z265" s="140"/>
      <c r="AA265" s="140"/>
      <c r="AB265" s="140"/>
      <c r="AC265" s="140"/>
      <c r="AD265" s="140"/>
    </row>
    <row r="266" spans="1:30" ht="15.75" customHeight="1" x14ac:dyDescent="0.2">
      <c r="A266" s="140"/>
      <c r="B266" s="140"/>
      <c r="C266" s="140"/>
      <c r="D266" s="140"/>
      <c r="E266" s="140"/>
      <c r="F266" s="140"/>
      <c r="G266" s="140"/>
      <c r="H266" s="140"/>
      <c r="I266" s="140"/>
      <c r="J266" s="140"/>
      <c r="K266" s="140"/>
      <c r="L266" s="140"/>
      <c r="M266" s="140"/>
      <c r="N266" s="140"/>
      <c r="O266" s="140"/>
      <c r="P266" s="140"/>
      <c r="Q266" s="140"/>
      <c r="R266" s="140"/>
      <c r="S266" s="140"/>
      <c r="T266" s="140"/>
      <c r="U266" s="140"/>
      <c r="V266" s="140"/>
      <c r="W266" s="140"/>
      <c r="X266" s="140"/>
      <c r="Y266" s="140"/>
      <c r="Z266" s="140"/>
      <c r="AA266" s="140"/>
      <c r="AB266" s="140"/>
      <c r="AC266" s="140"/>
      <c r="AD266" s="140"/>
    </row>
    <row r="267" spans="1:30" ht="15.75" customHeight="1" x14ac:dyDescent="0.2">
      <c r="A267" s="140"/>
      <c r="B267" s="140"/>
      <c r="C267" s="140"/>
      <c r="D267" s="140"/>
      <c r="E267" s="140"/>
      <c r="F267" s="140"/>
      <c r="G267" s="140"/>
      <c r="H267" s="140"/>
      <c r="I267" s="140"/>
      <c r="J267" s="140"/>
      <c r="K267" s="140"/>
      <c r="L267" s="140"/>
      <c r="M267" s="140"/>
      <c r="N267" s="140"/>
      <c r="O267" s="140"/>
      <c r="P267" s="140"/>
      <c r="Q267" s="140"/>
      <c r="R267" s="140"/>
      <c r="S267" s="140"/>
      <c r="T267" s="140"/>
      <c r="U267" s="140"/>
      <c r="V267" s="140"/>
      <c r="W267" s="140"/>
      <c r="X267" s="140"/>
      <c r="Y267" s="140"/>
      <c r="Z267" s="140"/>
      <c r="AA267" s="140"/>
      <c r="AB267" s="140"/>
      <c r="AC267" s="140"/>
      <c r="AD267" s="140"/>
    </row>
    <row r="268" spans="1:30" ht="15.75" customHeight="1" x14ac:dyDescent="0.2">
      <c r="A268" s="140"/>
      <c r="B268" s="140"/>
      <c r="C268" s="140"/>
      <c r="D268" s="140"/>
      <c r="E268" s="140"/>
      <c r="F268" s="140"/>
      <c r="G268" s="140"/>
      <c r="H268" s="140"/>
      <c r="I268" s="140"/>
      <c r="J268" s="140"/>
      <c r="K268" s="140"/>
      <c r="L268" s="140"/>
      <c r="M268" s="140"/>
      <c r="N268" s="140"/>
      <c r="O268" s="140"/>
      <c r="P268" s="140"/>
      <c r="Q268" s="140"/>
      <c r="R268" s="140"/>
      <c r="S268" s="140"/>
      <c r="T268" s="140"/>
      <c r="U268" s="140"/>
      <c r="V268" s="140"/>
      <c r="W268" s="140"/>
      <c r="X268" s="140"/>
      <c r="Y268" s="140"/>
      <c r="Z268" s="140"/>
      <c r="AA268" s="140"/>
      <c r="AB268" s="140"/>
      <c r="AC268" s="140"/>
      <c r="AD268" s="140"/>
    </row>
    <row r="269" spans="1:30" ht="15.75" customHeight="1" x14ac:dyDescent="0.2">
      <c r="A269" s="140"/>
      <c r="B269" s="140"/>
      <c r="C269" s="140"/>
      <c r="D269" s="140"/>
      <c r="E269" s="140"/>
      <c r="F269" s="140"/>
      <c r="G269" s="140"/>
      <c r="H269" s="140"/>
      <c r="I269" s="140"/>
      <c r="J269" s="140"/>
      <c r="K269" s="140"/>
      <c r="L269" s="140"/>
      <c r="M269" s="140"/>
      <c r="N269" s="140"/>
      <c r="O269" s="140"/>
      <c r="P269" s="140"/>
      <c r="Q269" s="140"/>
      <c r="R269" s="140"/>
      <c r="S269" s="140"/>
      <c r="T269" s="140"/>
      <c r="U269" s="140"/>
      <c r="V269" s="140"/>
      <c r="W269" s="140"/>
      <c r="X269" s="140"/>
      <c r="Y269" s="140"/>
      <c r="Z269" s="140"/>
      <c r="AA269" s="140"/>
      <c r="AB269" s="140"/>
      <c r="AC269" s="140"/>
      <c r="AD269" s="140"/>
    </row>
    <row r="270" spans="1:30" ht="15.75" customHeight="1" x14ac:dyDescent="0.2">
      <c r="A270" s="140"/>
      <c r="B270" s="140"/>
      <c r="C270" s="140"/>
      <c r="D270" s="140"/>
      <c r="E270" s="140"/>
      <c r="F270" s="140"/>
      <c r="G270" s="140"/>
      <c r="H270" s="140"/>
      <c r="I270" s="140"/>
      <c r="J270" s="140"/>
      <c r="K270" s="140"/>
      <c r="L270" s="140"/>
      <c r="M270" s="140"/>
      <c r="N270" s="140"/>
      <c r="O270" s="140"/>
      <c r="P270" s="140"/>
      <c r="Q270" s="140"/>
      <c r="R270" s="140"/>
      <c r="S270" s="140"/>
      <c r="T270" s="140"/>
      <c r="U270" s="140"/>
      <c r="V270" s="140"/>
      <c r="W270" s="140"/>
      <c r="X270" s="140"/>
      <c r="Y270" s="140"/>
      <c r="Z270" s="140"/>
      <c r="AA270" s="140"/>
      <c r="AB270" s="140"/>
      <c r="AC270" s="140"/>
      <c r="AD270" s="140"/>
    </row>
    <row r="271" spans="1:30" ht="15.75" customHeight="1" x14ac:dyDescent="0.2">
      <c r="A271" s="140"/>
      <c r="B271" s="140"/>
      <c r="C271" s="140"/>
      <c r="D271" s="140"/>
      <c r="E271" s="140"/>
      <c r="F271" s="140"/>
      <c r="G271" s="140"/>
      <c r="H271" s="140"/>
      <c r="I271" s="140"/>
      <c r="J271" s="140"/>
      <c r="K271" s="140"/>
      <c r="L271" s="140"/>
      <c r="M271" s="140"/>
      <c r="N271" s="140"/>
      <c r="O271" s="140"/>
      <c r="P271" s="140"/>
      <c r="Q271" s="140"/>
      <c r="R271" s="140"/>
      <c r="S271" s="140"/>
      <c r="T271" s="140"/>
      <c r="U271" s="140"/>
      <c r="V271" s="140"/>
      <c r="W271" s="140"/>
      <c r="X271" s="140"/>
      <c r="Y271" s="140"/>
      <c r="Z271" s="140"/>
      <c r="AA271" s="140"/>
      <c r="AB271" s="140"/>
      <c r="AC271" s="140"/>
      <c r="AD271" s="140"/>
    </row>
    <row r="272" spans="1:30" ht="15.75" customHeight="1" x14ac:dyDescent="0.2">
      <c r="A272" s="140"/>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c r="AA272" s="140"/>
      <c r="AB272" s="140"/>
      <c r="AC272" s="140"/>
      <c r="AD272" s="140"/>
    </row>
    <row r="273" spans="1:30" ht="15.75" customHeight="1" x14ac:dyDescent="0.2">
      <c r="A273" s="140"/>
      <c r="B273" s="140"/>
      <c r="C273" s="140"/>
      <c r="D273" s="140"/>
      <c r="E273" s="140"/>
      <c r="F273" s="140"/>
      <c r="G273" s="140"/>
      <c r="H273" s="140"/>
      <c r="I273" s="140"/>
      <c r="J273" s="140"/>
      <c r="K273" s="140"/>
      <c r="L273" s="140"/>
      <c r="M273" s="140"/>
      <c r="N273" s="140"/>
      <c r="O273" s="140"/>
      <c r="P273" s="140"/>
      <c r="Q273" s="140"/>
      <c r="R273" s="140"/>
      <c r="S273" s="140"/>
      <c r="T273" s="140"/>
      <c r="U273" s="140"/>
      <c r="V273" s="140"/>
      <c r="W273" s="140"/>
      <c r="X273" s="140"/>
      <c r="Y273" s="140"/>
      <c r="Z273" s="140"/>
      <c r="AA273" s="140"/>
      <c r="AB273" s="140"/>
      <c r="AC273" s="140"/>
      <c r="AD273" s="140"/>
    </row>
    <row r="274" spans="1:30" ht="15.75" customHeight="1" x14ac:dyDescent="0.2">
      <c r="A274" s="140"/>
      <c r="B274" s="140"/>
      <c r="C274" s="140"/>
      <c r="D274" s="140"/>
      <c r="E274" s="140"/>
      <c r="F274" s="140"/>
      <c r="G274" s="140"/>
      <c r="H274" s="140"/>
      <c r="I274" s="140"/>
      <c r="J274" s="140"/>
      <c r="K274" s="140"/>
      <c r="L274" s="140"/>
      <c r="M274" s="140"/>
      <c r="N274" s="140"/>
      <c r="O274" s="140"/>
      <c r="P274" s="140"/>
      <c r="Q274" s="140"/>
      <c r="R274" s="140"/>
      <c r="S274" s="140"/>
      <c r="T274" s="140"/>
      <c r="U274" s="140"/>
      <c r="V274" s="140"/>
      <c r="W274" s="140"/>
      <c r="X274" s="140"/>
      <c r="Y274" s="140"/>
      <c r="Z274" s="140"/>
      <c r="AA274" s="140"/>
      <c r="AB274" s="140"/>
      <c r="AC274" s="140"/>
      <c r="AD274" s="140"/>
    </row>
    <row r="275" spans="1:30" ht="15.75" customHeight="1" x14ac:dyDescent="0.2">
      <c r="A275" s="140"/>
      <c r="B275" s="140"/>
      <c r="C275" s="140"/>
      <c r="D275" s="140"/>
      <c r="E275" s="140"/>
      <c r="F275" s="140"/>
      <c r="G275" s="140"/>
      <c r="H275" s="140"/>
      <c r="I275" s="140"/>
      <c r="J275" s="140"/>
      <c r="K275" s="140"/>
      <c r="L275" s="140"/>
      <c r="M275" s="140"/>
      <c r="N275" s="140"/>
      <c r="O275" s="140"/>
      <c r="P275" s="140"/>
      <c r="Q275" s="140"/>
      <c r="R275" s="140"/>
      <c r="S275" s="140"/>
      <c r="T275" s="140"/>
      <c r="U275" s="140"/>
      <c r="V275" s="140"/>
      <c r="W275" s="140"/>
      <c r="X275" s="140"/>
      <c r="Y275" s="140"/>
      <c r="Z275" s="140"/>
      <c r="AA275" s="140"/>
      <c r="AB275" s="140"/>
      <c r="AC275" s="140"/>
      <c r="AD275" s="140"/>
    </row>
    <row r="276" spans="1:30" ht="15.75" customHeight="1" x14ac:dyDescent="0.2">
      <c r="A276" s="140"/>
      <c r="B276" s="140"/>
      <c r="C276" s="140"/>
      <c r="D276" s="140"/>
      <c r="E276" s="140"/>
      <c r="F276" s="140"/>
      <c r="G276" s="140"/>
      <c r="H276" s="140"/>
      <c r="I276" s="140"/>
      <c r="J276" s="140"/>
      <c r="K276" s="140"/>
      <c r="L276" s="140"/>
      <c r="M276" s="140"/>
      <c r="N276" s="140"/>
      <c r="O276" s="140"/>
      <c r="P276" s="140"/>
      <c r="Q276" s="140"/>
      <c r="R276" s="140"/>
      <c r="S276" s="140"/>
      <c r="T276" s="140"/>
      <c r="U276" s="140"/>
      <c r="V276" s="140"/>
      <c r="W276" s="140"/>
      <c r="X276" s="140"/>
      <c r="Y276" s="140"/>
      <c r="Z276" s="140"/>
      <c r="AA276" s="140"/>
      <c r="AB276" s="140"/>
      <c r="AC276" s="140"/>
      <c r="AD276" s="140"/>
    </row>
    <row r="277" spans="1:30" ht="15.75" customHeight="1" x14ac:dyDescent="0.2">
      <c r="A277" s="140"/>
      <c r="B277" s="140"/>
      <c r="C277" s="140"/>
      <c r="D277" s="140"/>
      <c r="E277" s="140"/>
      <c r="F277" s="140"/>
      <c r="G277" s="140"/>
      <c r="H277" s="140"/>
      <c r="I277" s="140"/>
      <c r="J277" s="140"/>
      <c r="K277" s="140"/>
      <c r="L277" s="140"/>
      <c r="M277" s="140"/>
      <c r="N277" s="140"/>
      <c r="O277" s="140"/>
      <c r="P277" s="140"/>
      <c r="Q277" s="140"/>
      <c r="R277" s="140"/>
      <c r="S277" s="140"/>
      <c r="T277" s="140"/>
      <c r="U277" s="140"/>
      <c r="V277" s="140"/>
      <c r="W277" s="140"/>
      <c r="X277" s="140"/>
      <c r="Y277" s="140"/>
      <c r="Z277" s="140"/>
      <c r="AA277" s="140"/>
      <c r="AB277" s="140"/>
      <c r="AC277" s="140"/>
      <c r="AD277" s="140"/>
    </row>
    <row r="278" spans="1:30" ht="15.75" customHeight="1" x14ac:dyDescent="0.2">
      <c r="A278" s="140"/>
      <c r="B278" s="140"/>
      <c r="C278" s="140"/>
      <c r="D278" s="140"/>
      <c r="E278" s="140"/>
      <c r="F278" s="140"/>
      <c r="G278" s="140"/>
      <c r="H278" s="140"/>
      <c r="I278" s="140"/>
      <c r="J278" s="140"/>
      <c r="K278" s="140"/>
      <c r="L278" s="140"/>
      <c r="M278" s="140"/>
      <c r="N278" s="140"/>
      <c r="O278" s="140"/>
      <c r="P278" s="140"/>
      <c r="Q278" s="140"/>
      <c r="R278" s="140"/>
      <c r="S278" s="140"/>
      <c r="T278" s="140"/>
      <c r="U278" s="140"/>
      <c r="V278" s="140"/>
      <c r="W278" s="140"/>
      <c r="X278" s="140"/>
      <c r="Y278" s="140"/>
      <c r="Z278" s="140"/>
      <c r="AA278" s="140"/>
      <c r="AB278" s="140"/>
      <c r="AC278" s="140"/>
      <c r="AD278" s="140"/>
    </row>
    <row r="279" spans="1:30" ht="15.75" customHeight="1" x14ac:dyDescent="0.2">
      <c r="A279" s="140"/>
      <c r="B279" s="140"/>
      <c r="C279" s="140"/>
      <c r="D279" s="140"/>
      <c r="E279" s="140"/>
      <c r="F279" s="140"/>
      <c r="G279" s="140"/>
      <c r="H279" s="140"/>
      <c r="I279" s="140"/>
      <c r="J279" s="140"/>
      <c r="K279" s="140"/>
      <c r="L279" s="140"/>
      <c r="M279" s="140"/>
      <c r="N279" s="140"/>
      <c r="O279" s="140"/>
      <c r="P279" s="140"/>
      <c r="Q279" s="140"/>
      <c r="R279" s="140"/>
      <c r="S279" s="140"/>
      <c r="T279" s="140"/>
      <c r="U279" s="140"/>
      <c r="V279" s="140"/>
      <c r="W279" s="140"/>
      <c r="X279" s="140"/>
      <c r="Y279" s="140"/>
      <c r="Z279" s="140"/>
      <c r="AA279" s="140"/>
      <c r="AB279" s="140"/>
      <c r="AC279" s="140"/>
      <c r="AD279" s="140"/>
    </row>
    <row r="280" spans="1:30" ht="15.75" customHeight="1" x14ac:dyDescent="0.2">
      <c r="A280" s="140"/>
      <c r="B280" s="140"/>
      <c r="C280" s="140"/>
      <c r="D280" s="140"/>
      <c r="E280" s="140"/>
      <c r="F280" s="140"/>
      <c r="G280" s="140"/>
      <c r="H280" s="140"/>
      <c r="I280" s="140"/>
      <c r="J280" s="140"/>
      <c r="K280" s="140"/>
      <c r="L280" s="140"/>
      <c r="M280" s="140"/>
      <c r="N280" s="140"/>
      <c r="O280" s="140"/>
      <c r="P280" s="140"/>
      <c r="Q280" s="140"/>
      <c r="R280" s="140"/>
      <c r="S280" s="140"/>
      <c r="T280" s="140"/>
      <c r="U280" s="140"/>
      <c r="V280" s="140"/>
      <c r="W280" s="140"/>
      <c r="X280" s="140"/>
      <c r="Y280" s="140"/>
      <c r="Z280" s="140"/>
      <c r="AA280" s="140"/>
      <c r="AB280" s="140"/>
      <c r="AC280" s="140"/>
      <c r="AD280" s="140"/>
    </row>
    <row r="281" spans="1:30" ht="15.75" customHeight="1" x14ac:dyDescent="0.2">
      <c r="A281" s="140"/>
      <c r="B281" s="140"/>
      <c r="C281" s="140"/>
      <c r="D281" s="140"/>
      <c r="E281" s="140"/>
      <c r="F281" s="140"/>
      <c r="G281" s="140"/>
      <c r="H281" s="140"/>
      <c r="I281" s="140"/>
      <c r="J281" s="140"/>
      <c r="K281" s="140"/>
      <c r="L281" s="140"/>
      <c r="M281" s="140"/>
      <c r="N281" s="140"/>
      <c r="O281" s="140"/>
      <c r="P281" s="140"/>
      <c r="Q281" s="140"/>
      <c r="R281" s="140"/>
      <c r="S281" s="140"/>
      <c r="T281" s="140"/>
      <c r="U281" s="140"/>
      <c r="V281" s="140"/>
      <c r="W281" s="140"/>
      <c r="X281" s="140"/>
      <c r="Y281" s="140"/>
      <c r="Z281" s="140"/>
      <c r="AA281" s="140"/>
      <c r="AB281" s="140"/>
      <c r="AC281" s="140"/>
      <c r="AD281" s="140"/>
    </row>
    <row r="282" spans="1:30" ht="15.75" customHeight="1" x14ac:dyDescent="0.2">
      <c r="A282" s="140"/>
      <c r="B282" s="140"/>
      <c r="C282" s="140"/>
      <c r="D282" s="140"/>
      <c r="E282" s="140"/>
      <c r="F282" s="140"/>
      <c r="G282" s="140"/>
      <c r="H282" s="140"/>
      <c r="I282" s="140"/>
      <c r="J282" s="140"/>
      <c r="K282" s="140"/>
      <c r="L282" s="140"/>
      <c r="M282" s="140"/>
      <c r="N282" s="140"/>
      <c r="O282" s="140"/>
      <c r="P282" s="140"/>
      <c r="Q282" s="140"/>
      <c r="R282" s="140"/>
      <c r="S282" s="140"/>
      <c r="T282" s="140"/>
      <c r="U282" s="140"/>
      <c r="V282" s="140"/>
      <c r="W282" s="140"/>
      <c r="X282" s="140"/>
      <c r="Y282" s="140"/>
      <c r="Z282" s="140"/>
      <c r="AA282" s="140"/>
      <c r="AB282" s="140"/>
      <c r="AC282" s="140"/>
      <c r="AD282" s="140"/>
    </row>
    <row r="283" spans="1:30" ht="15.75" customHeight="1" x14ac:dyDescent="0.2">
      <c r="A283" s="140"/>
      <c r="B283" s="140"/>
      <c r="C283" s="140"/>
      <c r="D283" s="140"/>
      <c r="E283" s="140"/>
      <c r="F283" s="140"/>
      <c r="G283" s="140"/>
      <c r="H283" s="140"/>
      <c r="I283" s="140"/>
      <c r="J283" s="140"/>
      <c r="K283" s="140"/>
      <c r="L283" s="140"/>
      <c r="M283" s="140"/>
      <c r="N283" s="140"/>
      <c r="O283" s="140"/>
      <c r="P283" s="140"/>
      <c r="Q283" s="140"/>
      <c r="R283" s="140"/>
      <c r="S283" s="140"/>
      <c r="T283" s="140"/>
      <c r="U283" s="140"/>
      <c r="V283" s="140"/>
      <c r="W283" s="140"/>
      <c r="X283" s="140"/>
      <c r="Y283" s="140"/>
      <c r="Z283" s="140"/>
      <c r="AA283" s="140"/>
      <c r="AB283" s="140"/>
      <c r="AC283" s="140"/>
      <c r="AD283" s="140"/>
    </row>
    <row r="284" spans="1:30" ht="15.75" customHeight="1" x14ac:dyDescent="0.2">
      <c r="A284" s="140"/>
      <c r="B284" s="140"/>
      <c r="C284" s="140"/>
      <c r="D284" s="140"/>
      <c r="E284" s="140"/>
      <c r="F284" s="140"/>
      <c r="G284" s="140"/>
      <c r="H284" s="140"/>
      <c r="I284" s="140"/>
      <c r="J284" s="140"/>
      <c r="K284" s="140"/>
      <c r="L284" s="140"/>
      <c r="M284" s="140"/>
      <c r="N284" s="140"/>
      <c r="O284" s="140"/>
      <c r="P284" s="140"/>
      <c r="Q284" s="140"/>
      <c r="R284" s="140"/>
      <c r="S284" s="140"/>
      <c r="T284" s="140"/>
      <c r="U284" s="140"/>
      <c r="V284" s="140"/>
      <c r="W284" s="140"/>
      <c r="X284" s="140"/>
      <c r="Y284" s="140"/>
      <c r="Z284" s="140"/>
      <c r="AA284" s="140"/>
      <c r="AB284" s="140"/>
      <c r="AC284" s="140"/>
      <c r="AD284" s="140"/>
    </row>
    <row r="285" spans="1:30" ht="15.75" customHeight="1" x14ac:dyDescent="0.2">
      <c r="A285" s="140"/>
      <c r="B285" s="140"/>
      <c r="C285" s="140"/>
      <c r="D285" s="140"/>
      <c r="E285" s="140"/>
      <c r="F285" s="140"/>
      <c r="G285" s="140"/>
      <c r="H285" s="140"/>
      <c r="I285" s="140"/>
      <c r="J285" s="140"/>
      <c r="K285" s="140"/>
      <c r="L285" s="140"/>
      <c r="M285" s="140"/>
      <c r="N285" s="140"/>
      <c r="O285" s="140"/>
      <c r="P285" s="140"/>
      <c r="Q285" s="140"/>
      <c r="R285" s="140"/>
      <c r="S285" s="140"/>
      <c r="T285" s="140"/>
      <c r="U285" s="140"/>
      <c r="V285" s="140"/>
      <c r="W285" s="140"/>
      <c r="X285" s="140"/>
      <c r="Y285" s="140"/>
      <c r="Z285" s="140"/>
      <c r="AA285" s="140"/>
      <c r="AB285" s="140"/>
      <c r="AC285" s="140"/>
      <c r="AD285" s="140"/>
    </row>
    <row r="286" spans="1:30" ht="15.75" customHeight="1" x14ac:dyDescent="0.2">
      <c r="A286" s="140"/>
      <c r="B286" s="140"/>
      <c r="C286" s="140"/>
      <c r="D286" s="140"/>
      <c r="E286" s="140"/>
      <c r="F286" s="140"/>
      <c r="G286" s="140"/>
      <c r="H286" s="140"/>
      <c r="I286" s="140"/>
      <c r="J286" s="140"/>
      <c r="K286" s="140"/>
      <c r="L286" s="140"/>
      <c r="M286" s="140"/>
      <c r="N286" s="140"/>
      <c r="O286" s="140"/>
      <c r="P286" s="140"/>
      <c r="Q286" s="140"/>
      <c r="R286" s="140"/>
      <c r="S286" s="140"/>
      <c r="T286" s="140"/>
      <c r="U286" s="140"/>
      <c r="V286" s="140"/>
      <c r="W286" s="140"/>
      <c r="X286" s="140"/>
      <c r="Y286" s="140"/>
      <c r="Z286" s="140"/>
      <c r="AA286" s="140"/>
      <c r="AB286" s="140"/>
      <c r="AC286" s="140"/>
      <c r="AD286" s="140"/>
    </row>
    <row r="287" spans="1:30" ht="15.75" customHeight="1" x14ac:dyDescent="0.2">
      <c r="A287" s="140"/>
      <c r="B287" s="140"/>
      <c r="C287" s="140"/>
      <c r="D287" s="140"/>
      <c r="E287" s="140"/>
      <c r="F287" s="140"/>
      <c r="G287" s="140"/>
      <c r="H287" s="140"/>
      <c r="I287" s="140"/>
      <c r="J287" s="140"/>
      <c r="K287" s="140"/>
      <c r="L287" s="140"/>
      <c r="M287" s="140"/>
      <c r="N287" s="140"/>
      <c r="O287" s="140"/>
      <c r="P287" s="140"/>
      <c r="Q287" s="140"/>
      <c r="R287" s="140"/>
      <c r="S287" s="140"/>
      <c r="T287" s="140"/>
      <c r="U287" s="140"/>
      <c r="V287" s="140"/>
      <c r="W287" s="140"/>
      <c r="X287" s="140"/>
      <c r="Y287" s="140"/>
      <c r="Z287" s="140"/>
      <c r="AA287" s="140"/>
      <c r="AB287" s="140"/>
      <c r="AC287" s="140"/>
      <c r="AD287" s="140"/>
    </row>
    <row r="288" spans="1:30" ht="15.75" customHeight="1" x14ac:dyDescent="0.2">
      <c r="A288" s="140"/>
      <c r="B288" s="140"/>
      <c r="C288" s="140"/>
      <c r="D288" s="140"/>
      <c r="E288" s="140"/>
      <c r="F288" s="140"/>
      <c r="G288" s="140"/>
      <c r="H288" s="140"/>
      <c r="I288" s="140"/>
      <c r="J288" s="140"/>
      <c r="K288" s="140"/>
      <c r="L288" s="140"/>
      <c r="M288" s="140"/>
      <c r="N288" s="140"/>
      <c r="O288" s="140"/>
      <c r="P288" s="140"/>
      <c r="Q288" s="140"/>
      <c r="R288" s="140"/>
      <c r="S288" s="140"/>
      <c r="T288" s="140"/>
      <c r="U288" s="140"/>
      <c r="V288" s="140"/>
      <c r="W288" s="140"/>
      <c r="X288" s="140"/>
      <c r="Y288" s="140"/>
      <c r="Z288" s="140"/>
      <c r="AA288" s="140"/>
      <c r="AB288" s="140"/>
      <c r="AC288" s="140"/>
      <c r="AD288" s="140"/>
    </row>
    <row r="289" spans="1:30" ht="15.75" customHeight="1" x14ac:dyDescent="0.2">
      <c r="A289" s="140"/>
      <c r="B289" s="140"/>
      <c r="C289" s="140"/>
      <c r="D289" s="140"/>
      <c r="E289" s="140"/>
      <c r="F289" s="140"/>
      <c r="G289" s="140"/>
      <c r="H289" s="140"/>
      <c r="I289" s="140"/>
      <c r="J289" s="140"/>
      <c r="K289" s="140"/>
      <c r="L289" s="140"/>
      <c r="M289" s="140"/>
      <c r="N289" s="140"/>
      <c r="O289" s="140"/>
      <c r="P289" s="140"/>
      <c r="Q289" s="140"/>
      <c r="R289" s="140"/>
      <c r="S289" s="140"/>
      <c r="T289" s="140"/>
      <c r="U289" s="140"/>
      <c r="V289" s="140"/>
      <c r="W289" s="140"/>
      <c r="X289" s="140"/>
      <c r="Y289" s="140"/>
      <c r="Z289" s="140"/>
      <c r="AA289" s="140"/>
      <c r="AB289" s="140"/>
      <c r="AC289" s="140"/>
      <c r="AD289" s="140"/>
    </row>
    <row r="290" spans="1:30" ht="15.75" customHeight="1" x14ac:dyDescent="0.2">
      <c r="A290" s="140"/>
      <c r="B290" s="140"/>
      <c r="C290" s="140"/>
      <c r="D290" s="140"/>
      <c r="E290" s="140"/>
      <c r="F290" s="140"/>
      <c r="G290" s="140"/>
      <c r="H290" s="140"/>
      <c r="I290" s="140"/>
      <c r="J290" s="140"/>
      <c r="K290" s="140"/>
      <c r="L290" s="140"/>
      <c r="M290" s="140"/>
      <c r="N290" s="140"/>
      <c r="O290" s="140"/>
      <c r="P290" s="140"/>
      <c r="Q290" s="140"/>
      <c r="R290" s="140"/>
      <c r="S290" s="140"/>
      <c r="T290" s="140"/>
      <c r="U290" s="140"/>
      <c r="V290" s="140"/>
      <c r="W290" s="140"/>
      <c r="X290" s="140"/>
      <c r="Y290" s="140"/>
      <c r="Z290" s="140"/>
      <c r="AA290" s="140"/>
      <c r="AB290" s="140"/>
      <c r="AC290" s="140"/>
      <c r="AD290" s="140"/>
    </row>
    <row r="291" spans="1:30" ht="15.75" customHeight="1" x14ac:dyDescent="0.2">
      <c r="A291" s="140"/>
      <c r="B291" s="140"/>
      <c r="C291" s="140"/>
      <c r="D291" s="140"/>
      <c r="E291" s="140"/>
      <c r="F291" s="140"/>
      <c r="G291" s="140"/>
      <c r="H291" s="140"/>
      <c r="I291" s="140"/>
      <c r="J291" s="140"/>
      <c r="K291" s="140"/>
      <c r="L291" s="140"/>
      <c r="M291" s="140"/>
      <c r="N291" s="140"/>
      <c r="O291" s="140"/>
      <c r="P291" s="140"/>
      <c r="Q291" s="140"/>
      <c r="R291" s="140"/>
      <c r="S291" s="140"/>
      <c r="T291" s="140"/>
      <c r="U291" s="140"/>
      <c r="V291" s="140"/>
      <c r="W291" s="140"/>
      <c r="X291" s="140"/>
      <c r="Y291" s="140"/>
      <c r="Z291" s="140"/>
      <c r="AA291" s="140"/>
      <c r="AB291" s="140"/>
      <c r="AC291" s="140"/>
      <c r="AD291" s="140"/>
    </row>
    <row r="292" spans="1:30" ht="15.75" customHeight="1" x14ac:dyDescent="0.2">
      <c r="A292" s="140"/>
      <c r="B292" s="140"/>
      <c r="C292" s="140"/>
      <c r="D292" s="140"/>
      <c r="E292" s="140"/>
      <c r="F292" s="140"/>
      <c r="G292" s="140"/>
      <c r="H292" s="140"/>
      <c r="I292" s="140"/>
      <c r="J292" s="140"/>
      <c r="K292" s="140"/>
      <c r="L292" s="140"/>
      <c r="M292" s="140"/>
      <c r="N292" s="140"/>
      <c r="O292" s="140"/>
      <c r="P292" s="140"/>
      <c r="Q292" s="140"/>
      <c r="R292" s="140"/>
      <c r="S292" s="140"/>
      <c r="T292" s="140"/>
      <c r="U292" s="140"/>
      <c r="V292" s="140"/>
      <c r="W292" s="140"/>
      <c r="X292" s="140"/>
      <c r="Y292" s="140"/>
      <c r="Z292" s="140"/>
      <c r="AA292" s="140"/>
      <c r="AB292" s="140"/>
      <c r="AC292" s="140"/>
      <c r="AD292" s="140"/>
    </row>
    <row r="293" spans="1:30" ht="15.75" customHeight="1" x14ac:dyDescent="0.2">
      <c r="A293" s="140"/>
      <c r="B293" s="140"/>
      <c r="C293" s="140"/>
      <c r="D293" s="140"/>
      <c r="E293" s="140"/>
      <c r="F293" s="140"/>
      <c r="G293" s="140"/>
      <c r="H293" s="140"/>
      <c r="I293" s="140"/>
      <c r="J293" s="140"/>
      <c r="K293" s="140"/>
      <c r="L293" s="140"/>
      <c r="M293" s="140"/>
      <c r="N293" s="140"/>
      <c r="O293" s="140"/>
      <c r="P293" s="140"/>
      <c r="Q293" s="140"/>
      <c r="R293" s="140"/>
      <c r="S293" s="140"/>
      <c r="T293" s="140"/>
      <c r="U293" s="140"/>
      <c r="V293" s="140"/>
      <c r="W293" s="140"/>
      <c r="X293" s="140"/>
      <c r="Y293" s="140"/>
      <c r="Z293" s="140"/>
      <c r="AA293" s="140"/>
      <c r="AB293" s="140"/>
      <c r="AC293" s="140"/>
      <c r="AD293" s="140"/>
    </row>
    <row r="294" spans="1:30" ht="15.75" customHeight="1" x14ac:dyDescent="0.2">
      <c r="A294" s="140"/>
      <c r="B294" s="140"/>
      <c r="C294" s="140"/>
      <c r="D294" s="140"/>
      <c r="E294" s="140"/>
      <c r="F294" s="140"/>
      <c r="G294" s="140"/>
      <c r="H294" s="140"/>
      <c r="I294" s="140"/>
      <c r="J294" s="140"/>
      <c r="K294" s="140"/>
      <c r="L294" s="140"/>
      <c r="M294" s="140"/>
      <c r="N294" s="140"/>
      <c r="O294" s="140"/>
      <c r="P294" s="140"/>
      <c r="Q294" s="140"/>
      <c r="R294" s="140"/>
      <c r="S294" s="140"/>
      <c r="T294" s="140"/>
      <c r="U294" s="140"/>
      <c r="V294" s="140"/>
      <c r="W294" s="140"/>
      <c r="X294" s="140"/>
      <c r="Y294" s="140"/>
      <c r="Z294" s="140"/>
      <c r="AA294" s="140"/>
      <c r="AB294" s="140"/>
      <c r="AC294" s="140"/>
      <c r="AD294" s="140"/>
    </row>
    <row r="295" spans="1:30" ht="15.75" customHeight="1" x14ac:dyDescent="0.2">
      <c r="A295" s="140"/>
      <c r="B295" s="140"/>
      <c r="C295" s="140"/>
      <c r="D295" s="140"/>
      <c r="E295" s="140"/>
      <c r="F295" s="140"/>
      <c r="G295" s="140"/>
      <c r="H295" s="140"/>
      <c r="I295" s="140"/>
      <c r="J295" s="140"/>
      <c r="K295" s="140"/>
      <c r="L295" s="140"/>
      <c r="M295" s="140"/>
      <c r="N295" s="140"/>
      <c r="O295" s="140"/>
      <c r="P295" s="140"/>
      <c r="Q295" s="140"/>
      <c r="R295" s="140"/>
      <c r="S295" s="140"/>
      <c r="T295" s="140"/>
      <c r="U295" s="140"/>
      <c r="V295" s="140"/>
      <c r="W295" s="140"/>
      <c r="X295" s="140"/>
      <c r="Y295" s="140"/>
      <c r="Z295" s="140"/>
      <c r="AA295" s="140"/>
      <c r="AB295" s="140"/>
      <c r="AC295" s="140"/>
      <c r="AD295" s="140"/>
    </row>
    <row r="296" spans="1:30" ht="15.75" customHeight="1" x14ac:dyDescent="0.2">
      <c r="A296" s="140"/>
      <c r="B296" s="140"/>
      <c r="C296" s="140"/>
      <c r="D296" s="140"/>
      <c r="E296" s="140"/>
      <c r="F296" s="140"/>
      <c r="G296" s="140"/>
      <c r="H296" s="140"/>
      <c r="I296" s="140"/>
      <c r="J296" s="140"/>
      <c r="K296" s="140"/>
      <c r="L296" s="140"/>
      <c r="M296" s="140"/>
      <c r="N296" s="140"/>
      <c r="O296" s="140"/>
      <c r="P296" s="140"/>
      <c r="Q296" s="140"/>
      <c r="R296" s="140"/>
      <c r="S296" s="140"/>
      <c r="T296" s="140"/>
      <c r="U296" s="140"/>
      <c r="V296" s="140"/>
      <c r="W296" s="140"/>
      <c r="X296" s="140"/>
      <c r="Y296" s="140"/>
      <c r="Z296" s="140"/>
      <c r="AA296" s="140"/>
      <c r="AB296" s="140"/>
      <c r="AC296" s="140"/>
      <c r="AD296" s="140"/>
    </row>
    <row r="297" spans="1:30" ht="15.75" customHeight="1" x14ac:dyDescent="0.2">
      <c r="A297" s="140"/>
      <c r="B297" s="140"/>
      <c r="C297" s="140"/>
      <c r="D297" s="140"/>
      <c r="E297" s="140"/>
      <c r="F297" s="140"/>
      <c r="G297" s="140"/>
      <c r="H297" s="140"/>
      <c r="I297" s="140"/>
      <c r="J297" s="140"/>
      <c r="K297" s="140"/>
      <c r="L297" s="140"/>
      <c r="M297" s="140"/>
      <c r="N297" s="140"/>
      <c r="O297" s="140"/>
      <c r="P297" s="140"/>
      <c r="Q297" s="140"/>
      <c r="R297" s="140"/>
      <c r="S297" s="140"/>
      <c r="T297" s="140"/>
      <c r="U297" s="140"/>
      <c r="V297" s="140"/>
      <c r="W297" s="140"/>
      <c r="X297" s="140"/>
      <c r="Y297" s="140"/>
      <c r="Z297" s="140"/>
      <c r="AA297" s="140"/>
      <c r="AB297" s="140"/>
      <c r="AC297" s="140"/>
      <c r="AD297" s="140"/>
    </row>
    <row r="298" spans="1:30" ht="15.75" customHeight="1" x14ac:dyDescent="0.2">
      <c r="A298" s="140"/>
      <c r="B298" s="140"/>
      <c r="C298" s="140"/>
      <c r="D298" s="140"/>
      <c r="E298" s="140"/>
      <c r="F298" s="140"/>
      <c r="G298" s="140"/>
      <c r="H298" s="140"/>
      <c r="I298" s="140"/>
      <c r="J298" s="140"/>
      <c r="K298" s="140"/>
      <c r="L298" s="140"/>
      <c r="M298" s="140"/>
      <c r="N298" s="140"/>
      <c r="O298" s="140"/>
      <c r="P298" s="140"/>
      <c r="Q298" s="140"/>
      <c r="R298" s="140"/>
      <c r="S298" s="140"/>
      <c r="T298" s="140"/>
      <c r="U298" s="140"/>
      <c r="V298" s="140"/>
      <c r="W298" s="140"/>
      <c r="X298" s="140"/>
      <c r="Y298" s="140"/>
      <c r="Z298" s="140"/>
      <c r="AA298" s="140"/>
      <c r="AB298" s="140"/>
      <c r="AC298" s="140"/>
      <c r="AD298" s="140"/>
    </row>
    <row r="299" spans="1:30" ht="15.75" customHeight="1" x14ac:dyDescent="0.2">
      <c r="A299" s="140"/>
      <c r="B299" s="140"/>
      <c r="C299" s="140"/>
      <c r="D299" s="140"/>
      <c r="E299" s="140"/>
      <c r="F299" s="140"/>
      <c r="G299" s="140"/>
      <c r="H299" s="140"/>
      <c r="I299" s="140"/>
      <c r="J299" s="140"/>
      <c r="K299" s="140"/>
      <c r="L299" s="140"/>
      <c r="M299" s="140"/>
      <c r="N299" s="140"/>
      <c r="O299" s="140"/>
      <c r="P299" s="140"/>
      <c r="Q299" s="140"/>
      <c r="R299" s="140"/>
      <c r="S299" s="140"/>
      <c r="T299" s="140"/>
      <c r="U299" s="140"/>
      <c r="V299" s="140"/>
      <c r="W299" s="140"/>
      <c r="X299" s="140"/>
      <c r="Y299" s="140"/>
      <c r="Z299" s="140"/>
      <c r="AA299" s="140"/>
      <c r="AB299" s="140"/>
      <c r="AC299" s="140"/>
      <c r="AD299" s="140"/>
    </row>
    <row r="300" spans="1:30" ht="15.75" customHeight="1" x14ac:dyDescent="0.2">
      <c r="A300" s="140"/>
      <c r="B300" s="140"/>
      <c r="C300" s="140"/>
      <c r="D300" s="140"/>
      <c r="E300" s="140"/>
      <c r="F300" s="140"/>
      <c r="G300" s="140"/>
      <c r="H300" s="140"/>
      <c r="I300" s="140"/>
      <c r="J300" s="140"/>
      <c r="K300" s="140"/>
      <c r="L300" s="140"/>
      <c r="M300" s="140"/>
      <c r="N300" s="140"/>
      <c r="O300" s="140"/>
      <c r="P300" s="140"/>
      <c r="Q300" s="140"/>
      <c r="R300" s="140"/>
      <c r="S300" s="140"/>
      <c r="T300" s="140"/>
      <c r="U300" s="140"/>
      <c r="V300" s="140"/>
      <c r="W300" s="140"/>
      <c r="X300" s="140"/>
      <c r="Y300" s="140"/>
      <c r="Z300" s="140"/>
      <c r="AA300" s="140"/>
      <c r="AB300" s="140"/>
      <c r="AC300" s="140"/>
      <c r="AD300" s="140"/>
    </row>
    <row r="301" spans="1:30" ht="15.75" customHeight="1" x14ac:dyDescent="0.2">
      <c r="A301" s="140"/>
      <c r="B301" s="140"/>
      <c r="C301" s="140"/>
      <c r="D301" s="140"/>
      <c r="E301" s="140"/>
      <c r="F301" s="140"/>
      <c r="G301" s="140"/>
      <c r="H301" s="140"/>
      <c r="I301" s="140"/>
      <c r="J301" s="140"/>
      <c r="K301" s="140"/>
      <c r="L301" s="140"/>
      <c r="M301" s="140"/>
      <c r="N301" s="140"/>
      <c r="O301" s="140"/>
      <c r="P301" s="140"/>
      <c r="Q301" s="140"/>
      <c r="R301" s="140"/>
      <c r="S301" s="140"/>
      <c r="T301" s="140"/>
      <c r="U301" s="140"/>
      <c r="V301" s="140"/>
      <c r="W301" s="140"/>
      <c r="X301" s="140"/>
      <c r="Y301" s="140"/>
      <c r="Z301" s="140"/>
      <c r="AA301" s="140"/>
      <c r="AB301" s="140"/>
      <c r="AC301" s="140"/>
      <c r="AD301" s="140"/>
    </row>
    <row r="302" spans="1:30" ht="15.75" customHeight="1" x14ac:dyDescent="0.2">
      <c r="A302" s="140"/>
      <c r="B302" s="140"/>
      <c r="C302" s="140"/>
      <c r="D302" s="140"/>
      <c r="E302" s="140"/>
      <c r="F302" s="140"/>
      <c r="G302" s="140"/>
      <c r="H302" s="140"/>
      <c r="I302" s="140"/>
      <c r="J302" s="140"/>
      <c r="K302" s="140"/>
      <c r="L302" s="140"/>
      <c r="M302" s="140"/>
      <c r="N302" s="140"/>
      <c r="O302" s="140"/>
      <c r="P302" s="140"/>
      <c r="Q302" s="140"/>
      <c r="R302" s="140"/>
      <c r="S302" s="140"/>
      <c r="T302" s="140"/>
      <c r="U302" s="140"/>
      <c r="V302" s="140"/>
      <c r="W302" s="140"/>
      <c r="X302" s="140"/>
      <c r="Y302" s="140"/>
      <c r="Z302" s="140"/>
      <c r="AA302" s="140"/>
      <c r="AB302" s="140"/>
      <c r="AC302" s="140"/>
      <c r="AD302" s="140"/>
    </row>
    <row r="303" spans="1:30" ht="15.75" customHeight="1" x14ac:dyDescent="0.2">
      <c r="A303" s="140"/>
      <c r="B303" s="140"/>
      <c r="C303" s="140"/>
      <c r="D303" s="140"/>
      <c r="E303" s="140"/>
      <c r="F303" s="140"/>
      <c r="G303" s="140"/>
      <c r="H303" s="140"/>
      <c r="I303" s="140"/>
      <c r="J303" s="140"/>
      <c r="K303" s="140"/>
      <c r="L303" s="140"/>
      <c r="M303" s="140"/>
      <c r="N303" s="140"/>
      <c r="O303" s="140"/>
      <c r="P303" s="140"/>
      <c r="Q303" s="140"/>
      <c r="R303" s="140"/>
      <c r="S303" s="140"/>
      <c r="T303" s="140"/>
      <c r="U303" s="140"/>
      <c r="V303" s="140"/>
      <c r="W303" s="140"/>
      <c r="X303" s="140"/>
      <c r="Y303" s="140"/>
      <c r="Z303" s="140"/>
      <c r="AA303" s="140"/>
      <c r="AB303" s="140"/>
      <c r="AC303" s="140"/>
      <c r="AD303" s="140"/>
    </row>
    <row r="304" spans="1:30" ht="15.75" customHeight="1" x14ac:dyDescent="0.2">
      <c r="A304" s="140"/>
      <c r="B304" s="140"/>
      <c r="C304" s="140"/>
      <c r="D304" s="140"/>
      <c r="E304" s="140"/>
      <c r="F304" s="140"/>
      <c r="G304" s="140"/>
      <c r="H304" s="140"/>
      <c r="I304" s="140"/>
      <c r="J304" s="140"/>
      <c r="K304" s="140"/>
      <c r="L304" s="140"/>
      <c r="M304" s="140"/>
      <c r="N304" s="140"/>
      <c r="O304" s="140"/>
      <c r="P304" s="140"/>
      <c r="Q304" s="140"/>
      <c r="R304" s="140"/>
      <c r="S304" s="140"/>
      <c r="T304" s="140"/>
      <c r="U304" s="140"/>
      <c r="V304" s="140"/>
      <c r="W304" s="140"/>
      <c r="X304" s="140"/>
      <c r="Y304" s="140"/>
      <c r="Z304" s="140"/>
      <c r="AA304" s="140"/>
      <c r="AB304" s="140"/>
      <c r="AC304" s="140"/>
      <c r="AD304" s="140"/>
    </row>
    <row r="305" spans="1:30" ht="15.75" customHeight="1" x14ac:dyDescent="0.2">
      <c r="A305" s="140"/>
      <c r="B305" s="140"/>
      <c r="C305" s="140"/>
      <c r="D305" s="140"/>
      <c r="E305" s="140"/>
      <c r="F305" s="140"/>
      <c r="G305" s="140"/>
      <c r="H305" s="140"/>
      <c r="I305" s="140"/>
      <c r="J305" s="140"/>
      <c r="K305" s="140"/>
      <c r="L305" s="140"/>
      <c r="M305" s="140"/>
      <c r="N305" s="140"/>
      <c r="O305" s="140"/>
      <c r="P305" s="140"/>
      <c r="Q305" s="140"/>
      <c r="R305" s="140"/>
      <c r="S305" s="140"/>
      <c r="T305" s="140"/>
      <c r="U305" s="140"/>
      <c r="V305" s="140"/>
      <c r="W305" s="140"/>
      <c r="X305" s="140"/>
      <c r="Y305" s="140"/>
      <c r="Z305" s="140"/>
      <c r="AA305" s="140"/>
      <c r="AB305" s="140"/>
      <c r="AC305" s="140"/>
      <c r="AD305" s="140"/>
    </row>
    <row r="306" spans="1:30" ht="15.75" customHeight="1" x14ac:dyDescent="0.2">
      <c r="A306" s="140"/>
      <c r="B306" s="140"/>
      <c r="C306" s="140"/>
      <c r="D306" s="140"/>
      <c r="E306" s="140"/>
      <c r="F306" s="140"/>
      <c r="G306" s="140"/>
      <c r="H306" s="140"/>
      <c r="I306" s="140"/>
      <c r="J306" s="140"/>
      <c r="K306" s="140"/>
      <c r="L306" s="140"/>
      <c r="M306" s="140"/>
      <c r="N306" s="140"/>
      <c r="O306" s="140"/>
      <c r="P306" s="140"/>
      <c r="Q306" s="140"/>
      <c r="R306" s="140"/>
      <c r="S306" s="140"/>
      <c r="T306" s="140"/>
      <c r="U306" s="140"/>
      <c r="V306" s="140"/>
      <c r="W306" s="140"/>
      <c r="X306" s="140"/>
      <c r="Y306" s="140"/>
      <c r="Z306" s="140"/>
      <c r="AA306" s="140"/>
      <c r="AB306" s="140"/>
      <c r="AC306" s="140"/>
      <c r="AD306" s="140"/>
    </row>
    <row r="307" spans="1:30" ht="15.75" customHeight="1" x14ac:dyDescent="0.2">
      <c r="A307" s="140"/>
      <c r="B307" s="140"/>
      <c r="C307" s="140"/>
      <c r="D307" s="140"/>
      <c r="E307" s="140"/>
      <c r="F307" s="140"/>
      <c r="G307" s="140"/>
      <c r="H307" s="140"/>
      <c r="I307" s="140"/>
      <c r="J307" s="140"/>
      <c r="K307" s="140"/>
      <c r="L307" s="140"/>
      <c r="M307" s="140"/>
      <c r="N307" s="140"/>
      <c r="O307" s="140"/>
      <c r="P307" s="140"/>
      <c r="Q307" s="140"/>
      <c r="R307" s="140"/>
      <c r="S307" s="140"/>
      <c r="T307" s="140"/>
      <c r="U307" s="140"/>
      <c r="V307" s="140"/>
      <c r="W307" s="140"/>
      <c r="X307" s="140"/>
      <c r="Y307" s="140"/>
      <c r="Z307" s="140"/>
      <c r="AA307" s="140"/>
      <c r="AB307" s="140"/>
      <c r="AC307" s="140"/>
      <c r="AD307" s="140"/>
    </row>
    <row r="308" spans="1:30" ht="15.75" customHeight="1" x14ac:dyDescent="0.2">
      <c r="A308" s="140"/>
      <c r="B308" s="140"/>
      <c r="C308" s="140"/>
      <c r="D308" s="140"/>
      <c r="E308" s="140"/>
      <c r="F308" s="140"/>
      <c r="G308" s="140"/>
      <c r="H308" s="140"/>
      <c r="I308" s="140"/>
      <c r="J308" s="140"/>
      <c r="K308" s="140"/>
      <c r="L308" s="140"/>
      <c r="M308" s="140"/>
      <c r="N308" s="140"/>
      <c r="O308" s="140"/>
      <c r="P308" s="140"/>
      <c r="Q308" s="140"/>
      <c r="R308" s="140"/>
      <c r="S308" s="140"/>
      <c r="T308" s="140"/>
      <c r="U308" s="140"/>
      <c r="V308" s="140"/>
      <c r="W308" s="140"/>
      <c r="X308" s="140"/>
      <c r="Y308" s="140"/>
      <c r="Z308" s="140"/>
      <c r="AA308" s="140"/>
      <c r="AB308" s="140"/>
      <c r="AC308" s="140"/>
      <c r="AD308" s="140"/>
    </row>
    <row r="309" spans="1:30" ht="15.75" customHeight="1" x14ac:dyDescent="0.2">
      <c r="A309" s="140"/>
      <c r="B309" s="140"/>
      <c r="C309" s="140"/>
      <c r="D309" s="140"/>
      <c r="E309" s="140"/>
      <c r="F309" s="140"/>
      <c r="G309" s="140"/>
      <c r="H309" s="140"/>
      <c r="I309" s="140"/>
      <c r="J309" s="140"/>
      <c r="K309" s="140"/>
      <c r="L309" s="140"/>
      <c r="M309" s="140"/>
      <c r="N309" s="140"/>
      <c r="O309" s="140"/>
      <c r="P309" s="140"/>
      <c r="Q309" s="140"/>
      <c r="R309" s="140"/>
      <c r="S309" s="140"/>
      <c r="T309" s="140"/>
      <c r="U309" s="140"/>
      <c r="V309" s="140"/>
      <c r="W309" s="140"/>
      <c r="X309" s="140"/>
      <c r="Y309" s="140"/>
      <c r="Z309" s="140"/>
      <c r="AA309" s="140"/>
      <c r="AB309" s="140"/>
      <c r="AC309" s="140"/>
      <c r="AD309" s="140"/>
    </row>
    <row r="310" spans="1:30" ht="15.75" customHeight="1" x14ac:dyDescent="0.2">
      <c r="A310" s="140"/>
      <c r="B310" s="140"/>
      <c r="C310" s="140"/>
      <c r="D310" s="140"/>
      <c r="E310" s="140"/>
      <c r="F310" s="140"/>
      <c r="G310" s="140"/>
      <c r="H310" s="140"/>
      <c r="I310" s="140"/>
      <c r="J310" s="140"/>
      <c r="K310" s="140"/>
      <c r="L310" s="140"/>
      <c r="M310" s="140"/>
      <c r="N310" s="140"/>
      <c r="O310" s="140"/>
      <c r="P310" s="140"/>
      <c r="Q310" s="140"/>
      <c r="R310" s="140"/>
      <c r="S310" s="140"/>
      <c r="T310" s="140"/>
      <c r="U310" s="140"/>
      <c r="V310" s="140"/>
      <c r="W310" s="140"/>
      <c r="X310" s="140"/>
      <c r="Y310" s="140"/>
      <c r="Z310" s="140"/>
      <c r="AA310" s="140"/>
      <c r="AB310" s="140"/>
      <c r="AC310" s="140"/>
      <c r="AD310" s="140"/>
    </row>
    <row r="311" spans="1:30" ht="15.75" customHeight="1" x14ac:dyDescent="0.2">
      <c r="A311" s="140"/>
      <c r="B311" s="140"/>
      <c r="C311" s="140"/>
      <c r="D311" s="140"/>
      <c r="E311" s="140"/>
      <c r="F311" s="140"/>
      <c r="G311" s="140"/>
      <c r="H311" s="140"/>
      <c r="I311" s="140"/>
      <c r="J311" s="140"/>
      <c r="K311" s="140"/>
      <c r="L311" s="140"/>
      <c r="M311" s="140"/>
      <c r="N311" s="140"/>
      <c r="O311" s="140"/>
      <c r="P311" s="140"/>
      <c r="Q311" s="140"/>
      <c r="R311" s="140"/>
      <c r="S311" s="140"/>
      <c r="T311" s="140"/>
      <c r="U311" s="140"/>
      <c r="V311" s="140"/>
      <c r="W311" s="140"/>
      <c r="X311" s="140"/>
      <c r="Y311" s="140"/>
      <c r="Z311" s="140"/>
      <c r="AA311" s="140"/>
      <c r="AB311" s="140"/>
      <c r="AC311" s="140"/>
      <c r="AD311" s="140"/>
    </row>
    <row r="312" spans="1:30" ht="15.75" customHeight="1" x14ac:dyDescent="0.2">
      <c r="A312" s="140"/>
      <c r="B312" s="140"/>
      <c r="C312" s="140"/>
      <c r="D312" s="140"/>
      <c r="E312" s="140"/>
      <c r="F312" s="140"/>
      <c r="G312" s="140"/>
      <c r="H312" s="140"/>
      <c r="I312" s="140"/>
      <c r="J312" s="140"/>
      <c r="K312" s="140"/>
      <c r="L312" s="140"/>
      <c r="M312" s="140"/>
      <c r="N312" s="140"/>
      <c r="O312" s="140"/>
      <c r="P312" s="140"/>
      <c r="Q312" s="140"/>
      <c r="R312" s="140"/>
      <c r="S312" s="140"/>
      <c r="T312" s="140"/>
      <c r="U312" s="140"/>
      <c r="V312" s="140"/>
      <c r="W312" s="140"/>
      <c r="X312" s="140"/>
      <c r="Y312" s="140"/>
      <c r="Z312" s="140"/>
      <c r="AA312" s="140"/>
      <c r="AB312" s="140"/>
      <c r="AC312" s="140"/>
      <c r="AD312" s="140"/>
    </row>
    <row r="313" spans="1:30" ht="15.75" customHeight="1" x14ac:dyDescent="0.2">
      <c r="A313" s="140"/>
      <c r="B313" s="140"/>
      <c r="C313" s="140"/>
      <c r="D313" s="140"/>
      <c r="E313" s="140"/>
      <c r="F313" s="140"/>
      <c r="G313" s="140"/>
      <c r="H313" s="140"/>
      <c r="I313" s="140"/>
      <c r="J313" s="140"/>
      <c r="K313" s="140"/>
      <c r="L313" s="140"/>
      <c r="M313" s="140"/>
      <c r="N313" s="140"/>
      <c r="O313" s="140"/>
      <c r="P313" s="140"/>
      <c r="Q313" s="140"/>
      <c r="R313" s="140"/>
      <c r="S313" s="140"/>
      <c r="T313" s="140"/>
      <c r="U313" s="140"/>
      <c r="V313" s="140"/>
      <c r="W313" s="140"/>
      <c r="X313" s="140"/>
      <c r="Y313" s="140"/>
      <c r="Z313" s="140"/>
      <c r="AA313" s="140"/>
      <c r="AB313" s="140"/>
      <c r="AC313" s="140"/>
      <c r="AD313" s="140"/>
    </row>
    <row r="314" spans="1:30" ht="15.75" customHeight="1" x14ac:dyDescent="0.2">
      <c r="A314" s="140"/>
      <c r="B314" s="140"/>
      <c r="C314" s="140"/>
      <c r="D314" s="140"/>
      <c r="E314" s="140"/>
      <c r="F314" s="140"/>
      <c r="G314" s="140"/>
      <c r="H314" s="140"/>
      <c r="I314" s="140"/>
      <c r="J314" s="140"/>
      <c r="K314" s="140"/>
      <c r="L314" s="140"/>
      <c r="M314" s="140"/>
      <c r="N314" s="140"/>
      <c r="O314" s="140"/>
      <c r="P314" s="140"/>
      <c r="Q314" s="140"/>
      <c r="R314" s="140"/>
      <c r="S314" s="140"/>
      <c r="T314" s="140"/>
      <c r="U314" s="140"/>
      <c r="V314" s="140"/>
      <c r="W314" s="140"/>
      <c r="X314" s="140"/>
      <c r="Y314" s="140"/>
      <c r="Z314" s="140"/>
      <c r="AA314" s="140"/>
      <c r="AB314" s="140"/>
      <c r="AC314" s="140"/>
      <c r="AD314" s="140"/>
    </row>
    <row r="315" spans="1:30" ht="15.75" customHeight="1" x14ac:dyDescent="0.2">
      <c r="A315" s="140"/>
      <c r="B315" s="140"/>
      <c r="C315" s="140"/>
      <c r="D315" s="140"/>
      <c r="E315" s="140"/>
      <c r="F315" s="140"/>
      <c r="G315" s="140"/>
      <c r="H315" s="140"/>
      <c r="I315" s="140"/>
      <c r="J315" s="140"/>
      <c r="K315" s="140"/>
      <c r="L315" s="140"/>
      <c r="M315" s="140"/>
      <c r="N315" s="140"/>
      <c r="O315" s="140"/>
      <c r="P315" s="140"/>
      <c r="Q315" s="140"/>
      <c r="R315" s="140"/>
      <c r="S315" s="140"/>
      <c r="T315" s="140"/>
      <c r="U315" s="140"/>
      <c r="V315" s="140"/>
      <c r="W315" s="140"/>
      <c r="X315" s="140"/>
      <c r="Y315" s="140"/>
      <c r="Z315" s="140"/>
      <c r="AA315" s="140"/>
      <c r="AB315" s="140"/>
      <c r="AC315" s="140"/>
      <c r="AD315" s="140"/>
    </row>
    <row r="316" spans="1:30" ht="15.75" customHeight="1" x14ac:dyDescent="0.2">
      <c r="A316" s="140"/>
      <c r="B316" s="140"/>
      <c r="C316" s="140"/>
      <c r="D316" s="140"/>
      <c r="E316" s="140"/>
      <c r="F316" s="140"/>
      <c r="G316" s="140"/>
      <c r="H316" s="140"/>
      <c r="I316" s="140"/>
      <c r="J316" s="140"/>
      <c r="K316" s="140"/>
      <c r="L316" s="140"/>
      <c r="M316" s="140"/>
      <c r="N316" s="140"/>
      <c r="O316" s="140"/>
      <c r="P316" s="140"/>
      <c r="Q316" s="140"/>
      <c r="R316" s="140"/>
      <c r="S316" s="140"/>
      <c r="T316" s="140"/>
      <c r="U316" s="140"/>
      <c r="V316" s="140"/>
      <c r="W316" s="140"/>
      <c r="X316" s="140"/>
      <c r="Y316" s="140"/>
      <c r="Z316" s="140"/>
      <c r="AA316" s="140"/>
      <c r="AB316" s="140"/>
      <c r="AC316" s="140"/>
      <c r="AD316" s="140"/>
    </row>
    <row r="317" spans="1:30" ht="15.75" customHeight="1" x14ac:dyDescent="0.2">
      <c r="A317" s="140"/>
      <c r="B317" s="140"/>
      <c r="C317" s="140"/>
      <c r="D317" s="140"/>
      <c r="E317" s="140"/>
      <c r="F317" s="140"/>
      <c r="G317" s="140"/>
      <c r="H317" s="140"/>
      <c r="I317" s="140"/>
      <c r="J317" s="140"/>
      <c r="K317" s="140"/>
      <c r="L317" s="140"/>
      <c r="M317" s="140"/>
      <c r="N317" s="140"/>
      <c r="O317" s="140"/>
      <c r="P317" s="140"/>
      <c r="Q317" s="140"/>
      <c r="R317" s="140"/>
      <c r="S317" s="140"/>
      <c r="T317" s="140"/>
      <c r="U317" s="140"/>
      <c r="V317" s="140"/>
      <c r="W317" s="140"/>
      <c r="X317" s="140"/>
      <c r="Y317" s="140"/>
      <c r="Z317" s="140"/>
      <c r="AA317" s="140"/>
      <c r="AB317" s="140"/>
      <c r="AC317" s="140"/>
      <c r="AD317" s="140"/>
    </row>
    <row r="318" spans="1:30" ht="15.75" customHeight="1" x14ac:dyDescent="0.2">
      <c r="A318" s="140"/>
      <c r="B318" s="140"/>
      <c r="C318" s="140"/>
      <c r="D318" s="140"/>
      <c r="E318" s="140"/>
      <c r="F318" s="140"/>
      <c r="G318" s="140"/>
      <c r="H318" s="140"/>
      <c r="I318" s="140"/>
      <c r="J318" s="140"/>
      <c r="K318" s="140"/>
      <c r="L318" s="140"/>
      <c r="M318" s="140"/>
      <c r="N318" s="140"/>
      <c r="O318" s="140"/>
      <c r="P318" s="140"/>
      <c r="Q318" s="140"/>
      <c r="R318" s="140"/>
      <c r="S318" s="140"/>
      <c r="T318" s="140"/>
      <c r="U318" s="140"/>
      <c r="V318" s="140"/>
      <c r="W318" s="140"/>
      <c r="X318" s="140"/>
      <c r="Y318" s="140"/>
      <c r="Z318" s="140"/>
      <c r="AA318" s="140"/>
      <c r="AB318" s="140"/>
      <c r="AC318" s="140"/>
      <c r="AD318" s="140"/>
    </row>
    <row r="319" spans="1:30" ht="15.75" customHeight="1" x14ac:dyDescent="0.2">
      <c r="A319" s="140"/>
      <c r="B319" s="140"/>
      <c r="C319" s="140"/>
      <c r="D319" s="140"/>
      <c r="E319" s="140"/>
      <c r="F319" s="140"/>
      <c r="G319" s="140"/>
      <c r="H319" s="140"/>
      <c r="I319" s="140"/>
      <c r="J319" s="140"/>
      <c r="K319" s="140"/>
      <c r="L319" s="140"/>
      <c r="M319" s="140"/>
      <c r="N319" s="140"/>
      <c r="O319" s="140"/>
      <c r="P319" s="140"/>
      <c r="Q319" s="140"/>
      <c r="R319" s="140"/>
      <c r="S319" s="140"/>
      <c r="T319" s="140"/>
      <c r="U319" s="140"/>
      <c r="V319" s="140"/>
      <c r="W319" s="140"/>
      <c r="X319" s="140"/>
      <c r="Y319" s="140"/>
      <c r="Z319" s="140"/>
      <c r="AA319" s="140"/>
      <c r="AB319" s="140"/>
      <c r="AC319" s="140"/>
      <c r="AD319" s="140"/>
    </row>
    <row r="320" spans="1:30" ht="15.75" customHeight="1" x14ac:dyDescent="0.2">
      <c r="A320" s="140"/>
      <c r="B320" s="140"/>
      <c r="C320" s="140"/>
      <c r="D320" s="140"/>
      <c r="E320" s="140"/>
      <c r="F320" s="140"/>
      <c r="G320" s="140"/>
      <c r="H320" s="140"/>
      <c r="I320" s="140"/>
      <c r="J320" s="140"/>
      <c r="K320" s="140"/>
      <c r="L320" s="140"/>
      <c r="M320" s="140"/>
      <c r="N320" s="140"/>
      <c r="O320" s="140"/>
      <c r="P320" s="140"/>
      <c r="Q320" s="140"/>
      <c r="R320" s="140"/>
      <c r="S320" s="140"/>
      <c r="T320" s="140"/>
      <c r="U320" s="140"/>
      <c r="V320" s="140"/>
      <c r="W320" s="140"/>
      <c r="X320" s="140"/>
      <c r="Y320" s="140"/>
      <c r="Z320" s="140"/>
      <c r="AA320" s="140"/>
      <c r="AB320" s="140"/>
      <c r="AC320" s="140"/>
      <c r="AD320" s="140"/>
    </row>
    <row r="321" spans="1:30" ht="15.75" customHeight="1" x14ac:dyDescent="0.2">
      <c r="A321" s="140"/>
      <c r="B321" s="140"/>
      <c r="C321" s="140"/>
      <c r="D321" s="140"/>
      <c r="E321" s="140"/>
      <c r="F321" s="140"/>
      <c r="G321" s="140"/>
      <c r="H321" s="140"/>
      <c r="I321" s="140"/>
      <c r="J321" s="140"/>
      <c r="K321" s="140"/>
      <c r="L321" s="140"/>
      <c r="M321" s="140"/>
      <c r="N321" s="140"/>
      <c r="O321" s="140"/>
      <c r="P321" s="140"/>
      <c r="Q321" s="140"/>
      <c r="R321" s="140"/>
      <c r="S321" s="140"/>
      <c r="T321" s="140"/>
      <c r="U321" s="140"/>
      <c r="V321" s="140"/>
      <c r="W321" s="140"/>
      <c r="X321" s="140"/>
      <c r="Y321" s="140"/>
      <c r="Z321" s="140"/>
      <c r="AA321" s="140"/>
      <c r="AB321" s="140"/>
      <c r="AC321" s="140"/>
      <c r="AD321" s="140"/>
    </row>
    <row r="322" spans="1:30" ht="15.75" customHeight="1" x14ac:dyDescent="0.2">
      <c r="A322" s="140"/>
      <c r="B322" s="140"/>
      <c r="C322" s="140"/>
      <c r="D322" s="140"/>
      <c r="E322" s="140"/>
      <c r="F322" s="140"/>
      <c r="G322" s="140"/>
      <c r="H322" s="140"/>
      <c r="I322" s="140"/>
      <c r="J322" s="140"/>
      <c r="K322" s="140"/>
      <c r="L322" s="140"/>
      <c r="M322" s="140"/>
      <c r="N322" s="140"/>
      <c r="O322" s="140"/>
      <c r="P322" s="140"/>
      <c r="Q322" s="140"/>
      <c r="R322" s="140"/>
      <c r="S322" s="140"/>
      <c r="T322" s="140"/>
      <c r="U322" s="140"/>
      <c r="V322" s="140"/>
      <c r="W322" s="140"/>
      <c r="X322" s="140"/>
      <c r="Y322" s="140"/>
      <c r="Z322" s="140"/>
      <c r="AA322" s="140"/>
      <c r="AB322" s="140"/>
      <c r="AC322" s="140"/>
      <c r="AD322" s="140"/>
    </row>
    <row r="323" spans="1:30" ht="15.75" customHeight="1" x14ac:dyDescent="0.2">
      <c r="A323" s="140"/>
      <c r="B323" s="140"/>
      <c r="C323" s="140"/>
      <c r="D323" s="140"/>
      <c r="E323" s="140"/>
      <c r="F323" s="140"/>
      <c r="G323" s="140"/>
      <c r="H323" s="140"/>
      <c r="I323" s="140"/>
      <c r="J323" s="140"/>
      <c r="K323" s="140"/>
      <c r="L323" s="140"/>
      <c r="M323" s="140"/>
      <c r="N323" s="140"/>
      <c r="O323" s="140"/>
      <c r="P323" s="140"/>
      <c r="Q323" s="140"/>
      <c r="R323" s="140"/>
      <c r="S323" s="140"/>
      <c r="T323" s="140"/>
      <c r="U323" s="140"/>
      <c r="V323" s="140"/>
      <c r="W323" s="140"/>
      <c r="X323" s="140"/>
      <c r="Y323" s="140"/>
      <c r="Z323" s="140"/>
      <c r="AA323" s="140"/>
      <c r="AB323" s="140"/>
      <c r="AC323" s="140"/>
      <c r="AD323" s="140"/>
    </row>
    <row r="324" spans="1:30" ht="15.75" customHeight="1" x14ac:dyDescent="0.2">
      <c r="A324" s="140"/>
      <c r="B324" s="140"/>
      <c r="C324" s="140"/>
      <c r="D324" s="140"/>
      <c r="E324" s="140"/>
      <c r="F324" s="140"/>
      <c r="G324" s="140"/>
      <c r="H324" s="140"/>
      <c r="I324" s="140"/>
      <c r="J324" s="140"/>
      <c r="K324" s="140"/>
      <c r="L324" s="140"/>
      <c r="M324" s="140"/>
      <c r="N324" s="140"/>
      <c r="O324" s="140"/>
      <c r="P324" s="140"/>
      <c r="Q324" s="140"/>
      <c r="R324" s="140"/>
      <c r="S324" s="140"/>
      <c r="T324" s="140"/>
      <c r="U324" s="140"/>
      <c r="V324" s="140"/>
      <c r="W324" s="140"/>
      <c r="X324" s="140"/>
      <c r="Y324" s="140"/>
      <c r="Z324" s="140"/>
      <c r="AA324" s="140"/>
      <c r="AB324" s="140"/>
      <c r="AC324" s="140"/>
      <c r="AD324" s="140"/>
    </row>
    <row r="325" spans="1:30" ht="15.75" customHeight="1" x14ac:dyDescent="0.2">
      <c r="A325" s="140"/>
      <c r="B325" s="140"/>
      <c r="C325" s="140"/>
      <c r="D325" s="140"/>
      <c r="E325" s="140"/>
      <c r="F325" s="140"/>
      <c r="G325" s="140"/>
      <c r="H325" s="140"/>
      <c r="I325" s="140"/>
      <c r="J325" s="140"/>
      <c r="K325" s="140"/>
      <c r="L325" s="140"/>
      <c r="M325" s="140"/>
      <c r="N325" s="140"/>
      <c r="O325" s="140"/>
      <c r="P325" s="140"/>
      <c r="Q325" s="140"/>
      <c r="R325" s="140"/>
      <c r="S325" s="140"/>
      <c r="T325" s="140"/>
      <c r="U325" s="140"/>
      <c r="V325" s="140"/>
      <c r="W325" s="140"/>
      <c r="X325" s="140"/>
      <c r="Y325" s="140"/>
      <c r="Z325" s="140"/>
      <c r="AA325" s="140"/>
      <c r="AB325" s="140"/>
      <c r="AC325" s="140"/>
      <c r="AD325" s="140"/>
    </row>
    <row r="326" spans="1:30" ht="15.75" customHeight="1" x14ac:dyDescent="0.2">
      <c r="A326" s="140"/>
      <c r="B326" s="140"/>
      <c r="C326" s="140"/>
      <c r="D326" s="140"/>
      <c r="E326" s="140"/>
      <c r="F326" s="140"/>
      <c r="G326" s="140"/>
      <c r="H326" s="140"/>
      <c r="I326" s="140"/>
      <c r="J326" s="140"/>
      <c r="K326" s="140"/>
      <c r="L326" s="140"/>
      <c r="M326" s="140"/>
      <c r="N326" s="140"/>
      <c r="O326" s="140"/>
      <c r="P326" s="140"/>
      <c r="Q326" s="140"/>
      <c r="R326" s="140"/>
      <c r="S326" s="140"/>
      <c r="T326" s="140"/>
      <c r="U326" s="140"/>
      <c r="V326" s="140"/>
      <c r="W326" s="140"/>
      <c r="X326" s="140"/>
      <c r="Y326" s="140"/>
      <c r="Z326" s="140"/>
      <c r="AA326" s="140"/>
      <c r="AB326" s="140"/>
      <c r="AC326" s="140"/>
      <c r="AD326" s="140"/>
    </row>
    <row r="327" spans="1:30" ht="15.75" customHeight="1" x14ac:dyDescent="0.2">
      <c r="A327" s="140"/>
      <c r="B327" s="140"/>
      <c r="C327" s="140"/>
      <c r="D327" s="140"/>
      <c r="E327" s="140"/>
      <c r="F327" s="140"/>
      <c r="G327" s="140"/>
      <c r="H327" s="140"/>
      <c r="I327" s="140"/>
      <c r="J327" s="140"/>
      <c r="K327" s="140"/>
      <c r="L327" s="140"/>
      <c r="M327" s="140"/>
      <c r="N327" s="140"/>
      <c r="O327" s="140"/>
      <c r="P327" s="140"/>
      <c r="Q327" s="140"/>
      <c r="R327" s="140"/>
      <c r="S327" s="140"/>
      <c r="T327" s="140"/>
      <c r="U327" s="140"/>
      <c r="V327" s="140"/>
      <c r="W327" s="140"/>
      <c r="X327" s="140"/>
      <c r="Y327" s="140"/>
      <c r="Z327" s="140"/>
      <c r="AA327" s="140"/>
      <c r="AB327" s="140"/>
      <c r="AC327" s="140"/>
      <c r="AD327" s="140"/>
    </row>
    <row r="328" spans="1:30" ht="15.75" customHeight="1" x14ac:dyDescent="0.2">
      <c r="A328" s="140"/>
      <c r="B328" s="140"/>
      <c r="C328" s="140"/>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140"/>
    </row>
    <row r="329" spans="1:30" ht="15.75" customHeight="1" x14ac:dyDescent="0.2">
      <c r="A329" s="140"/>
      <c r="B329" s="140"/>
      <c r="C329" s="140"/>
      <c r="D329" s="140"/>
      <c r="E329" s="140"/>
      <c r="F329" s="140"/>
      <c r="G329" s="140"/>
      <c r="H329" s="140"/>
      <c r="I329" s="140"/>
      <c r="J329" s="140"/>
      <c r="K329" s="140"/>
      <c r="L329" s="140"/>
      <c r="M329" s="140"/>
      <c r="N329" s="140"/>
      <c r="O329" s="140"/>
      <c r="P329" s="140"/>
      <c r="Q329" s="140"/>
      <c r="R329" s="140"/>
      <c r="S329" s="140"/>
      <c r="T329" s="140"/>
      <c r="U329" s="140"/>
      <c r="V329" s="140"/>
      <c r="W329" s="140"/>
      <c r="X329" s="140"/>
      <c r="Y329" s="140"/>
      <c r="Z329" s="140"/>
      <c r="AA329" s="140"/>
      <c r="AB329" s="140"/>
      <c r="AC329" s="140"/>
      <c r="AD329" s="140"/>
    </row>
    <row r="330" spans="1:30" ht="15.75" customHeight="1" x14ac:dyDescent="0.2">
      <c r="A330" s="140"/>
      <c r="B330" s="140"/>
      <c r="C330" s="140"/>
      <c r="D330" s="140"/>
      <c r="E330" s="140"/>
      <c r="F330" s="140"/>
      <c r="G330" s="140"/>
      <c r="H330" s="140"/>
      <c r="I330" s="140"/>
      <c r="J330" s="140"/>
      <c r="K330" s="140"/>
      <c r="L330" s="140"/>
      <c r="M330" s="140"/>
      <c r="N330" s="140"/>
      <c r="O330" s="140"/>
      <c r="P330" s="140"/>
      <c r="Q330" s="140"/>
      <c r="R330" s="140"/>
      <c r="S330" s="140"/>
      <c r="T330" s="140"/>
      <c r="U330" s="140"/>
      <c r="V330" s="140"/>
      <c r="W330" s="140"/>
      <c r="X330" s="140"/>
      <c r="Y330" s="140"/>
      <c r="Z330" s="140"/>
      <c r="AA330" s="140"/>
      <c r="AB330" s="140"/>
      <c r="AC330" s="140"/>
      <c r="AD330" s="140"/>
    </row>
    <row r="331" spans="1:30" ht="15.75" customHeight="1" x14ac:dyDescent="0.2">
      <c r="A331" s="140"/>
      <c r="B331" s="140"/>
      <c r="C331" s="140"/>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140"/>
    </row>
    <row r="332" spans="1:30" ht="15.75" customHeight="1" x14ac:dyDescent="0.2">
      <c r="A332" s="140"/>
      <c r="B332" s="140"/>
      <c r="C332" s="140"/>
      <c r="D332" s="140"/>
      <c r="E332" s="140"/>
      <c r="F332" s="140"/>
      <c r="G332" s="140"/>
      <c r="H332" s="140"/>
      <c r="I332" s="140"/>
      <c r="J332" s="140"/>
      <c r="K332" s="140"/>
      <c r="L332" s="140"/>
      <c r="M332" s="140"/>
      <c r="N332" s="140"/>
      <c r="O332" s="140"/>
      <c r="P332" s="140"/>
      <c r="Q332" s="140"/>
      <c r="R332" s="140"/>
      <c r="S332" s="140"/>
      <c r="T332" s="140"/>
      <c r="U332" s="140"/>
      <c r="V332" s="140"/>
      <c r="W332" s="140"/>
      <c r="X332" s="140"/>
      <c r="Y332" s="140"/>
      <c r="Z332" s="140"/>
      <c r="AA332" s="140"/>
      <c r="AB332" s="140"/>
      <c r="AC332" s="140"/>
      <c r="AD332" s="140"/>
    </row>
    <row r="333" spans="1:30" ht="15.75" customHeight="1" x14ac:dyDescent="0.2">
      <c r="A333" s="140"/>
      <c r="B333" s="140"/>
      <c r="C333" s="140"/>
      <c r="D333" s="140"/>
      <c r="E333" s="140"/>
      <c r="F333" s="140"/>
      <c r="G333" s="140"/>
      <c r="H333" s="140"/>
      <c r="I333" s="140"/>
      <c r="J333" s="140"/>
      <c r="K333" s="140"/>
      <c r="L333" s="140"/>
      <c r="M333" s="140"/>
      <c r="N333" s="140"/>
      <c r="O333" s="140"/>
      <c r="P333" s="140"/>
      <c r="Q333" s="140"/>
      <c r="R333" s="140"/>
      <c r="S333" s="140"/>
      <c r="T333" s="140"/>
      <c r="U333" s="140"/>
      <c r="V333" s="140"/>
      <c r="W333" s="140"/>
      <c r="X333" s="140"/>
      <c r="Y333" s="140"/>
      <c r="Z333" s="140"/>
      <c r="AA333" s="140"/>
      <c r="AB333" s="140"/>
      <c r="AC333" s="140"/>
      <c r="AD333" s="140"/>
    </row>
    <row r="334" spans="1:30" ht="15.75" customHeight="1" x14ac:dyDescent="0.2">
      <c r="A334" s="140"/>
      <c r="B334" s="140"/>
      <c r="C334" s="140"/>
      <c r="D334" s="140"/>
      <c r="E334" s="140"/>
      <c r="F334" s="140"/>
      <c r="G334" s="140"/>
      <c r="H334" s="140"/>
      <c r="I334" s="140"/>
      <c r="J334" s="140"/>
      <c r="K334" s="140"/>
      <c r="L334" s="140"/>
      <c r="M334" s="140"/>
      <c r="N334" s="140"/>
      <c r="O334" s="140"/>
      <c r="P334" s="140"/>
      <c r="Q334" s="140"/>
      <c r="R334" s="140"/>
      <c r="S334" s="140"/>
      <c r="T334" s="140"/>
      <c r="U334" s="140"/>
      <c r="V334" s="140"/>
      <c r="W334" s="140"/>
      <c r="X334" s="140"/>
      <c r="Y334" s="140"/>
      <c r="Z334" s="140"/>
      <c r="AA334" s="140"/>
      <c r="AB334" s="140"/>
      <c r="AC334" s="140"/>
      <c r="AD334" s="140"/>
    </row>
    <row r="335" spans="1:30" ht="15.75" customHeight="1" x14ac:dyDescent="0.2">
      <c r="A335" s="140"/>
      <c r="B335" s="140"/>
      <c r="C335" s="140"/>
      <c r="D335" s="140"/>
      <c r="E335" s="140"/>
      <c r="F335" s="140"/>
      <c r="G335" s="140"/>
      <c r="H335" s="140"/>
      <c r="I335" s="140"/>
      <c r="J335" s="140"/>
      <c r="K335" s="140"/>
      <c r="L335" s="140"/>
      <c r="M335" s="140"/>
      <c r="N335" s="140"/>
      <c r="O335" s="140"/>
      <c r="P335" s="140"/>
      <c r="Q335" s="140"/>
      <c r="R335" s="140"/>
      <c r="S335" s="140"/>
      <c r="T335" s="140"/>
      <c r="U335" s="140"/>
      <c r="V335" s="140"/>
      <c r="W335" s="140"/>
      <c r="X335" s="140"/>
      <c r="Y335" s="140"/>
      <c r="Z335" s="140"/>
      <c r="AA335" s="140"/>
      <c r="AB335" s="140"/>
      <c r="AC335" s="140"/>
      <c r="AD335" s="140"/>
    </row>
    <row r="336" spans="1:30" ht="15.75" customHeight="1" x14ac:dyDescent="0.2">
      <c r="A336" s="140"/>
      <c r="B336" s="140"/>
      <c r="C336" s="140"/>
      <c r="D336" s="140"/>
      <c r="E336" s="140"/>
      <c r="F336" s="140"/>
      <c r="G336" s="140"/>
      <c r="H336" s="140"/>
      <c r="I336" s="140"/>
      <c r="J336" s="140"/>
      <c r="K336" s="140"/>
      <c r="L336" s="140"/>
      <c r="M336" s="140"/>
      <c r="N336" s="140"/>
      <c r="O336" s="140"/>
      <c r="P336" s="140"/>
      <c r="Q336" s="140"/>
      <c r="R336" s="140"/>
      <c r="S336" s="140"/>
      <c r="T336" s="140"/>
      <c r="U336" s="140"/>
      <c r="V336" s="140"/>
      <c r="W336" s="140"/>
      <c r="X336" s="140"/>
      <c r="Y336" s="140"/>
      <c r="Z336" s="140"/>
      <c r="AA336" s="140"/>
      <c r="AB336" s="140"/>
      <c r="AC336" s="140"/>
      <c r="AD336" s="140"/>
    </row>
    <row r="337" spans="1:30" ht="15.75" customHeight="1" x14ac:dyDescent="0.2">
      <c r="A337" s="140"/>
      <c r="B337" s="140"/>
      <c r="C337" s="140"/>
      <c r="D337" s="140"/>
      <c r="E337" s="140"/>
      <c r="F337" s="140"/>
      <c r="G337" s="140"/>
      <c r="H337" s="140"/>
      <c r="I337" s="140"/>
      <c r="J337" s="140"/>
      <c r="K337" s="140"/>
      <c r="L337" s="140"/>
      <c r="M337" s="140"/>
      <c r="N337" s="140"/>
      <c r="O337" s="140"/>
      <c r="P337" s="140"/>
      <c r="Q337" s="140"/>
      <c r="R337" s="140"/>
      <c r="S337" s="140"/>
      <c r="T337" s="140"/>
      <c r="U337" s="140"/>
      <c r="V337" s="140"/>
      <c r="W337" s="140"/>
      <c r="X337" s="140"/>
      <c r="Y337" s="140"/>
      <c r="Z337" s="140"/>
      <c r="AA337" s="140"/>
      <c r="AB337" s="140"/>
      <c r="AC337" s="140"/>
      <c r="AD337" s="140"/>
    </row>
    <row r="338" spans="1:30" ht="15.75" customHeight="1" x14ac:dyDescent="0.2">
      <c r="A338" s="140"/>
      <c r="B338" s="140"/>
      <c r="C338" s="140"/>
      <c r="D338" s="140"/>
      <c r="E338" s="140"/>
      <c r="F338" s="140"/>
      <c r="G338" s="140"/>
      <c r="H338" s="140"/>
      <c r="I338" s="140"/>
      <c r="J338" s="140"/>
      <c r="K338" s="140"/>
      <c r="L338" s="140"/>
      <c r="M338" s="140"/>
      <c r="N338" s="140"/>
      <c r="O338" s="140"/>
      <c r="P338" s="140"/>
      <c r="Q338" s="140"/>
      <c r="R338" s="140"/>
      <c r="S338" s="140"/>
      <c r="T338" s="140"/>
      <c r="U338" s="140"/>
      <c r="V338" s="140"/>
      <c r="W338" s="140"/>
      <c r="X338" s="140"/>
      <c r="Y338" s="140"/>
      <c r="Z338" s="140"/>
      <c r="AA338" s="140"/>
      <c r="AB338" s="140"/>
      <c r="AC338" s="140"/>
      <c r="AD338" s="140"/>
    </row>
    <row r="339" spans="1:30" ht="15.75" customHeight="1" x14ac:dyDescent="0.2">
      <c r="A339" s="140"/>
      <c r="B339" s="140"/>
      <c r="C339" s="140"/>
      <c r="D339" s="140"/>
      <c r="E339" s="140"/>
      <c r="F339" s="140"/>
      <c r="G339" s="140"/>
      <c r="H339" s="140"/>
      <c r="I339" s="140"/>
      <c r="J339" s="140"/>
      <c r="K339" s="140"/>
      <c r="L339" s="140"/>
      <c r="M339" s="140"/>
      <c r="N339" s="140"/>
      <c r="O339" s="140"/>
      <c r="P339" s="140"/>
      <c r="Q339" s="140"/>
      <c r="R339" s="140"/>
      <c r="S339" s="140"/>
      <c r="T339" s="140"/>
      <c r="U339" s="140"/>
      <c r="V339" s="140"/>
      <c r="W339" s="140"/>
      <c r="X339" s="140"/>
      <c r="Y339" s="140"/>
      <c r="Z339" s="140"/>
      <c r="AA339" s="140"/>
      <c r="AB339" s="140"/>
      <c r="AC339" s="140"/>
      <c r="AD339" s="140"/>
    </row>
    <row r="340" spans="1:30" ht="15.75" customHeight="1" x14ac:dyDescent="0.2">
      <c r="A340" s="140"/>
      <c r="B340" s="140"/>
      <c r="C340" s="140"/>
      <c r="D340" s="140"/>
      <c r="E340" s="140"/>
      <c r="F340" s="140"/>
      <c r="G340" s="140"/>
      <c r="H340" s="140"/>
      <c r="I340" s="140"/>
      <c r="J340" s="140"/>
      <c r="K340" s="140"/>
      <c r="L340" s="140"/>
      <c r="M340" s="140"/>
      <c r="N340" s="140"/>
      <c r="O340" s="140"/>
      <c r="P340" s="140"/>
      <c r="Q340" s="140"/>
      <c r="R340" s="140"/>
      <c r="S340" s="140"/>
      <c r="T340" s="140"/>
      <c r="U340" s="140"/>
      <c r="V340" s="140"/>
      <c r="W340" s="140"/>
      <c r="X340" s="140"/>
      <c r="Y340" s="140"/>
      <c r="Z340" s="140"/>
      <c r="AA340" s="140"/>
      <c r="AB340" s="140"/>
      <c r="AC340" s="140"/>
      <c r="AD340" s="140"/>
    </row>
    <row r="341" spans="1:30" ht="15.75" customHeight="1" x14ac:dyDescent="0.2">
      <c r="A341" s="140"/>
      <c r="B341" s="140"/>
      <c r="C341" s="140"/>
      <c r="D341" s="140"/>
      <c r="E341" s="140"/>
      <c r="F341" s="140"/>
      <c r="G341" s="140"/>
      <c r="H341" s="140"/>
      <c r="I341" s="140"/>
      <c r="J341" s="140"/>
      <c r="K341" s="140"/>
      <c r="L341" s="140"/>
      <c r="M341" s="140"/>
      <c r="N341" s="140"/>
      <c r="O341" s="140"/>
      <c r="P341" s="140"/>
      <c r="Q341" s="140"/>
      <c r="R341" s="140"/>
      <c r="S341" s="140"/>
      <c r="T341" s="140"/>
      <c r="U341" s="140"/>
      <c r="V341" s="140"/>
      <c r="W341" s="140"/>
      <c r="X341" s="140"/>
      <c r="Y341" s="140"/>
      <c r="Z341" s="140"/>
      <c r="AA341" s="140"/>
      <c r="AB341" s="140"/>
      <c r="AC341" s="140"/>
      <c r="AD341" s="140"/>
    </row>
    <row r="342" spans="1:30" ht="15.75" customHeight="1" x14ac:dyDescent="0.2">
      <c r="A342" s="140"/>
      <c r="B342" s="140"/>
      <c r="C342" s="140"/>
      <c r="D342" s="140"/>
      <c r="E342" s="140"/>
      <c r="F342" s="140"/>
      <c r="G342" s="140"/>
      <c r="H342" s="140"/>
      <c r="I342" s="140"/>
      <c r="J342" s="140"/>
      <c r="K342" s="140"/>
      <c r="L342" s="140"/>
      <c r="M342" s="140"/>
      <c r="N342" s="140"/>
      <c r="O342" s="140"/>
      <c r="P342" s="140"/>
      <c r="Q342" s="140"/>
      <c r="R342" s="140"/>
      <c r="S342" s="140"/>
      <c r="T342" s="140"/>
      <c r="U342" s="140"/>
      <c r="V342" s="140"/>
      <c r="W342" s="140"/>
      <c r="X342" s="140"/>
      <c r="Y342" s="140"/>
      <c r="Z342" s="140"/>
      <c r="AA342" s="140"/>
      <c r="AB342" s="140"/>
      <c r="AC342" s="140"/>
      <c r="AD342" s="140"/>
    </row>
    <row r="343" spans="1:30" ht="15.75" customHeight="1" x14ac:dyDescent="0.2">
      <c r="A343" s="140"/>
      <c r="B343" s="140"/>
      <c r="C343" s="140"/>
      <c r="D343" s="140"/>
      <c r="E343" s="140"/>
      <c r="F343" s="140"/>
      <c r="G343" s="140"/>
      <c r="H343" s="140"/>
      <c r="I343" s="140"/>
      <c r="J343" s="140"/>
      <c r="K343" s="140"/>
      <c r="L343" s="140"/>
      <c r="M343" s="140"/>
      <c r="N343" s="140"/>
      <c r="O343" s="140"/>
      <c r="P343" s="140"/>
      <c r="Q343" s="140"/>
      <c r="R343" s="140"/>
      <c r="S343" s="140"/>
      <c r="T343" s="140"/>
      <c r="U343" s="140"/>
      <c r="V343" s="140"/>
      <c r="W343" s="140"/>
      <c r="X343" s="140"/>
      <c r="Y343" s="140"/>
      <c r="Z343" s="140"/>
      <c r="AA343" s="140"/>
      <c r="AB343" s="140"/>
      <c r="AC343" s="140"/>
      <c r="AD343" s="140"/>
    </row>
    <row r="344" spans="1:30" ht="15.75" customHeight="1" x14ac:dyDescent="0.2">
      <c r="A344" s="140"/>
      <c r="B344" s="140"/>
      <c r="C344" s="140"/>
      <c r="D344" s="140"/>
      <c r="E344" s="140"/>
      <c r="F344" s="140"/>
      <c r="G344" s="140"/>
      <c r="H344" s="140"/>
      <c r="I344" s="140"/>
      <c r="J344" s="140"/>
      <c r="K344" s="140"/>
      <c r="L344" s="140"/>
      <c r="M344" s="140"/>
      <c r="N344" s="140"/>
      <c r="O344" s="140"/>
      <c r="P344" s="140"/>
      <c r="Q344" s="140"/>
      <c r="R344" s="140"/>
      <c r="S344" s="140"/>
      <c r="T344" s="140"/>
      <c r="U344" s="140"/>
      <c r="V344" s="140"/>
      <c r="W344" s="140"/>
      <c r="X344" s="140"/>
      <c r="Y344" s="140"/>
      <c r="Z344" s="140"/>
      <c r="AA344" s="140"/>
      <c r="AB344" s="140"/>
      <c r="AC344" s="140"/>
      <c r="AD344" s="140"/>
    </row>
    <row r="345" spans="1:30" ht="15.75" customHeight="1" x14ac:dyDescent="0.2">
      <c r="A345" s="140"/>
      <c r="B345" s="140"/>
      <c r="C345" s="140"/>
      <c r="D345" s="140"/>
      <c r="E345" s="140"/>
      <c r="F345" s="140"/>
      <c r="G345" s="140"/>
      <c r="H345" s="140"/>
      <c r="I345" s="140"/>
      <c r="J345" s="140"/>
      <c r="K345" s="140"/>
      <c r="L345" s="140"/>
      <c r="M345" s="140"/>
      <c r="N345" s="140"/>
      <c r="O345" s="140"/>
      <c r="P345" s="140"/>
      <c r="Q345" s="140"/>
      <c r="R345" s="140"/>
      <c r="S345" s="140"/>
      <c r="T345" s="140"/>
      <c r="U345" s="140"/>
      <c r="V345" s="140"/>
      <c r="W345" s="140"/>
      <c r="X345" s="140"/>
      <c r="Y345" s="140"/>
      <c r="Z345" s="140"/>
      <c r="AA345" s="140"/>
      <c r="AB345" s="140"/>
      <c r="AC345" s="140"/>
      <c r="AD345" s="140"/>
    </row>
    <row r="346" spans="1:30" ht="15.75" customHeight="1" x14ac:dyDescent="0.2">
      <c r="A346" s="140"/>
      <c r="B346" s="140"/>
      <c r="C346" s="140"/>
      <c r="D346" s="140"/>
      <c r="E346" s="140"/>
      <c r="F346" s="140"/>
      <c r="G346" s="140"/>
      <c r="H346" s="140"/>
      <c r="I346" s="140"/>
      <c r="J346" s="140"/>
      <c r="K346" s="140"/>
      <c r="L346" s="140"/>
      <c r="M346" s="140"/>
      <c r="N346" s="140"/>
      <c r="O346" s="140"/>
      <c r="P346" s="140"/>
      <c r="Q346" s="140"/>
      <c r="R346" s="140"/>
      <c r="S346" s="140"/>
      <c r="T346" s="140"/>
      <c r="U346" s="140"/>
      <c r="V346" s="140"/>
      <c r="W346" s="140"/>
      <c r="X346" s="140"/>
      <c r="Y346" s="140"/>
      <c r="Z346" s="140"/>
      <c r="AA346" s="140"/>
      <c r="AB346" s="140"/>
      <c r="AC346" s="140"/>
      <c r="AD346" s="140"/>
    </row>
    <row r="347" spans="1:30" ht="15.75" customHeight="1" x14ac:dyDescent="0.2">
      <c r="A347" s="140"/>
      <c r="B347" s="140"/>
      <c r="C347" s="140"/>
      <c r="D347" s="140"/>
      <c r="E347" s="140"/>
      <c r="F347" s="140"/>
      <c r="G347" s="140"/>
      <c r="H347" s="140"/>
      <c r="I347" s="140"/>
      <c r="J347" s="140"/>
      <c r="K347" s="140"/>
      <c r="L347" s="140"/>
      <c r="M347" s="140"/>
      <c r="N347" s="140"/>
      <c r="O347" s="140"/>
      <c r="P347" s="140"/>
      <c r="Q347" s="140"/>
      <c r="R347" s="140"/>
      <c r="S347" s="140"/>
      <c r="T347" s="140"/>
      <c r="U347" s="140"/>
      <c r="V347" s="140"/>
      <c r="W347" s="140"/>
      <c r="X347" s="140"/>
      <c r="Y347" s="140"/>
      <c r="Z347" s="140"/>
      <c r="AA347" s="140"/>
      <c r="AB347" s="140"/>
      <c r="AC347" s="140"/>
      <c r="AD347" s="140"/>
    </row>
    <row r="348" spans="1:30" ht="15.75" customHeight="1" x14ac:dyDescent="0.2">
      <c r="A348" s="140"/>
      <c r="B348" s="140"/>
      <c r="C348" s="140"/>
      <c r="D348" s="140"/>
      <c r="E348" s="140"/>
      <c r="F348" s="140"/>
      <c r="G348" s="140"/>
      <c r="H348" s="140"/>
      <c r="I348" s="140"/>
      <c r="J348" s="140"/>
      <c r="K348" s="140"/>
      <c r="L348" s="140"/>
      <c r="M348" s="140"/>
      <c r="N348" s="140"/>
      <c r="O348" s="140"/>
      <c r="P348" s="140"/>
      <c r="Q348" s="140"/>
      <c r="R348" s="140"/>
      <c r="S348" s="140"/>
      <c r="T348" s="140"/>
      <c r="U348" s="140"/>
      <c r="V348" s="140"/>
      <c r="W348" s="140"/>
      <c r="X348" s="140"/>
      <c r="Y348" s="140"/>
      <c r="Z348" s="140"/>
      <c r="AA348" s="140"/>
      <c r="AB348" s="140"/>
      <c r="AC348" s="140"/>
      <c r="AD348" s="140"/>
    </row>
    <row r="349" spans="1:30" ht="15.75" customHeight="1" x14ac:dyDescent="0.2">
      <c r="A349" s="140"/>
      <c r="B349" s="140"/>
      <c r="C349" s="140"/>
      <c r="D349" s="140"/>
      <c r="E349" s="140"/>
      <c r="F349" s="140"/>
      <c r="G349" s="140"/>
      <c r="H349" s="140"/>
      <c r="I349" s="140"/>
      <c r="J349" s="140"/>
      <c r="K349" s="140"/>
      <c r="L349" s="140"/>
      <c r="M349" s="140"/>
      <c r="N349" s="140"/>
      <c r="O349" s="140"/>
      <c r="P349" s="140"/>
      <c r="Q349" s="140"/>
      <c r="R349" s="140"/>
      <c r="S349" s="140"/>
      <c r="T349" s="140"/>
      <c r="U349" s="140"/>
      <c r="V349" s="140"/>
      <c r="W349" s="140"/>
      <c r="X349" s="140"/>
      <c r="Y349" s="140"/>
      <c r="Z349" s="140"/>
      <c r="AA349" s="140"/>
      <c r="AB349" s="140"/>
      <c r="AC349" s="140"/>
      <c r="AD349" s="140"/>
    </row>
    <row r="350" spans="1:30" ht="15.75" customHeight="1" x14ac:dyDescent="0.2">
      <c r="A350" s="140"/>
      <c r="B350" s="140"/>
      <c r="C350" s="140"/>
      <c r="D350" s="140"/>
      <c r="E350" s="140"/>
      <c r="F350" s="140"/>
      <c r="G350" s="140"/>
      <c r="H350" s="140"/>
      <c r="I350" s="140"/>
      <c r="J350" s="140"/>
      <c r="K350" s="140"/>
      <c r="L350" s="140"/>
      <c r="M350" s="140"/>
      <c r="N350" s="140"/>
      <c r="O350" s="140"/>
      <c r="P350" s="140"/>
      <c r="Q350" s="140"/>
      <c r="R350" s="140"/>
      <c r="S350" s="140"/>
      <c r="T350" s="140"/>
      <c r="U350" s="140"/>
      <c r="V350" s="140"/>
      <c r="W350" s="140"/>
      <c r="X350" s="140"/>
      <c r="Y350" s="140"/>
      <c r="Z350" s="140"/>
      <c r="AA350" s="140"/>
      <c r="AB350" s="140"/>
      <c r="AC350" s="140"/>
      <c r="AD350" s="140"/>
    </row>
    <row r="351" spans="1:30" ht="15.75" customHeight="1" x14ac:dyDescent="0.2">
      <c r="A351" s="140"/>
      <c r="B351" s="140"/>
      <c r="C351" s="140"/>
      <c r="D351" s="140"/>
      <c r="E351" s="140"/>
      <c r="F351" s="140"/>
      <c r="G351" s="140"/>
      <c r="H351" s="140"/>
      <c r="I351" s="140"/>
      <c r="J351" s="140"/>
      <c r="K351" s="140"/>
      <c r="L351" s="140"/>
      <c r="M351" s="140"/>
      <c r="N351" s="140"/>
      <c r="O351" s="140"/>
      <c r="P351" s="140"/>
      <c r="Q351" s="140"/>
      <c r="R351" s="140"/>
      <c r="S351" s="140"/>
      <c r="T351" s="140"/>
      <c r="U351" s="140"/>
      <c r="V351" s="140"/>
      <c r="W351" s="140"/>
      <c r="X351" s="140"/>
      <c r="Y351" s="140"/>
      <c r="Z351" s="140"/>
      <c r="AA351" s="140"/>
      <c r="AB351" s="140"/>
      <c r="AC351" s="140"/>
      <c r="AD351" s="140"/>
    </row>
    <row r="352" spans="1:30" ht="15.75" customHeight="1" x14ac:dyDescent="0.2">
      <c r="A352" s="140"/>
      <c r="B352" s="140"/>
      <c r="C352" s="140"/>
      <c r="D352" s="140"/>
      <c r="E352" s="140"/>
      <c r="F352" s="140"/>
      <c r="G352" s="140"/>
      <c r="H352" s="140"/>
      <c r="I352" s="140"/>
      <c r="J352" s="140"/>
      <c r="K352" s="140"/>
      <c r="L352" s="140"/>
      <c r="M352" s="140"/>
      <c r="N352" s="140"/>
      <c r="O352" s="140"/>
      <c r="P352" s="140"/>
      <c r="Q352" s="140"/>
      <c r="R352" s="140"/>
      <c r="S352" s="140"/>
      <c r="T352" s="140"/>
      <c r="U352" s="140"/>
      <c r="V352" s="140"/>
      <c r="W352" s="140"/>
      <c r="X352" s="140"/>
      <c r="Y352" s="140"/>
      <c r="Z352" s="140"/>
      <c r="AA352" s="140"/>
      <c r="AB352" s="140"/>
      <c r="AC352" s="140"/>
      <c r="AD352" s="140"/>
    </row>
    <row r="353" spans="1:30" ht="15.75" customHeight="1" x14ac:dyDescent="0.2">
      <c r="A353" s="140"/>
      <c r="B353" s="140"/>
      <c r="C353" s="140"/>
      <c r="D353" s="140"/>
      <c r="E353" s="140"/>
      <c r="F353" s="140"/>
      <c r="G353" s="140"/>
      <c r="H353" s="140"/>
      <c r="I353" s="140"/>
      <c r="J353" s="140"/>
      <c r="K353" s="140"/>
      <c r="L353" s="140"/>
      <c r="M353" s="140"/>
      <c r="N353" s="140"/>
      <c r="O353" s="140"/>
      <c r="P353" s="140"/>
      <c r="Q353" s="140"/>
      <c r="R353" s="140"/>
      <c r="S353" s="140"/>
      <c r="T353" s="140"/>
      <c r="U353" s="140"/>
      <c r="V353" s="140"/>
      <c r="W353" s="140"/>
      <c r="X353" s="140"/>
      <c r="Y353" s="140"/>
      <c r="Z353" s="140"/>
      <c r="AA353" s="140"/>
      <c r="AB353" s="140"/>
      <c r="AC353" s="140"/>
      <c r="AD353" s="140"/>
    </row>
    <row r="354" spans="1:30" ht="15.75" customHeight="1" x14ac:dyDescent="0.2">
      <c r="A354" s="140"/>
      <c r="B354" s="140"/>
      <c r="C354" s="140"/>
      <c r="D354" s="140"/>
      <c r="E354" s="140"/>
      <c r="F354" s="140"/>
      <c r="G354" s="140"/>
      <c r="H354" s="140"/>
      <c r="I354" s="140"/>
      <c r="J354" s="140"/>
      <c r="K354" s="140"/>
      <c r="L354" s="140"/>
      <c r="M354" s="140"/>
      <c r="N354" s="140"/>
      <c r="O354" s="140"/>
      <c r="P354" s="140"/>
      <c r="Q354" s="140"/>
      <c r="R354" s="140"/>
      <c r="S354" s="140"/>
      <c r="T354" s="140"/>
      <c r="U354" s="140"/>
      <c r="V354" s="140"/>
      <c r="W354" s="140"/>
      <c r="X354" s="140"/>
      <c r="Y354" s="140"/>
      <c r="Z354" s="140"/>
      <c r="AA354" s="140"/>
      <c r="AB354" s="140"/>
      <c r="AC354" s="140"/>
      <c r="AD354" s="140"/>
    </row>
    <row r="355" spans="1:30" ht="15.75" customHeight="1" x14ac:dyDescent="0.2">
      <c r="A355" s="140"/>
      <c r="B355" s="140"/>
      <c r="C355" s="140"/>
      <c r="D355" s="140"/>
      <c r="E355" s="140"/>
      <c r="F355" s="140"/>
      <c r="G355" s="140"/>
      <c r="H355" s="140"/>
      <c r="I355" s="140"/>
      <c r="J355" s="140"/>
      <c r="K355" s="140"/>
      <c r="L355" s="140"/>
      <c r="M355" s="140"/>
      <c r="N355" s="140"/>
      <c r="O355" s="140"/>
      <c r="P355" s="140"/>
      <c r="Q355" s="140"/>
      <c r="R355" s="140"/>
      <c r="S355" s="140"/>
      <c r="T355" s="140"/>
      <c r="U355" s="140"/>
      <c r="V355" s="140"/>
      <c r="W355" s="140"/>
      <c r="X355" s="140"/>
      <c r="Y355" s="140"/>
      <c r="Z355" s="140"/>
      <c r="AA355" s="140"/>
      <c r="AB355" s="140"/>
      <c r="AC355" s="140"/>
      <c r="AD355" s="140"/>
    </row>
    <row r="356" spans="1:30" ht="15.75" customHeight="1" x14ac:dyDescent="0.2">
      <c r="A356" s="140"/>
      <c r="B356" s="140"/>
      <c r="C356" s="140"/>
      <c r="D356" s="140"/>
      <c r="E356" s="140"/>
      <c r="F356" s="140"/>
      <c r="G356" s="140"/>
      <c r="H356" s="140"/>
      <c r="I356" s="140"/>
      <c r="J356" s="140"/>
      <c r="K356" s="140"/>
      <c r="L356" s="140"/>
      <c r="M356" s="140"/>
      <c r="N356" s="140"/>
      <c r="O356" s="140"/>
      <c r="P356" s="140"/>
      <c r="Q356" s="140"/>
      <c r="R356" s="140"/>
      <c r="S356" s="140"/>
      <c r="T356" s="140"/>
      <c r="U356" s="140"/>
      <c r="V356" s="140"/>
      <c r="W356" s="140"/>
      <c r="X356" s="140"/>
      <c r="Y356" s="140"/>
      <c r="Z356" s="140"/>
      <c r="AA356" s="140"/>
      <c r="AB356" s="140"/>
      <c r="AC356" s="140"/>
      <c r="AD356" s="140"/>
    </row>
    <row r="357" spans="1:30" ht="15.75" customHeight="1" x14ac:dyDescent="0.2">
      <c r="A357" s="140"/>
      <c r="B357" s="140"/>
      <c r="C357" s="140"/>
      <c r="D357" s="140"/>
      <c r="E357" s="140"/>
      <c r="F357" s="140"/>
      <c r="G357" s="140"/>
      <c r="H357" s="140"/>
      <c r="I357" s="140"/>
      <c r="J357" s="140"/>
      <c r="K357" s="140"/>
      <c r="L357" s="140"/>
      <c r="M357" s="140"/>
      <c r="N357" s="140"/>
      <c r="O357" s="140"/>
      <c r="P357" s="140"/>
      <c r="Q357" s="140"/>
      <c r="R357" s="140"/>
      <c r="S357" s="140"/>
      <c r="T357" s="140"/>
      <c r="U357" s="140"/>
      <c r="V357" s="140"/>
      <c r="W357" s="140"/>
      <c r="X357" s="140"/>
      <c r="Y357" s="140"/>
      <c r="Z357" s="140"/>
      <c r="AA357" s="140"/>
      <c r="AB357" s="140"/>
      <c r="AC357" s="140"/>
      <c r="AD357" s="140"/>
    </row>
    <row r="358" spans="1:30" ht="15.75" customHeight="1" x14ac:dyDescent="0.2">
      <c r="A358" s="140"/>
      <c r="B358" s="140"/>
      <c r="C358" s="140"/>
      <c r="D358" s="140"/>
      <c r="E358" s="140"/>
      <c r="F358" s="140"/>
      <c r="G358" s="140"/>
      <c r="H358" s="140"/>
      <c r="I358" s="140"/>
      <c r="J358" s="140"/>
      <c r="K358" s="140"/>
      <c r="L358" s="140"/>
      <c r="M358" s="140"/>
      <c r="N358" s="140"/>
      <c r="O358" s="140"/>
      <c r="P358" s="140"/>
      <c r="Q358" s="140"/>
      <c r="R358" s="140"/>
      <c r="S358" s="140"/>
      <c r="T358" s="140"/>
      <c r="U358" s="140"/>
      <c r="V358" s="140"/>
      <c r="W358" s="140"/>
      <c r="X358" s="140"/>
      <c r="Y358" s="140"/>
      <c r="Z358" s="140"/>
      <c r="AA358" s="140"/>
      <c r="AB358" s="140"/>
      <c r="AC358" s="140"/>
      <c r="AD358" s="140"/>
    </row>
    <row r="359" spans="1:30" ht="15.75" customHeight="1" x14ac:dyDescent="0.2">
      <c r="A359" s="140"/>
      <c r="B359" s="140"/>
      <c r="C359" s="140"/>
      <c r="D359" s="140"/>
      <c r="E359" s="140"/>
      <c r="F359" s="140"/>
      <c r="G359" s="140"/>
      <c r="H359" s="140"/>
      <c r="I359" s="140"/>
      <c r="J359" s="140"/>
      <c r="K359" s="140"/>
      <c r="L359" s="140"/>
      <c r="M359" s="140"/>
      <c r="N359" s="140"/>
      <c r="O359" s="140"/>
      <c r="P359" s="140"/>
      <c r="Q359" s="140"/>
      <c r="R359" s="140"/>
      <c r="S359" s="140"/>
      <c r="T359" s="140"/>
      <c r="U359" s="140"/>
      <c r="V359" s="140"/>
      <c r="W359" s="140"/>
      <c r="X359" s="140"/>
      <c r="Y359" s="140"/>
      <c r="Z359" s="140"/>
      <c r="AA359" s="140"/>
      <c r="AB359" s="140"/>
      <c r="AC359" s="140"/>
      <c r="AD359" s="140"/>
    </row>
    <row r="360" spans="1:30" ht="15.75" customHeight="1" x14ac:dyDescent="0.2">
      <c r="A360" s="140"/>
      <c r="B360" s="140"/>
      <c r="C360" s="140"/>
      <c r="D360" s="140"/>
      <c r="E360" s="140"/>
      <c r="F360" s="140"/>
      <c r="G360" s="140"/>
      <c r="H360" s="140"/>
      <c r="I360" s="140"/>
      <c r="J360" s="140"/>
      <c r="K360" s="140"/>
      <c r="L360" s="140"/>
      <c r="M360" s="140"/>
      <c r="N360" s="140"/>
      <c r="O360" s="140"/>
      <c r="P360" s="140"/>
      <c r="Q360" s="140"/>
      <c r="R360" s="140"/>
      <c r="S360" s="140"/>
      <c r="T360" s="140"/>
      <c r="U360" s="140"/>
      <c r="V360" s="140"/>
      <c r="W360" s="140"/>
      <c r="X360" s="140"/>
      <c r="Y360" s="140"/>
      <c r="Z360" s="140"/>
      <c r="AA360" s="140"/>
      <c r="AB360" s="140"/>
      <c r="AC360" s="140"/>
      <c r="AD360" s="140"/>
    </row>
    <row r="361" spans="1:30" ht="15.75" customHeight="1" x14ac:dyDescent="0.2">
      <c r="A361" s="140"/>
      <c r="B361" s="140"/>
      <c r="C361" s="140"/>
      <c r="D361" s="140"/>
      <c r="E361" s="140"/>
      <c r="F361" s="140"/>
      <c r="G361" s="140"/>
      <c r="H361" s="140"/>
      <c r="I361" s="140"/>
      <c r="J361" s="140"/>
      <c r="K361" s="140"/>
      <c r="L361" s="140"/>
      <c r="M361" s="140"/>
      <c r="N361" s="140"/>
      <c r="O361" s="140"/>
      <c r="P361" s="140"/>
      <c r="Q361" s="140"/>
      <c r="R361" s="140"/>
      <c r="S361" s="140"/>
      <c r="T361" s="140"/>
      <c r="U361" s="140"/>
      <c r="V361" s="140"/>
      <c r="W361" s="140"/>
      <c r="X361" s="140"/>
      <c r="Y361" s="140"/>
      <c r="Z361" s="140"/>
      <c r="AA361" s="140"/>
      <c r="AB361" s="140"/>
      <c r="AC361" s="140"/>
      <c r="AD361" s="140"/>
    </row>
    <row r="362" spans="1:30" ht="15.75" customHeight="1" x14ac:dyDescent="0.2">
      <c r="A362" s="140"/>
      <c r="B362" s="140"/>
      <c r="C362" s="140"/>
      <c r="D362" s="140"/>
      <c r="E362" s="140"/>
      <c r="F362" s="140"/>
      <c r="G362" s="140"/>
      <c r="H362" s="140"/>
      <c r="I362" s="140"/>
      <c r="J362" s="140"/>
      <c r="K362" s="140"/>
      <c r="L362" s="140"/>
      <c r="M362" s="140"/>
      <c r="N362" s="140"/>
      <c r="O362" s="140"/>
      <c r="P362" s="140"/>
      <c r="Q362" s="140"/>
      <c r="R362" s="140"/>
      <c r="S362" s="140"/>
      <c r="T362" s="140"/>
      <c r="U362" s="140"/>
      <c r="V362" s="140"/>
      <c r="W362" s="140"/>
      <c r="X362" s="140"/>
      <c r="Y362" s="140"/>
      <c r="Z362" s="140"/>
      <c r="AA362" s="140"/>
      <c r="AB362" s="140"/>
      <c r="AC362" s="140"/>
      <c r="AD362" s="140"/>
    </row>
    <row r="363" spans="1:30" ht="15.75" customHeight="1" x14ac:dyDescent="0.2">
      <c r="A363" s="140"/>
      <c r="B363" s="140"/>
      <c r="C363" s="140"/>
      <c r="D363" s="140"/>
      <c r="E363" s="140"/>
      <c r="F363" s="140"/>
      <c r="G363" s="140"/>
      <c r="H363" s="140"/>
      <c r="I363" s="140"/>
      <c r="J363" s="140"/>
      <c r="K363" s="140"/>
      <c r="L363" s="140"/>
      <c r="M363" s="140"/>
      <c r="N363" s="140"/>
      <c r="O363" s="140"/>
      <c r="P363" s="140"/>
      <c r="Q363" s="140"/>
      <c r="R363" s="140"/>
      <c r="S363" s="140"/>
      <c r="T363" s="140"/>
      <c r="U363" s="140"/>
      <c r="V363" s="140"/>
      <c r="W363" s="140"/>
      <c r="X363" s="140"/>
      <c r="Y363" s="140"/>
      <c r="Z363" s="140"/>
      <c r="AA363" s="140"/>
      <c r="AB363" s="140"/>
      <c r="AC363" s="140"/>
      <c r="AD363" s="140"/>
    </row>
    <row r="364" spans="1:30" ht="15.75" customHeight="1" x14ac:dyDescent="0.2">
      <c r="A364" s="140"/>
      <c r="B364" s="140"/>
      <c r="C364" s="140"/>
      <c r="D364" s="140"/>
      <c r="E364" s="140"/>
      <c r="F364" s="140"/>
      <c r="G364" s="140"/>
      <c r="H364" s="140"/>
      <c r="I364" s="140"/>
      <c r="J364" s="140"/>
      <c r="K364" s="140"/>
      <c r="L364" s="140"/>
      <c r="M364" s="140"/>
      <c r="N364" s="140"/>
      <c r="O364" s="140"/>
      <c r="P364" s="140"/>
      <c r="Q364" s="140"/>
      <c r="R364" s="140"/>
      <c r="S364" s="140"/>
      <c r="T364" s="140"/>
      <c r="U364" s="140"/>
      <c r="V364" s="140"/>
      <c r="W364" s="140"/>
      <c r="X364" s="140"/>
      <c r="Y364" s="140"/>
      <c r="Z364" s="140"/>
      <c r="AA364" s="140"/>
      <c r="AB364" s="140"/>
      <c r="AC364" s="140"/>
      <c r="AD364" s="140"/>
    </row>
    <row r="365" spans="1:30" ht="15.75" customHeight="1" x14ac:dyDescent="0.2">
      <c r="A365" s="140"/>
      <c r="B365" s="140"/>
      <c r="C365" s="140"/>
      <c r="D365" s="140"/>
      <c r="E365" s="140"/>
      <c r="F365" s="140"/>
      <c r="G365" s="140"/>
      <c r="H365" s="140"/>
      <c r="I365" s="140"/>
      <c r="J365" s="140"/>
      <c r="K365" s="140"/>
      <c r="L365" s="140"/>
      <c r="M365" s="140"/>
      <c r="N365" s="140"/>
      <c r="O365" s="140"/>
      <c r="P365" s="140"/>
      <c r="Q365" s="140"/>
      <c r="R365" s="140"/>
      <c r="S365" s="140"/>
      <c r="T365" s="140"/>
      <c r="U365" s="140"/>
      <c r="V365" s="140"/>
      <c r="W365" s="140"/>
      <c r="X365" s="140"/>
      <c r="Y365" s="140"/>
      <c r="Z365" s="140"/>
      <c r="AA365" s="140"/>
      <c r="AB365" s="140"/>
      <c r="AC365" s="140"/>
      <c r="AD365" s="140"/>
    </row>
    <row r="366" spans="1:30" ht="15.75" customHeight="1" x14ac:dyDescent="0.2">
      <c r="A366" s="140"/>
      <c r="B366" s="140"/>
      <c r="C366" s="140"/>
      <c r="D366" s="140"/>
      <c r="E366" s="140"/>
      <c r="F366" s="140"/>
      <c r="G366" s="140"/>
      <c r="H366" s="140"/>
      <c r="I366" s="140"/>
      <c r="J366" s="140"/>
      <c r="K366" s="140"/>
      <c r="L366" s="140"/>
      <c r="M366" s="140"/>
      <c r="N366" s="140"/>
      <c r="O366" s="140"/>
      <c r="P366" s="140"/>
      <c r="Q366" s="140"/>
      <c r="R366" s="140"/>
      <c r="S366" s="140"/>
      <c r="T366" s="140"/>
      <c r="U366" s="140"/>
      <c r="V366" s="140"/>
      <c r="W366" s="140"/>
      <c r="X366" s="140"/>
      <c r="Y366" s="140"/>
      <c r="Z366" s="140"/>
      <c r="AA366" s="140"/>
      <c r="AB366" s="140"/>
      <c r="AC366" s="140"/>
      <c r="AD366" s="140"/>
    </row>
    <row r="367" spans="1:30" ht="15.75" customHeight="1" x14ac:dyDescent="0.2">
      <c r="A367" s="140"/>
      <c r="B367" s="140"/>
      <c r="C367" s="140"/>
      <c r="D367" s="140"/>
      <c r="E367" s="140"/>
      <c r="F367" s="140"/>
      <c r="G367" s="140"/>
      <c r="H367" s="140"/>
      <c r="I367" s="140"/>
      <c r="J367" s="140"/>
      <c r="K367" s="140"/>
      <c r="L367" s="140"/>
      <c r="M367" s="140"/>
      <c r="N367" s="140"/>
      <c r="O367" s="140"/>
      <c r="P367" s="140"/>
      <c r="Q367" s="140"/>
      <c r="R367" s="140"/>
      <c r="S367" s="140"/>
      <c r="T367" s="140"/>
      <c r="U367" s="140"/>
      <c r="V367" s="140"/>
      <c r="W367" s="140"/>
      <c r="X367" s="140"/>
      <c r="Y367" s="140"/>
      <c r="Z367" s="140"/>
      <c r="AA367" s="140"/>
      <c r="AB367" s="140"/>
      <c r="AC367" s="140"/>
      <c r="AD367" s="140"/>
    </row>
    <row r="368" spans="1:30" ht="15.75" customHeight="1" x14ac:dyDescent="0.2">
      <c r="A368" s="140"/>
      <c r="B368" s="140"/>
      <c r="C368" s="140"/>
      <c r="D368" s="140"/>
      <c r="E368" s="140"/>
      <c r="F368" s="140"/>
      <c r="G368" s="140"/>
      <c r="H368" s="140"/>
      <c r="I368" s="140"/>
      <c r="J368" s="140"/>
      <c r="K368" s="140"/>
      <c r="L368" s="140"/>
      <c r="M368" s="140"/>
      <c r="N368" s="140"/>
      <c r="O368" s="140"/>
      <c r="P368" s="140"/>
      <c r="Q368" s="140"/>
      <c r="R368" s="140"/>
      <c r="S368" s="140"/>
      <c r="T368" s="140"/>
      <c r="U368" s="140"/>
      <c r="V368" s="140"/>
      <c r="W368" s="140"/>
      <c r="X368" s="140"/>
      <c r="Y368" s="140"/>
      <c r="Z368" s="140"/>
      <c r="AA368" s="140"/>
      <c r="AB368" s="140"/>
      <c r="AC368" s="140"/>
      <c r="AD368" s="140"/>
    </row>
    <row r="369" spans="1:30" ht="15.75" customHeight="1" x14ac:dyDescent="0.2">
      <c r="A369" s="140"/>
      <c r="B369" s="140"/>
      <c r="C369" s="140"/>
      <c r="D369" s="140"/>
      <c r="E369" s="140"/>
      <c r="F369" s="140"/>
      <c r="G369" s="140"/>
      <c r="H369" s="140"/>
      <c r="I369" s="140"/>
      <c r="J369" s="140"/>
      <c r="K369" s="140"/>
      <c r="L369" s="140"/>
      <c r="M369" s="140"/>
      <c r="N369" s="140"/>
      <c r="O369" s="140"/>
      <c r="P369" s="140"/>
      <c r="Q369" s="140"/>
      <c r="R369" s="140"/>
      <c r="S369" s="140"/>
      <c r="T369" s="140"/>
      <c r="U369" s="140"/>
      <c r="V369" s="140"/>
      <c r="W369" s="140"/>
      <c r="X369" s="140"/>
      <c r="Y369" s="140"/>
      <c r="Z369" s="140"/>
      <c r="AA369" s="140"/>
      <c r="AB369" s="140"/>
      <c r="AC369" s="140"/>
      <c r="AD369" s="140"/>
    </row>
    <row r="370" spans="1:30" ht="15.75" customHeight="1" x14ac:dyDescent="0.2">
      <c r="A370" s="140"/>
      <c r="B370" s="140"/>
      <c r="C370" s="140"/>
      <c r="D370" s="140"/>
      <c r="E370" s="140"/>
      <c r="F370" s="140"/>
      <c r="G370" s="140"/>
      <c r="H370" s="140"/>
      <c r="I370" s="140"/>
      <c r="J370" s="140"/>
      <c r="K370" s="140"/>
      <c r="L370" s="140"/>
      <c r="M370" s="140"/>
      <c r="N370" s="140"/>
      <c r="O370" s="140"/>
      <c r="P370" s="140"/>
      <c r="Q370" s="140"/>
      <c r="R370" s="140"/>
      <c r="S370" s="140"/>
      <c r="T370" s="140"/>
      <c r="U370" s="140"/>
      <c r="V370" s="140"/>
      <c r="W370" s="140"/>
      <c r="X370" s="140"/>
      <c r="Y370" s="140"/>
      <c r="Z370" s="140"/>
      <c r="AA370" s="140"/>
      <c r="AB370" s="140"/>
      <c r="AC370" s="140"/>
      <c r="AD370" s="140"/>
    </row>
    <row r="371" spans="1:30" ht="15.75" customHeight="1" x14ac:dyDescent="0.2">
      <c r="A371" s="140"/>
      <c r="B371" s="140"/>
      <c r="C371" s="140"/>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c r="Z371" s="140"/>
      <c r="AA371" s="140"/>
      <c r="AB371" s="140"/>
      <c r="AC371" s="140"/>
      <c r="AD371" s="140"/>
    </row>
    <row r="372" spans="1:30" ht="15.75" customHeight="1" x14ac:dyDescent="0.2">
      <c r="A372" s="140"/>
      <c r="B372" s="140"/>
      <c r="C372" s="140"/>
      <c r="D372" s="140"/>
      <c r="E372" s="140"/>
      <c r="F372" s="140"/>
      <c r="G372" s="140"/>
      <c r="H372" s="140"/>
      <c r="I372" s="140"/>
      <c r="J372" s="140"/>
      <c r="K372" s="140"/>
      <c r="L372" s="140"/>
      <c r="M372" s="140"/>
      <c r="N372" s="140"/>
      <c r="O372" s="140"/>
      <c r="P372" s="140"/>
      <c r="Q372" s="140"/>
      <c r="R372" s="140"/>
      <c r="S372" s="140"/>
      <c r="T372" s="140"/>
      <c r="U372" s="140"/>
      <c r="V372" s="140"/>
      <c r="W372" s="140"/>
      <c r="X372" s="140"/>
      <c r="Y372" s="140"/>
      <c r="Z372" s="140"/>
      <c r="AA372" s="140"/>
      <c r="AB372" s="140"/>
      <c r="AC372" s="140"/>
      <c r="AD372" s="140"/>
    </row>
    <row r="373" spans="1:30" ht="15.75" customHeight="1" x14ac:dyDescent="0.2">
      <c r="A373" s="140"/>
      <c r="B373" s="140"/>
      <c r="C373" s="140"/>
      <c r="D373" s="140"/>
      <c r="E373" s="140"/>
      <c r="F373" s="140"/>
      <c r="G373" s="140"/>
      <c r="H373" s="140"/>
      <c r="I373" s="140"/>
      <c r="J373" s="140"/>
      <c r="K373" s="140"/>
      <c r="L373" s="140"/>
      <c r="M373" s="140"/>
      <c r="N373" s="140"/>
      <c r="O373" s="140"/>
      <c r="P373" s="140"/>
      <c r="Q373" s="140"/>
      <c r="R373" s="140"/>
      <c r="S373" s="140"/>
      <c r="T373" s="140"/>
      <c r="U373" s="140"/>
      <c r="V373" s="140"/>
      <c r="W373" s="140"/>
      <c r="X373" s="140"/>
      <c r="Y373" s="140"/>
      <c r="Z373" s="140"/>
      <c r="AA373" s="140"/>
      <c r="AB373" s="140"/>
      <c r="AC373" s="140"/>
      <c r="AD373" s="140"/>
    </row>
    <row r="374" spans="1:30" ht="15.75" customHeight="1" x14ac:dyDescent="0.2">
      <c r="A374" s="140"/>
      <c r="B374" s="140"/>
      <c r="C374" s="140"/>
      <c r="D374" s="140"/>
      <c r="E374" s="140"/>
      <c r="F374" s="140"/>
      <c r="G374" s="140"/>
      <c r="H374" s="140"/>
      <c r="I374" s="140"/>
      <c r="J374" s="140"/>
      <c r="K374" s="140"/>
      <c r="L374" s="140"/>
      <c r="M374" s="140"/>
      <c r="N374" s="140"/>
      <c r="O374" s="140"/>
      <c r="P374" s="140"/>
      <c r="Q374" s="140"/>
      <c r="R374" s="140"/>
      <c r="S374" s="140"/>
      <c r="T374" s="140"/>
      <c r="U374" s="140"/>
      <c r="V374" s="140"/>
      <c r="W374" s="140"/>
      <c r="X374" s="140"/>
      <c r="Y374" s="140"/>
      <c r="Z374" s="140"/>
      <c r="AA374" s="140"/>
      <c r="AB374" s="140"/>
      <c r="AC374" s="140"/>
      <c r="AD374" s="140"/>
    </row>
    <row r="375" spans="1:30" ht="15.75" customHeight="1" x14ac:dyDescent="0.2">
      <c r="A375" s="140"/>
      <c r="B375" s="140"/>
      <c r="C375" s="140"/>
      <c r="D375" s="140"/>
      <c r="E375" s="140"/>
      <c r="F375" s="140"/>
      <c r="G375" s="140"/>
      <c r="H375" s="140"/>
      <c r="I375" s="140"/>
      <c r="J375" s="140"/>
      <c r="K375" s="140"/>
      <c r="L375" s="140"/>
      <c r="M375" s="140"/>
      <c r="N375" s="140"/>
      <c r="O375" s="140"/>
      <c r="P375" s="140"/>
      <c r="Q375" s="140"/>
      <c r="R375" s="140"/>
      <c r="S375" s="140"/>
      <c r="T375" s="140"/>
      <c r="U375" s="140"/>
      <c r="V375" s="140"/>
      <c r="W375" s="140"/>
      <c r="X375" s="140"/>
      <c r="Y375" s="140"/>
      <c r="Z375" s="140"/>
      <c r="AA375" s="140"/>
      <c r="AB375" s="140"/>
      <c r="AC375" s="140"/>
      <c r="AD375" s="140"/>
    </row>
    <row r="376" spans="1:30" ht="15.75" customHeight="1" x14ac:dyDescent="0.2">
      <c r="A376" s="140"/>
      <c r="B376" s="140"/>
      <c r="C376" s="140"/>
      <c r="D376" s="140"/>
      <c r="E376" s="140"/>
      <c r="F376" s="140"/>
      <c r="G376" s="140"/>
      <c r="H376" s="140"/>
      <c r="I376" s="140"/>
      <c r="J376" s="140"/>
      <c r="K376" s="140"/>
      <c r="L376" s="140"/>
      <c r="M376" s="140"/>
      <c r="N376" s="140"/>
      <c r="O376" s="140"/>
      <c r="P376" s="140"/>
      <c r="Q376" s="140"/>
      <c r="R376" s="140"/>
      <c r="S376" s="140"/>
      <c r="T376" s="140"/>
      <c r="U376" s="140"/>
      <c r="V376" s="140"/>
      <c r="W376" s="140"/>
      <c r="X376" s="140"/>
      <c r="Y376" s="140"/>
      <c r="Z376" s="140"/>
      <c r="AA376" s="140"/>
      <c r="AB376" s="140"/>
      <c r="AC376" s="140"/>
      <c r="AD376" s="140"/>
    </row>
    <row r="377" spans="1:30" ht="15.75" customHeight="1" x14ac:dyDescent="0.2">
      <c r="A377" s="140"/>
      <c r="B377" s="140"/>
      <c r="C377" s="140"/>
      <c r="D377" s="140"/>
      <c r="E377" s="140"/>
      <c r="F377" s="140"/>
      <c r="G377" s="140"/>
      <c r="H377" s="140"/>
      <c r="I377" s="140"/>
      <c r="J377" s="140"/>
      <c r="K377" s="140"/>
      <c r="L377" s="140"/>
      <c r="M377" s="140"/>
      <c r="N377" s="140"/>
      <c r="O377" s="140"/>
      <c r="P377" s="140"/>
      <c r="Q377" s="140"/>
      <c r="R377" s="140"/>
      <c r="S377" s="140"/>
      <c r="T377" s="140"/>
      <c r="U377" s="140"/>
      <c r="V377" s="140"/>
      <c r="W377" s="140"/>
      <c r="X377" s="140"/>
      <c r="Y377" s="140"/>
      <c r="Z377" s="140"/>
      <c r="AA377" s="140"/>
      <c r="AB377" s="140"/>
      <c r="AC377" s="140"/>
      <c r="AD377" s="140"/>
    </row>
    <row r="378" spans="1:30" ht="15.75" customHeight="1" x14ac:dyDescent="0.2">
      <c r="A378" s="140"/>
      <c r="B378" s="140"/>
      <c r="C378" s="140"/>
      <c r="D378" s="140"/>
      <c r="E378" s="140"/>
      <c r="F378" s="140"/>
      <c r="G378" s="140"/>
      <c r="H378" s="140"/>
      <c r="I378" s="140"/>
      <c r="J378" s="140"/>
      <c r="K378" s="140"/>
      <c r="L378" s="140"/>
      <c r="M378" s="140"/>
      <c r="N378" s="140"/>
      <c r="O378" s="140"/>
      <c r="P378" s="140"/>
      <c r="Q378" s="140"/>
      <c r="R378" s="140"/>
      <c r="S378" s="140"/>
      <c r="T378" s="140"/>
      <c r="U378" s="140"/>
      <c r="V378" s="140"/>
      <c r="W378" s="140"/>
      <c r="X378" s="140"/>
      <c r="Y378" s="140"/>
      <c r="Z378" s="140"/>
      <c r="AA378" s="140"/>
      <c r="AB378" s="140"/>
      <c r="AC378" s="140"/>
      <c r="AD378" s="140"/>
    </row>
    <row r="379" spans="1:30" ht="15.75" customHeight="1" x14ac:dyDescent="0.2">
      <c r="A379" s="140"/>
      <c r="B379" s="140"/>
      <c r="C379" s="140"/>
      <c r="D379" s="140"/>
      <c r="E379" s="140"/>
      <c r="F379" s="140"/>
      <c r="G379" s="140"/>
      <c r="H379" s="140"/>
      <c r="I379" s="140"/>
      <c r="J379" s="140"/>
      <c r="K379" s="140"/>
      <c r="L379" s="140"/>
      <c r="M379" s="140"/>
      <c r="N379" s="140"/>
      <c r="O379" s="140"/>
      <c r="P379" s="140"/>
      <c r="Q379" s="140"/>
      <c r="R379" s="140"/>
      <c r="S379" s="140"/>
      <c r="T379" s="140"/>
      <c r="U379" s="140"/>
      <c r="V379" s="140"/>
      <c r="W379" s="140"/>
      <c r="X379" s="140"/>
      <c r="Y379" s="140"/>
      <c r="Z379" s="140"/>
      <c r="AA379" s="140"/>
      <c r="AB379" s="140"/>
      <c r="AC379" s="140"/>
      <c r="AD379" s="140"/>
    </row>
    <row r="380" spans="1:30" ht="15.75" customHeight="1" x14ac:dyDescent="0.2">
      <c r="A380" s="140"/>
      <c r="B380" s="140"/>
      <c r="C380" s="140"/>
      <c r="D380" s="140"/>
      <c r="E380" s="140"/>
      <c r="F380" s="140"/>
      <c r="G380" s="140"/>
      <c r="H380" s="140"/>
      <c r="I380" s="140"/>
      <c r="J380" s="140"/>
      <c r="K380" s="140"/>
      <c r="L380" s="140"/>
      <c r="M380" s="140"/>
      <c r="N380" s="140"/>
      <c r="O380" s="140"/>
      <c r="P380" s="140"/>
      <c r="Q380" s="140"/>
      <c r="R380" s="140"/>
      <c r="S380" s="140"/>
      <c r="T380" s="140"/>
      <c r="U380" s="140"/>
      <c r="V380" s="140"/>
      <c r="W380" s="140"/>
      <c r="X380" s="140"/>
      <c r="Y380" s="140"/>
      <c r="Z380" s="140"/>
      <c r="AA380" s="140"/>
      <c r="AB380" s="140"/>
      <c r="AC380" s="140"/>
      <c r="AD380" s="140"/>
    </row>
    <row r="381" spans="1:30" ht="15.75" customHeight="1" x14ac:dyDescent="0.2">
      <c r="A381" s="140"/>
      <c r="B381" s="140"/>
      <c r="C381" s="140"/>
      <c r="D381" s="140"/>
      <c r="E381" s="140"/>
      <c r="F381" s="140"/>
      <c r="G381" s="140"/>
      <c r="H381" s="140"/>
      <c r="I381" s="140"/>
      <c r="J381" s="140"/>
      <c r="K381" s="140"/>
      <c r="L381" s="140"/>
      <c r="M381" s="140"/>
      <c r="N381" s="140"/>
      <c r="O381" s="140"/>
      <c r="P381" s="140"/>
      <c r="Q381" s="140"/>
      <c r="R381" s="140"/>
      <c r="S381" s="140"/>
      <c r="T381" s="140"/>
      <c r="U381" s="140"/>
      <c r="V381" s="140"/>
      <c r="W381" s="140"/>
      <c r="X381" s="140"/>
      <c r="Y381" s="140"/>
      <c r="Z381" s="140"/>
      <c r="AA381" s="140"/>
      <c r="AB381" s="140"/>
      <c r="AC381" s="140"/>
      <c r="AD381" s="140"/>
    </row>
    <row r="382" spans="1:30" ht="15.75" customHeight="1" x14ac:dyDescent="0.2">
      <c r="A382" s="140"/>
      <c r="B382" s="140"/>
      <c r="C382" s="140"/>
      <c r="D382" s="140"/>
      <c r="E382" s="140"/>
      <c r="F382" s="140"/>
      <c r="G382" s="140"/>
      <c r="H382" s="140"/>
      <c r="I382" s="140"/>
      <c r="J382" s="140"/>
      <c r="K382" s="140"/>
      <c r="L382" s="140"/>
      <c r="M382" s="140"/>
      <c r="N382" s="140"/>
      <c r="O382" s="140"/>
      <c r="P382" s="140"/>
      <c r="Q382" s="140"/>
      <c r="R382" s="140"/>
      <c r="S382" s="140"/>
      <c r="T382" s="140"/>
      <c r="U382" s="140"/>
      <c r="V382" s="140"/>
      <c r="W382" s="140"/>
      <c r="X382" s="140"/>
      <c r="Y382" s="140"/>
      <c r="Z382" s="140"/>
      <c r="AA382" s="140"/>
      <c r="AB382" s="140"/>
      <c r="AC382" s="140"/>
      <c r="AD382" s="140"/>
    </row>
    <row r="383" spans="1:30" ht="15.75" customHeight="1" x14ac:dyDescent="0.2">
      <c r="A383" s="140"/>
      <c r="B383" s="140"/>
      <c r="C383" s="140"/>
      <c r="D383" s="140"/>
      <c r="E383" s="140"/>
      <c r="F383" s="140"/>
      <c r="G383" s="140"/>
      <c r="H383" s="140"/>
      <c r="I383" s="140"/>
      <c r="J383" s="140"/>
      <c r="K383" s="140"/>
      <c r="L383" s="140"/>
      <c r="M383" s="140"/>
      <c r="N383" s="140"/>
      <c r="O383" s="140"/>
      <c r="P383" s="140"/>
      <c r="Q383" s="140"/>
      <c r="R383" s="140"/>
      <c r="S383" s="140"/>
      <c r="T383" s="140"/>
      <c r="U383" s="140"/>
      <c r="V383" s="140"/>
      <c r="W383" s="140"/>
      <c r="X383" s="140"/>
      <c r="Y383" s="140"/>
      <c r="Z383" s="140"/>
      <c r="AA383" s="140"/>
      <c r="AB383" s="140"/>
      <c r="AC383" s="140"/>
      <c r="AD383" s="140"/>
    </row>
    <row r="384" spans="1:30" ht="15.75" customHeight="1" x14ac:dyDescent="0.2">
      <c r="A384" s="140"/>
      <c r="B384" s="140"/>
      <c r="C384" s="140"/>
      <c r="D384" s="140"/>
      <c r="E384" s="140"/>
      <c r="F384" s="140"/>
      <c r="G384" s="140"/>
      <c r="H384" s="140"/>
      <c r="I384" s="140"/>
      <c r="J384" s="140"/>
      <c r="K384" s="140"/>
      <c r="L384" s="140"/>
      <c r="M384" s="140"/>
      <c r="N384" s="140"/>
      <c r="O384" s="140"/>
      <c r="P384" s="140"/>
      <c r="Q384" s="140"/>
      <c r="R384" s="140"/>
      <c r="S384" s="140"/>
      <c r="T384" s="140"/>
      <c r="U384" s="140"/>
      <c r="V384" s="140"/>
      <c r="W384" s="140"/>
      <c r="X384" s="140"/>
      <c r="Y384" s="140"/>
      <c r="Z384" s="140"/>
      <c r="AA384" s="140"/>
      <c r="AB384" s="140"/>
      <c r="AC384" s="140"/>
      <c r="AD384" s="140"/>
    </row>
    <row r="385" spans="1:30" ht="15.75" customHeight="1" x14ac:dyDescent="0.2">
      <c r="A385" s="140"/>
      <c r="B385" s="140"/>
      <c r="C385" s="140"/>
      <c r="D385" s="140"/>
      <c r="E385" s="140"/>
      <c r="F385" s="140"/>
      <c r="G385" s="140"/>
      <c r="H385" s="140"/>
      <c r="I385" s="140"/>
      <c r="J385" s="140"/>
      <c r="K385" s="140"/>
      <c r="L385" s="140"/>
      <c r="M385" s="140"/>
      <c r="N385" s="140"/>
      <c r="O385" s="140"/>
      <c r="P385" s="140"/>
      <c r="Q385" s="140"/>
      <c r="R385" s="140"/>
      <c r="S385" s="140"/>
      <c r="T385" s="140"/>
      <c r="U385" s="140"/>
      <c r="V385" s="140"/>
      <c r="W385" s="140"/>
      <c r="X385" s="140"/>
      <c r="Y385" s="140"/>
      <c r="Z385" s="140"/>
      <c r="AA385" s="140"/>
      <c r="AB385" s="140"/>
      <c r="AC385" s="140"/>
      <c r="AD385" s="140"/>
    </row>
    <row r="386" spans="1:30" ht="15.75" customHeight="1" x14ac:dyDescent="0.2">
      <c r="A386" s="140"/>
      <c r="B386" s="140"/>
      <c r="C386" s="140"/>
      <c r="D386" s="140"/>
      <c r="E386" s="140"/>
      <c r="F386" s="140"/>
      <c r="G386" s="140"/>
      <c r="H386" s="140"/>
      <c r="I386" s="140"/>
      <c r="J386" s="140"/>
      <c r="K386" s="140"/>
      <c r="L386" s="140"/>
      <c r="M386" s="140"/>
      <c r="N386" s="140"/>
      <c r="O386" s="140"/>
      <c r="P386" s="140"/>
      <c r="Q386" s="140"/>
      <c r="R386" s="140"/>
      <c r="S386" s="140"/>
      <c r="T386" s="140"/>
      <c r="U386" s="140"/>
      <c r="V386" s="140"/>
      <c r="W386" s="140"/>
      <c r="X386" s="140"/>
      <c r="Y386" s="140"/>
      <c r="Z386" s="140"/>
      <c r="AA386" s="140"/>
      <c r="AB386" s="140"/>
      <c r="AC386" s="140"/>
      <c r="AD386" s="140"/>
    </row>
    <row r="387" spans="1:30" ht="15.75" customHeight="1" x14ac:dyDescent="0.2">
      <c r="A387" s="140"/>
      <c r="B387" s="140"/>
      <c r="C387" s="140"/>
      <c r="D387" s="140"/>
      <c r="E387" s="140"/>
      <c r="F387" s="140"/>
      <c r="G387" s="140"/>
      <c r="H387" s="140"/>
      <c r="I387" s="140"/>
      <c r="J387" s="140"/>
      <c r="K387" s="140"/>
      <c r="L387" s="140"/>
      <c r="M387" s="140"/>
      <c r="N387" s="140"/>
      <c r="O387" s="140"/>
      <c r="P387" s="140"/>
      <c r="Q387" s="140"/>
      <c r="R387" s="140"/>
      <c r="S387" s="140"/>
      <c r="T387" s="140"/>
      <c r="U387" s="140"/>
      <c r="V387" s="140"/>
      <c r="W387" s="140"/>
      <c r="X387" s="140"/>
      <c r="Y387" s="140"/>
      <c r="Z387" s="140"/>
      <c r="AA387" s="140"/>
      <c r="AB387" s="140"/>
      <c r="AC387" s="140"/>
      <c r="AD387" s="140"/>
    </row>
    <row r="388" spans="1:30" ht="15.75" customHeight="1" x14ac:dyDescent="0.2">
      <c r="A388" s="140"/>
      <c r="B388" s="140"/>
      <c r="C388" s="140"/>
      <c r="D388" s="140"/>
      <c r="E388" s="140"/>
      <c r="F388" s="140"/>
      <c r="G388" s="140"/>
      <c r="H388" s="140"/>
      <c r="I388" s="140"/>
      <c r="J388" s="140"/>
      <c r="K388" s="140"/>
      <c r="L388" s="140"/>
      <c r="M388" s="140"/>
      <c r="N388" s="140"/>
      <c r="O388" s="140"/>
      <c r="P388" s="140"/>
      <c r="Q388" s="140"/>
      <c r="R388" s="140"/>
      <c r="S388" s="140"/>
      <c r="T388" s="140"/>
      <c r="U388" s="140"/>
      <c r="V388" s="140"/>
      <c r="W388" s="140"/>
      <c r="X388" s="140"/>
      <c r="Y388" s="140"/>
      <c r="Z388" s="140"/>
      <c r="AA388" s="140"/>
      <c r="AB388" s="140"/>
      <c r="AC388" s="140"/>
      <c r="AD388" s="140"/>
    </row>
    <row r="389" spans="1:30" ht="15.75" customHeight="1" x14ac:dyDescent="0.2">
      <c r="A389" s="140"/>
      <c r="B389" s="140"/>
      <c r="C389" s="140"/>
      <c r="D389" s="140"/>
      <c r="E389" s="140"/>
      <c r="F389" s="140"/>
      <c r="G389" s="140"/>
      <c r="H389" s="140"/>
      <c r="I389" s="140"/>
      <c r="J389" s="140"/>
      <c r="K389" s="140"/>
      <c r="L389" s="140"/>
      <c r="M389" s="140"/>
      <c r="N389" s="140"/>
      <c r="O389" s="140"/>
      <c r="P389" s="140"/>
      <c r="Q389" s="140"/>
      <c r="R389" s="140"/>
      <c r="S389" s="140"/>
      <c r="T389" s="140"/>
      <c r="U389" s="140"/>
      <c r="V389" s="140"/>
      <c r="W389" s="140"/>
      <c r="X389" s="140"/>
      <c r="Y389" s="140"/>
      <c r="Z389" s="140"/>
      <c r="AA389" s="140"/>
      <c r="AB389" s="140"/>
      <c r="AC389" s="140"/>
      <c r="AD389" s="140"/>
    </row>
    <row r="390" spans="1:30" ht="15.75" customHeight="1" x14ac:dyDescent="0.2">
      <c r="A390" s="140"/>
      <c r="B390" s="140"/>
      <c r="C390" s="140"/>
      <c r="D390" s="140"/>
      <c r="E390" s="140"/>
      <c r="F390" s="140"/>
      <c r="G390" s="140"/>
      <c r="H390" s="140"/>
      <c r="I390" s="140"/>
      <c r="J390" s="140"/>
      <c r="K390" s="140"/>
      <c r="L390" s="140"/>
      <c r="M390" s="140"/>
      <c r="N390" s="140"/>
      <c r="O390" s="140"/>
      <c r="P390" s="140"/>
      <c r="Q390" s="140"/>
      <c r="R390" s="140"/>
      <c r="S390" s="140"/>
      <c r="T390" s="140"/>
      <c r="U390" s="140"/>
      <c r="V390" s="140"/>
      <c r="W390" s="140"/>
      <c r="X390" s="140"/>
      <c r="Y390" s="140"/>
      <c r="Z390" s="140"/>
      <c r="AA390" s="140"/>
      <c r="AB390" s="140"/>
      <c r="AC390" s="140"/>
      <c r="AD390" s="140"/>
    </row>
    <row r="391" spans="1:30" ht="15.75" customHeight="1" x14ac:dyDescent="0.2">
      <c r="A391" s="140"/>
      <c r="B391" s="140"/>
      <c r="C391" s="140"/>
      <c r="D391" s="140"/>
      <c r="E391" s="140"/>
      <c r="F391" s="140"/>
      <c r="G391" s="140"/>
      <c r="H391" s="140"/>
      <c r="I391" s="140"/>
      <c r="J391" s="140"/>
      <c r="K391" s="140"/>
      <c r="L391" s="140"/>
      <c r="M391" s="140"/>
      <c r="N391" s="140"/>
      <c r="O391" s="140"/>
      <c r="P391" s="140"/>
      <c r="Q391" s="140"/>
      <c r="R391" s="140"/>
      <c r="S391" s="140"/>
      <c r="T391" s="140"/>
      <c r="U391" s="140"/>
      <c r="V391" s="140"/>
      <c r="W391" s="140"/>
      <c r="X391" s="140"/>
      <c r="Y391" s="140"/>
      <c r="Z391" s="140"/>
      <c r="AA391" s="140"/>
      <c r="AB391" s="140"/>
      <c r="AC391" s="140"/>
      <c r="AD391" s="140"/>
    </row>
    <row r="392" spans="1:30" ht="15.75" customHeight="1" x14ac:dyDescent="0.2">
      <c r="A392" s="140"/>
      <c r="B392" s="140"/>
      <c r="C392" s="140"/>
      <c r="D392" s="140"/>
      <c r="E392" s="140"/>
      <c r="F392" s="140"/>
      <c r="G392" s="140"/>
      <c r="H392" s="140"/>
      <c r="I392" s="140"/>
      <c r="J392" s="140"/>
      <c r="K392" s="140"/>
      <c r="L392" s="140"/>
      <c r="M392" s="140"/>
      <c r="N392" s="140"/>
      <c r="O392" s="140"/>
      <c r="P392" s="140"/>
      <c r="Q392" s="140"/>
      <c r="R392" s="140"/>
      <c r="S392" s="140"/>
      <c r="T392" s="140"/>
      <c r="U392" s="140"/>
      <c r="V392" s="140"/>
      <c r="W392" s="140"/>
      <c r="X392" s="140"/>
      <c r="Y392" s="140"/>
      <c r="Z392" s="140"/>
      <c r="AA392" s="140"/>
      <c r="AB392" s="140"/>
      <c r="AC392" s="140"/>
      <c r="AD392" s="140"/>
    </row>
    <row r="393" spans="1:30" ht="15.75" customHeight="1" x14ac:dyDescent="0.2">
      <c r="A393" s="140"/>
      <c r="B393" s="140"/>
      <c r="C393" s="140"/>
      <c r="D393" s="140"/>
      <c r="E393" s="140"/>
      <c r="F393" s="140"/>
      <c r="G393" s="140"/>
      <c r="H393" s="140"/>
      <c r="I393" s="140"/>
      <c r="J393" s="140"/>
      <c r="K393" s="140"/>
      <c r="L393" s="140"/>
      <c r="M393" s="140"/>
      <c r="N393" s="140"/>
      <c r="O393" s="140"/>
      <c r="P393" s="140"/>
      <c r="Q393" s="140"/>
      <c r="R393" s="140"/>
      <c r="S393" s="140"/>
      <c r="T393" s="140"/>
      <c r="U393" s="140"/>
      <c r="V393" s="140"/>
      <c r="W393" s="140"/>
      <c r="X393" s="140"/>
      <c r="Y393" s="140"/>
      <c r="Z393" s="140"/>
      <c r="AA393" s="140"/>
      <c r="AB393" s="140"/>
      <c r="AC393" s="140"/>
      <c r="AD393" s="140"/>
    </row>
    <row r="394" spans="1:30" ht="15.75" customHeight="1" x14ac:dyDescent="0.2">
      <c r="A394" s="140"/>
      <c r="B394" s="140"/>
      <c r="C394" s="140"/>
      <c r="D394" s="140"/>
      <c r="E394" s="140"/>
      <c r="F394" s="140"/>
      <c r="G394" s="140"/>
      <c r="H394" s="140"/>
      <c r="I394" s="140"/>
      <c r="J394" s="140"/>
      <c r="K394" s="140"/>
      <c r="L394" s="140"/>
      <c r="M394" s="140"/>
      <c r="N394" s="140"/>
      <c r="O394" s="140"/>
      <c r="P394" s="140"/>
      <c r="Q394" s="140"/>
      <c r="R394" s="140"/>
      <c r="S394" s="140"/>
      <c r="T394" s="140"/>
      <c r="U394" s="140"/>
      <c r="V394" s="140"/>
      <c r="W394" s="140"/>
      <c r="X394" s="140"/>
      <c r="Y394" s="140"/>
      <c r="Z394" s="140"/>
      <c r="AA394" s="140"/>
      <c r="AB394" s="140"/>
      <c r="AC394" s="140"/>
      <c r="AD394" s="140"/>
    </row>
    <row r="395" spans="1:30" ht="15.75" customHeight="1" x14ac:dyDescent="0.2">
      <c r="A395" s="140"/>
      <c r="B395" s="140"/>
      <c r="C395" s="140"/>
      <c r="D395" s="140"/>
      <c r="E395" s="140"/>
      <c r="F395" s="140"/>
      <c r="G395" s="140"/>
      <c r="H395" s="140"/>
      <c r="I395" s="140"/>
      <c r="J395" s="140"/>
      <c r="K395" s="140"/>
      <c r="L395" s="140"/>
      <c r="M395" s="140"/>
      <c r="N395" s="140"/>
      <c r="O395" s="140"/>
      <c r="P395" s="140"/>
      <c r="Q395" s="140"/>
      <c r="R395" s="140"/>
      <c r="S395" s="140"/>
      <c r="T395" s="140"/>
      <c r="U395" s="140"/>
      <c r="V395" s="140"/>
      <c r="W395" s="140"/>
      <c r="X395" s="140"/>
      <c r="Y395" s="140"/>
      <c r="Z395" s="140"/>
      <c r="AA395" s="140"/>
      <c r="AB395" s="140"/>
      <c r="AC395" s="140"/>
      <c r="AD395" s="140"/>
    </row>
    <row r="396" spans="1:30" ht="15.75" customHeight="1" x14ac:dyDescent="0.2">
      <c r="A396" s="140"/>
      <c r="B396" s="140"/>
      <c r="C396" s="140"/>
      <c r="D396" s="140"/>
      <c r="E396" s="140"/>
      <c r="F396" s="140"/>
      <c r="G396" s="140"/>
      <c r="H396" s="140"/>
      <c r="I396" s="140"/>
      <c r="J396" s="140"/>
      <c r="K396" s="140"/>
      <c r="L396" s="140"/>
      <c r="M396" s="140"/>
      <c r="N396" s="140"/>
      <c r="O396" s="140"/>
      <c r="P396" s="140"/>
      <c r="Q396" s="140"/>
      <c r="R396" s="140"/>
      <c r="S396" s="140"/>
      <c r="T396" s="140"/>
      <c r="U396" s="140"/>
      <c r="V396" s="140"/>
      <c r="W396" s="140"/>
      <c r="X396" s="140"/>
      <c r="Y396" s="140"/>
      <c r="Z396" s="140"/>
      <c r="AA396" s="140"/>
      <c r="AB396" s="140"/>
      <c r="AC396" s="140"/>
      <c r="AD396" s="140"/>
    </row>
    <row r="397" spans="1:30" ht="15.75" customHeight="1" x14ac:dyDescent="0.2">
      <c r="A397" s="140"/>
      <c r="B397" s="140"/>
      <c r="C397" s="140"/>
      <c r="D397" s="140"/>
      <c r="E397" s="140"/>
      <c r="F397" s="140"/>
      <c r="G397" s="140"/>
      <c r="H397" s="140"/>
      <c r="I397" s="140"/>
      <c r="J397" s="140"/>
      <c r="K397" s="140"/>
      <c r="L397" s="140"/>
      <c r="M397" s="140"/>
      <c r="N397" s="140"/>
      <c r="O397" s="140"/>
      <c r="P397" s="140"/>
      <c r="Q397" s="140"/>
      <c r="R397" s="140"/>
      <c r="S397" s="140"/>
      <c r="T397" s="140"/>
      <c r="U397" s="140"/>
      <c r="V397" s="140"/>
      <c r="W397" s="140"/>
      <c r="X397" s="140"/>
      <c r="Y397" s="140"/>
      <c r="Z397" s="140"/>
      <c r="AA397" s="140"/>
      <c r="AB397" s="140"/>
      <c r="AC397" s="140"/>
      <c r="AD397" s="140"/>
    </row>
    <row r="398" spans="1:30" ht="15.75" customHeight="1" x14ac:dyDescent="0.2">
      <c r="A398" s="140"/>
      <c r="B398" s="140"/>
      <c r="C398" s="140"/>
      <c r="D398" s="140"/>
      <c r="E398" s="140"/>
      <c r="F398" s="140"/>
      <c r="G398" s="140"/>
      <c r="H398" s="140"/>
      <c r="I398" s="140"/>
      <c r="J398" s="140"/>
      <c r="K398" s="140"/>
      <c r="L398" s="140"/>
      <c r="M398" s="140"/>
      <c r="N398" s="140"/>
      <c r="O398" s="140"/>
      <c r="P398" s="140"/>
      <c r="Q398" s="140"/>
      <c r="R398" s="140"/>
      <c r="S398" s="140"/>
      <c r="T398" s="140"/>
      <c r="U398" s="140"/>
      <c r="V398" s="140"/>
      <c r="W398" s="140"/>
      <c r="X398" s="140"/>
      <c r="Y398" s="140"/>
      <c r="Z398" s="140"/>
      <c r="AA398" s="140"/>
      <c r="AB398" s="140"/>
      <c r="AC398" s="140"/>
      <c r="AD398" s="140"/>
    </row>
    <row r="399" spans="1:30" ht="15.75" customHeight="1" x14ac:dyDescent="0.2">
      <c r="A399" s="140"/>
      <c r="B399" s="140"/>
      <c r="C399" s="140"/>
      <c r="D399" s="140"/>
      <c r="E399" s="140"/>
      <c r="F399" s="140"/>
      <c r="G399" s="140"/>
      <c r="H399" s="140"/>
      <c r="I399" s="140"/>
      <c r="J399" s="140"/>
      <c r="K399" s="140"/>
      <c r="L399" s="140"/>
      <c r="M399" s="140"/>
      <c r="N399" s="140"/>
      <c r="O399" s="140"/>
      <c r="P399" s="140"/>
      <c r="Q399" s="140"/>
      <c r="R399" s="140"/>
      <c r="S399" s="140"/>
      <c r="T399" s="140"/>
      <c r="U399" s="140"/>
      <c r="V399" s="140"/>
      <c r="W399" s="140"/>
      <c r="X399" s="140"/>
      <c r="Y399" s="140"/>
      <c r="Z399" s="140"/>
      <c r="AA399" s="140"/>
      <c r="AB399" s="140"/>
      <c r="AC399" s="140"/>
      <c r="AD399" s="140"/>
    </row>
    <row r="400" spans="1:30" ht="15.75" customHeight="1" x14ac:dyDescent="0.2">
      <c r="A400" s="140"/>
      <c r="B400" s="140"/>
      <c r="C400" s="140"/>
      <c r="D400" s="140"/>
      <c r="E400" s="140"/>
      <c r="F400" s="140"/>
      <c r="G400" s="140"/>
      <c r="H400" s="140"/>
      <c r="I400" s="140"/>
      <c r="J400" s="140"/>
      <c r="K400" s="140"/>
      <c r="L400" s="140"/>
      <c r="M400" s="140"/>
      <c r="N400" s="140"/>
      <c r="O400" s="140"/>
      <c r="P400" s="140"/>
      <c r="Q400" s="140"/>
      <c r="R400" s="140"/>
      <c r="S400" s="140"/>
      <c r="T400" s="140"/>
      <c r="U400" s="140"/>
      <c r="V400" s="140"/>
      <c r="W400" s="140"/>
      <c r="X400" s="140"/>
      <c r="Y400" s="140"/>
      <c r="Z400" s="140"/>
      <c r="AA400" s="140"/>
      <c r="AB400" s="140"/>
      <c r="AC400" s="140"/>
      <c r="AD400" s="140"/>
    </row>
    <row r="401" spans="1:30" ht="15.75" customHeight="1" x14ac:dyDescent="0.2">
      <c r="A401" s="140"/>
      <c r="B401" s="140"/>
      <c r="C401" s="140"/>
      <c r="D401" s="140"/>
      <c r="E401" s="140"/>
      <c r="F401" s="140"/>
      <c r="G401" s="140"/>
      <c r="H401" s="140"/>
      <c r="I401" s="140"/>
      <c r="J401" s="140"/>
      <c r="K401" s="140"/>
      <c r="L401" s="140"/>
      <c r="M401" s="140"/>
      <c r="N401" s="140"/>
      <c r="O401" s="140"/>
      <c r="P401" s="140"/>
      <c r="Q401" s="140"/>
      <c r="R401" s="140"/>
      <c r="S401" s="140"/>
      <c r="T401" s="140"/>
      <c r="U401" s="140"/>
      <c r="V401" s="140"/>
      <c r="W401" s="140"/>
      <c r="X401" s="140"/>
      <c r="Y401" s="140"/>
      <c r="Z401" s="140"/>
      <c r="AA401" s="140"/>
      <c r="AB401" s="140"/>
      <c r="AC401" s="140"/>
      <c r="AD401" s="140"/>
    </row>
    <row r="402" spans="1:30" ht="15.75" customHeight="1" x14ac:dyDescent="0.2">
      <c r="A402" s="140"/>
      <c r="B402" s="140"/>
      <c r="C402" s="140"/>
      <c r="D402" s="140"/>
      <c r="E402" s="140"/>
      <c r="F402" s="140"/>
      <c r="G402" s="140"/>
      <c r="H402" s="140"/>
      <c r="I402" s="140"/>
      <c r="J402" s="140"/>
      <c r="K402" s="140"/>
      <c r="L402" s="140"/>
      <c r="M402" s="140"/>
      <c r="N402" s="140"/>
      <c r="O402" s="140"/>
      <c r="P402" s="140"/>
      <c r="Q402" s="140"/>
      <c r="R402" s="140"/>
      <c r="S402" s="140"/>
      <c r="T402" s="140"/>
      <c r="U402" s="140"/>
      <c r="V402" s="140"/>
      <c r="W402" s="140"/>
      <c r="X402" s="140"/>
      <c r="Y402" s="140"/>
      <c r="Z402" s="140"/>
      <c r="AA402" s="140"/>
      <c r="AB402" s="140"/>
      <c r="AC402" s="140"/>
      <c r="AD402" s="140"/>
    </row>
    <row r="403" spans="1:30" ht="15.75" customHeight="1" x14ac:dyDescent="0.2">
      <c r="A403" s="140"/>
      <c r="B403" s="140"/>
      <c r="C403" s="140"/>
      <c r="D403" s="140"/>
      <c r="E403" s="140"/>
      <c r="F403" s="140"/>
      <c r="G403" s="140"/>
      <c r="H403" s="140"/>
      <c r="I403" s="140"/>
      <c r="J403" s="140"/>
      <c r="K403" s="140"/>
      <c r="L403" s="140"/>
      <c r="M403" s="140"/>
      <c r="N403" s="140"/>
      <c r="O403" s="140"/>
      <c r="P403" s="140"/>
      <c r="Q403" s="140"/>
      <c r="R403" s="140"/>
      <c r="S403" s="140"/>
      <c r="T403" s="140"/>
      <c r="U403" s="140"/>
      <c r="V403" s="140"/>
      <c r="W403" s="140"/>
      <c r="X403" s="140"/>
      <c r="Y403" s="140"/>
      <c r="Z403" s="140"/>
      <c r="AA403" s="140"/>
      <c r="AB403" s="140"/>
      <c r="AC403" s="140"/>
      <c r="AD403" s="140"/>
    </row>
    <row r="404" spans="1:30" ht="15.75" customHeight="1" x14ac:dyDescent="0.2">
      <c r="A404" s="140"/>
      <c r="B404" s="140"/>
      <c r="C404" s="140"/>
      <c r="D404" s="140"/>
      <c r="E404" s="140"/>
      <c r="F404" s="140"/>
      <c r="G404" s="140"/>
      <c r="H404" s="140"/>
      <c r="I404" s="140"/>
      <c r="J404" s="140"/>
      <c r="K404" s="140"/>
      <c r="L404" s="140"/>
      <c r="M404" s="140"/>
      <c r="N404" s="140"/>
      <c r="O404" s="140"/>
      <c r="P404" s="140"/>
      <c r="Q404" s="140"/>
      <c r="R404" s="140"/>
      <c r="S404" s="140"/>
      <c r="T404" s="140"/>
      <c r="U404" s="140"/>
      <c r="V404" s="140"/>
      <c r="W404" s="140"/>
      <c r="X404" s="140"/>
      <c r="Y404" s="140"/>
      <c r="Z404" s="140"/>
      <c r="AA404" s="140"/>
      <c r="AB404" s="140"/>
      <c r="AC404" s="140"/>
      <c r="AD404" s="140"/>
    </row>
    <row r="405" spans="1:30" ht="15.75" customHeight="1" x14ac:dyDescent="0.2">
      <c r="A405" s="140"/>
      <c r="B405" s="140"/>
      <c r="C405" s="140"/>
      <c r="D405" s="140"/>
      <c r="E405" s="140"/>
      <c r="F405" s="140"/>
      <c r="G405" s="140"/>
      <c r="H405" s="140"/>
      <c r="I405" s="140"/>
      <c r="J405" s="140"/>
      <c r="K405" s="140"/>
      <c r="L405" s="140"/>
      <c r="M405" s="140"/>
      <c r="N405" s="140"/>
      <c r="O405" s="140"/>
      <c r="P405" s="140"/>
      <c r="Q405" s="140"/>
      <c r="R405" s="140"/>
      <c r="S405" s="140"/>
      <c r="T405" s="140"/>
      <c r="U405" s="140"/>
      <c r="V405" s="140"/>
      <c r="W405" s="140"/>
      <c r="X405" s="140"/>
      <c r="Y405" s="140"/>
      <c r="Z405" s="140"/>
      <c r="AA405" s="140"/>
      <c r="AB405" s="140"/>
      <c r="AC405" s="140"/>
      <c r="AD405" s="140"/>
    </row>
    <row r="406" spans="1:30" ht="15.75" customHeight="1" x14ac:dyDescent="0.2">
      <c r="A406" s="140"/>
      <c r="B406" s="140"/>
      <c r="C406" s="140"/>
      <c r="D406" s="140"/>
      <c r="E406" s="140"/>
      <c r="F406" s="140"/>
      <c r="G406" s="140"/>
      <c r="H406" s="140"/>
      <c r="I406" s="140"/>
      <c r="J406" s="140"/>
      <c r="K406" s="140"/>
      <c r="L406" s="140"/>
      <c r="M406" s="140"/>
      <c r="N406" s="140"/>
      <c r="O406" s="140"/>
      <c r="P406" s="140"/>
      <c r="Q406" s="140"/>
      <c r="R406" s="140"/>
      <c r="S406" s="140"/>
      <c r="T406" s="140"/>
      <c r="U406" s="140"/>
      <c r="V406" s="140"/>
      <c r="W406" s="140"/>
      <c r="X406" s="140"/>
      <c r="Y406" s="140"/>
      <c r="Z406" s="140"/>
      <c r="AA406" s="140"/>
      <c r="AB406" s="140"/>
      <c r="AC406" s="140"/>
      <c r="AD406" s="140"/>
    </row>
    <row r="407" spans="1:30" ht="15.75" customHeight="1" x14ac:dyDescent="0.2">
      <c r="A407" s="140"/>
      <c r="B407" s="140"/>
      <c r="C407" s="140"/>
      <c r="D407" s="140"/>
      <c r="E407" s="140"/>
      <c r="F407" s="140"/>
      <c r="G407" s="140"/>
      <c r="H407" s="140"/>
      <c r="I407" s="140"/>
      <c r="J407" s="140"/>
      <c r="K407" s="140"/>
      <c r="L407" s="140"/>
      <c r="M407" s="140"/>
      <c r="N407" s="140"/>
      <c r="O407" s="140"/>
      <c r="P407" s="140"/>
      <c r="Q407" s="140"/>
      <c r="R407" s="140"/>
      <c r="S407" s="140"/>
      <c r="T407" s="140"/>
      <c r="U407" s="140"/>
      <c r="V407" s="140"/>
      <c r="W407" s="140"/>
      <c r="X407" s="140"/>
      <c r="Y407" s="140"/>
      <c r="Z407" s="140"/>
      <c r="AA407" s="140"/>
      <c r="AB407" s="140"/>
      <c r="AC407" s="140"/>
      <c r="AD407" s="140"/>
    </row>
    <row r="408" spans="1:30" ht="15.75" customHeight="1" x14ac:dyDescent="0.2">
      <c r="A408" s="140"/>
      <c r="B408" s="140"/>
      <c r="C408" s="140"/>
      <c r="D408" s="140"/>
      <c r="E408" s="140"/>
      <c r="F408" s="140"/>
      <c r="G408" s="140"/>
      <c r="H408" s="140"/>
      <c r="I408" s="140"/>
      <c r="J408" s="140"/>
      <c r="K408" s="140"/>
      <c r="L408" s="140"/>
      <c r="M408" s="140"/>
      <c r="N408" s="140"/>
      <c r="O408" s="140"/>
      <c r="P408" s="140"/>
      <c r="Q408" s="140"/>
      <c r="R408" s="140"/>
      <c r="S408" s="140"/>
      <c r="T408" s="140"/>
      <c r="U408" s="140"/>
      <c r="V408" s="140"/>
      <c r="W408" s="140"/>
      <c r="X408" s="140"/>
      <c r="Y408" s="140"/>
      <c r="Z408" s="140"/>
      <c r="AA408" s="140"/>
      <c r="AB408" s="140"/>
      <c r="AC408" s="140"/>
      <c r="AD408" s="140"/>
    </row>
    <row r="409" spans="1:30" ht="15.75" customHeight="1" x14ac:dyDescent="0.2">
      <c r="A409" s="140"/>
      <c r="B409" s="140"/>
      <c r="C409" s="140"/>
      <c r="D409" s="140"/>
      <c r="E409" s="140"/>
      <c r="F409" s="140"/>
      <c r="G409" s="140"/>
      <c r="H409" s="140"/>
      <c r="I409" s="140"/>
      <c r="J409" s="140"/>
      <c r="K409" s="140"/>
      <c r="L409" s="140"/>
      <c r="M409" s="140"/>
      <c r="N409" s="140"/>
      <c r="O409" s="140"/>
      <c r="P409" s="140"/>
      <c r="Q409" s="140"/>
      <c r="R409" s="140"/>
      <c r="S409" s="140"/>
      <c r="T409" s="140"/>
      <c r="U409" s="140"/>
      <c r="V409" s="140"/>
      <c r="W409" s="140"/>
      <c r="X409" s="140"/>
      <c r="Y409" s="140"/>
      <c r="Z409" s="140"/>
      <c r="AA409" s="140"/>
      <c r="AB409" s="140"/>
      <c r="AC409" s="140"/>
      <c r="AD409" s="140"/>
    </row>
    <row r="410" spans="1:30" ht="15.75" customHeight="1" x14ac:dyDescent="0.2">
      <c r="A410" s="140"/>
      <c r="B410" s="140"/>
      <c r="C410" s="140"/>
      <c r="D410" s="140"/>
      <c r="E410" s="140"/>
      <c r="F410" s="140"/>
      <c r="G410" s="140"/>
      <c r="H410" s="140"/>
      <c r="I410" s="140"/>
      <c r="J410" s="140"/>
      <c r="K410" s="140"/>
      <c r="L410" s="140"/>
      <c r="M410" s="140"/>
      <c r="N410" s="140"/>
      <c r="O410" s="140"/>
      <c r="P410" s="140"/>
      <c r="Q410" s="140"/>
      <c r="R410" s="140"/>
      <c r="S410" s="140"/>
      <c r="T410" s="140"/>
      <c r="U410" s="140"/>
      <c r="V410" s="140"/>
      <c r="W410" s="140"/>
      <c r="X410" s="140"/>
      <c r="Y410" s="140"/>
      <c r="Z410" s="140"/>
      <c r="AA410" s="140"/>
      <c r="AB410" s="140"/>
      <c r="AC410" s="140"/>
      <c r="AD410" s="140"/>
    </row>
    <row r="411" spans="1:30" ht="15.75" customHeight="1" x14ac:dyDescent="0.2">
      <c r="A411" s="140"/>
      <c r="B411" s="140"/>
      <c r="C411" s="140"/>
      <c r="D411" s="140"/>
      <c r="E411" s="140"/>
      <c r="F411" s="140"/>
      <c r="G411" s="140"/>
      <c r="H411" s="140"/>
      <c r="I411" s="140"/>
      <c r="J411" s="140"/>
      <c r="K411" s="140"/>
      <c r="L411" s="140"/>
      <c r="M411" s="140"/>
      <c r="N411" s="140"/>
      <c r="O411" s="140"/>
      <c r="P411" s="140"/>
      <c r="Q411" s="140"/>
      <c r="R411" s="140"/>
      <c r="S411" s="140"/>
      <c r="T411" s="140"/>
      <c r="U411" s="140"/>
      <c r="V411" s="140"/>
      <c r="W411" s="140"/>
      <c r="X411" s="140"/>
      <c r="Y411" s="140"/>
      <c r="Z411" s="140"/>
      <c r="AA411" s="140"/>
      <c r="AB411" s="140"/>
      <c r="AC411" s="140"/>
      <c r="AD411" s="140"/>
    </row>
    <row r="412" spans="1:30" ht="15.75" customHeight="1" x14ac:dyDescent="0.2">
      <c r="A412" s="140"/>
      <c r="B412" s="140"/>
      <c r="C412" s="140"/>
      <c r="D412" s="140"/>
      <c r="E412" s="140"/>
      <c r="F412" s="140"/>
      <c r="G412" s="140"/>
      <c r="H412" s="140"/>
      <c r="I412" s="140"/>
      <c r="J412" s="140"/>
      <c r="K412" s="140"/>
      <c r="L412" s="140"/>
      <c r="M412" s="140"/>
      <c r="N412" s="140"/>
      <c r="O412" s="140"/>
      <c r="P412" s="140"/>
      <c r="Q412" s="140"/>
      <c r="R412" s="140"/>
      <c r="S412" s="140"/>
      <c r="T412" s="140"/>
      <c r="U412" s="140"/>
      <c r="V412" s="140"/>
      <c r="W412" s="140"/>
      <c r="X412" s="140"/>
      <c r="Y412" s="140"/>
      <c r="Z412" s="140"/>
      <c r="AA412" s="140"/>
      <c r="AB412" s="140"/>
      <c r="AC412" s="140"/>
      <c r="AD412" s="140"/>
    </row>
    <row r="413" spans="1:30" ht="15.75" customHeight="1" x14ac:dyDescent="0.2">
      <c r="A413" s="140"/>
      <c r="B413" s="140"/>
      <c r="C413" s="140"/>
      <c r="D413" s="140"/>
      <c r="E413" s="140"/>
      <c r="F413" s="140"/>
      <c r="G413" s="140"/>
      <c r="H413" s="140"/>
      <c r="I413" s="140"/>
      <c r="J413" s="140"/>
      <c r="K413" s="140"/>
      <c r="L413" s="140"/>
      <c r="M413" s="140"/>
      <c r="N413" s="140"/>
      <c r="O413" s="140"/>
      <c r="P413" s="140"/>
      <c r="Q413" s="140"/>
      <c r="R413" s="140"/>
      <c r="S413" s="140"/>
      <c r="T413" s="140"/>
      <c r="U413" s="140"/>
      <c r="V413" s="140"/>
      <c r="W413" s="140"/>
      <c r="X413" s="140"/>
      <c r="Y413" s="140"/>
      <c r="Z413" s="140"/>
      <c r="AA413" s="140"/>
      <c r="AB413" s="140"/>
      <c r="AC413" s="140"/>
      <c r="AD413" s="140"/>
    </row>
    <row r="414" spans="1:30" ht="15.75" customHeight="1" x14ac:dyDescent="0.2">
      <c r="A414" s="140"/>
      <c r="B414" s="140"/>
      <c r="C414" s="140"/>
      <c r="D414" s="140"/>
      <c r="E414" s="140"/>
      <c r="F414" s="140"/>
      <c r="G414" s="140"/>
      <c r="H414" s="140"/>
      <c r="I414" s="140"/>
      <c r="J414" s="140"/>
      <c r="K414" s="140"/>
      <c r="L414" s="140"/>
      <c r="M414" s="140"/>
      <c r="N414" s="140"/>
      <c r="O414" s="140"/>
      <c r="P414" s="140"/>
      <c r="Q414" s="140"/>
      <c r="R414" s="140"/>
      <c r="S414" s="140"/>
      <c r="T414" s="140"/>
      <c r="U414" s="140"/>
      <c r="V414" s="140"/>
      <c r="W414" s="140"/>
      <c r="X414" s="140"/>
      <c r="Y414" s="140"/>
      <c r="Z414" s="140"/>
      <c r="AA414" s="140"/>
      <c r="AB414" s="140"/>
      <c r="AC414" s="140"/>
      <c r="AD414" s="140"/>
    </row>
    <row r="415" spans="1:30" ht="15.75" customHeight="1" x14ac:dyDescent="0.2">
      <c r="A415" s="140"/>
      <c r="B415" s="140"/>
      <c r="C415" s="140"/>
      <c r="D415" s="140"/>
      <c r="E415" s="140"/>
      <c r="F415" s="140"/>
      <c r="G415" s="140"/>
      <c r="H415" s="140"/>
      <c r="I415" s="140"/>
      <c r="J415" s="140"/>
      <c r="K415" s="140"/>
      <c r="L415" s="140"/>
      <c r="M415" s="140"/>
      <c r="N415" s="140"/>
      <c r="O415" s="140"/>
      <c r="P415" s="140"/>
      <c r="Q415" s="140"/>
      <c r="R415" s="140"/>
      <c r="S415" s="140"/>
      <c r="T415" s="140"/>
      <c r="U415" s="140"/>
      <c r="V415" s="140"/>
      <c r="W415" s="140"/>
      <c r="X415" s="140"/>
      <c r="Y415" s="140"/>
      <c r="Z415" s="140"/>
      <c r="AA415" s="140"/>
      <c r="AB415" s="140"/>
      <c r="AC415" s="140"/>
      <c r="AD415" s="140"/>
    </row>
    <row r="416" spans="1:30" ht="15.75" customHeight="1" x14ac:dyDescent="0.2">
      <c r="A416" s="140"/>
      <c r="B416" s="140"/>
      <c r="C416" s="140"/>
      <c r="D416" s="140"/>
      <c r="E416" s="140"/>
      <c r="F416" s="140"/>
      <c r="G416" s="140"/>
      <c r="H416" s="140"/>
      <c r="I416" s="140"/>
      <c r="J416" s="140"/>
      <c r="K416" s="140"/>
      <c r="L416" s="140"/>
      <c r="M416" s="140"/>
      <c r="N416" s="140"/>
      <c r="O416" s="140"/>
      <c r="P416" s="140"/>
      <c r="Q416" s="140"/>
      <c r="R416" s="140"/>
      <c r="S416" s="140"/>
      <c r="T416" s="140"/>
      <c r="U416" s="140"/>
      <c r="V416" s="140"/>
      <c r="W416" s="140"/>
      <c r="X416" s="140"/>
      <c r="Y416" s="140"/>
      <c r="Z416" s="140"/>
      <c r="AA416" s="140"/>
      <c r="AB416" s="140"/>
      <c r="AC416" s="140"/>
      <c r="AD416" s="140"/>
    </row>
    <row r="417" spans="1:30" ht="15.75" customHeight="1" x14ac:dyDescent="0.2">
      <c r="A417" s="140"/>
      <c r="B417" s="140"/>
      <c r="C417" s="140"/>
      <c r="D417" s="140"/>
      <c r="E417" s="140"/>
      <c r="F417" s="140"/>
      <c r="G417" s="140"/>
      <c r="H417" s="140"/>
      <c r="I417" s="140"/>
      <c r="J417" s="140"/>
      <c r="K417" s="140"/>
      <c r="L417" s="140"/>
      <c r="M417" s="140"/>
      <c r="N417" s="140"/>
      <c r="O417" s="140"/>
      <c r="P417" s="140"/>
      <c r="Q417" s="140"/>
      <c r="R417" s="140"/>
      <c r="S417" s="140"/>
      <c r="T417" s="140"/>
      <c r="U417" s="140"/>
      <c r="V417" s="140"/>
      <c r="W417" s="140"/>
      <c r="X417" s="140"/>
      <c r="Y417" s="140"/>
      <c r="Z417" s="140"/>
      <c r="AA417" s="140"/>
      <c r="AB417" s="140"/>
      <c r="AC417" s="140"/>
      <c r="AD417" s="140"/>
    </row>
    <row r="418" spans="1:30" ht="15.75" customHeight="1" x14ac:dyDescent="0.2">
      <c r="A418" s="140"/>
      <c r="B418" s="140"/>
      <c r="C418" s="140"/>
      <c r="D418" s="140"/>
      <c r="E418" s="140"/>
      <c r="F418" s="140"/>
      <c r="G418" s="140"/>
      <c r="H418" s="140"/>
      <c r="I418" s="140"/>
      <c r="J418" s="140"/>
      <c r="K418" s="140"/>
      <c r="L418" s="140"/>
      <c r="M418" s="140"/>
      <c r="N418" s="140"/>
      <c r="O418" s="140"/>
      <c r="P418" s="140"/>
      <c r="Q418" s="140"/>
      <c r="R418" s="140"/>
      <c r="S418" s="140"/>
      <c r="T418" s="140"/>
      <c r="U418" s="140"/>
      <c r="V418" s="140"/>
      <c r="W418" s="140"/>
      <c r="X418" s="140"/>
      <c r="Y418" s="140"/>
      <c r="Z418" s="140"/>
      <c r="AA418" s="140"/>
      <c r="AB418" s="140"/>
      <c r="AC418" s="140"/>
      <c r="AD418" s="140"/>
    </row>
    <row r="419" spans="1:30" ht="15.75" customHeight="1" x14ac:dyDescent="0.2">
      <c r="A419" s="140"/>
      <c r="B419" s="140"/>
      <c r="C419" s="140"/>
      <c r="D419" s="140"/>
      <c r="E419" s="140"/>
      <c r="F419" s="140"/>
      <c r="G419" s="140"/>
      <c r="H419" s="140"/>
      <c r="I419" s="140"/>
      <c r="J419" s="140"/>
      <c r="K419" s="140"/>
      <c r="L419" s="140"/>
      <c r="M419" s="140"/>
      <c r="N419" s="140"/>
      <c r="O419" s="140"/>
      <c r="P419" s="140"/>
      <c r="Q419" s="140"/>
      <c r="R419" s="140"/>
      <c r="S419" s="140"/>
      <c r="T419" s="140"/>
      <c r="U419" s="140"/>
      <c r="V419" s="140"/>
      <c r="W419" s="140"/>
      <c r="X419" s="140"/>
      <c r="Y419" s="140"/>
      <c r="Z419" s="140"/>
      <c r="AA419" s="140"/>
      <c r="AB419" s="140"/>
      <c r="AC419" s="140"/>
      <c r="AD419" s="140"/>
    </row>
    <row r="420" spans="1:30" ht="15.75" customHeight="1" x14ac:dyDescent="0.2">
      <c r="A420" s="140"/>
      <c r="B420" s="140"/>
      <c r="C420" s="140"/>
      <c r="D420" s="140"/>
      <c r="E420" s="140"/>
      <c r="F420" s="140"/>
      <c r="G420" s="140"/>
      <c r="H420" s="140"/>
      <c r="I420" s="140"/>
      <c r="J420" s="140"/>
      <c r="K420" s="140"/>
      <c r="L420" s="140"/>
      <c r="M420" s="140"/>
      <c r="N420" s="140"/>
      <c r="O420" s="140"/>
      <c r="P420" s="140"/>
      <c r="Q420" s="140"/>
      <c r="R420" s="140"/>
      <c r="S420" s="140"/>
      <c r="T420" s="140"/>
      <c r="U420" s="140"/>
      <c r="V420" s="140"/>
      <c r="W420" s="140"/>
      <c r="X420" s="140"/>
      <c r="Y420" s="140"/>
      <c r="Z420" s="140"/>
      <c r="AA420" s="140"/>
      <c r="AB420" s="140"/>
      <c r="AC420" s="140"/>
      <c r="AD420" s="140"/>
    </row>
    <row r="421" spans="1:30" ht="15.75" customHeight="1" x14ac:dyDescent="0.2">
      <c r="A421" s="140"/>
      <c r="B421" s="140"/>
      <c r="C421" s="140"/>
      <c r="D421" s="140"/>
      <c r="E421" s="140"/>
      <c r="F421" s="140"/>
      <c r="G421" s="140"/>
      <c r="H421" s="140"/>
      <c r="I421" s="140"/>
      <c r="J421" s="140"/>
      <c r="K421" s="140"/>
      <c r="L421" s="140"/>
      <c r="M421" s="140"/>
      <c r="N421" s="140"/>
      <c r="O421" s="140"/>
      <c r="P421" s="140"/>
      <c r="Q421" s="140"/>
      <c r="R421" s="140"/>
      <c r="S421" s="140"/>
      <c r="T421" s="140"/>
      <c r="U421" s="140"/>
      <c r="V421" s="140"/>
      <c r="W421" s="140"/>
      <c r="X421" s="140"/>
      <c r="Y421" s="140"/>
      <c r="Z421" s="140"/>
      <c r="AA421" s="140"/>
      <c r="AB421" s="140"/>
      <c r="AC421" s="140"/>
      <c r="AD421" s="140"/>
    </row>
    <row r="422" spans="1:30" ht="15.75" customHeight="1" x14ac:dyDescent="0.2">
      <c r="A422" s="140"/>
      <c r="B422" s="140"/>
      <c r="C422" s="140"/>
      <c r="D422" s="140"/>
      <c r="E422" s="140"/>
      <c r="F422" s="140"/>
      <c r="G422" s="140"/>
      <c r="H422" s="140"/>
      <c r="I422" s="140"/>
      <c r="J422" s="140"/>
      <c r="K422" s="140"/>
      <c r="L422" s="140"/>
      <c r="M422" s="140"/>
      <c r="N422" s="140"/>
      <c r="O422" s="140"/>
      <c r="P422" s="140"/>
      <c r="Q422" s="140"/>
      <c r="R422" s="140"/>
      <c r="S422" s="140"/>
      <c r="T422" s="140"/>
      <c r="U422" s="140"/>
      <c r="V422" s="140"/>
      <c r="W422" s="140"/>
      <c r="X422" s="140"/>
      <c r="Y422" s="140"/>
      <c r="Z422" s="140"/>
      <c r="AA422" s="140"/>
      <c r="AB422" s="140"/>
      <c r="AC422" s="140"/>
      <c r="AD422" s="140"/>
    </row>
    <row r="423" spans="1:30" ht="15.75" customHeight="1" x14ac:dyDescent="0.2">
      <c r="A423" s="140"/>
      <c r="B423" s="140"/>
      <c r="C423" s="140"/>
      <c r="D423" s="140"/>
      <c r="E423" s="140"/>
      <c r="F423" s="140"/>
      <c r="G423" s="140"/>
      <c r="H423" s="140"/>
      <c r="I423" s="140"/>
      <c r="J423" s="140"/>
      <c r="K423" s="140"/>
      <c r="L423" s="140"/>
      <c r="M423" s="140"/>
      <c r="N423" s="140"/>
      <c r="O423" s="140"/>
      <c r="P423" s="140"/>
      <c r="Q423" s="140"/>
      <c r="R423" s="140"/>
      <c r="S423" s="140"/>
      <c r="T423" s="140"/>
      <c r="U423" s="140"/>
      <c r="V423" s="140"/>
      <c r="W423" s="140"/>
      <c r="X423" s="140"/>
      <c r="Y423" s="140"/>
      <c r="Z423" s="140"/>
      <c r="AA423" s="140"/>
      <c r="AB423" s="140"/>
      <c r="AC423" s="140"/>
      <c r="AD423" s="140"/>
    </row>
    <row r="424" spans="1:30" ht="15.75" customHeight="1" x14ac:dyDescent="0.2">
      <c r="A424" s="140"/>
      <c r="B424" s="140"/>
      <c r="C424" s="140"/>
      <c r="D424" s="140"/>
      <c r="E424" s="140"/>
      <c r="F424" s="140"/>
      <c r="G424" s="140"/>
      <c r="H424" s="140"/>
      <c r="I424" s="140"/>
      <c r="J424" s="140"/>
      <c r="K424" s="140"/>
      <c r="L424" s="140"/>
      <c r="M424" s="140"/>
      <c r="N424" s="140"/>
      <c r="O424" s="140"/>
      <c r="P424" s="140"/>
      <c r="Q424" s="140"/>
      <c r="R424" s="140"/>
      <c r="S424" s="140"/>
      <c r="T424" s="140"/>
      <c r="U424" s="140"/>
      <c r="V424" s="140"/>
      <c r="W424" s="140"/>
      <c r="X424" s="140"/>
      <c r="Y424" s="140"/>
      <c r="Z424" s="140"/>
      <c r="AA424" s="140"/>
      <c r="AB424" s="140"/>
      <c r="AC424" s="140"/>
      <c r="AD424" s="140"/>
    </row>
    <row r="425" spans="1:30" ht="15.75" customHeight="1" x14ac:dyDescent="0.2">
      <c r="A425" s="140"/>
      <c r="B425" s="140"/>
      <c r="C425" s="140"/>
      <c r="D425" s="140"/>
      <c r="E425" s="140"/>
      <c r="F425" s="140"/>
      <c r="G425" s="140"/>
      <c r="H425" s="140"/>
      <c r="I425" s="140"/>
      <c r="J425" s="140"/>
      <c r="K425" s="140"/>
      <c r="L425" s="140"/>
      <c r="M425" s="140"/>
      <c r="N425" s="140"/>
      <c r="O425" s="140"/>
      <c r="P425" s="140"/>
      <c r="Q425" s="140"/>
      <c r="R425" s="140"/>
      <c r="S425" s="140"/>
      <c r="T425" s="140"/>
      <c r="U425" s="140"/>
      <c r="V425" s="140"/>
      <c r="W425" s="140"/>
      <c r="X425" s="140"/>
      <c r="Y425" s="140"/>
      <c r="Z425" s="140"/>
      <c r="AA425" s="140"/>
      <c r="AB425" s="140"/>
      <c r="AC425" s="140"/>
      <c r="AD425" s="140"/>
    </row>
    <row r="426" spans="1:30" ht="15.75" customHeight="1" x14ac:dyDescent="0.2">
      <c r="A426" s="140"/>
      <c r="B426" s="140"/>
      <c r="C426" s="140"/>
      <c r="D426" s="140"/>
      <c r="E426" s="140"/>
      <c r="F426" s="140"/>
      <c r="G426" s="140"/>
      <c r="H426" s="140"/>
      <c r="I426" s="140"/>
      <c r="J426" s="140"/>
      <c r="K426" s="140"/>
      <c r="L426" s="140"/>
      <c r="M426" s="140"/>
      <c r="N426" s="140"/>
      <c r="O426" s="140"/>
      <c r="P426" s="140"/>
      <c r="Q426" s="140"/>
      <c r="R426" s="140"/>
      <c r="S426" s="140"/>
      <c r="T426" s="140"/>
      <c r="U426" s="140"/>
      <c r="V426" s="140"/>
      <c r="W426" s="140"/>
      <c r="X426" s="140"/>
      <c r="Y426" s="140"/>
      <c r="Z426" s="140"/>
      <c r="AA426" s="140"/>
      <c r="AB426" s="140"/>
      <c r="AC426" s="140"/>
      <c r="AD426" s="140"/>
    </row>
    <row r="427" spans="1:30" ht="15.75" customHeight="1" x14ac:dyDescent="0.2">
      <c r="A427" s="140"/>
      <c r="B427" s="140"/>
      <c r="C427" s="140"/>
      <c r="D427" s="140"/>
      <c r="E427" s="140"/>
      <c r="F427" s="140"/>
      <c r="G427" s="140"/>
      <c r="H427" s="140"/>
      <c r="I427" s="140"/>
      <c r="J427" s="140"/>
      <c r="K427" s="140"/>
      <c r="L427" s="140"/>
      <c r="M427" s="140"/>
      <c r="N427" s="140"/>
      <c r="O427" s="140"/>
      <c r="P427" s="140"/>
      <c r="Q427" s="140"/>
      <c r="R427" s="140"/>
      <c r="S427" s="140"/>
      <c r="T427" s="140"/>
      <c r="U427" s="140"/>
      <c r="V427" s="140"/>
      <c r="W427" s="140"/>
      <c r="X427" s="140"/>
      <c r="Y427" s="140"/>
      <c r="Z427" s="140"/>
      <c r="AA427" s="140"/>
      <c r="AB427" s="140"/>
      <c r="AC427" s="140"/>
      <c r="AD427" s="140"/>
    </row>
    <row r="428" spans="1:30" ht="15.75" customHeight="1" x14ac:dyDescent="0.2">
      <c r="A428" s="140"/>
      <c r="B428" s="140"/>
      <c r="C428" s="140"/>
      <c r="D428" s="140"/>
      <c r="E428" s="140"/>
      <c r="F428" s="140"/>
      <c r="G428" s="140"/>
      <c r="H428" s="140"/>
      <c r="I428" s="140"/>
      <c r="J428" s="140"/>
      <c r="K428" s="140"/>
      <c r="L428" s="140"/>
      <c r="M428" s="140"/>
      <c r="N428" s="140"/>
      <c r="O428" s="140"/>
      <c r="P428" s="140"/>
      <c r="Q428" s="140"/>
      <c r="R428" s="140"/>
      <c r="S428" s="140"/>
      <c r="T428" s="140"/>
      <c r="U428" s="140"/>
      <c r="V428" s="140"/>
      <c r="W428" s="140"/>
      <c r="X428" s="140"/>
      <c r="Y428" s="140"/>
      <c r="Z428" s="140"/>
      <c r="AA428" s="140"/>
      <c r="AB428" s="140"/>
      <c r="AC428" s="140"/>
      <c r="AD428" s="140"/>
    </row>
    <row r="429" spans="1:30" ht="15.75" customHeight="1" x14ac:dyDescent="0.2">
      <c r="A429" s="140"/>
      <c r="B429" s="140"/>
      <c r="C429" s="140"/>
      <c r="D429" s="140"/>
      <c r="E429" s="140"/>
      <c r="F429" s="140"/>
      <c r="G429" s="140"/>
      <c r="H429" s="140"/>
      <c r="I429" s="140"/>
      <c r="J429" s="140"/>
      <c r="K429" s="140"/>
      <c r="L429" s="140"/>
      <c r="M429" s="140"/>
      <c r="N429" s="140"/>
      <c r="O429" s="140"/>
      <c r="P429" s="140"/>
      <c r="Q429" s="140"/>
      <c r="R429" s="140"/>
      <c r="S429" s="140"/>
      <c r="T429" s="140"/>
      <c r="U429" s="140"/>
      <c r="V429" s="140"/>
      <c r="W429" s="140"/>
      <c r="X429" s="140"/>
      <c r="Y429" s="140"/>
      <c r="Z429" s="140"/>
      <c r="AA429" s="140"/>
      <c r="AB429" s="140"/>
      <c r="AC429" s="140"/>
      <c r="AD429" s="140"/>
    </row>
    <row r="430" spans="1:30" ht="15.75" customHeight="1" x14ac:dyDescent="0.2">
      <c r="A430" s="140"/>
      <c r="B430" s="140"/>
      <c r="C430" s="140"/>
      <c r="D430" s="140"/>
      <c r="E430" s="140"/>
      <c r="F430" s="140"/>
      <c r="G430" s="140"/>
      <c r="H430" s="140"/>
      <c r="I430" s="140"/>
      <c r="J430" s="140"/>
      <c r="K430" s="140"/>
      <c r="L430" s="140"/>
      <c r="M430" s="140"/>
      <c r="N430" s="140"/>
      <c r="O430" s="140"/>
      <c r="P430" s="140"/>
      <c r="Q430" s="140"/>
      <c r="R430" s="140"/>
      <c r="S430" s="140"/>
      <c r="T430" s="140"/>
      <c r="U430" s="140"/>
      <c r="V430" s="140"/>
      <c r="W430" s="140"/>
      <c r="X430" s="140"/>
      <c r="Y430" s="140"/>
      <c r="Z430" s="140"/>
      <c r="AA430" s="140"/>
      <c r="AB430" s="140"/>
      <c r="AC430" s="140"/>
      <c r="AD430" s="140"/>
    </row>
    <row r="431" spans="1:30" ht="15.75" customHeight="1" x14ac:dyDescent="0.2">
      <c r="A431" s="140"/>
      <c r="B431" s="140"/>
      <c r="C431" s="140"/>
      <c r="D431" s="140"/>
      <c r="E431" s="140"/>
      <c r="F431" s="140"/>
      <c r="G431" s="140"/>
      <c r="H431" s="140"/>
      <c r="I431" s="140"/>
      <c r="J431" s="140"/>
      <c r="K431" s="140"/>
      <c r="L431" s="140"/>
      <c r="M431" s="140"/>
      <c r="N431" s="140"/>
      <c r="O431" s="140"/>
      <c r="P431" s="140"/>
      <c r="Q431" s="140"/>
      <c r="R431" s="140"/>
      <c r="S431" s="140"/>
      <c r="T431" s="140"/>
      <c r="U431" s="140"/>
      <c r="V431" s="140"/>
      <c r="W431" s="140"/>
      <c r="X431" s="140"/>
      <c r="Y431" s="140"/>
      <c r="Z431" s="140"/>
      <c r="AA431" s="140"/>
      <c r="AB431" s="140"/>
      <c r="AC431" s="140"/>
      <c r="AD431" s="140"/>
    </row>
    <row r="432" spans="1:30" ht="15.75" customHeight="1" x14ac:dyDescent="0.2">
      <c r="A432" s="140"/>
      <c r="B432" s="140"/>
      <c r="C432" s="140"/>
      <c r="D432" s="140"/>
      <c r="E432" s="140"/>
      <c r="F432" s="140"/>
      <c r="G432" s="140"/>
      <c r="H432" s="140"/>
      <c r="I432" s="140"/>
      <c r="J432" s="140"/>
      <c r="K432" s="140"/>
      <c r="L432" s="140"/>
      <c r="M432" s="140"/>
      <c r="N432" s="140"/>
      <c r="O432" s="140"/>
      <c r="P432" s="140"/>
      <c r="Q432" s="140"/>
      <c r="R432" s="140"/>
      <c r="S432" s="140"/>
      <c r="T432" s="140"/>
      <c r="U432" s="140"/>
      <c r="V432" s="140"/>
      <c r="W432" s="140"/>
      <c r="X432" s="140"/>
      <c r="Y432" s="140"/>
      <c r="Z432" s="140"/>
      <c r="AA432" s="140"/>
      <c r="AB432" s="140"/>
      <c r="AC432" s="140"/>
      <c r="AD432" s="140"/>
    </row>
    <row r="433" spans="1:30" ht="15.75" customHeight="1" x14ac:dyDescent="0.2">
      <c r="A433" s="140"/>
      <c r="B433" s="140"/>
      <c r="C433" s="140"/>
      <c r="D433" s="140"/>
      <c r="E433" s="140"/>
      <c r="F433" s="140"/>
      <c r="G433" s="140"/>
      <c r="H433" s="140"/>
      <c r="I433" s="140"/>
      <c r="J433" s="140"/>
      <c r="K433" s="140"/>
      <c r="L433" s="140"/>
      <c r="M433" s="140"/>
      <c r="N433" s="140"/>
      <c r="O433" s="140"/>
      <c r="P433" s="140"/>
      <c r="Q433" s="140"/>
      <c r="R433" s="140"/>
      <c r="S433" s="140"/>
      <c r="T433" s="140"/>
      <c r="U433" s="140"/>
      <c r="V433" s="140"/>
      <c r="W433" s="140"/>
      <c r="X433" s="140"/>
      <c r="Y433" s="140"/>
      <c r="Z433" s="140"/>
      <c r="AA433" s="140"/>
      <c r="AB433" s="140"/>
      <c r="AC433" s="140"/>
      <c r="AD433" s="140"/>
    </row>
    <row r="434" spans="1:30" ht="15.75" customHeight="1" x14ac:dyDescent="0.2">
      <c r="A434" s="140"/>
      <c r="B434" s="140"/>
      <c r="C434" s="140"/>
      <c r="D434" s="140"/>
      <c r="E434" s="140"/>
      <c r="F434" s="140"/>
      <c r="G434" s="140"/>
      <c r="H434" s="140"/>
      <c r="I434" s="140"/>
      <c r="J434" s="140"/>
      <c r="K434" s="140"/>
      <c r="L434" s="140"/>
      <c r="M434" s="140"/>
      <c r="N434" s="140"/>
      <c r="O434" s="140"/>
      <c r="P434" s="140"/>
      <c r="Q434" s="140"/>
      <c r="R434" s="140"/>
      <c r="S434" s="140"/>
      <c r="T434" s="140"/>
      <c r="U434" s="140"/>
      <c r="V434" s="140"/>
      <c r="W434" s="140"/>
      <c r="X434" s="140"/>
      <c r="Y434" s="140"/>
      <c r="Z434" s="140"/>
      <c r="AA434" s="140"/>
      <c r="AB434" s="140"/>
      <c r="AC434" s="140"/>
      <c r="AD434" s="140"/>
    </row>
    <row r="435" spans="1:30" ht="15.75" customHeight="1" x14ac:dyDescent="0.2">
      <c r="A435" s="140"/>
      <c r="B435" s="140"/>
      <c r="C435" s="140"/>
      <c r="D435" s="140"/>
      <c r="E435" s="140"/>
      <c r="F435" s="140"/>
      <c r="G435" s="140"/>
      <c r="H435" s="140"/>
      <c r="I435" s="140"/>
      <c r="J435" s="140"/>
      <c r="K435" s="140"/>
      <c r="L435" s="140"/>
      <c r="M435" s="140"/>
      <c r="N435" s="140"/>
      <c r="O435" s="140"/>
      <c r="P435" s="140"/>
      <c r="Q435" s="140"/>
      <c r="R435" s="140"/>
      <c r="S435" s="140"/>
      <c r="T435" s="140"/>
      <c r="U435" s="140"/>
      <c r="V435" s="140"/>
      <c r="W435" s="140"/>
      <c r="X435" s="140"/>
      <c r="Y435" s="140"/>
      <c r="Z435" s="140"/>
      <c r="AA435" s="140"/>
      <c r="AB435" s="140"/>
      <c r="AC435" s="140"/>
      <c r="AD435" s="140"/>
    </row>
    <row r="436" spans="1:30" ht="15.75" customHeight="1" x14ac:dyDescent="0.2">
      <c r="A436" s="140"/>
      <c r="B436" s="140"/>
      <c r="C436" s="140"/>
      <c r="D436" s="140"/>
      <c r="E436" s="140"/>
      <c r="F436" s="140"/>
      <c r="G436" s="140"/>
      <c r="H436" s="140"/>
      <c r="I436" s="140"/>
      <c r="J436" s="140"/>
      <c r="K436" s="140"/>
      <c r="L436" s="140"/>
      <c r="M436" s="140"/>
      <c r="N436" s="140"/>
      <c r="O436" s="140"/>
      <c r="P436" s="140"/>
      <c r="Q436" s="140"/>
      <c r="R436" s="140"/>
      <c r="S436" s="140"/>
      <c r="T436" s="140"/>
      <c r="U436" s="140"/>
      <c r="V436" s="140"/>
      <c r="W436" s="140"/>
      <c r="X436" s="140"/>
      <c r="Y436" s="140"/>
      <c r="Z436" s="140"/>
      <c r="AA436" s="140"/>
      <c r="AB436" s="140"/>
      <c r="AC436" s="140"/>
      <c r="AD436" s="140"/>
    </row>
    <row r="437" spans="1:30" ht="15.75" customHeight="1" x14ac:dyDescent="0.2">
      <c r="A437" s="140"/>
      <c r="B437" s="140"/>
      <c r="C437" s="140"/>
      <c r="D437" s="140"/>
      <c r="E437" s="140"/>
      <c r="F437" s="140"/>
      <c r="G437" s="140"/>
      <c r="H437" s="140"/>
      <c r="I437" s="140"/>
      <c r="J437" s="140"/>
      <c r="K437" s="140"/>
      <c r="L437" s="140"/>
      <c r="M437" s="140"/>
      <c r="N437" s="140"/>
      <c r="O437" s="140"/>
      <c r="P437" s="140"/>
      <c r="Q437" s="140"/>
      <c r="R437" s="140"/>
      <c r="S437" s="140"/>
      <c r="T437" s="140"/>
      <c r="U437" s="140"/>
      <c r="V437" s="140"/>
      <c r="W437" s="140"/>
      <c r="X437" s="140"/>
      <c r="Y437" s="140"/>
      <c r="Z437" s="140"/>
      <c r="AA437" s="140"/>
      <c r="AB437" s="140"/>
      <c r="AC437" s="140"/>
      <c r="AD437" s="140"/>
    </row>
    <row r="438" spans="1:30" ht="15.75" customHeight="1" x14ac:dyDescent="0.2">
      <c r="A438" s="140"/>
      <c r="B438" s="140"/>
      <c r="C438" s="140"/>
      <c r="D438" s="140"/>
      <c r="E438" s="140"/>
      <c r="F438" s="140"/>
      <c r="G438" s="140"/>
      <c r="H438" s="140"/>
      <c r="I438" s="140"/>
      <c r="J438" s="140"/>
      <c r="K438" s="140"/>
      <c r="L438" s="140"/>
      <c r="M438" s="140"/>
      <c r="N438" s="140"/>
      <c r="O438" s="140"/>
      <c r="P438" s="140"/>
      <c r="Q438" s="140"/>
      <c r="R438" s="140"/>
      <c r="S438" s="140"/>
      <c r="T438" s="140"/>
      <c r="U438" s="140"/>
      <c r="V438" s="140"/>
      <c r="W438" s="140"/>
      <c r="X438" s="140"/>
      <c r="Y438" s="140"/>
      <c r="Z438" s="140"/>
      <c r="AA438" s="140"/>
      <c r="AB438" s="140"/>
      <c r="AC438" s="140"/>
      <c r="AD438" s="140"/>
    </row>
    <row r="439" spans="1:30" ht="15.75" customHeight="1" x14ac:dyDescent="0.2">
      <c r="A439" s="140"/>
      <c r="B439" s="140"/>
      <c r="C439" s="140"/>
      <c r="D439" s="140"/>
      <c r="E439" s="140"/>
      <c r="F439" s="140"/>
      <c r="G439" s="140"/>
      <c r="H439" s="140"/>
      <c r="I439" s="140"/>
      <c r="J439" s="140"/>
      <c r="K439" s="140"/>
      <c r="L439" s="140"/>
      <c r="M439" s="140"/>
      <c r="N439" s="140"/>
      <c r="O439" s="140"/>
      <c r="P439" s="140"/>
      <c r="Q439" s="140"/>
      <c r="R439" s="140"/>
      <c r="S439" s="140"/>
      <c r="T439" s="140"/>
      <c r="U439" s="140"/>
      <c r="V439" s="140"/>
      <c r="W439" s="140"/>
      <c r="X439" s="140"/>
      <c r="Y439" s="140"/>
      <c r="Z439" s="140"/>
      <c r="AA439" s="140"/>
      <c r="AB439" s="140"/>
      <c r="AC439" s="140"/>
      <c r="AD439" s="140"/>
    </row>
    <row r="440" spans="1:30" ht="15.75" customHeight="1" x14ac:dyDescent="0.2">
      <c r="A440" s="140"/>
      <c r="B440" s="140"/>
      <c r="C440" s="140"/>
      <c r="D440" s="140"/>
      <c r="E440" s="140"/>
      <c r="F440" s="140"/>
      <c r="G440" s="140"/>
      <c r="H440" s="140"/>
      <c r="I440" s="140"/>
      <c r="J440" s="140"/>
      <c r="K440" s="140"/>
      <c r="L440" s="140"/>
      <c r="M440" s="140"/>
      <c r="N440" s="140"/>
      <c r="O440" s="140"/>
      <c r="P440" s="140"/>
      <c r="Q440" s="140"/>
      <c r="R440" s="140"/>
      <c r="S440" s="140"/>
      <c r="T440" s="140"/>
      <c r="U440" s="140"/>
      <c r="V440" s="140"/>
      <c r="W440" s="140"/>
      <c r="X440" s="140"/>
      <c r="Y440" s="140"/>
      <c r="Z440" s="140"/>
      <c r="AA440" s="140"/>
      <c r="AB440" s="140"/>
      <c r="AC440" s="140"/>
      <c r="AD440" s="140"/>
    </row>
    <row r="441" spans="1:30" ht="15.75" customHeight="1" x14ac:dyDescent="0.2">
      <c r="A441" s="140"/>
      <c r="B441" s="140"/>
      <c r="C441" s="140"/>
      <c r="D441" s="140"/>
      <c r="E441" s="140"/>
      <c r="F441" s="140"/>
      <c r="G441" s="140"/>
      <c r="H441" s="140"/>
      <c r="I441" s="140"/>
      <c r="J441" s="140"/>
      <c r="K441" s="140"/>
      <c r="L441" s="140"/>
      <c r="M441" s="140"/>
      <c r="N441" s="140"/>
      <c r="O441" s="140"/>
      <c r="P441" s="140"/>
      <c r="Q441" s="140"/>
      <c r="R441" s="140"/>
      <c r="S441" s="140"/>
      <c r="T441" s="140"/>
      <c r="U441" s="140"/>
      <c r="V441" s="140"/>
      <c r="W441" s="140"/>
      <c r="X441" s="140"/>
      <c r="Y441" s="140"/>
      <c r="Z441" s="140"/>
      <c r="AA441" s="140"/>
      <c r="AB441" s="140"/>
      <c r="AC441" s="140"/>
      <c r="AD441" s="140"/>
    </row>
    <row r="442" spans="1:30" ht="15.75" customHeight="1" x14ac:dyDescent="0.2">
      <c r="A442" s="140"/>
      <c r="B442" s="140"/>
      <c r="C442" s="140"/>
      <c r="D442" s="140"/>
      <c r="E442" s="140"/>
      <c r="F442" s="140"/>
      <c r="G442" s="140"/>
      <c r="H442" s="140"/>
      <c r="I442" s="140"/>
      <c r="J442" s="140"/>
      <c r="K442" s="140"/>
      <c r="L442" s="140"/>
      <c r="M442" s="140"/>
      <c r="N442" s="140"/>
      <c r="O442" s="140"/>
      <c r="P442" s="140"/>
      <c r="Q442" s="140"/>
      <c r="R442" s="140"/>
      <c r="S442" s="140"/>
      <c r="T442" s="140"/>
      <c r="U442" s="140"/>
      <c r="V442" s="140"/>
      <c r="W442" s="140"/>
      <c r="X442" s="140"/>
      <c r="Y442" s="140"/>
      <c r="Z442" s="140"/>
      <c r="AA442" s="140"/>
      <c r="AB442" s="140"/>
      <c r="AC442" s="140"/>
      <c r="AD442" s="140"/>
    </row>
    <row r="443" spans="1:30" ht="15.75" customHeight="1" x14ac:dyDescent="0.2">
      <c r="A443" s="140"/>
      <c r="B443" s="140"/>
      <c r="C443" s="140"/>
      <c r="D443" s="140"/>
      <c r="E443" s="140"/>
      <c r="F443" s="140"/>
      <c r="G443" s="140"/>
      <c r="H443" s="140"/>
      <c r="I443" s="140"/>
      <c r="J443" s="140"/>
      <c r="K443" s="140"/>
      <c r="L443" s="140"/>
      <c r="M443" s="140"/>
      <c r="N443" s="140"/>
      <c r="O443" s="140"/>
      <c r="P443" s="140"/>
      <c r="Q443" s="140"/>
      <c r="R443" s="140"/>
      <c r="S443" s="140"/>
      <c r="T443" s="140"/>
      <c r="U443" s="140"/>
      <c r="V443" s="140"/>
      <c r="W443" s="140"/>
      <c r="X443" s="140"/>
      <c r="Y443" s="140"/>
      <c r="Z443" s="140"/>
      <c r="AA443" s="140"/>
      <c r="AB443" s="140"/>
      <c r="AC443" s="140"/>
      <c r="AD443" s="140"/>
    </row>
    <row r="444" spans="1:30" ht="15.75" customHeight="1" x14ac:dyDescent="0.2">
      <c r="A444" s="140"/>
      <c r="B444" s="140"/>
      <c r="C444" s="140"/>
      <c r="D444" s="140"/>
      <c r="E444" s="140"/>
      <c r="F444" s="140"/>
      <c r="G444" s="140"/>
      <c r="H444" s="140"/>
      <c r="I444" s="140"/>
      <c r="J444" s="140"/>
      <c r="K444" s="140"/>
      <c r="L444" s="140"/>
      <c r="M444" s="140"/>
      <c r="N444" s="140"/>
      <c r="O444" s="140"/>
      <c r="P444" s="140"/>
      <c r="Q444" s="140"/>
      <c r="R444" s="140"/>
      <c r="S444" s="140"/>
      <c r="T444" s="140"/>
      <c r="U444" s="140"/>
      <c r="V444" s="140"/>
      <c r="W444" s="140"/>
      <c r="X444" s="140"/>
      <c r="Y444" s="140"/>
      <c r="Z444" s="140"/>
      <c r="AA444" s="140"/>
      <c r="AB444" s="140"/>
      <c r="AC444" s="140"/>
      <c r="AD444" s="140"/>
    </row>
    <row r="445" spans="1:30" ht="15.75" customHeight="1" x14ac:dyDescent="0.2">
      <c r="A445" s="140"/>
      <c r="B445" s="140"/>
      <c r="C445" s="140"/>
      <c r="D445" s="140"/>
      <c r="E445" s="140"/>
      <c r="F445" s="140"/>
      <c r="G445" s="140"/>
      <c r="H445" s="140"/>
      <c r="I445" s="140"/>
      <c r="J445" s="140"/>
      <c r="K445" s="140"/>
      <c r="L445" s="140"/>
      <c r="M445" s="140"/>
      <c r="N445" s="140"/>
      <c r="O445" s="140"/>
      <c r="P445" s="140"/>
      <c r="Q445" s="140"/>
      <c r="R445" s="140"/>
      <c r="S445" s="140"/>
      <c r="T445" s="140"/>
      <c r="U445" s="140"/>
      <c r="V445" s="140"/>
      <c r="W445" s="140"/>
      <c r="X445" s="140"/>
      <c r="Y445" s="140"/>
      <c r="Z445" s="140"/>
      <c r="AA445" s="140"/>
      <c r="AB445" s="140"/>
      <c r="AC445" s="140"/>
      <c r="AD445" s="140"/>
    </row>
    <row r="446" spans="1:30" ht="15.75" customHeight="1" x14ac:dyDescent="0.2">
      <c r="A446" s="140"/>
      <c r="B446" s="140"/>
      <c r="C446" s="140"/>
      <c r="D446" s="140"/>
      <c r="E446" s="140"/>
      <c r="F446" s="140"/>
      <c r="G446" s="140"/>
      <c r="H446" s="140"/>
      <c r="I446" s="140"/>
      <c r="J446" s="140"/>
      <c r="K446" s="140"/>
      <c r="L446" s="140"/>
      <c r="M446" s="140"/>
      <c r="N446" s="140"/>
      <c r="O446" s="140"/>
      <c r="P446" s="140"/>
      <c r="Q446" s="140"/>
      <c r="R446" s="140"/>
      <c r="S446" s="140"/>
      <c r="T446" s="140"/>
      <c r="U446" s="140"/>
      <c r="V446" s="140"/>
      <c r="W446" s="140"/>
      <c r="X446" s="140"/>
      <c r="Y446" s="140"/>
      <c r="Z446" s="140"/>
      <c r="AA446" s="140"/>
      <c r="AB446" s="140"/>
      <c r="AC446" s="140"/>
      <c r="AD446" s="140"/>
    </row>
    <row r="447" spans="1:30" ht="15.75" customHeight="1" x14ac:dyDescent="0.2">
      <c r="A447" s="140"/>
      <c r="B447" s="140"/>
      <c r="C447" s="140"/>
      <c r="D447" s="140"/>
      <c r="E447" s="140"/>
      <c r="F447" s="140"/>
      <c r="G447" s="140"/>
      <c r="H447" s="140"/>
      <c r="I447" s="140"/>
      <c r="J447" s="140"/>
      <c r="K447" s="140"/>
      <c r="L447" s="140"/>
      <c r="M447" s="140"/>
      <c r="N447" s="140"/>
      <c r="O447" s="140"/>
      <c r="P447" s="140"/>
      <c r="Q447" s="140"/>
      <c r="R447" s="140"/>
      <c r="S447" s="140"/>
      <c r="T447" s="140"/>
      <c r="U447" s="140"/>
      <c r="V447" s="140"/>
      <c r="W447" s="140"/>
      <c r="X447" s="140"/>
      <c r="Y447" s="140"/>
      <c r="Z447" s="140"/>
      <c r="AA447" s="140"/>
      <c r="AB447" s="140"/>
      <c r="AC447" s="140"/>
      <c r="AD447" s="140"/>
    </row>
    <row r="448" spans="1:30" ht="15.75" customHeight="1" x14ac:dyDescent="0.2">
      <c r="A448" s="140"/>
      <c r="B448" s="140"/>
      <c r="C448" s="140"/>
      <c r="D448" s="140"/>
      <c r="E448" s="140"/>
      <c r="F448" s="140"/>
      <c r="G448" s="140"/>
      <c r="H448" s="140"/>
      <c r="I448" s="140"/>
      <c r="J448" s="140"/>
      <c r="K448" s="140"/>
      <c r="L448" s="140"/>
      <c r="M448" s="140"/>
      <c r="N448" s="140"/>
      <c r="O448" s="140"/>
      <c r="P448" s="140"/>
      <c r="Q448" s="140"/>
      <c r="R448" s="140"/>
      <c r="S448" s="140"/>
      <c r="T448" s="140"/>
      <c r="U448" s="140"/>
      <c r="V448" s="140"/>
      <c r="W448" s="140"/>
      <c r="X448" s="140"/>
      <c r="Y448" s="140"/>
      <c r="Z448" s="140"/>
      <c r="AA448" s="140"/>
      <c r="AB448" s="140"/>
      <c r="AC448" s="140"/>
      <c r="AD448" s="140"/>
    </row>
    <row r="449" spans="1:30" ht="15.75" customHeight="1" x14ac:dyDescent="0.2">
      <c r="A449" s="140"/>
      <c r="B449" s="140"/>
      <c r="C449" s="140"/>
      <c r="D449" s="140"/>
      <c r="E449" s="140"/>
      <c r="F449" s="140"/>
      <c r="G449" s="140"/>
      <c r="H449" s="140"/>
      <c r="I449" s="140"/>
      <c r="J449" s="140"/>
      <c r="K449" s="140"/>
      <c r="L449" s="140"/>
      <c r="M449" s="140"/>
      <c r="N449" s="140"/>
      <c r="O449" s="140"/>
      <c r="P449" s="140"/>
      <c r="Q449" s="140"/>
      <c r="R449" s="140"/>
      <c r="S449" s="140"/>
      <c r="T449" s="140"/>
      <c r="U449" s="140"/>
      <c r="V449" s="140"/>
      <c r="W449" s="140"/>
      <c r="X449" s="140"/>
      <c r="Y449" s="140"/>
      <c r="Z449" s="140"/>
      <c r="AA449" s="140"/>
      <c r="AB449" s="140"/>
      <c r="AC449" s="140"/>
      <c r="AD449" s="140"/>
    </row>
    <row r="450" spans="1:30" ht="15.75" customHeight="1" x14ac:dyDescent="0.2">
      <c r="A450" s="140"/>
      <c r="B450" s="140"/>
      <c r="C450" s="140"/>
      <c r="D450" s="140"/>
      <c r="E450" s="140"/>
      <c r="F450" s="140"/>
      <c r="G450" s="140"/>
      <c r="H450" s="140"/>
      <c r="I450" s="140"/>
      <c r="J450" s="140"/>
      <c r="K450" s="140"/>
      <c r="L450" s="140"/>
      <c r="M450" s="140"/>
      <c r="N450" s="140"/>
      <c r="O450" s="140"/>
      <c r="P450" s="140"/>
      <c r="Q450" s="140"/>
      <c r="R450" s="140"/>
      <c r="S450" s="140"/>
      <c r="T450" s="140"/>
      <c r="U450" s="140"/>
      <c r="V450" s="140"/>
      <c r="W450" s="140"/>
      <c r="X450" s="140"/>
      <c r="Y450" s="140"/>
      <c r="Z450" s="140"/>
      <c r="AA450" s="140"/>
      <c r="AB450" s="140"/>
      <c r="AC450" s="140"/>
      <c r="AD450" s="140"/>
    </row>
    <row r="451" spans="1:30" ht="15.75" customHeight="1" x14ac:dyDescent="0.2">
      <c r="A451" s="140"/>
      <c r="B451" s="140"/>
      <c r="C451" s="140"/>
      <c r="D451" s="140"/>
      <c r="E451" s="140"/>
      <c r="F451" s="140"/>
      <c r="G451" s="140"/>
      <c r="H451" s="140"/>
      <c r="I451" s="140"/>
      <c r="J451" s="140"/>
      <c r="K451" s="140"/>
      <c r="L451" s="140"/>
      <c r="M451" s="140"/>
      <c r="N451" s="140"/>
      <c r="O451" s="140"/>
      <c r="P451" s="140"/>
      <c r="Q451" s="140"/>
      <c r="R451" s="140"/>
      <c r="S451" s="140"/>
      <c r="T451" s="140"/>
      <c r="U451" s="140"/>
      <c r="V451" s="140"/>
      <c r="W451" s="140"/>
      <c r="X451" s="140"/>
      <c r="Y451" s="140"/>
      <c r="Z451" s="140"/>
      <c r="AA451" s="140"/>
      <c r="AB451" s="140"/>
      <c r="AC451" s="140"/>
      <c r="AD451" s="140"/>
    </row>
    <row r="452" spans="1:30" ht="15.75" customHeight="1" x14ac:dyDescent="0.2">
      <c r="A452" s="140"/>
      <c r="B452" s="140"/>
      <c r="C452" s="140"/>
      <c r="D452" s="140"/>
      <c r="E452" s="140"/>
      <c r="F452" s="140"/>
      <c r="G452" s="140"/>
      <c r="H452" s="140"/>
      <c r="I452" s="140"/>
      <c r="J452" s="140"/>
      <c r="K452" s="140"/>
      <c r="L452" s="140"/>
      <c r="M452" s="140"/>
      <c r="N452" s="140"/>
      <c r="O452" s="140"/>
      <c r="P452" s="140"/>
      <c r="Q452" s="140"/>
      <c r="R452" s="140"/>
      <c r="S452" s="140"/>
      <c r="T452" s="140"/>
      <c r="U452" s="140"/>
      <c r="V452" s="140"/>
      <c r="W452" s="140"/>
      <c r="X452" s="140"/>
      <c r="Y452" s="140"/>
      <c r="Z452" s="140"/>
      <c r="AA452" s="140"/>
      <c r="AB452" s="140"/>
      <c r="AC452" s="140"/>
      <c r="AD452" s="140"/>
    </row>
    <row r="453" spans="1:30" ht="15.75" customHeight="1" x14ac:dyDescent="0.2">
      <c r="A453" s="140"/>
      <c r="B453" s="140"/>
      <c r="C453" s="140"/>
      <c r="D453" s="140"/>
      <c r="E453" s="140"/>
      <c r="F453" s="140"/>
      <c r="G453" s="140"/>
      <c r="H453" s="140"/>
      <c r="I453" s="140"/>
      <c r="J453" s="140"/>
      <c r="K453" s="140"/>
      <c r="L453" s="140"/>
      <c r="M453" s="140"/>
      <c r="N453" s="140"/>
      <c r="O453" s="140"/>
      <c r="P453" s="140"/>
      <c r="Q453" s="140"/>
      <c r="R453" s="140"/>
      <c r="S453" s="140"/>
      <c r="T453" s="140"/>
      <c r="U453" s="140"/>
      <c r="V453" s="140"/>
      <c r="W453" s="140"/>
      <c r="X453" s="140"/>
      <c r="Y453" s="140"/>
      <c r="Z453" s="140"/>
      <c r="AA453" s="140"/>
      <c r="AB453" s="140"/>
      <c r="AC453" s="140"/>
      <c r="AD453" s="140"/>
    </row>
    <row r="454" spans="1:30" ht="15.75" customHeight="1" x14ac:dyDescent="0.2">
      <c r="A454" s="140"/>
      <c r="B454" s="140"/>
      <c r="C454" s="140"/>
      <c r="D454" s="140"/>
      <c r="E454" s="140"/>
      <c r="F454" s="140"/>
      <c r="G454" s="140"/>
      <c r="H454" s="140"/>
      <c r="I454" s="140"/>
      <c r="J454" s="140"/>
      <c r="K454" s="140"/>
      <c r="L454" s="140"/>
      <c r="M454" s="140"/>
      <c r="N454" s="140"/>
      <c r="O454" s="140"/>
      <c r="P454" s="140"/>
      <c r="Q454" s="140"/>
      <c r="R454" s="140"/>
      <c r="S454" s="140"/>
      <c r="T454" s="140"/>
      <c r="U454" s="140"/>
      <c r="V454" s="140"/>
      <c r="W454" s="140"/>
      <c r="X454" s="140"/>
      <c r="Y454" s="140"/>
      <c r="Z454" s="140"/>
      <c r="AA454" s="140"/>
      <c r="AB454" s="140"/>
      <c r="AC454" s="140"/>
      <c r="AD454" s="140"/>
    </row>
    <row r="455" spans="1:30" ht="15.75" customHeight="1" x14ac:dyDescent="0.2">
      <c r="A455" s="140"/>
      <c r="B455" s="140"/>
      <c r="C455" s="140"/>
      <c r="D455" s="140"/>
      <c r="E455" s="140"/>
      <c r="F455" s="140"/>
      <c r="G455" s="140"/>
      <c r="H455" s="140"/>
      <c r="I455" s="140"/>
      <c r="J455" s="140"/>
      <c r="K455" s="140"/>
      <c r="L455" s="140"/>
      <c r="M455" s="140"/>
      <c r="N455" s="140"/>
      <c r="O455" s="140"/>
      <c r="P455" s="140"/>
      <c r="Q455" s="140"/>
      <c r="R455" s="140"/>
      <c r="S455" s="140"/>
      <c r="T455" s="140"/>
      <c r="U455" s="140"/>
      <c r="V455" s="140"/>
      <c r="W455" s="140"/>
      <c r="X455" s="140"/>
      <c r="Y455" s="140"/>
      <c r="Z455" s="140"/>
      <c r="AA455" s="140"/>
      <c r="AB455" s="140"/>
      <c r="AC455" s="140"/>
      <c r="AD455" s="140"/>
    </row>
    <row r="456" spans="1:30" ht="15.75" customHeight="1" x14ac:dyDescent="0.2">
      <c r="A456" s="140"/>
      <c r="B456" s="140"/>
      <c r="C456" s="140"/>
      <c r="D456" s="140"/>
      <c r="E456" s="140"/>
      <c r="F456" s="140"/>
      <c r="G456" s="140"/>
      <c r="H456" s="140"/>
      <c r="I456" s="140"/>
      <c r="J456" s="140"/>
      <c r="K456" s="140"/>
      <c r="L456" s="140"/>
      <c r="M456" s="140"/>
      <c r="N456" s="140"/>
      <c r="O456" s="140"/>
      <c r="P456" s="140"/>
      <c r="Q456" s="140"/>
      <c r="R456" s="140"/>
      <c r="S456" s="140"/>
      <c r="T456" s="140"/>
      <c r="U456" s="140"/>
      <c r="V456" s="140"/>
      <c r="W456" s="140"/>
      <c r="X456" s="140"/>
      <c r="Y456" s="140"/>
      <c r="Z456" s="140"/>
      <c r="AA456" s="140"/>
      <c r="AB456" s="140"/>
      <c r="AC456" s="140"/>
      <c r="AD456" s="140"/>
    </row>
    <row r="457" spans="1:30" ht="15.75" customHeight="1" x14ac:dyDescent="0.2">
      <c r="A457" s="140"/>
      <c r="B457" s="140"/>
      <c r="C457" s="140"/>
      <c r="D457" s="140"/>
      <c r="E457" s="140"/>
      <c r="F457" s="140"/>
      <c r="G457" s="140"/>
      <c r="H457" s="140"/>
      <c r="I457" s="140"/>
      <c r="J457" s="140"/>
      <c r="K457" s="140"/>
      <c r="L457" s="140"/>
      <c r="M457" s="140"/>
      <c r="N457" s="140"/>
      <c r="O457" s="140"/>
      <c r="P457" s="140"/>
      <c r="Q457" s="140"/>
      <c r="R457" s="140"/>
      <c r="S457" s="140"/>
      <c r="T457" s="140"/>
      <c r="U457" s="140"/>
      <c r="V457" s="140"/>
      <c r="W457" s="140"/>
      <c r="X457" s="140"/>
      <c r="Y457" s="140"/>
      <c r="Z457" s="140"/>
      <c r="AA457" s="140"/>
      <c r="AB457" s="140"/>
      <c r="AC457" s="140"/>
      <c r="AD457" s="140"/>
    </row>
    <row r="458" spans="1:30" ht="15.75" customHeight="1" x14ac:dyDescent="0.2">
      <c r="A458" s="140"/>
      <c r="B458" s="140"/>
      <c r="C458" s="140"/>
      <c r="D458" s="140"/>
      <c r="E458" s="140"/>
      <c r="F458" s="140"/>
      <c r="G458" s="140"/>
      <c r="H458" s="140"/>
      <c r="I458" s="140"/>
      <c r="J458" s="140"/>
      <c r="K458" s="140"/>
      <c r="L458" s="140"/>
      <c r="M458" s="140"/>
      <c r="N458" s="140"/>
      <c r="O458" s="140"/>
      <c r="P458" s="140"/>
      <c r="Q458" s="140"/>
      <c r="R458" s="140"/>
      <c r="S458" s="140"/>
      <c r="T458" s="140"/>
      <c r="U458" s="140"/>
      <c r="V458" s="140"/>
      <c r="W458" s="140"/>
      <c r="X458" s="140"/>
      <c r="Y458" s="140"/>
      <c r="Z458" s="140"/>
      <c r="AA458" s="140"/>
      <c r="AB458" s="140"/>
      <c r="AC458" s="140"/>
      <c r="AD458" s="140"/>
    </row>
    <row r="459" spans="1:30" ht="15.75" customHeight="1" x14ac:dyDescent="0.2">
      <c r="A459" s="140"/>
      <c r="B459" s="140"/>
      <c r="C459" s="140"/>
      <c r="D459" s="140"/>
      <c r="E459" s="140"/>
      <c r="F459" s="140"/>
      <c r="G459" s="140"/>
      <c r="H459" s="140"/>
      <c r="I459" s="140"/>
      <c r="J459" s="140"/>
      <c r="K459" s="140"/>
      <c r="L459" s="140"/>
      <c r="M459" s="140"/>
      <c r="N459" s="140"/>
      <c r="O459" s="140"/>
      <c r="P459" s="140"/>
      <c r="Q459" s="140"/>
      <c r="R459" s="140"/>
      <c r="S459" s="140"/>
      <c r="T459" s="140"/>
      <c r="U459" s="140"/>
      <c r="V459" s="140"/>
      <c r="W459" s="140"/>
      <c r="X459" s="140"/>
      <c r="Y459" s="140"/>
      <c r="Z459" s="140"/>
      <c r="AA459" s="140"/>
      <c r="AB459" s="140"/>
      <c r="AC459" s="140"/>
      <c r="AD459" s="140"/>
    </row>
    <row r="460" spans="1:30" ht="15.75" customHeight="1" x14ac:dyDescent="0.2">
      <c r="A460" s="140"/>
      <c r="B460" s="140"/>
      <c r="C460" s="140"/>
      <c r="D460" s="140"/>
      <c r="E460" s="140"/>
      <c r="F460" s="140"/>
      <c r="G460" s="140"/>
      <c r="H460" s="140"/>
      <c r="I460" s="140"/>
      <c r="J460" s="140"/>
      <c r="K460" s="140"/>
      <c r="L460" s="140"/>
      <c r="M460" s="140"/>
      <c r="N460" s="140"/>
      <c r="O460" s="140"/>
      <c r="P460" s="140"/>
      <c r="Q460" s="140"/>
      <c r="R460" s="140"/>
      <c r="S460" s="140"/>
      <c r="T460" s="140"/>
      <c r="U460" s="140"/>
      <c r="V460" s="140"/>
      <c r="W460" s="140"/>
      <c r="X460" s="140"/>
      <c r="Y460" s="140"/>
      <c r="Z460" s="140"/>
      <c r="AA460" s="140"/>
      <c r="AB460" s="140"/>
      <c r="AC460" s="140"/>
      <c r="AD460" s="140"/>
    </row>
    <row r="461" spans="1:30" ht="15.75" customHeight="1" x14ac:dyDescent="0.2">
      <c r="A461" s="140"/>
      <c r="B461" s="140"/>
      <c r="C461" s="140"/>
      <c r="D461" s="140"/>
      <c r="E461" s="140"/>
      <c r="F461" s="140"/>
      <c r="G461" s="140"/>
      <c r="H461" s="140"/>
      <c r="I461" s="140"/>
      <c r="J461" s="140"/>
      <c r="K461" s="140"/>
      <c r="L461" s="140"/>
      <c r="M461" s="140"/>
      <c r="N461" s="140"/>
      <c r="O461" s="140"/>
      <c r="P461" s="140"/>
      <c r="Q461" s="140"/>
      <c r="R461" s="140"/>
      <c r="S461" s="140"/>
      <c r="T461" s="140"/>
      <c r="U461" s="140"/>
      <c r="V461" s="140"/>
      <c r="W461" s="140"/>
      <c r="X461" s="140"/>
      <c r="Y461" s="140"/>
      <c r="Z461" s="140"/>
      <c r="AA461" s="140"/>
      <c r="AB461" s="140"/>
      <c r="AC461" s="140"/>
      <c r="AD461" s="140"/>
    </row>
    <row r="462" spans="1:30" ht="15.75" customHeight="1" x14ac:dyDescent="0.2">
      <c r="A462" s="140"/>
      <c r="B462" s="140"/>
      <c r="C462" s="140"/>
      <c r="D462" s="140"/>
      <c r="E462" s="140"/>
      <c r="F462" s="140"/>
      <c r="G462" s="140"/>
      <c r="H462" s="140"/>
      <c r="I462" s="140"/>
      <c r="J462" s="140"/>
      <c r="K462" s="140"/>
      <c r="L462" s="140"/>
      <c r="M462" s="140"/>
      <c r="N462" s="140"/>
      <c r="O462" s="140"/>
      <c r="P462" s="140"/>
      <c r="Q462" s="140"/>
      <c r="R462" s="140"/>
      <c r="S462" s="140"/>
      <c r="T462" s="140"/>
      <c r="U462" s="140"/>
      <c r="V462" s="140"/>
      <c r="W462" s="140"/>
      <c r="X462" s="140"/>
      <c r="Y462" s="140"/>
      <c r="Z462" s="140"/>
      <c r="AA462" s="140"/>
      <c r="AB462" s="140"/>
      <c r="AC462" s="140"/>
      <c r="AD462" s="140"/>
    </row>
    <row r="463" spans="1:30" ht="15.75" customHeight="1" x14ac:dyDescent="0.2">
      <c r="A463" s="140"/>
      <c r="B463" s="140"/>
      <c r="C463" s="140"/>
      <c r="D463" s="140"/>
      <c r="E463" s="140"/>
      <c r="F463" s="140"/>
      <c r="G463" s="140"/>
      <c r="H463" s="140"/>
      <c r="I463" s="140"/>
      <c r="J463" s="140"/>
      <c r="K463" s="140"/>
      <c r="L463" s="140"/>
      <c r="M463" s="140"/>
      <c r="N463" s="140"/>
      <c r="O463" s="140"/>
      <c r="P463" s="140"/>
      <c r="Q463" s="140"/>
      <c r="R463" s="140"/>
      <c r="S463" s="140"/>
      <c r="T463" s="140"/>
      <c r="U463" s="140"/>
      <c r="V463" s="140"/>
      <c r="W463" s="140"/>
      <c r="X463" s="140"/>
      <c r="Y463" s="140"/>
      <c r="Z463" s="140"/>
      <c r="AA463" s="140"/>
      <c r="AB463" s="140"/>
      <c r="AC463" s="140"/>
      <c r="AD463" s="140"/>
    </row>
    <row r="464" spans="1:30" ht="15.75" customHeight="1" x14ac:dyDescent="0.2">
      <c r="A464" s="140"/>
      <c r="B464" s="140"/>
      <c r="C464" s="140"/>
      <c r="D464" s="140"/>
      <c r="E464" s="140"/>
      <c r="F464" s="140"/>
      <c r="G464" s="140"/>
      <c r="H464" s="140"/>
      <c r="I464" s="140"/>
      <c r="J464" s="140"/>
      <c r="K464" s="140"/>
      <c r="L464" s="140"/>
      <c r="M464" s="140"/>
      <c r="N464" s="140"/>
      <c r="O464" s="140"/>
      <c r="P464" s="140"/>
      <c r="Q464" s="140"/>
      <c r="R464" s="140"/>
      <c r="S464" s="140"/>
      <c r="T464" s="140"/>
      <c r="U464" s="140"/>
      <c r="V464" s="140"/>
      <c r="W464" s="140"/>
      <c r="X464" s="140"/>
      <c r="Y464" s="140"/>
      <c r="Z464" s="140"/>
      <c r="AA464" s="140"/>
      <c r="AB464" s="140"/>
      <c r="AC464" s="140"/>
      <c r="AD464" s="140"/>
    </row>
    <row r="465" spans="1:30" ht="15.75" customHeight="1" x14ac:dyDescent="0.2">
      <c r="A465" s="140"/>
      <c r="B465" s="140"/>
      <c r="C465" s="140"/>
      <c r="D465" s="140"/>
      <c r="E465" s="140"/>
      <c r="F465" s="140"/>
      <c r="G465" s="140"/>
      <c r="H465" s="140"/>
      <c r="I465" s="140"/>
      <c r="J465" s="140"/>
      <c r="K465" s="140"/>
      <c r="L465" s="140"/>
      <c r="M465" s="140"/>
      <c r="N465" s="140"/>
      <c r="O465" s="140"/>
      <c r="P465" s="140"/>
      <c r="Q465" s="140"/>
      <c r="R465" s="140"/>
      <c r="S465" s="140"/>
      <c r="T465" s="140"/>
      <c r="U465" s="140"/>
      <c r="V465" s="140"/>
      <c r="W465" s="140"/>
      <c r="X465" s="140"/>
      <c r="Y465" s="140"/>
      <c r="Z465" s="140"/>
      <c r="AA465" s="140"/>
      <c r="AB465" s="140"/>
      <c r="AC465" s="140"/>
      <c r="AD465" s="140"/>
    </row>
    <row r="466" spans="1:30" ht="15.75" customHeight="1" x14ac:dyDescent="0.2">
      <c r="A466" s="140"/>
      <c r="B466" s="140"/>
      <c r="C466" s="140"/>
      <c r="D466" s="140"/>
      <c r="E466" s="140"/>
      <c r="F466" s="140"/>
      <c r="G466" s="140"/>
      <c r="H466" s="140"/>
      <c r="I466" s="140"/>
      <c r="J466" s="140"/>
      <c r="K466" s="140"/>
      <c r="L466" s="140"/>
      <c r="M466" s="140"/>
      <c r="N466" s="140"/>
      <c r="O466" s="140"/>
      <c r="P466" s="140"/>
      <c r="Q466" s="140"/>
      <c r="R466" s="140"/>
      <c r="S466" s="140"/>
      <c r="T466" s="140"/>
      <c r="U466" s="140"/>
      <c r="V466" s="140"/>
      <c r="W466" s="140"/>
      <c r="X466" s="140"/>
      <c r="Y466" s="140"/>
      <c r="Z466" s="140"/>
      <c r="AA466" s="140"/>
      <c r="AB466" s="140"/>
      <c r="AC466" s="140"/>
      <c r="AD466" s="140"/>
    </row>
    <row r="467" spans="1:30" ht="15.75" customHeight="1" x14ac:dyDescent="0.2">
      <c r="A467" s="140"/>
      <c r="B467" s="140"/>
      <c r="C467" s="140"/>
      <c r="D467" s="140"/>
      <c r="E467" s="140"/>
      <c r="F467" s="140"/>
      <c r="G467" s="140"/>
      <c r="H467" s="140"/>
      <c r="I467" s="140"/>
      <c r="J467" s="140"/>
      <c r="K467" s="140"/>
      <c r="L467" s="140"/>
      <c r="M467" s="140"/>
      <c r="N467" s="140"/>
      <c r="O467" s="140"/>
      <c r="P467" s="140"/>
      <c r="Q467" s="140"/>
      <c r="R467" s="140"/>
      <c r="S467" s="140"/>
      <c r="T467" s="140"/>
      <c r="U467" s="140"/>
      <c r="V467" s="140"/>
      <c r="W467" s="140"/>
      <c r="X467" s="140"/>
      <c r="Y467" s="140"/>
      <c r="Z467" s="140"/>
      <c r="AA467" s="140"/>
      <c r="AB467" s="140"/>
      <c r="AC467" s="140"/>
      <c r="AD467" s="140"/>
    </row>
    <row r="468" spans="1:30" ht="15.75" customHeight="1" x14ac:dyDescent="0.2">
      <c r="A468" s="140"/>
      <c r="B468" s="140"/>
      <c r="C468" s="140"/>
      <c r="D468" s="140"/>
      <c r="E468" s="140"/>
      <c r="F468" s="140"/>
      <c r="G468" s="140"/>
      <c r="H468" s="140"/>
      <c r="I468" s="140"/>
      <c r="J468" s="140"/>
      <c r="K468" s="140"/>
      <c r="L468" s="140"/>
      <c r="M468" s="140"/>
      <c r="N468" s="140"/>
      <c r="O468" s="140"/>
      <c r="P468" s="140"/>
      <c r="Q468" s="140"/>
      <c r="R468" s="140"/>
      <c r="S468" s="140"/>
      <c r="T468" s="140"/>
      <c r="U468" s="140"/>
      <c r="V468" s="140"/>
      <c r="W468" s="140"/>
      <c r="X468" s="140"/>
      <c r="Y468" s="140"/>
      <c r="Z468" s="140"/>
      <c r="AA468" s="140"/>
      <c r="AB468" s="140"/>
      <c r="AC468" s="140"/>
      <c r="AD468" s="140"/>
    </row>
    <row r="469" spans="1:30" ht="15.75" customHeight="1" x14ac:dyDescent="0.2">
      <c r="A469" s="140"/>
      <c r="B469" s="140"/>
      <c r="C469" s="140"/>
      <c r="D469" s="140"/>
      <c r="E469" s="140"/>
      <c r="F469" s="140"/>
      <c r="G469" s="140"/>
      <c r="H469" s="140"/>
      <c r="I469" s="140"/>
      <c r="J469" s="140"/>
      <c r="K469" s="140"/>
      <c r="L469" s="140"/>
      <c r="M469" s="140"/>
      <c r="N469" s="140"/>
      <c r="O469" s="140"/>
      <c r="P469" s="140"/>
      <c r="Q469" s="140"/>
      <c r="R469" s="140"/>
      <c r="S469" s="140"/>
      <c r="T469" s="140"/>
      <c r="U469" s="140"/>
      <c r="V469" s="140"/>
      <c r="W469" s="140"/>
      <c r="X469" s="140"/>
      <c r="Y469" s="140"/>
      <c r="Z469" s="140"/>
      <c r="AA469" s="140"/>
      <c r="AB469" s="140"/>
      <c r="AC469" s="140"/>
      <c r="AD469" s="140"/>
    </row>
    <row r="470" spans="1:30" ht="15.75" customHeight="1" x14ac:dyDescent="0.2">
      <c r="A470" s="140"/>
      <c r="B470" s="140"/>
      <c r="C470" s="140"/>
      <c r="D470" s="140"/>
      <c r="E470" s="140"/>
      <c r="F470" s="140"/>
      <c r="G470" s="140"/>
      <c r="H470" s="140"/>
      <c r="I470" s="140"/>
      <c r="J470" s="140"/>
      <c r="K470" s="140"/>
      <c r="L470" s="140"/>
      <c r="M470" s="140"/>
      <c r="N470" s="140"/>
      <c r="O470" s="140"/>
      <c r="P470" s="140"/>
      <c r="Q470" s="140"/>
      <c r="R470" s="140"/>
      <c r="S470" s="140"/>
      <c r="T470" s="140"/>
      <c r="U470" s="140"/>
      <c r="V470" s="140"/>
      <c r="W470" s="140"/>
      <c r="X470" s="140"/>
      <c r="Y470" s="140"/>
      <c r="Z470" s="140"/>
      <c r="AA470" s="140"/>
      <c r="AB470" s="140"/>
      <c r="AC470" s="140"/>
      <c r="AD470" s="140"/>
    </row>
    <row r="471" spans="1:30" ht="15.75" customHeight="1" x14ac:dyDescent="0.2">
      <c r="A471" s="140"/>
      <c r="B471" s="140"/>
      <c r="C471" s="140"/>
      <c r="D471" s="140"/>
      <c r="E471" s="140"/>
      <c r="F471" s="140"/>
      <c r="G471" s="140"/>
      <c r="H471" s="140"/>
      <c r="I471" s="140"/>
      <c r="J471" s="140"/>
      <c r="K471" s="140"/>
      <c r="L471" s="140"/>
      <c r="M471" s="140"/>
      <c r="N471" s="140"/>
      <c r="O471" s="140"/>
      <c r="P471" s="140"/>
      <c r="Q471" s="140"/>
      <c r="R471" s="140"/>
      <c r="S471" s="140"/>
      <c r="T471" s="140"/>
      <c r="U471" s="140"/>
      <c r="V471" s="140"/>
      <c r="W471" s="140"/>
      <c r="X471" s="140"/>
      <c r="Y471" s="140"/>
      <c r="Z471" s="140"/>
      <c r="AA471" s="140"/>
      <c r="AB471" s="140"/>
      <c r="AC471" s="140"/>
      <c r="AD471" s="140"/>
    </row>
    <row r="472" spans="1:30" ht="15.75" customHeight="1" x14ac:dyDescent="0.2">
      <c r="A472" s="140"/>
      <c r="B472" s="140"/>
      <c r="C472" s="140"/>
      <c r="D472" s="140"/>
      <c r="E472" s="140"/>
      <c r="F472" s="140"/>
      <c r="G472" s="140"/>
      <c r="H472" s="140"/>
      <c r="I472" s="140"/>
      <c r="J472" s="140"/>
      <c r="K472" s="140"/>
      <c r="L472" s="140"/>
      <c r="M472" s="140"/>
      <c r="N472" s="140"/>
      <c r="O472" s="140"/>
      <c r="P472" s="140"/>
      <c r="Q472" s="140"/>
      <c r="R472" s="140"/>
      <c r="S472" s="140"/>
      <c r="T472" s="140"/>
      <c r="U472" s="140"/>
      <c r="V472" s="140"/>
      <c r="W472" s="140"/>
      <c r="X472" s="140"/>
      <c r="Y472" s="140"/>
      <c r="Z472" s="140"/>
      <c r="AA472" s="140"/>
      <c r="AB472" s="140"/>
      <c r="AC472" s="140"/>
      <c r="AD472" s="140"/>
    </row>
    <row r="473" spans="1:30" ht="15.75" customHeight="1" x14ac:dyDescent="0.2">
      <c r="A473" s="140"/>
      <c r="B473" s="140"/>
      <c r="C473" s="140"/>
      <c r="D473" s="140"/>
      <c r="E473" s="140"/>
      <c r="F473" s="140"/>
      <c r="G473" s="140"/>
      <c r="H473" s="140"/>
      <c r="I473" s="140"/>
      <c r="J473" s="140"/>
      <c r="K473" s="140"/>
      <c r="L473" s="140"/>
      <c r="M473" s="140"/>
      <c r="N473" s="140"/>
      <c r="O473" s="140"/>
      <c r="P473" s="140"/>
      <c r="Q473" s="140"/>
      <c r="R473" s="140"/>
      <c r="S473" s="140"/>
      <c r="T473" s="140"/>
      <c r="U473" s="140"/>
      <c r="V473" s="140"/>
      <c r="W473" s="140"/>
      <c r="X473" s="140"/>
      <c r="Y473" s="140"/>
      <c r="Z473" s="140"/>
      <c r="AA473" s="140"/>
      <c r="AB473" s="140"/>
      <c r="AC473" s="140"/>
      <c r="AD473" s="140"/>
    </row>
    <row r="474" spans="1:30" ht="15.75" customHeight="1" x14ac:dyDescent="0.2">
      <c r="A474" s="140"/>
      <c r="B474" s="140"/>
      <c r="C474" s="140"/>
      <c r="D474" s="140"/>
      <c r="E474" s="140"/>
      <c r="F474" s="140"/>
      <c r="G474" s="140"/>
      <c r="H474" s="140"/>
      <c r="I474" s="140"/>
      <c r="J474" s="140"/>
      <c r="K474" s="140"/>
      <c r="L474" s="140"/>
      <c r="M474" s="140"/>
      <c r="N474" s="140"/>
      <c r="O474" s="140"/>
      <c r="P474" s="140"/>
      <c r="Q474" s="140"/>
      <c r="R474" s="140"/>
      <c r="S474" s="140"/>
      <c r="T474" s="140"/>
      <c r="U474" s="140"/>
      <c r="V474" s="140"/>
      <c r="W474" s="140"/>
      <c r="X474" s="140"/>
      <c r="Y474" s="140"/>
      <c r="Z474" s="140"/>
      <c r="AA474" s="140"/>
      <c r="AB474" s="140"/>
      <c r="AC474" s="140"/>
      <c r="AD474" s="140"/>
    </row>
    <row r="475" spans="1:30" ht="15.75" customHeight="1" x14ac:dyDescent="0.2">
      <c r="A475" s="140"/>
      <c r="B475" s="140"/>
      <c r="C475" s="140"/>
      <c r="D475" s="140"/>
      <c r="E475" s="140"/>
      <c r="F475" s="140"/>
      <c r="G475" s="140"/>
      <c r="H475" s="140"/>
      <c r="I475" s="140"/>
      <c r="J475" s="140"/>
      <c r="K475" s="140"/>
      <c r="L475" s="140"/>
      <c r="M475" s="140"/>
      <c r="N475" s="140"/>
      <c r="O475" s="140"/>
      <c r="P475" s="140"/>
      <c r="Q475" s="140"/>
      <c r="R475" s="140"/>
      <c r="S475" s="140"/>
      <c r="T475" s="140"/>
      <c r="U475" s="140"/>
      <c r="V475" s="140"/>
      <c r="W475" s="140"/>
      <c r="X475" s="140"/>
      <c r="Y475" s="140"/>
      <c r="Z475" s="140"/>
      <c r="AA475" s="140"/>
      <c r="AB475" s="140"/>
      <c r="AC475" s="140"/>
      <c r="AD475" s="140"/>
    </row>
    <row r="476" spans="1:30" ht="15.75" customHeight="1" x14ac:dyDescent="0.2">
      <c r="A476" s="140"/>
      <c r="B476" s="140"/>
      <c r="C476" s="140"/>
      <c r="D476" s="140"/>
      <c r="E476" s="140"/>
      <c r="F476" s="140"/>
      <c r="G476" s="140"/>
      <c r="H476" s="140"/>
      <c r="I476" s="140"/>
      <c r="J476" s="140"/>
      <c r="K476" s="140"/>
      <c r="L476" s="140"/>
      <c r="M476" s="140"/>
      <c r="N476" s="140"/>
      <c r="O476" s="140"/>
      <c r="P476" s="140"/>
      <c r="Q476" s="140"/>
      <c r="R476" s="140"/>
      <c r="S476" s="140"/>
      <c r="T476" s="140"/>
      <c r="U476" s="140"/>
      <c r="V476" s="140"/>
      <c r="W476" s="140"/>
      <c r="X476" s="140"/>
      <c r="Y476" s="140"/>
      <c r="Z476" s="140"/>
      <c r="AA476" s="140"/>
      <c r="AB476" s="140"/>
      <c r="AC476" s="140"/>
      <c r="AD476" s="140"/>
    </row>
    <row r="477" spans="1:30" ht="15.75" customHeight="1" x14ac:dyDescent="0.2">
      <c r="A477" s="140"/>
      <c r="B477" s="140"/>
      <c r="C477" s="140"/>
      <c r="D477" s="140"/>
      <c r="E477" s="140"/>
      <c r="F477" s="140"/>
      <c r="G477" s="140"/>
      <c r="H477" s="140"/>
      <c r="I477" s="140"/>
      <c r="J477" s="140"/>
      <c r="K477" s="140"/>
      <c r="L477" s="140"/>
      <c r="M477" s="140"/>
      <c r="N477" s="140"/>
      <c r="O477" s="140"/>
      <c r="P477" s="140"/>
      <c r="Q477" s="140"/>
      <c r="R477" s="140"/>
      <c r="S477" s="140"/>
      <c r="T477" s="140"/>
      <c r="U477" s="140"/>
      <c r="V477" s="140"/>
      <c r="W477" s="140"/>
      <c r="X477" s="140"/>
      <c r="Y477" s="140"/>
      <c r="Z477" s="140"/>
      <c r="AA477" s="140"/>
      <c r="AB477" s="140"/>
      <c r="AC477" s="140"/>
      <c r="AD477" s="140"/>
    </row>
    <row r="478" spans="1:30" ht="15.75" customHeight="1" x14ac:dyDescent="0.2">
      <c r="A478" s="140"/>
      <c r="B478" s="140"/>
      <c r="C478" s="140"/>
      <c r="D478" s="140"/>
      <c r="E478" s="140"/>
      <c r="F478" s="140"/>
      <c r="G478" s="140"/>
      <c r="H478" s="140"/>
      <c r="I478" s="140"/>
      <c r="J478" s="140"/>
      <c r="K478" s="140"/>
      <c r="L478" s="140"/>
      <c r="M478" s="140"/>
      <c r="N478" s="140"/>
      <c r="O478" s="140"/>
      <c r="P478" s="140"/>
      <c r="Q478" s="140"/>
      <c r="R478" s="140"/>
      <c r="S478" s="140"/>
      <c r="T478" s="140"/>
      <c r="U478" s="140"/>
      <c r="V478" s="140"/>
      <c r="W478" s="140"/>
      <c r="X478" s="140"/>
      <c r="Y478" s="140"/>
      <c r="Z478" s="140"/>
      <c r="AA478" s="140"/>
      <c r="AB478" s="140"/>
      <c r="AC478" s="140"/>
      <c r="AD478" s="140"/>
    </row>
    <row r="479" spans="1:30" ht="15.75" customHeight="1" x14ac:dyDescent="0.2">
      <c r="A479" s="140"/>
      <c r="B479" s="140"/>
      <c r="C479" s="140"/>
      <c r="D479" s="140"/>
      <c r="E479" s="140"/>
      <c r="F479" s="140"/>
      <c r="G479" s="140"/>
      <c r="H479" s="140"/>
      <c r="I479" s="140"/>
      <c r="J479" s="140"/>
      <c r="K479" s="140"/>
      <c r="L479" s="140"/>
      <c r="M479" s="140"/>
      <c r="N479" s="140"/>
      <c r="O479" s="140"/>
      <c r="P479" s="140"/>
      <c r="Q479" s="140"/>
      <c r="R479" s="140"/>
      <c r="S479" s="140"/>
      <c r="T479" s="140"/>
      <c r="U479" s="140"/>
      <c r="V479" s="140"/>
      <c r="W479" s="140"/>
      <c r="X479" s="140"/>
      <c r="Y479" s="140"/>
      <c r="Z479" s="140"/>
      <c r="AA479" s="140"/>
      <c r="AB479" s="140"/>
      <c r="AC479" s="140"/>
      <c r="AD479" s="140"/>
    </row>
    <row r="480" spans="1:30" ht="15.75" customHeight="1" x14ac:dyDescent="0.2">
      <c r="A480" s="140"/>
      <c r="B480" s="140"/>
      <c r="C480" s="140"/>
      <c r="D480" s="140"/>
      <c r="E480" s="140"/>
      <c r="F480" s="140"/>
      <c r="G480" s="140"/>
      <c r="H480" s="140"/>
      <c r="I480" s="140"/>
      <c r="J480" s="140"/>
      <c r="K480" s="140"/>
      <c r="L480" s="140"/>
      <c r="M480" s="140"/>
      <c r="N480" s="140"/>
      <c r="O480" s="140"/>
      <c r="P480" s="140"/>
      <c r="Q480" s="140"/>
      <c r="R480" s="140"/>
      <c r="S480" s="140"/>
      <c r="T480" s="140"/>
      <c r="U480" s="140"/>
      <c r="V480" s="140"/>
      <c r="W480" s="140"/>
      <c r="X480" s="140"/>
      <c r="Y480" s="140"/>
      <c r="Z480" s="140"/>
      <c r="AA480" s="140"/>
      <c r="AB480" s="140"/>
      <c r="AC480" s="140"/>
      <c r="AD480" s="140"/>
    </row>
    <row r="481" spans="1:30" ht="15.75" customHeight="1" x14ac:dyDescent="0.2">
      <c r="A481" s="140"/>
      <c r="B481" s="140"/>
      <c r="C481" s="140"/>
      <c r="D481" s="140"/>
      <c r="E481" s="140"/>
      <c r="F481" s="140"/>
      <c r="G481" s="140"/>
      <c r="H481" s="140"/>
      <c r="I481" s="140"/>
      <c r="J481" s="140"/>
      <c r="K481" s="140"/>
      <c r="L481" s="140"/>
      <c r="M481" s="140"/>
      <c r="N481" s="140"/>
      <c r="O481" s="140"/>
      <c r="P481" s="140"/>
      <c r="Q481" s="140"/>
      <c r="R481" s="140"/>
      <c r="S481" s="140"/>
      <c r="T481" s="140"/>
      <c r="U481" s="140"/>
      <c r="V481" s="140"/>
      <c r="W481" s="140"/>
      <c r="X481" s="140"/>
      <c r="Y481" s="140"/>
      <c r="Z481" s="140"/>
      <c r="AA481" s="140"/>
      <c r="AB481" s="140"/>
      <c r="AC481" s="140"/>
      <c r="AD481" s="140"/>
    </row>
    <row r="482" spans="1:30" ht="15.75" customHeight="1" x14ac:dyDescent="0.2">
      <c r="A482" s="140"/>
      <c r="B482" s="140"/>
      <c r="C482" s="140"/>
      <c r="D482" s="140"/>
      <c r="E482" s="140"/>
      <c r="F482" s="140"/>
      <c r="G482" s="140"/>
      <c r="H482" s="140"/>
      <c r="I482" s="140"/>
      <c r="J482" s="140"/>
      <c r="K482" s="140"/>
      <c r="L482" s="140"/>
      <c r="M482" s="140"/>
      <c r="N482" s="140"/>
      <c r="O482" s="140"/>
      <c r="P482" s="140"/>
      <c r="Q482" s="140"/>
      <c r="R482" s="140"/>
      <c r="S482" s="140"/>
      <c r="T482" s="140"/>
      <c r="U482" s="140"/>
      <c r="V482" s="140"/>
      <c r="W482" s="140"/>
      <c r="X482" s="140"/>
      <c r="Y482" s="140"/>
      <c r="Z482" s="140"/>
      <c r="AA482" s="140"/>
      <c r="AB482" s="140"/>
      <c r="AC482" s="140"/>
      <c r="AD482" s="140"/>
    </row>
    <row r="483" spans="1:30" ht="15.75" customHeight="1" x14ac:dyDescent="0.2">
      <c r="A483" s="140"/>
      <c r="B483" s="140"/>
      <c r="C483" s="140"/>
      <c r="D483" s="140"/>
      <c r="E483" s="140"/>
      <c r="F483" s="140"/>
      <c r="G483" s="140"/>
      <c r="H483" s="140"/>
      <c r="I483" s="140"/>
      <c r="J483" s="140"/>
      <c r="K483" s="140"/>
      <c r="L483" s="140"/>
      <c r="M483" s="140"/>
      <c r="N483" s="140"/>
      <c r="O483" s="140"/>
      <c r="P483" s="140"/>
      <c r="Q483" s="140"/>
      <c r="R483" s="140"/>
      <c r="S483" s="140"/>
      <c r="T483" s="140"/>
      <c r="U483" s="140"/>
      <c r="V483" s="140"/>
      <c r="W483" s="140"/>
      <c r="X483" s="140"/>
      <c r="Y483" s="140"/>
      <c r="Z483" s="140"/>
      <c r="AA483" s="140"/>
      <c r="AB483" s="140"/>
      <c r="AC483" s="140"/>
      <c r="AD483" s="140"/>
    </row>
    <row r="484" spans="1:30" ht="15.75" customHeight="1" x14ac:dyDescent="0.2">
      <c r="A484" s="140"/>
      <c r="B484" s="140"/>
      <c r="C484" s="140"/>
      <c r="D484" s="140"/>
      <c r="E484" s="140"/>
      <c r="F484" s="140"/>
      <c r="G484" s="140"/>
      <c r="H484" s="140"/>
      <c r="I484" s="140"/>
      <c r="J484" s="140"/>
      <c r="K484" s="140"/>
      <c r="L484" s="140"/>
      <c r="M484" s="140"/>
      <c r="N484" s="140"/>
      <c r="O484" s="140"/>
      <c r="P484" s="140"/>
      <c r="Q484" s="140"/>
      <c r="R484" s="140"/>
      <c r="S484" s="140"/>
      <c r="T484" s="140"/>
      <c r="U484" s="140"/>
      <c r="V484" s="140"/>
      <c r="W484" s="140"/>
      <c r="X484" s="140"/>
      <c r="Y484" s="140"/>
      <c r="Z484" s="140"/>
      <c r="AA484" s="140"/>
      <c r="AB484" s="140"/>
      <c r="AC484" s="140"/>
      <c r="AD484" s="140"/>
    </row>
    <row r="485" spans="1:30" ht="15.75" customHeight="1" x14ac:dyDescent="0.2">
      <c r="A485" s="140"/>
      <c r="B485" s="140"/>
      <c r="C485" s="140"/>
      <c r="D485" s="140"/>
      <c r="E485" s="140"/>
      <c r="F485" s="140"/>
      <c r="G485" s="140"/>
      <c r="H485" s="140"/>
      <c r="I485" s="140"/>
      <c r="J485" s="140"/>
      <c r="K485" s="140"/>
      <c r="L485" s="140"/>
      <c r="M485" s="140"/>
      <c r="N485" s="140"/>
      <c r="O485" s="140"/>
      <c r="P485" s="140"/>
      <c r="Q485" s="140"/>
      <c r="R485" s="140"/>
      <c r="S485" s="140"/>
      <c r="T485" s="140"/>
      <c r="U485" s="140"/>
      <c r="V485" s="140"/>
      <c r="W485" s="140"/>
      <c r="X485" s="140"/>
      <c r="Y485" s="140"/>
      <c r="Z485" s="140"/>
      <c r="AA485" s="140"/>
      <c r="AB485" s="140"/>
      <c r="AC485" s="140"/>
      <c r="AD485" s="140"/>
    </row>
    <row r="486" spans="1:30" ht="15.75" customHeight="1" x14ac:dyDescent="0.2">
      <c r="A486" s="140"/>
      <c r="B486" s="140"/>
      <c r="C486" s="140"/>
      <c r="D486" s="140"/>
      <c r="E486" s="140"/>
      <c r="F486" s="140"/>
      <c r="G486" s="140"/>
      <c r="H486" s="140"/>
      <c r="I486" s="140"/>
      <c r="J486" s="140"/>
      <c r="K486" s="140"/>
      <c r="L486" s="140"/>
      <c r="M486" s="140"/>
      <c r="N486" s="140"/>
      <c r="O486" s="140"/>
      <c r="P486" s="140"/>
      <c r="Q486" s="140"/>
      <c r="R486" s="140"/>
      <c r="S486" s="140"/>
      <c r="T486" s="140"/>
      <c r="U486" s="140"/>
      <c r="V486" s="140"/>
      <c r="W486" s="140"/>
      <c r="X486" s="140"/>
      <c r="Y486" s="140"/>
      <c r="Z486" s="140"/>
      <c r="AA486" s="140"/>
      <c r="AB486" s="140"/>
      <c r="AC486" s="140"/>
      <c r="AD486" s="140"/>
    </row>
    <row r="487" spans="1:30" ht="15.75" customHeight="1" x14ac:dyDescent="0.2">
      <c r="A487" s="140"/>
      <c r="B487" s="140"/>
      <c r="C487" s="140"/>
      <c r="D487" s="140"/>
      <c r="E487" s="140"/>
      <c r="F487" s="140"/>
      <c r="G487" s="140"/>
      <c r="H487" s="140"/>
      <c r="I487" s="140"/>
      <c r="J487" s="140"/>
      <c r="K487" s="140"/>
      <c r="L487" s="140"/>
      <c r="M487" s="140"/>
      <c r="N487" s="140"/>
      <c r="O487" s="140"/>
      <c r="P487" s="140"/>
      <c r="Q487" s="140"/>
      <c r="R487" s="140"/>
      <c r="S487" s="140"/>
      <c r="T487" s="140"/>
      <c r="U487" s="140"/>
      <c r="V487" s="140"/>
      <c r="W487" s="140"/>
      <c r="X487" s="140"/>
      <c r="Y487" s="140"/>
      <c r="Z487" s="140"/>
      <c r="AA487" s="140"/>
      <c r="AB487" s="140"/>
      <c r="AC487" s="140"/>
      <c r="AD487" s="140"/>
    </row>
    <row r="488" spans="1:30" ht="15.75" customHeight="1" x14ac:dyDescent="0.2">
      <c r="A488" s="140"/>
      <c r="B488" s="140"/>
      <c r="C488" s="140"/>
      <c r="D488" s="140"/>
      <c r="E488" s="140"/>
      <c r="F488" s="140"/>
      <c r="G488" s="140"/>
      <c r="H488" s="140"/>
      <c r="I488" s="140"/>
      <c r="J488" s="140"/>
      <c r="K488" s="140"/>
      <c r="L488" s="140"/>
      <c r="M488" s="140"/>
      <c r="N488" s="140"/>
      <c r="O488" s="140"/>
      <c r="P488" s="140"/>
      <c r="Q488" s="140"/>
      <c r="R488" s="140"/>
      <c r="S488" s="140"/>
      <c r="T488" s="140"/>
      <c r="U488" s="140"/>
      <c r="V488" s="140"/>
      <c r="W488" s="140"/>
      <c r="X488" s="140"/>
      <c r="Y488" s="140"/>
      <c r="Z488" s="140"/>
      <c r="AA488" s="140"/>
      <c r="AB488" s="140"/>
      <c r="AC488" s="140"/>
      <c r="AD488" s="140"/>
    </row>
    <row r="489" spans="1:30" ht="15.75" customHeight="1" x14ac:dyDescent="0.2">
      <c r="A489" s="140"/>
      <c r="B489" s="140"/>
      <c r="C489" s="140"/>
      <c r="D489" s="140"/>
      <c r="E489" s="140"/>
      <c r="F489" s="140"/>
      <c r="G489" s="140"/>
      <c r="H489" s="140"/>
      <c r="I489" s="140"/>
      <c r="J489" s="140"/>
      <c r="K489" s="140"/>
      <c r="L489" s="140"/>
      <c r="M489" s="140"/>
      <c r="N489" s="140"/>
      <c r="O489" s="140"/>
      <c r="P489" s="140"/>
      <c r="Q489" s="140"/>
      <c r="R489" s="140"/>
      <c r="S489" s="140"/>
      <c r="T489" s="140"/>
      <c r="U489" s="140"/>
      <c r="V489" s="140"/>
      <c r="W489" s="140"/>
      <c r="X489" s="140"/>
      <c r="Y489" s="140"/>
      <c r="Z489" s="140"/>
      <c r="AA489" s="140"/>
      <c r="AB489" s="140"/>
      <c r="AC489" s="140"/>
      <c r="AD489" s="140"/>
    </row>
    <row r="490" spans="1:30" ht="15.75" customHeight="1" x14ac:dyDescent="0.2">
      <c r="A490" s="140"/>
      <c r="B490" s="140"/>
      <c r="C490" s="140"/>
      <c r="D490" s="140"/>
      <c r="E490" s="140"/>
      <c r="F490" s="140"/>
      <c r="G490" s="140"/>
      <c r="H490" s="140"/>
      <c r="I490" s="140"/>
      <c r="J490" s="140"/>
      <c r="K490" s="140"/>
      <c r="L490" s="140"/>
      <c r="M490" s="140"/>
      <c r="N490" s="140"/>
      <c r="O490" s="140"/>
      <c r="P490" s="140"/>
      <c r="Q490" s="140"/>
      <c r="R490" s="140"/>
      <c r="S490" s="140"/>
      <c r="T490" s="140"/>
      <c r="U490" s="140"/>
      <c r="V490" s="140"/>
      <c r="W490" s="140"/>
      <c r="X490" s="140"/>
      <c r="Y490" s="140"/>
      <c r="Z490" s="140"/>
      <c r="AA490" s="140"/>
      <c r="AB490" s="140"/>
      <c r="AC490" s="140"/>
      <c r="AD490" s="140"/>
    </row>
    <row r="491" spans="1:30" ht="15.75" customHeight="1" x14ac:dyDescent="0.2">
      <c r="A491" s="140"/>
      <c r="B491" s="140"/>
      <c r="C491" s="140"/>
      <c r="D491" s="140"/>
      <c r="E491" s="140"/>
      <c r="F491" s="140"/>
      <c r="G491" s="140"/>
      <c r="H491" s="140"/>
      <c r="I491" s="140"/>
      <c r="J491" s="140"/>
      <c r="K491" s="140"/>
      <c r="L491" s="140"/>
      <c r="M491" s="140"/>
      <c r="N491" s="140"/>
      <c r="O491" s="140"/>
      <c r="P491" s="140"/>
      <c r="Q491" s="140"/>
      <c r="R491" s="140"/>
      <c r="S491" s="140"/>
      <c r="T491" s="140"/>
      <c r="U491" s="140"/>
      <c r="V491" s="140"/>
      <c r="W491" s="140"/>
      <c r="X491" s="140"/>
      <c r="Y491" s="140"/>
      <c r="Z491" s="140"/>
      <c r="AA491" s="140"/>
      <c r="AB491" s="140"/>
      <c r="AC491" s="140"/>
      <c r="AD491" s="140"/>
    </row>
    <row r="492" spans="1:30" ht="15.75" customHeight="1" x14ac:dyDescent="0.2">
      <c r="A492" s="140"/>
      <c r="B492" s="140"/>
      <c r="C492" s="140"/>
      <c r="D492" s="140"/>
      <c r="E492" s="140"/>
      <c r="F492" s="140"/>
      <c r="G492" s="140"/>
      <c r="H492" s="140"/>
      <c r="I492" s="140"/>
      <c r="J492" s="140"/>
      <c r="K492" s="140"/>
      <c r="L492" s="140"/>
      <c r="M492" s="140"/>
      <c r="N492" s="140"/>
      <c r="O492" s="140"/>
      <c r="P492" s="140"/>
      <c r="Q492" s="140"/>
      <c r="R492" s="140"/>
      <c r="S492" s="140"/>
      <c r="T492" s="140"/>
      <c r="U492" s="140"/>
      <c r="V492" s="140"/>
      <c r="W492" s="140"/>
      <c r="X492" s="140"/>
      <c r="Y492" s="140"/>
      <c r="Z492" s="140"/>
      <c r="AA492" s="140"/>
      <c r="AB492" s="140"/>
      <c r="AC492" s="140"/>
      <c r="AD492" s="140"/>
    </row>
    <row r="493" spans="1:30" ht="15.75" customHeight="1" x14ac:dyDescent="0.2">
      <c r="A493" s="140"/>
      <c r="B493" s="140"/>
      <c r="C493" s="140"/>
      <c r="D493" s="140"/>
      <c r="E493" s="140"/>
      <c r="F493" s="140"/>
      <c r="G493" s="140"/>
      <c r="H493" s="140"/>
      <c r="I493" s="140"/>
      <c r="J493" s="140"/>
      <c r="K493" s="140"/>
      <c r="L493" s="140"/>
      <c r="M493" s="140"/>
      <c r="N493" s="140"/>
      <c r="O493" s="140"/>
      <c r="P493" s="140"/>
      <c r="Q493" s="140"/>
      <c r="R493" s="140"/>
      <c r="S493" s="140"/>
      <c r="T493" s="140"/>
      <c r="U493" s="140"/>
      <c r="V493" s="140"/>
      <c r="W493" s="140"/>
      <c r="X493" s="140"/>
      <c r="Y493" s="140"/>
      <c r="Z493" s="140"/>
      <c r="AA493" s="140"/>
      <c r="AB493" s="140"/>
      <c r="AC493" s="140"/>
      <c r="AD493" s="140"/>
    </row>
    <row r="494" spans="1:30" ht="15.75" customHeight="1" x14ac:dyDescent="0.2">
      <c r="A494" s="140"/>
      <c r="B494" s="140"/>
      <c r="C494" s="140"/>
      <c r="D494" s="140"/>
      <c r="E494" s="140"/>
      <c r="F494" s="140"/>
      <c r="G494" s="140"/>
      <c r="H494" s="140"/>
      <c r="I494" s="140"/>
      <c r="J494" s="140"/>
      <c r="K494" s="140"/>
      <c r="L494" s="140"/>
      <c r="M494" s="140"/>
      <c r="N494" s="140"/>
      <c r="O494" s="140"/>
      <c r="P494" s="140"/>
      <c r="Q494" s="140"/>
      <c r="R494" s="140"/>
      <c r="S494" s="140"/>
      <c r="T494" s="140"/>
      <c r="U494" s="140"/>
      <c r="V494" s="140"/>
      <c r="W494" s="140"/>
      <c r="X494" s="140"/>
      <c r="Y494" s="140"/>
      <c r="Z494" s="140"/>
      <c r="AA494" s="140"/>
      <c r="AB494" s="140"/>
      <c r="AC494" s="140"/>
      <c r="AD494" s="140"/>
    </row>
    <row r="495" spans="1:30" ht="15.75" customHeight="1" x14ac:dyDescent="0.2">
      <c r="A495" s="140"/>
      <c r="B495" s="140"/>
      <c r="C495" s="140"/>
      <c r="D495" s="140"/>
      <c r="E495" s="140"/>
      <c r="F495" s="140"/>
      <c r="G495" s="140"/>
      <c r="H495" s="140"/>
      <c r="I495" s="140"/>
      <c r="J495" s="140"/>
      <c r="K495" s="140"/>
      <c r="L495" s="140"/>
      <c r="M495" s="140"/>
      <c r="N495" s="140"/>
      <c r="O495" s="140"/>
      <c r="P495" s="140"/>
      <c r="Q495" s="140"/>
      <c r="R495" s="140"/>
      <c r="S495" s="140"/>
      <c r="T495" s="140"/>
      <c r="U495" s="140"/>
      <c r="V495" s="140"/>
      <c r="W495" s="140"/>
      <c r="X495" s="140"/>
      <c r="Y495" s="140"/>
      <c r="Z495" s="140"/>
      <c r="AA495" s="140"/>
      <c r="AB495" s="140"/>
      <c r="AC495" s="140"/>
      <c r="AD495" s="140"/>
    </row>
    <row r="496" spans="1:30" ht="15.75" customHeight="1" x14ac:dyDescent="0.2">
      <c r="A496" s="140"/>
      <c r="B496" s="140"/>
      <c r="C496" s="140"/>
      <c r="D496" s="140"/>
      <c r="E496" s="140"/>
      <c r="F496" s="140"/>
      <c r="G496" s="140"/>
      <c r="H496" s="140"/>
      <c r="I496" s="140"/>
      <c r="J496" s="140"/>
      <c r="K496" s="140"/>
      <c r="L496" s="140"/>
      <c r="M496" s="140"/>
      <c r="N496" s="140"/>
      <c r="O496" s="140"/>
      <c r="P496" s="140"/>
      <c r="Q496" s="140"/>
      <c r="R496" s="140"/>
      <c r="S496" s="140"/>
      <c r="T496" s="140"/>
      <c r="U496" s="140"/>
      <c r="V496" s="140"/>
      <c r="W496" s="140"/>
      <c r="X496" s="140"/>
      <c r="Y496" s="140"/>
      <c r="Z496" s="140"/>
      <c r="AA496" s="140"/>
      <c r="AB496" s="140"/>
      <c r="AC496" s="140"/>
      <c r="AD496" s="140"/>
    </row>
    <row r="497" spans="1:30" ht="15.75" customHeight="1" x14ac:dyDescent="0.2">
      <c r="A497" s="140"/>
      <c r="B497" s="140"/>
      <c r="C497" s="140"/>
      <c r="D497" s="140"/>
      <c r="E497" s="140"/>
      <c r="F497" s="140"/>
      <c r="G497" s="140"/>
      <c r="H497" s="140"/>
      <c r="I497" s="140"/>
      <c r="J497" s="140"/>
      <c r="K497" s="140"/>
      <c r="L497" s="140"/>
      <c r="M497" s="140"/>
      <c r="N497" s="140"/>
      <c r="O497" s="140"/>
      <c r="P497" s="140"/>
      <c r="Q497" s="140"/>
      <c r="R497" s="140"/>
      <c r="S497" s="140"/>
      <c r="T497" s="140"/>
      <c r="U497" s="140"/>
      <c r="V497" s="140"/>
      <c r="W497" s="140"/>
      <c r="X497" s="140"/>
      <c r="Y497" s="140"/>
      <c r="Z497" s="140"/>
      <c r="AA497" s="140"/>
      <c r="AB497" s="140"/>
      <c r="AC497" s="140"/>
      <c r="AD497" s="140"/>
    </row>
    <row r="498" spans="1:30" ht="15.75" customHeight="1" x14ac:dyDescent="0.2">
      <c r="A498" s="140"/>
      <c r="B498" s="140"/>
      <c r="C498" s="140"/>
      <c r="D498" s="140"/>
      <c r="E498" s="140"/>
      <c r="F498" s="140"/>
      <c r="G498" s="140"/>
      <c r="H498" s="140"/>
      <c r="I498" s="140"/>
      <c r="J498" s="140"/>
      <c r="K498" s="140"/>
      <c r="L498" s="140"/>
      <c r="M498" s="140"/>
      <c r="N498" s="140"/>
      <c r="O498" s="140"/>
      <c r="P498" s="140"/>
      <c r="Q498" s="140"/>
      <c r="R498" s="140"/>
      <c r="S498" s="140"/>
      <c r="T498" s="140"/>
      <c r="U498" s="140"/>
      <c r="V498" s="140"/>
      <c r="W498" s="140"/>
      <c r="X498" s="140"/>
      <c r="Y498" s="140"/>
      <c r="Z498" s="140"/>
      <c r="AA498" s="140"/>
      <c r="AB498" s="140"/>
      <c r="AC498" s="140"/>
      <c r="AD498" s="140"/>
    </row>
    <row r="499" spans="1:30" ht="15.75" customHeight="1" x14ac:dyDescent="0.2">
      <c r="A499" s="140"/>
      <c r="B499" s="140"/>
      <c r="C499" s="140"/>
      <c r="D499" s="140"/>
      <c r="E499" s="140"/>
      <c r="F499" s="140"/>
      <c r="G499" s="140"/>
      <c r="H499" s="140"/>
      <c r="I499" s="140"/>
      <c r="J499" s="140"/>
      <c r="K499" s="140"/>
      <c r="L499" s="140"/>
      <c r="M499" s="140"/>
      <c r="N499" s="140"/>
      <c r="O499" s="140"/>
      <c r="P499" s="140"/>
      <c r="Q499" s="140"/>
      <c r="R499" s="140"/>
      <c r="S499" s="140"/>
      <c r="T499" s="140"/>
      <c r="U499" s="140"/>
      <c r="V499" s="140"/>
      <c r="W499" s="140"/>
      <c r="X499" s="140"/>
      <c r="Y499" s="140"/>
      <c r="Z499" s="140"/>
      <c r="AA499" s="140"/>
      <c r="AB499" s="140"/>
      <c r="AC499" s="140"/>
      <c r="AD499" s="140"/>
    </row>
    <row r="500" spans="1:30" ht="15.75" customHeight="1" x14ac:dyDescent="0.2">
      <c r="A500" s="140"/>
      <c r="B500" s="140"/>
      <c r="C500" s="140"/>
      <c r="D500" s="140"/>
      <c r="E500" s="140"/>
      <c r="F500" s="140"/>
      <c r="G500" s="140"/>
      <c r="H500" s="140"/>
      <c r="I500" s="140"/>
      <c r="J500" s="140"/>
      <c r="K500" s="140"/>
      <c r="L500" s="140"/>
      <c r="M500" s="140"/>
      <c r="N500" s="140"/>
      <c r="O500" s="140"/>
      <c r="P500" s="140"/>
      <c r="Q500" s="140"/>
      <c r="R500" s="140"/>
      <c r="S500" s="140"/>
      <c r="T500" s="140"/>
      <c r="U500" s="140"/>
      <c r="V500" s="140"/>
      <c r="W500" s="140"/>
      <c r="X500" s="140"/>
      <c r="Y500" s="140"/>
      <c r="Z500" s="140"/>
      <c r="AA500" s="140"/>
      <c r="AB500" s="140"/>
      <c r="AC500" s="140"/>
      <c r="AD500" s="140"/>
    </row>
    <row r="501" spans="1:30" ht="15.75" customHeight="1" x14ac:dyDescent="0.2">
      <c r="A501" s="140"/>
      <c r="B501" s="140"/>
      <c r="C501" s="140"/>
      <c r="D501" s="140"/>
      <c r="E501" s="140"/>
      <c r="F501" s="140"/>
      <c r="G501" s="140"/>
      <c r="H501" s="140"/>
      <c r="I501" s="140"/>
      <c r="J501" s="140"/>
      <c r="K501" s="140"/>
      <c r="L501" s="140"/>
      <c r="M501" s="140"/>
      <c r="N501" s="140"/>
      <c r="O501" s="140"/>
      <c r="P501" s="140"/>
      <c r="Q501" s="140"/>
      <c r="R501" s="140"/>
      <c r="S501" s="140"/>
      <c r="T501" s="140"/>
      <c r="U501" s="140"/>
      <c r="V501" s="140"/>
      <c r="W501" s="140"/>
      <c r="X501" s="140"/>
      <c r="Y501" s="140"/>
      <c r="Z501" s="140"/>
      <c r="AA501" s="140"/>
      <c r="AB501" s="140"/>
      <c r="AC501" s="140"/>
      <c r="AD501" s="140"/>
    </row>
    <row r="502" spans="1:30" ht="15.75" customHeight="1" x14ac:dyDescent="0.2">
      <c r="A502" s="140"/>
      <c r="B502" s="140"/>
      <c r="C502" s="140"/>
      <c r="D502" s="140"/>
      <c r="E502" s="140"/>
      <c r="F502" s="140"/>
      <c r="G502" s="140"/>
      <c r="H502" s="140"/>
      <c r="I502" s="140"/>
      <c r="J502" s="140"/>
      <c r="K502" s="140"/>
      <c r="L502" s="140"/>
      <c r="M502" s="140"/>
      <c r="N502" s="140"/>
      <c r="O502" s="140"/>
      <c r="P502" s="140"/>
      <c r="Q502" s="140"/>
      <c r="R502" s="140"/>
      <c r="S502" s="140"/>
      <c r="T502" s="140"/>
      <c r="U502" s="140"/>
      <c r="V502" s="140"/>
      <c r="W502" s="140"/>
      <c r="X502" s="140"/>
      <c r="Y502" s="140"/>
      <c r="Z502" s="140"/>
      <c r="AA502" s="140"/>
      <c r="AB502" s="140"/>
      <c r="AC502" s="140"/>
      <c r="AD502" s="140"/>
    </row>
    <row r="503" spans="1:30" ht="15.75" customHeight="1" x14ac:dyDescent="0.2">
      <c r="A503" s="140"/>
      <c r="B503" s="140"/>
      <c r="C503" s="140"/>
      <c r="D503" s="140"/>
      <c r="E503" s="140"/>
      <c r="F503" s="140"/>
      <c r="G503" s="140"/>
      <c r="H503" s="140"/>
      <c r="I503" s="140"/>
      <c r="J503" s="140"/>
      <c r="K503" s="140"/>
      <c r="L503" s="140"/>
      <c r="M503" s="140"/>
      <c r="N503" s="140"/>
      <c r="O503" s="140"/>
      <c r="P503" s="140"/>
      <c r="Q503" s="140"/>
      <c r="R503" s="140"/>
      <c r="S503" s="140"/>
      <c r="T503" s="140"/>
      <c r="U503" s="140"/>
      <c r="V503" s="140"/>
      <c r="W503" s="140"/>
      <c r="X503" s="140"/>
      <c r="Y503" s="140"/>
      <c r="Z503" s="140"/>
      <c r="AA503" s="140"/>
      <c r="AB503" s="140"/>
      <c r="AC503" s="140"/>
      <c r="AD503" s="140"/>
    </row>
    <row r="504" spans="1:30" ht="15.75" customHeight="1" x14ac:dyDescent="0.2">
      <c r="A504" s="140"/>
      <c r="B504" s="140"/>
      <c r="C504" s="140"/>
      <c r="D504" s="140"/>
      <c r="E504" s="140"/>
      <c r="F504" s="140"/>
      <c r="G504" s="140"/>
      <c r="H504" s="140"/>
      <c r="I504" s="140"/>
      <c r="J504" s="140"/>
      <c r="K504" s="140"/>
      <c r="L504" s="140"/>
      <c r="M504" s="140"/>
      <c r="N504" s="140"/>
      <c r="O504" s="140"/>
      <c r="P504" s="140"/>
      <c r="Q504" s="140"/>
      <c r="R504" s="140"/>
      <c r="S504" s="140"/>
      <c r="T504" s="140"/>
      <c r="U504" s="140"/>
      <c r="V504" s="140"/>
      <c r="W504" s="140"/>
      <c r="X504" s="140"/>
      <c r="Y504" s="140"/>
      <c r="Z504" s="140"/>
      <c r="AA504" s="140"/>
      <c r="AB504" s="140"/>
      <c r="AC504" s="140"/>
      <c r="AD504" s="140"/>
    </row>
    <row r="505" spans="1:30" ht="15.75" customHeight="1" x14ac:dyDescent="0.2">
      <c r="A505" s="140"/>
      <c r="B505" s="140"/>
      <c r="C505" s="140"/>
      <c r="D505" s="140"/>
      <c r="E505" s="140"/>
      <c r="F505" s="140"/>
      <c r="G505" s="140"/>
      <c r="H505" s="140"/>
      <c r="I505" s="140"/>
      <c r="J505" s="140"/>
      <c r="K505" s="140"/>
      <c r="L505" s="140"/>
      <c r="M505" s="140"/>
      <c r="N505" s="140"/>
      <c r="O505" s="140"/>
      <c r="P505" s="140"/>
      <c r="Q505" s="140"/>
      <c r="R505" s="140"/>
      <c r="S505" s="140"/>
      <c r="T505" s="140"/>
      <c r="U505" s="140"/>
      <c r="V505" s="140"/>
      <c r="W505" s="140"/>
      <c r="X505" s="140"/>
      <c r="Y505" s="140"/>
      <c r="Z505" s="140"/>
      <c r="AA505" s="140"/>
      <c r="AB505" s="140"/>
      <c r="AC505" s="140"/>
      <c r="AD505" s="140"/>
    </row>
    <row r="506" spans="1:30" ht="15.75" customHeight="1" x14ac:dyDescent="0.2">
      <c r="A506" s="140"/>
      <c r="B506" s="140"/>
      <c r="C506" s="140"/>
      <c r="D506" s="140"/>
      <c r="E506" s="140"/>
      <c r="F506" s="140"/>
      <c r="G506" s="140"/>
      <c r="H506" s="140"/>
      <c r="I506" s="140"/>
      <c r="J506" s="140"/>
      <c r="K506" s="140"/>
      <c r="L506" s="140"/>
      <c r="M506" s="140"/>
      <c r="N506" s="140"/>
      <c r="O506" s="140"/>
      <c r="P506" s="140"/>
      <c r="Q506" s="140"/>
      <c r="R506" s="140"/>
      <c r="S506" s="140"/>
      <c r="T506" s="140"/>
      <c r="U506" s="140"/>
      <c r="V506" s="140"/>
      <c r="W506" s="140"/>
      <c r="X506" s="140"/>
      <c r="Y506" s="140"/>
      <c r="Z506" s="140"/>
      <c r="AA506" s="140"/>
      <c r="AB506" s="140"/>
      <c r="AC506" s="140"/>
      <c r="AD506" s="140"/>
    </row>
    <row r="507" spans="1:30" ht="15.75" customHeight="1" x14ac:dyDescent="0.2">
      <c r="A507" s="140"/>
      <c r="B507" s="140"/>
      <c r="C507" s="140"/>
      <c r="D507" s="140"/>
      <c r="E507" s="140"/>
      <c r="F507" s="140"/>
      <c r="G507" s="140"/>
      <c r="H507" s="140"/>
      <c r="I507" s="140"/>
      <c r="J507" s="140"/>
      <c r="K507" s="140"/>
      <c r="L507" s="140"/>
      <c r="M507" s="140"/>
      <c r="N507" s="140"/>
      <c r="O507" s="140"/>
      <c r="P507" s="140"/>
      <c r="Q507" s="140"/>
      <c r="R507" s="140"/>
      <c r="S507" s="140"/>
      <c r="T507" s="140"/>
      <c r="U507" s="140"/>
      <c r="V507" s="140"/>
      <c r="W507" s="140"/>
      <c r="X507" s="140"/>
      <c r="Y507" s="140"/>
      <c r="Z507" s="140"/>
      <c r="AA507" s="140"/>
      <c r="AB507" s="140"/>
      <c r="AC507" s="140"/>
      <c r="AD507" s="140"/>
    </row>
    <row r="508" spans="1:30" ht="15.75" customHeight="1" x14ac:dyDescent="0.2">
      <c r="A508" s="140"/>
      <c r="B508" s="140"/>
      <c r="C508" s="140"/>
      <c r="D508" s="140"/>
      <c r="E508" s="140"/>
      <c r="F508" s="140"/>
      <c r="G508" s="140"/>
      <c r="H508" s="140"/>
      <c r="I508" s="140"/>
      <c r="J508" s="140"/>
      <c r="K508" s="140"/>
      <c r="L508" s="140"/>
      <c r="M508" s="140"/>
      <c r="N508" s="140"/>
      <c r="O508" s="140"/>
      <c r="P508" s="140"/>
      <c r="Q508" s="140"/>
      <c r="R508" s="140"/>
      <c r="S508" s="140"/>
      <c r="T508" s="140"/>
      <c r="U508" s="140"/>
      <c r="V508" s="140"/>
      <c r="W508" s="140"/>
      <c r="X508" s="140"/>
      <c r="Y508" s="140"/>
      <c r="Z508" s="140"/>
      <c r="AA508" s="140"/>
      <c r="AB508" s="140"/>
      <c r="AC508" s="140"/>
      <c r="AD508" s="140"/>
    </row>
    <row r="509" spans="1:30" ht="15.75" customHeight="1" x14ac:dyDescent="0.2">
      <c r="A509" s="140"/>
      <c r="B509" s="140"/>
      <c r="C509" s="140"/>
      <c r="D509" s="140"/>
      <c r="E509" s="140"/>
      <c r="F509" s="140"/>
      <c r="G509" s="140"/>
      <c r="H509" s="140"/>
      <c r="I509" s="140"/>
      <c r="J509" s="140"/>
      <c r="K509" s="140"/>
      <c r="L509" s="140"/>
      <c r="M509" s="140"/>
      <c r="N509" s="140"/>
      <c r="O509" s="140"/>
      <c r="P509" s="140"/>
      <c r="Q509" s="140"/>
      <c r="R509" s="140"/>
      <c r="S509" s="140"/>
      <c r="T509" s="140"/>
      <c r="U509" s="140"/>
      <c r="V509" s="140"/>
      <c r="W509" s="140"/>
      <c r="X509" s="140"/>
      <c r="Y509" s="140"/>
      <c r="Z509" s="140"/>
      <c r="AA509" s="140"/>
      <c r="AB509" s="140"/>
      <c r="AC509" s="140"/>
      <c r="AD509" s="140"/>
    </row>
    <row r="510" spans="1:30" ht="15.75" customHeight="1" x14ac:dyDescent="0.2">
      <c r="A510" s="140"/>
      <c r="B510" s="140"/>
      <c r="C510" s="140"/>
      <c r="D510" s="140"/>
      <c r="E510" s="140"/>
      <c r="F510" s="140"/>
      <c r="G510" s="140"/>
      <c r="H510" s="140"/>
      <c r="I510" s="140"/>
      <c r="J510" s="140"/>
      <c r="K510" s="140"/>
      <c r="L510" s="140"/>
      <c r="M510" s="140"/>
      <c r="N510" s="140"/>
      <c r="O510" s="140"/>
      <c r="P510" s="140"/>
      <c r="Q510" s="140"/>
      <c r="R510" s="140"/>
      <c r="S510" s="140"/>
      <c r="T510" s="140"/>
      <c r="U510" s="140"/>
      <c r="V510" s="140"/>
      <c r="W510" s="140"/>
      <c r="X510" s="140"/>
      <c r="Y510" s="140"/>
      <c r="Z510" s="140"/>
      <c r="AA510" s="140"/>
      <c r="AB510" s="140"/>
      <c r="AC510" s="140"/>
      <c r="AD510" s="140"/>
    </row>
    <row r="511" spans="1:30" ht="15.75" customHeight="1" x14ac:dyDescent="0.2">
      <c r="A511" s="140"/>
      <c r="B511" s="140"/>
      <c r="C511" s="140"/>
      <c r="D511" s="140"/>
      <c r="E511" s="140"/>
      <c r="F511" s="140"/>
      <c r="G511" s="140"/>
      <c r="H511" s="140"/>
      <c r="I511" s="140"/>
      <c r="J511" s="140"/>
      <c r="K511" s="140"/>
      <c r="L511" s="140"/>
      <c r="M511" s="140"/>
      <c r="N511" s="140"/>
      <c r="O511" s="140"/>
      <c r="P511" s="140"/>
      <c r="Q511" s="140"/>
      <c r="R511" s="140"/>
      <c r="S511" s="140"/>
      <c r="T511" s="140"/>
      <c r="U511" s="140"/>
      <c r="V511" s="140"/>
      <c r="W511" s="140"/>
      <c r="X511" s="140"/>
      <c r="Y511" s="140"/>
      <c r="Z511" s="140"/>
      <c r="AA511" s="140"/>
      <c r="AB511" s="140"/>
      <c r="AC511" s="140"/>
      <c r="AD511" s="140"/>
    </row>
    <row r="512" spans="1:30" ht="15.75" customHeight="1" x14ac:dyDescent="0.2">
      <c r="A512" s="140"/>
      <c r="B512" s="140"/>
      <c r="C512" s="140"/>
      <c r="D512" s="140"/>
      <c r="E512" s="140"/>
      <c r="F512" s="140"/>
      <c r="G512" s="140"/>
      <c r="H512" s="140"/>
      <c r="I512" s="140"/>
      <c r="J512" s="140"/>
      <c r="K512" s="140"/>
      <c r="L512" s="140"/>
      <c r="M512" s="140"/>
      <c r="N512" s="140"/>
      <c r="O512" s="140"/>
      <c r="P512" s="140"/>
      <c r="Q512" s="140"/>
      <c r="R512" s="140"/>
      <c r="S512" s="140"/>
      <c r="T512" s="140"/>
      <c r="U512" s="140"/>
      <c r="V512" s="140"/>
      <c r="W512" s="140"/>
      <c r="X512" s="140"/>
      <c r="Y512" s="140"/>
      <c r="Z512" s="140"/>
      <c r="AA512" s="140"/>
      <c r="AB512" s="140"/>
      <c r="AC512" s="140"/>
      <c r="AD512" s="140"/>
    </row>
    <row r="513" spans="1:30" ht="15.75" customHeight="1" x14ac:dyDescent="0.2">
      <c r="A513" s="140"/>
      <c r="B513" s="140"/>
      <c r="C513" s="140"/>
      <c r="D513" s="140"/>
      <c r="E513" s="140"/>
      <c r="F513" s="140"/>
      <c r="G513" s="140"/>
      <c r="H513" s="140"/>
      <c r="I513" s="140"/>
      <c r="J513" s="140"/>
      <c r="K513" s="140"/>
      <c r="L513" s="140"/>
      <c r="M513" s="140"/>
      <c r="N513" s="140"/>
      <c r="O513" s="140"/>
      <c r="P513" s="140"/>
      <c r="Q513" s="140"/>
      <c r="R513" s="140"/>
      <c r="S513" s="140"/>
      <c r="T513" s="140"/>
      <c r="U513" s="140"/>
      <c r="V513" s="140"/>
      <c r="W513" s="140"/>
      <c r="X513" s="140"/>
      <c r="Y513" s="140"/>
      <c r="Z513" s="140"/>
      <c r="AA513" s="140"/>
      <c r="AB513" s="140"/>
      <c r="AC513" s="140"/>
      <c r="AD513" s="140"/>
    </row>
    <row r="514" spans="1:30" ht="15.75" customHeight="1" x14ac:dyDescent="0.2">
      <c r="A514" s="140"/>
      <c r="B514" s="140"/>
      <c r="C514" s="140"/>
      <c r="D514" s="140"/>
      <c r="E514" s="140"/>
      <c r="F514" s="140"/>
      <c r="G514" s="140"/>
      <c r="H514" s="140"/>
      <c r="I514" s="140"/>
      <c r="J514" s="140"/>
      <c r="K514" s="140"/>
      <c r="L514" s="140"/>
      <c r="M514" s="140"/>
      <c r="N514" s="140"/>
      <c r="O514" s="140"/>
      <c r="P514" s="140"/>
      <c r="Q514" s="140"/>
      <c r="R514" s="140"/>
      <c r="S514" s="140"/>
      <c r="T514" s="140"/>
      <c r="U514" s="140"/>
      <c r="V514" s="140"/>
      <c r="W514" s="140"/>
      <c r="X514" s="140"/>
      <c r="Y514" s="140"/>
      <c r="Z514" s="140"/>
      <c r="AA514" s="140"/>
      <c r="AB514" s="140"/>
      <c r="AC514" s="140"/>
      <c r="AD514" s="140"/>
    </row>
    <row r="515" spans="1:30" ht="15.75" customHeight="1" x14ac:dyDescent="0.2">
      <c r="A515" s="140"/>
      <c r="B515" s="140"/>
      <c r="C515" s="140"/>
      <c r="D515" s="140"/>
      <c r="E515" s="140"/>
      <c r="F515" s="140"/>
      <c r="G515" s="140"/>
      <c r="H515" s="140"/>
      <c r="I515" s="140"/>
      <c r="J515" s="140"/>
      <c r="K515" s="140"/>
      <c r="L515" s="140"/>
      <c r="M515" s="140"/>
      <c r="N515" s="140"/>
      <c r="O515" s="140"/>
      <c r="P515" s="140"/>
      <c r="Q515" s="140"/>
      <c r="R515" s="140"/>
      <c r="S515" s="140"/>
      <c r="T515" s="140"/>
      <c r="U515" s="140"/>
      <c r="V515" s="140"/>
      <c r="W515" s="140"/>
      <c r="X515" s="140"/>
      <c r="Y515" s="140"/>
      <c r="Z515" s="140"/>
      <c r="AA515" s="140"/>
      <c r="AB515" s="140"/>
      <c r="AC515" s="140"/>
      <c r="AD515" s="140"/>
    </row>
    <row r="516" spans="1:30" ht="15.75" customHeight="1" x14ac:dyDescent="0.2">
      <c r="A516" s="140"/>
      <c r="B516" s="140"/>
      <c r="C516" s="140"/>
      <c r="D516" s="140"/>
      <c r="E516" s="140"/>
      <c r="F516" s="140"/>
      <c r="G516" s="140"/>
      <c r="H516" s="140"/>
      <c r="I516" s="140"/>
      <c r="J516" s="140"/>
      <c r="K516" s="140"/>
      <c r="L516" s="140"/>
      <c r="M516" s="140"/>
      <c r="N516" s="140"/>
      <c r="O516" s="140"/>
      <c r="P516" s="140"/>
      <c r="Q516" s="140"/>
      <c r="R516" s="140"/>
      <c r="S516" s="140"/>
      <c r="T516" s="140"/>
      <c r="U516" s="140"/>
      <c r="V516" s="140"/>
      <c r="W516" s="140"/>
      <c r="X516" s="140"/>
      <c r="Y516" s="140"/>
      <c r="Z516" s="140"/>
      <c r="AA516" s="140"/>
      <c r="AB516" s="140"/>
      <c r="AC516" s="140"/>
      <c r="AD516" s="140"/>
    </row>
    <row r="517" spans="1:30" ht="15.75" customHeight="1" x14ac:dyDescent="0.2">
      <c r="A517" s="140"/>
      <c r="B517" s="140"/>
      <c r="C517" s="140"/>
      <c r="D517" s="140"/>
      <c r="E517" s="140"/>
      <c r="F517" s="140"/>
      <c r="G517" s="140"/>
      <c r="H517" s="140"/>
      <c r="I517" s="140"/>
      <c r="J517" s="140"/>
      <c r="K517" s="140"/>
      <c r="L517" s="140"/>
      <c r="M517" s="140"/>
      <c r="N517" s="140"/>
      <c r="O517" s="140"/>
      <c r="P517" s="140"/>
      <c r="Q517" s="140"/>
      <c r="R517" s="140"/>
      <c r="S517" s="140"/>
      <c r="T517" s="140"/>
      <c r="U517" s="140"/>
      <c r="V517" s="140"/>
      <c r="W517" s="140"/>
      <c r="X517" s="140"/>
      <c r="Y517" s="140"/>
      <c r="Z517" s="140"/>
      <c r="AA517" s="140"/>
      <c r="AB517" s="140"/>
      <c r="AC517" s="140"/>
      <c r="AD517" s="140"/>
    </row>
    <row r="518" spans="1:30" ht="15.75" customHeight="1" x14ac:dyDescent="0.2">
      <c r="A518" s="140"/>
      <c r="B518" s="140"/>
      <c r="C518" s="140"/>
      <c r="D518" s="140"/>
      <c r="E518" s="140"/>
      <c r="F518" s="140"/>
      <c r="G518" s="140"/>
      <c r="H518" s="140"/>
      <c r="I518" s="140"/>
      <c r="J518" s="140"/>
      <c r="K518" s="140"/>
      <c r="L518" s="140"/>
      <c r="M518" s="140"/>
      <c r="N518" s="140"/>
      <c r="O518" s="140"/>
      <c r="P518" s="140"/>
      <c r="Q518" s="140"/>
      <c r="R518" s="140"/>
      <c r="S518" s="140"/>
      <c r="T518" s="140"/>
      <c r="U518" s="140"/>
      <c r="V518" s="140"/>
      <c r="W518" s="140"/>
      <c r="X518" s="140"/>
      <c r="Y518" s="140"/>
      <c r="Z518" s="140"/>
      <c r="AA518" s="140"/>
      <c r="AB518" s="140"/>
      <c r="AC518" s="140"/>
      <c r="AD518" s="140"/>
    </row>
    <row r="519" spans="1:30" ht="15.75" customHeight="1" x14ac:dyDescent="0.2">
      <c r="A519" s="140"/>
      <c r="B519" s="140"/>
      <c r="C519" s="140"/>
      <c r="D519" s="140"/>
      <c r="E519" s="140"/>
      <c r="F519" s="140"/>
      <c r="G519" s="140"/>
      <c r="H519" s="140"/>
      <c r="I519" s="140"/>
      <c r="J519" s="140"/>
      <c r="K519" s="140"/>
      <c r="L519" s="140"/>
      <c r="M519" s="140"/>
      <c r="N519" s="140"/>
      <c r="O519" s="140"/>
      <c r="P519" s="140"/>
      <c r="Q519" s="140"/>
      <c r="R519" s="140"/>
      <c r="S519" s="140"/>
      <c r="T519" s="140"/>
      <c r="U519" s="140"/>
      <c r="V519" s="140"/>
      <c r="W519" s="140"/>
      <c r="X519" s="140"/>
      <c r="Y519" s="140"/>
      <c r="Z519" s="140"/>
      <c r="AA519" s="140"/>
      <c r="AB519" s="140"/>
      <c r="AC519" s="140"/>
      <c r="AD519" s="140"/>
    </row>
    <row r="520" spans="1:30" ht="15.75" customHeight="1" x14ac:dyDescent="0.2">
      <c r="A520" s="140"/>
      <c r="B520" s="140"/>
      <c r="C520" s="140"/>
      <c r="D520" s="140"/>
      <c r="E520" s="140"/>
      <c r="F520" s="140"/>
      <c r="G520" s="140"/>
      <c r="H520" s="140"/>
      <c r="I520" s="140"/>
      <c r="J520" s="140"/>
      <c r="K520" s="140"/>
      <c r="L520" s="140"/>
      <c r="M520" s="140"/>
      <c r="N520" s="140"/>
      <c r="O520" s="140"/>
      <c r="P520" s="140"/>
      <c r="Q520" s="140"/>
      <c r="R520" s="140"/>
      <c r="S520" s="140"/>
      <c r="T520" s="140"/>
      <c r="U520" s="140"/>
      <c r="V520" s="140"/>
      <c r="W520" s="140"/>
      <c r="X520" s="140"/>
      <c r="Y520" s="140"/>
      <c r="Z520" s="140"/>
      <c r="AA520" s="140"/>
      <c r="AB520" s="140"/>
      <c r="AC520" s="140"/>
      <c r="AD520" s="140"/>
    </row>
    <row r="521" spans="1:30" ht="15.75" customHeight="1" x14ac:dyDescent="0.2">
      <c r="A521" s="140"/>
      <c r="B521" s="140"/>
      <c r="C521" s="140"/>
      <c r="D521" s="140"/>
      <c r="E521" s="140"/>
      <c r="F521" s="140"/>
      <c r="G521" s="140"/>
      <c r="H521" s="140"/>
      <c r="I521" s="140"/>
      <c r="J521" s="140"/>
      <c r="K521" s="140"/>
      <c r="L521" s="140"/>
      <c r="M521" s="140"/>
      <c r="N521" s="140"/>
      <c r="O521" s="140"/>
      <c r="P521" s="140"/>
      <c r="Q521" s="140"/>
      <c r="R521" s="140"/>
      <c r="S521" s="140"/>
      <c r="T521" s="140"/>
      <c r="U521" s="140"/>
      <c r="V521" s="140"/>
      <c r="W521" s="140"/>
      <c r="X521" s="140"/>
      <c r="Y521" s="140"/>
      <c r="Z521" s="140"/>
      <c r="AA521" s="140"/>
      <c r="AB521" s="140"/>
      <c r="AC521" s="140"/>
      <c r="AD521" s="140"/>
    </row>
    <row r="522" spans="1:30" ht="15.75" customHeight="1" x14ac:dyDescent="0.2">
      <c r="A522" s="140"/>
      <c r="B522" s="140"/>
      <c r="C522" s="140"/>
      <c r="D522" s="140"/>
      <c r="E522" s="140"/>
      <c r="F522" s="140"/>
      <c r="G522" s="140"/>
      <c r="H522" s="140"/>
      <c r="I522" s="140"/>
      <c r="J522" s="140"/>
      <c r="K522" s="140"/>
      <c r="L522" s="140"/>
      <c r="M522" s="140"/>
      <c r="N522" s="140"/>
      <c r="O522" s="140"/>
      <c r="P522" s="140"/>
      <c r="Q522" s="140"/>
      <c r="R522" s="140"/>
      <c r="S522" s="140"/>
      <c r="T522" s="140"/>
      <c r="U522" s="140"/>
      <c r="V522" s="140"/>
      <c r="W522" s="140"/>
      <c r="X522" s="140"/>
      <c r="Y522" s="140"/>
      <c r="Z522" s="140"/>
      <c r="AA522" s="140"/>
      <c r="AB522" s="140"/>
      <c r="AC522" s="140"/>
      <c r="AD522" s="140"/>
    </row>
    <row r="523" spans="1:30" ht="15.75" customHeight="1" x14ac:dyDescent="0.2">
      <c r="A523" s="140"/>
      <c r="B523" s="140"/>
      <c r="C523" s="140"/>
      <c r="D523" s="140"/>
      <c r="E523" s="140"/>
      <c r="F523" s="140"/>
      <c r="G523" s="140"/>
      <c r="H523" s="140"/>
      <c r="I523" s="140"/>
      <c r="J523" s="140"/>
      <c r="K523" s="140"/>
      <c r="L523" s="140"/>
      <c r="M523" s="140"/>
      <c r="N523" s="140"/>
      <c r="O523" s="140"/>
      <c r="P523" s="140"/>
      <c r="Q523" s="140"/>
      <c r="R523" s="140"/>
      <c r="S523" s="140"/>
      <c r="T523" s="140"/>
      <c r="U523" s="140"/>
      <c r="V523" s="140"/>
      <c r="W523" s="140"/>
      <c r="X523" s="140"/>
      <c r="Y523" s="140"/>
      <c r="Z523" s="140"/>
      <c r="AA523" s="140"/>
      <c r="AB523" s="140"/>
      <c r="AC523" s="140"/>
      <c r="AD523" s="140"/>
    </row>
    <row r="524" spans="1:30" ht="15.75" customHeight="1" x14ac:dyDescent="0.2">
      <c r="A524" s="140"/>
      <c r="B524" s="140"/>
      <c r="C524" s="140"/>
      <c r="D524" s="140"/>
      <c r="E524" s="140"/>
      <c r="F524" s="140"/>
      <c r="G524" s="140"/>
      <c r="H524" s="140"/>
      <c r="I524" s="140"/>
      <c r="J524" s="140"/>
      <c r="K524" s="140"/>
      <c r="L524" s="140"/>
      <c r="M524" s="140"/>
      <c r="N524" s="140"/>
      <c r="O524" s="140"/>
      <c r="P524" s="140"/>
      <c r="Q524" s="140"/>
      <c r="R524" s="140"/>
      <c r="S524" s="140"/>
      <c r="T524" s="140"/>
      <c r="U524" s="140"/>
      <c r="V524" s="140"/>
      <c r="W524" s="140"/>
      <c r="X524" s="140"/>
      <c r="Y524" s="140"/>
      <c r="Z524" s="140"/>
      <c r="AA524" s="140"/>
      <c r="AB524" s="140"/>
      <c r="AC524" s="140"/>
      <c r="AD524" s="140"/>
    </row>
    <row r="525" spans="1:30" ht="15.75" customHeight="1" x14ac:dyDescent="0.2">
      <c r="A525" s="140"/>
      <c r="B525" s="140"/>
      <c r="C525" s="140"/>
      <c r="D525" s="140"/>
      <c r="E525" s="140"/>
      <c r="F525" s="140"/>
      <c r="G525" s="140"/>
      <c r="H525" s="140"/>
      <c r="I525" s="140"/>
      <c r="J525" s="140"/>
      <c r="K525" s="140"/>
      <c r="L525" s="140"/>
      <c r="M525" s="140"/>
      <c r="N525" s="140"/>
      <c r="O525" s="140"/>
      <c r="P525" s="140"/>
      <c r="Q525" s="140"/>
      <c r="R525" s="140"/>
      <c r="S525" s="140"/>
      <c r="T525" s="140"/>
      <c r="U525" s="140"/>
      <c r="V525" s="140"/>
      <c r="W525" s="140"/>
      <c r="X525" s="140"/>
      <c r="Y525" s="140"/>
      <c r="Z525" s="140"/>
      <c r="AA525" s="140"/>
      <c r="AB525" s="140"/>
      <c r="AC525" s="140"/>
      <c r="AD525" s="140"/>
    </row>
    <row r="526" spans="1:30" ht="15.75" customHeight="1" x14ac:dyDescent="0.2">
      <c r="A526" s="140"/>
      <c r="B526" s="140"/>
      <c r="C526" s="140"/>
      <c r="D526" s="140"/>
      <c r="E526" s="140"/>
      <c r="F526" s="140"/>
      <c r="G526" s="140"/>
      <c r="H526" s="140"/>
      <c r="I526" s="140"/>
      <c r="J526" s="140"/>
      <c r="K526" s="140"/>
      <c r="L526" s="140"/>
      <c r="M526" s="140"/>
      <c r="N526" s="140"/>
      <c r="O526" s="140"/>
      <c r="P526" s="140"/>
      <c r="Q526" s="140"/>
      <c r="R526" s="140"/>
      <c r="S526" s="140"/>
      <c r="T526" s="140"/>
      <c r="U526" s="140"/>
      <c r="V526" s="140"/>
      <c r="W526" s="140"/>
      <c r="X526" s="140"/>
      <c r="Y526" s="140"/>
      <c r="Z526" s="140"/>
      <c r="AA526" s="140"/>
      <c r="AB526" s="140"/>
      <c r="AC526" s="140"/>
      <c r="AD526" s="140"/>
    </row>
    <row r="527" spans="1:30" ht="15.75" customHeight="1" x14ac:dyDescent="0.2">
      <c r="A527" s="140"/>
      <c r="B527" s="140"/>
      <c r="C527" s="140"/>
      <c r="D527" s="140"/>
      <c r="E527" s="140"/>
      <c r="F527" s="140"/>
      <c r="G527" s="140"/>
      <c r="H527" s="140"/>
      <c r="I527" s="140"/>
      <c r="J527" s="140"/>
      <c r="K527" s="140"/>
      <c r="L527" s="140"/>
      <c r="M527" s="140"/>
      <c r="N527" s="140"/>
      <c r="O527" s="140"/>
      <c r="P527" s="140"/>
      <c r="Q527" s="140"/>
      <c r="R527" s="140"/>
      <c r="S527" s="140"/>
      <c r="T527" s="140"/>
      <c r="U527" s="140"/>
      <c r="V527" s="140"/>
      <c r="W527" s="140"/>
      <c r="X527" s="140"/>
      <c r="Y527" s="140"/>
      <c r="Z527" s="140"/>
      <c r="AA527" s="140"/>
      <c r="AB527" s="140"/>
      <c r="AC527" s="140"/>
      <c r="AD527" s="140"/>
    </row>
    <row r="528" spans="1:30" ht="15.75" customHeight="1" x14ac:dyDescent="0.2">
      <c r="A528" s="140"/>
      <c r="B528" s="140"/>
      <c r="C528" s="140"/>
      <c r="D528" s="140"/>
      <c r="E528" s="140"/>
      <c r="F528" s="140"/>
      <c r="G528" s="140"/>
      <c r="H528" s="140"/>
      <c r="I528" s="140"/>
      <c r="J528" s="140"/>
      <c r="K528" s="140"/>
      <c r="L528" s="140"/>
      <c r="M528" s="140"/>
      <c r="N528" s="140"/>
      <c r="O528" s="140"/>
      <c r="P528" s="140"/>
      <c r="Q528" s="140"/>
      <c r="R528" s="140"/>
      <c r="S528" s="140"/>
      <c r="T528" s="140"/>
      <c r="U528" s="140"/>
      <c r="V528" s="140"/>
      <c r="W528" s="140"/>
      <c r="X528" s="140"/>
      <c r="Y528" s="140"/>
      <c r="Z528" s="140"/>
      <c r="AA528" s="140"/>
      <c r="AB528" s="140"/>
      <c r="AC528" s="140"/>
      <c r="AD528" s="140"/>
    </row>
    <row r="529" spans="1:30" ht="15.75" customHeight="1" x14ac:dyDescent="0.2">
      <c r="A529" s="140"/>
      <c r="B529" s="140"/>
      <c r="C529" s="140"/>
      <c r="D529" s="140"/>
      <c r="E529" s="140"/>
      <c r="F529" s="140"/>
      <c r="G529" s="140"/>
      <c r="H529" s="140"/>
      <c r="I529" s="140"/>
      <c r="J529" s="140"/>
      <c r="K529" s="140"/>
      <c r="L529" s="140"/>
      <c r="M529" s="140"/>
      <c r="N529" s="140"/>
      <c r="O529" s="140"/>
      <c r="P529" s="140"/>
      <c r="Q529" s="140"/>
      <c r="R529" s="140"/>
      <c r="S529" s="140"/>
      <c r="T529" s="140"/>
      <c r="U529" s="140"/>
      <c r="V529" s="140"/>
      <c r="W529" s="140"/>
      <c r="X529" s="140"/>
      <c r="Y529" s="140"/>
      <c r="Z529" s="140"/>
      <c r="AA529" s="140"/>
      <c r="AB529" s="140"/>
      <c r="AC529" s="140"/>
      <c r="AD529" s="140"/>
    </row>
    <row r="530" spans="1:30" ht="15.75" customHeight="1" x14ac:dyDescent="0.2">
      <c r="A530" s="140"/>
      <c r="B530" s="140"/>
      <c r="C530" s="140"/>
      <c r="D530" s="140"/>
      <c r="E530" s="140"/>
      <c r="F530" s="140"/>
      <c r="G530" s="140"/>
      <c r="H530" s="140"/>
      <c r="I530" s="140"/>
      <c r="J530" s="140"/>
      <c r="K530" s="140"/>
      <c r="L530" s="140"/>
      <c r="M530" s="140"/>
      <c r="N530" s="140"/>
      <c r="O530" s="140"/>
      <c r="P530" s="140"/>
      <c r="Q530" s="140"/>
      <c r="R530" s="140"/>
      <c r="S530" s="140"/>
      <c r="T530" s="140"/>
      <c r="U530" s="140"/>
      <c r="V530" s="140"/>
      <c r="W530" s="140"/>
      <c r="X530" s="140"/>
      <c r="Y530" s="140"/>
      <c r="Z530" s="140"/>
      <c r="AA530" s="140"/>
      <c r="AB530" s="140"/>
      <c r="AC530" s="140"/>
      <c r="AD530" s="140"/>
    </row>
    <row r="531" spans="1:30" ht="15.75" customHeight="1" x14ac:dyDescent="0.2">
      <c r="A531" s="140"/>
      <c r="B531" s="140"/>
      <c r="C531" s="140"/>
      <c r="D531" s="140"/>
      <c r="E531" s="140"/>
      <c r="F531" s="140"/>
      <c r="G531" s="140"/>
      <c r="H531" s="140"/>
      <c r="I531" s="140"/>
      <c r="J531" s="140"/>
      <c r="K531" s="140"/>
      <c r="L531" s="140"/>
      <c r="M531" s="140"/>
      <c r="N531" s="140"/>
      <c r="O531" s="140"/>
      <c r="P531" s="140"/>
      <c r="Q531" s="140"/>
      <c r="R531" s="140"/>
      <c r="S531" s="140"/>
      <c r="T531" s="140"/>
      <c r="U531" s="140"/>
      <c r="V531" s="140"/>
      <c r="W531" s="140"/>
      <c r="X531" s="140"/>
      <c r="Y531" s="140"/>
      <c r="Z531" s="140"/>
      <c r="AA531" s="140"/>
      <c r="AB531" s="140"/>
      <c r="AC531" s="140"/>
      <c r="AD531" s="140"/>
    </row>
    <row r="532" spans="1:30" ht="15.75" customHeight="1" x14ac:dyDescent="0.2">
      <c r="A532" s="140"/>
      <c r="B532" s="140"/>
      <c r="C532" s="140"/>
      <c r="D532" s="140"/>
      <c r="E532" s="140"/>
      <c r="F532" s="140"/>
      <c r="G532" s="140"/>
      <c r="H532" s="140"/>
      <c r="I532" s="140"/>
      <c r="J532" s="140"/>
      <c r="K532" s="140"/>
      <c r="L532" s="140"/>
      <c r="M532" s="140"/>
      <c r="N532" s="140"/>
      <c r="O532" s="140"/>
      <c r="P532" s="140"/>
      <c r="Q532" s="140"/>
      <c r="R532" s="140"/>
      <c r="S532" s="140"/>
      <c r="T532" s="140"/>
      <c r="U532" s="140"/>
      <c r="V532" s="140"/>
      <c r="W532" s="140"/>
      <c r="X532" s="140"/>
      <c r="Y532" s="140"/>
      <c r="Z532" s="140"/>
      <c r="AA532" s="140"/>
      <c r="AB532" s="140"/>
      <c r="AC532" s="140"/>
      <c r="AD532" s="140"/>
    </row>
    <row r="533" spans="1:30" ht="15.75" customHeight="1" x14ac:dyDescent="0.2">
      <c r="A533" s="140"/>
      <c r="B533" s="140"/>
      <c r="C533" s="140"/>
      <c r="D533" s="140"/>
      <c r="E533" s="140"/>
      <c r="F533" s="140"/>
      <c r="G533" s="140"/>
      <c r="H533" s="140"/>
      <c r="I533" s="140"/>
      <c r="J533" s="140"/>
      <c r="K533" s="140"/>
      <c r="L533" s="140"/>
      <c r="M533" s="140"/>
      <c r="N533" s="140"/>
      <c r="O533" s="140"/>
      <c r="P533" s="140"/>
      <c r="Q533" s="140"/>
      <c r="R533" s="140"/>
      <c r="S533" s="140"/>
      <c r="T533" s="140"/>
      <c r="U533" s="140"/>
      <c r="V533" s="140"/>
      <c r="W533" s="140"/>
      <c r="X533" s="140"/>
      <c r="Y533" s="140"/>
      <c r="Z533" s="140"/>
      <c r="AA533" s="140"/>
      <c r="AB533" s="140"/>
      <c r="AC533" s="140"/>
      <c r="AD533" s="140"/>
    </row>
    <row r="534" spans="1:30" ht="15.75" customHeight="1" x14ac:dyDescent="0.2">
      <c r="A534" s="140"/>
      <c r="B534" s="140"/>
      <c r="C534" s="140"/>
      <c r="D534" s="140"/>
      <c r="E534" s="140"/>
      <c r="F534" s="140"/>
      <c r="G534" s="140"/>
      <c r="H534" s="140"/>
      <c r="I534" s="140"/>
      <c r="J534" s="140"/>
      <c r="K534" s="140"/>
      <c r="L534" s="140"/>
      <c r="M534" s="140"/>
      <c r="N534" s="140"/>
      <c r="O534" s="140"/>
      <c r="P534" s="140"/>
      <c r="Q534" s="140"/>
      <c r="R534" s="140"/>
      <c r="S534" s="140"/>
      <c r="T534" s="140"/>
      <c r="U534" s="140"/>
      <c r="V534" s="140"/>
      <c r="W534" s="140"/>
      <c r="X534" s="140"/>
      <c r="Y534" s="140"/>
      <c r="Z534" s="140"/>
      <c r="AA534" s="140"/>
      <c r="AB534" s="140"/>
      <c r="AC534" s="140"/>
      <c r="AD534" s="140"/>
    </row>
    <row r="535" spans="1:30" ht="15.75" customHeight="1" x14ac:dyDescent="0.2">
      <c r="A535" s="140"/>
      <c r="B535" s="140"/>
      <c r="C535" s="140"/>
      <c r="D535" s="140"/>
      <c r="E535" s="140"/>
      <c r="F535" s="140"/>
      <c r="G535" s="140"/>
      <c r="H535" s="140"/>
      <c r="I535" s="140"/>
      <c r="J535" s="140"/>
      <c r="K535" s="140"/>
      <c r="L535" s="140"/>
      <c r="M535" s="140"/>
      <c r="N535" s="140"/>
      <c r="O535" s="140"/>
      <c r="P535" s="140"/>
      <c r="Q535" s="140"/>
      <c r="R535" s="140"/>
      <c r="S535" s="140"/>
      <c r="T535" s="140"/>
      <c r="U535" s="140"/>
      <c r="V535" s="140"/>
      <c r="W535" s="140"/>
      <c r="X535" s="140"/>
      <c r="Y535" s="140"/>
      <c r="Z535" s="140"/>
      <c r="AA535" s="140"/>
      <c r="AB535" s="140"/>
      <c r="AC535" s="140"/>
      <c r="AD535" s="140"/>
    </row>
    <row r="536" spans="1:30" ht="15.75" customHeight="1" x14ac:dyDescent="0.2">
      <c r="A536" s="140"/>
      <c r="B536" s="140"/>
      <c r="C536" s="140"/>
      <c r="D536" s="140"/>
      <c r="E536" s="140"/>
      <c r="F536" s="140"/>
      <c r="G536" s="140"/>
      <c r="H536" s="140"/>
      <c r="I536" s="140"/>
      <c r="J536" s="140"/>
      <c r="K536" s="140"/>
      <c r="L536" s="140"/>
      <c r="M536" s="140"/>
      <c r="N536" s="140"/>
      <c r="O536" s="140"/>
      <c r="P536" s="140"/>
      <c r="Q536" s="140"/>
      <c r="R536" s="140"/>
      <c r="S536" s="140"/>
      <c r="T536" s="140"/>
      <c r="U536" s="140"/>
      <c r="V536" s="140"/>
      <c r="W536" s="140"/>
      <c r="X536" s="140"/>
      <c r="Y536" s="140"/>
      <c r="Z536" s="140"/>
      <c r="AA536" s="140"/>
      <c r="AB536" s="140"/>
      <c r="AC536" s="140"/>
      <c r="AD536" s="140"/>
    </row>
    <row r="537" spans="1:30" ht="15.75" customHeight="1" x14ac:dyDescent="0.2">
      <c r="A537" s="140"/>
      <c r="B537" s="140"/>
      <c r="C537" s="140"/>
      <c r="D537" s="140"/>
      <c r="E537" s="140"/>
      <c r="F537" s="140"/>
      <c r="G537" s="140"/>
      <c r="H537" s="140"/>
      <c r="I537" s="140"/>
      <c r="J537" s="140"/>
      <c r="K537" s="140"/>
      <c r="L537" s="140"/>
      <c r="M537" s="140"/>
      <c r="N537" s="140"/>
      <c r="O537" s="140"/>
      <c r="P537" s="140"/>
      <c r="Q537" s="140"/>
      <c r="R537" s="140"/>
      <c r="S537" s="140"/>
      <c r="T537" s="140"/>
      <c r="U537" s="140"/>
      <c r="V537" s="140"/>
      <c r="W537" s="140"/>
      <c r="X537" s="140"/>
      <c r="Y537" s="140"/>
      <c r="Z537" s="140"/>
      <c r="AA537" s="140"/>
      <c r="AB537" s="140"/>
      <c r="AC537" s="140"/>
      <c r="AD537" s="140"/>
    </row>
    <row r="538" spans="1:30" ht="15.75" customHeight="1" x14ac:dyDescent="0.2">
      <c r="A538" s="140"/>
      <c r="B538" s="140"/>
      <c r="C538" s="140"/>
      <c r="D538" s="140"/>
      <c r="E538" s="140"/>
      <c r="F538" s="140"/>
      <c r="G538" s="140"/>
      <c r="H538" s="140"/>
      <c r="I538" s="140"/>
      <c r="J538" s="140"/>
      <c r="K538" s="140"/>
      <c r="L538" s="140"/>
      <c r="M538" s="140"/>
      <c r="N538" s="140"/>
      <c r="O538" s="140"/>
      <c r="P538" s="140"/>
      <c r="Q538" s="140"/>
      <c r="R538" s="140"/>
      <c r="S538" s="140"/>
      <c r="T538" s="140"/>
      <c r="U538" s="140"/>
      <c r="V538" s="140"/>
      <c r="W538" s="140"/>
      <c r="X538" s="140"/>
      <c r="Y538" s="140"/>
      <c r="Z538" s="140"/>
      <c r="AA538" s="140"/>
      <c r="AB538" s="140"/>
      <c r="AC538" s="140"/>
      <c r="AD538" s="140"/>
    </row>
    <row r="539" spans="1:30" ht="15.75" customHeight="1" x14ac:dyDescent="0.2">
      <c r="A539" s="140"/>
      <c r="B539" s="140"/>
      <c r="C539" s="140"/>
      <c r="D539" s="140"/>
      <c r="E539" s="140"/>
      <c r="F539" s="140"/>
      <c r="G539" s="140"/>
      <c r="H539" s="140"/>
      <c r="I539" s="140"/>
      <c r="J539" s="140"/>
      <c r="K539" s="140"/>
      <c r="L539" s="140"/>
      <c r="M539" s="140"/>
      <c r="N539" s="140"/>
      <c r="O539" s="140"/>
      <c r="P539" s="140"/>
      <c r="Q539" s="140"/>
      <c r="R539" s="140"/>
      <c r="S539" s="140"/>
      <c r="T539" s="140"/>
      <c r="U539" s="140"/>
      <c r="V539" s="140"/>
      <c r="W539" s="140"/>
      <c r="X539" s="140"/>
      <c r="Y539" s="140"/>
      <c r="Z539" s="140"/>
      <c r="AA539" s="140"/>
      <c r="AB539" s="140"/>
      <c r="AC539" s="140"/>
      <c r="AD539" s="140"/>
    </row>
    <row r="540" spans="1:30" ht="15.75" customHeight="1" x14ac:dyDescent="0.2">
      <c r="A540" s="140"/>
      <c r="B540" s="140"/>
      <c r="C540" s="140"/>
      <c r="D540" s="140"/>
      <c r="E540" s="140"/>
      <c r="F540" s="140"/>
      <c r="G540" s="140"/>
      <c r="H540" s="140"/>
      <c r="I540" s="140"/>
      <c r="J540" s="140"/>
      <c r="K540" s="140"/>
      <c r="L540" s="140"/>
      <c r="M540" s="140"/>
      <c r="N540" s="140"/>
      <c r="O540" s="140"/>
      <c r="P540" s="140"/>
      <c r="Q540" s="140"/>
      <c r="R540" s="140"/>
      <c r="S540" s="140"/>
      <c r="T540" s="140"/>
      <c r="U540" s="140"/>
      <c r="V540" s="140"/>
      <c r="W540" s="140"/>
      <c r="X540" s="140"/>
      <c r="Y540" s="140"/>
      <c r="Z540" s="140"/>
      <c r="AA540" s="140"/>
      <c r="AB540" s="140"/>
      <c r="AC540" s="140"/>
      <c r="AD540" s="140"/>
    </row>
    <row r="541" spans="1:30" ht="15.75" customHeight="1" x14ac:dyDescent="0.2">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row>
    <row r="542" spans="1:30" ht="15.75" customHeight="1" x14ac:dyDescent="0.2">
      <c r="A542" s="140"/>
      <c r="B542" s="140"/>
      <c r="C542" s="140"/>
      <c r="D542" s="140"/>
      <c r="E542" s="140"/>
      <c r="F542" s="140"/>
      <c r="G542" s="140"/>
      <c r="H542" s="140"/>
      <c r="I542" s="140"/>
      <c r="J542" s="140"/>
      <c r="K542" s="140"/>
      <c r="L542" s="140"/>
      <c r="M542" s="140"/>
      <c r="N542" s="140"/>
      <c r="O542" s="140"/>
      <c r="P542" s="140"/>
      <c r="Q542" s="140"/>
      <c r="R542" s="140"/>
      <c r="S542" s="140"/>
      <c r="T542" s="140"/>
      <c r="U542" s="140"/>
      <c r="V542" s="140"/>
      <c r="W542" s="140"/>
      <c r="X542" s="140"/>
      <c r="Y542" s="140"/>
      <c r="Z542" s="140"/>
      <c r="AA542" s="140"/>
      <c r="AB542" s="140"/>
      <c r="AC542" s="140"/>
      <c r="AD542" s="140"/>
    </row>
    <row r="543" spans="1:30" ht="15.75" customHeight="1" x14ac:dyDescent="0.2">
      <c r="A543" s="140"/>
      <c r="B543" s="140"/>
      <c r="C543" s="140"/>
      <c r="D543" s="140"/>
      <c r="E543" s="140"/>
      <c r="F543" s="140"/>
      <c r="G543" s="140"/>
      <c r="H543" s="140"/>
      <c r="I543" s="140"/>
      <c r="J543" s="140"/>
      <c r="K543" s="140"/>
      <c r="L543" s="140"/>
      <c r="M543" s="140"/>
      <c r="N543" s="140"/>
      <c r="O543" s="140"/>
      <c r="P543" s="140"/>
      <c r="Q543" s="140"/>
      <c r="R543" s="140"/>
      <c r="S543" s="140"/>
      <c r="T543" s="140"/>
      <c r="U543" s="140"/>
      <c r="V543" s="140"/>
      <c r="W543" s="140"/>
      <c r="X543" s="140"/>
      <c r="Y543" s="140"/>
      <c r="Z543" s="140"/>
      <c r="AA543" s="140"/>
      <c r="AB543" s="140"/>
      <c r="AC543" s="140"/>
      <c r="AD543" s="140"/>
    </row>
    <row r="544" spans="1:30" ht="15.75" customHeight="1" x14ac:dyDescent="0.2">
      <c r="A544" s="140"/>
      <c r="B544" s="140"/>
      <c r="C544" s="140"/>
      <c r="D544" s="140"/>
      <c r="E544" s="140"/>
      <c r="F544" s="140"/>
      <c r="G544" s="140"/>
      <c r="H544" s="140"/>
      <c r="I544" s="140"/>
      <c r="J544" s="140"/>
      <c r="K544" s="140"/>
      <c r="L544" s="140"/>
      <c r="M544" s="140"/>
      <c r="N544" s="140"/>
      <c r="O544" s="140"/>
      <c r="P544" s="140"/>
      <c r="Q544" s="140"/>
      <c r="R544" s="140"/>
      <c r="S544" s="140"/>
      <c r="T544" s="140"/>
      <c r="U544" s="140"/>
      <c r="V544" s="140"/>
      <c r="W544" s="140"/>
      <c r="X544" s="140"/>
      <c r="Y544" s="140"/>
      <c r="Z544" s="140"/>
      <c r="AA544" s="140"/>
      <c r="AB544" s="140"/>
      <c r="AC544" s="140"/>
      <c r="AD544" s="140"/>
    </row>
    <row r="545" spans="1:30" ht="15.75" customHeight="1" x14ac:dyDescent="0.2">
      <c r="A545" s="140"/>
      <c r="B545" s="140"/>
      <c r="C545" s="140"/>
      <c r="D545" s="140"/>
      <c r="E545" s="140"/>
      <c r="F545" s="140"/>
      <c r="G545" s="140"/>
      <c r="H545" s="140"/>
      <c r="I545" s="140"/>
      <c r="J545" s="140"/>
      <c r="K545" s="140"/>
      <c r="L545" s="140"/>
      <c r="M545" s="140"/>
      <c r="N545" s="140"/>
      <c r="O545" s="140"/>
      <c r="P545" s="140"/>
      <c r="Q545" s="140"/>
      <c r="R545" s="140"/>
      <c r="S545" s="140"/>
      <c r="T545" s="140"/>
      <c r="U545" s="140"/>
      <c r="V545" s="140"/>
      <c r="W545" s="140"/>
      <c r="X545" s="140"/>
      <c r="Y545" s="140"/>
      <c r="Z545" s="140"/>
      <c r="AA545" s="140"/>
      <c r="AB545" s="140"/>
      <c r="AC545" s="140"/>
      <c r="AD545" s="140"/>
    </row>
    <row r="546" spans="1:30" ht="15.75" customHeight="1" x14ac:dyDescent="0.2">
      <c r="A546" s="140"/>
      <c r="B546" s="140"/>
      <c r="C546" s="140"/>
      <c r="D546" s="140"/>
      <c r="E546" s="140"/>
      <c r="F546" s="140"/>
      <c r="G546" s="140"/>
      <c r="H546" s="140"/>
      <c r="I546" s="140"/>
      <c r="J546" s="140"/>
      <c r="K546" s="140"/>
      <c r="L546" s="140"/>
      <c r="M546" s="140"/>
      <c r="N546" s="140"/>
      <c r="O546" s="140"/>
      <c r="P546" s="140"/>
      <c r="Q546" s="140"/>
      <c r="R546" s="140"/>
      <c r="S546" s="140"/>
      <c r="T546" s="140"/>
      <c r="U546" s="140"/>
      <c r="V546" s="140"/>
      <c r="W546" s="140"/>
      <c r="X546" s="140"/>
      <c r="Y546" s="140"/>
      <c r="Z546" s="140"/>
      <c r="AA546" s="140"/>
      <c r="AB546" s="140"/>
      <c r="AC546" s="140"/>
      <c r="AD546" s="140"/>
    </row>
    <row r="547" spans="1:30" ht="15.75" customHeight="1" x14ac:dyDescent="0.2">
      <c r="A547" s="140"/>
      <c r="B547" s="140"/>
      <c r="C547" s="140"/>
      <c r="D547" s="140"/>
      <c r="E547" s="140"/>
      <c r="F547" s="140"/>
      <c r="G547" s="140"/>
      <c r="H547" s="140"/>
      <c r="I547" s="140"/>
      <c r="J547" s="140"/>
      <c r="K547" s="140"/>
      <c r="L547" s="140"/>
      <c r="M547" s="140"/>
      <c r="N547" s="140"/>
      <c r="O547" s="140"/>
      <c r="P547" s="140"/>
      <c r="Q547" s="140"/>
      <c r="R547" s="140"/>
      <c r="S547" s="140"/>
      <c r="T547" s="140"/>
      <c r="U547" s="140"/>
      <c r="V547" s="140"/>
      <c r="W547" s="140"/>
      <c r="X547" s="140"/>
      <c r="Y547" s="140"/>
      <c r="Z547" s="140"/>
      <c r="AA547" s="140"/>
      <c r="AB547" s="140"/>
      <c r="AC547" s="140"/>
      <c r="AD547" s="140"/>
    </row>
    <row r="548" spans="1:30" ht="15.75" customHeight="1" x14ac:dyDescent="0.2">
      <c r="A548" s="140"/>
      <c r="B548" s="140"/>
      <c r="C548" s="140"/>
      <c r="D548" s="140"/>
      <c r="E548" s="140"/>
      <c r="F548" s="140"/>
      <c r="G548" s="140"/>
      <c r="H548" s="140"/>
      <c r="I548" s="140"/>
      <c r="J548" s="140"/>
      <c r="K548" s="140"/>
      <c r="L548" s="140"/>
      <c r="M548" s="140"/>
      <c r="N548" s="140"/>
      <c r="O548" s="140"/>
      <c r="P548" s="140"/>
      <c r="Q548" s="140"/>
      <c r="R548" s="140"/>
      <c r="S548" s="140"/>
      <c r="T548" s="140"/>
      <c r="U548" s="140"/>
      <c r="V548" s="140"/>
      <c r="W548" s="140"/>
      <c r="X548" s="140"/>
      <c r="Y548" s="140"/>
      <c r="Z548" s="140"/>
      <c r="AA548" s="140"/>
      <c r="AB548" s="140"/>
      <c r="AC548" s="140"/>
      <c r="AD548" s="140"/>
    </row>
    <row r="549" spans="1:30" ht="15.75" customHeight="1" x14ac:dyDescent="0.2">
      <c r="A549" s="140"/>
      <c r="B549" s="140"/>
      <c r="C549" s="140"/>
      <c r="D549" s="140"/>
      <c r="E549" s="140"/>
      <c r="F549" s="140"/>
      <c r="G549" s="140"/>
      <c r="H549" s="140"/>
      <c r="I549" s="140"/>
      <c r="J549" s="140"/>
      <c r="K549" s="140"/>
      <c r="L549" s="140"/>
      <c r="M549" s="140"/>
      <c r="N549" s="140"/>
      <c r="O549" s="140"/>
      <c r="P549" s="140"/>
      <c r="Q549" s="140"/>
      <c r="R549" s="140"/>
      <c r="S549" s="140"/>
      <c r="T549" s="140"/>
      <c r="U549" s="140"/>
      <c r="V549" s="140"/>
      <c r="W549" s="140"/>
      <c r="X549" s="140"/>
      <c r="Y549" s="140"/>
      <c r="Z549" s="140"/>
      <c r="AA549" s="140"/>
      <c r="AB549" s="140"/>
      <c r="AC549" s="140"/>
      <c r="AD549" s="140"/>
    </row>
    <row r="550" spans="1:30" ht="15.75" customHeight="1" x14ac:dyDescent="0.2">
      <c r="A550" s="140"/>
      <c r="B550" s="140"/>
      <c r="C550" s="140"/>
      <c r="D550" s="140"/>
      <c r="E550" s="140"/>
      <c r="F550" s="140"/>
      <c r="G550" s="140"/>
      <c r="H550" s="140"/>
      <c r="I550" s="140"/>
      <c r="J550" s="140"/>
      <c r="K550" s="140"/>
      <c r="L550" s="140"/>
      <c r="M550" s="140"/>
      <c r="N550" s="140"/>
      <c r="O550" s="140"/>
      <c r="P550" s="140"/>
      <c r="Q550" s="140"/>
      <c r="R550" s="140"/>
      <c r="S550" s="140"/>
      <c r="T550" s="140"/>
      <c r="U550" s="140"/>
      <c r="V550" s="140"/>
      <c r="W550" s="140"/>
      <c r="X550" s="140"/>
      <c r="Y550" s="140"/>
      <c r="Z550" s="140"/>
      <c r="AA550" s="140"/>
      <c r="AB550" s="140"/>
      <c r="AC550" s="140"/>
      <c r="AD550" s="140"/>
    </row>
    <row r="551" spans="1:30" ht="15.75" customHeight="1" x14ac:dyDescent="0.2">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row>
    <row r="552" spans="1:30" ht="15.75" customHeight="1" x14ac:dyDescent="0.2">
      <c r="A552" s="140"/>
      <c r="B552" s="140"/>
      <c r="C552" s="140"/>
      <c r="D552" s="140"/>
      <c r="E552" s="140"/>
      <c r="F552" s="140"/>
      <c r="G552" s="140"/>
      <c r="H552" s="140"/>
      <c r="I552" s="140"/>
      <c r="J552" s="140"/>
      <c r="K552" s="140"/>
      <c r="L552" s="140"/>
      <c r="M552" s="140"/>
      <c r="N552" s="140"/>
      <c r="O552" s="140"/>
      <c r="P552" s="140"/>
      <c r="Q552" s="140"/>
      <c r="R552" s="140"/>
      <c r="S552" s="140"/>
      <c r="T552" s="140"/>
      <c r="U552" s="140"/>
      <c r="V552" s="140"/>
      <c r="W552" s="140"/>
      <c r="X552" s="140"/>
      <c r="Y552" s="140"/>
      <c r="Z552" s="140"/>
      <c r="AA552" s="140"/>
      <c r="AB552" s="140"/>
      <c r="AC552" s="140"/>
      <c r="AD552" s="140"/>
    </row>
    <row r="553" spans="1:30" ht="15.75" customHeight="1" x14ac:dyDescent="0.2">
      <c r="A553" s="140"/>
      <c r="B553" s="140"/>
      <c r="C553" s="140"/>
      <c r="D553" s="140"/>
      <c r="E553" s="140"/>
      <c r="F553" s="140"/>
      <c r="G553" s="140"/>
      <c r="H553" s="140"/>
      <c r="I553" s="140"/>
      <c r="J553" s="140"/>
      <c r="K553" s="140"/>
      <c r="L553" s="140"/>
      <c r="M553" s="140"/>
      <c r="N553" s="140"/>
      <c r="O553" s="140"/>
      <c r="P553" s="140"/>
      <c r="Q553" s="140"/>
      <c r="R553" s="140"/>
      <c r="S553" s="140"/>
      <c r="T553" s="140"/>
      <c r="U553" s="140"/>
      <c r="V553" s="140"/>
      <c r="W553" s="140"/>
      <c r="X553" s="140"/>
      <c r="Y553" s="140"/>
      <c r="Z553" s="140"/>
      <c r="AA553" s="140"/>
      <c r="AB553" s="140"/>
      <c r="AC553" s="140"/>
      <c r="AD553" s="140"/>
    </row>
    <row r="554" spans="1:30" ht="15.75" customHeight="1" x14ac:dyDescent="0.2">
      <c r="A554" s="140"/>
      <c r="B554" s="140"/>
      <c r="C554" s="140"/>
      <c r="D554" s="140"/>
      <c r="E554" s="140"/>
      <c r="F554" s="140"/>
      <c r="G554" s="140"/>
      <c r="H554" s="140"/>
      <c r="I554" s="140"/>
      <c r="J554" s="140"/>
      <c r="K554" s="140"/>
      <c r="L554" s="140"/>
      <c r="M554" s="140"/>
      <c r="N554" s="140"/>
      <c r="O554" s="140"/>
      <c r="P554" s="140"/>
      <c r="Q554" s="140"/>
      <c r="R554" s="140"/>
      <c r="S554" s="140"/>
      <c r="T554" s="140"/>
      <c r="U554" s="140"/>
      <c r="V554" s="140"/>
      <c r="W554" s="140"/>
      <c r="X554" s="140"/>
      <c r="Y554" s="140"/>
      <c r="Z554" s="140"/>
      <c r="AA554" s="140"/>
      <c r="AB554" s="140"/>
      <c r="AC554" s="140"/>
      <c r="AD554" s="140"/>
    </row>
    <row r="555" spans="1:30" ht="15.75" customHeight="1" x14ac:dyDescent="0.2">
      <c r="A555" s="140"/>
      <c r="B555" s="140"/>
      <c r="C555" s="140"/>
      <c r="D555" s="140"/>
      <c r="E555" s="140"/>
      <c r="F555" s="140"/>
      <c r="G555" s="140"/>
      <c r="H555" s="140"/>
      <c r="I555" s="140"/>
      <c r="J555" s="140"/>
      <c r="K555" s="140"/>
      <c r="L555" s="140"/>
      <c r="M555" s="140"/>
      <c r="N555" s="140"/>
      <c r="O555" s="140"/>
      <c r="P555" s="140"/>
      <c r="Q555" s="140"/>
      <c r="R555" s="140"/>
      <c r="S555" s="140"/>
      <c r="T555" s="140"/>
      <c r="U555" s="140"/>
      <c r="V555" s="140"/>
      <c r="W555" s="140"/>
      <c r="X555" s="140"/>
      <c r="Y555" s="140"/>
      <c r="Z555" s="140"/>
      <c r="AA555" s="140"/>
      <c r="AB555" s="140"/>
      <c r="AC555" s="140"/>
      <c r="AD555" s="140"/>
    </row>
    <row r="556" spans="1:30" ht="15.75" customHeight="1" x14ac:dyDescent="0.2">
      <c r="A556" s="140"/>
      <c r="B556" s="140"/>
      <c r="C556" s="140"/>
      <c r="D556" s="140"/>
      <c r="E556" s="140"/>
      <c r="F556" s="140"/>
      <c r="G556" s="140"/>
      <c r="H556" s="140"/>
      <c r="I556" s="140"/>
      <c r="J556" s="140"/>
      <c r="K556" s="140"/>
      <c r="L556" s="140"/>
      <c r="M556" s="140"/>
      <c r="N556" s="140"/>
      <c r="O556" s="140"/>
      <c r="P556" s="140"/>
      <c r="Q556" s="140"/>
      <c r="R556" s="140"/>
      <c r="S556" s="140"/>
      <c r="T556" s="140"/>
      <c r="U556" s="140"/>
      <c r="V556" s="140"/>
      <c r="W556" s="140"/>
      <c r="X556" s="140"/>
      <c r="Y556" s="140"/>
      <c r="Z556" s="140"/>
      <c r="AA556" s="140"/>
      <c r="AB556" s="140"/>
      <c r="AC556" s="140"/>
      <c r="AD556" s="140"/>
    </row>
    <row r="557" spans="1:30" ht="15.75" customHeight="1" x14ac:dyDescent="0.2">
      <c r="A557" s="140"/>
      <c r="B557" s="140"/>
      <c r="C557" s="140"/>
      <c r="D557" s="140"/>
      <c r="E557" s="140"/>
      <c r="F557" s="140"/>
      <c r="G557" s="140"/>
      <c r="H557" s="140"/>
      <c r="I557" s="140"/>
      <c r="J557" s="140"/>
      <c r="K557" s="140"/>
      <c r="L557" s="140"/>
      <c r="M557" s="140"/>
      <c r="N557" s="140"/>
      <c r="O557" s="140"/>
      <c r="P557" s="140"/>
      <c r="Q557" s="140"/>
      <c r="R557" s="140"/>
      <c r="S557" s="140"/>
      <c r="T557" s="140"/>
      <c r="U557" s="140"/>
      <c r="V557" s="140"/>
      <c r="W557" s="140"/>
      <c r="X557" s="140"/>
      <c r="Y557" s="140"/>
      <c r="Z557" s="140"/>
      <c r="AA557" s="140"/>
      <c r="AB557" s="140"/>
      <c r="AC557" s="140"/>
      <c r="AD557" s="140"/>
    </row>
    <row r="558" spans="1:30" ht="15.75" customHeight="1" x14ac:dyDescent="0.2">
      <c r="A558" s="140"/>
      <c r="B558" s="140"/>
      <c r="C558" s="140"/>
      <c r="D558" s="140"/>
      <c r="E558" s="140"/>
      <c r="F558" s="140"/>
      <c r="G558" s="140"/>
      <c r="H558" s="140"/>
      <c r="I558" s="140"/>
      <c r="J558" s="140"/>
      <c r="K558" s="140"/>
      <c r="L558" s="140"/>
      <c r="M558" s="140"/>
      <c r="N558" s="140"/>
      <c r="O558" s="140"/>
      <c r="P558" s="140"/>
      <c r="Q558" s="140"/>
      <c r="R558" s="140"/>
      <c r="S558" s="140"/>
      <c r="T558" s="140"/>
      <c r="U558" s="140"/>
      <c r="V558" s="140"/>
      <c r="W558" s="140"/>
      <c r="X558" s="140"/>
      <c r="Y558" s="140"/>
      <c r="Z558" s="140"/>
      <c r="AA558" s="140"/>
      <c r="AB558" s="140"/>
      <c r="AC558" s="140"/>
      <c r="AD558" s="140"/>
    </row>
    <row r="559" spans="1:30" ht="15.75" customHeight="1" x14ac:dyDescent="0.2">
      <c r="A559" s="140"/>
      <c r="B559" s="140"/>
      <c r="C559" s="140"/>
      <c r="D559" s="140"/>
      <c r="E559" s="140"/>
      <c r="F559" s="140"/>
      <c r="G559" s="140"/>
      <c r="H559" s="140"/>
      <c r="I559" s="140"/>
      <c r="J559" s="140"/>
      <c r="K559" s="140"/>
      <c r="L559" s="140"/>
      <c r="M559" s="140"/>
      <c r="N559" s="140"/>
      <c r="O559" s="140"/>
      <c r="P559" s="140"/>
      <c r="Q559" s="140"/>
      <c r="R559" s="140"/>
      <c r="S559" s="140"/>
      <c r="T559" s="140"/>
      <c r="U559" s="140"/>
      <c r="V559" s="140"/>
      <c r="W559" s="140"/>
      <c r="X559" s="140"/>
      <c r="Y559" s="140"/>
      <c r="Z559" s="140"/>
      <c r="AA559" s="140"/>
      <c r="AB559" s="140"/>
      <c r="AC559" s="140"/>
      <c r="AD559" s="140"/>
    </row>
    <row r="560" spans="1:30" ht="15.75" customHeight="1" x14ac:dyDescent="0.2">
      <c r="A560" s="140"/>
      <c r="B560" s="140"/>
      <c r="C560" s="140"/>
      <c r="D560" s="140"/>
      <c r="E560" s="140"/>
      <c r="F560" s="140"/>
      <c r="G560" s="140"/>
      <c r="H560" s="140"/>
      <c r="I560" s="140"/>
      <c r="J560" s="140"/>
      <c r="K560" s="140"/>
      <c r="L560" s="140"/>
      <c r="M560" s="140"/>
      <c r="N560" s="140"/>
      <c r="O560" s="140"/>
      <c r="P560" s="140"/>
      <c r="Q560" s="140"/>
      <c r="R560" s="140"/>
      <c r="S560" s="140"/>
      <c r="T560" s="140"/>
      <c r="U560" s="140"/>
      <c r="V560" s="140"/>
      <c r="W560" s="140"/>
      <c r="X560" s="140"/>
      <c r="Y560" s="140"/>
      <c r="Z560" s="140"/>
      <c r="AA560" s="140"/>
      <c r="AB560" s="140"/>
      <c r="AC560" s="140"/>
      <c r="AD560" s="140"/>
    </row>
    <row r="561" spans="1:30" ht="15.75" customHeight="1" x14ac:dyDescent="0.2">
      <c r="A561" s="140"/>
      <c r="B561" s="140"/>
      <c r="C561" s="140"/>
      <c r="D561" s="140"/>
      <c r="E561" s="140"/>
      <c r="F561" s="140"/>
      <c r="G561" s="140"/>
      <c r="H561" s="140"/>
      <c r="I561" s="140"/>
      <c r="J561" s="140"/>
      <c r="K561" s="140"/>
      <c r="L561" s="140"/>
      <c r="M561" s="140"/>
      <c r="N561" s="140"/>
      <c r="O561" s="140"/>
      <c r="P561" s="140"/>
      <c r="Q561" s="140"/>
      <c r="R561" s="140"/>
      <c r="S561" s="140"/>
      <c r="T561" s="140"/>
      <c r="U561" s="140"/>
      <c r="V561" s="140"/>
      <c r="W561" s="140"/>
      <c r="X561" s="140"/>
      <c r="Y561" s="140"/>
      <c r="Z561" s="140"/>
      <c r="AA561" s="140"/>
      <c r="AB561" s="140"/>
      <c r="AC561" s="140"/>
      <c r="AD561" s="140"/>
    </row>
    <row r="562" spans="1:30" ht="15.75" customHeight="1" x14ac:dyDescent="0.2">
      <c r="A562" s="140"/>
      <c r="B562" s="140"/>
      <c r="C562" s="140"/>
      <c r="D562" s="140"/>
      <c r="E562" s="140"/>
      <c r="F562" s="140"/>
      <c r="G562" s="140"/>
      <c r="H562" s="140"/>
      <c r="I562" s="140"/>
      <c r="J562" s="140"/>
      <c r="K562" s="140"/>
      <c r="L562" s="140"/>
      <c r="M562" s="140"/>
      <c r="N562" s="140"/>
      <c r="O562" s="140"/>
      <c r="P562" s="140"/>
      <c r="Q562" s="140"/>
      <c r="R562" s="140"/>
      <c r="S562" s="140"/>
      <c r="T562" s="140"/>
      <c r="U562" s="140"/>
      <c r="V562" s="140"/>
      <c r="W562" s="140"/>
      <c r="X562" s="140"/>
      <c r="Y562" s="140"/>
      <c r="Z562" s="140"/>
      <c r="AA562" s="140"/>
      <c r="AB562" s="140"/>
      <c r="AC562" s="140"/>
      <c r="AD562" s="140"/>
    </row>
    <row r="563" spans="1:30" ht="15.75" customHeight="1" x14ac:dyDescent="0.2">
      <c r="A563" s="140"/>
      <c r="B563" s="140"/>
      <c r="C563" s="140"/>
      <c r="D563" s="140"/>
      <c r="E563" s="140"/>
      <c r="F563" s="140"/>
      <c r="G563" s="140"/>
      <c r="H563" s="140"/>
      <c r="I563" s="140"/>
      <c r="J563" s="140"/>
      <c r="K563" s="140"/>
      <c r="L563" s="140"/>
      <c r="M563" s="140"/>
      <c r="N563" s="140"/>
      <c r="O563" s="140"/>
      <c r="P563" s="140"/>
      <c r="Q563" s="140"/>
      <c r="R563" s="140"/>
      <c r="S563" s="140"/>
      <c r="T563" s="140"/>
      <c r="U563" s="140"/>
      <c r="V563" s="140"/>
      <c r="W563" s="140"/>
      <c r="X563" s="140"/>
      <c r="Y563" s="140"/>
      <c r="Z563" s="140"/>
      <c r="AA563" s="140"/>
      <c r="AB563" s="140"/>
      <c r="AC563" s="140"/>
      <c r="AD563" s="140"/>
    </row>
    <row r="564" spans="1:30" ht="15.75" customHeight="1" x14ac:dyDescent="0.2">
      <c r="A564" s="140"/>
      <c r="B564" s="140"/>
      <c r="C564" s="140"/>
      <c r="D564" s="140"/>
      <c r="E564" s="140"/>
      <c r="F564" s="140"/>
      <c r="G564" s="140"/>
      <c r="H564" s="140"/>
      <c r="I564" s="140"/>
      <c r="J564" s="140"/>
      <c r="K564" s="140"/>
      <c r="L564" s="140"/>
      <c r="M564" s="140"/>
      <c r="N564" s="140"/>
      <c r="O564" s="140"/>
      <c r="P564" s="140"/>
      <c r="Q564" s="140"/>
      <c r="R564" s="140"/>
      <c r="S564" s="140"/>
      <c r="T564" s="140"/>
      <c r="U564" s="140"/>
      <c r="V564" s="140"/>
      <c r="W564" s="140"/>
      <c r="X564" s="140"/>
      <c r="Y564" s="140"/>
      <c r="Z564" s="140"/>
      <c r="AA564" s="140"/>
      <c r="AB564" s="140"/>
      <c r="AC564" s="140"/>
      <c r="AD564" s="140"/>
    </row>
    <row r="565" spans="1:30" ht="15.75" customHeight="1" x14ac:dyDescent="0.2">
      <c r="A565" s="140"/>
      <c r="B565" s="140"/>
      <c r="C565" s="140"/>
      <c r="D565" s="140"/>
      <c r="E565" s="140"/>
      <c r="F565" s="140"/>
      <c r="G565" s="140"/>
      <c r="H565" s="140"/>
      <c r="I565" s="140"/>
      <c r="J565" s="140"/>
      <c r="K565" s="140"/>
      <c r="L565" s="140"/>
      <c r="M565" s="140"/>
      <c r="N565" s="140"/>
      <c r="O565" s="140"/>
      <c r="P565" s="140"/>
      <c r="Q565" s="140"/>
      <c r="R565" s="140"/>
      <c r="S565" s="140"/>
      <c r="T565" s="140"/>
      <c r="U565" s="140"/>
      <c r="V565" s="140"/>
      <c r="W565" s="140"/>
      <c r="X565" s="140"/>
      <c r="Y565" s="140"/>
      <c r="Z565" s="140"/>
      <c r="AA565" s="140"/>
      <c r="AB565" s="140"/>
      <c r="AC565" s="140"/>
      <c r="AD565" s="140"/>
    </row>
    <row r="566" spans="1:30" ht="15.75" customHeight="1" x14ac:dyDescent="0.2">
      <c r="A566" s="140"/>
      <c r="B566" s="140"/>
      <c r="C566" s="140"/>
      <c r="D566" s="140"/>
      <c r="E566" s="140"/>
      <c r="F566" s="140"/>
      <c r="G566" s="140"/>
      <c r="H566" s="140"/>
      <c r="I566" s="140"/>
      <c r="J566" s="140"/>
      <c r="K566" s="140"/>
      <c r="L566" s="140"/>
      <c r="M566" s="140"/>
      <c r="N566" s="140"/>
      <c r="O566" s="140"/>
      <c r="P566" s="140"/>
      <c r="Q566" s="140"/>
      <c r="R566" s="140"/>
      <c r="S566" s="140"/>
      <c r="T566" s="140"/>
      <c r="U566" s="140"/>
      <c r="V566" s="140"/>
      <c r="W566" s="140"/>
      <c r="X566" s="140"/>
      <c r="Y566" s="140"/>
      <c r="Z566" s="140"/>
      <c r="AA566" s="140"/>
      <c r="AB566" s="140"/>
      <c r="AC566" s="140"/>
      <c r="AD566" s="140"/>
    </row>
    <row r="567" spans="1:30" ht="15.75" customHeight="1" x14ac:dyDescent="0.2">
      <c r="A567" s="140"/>
      <c r="B567" s="140"/>
      <c r="C567" s="140"/>
      <c r="D567" s="140"/>
      <c r="E567" s="140"/>
      <c r="F567" s="140"/>
      <c r="G567" s="140"/>
      <c r="H567" s="140"/>
      <c r="I567" s="140"/>
      <c r="J567" s="140"/>
      <c r="K567" s="140"/>
      <c r="L567" s="140"/>
      <c r="M567" s="140"/>
      <c r="N567" s="140"/>
      <c r="O567" s="140"/>
      <c r="P567" s="140"/>
      <c r="Q567" s="140"/>
      <c r="R567" s="140"/>
      <c r="S567" s="140"/>
      <c r="T567" s="140"/>
      <c r="U567" s="140"/>
      <c r="V567" s="140"/>
      <c r="W567" s="140"/>
      <c r="X567" s="140"/>
      <c r="Y567" s="140"/>
      <c r="Z567" s="140"/>
      <c r="AA567" s="140"/>
      <c r="AB567" s="140"/>
      <c r="AC567" s="140"/>
      <c r="AD567" s="140"/>
    </row>
    <row r="568" spans="1:30" ht="15.75" customHeight="1" x14ac:dyDescent="0.2">
      <c r="A568" s="140"/>
      <c r="B568" s="140"/>
      <c r="C568" s="140"/>
      <c r="D568" s="140"/>
      <c r="E568" s="140"/>
      <c r="F568" s="140"/>
      <c r="G568" s="140"/>
      <c r="H568" s="140"/>
      <c r="I568" s="140"/>
      <c r="J568" s="140"/>
      <c r="K568" s="140"/>
      <c r="L568" s="140"/>
      <c r="M568" s="140"/>
      <c r="N568" s="140"/>
      <c r="O568" s="140"/>
      <c r="P568" s="140"/>
      <c r="Q568" s="140"/>
      <c r="R568" s="140"/>
      <c r="S568" s="140"/>
      <c r="T568" s="140"/>
      <c r="U568" s="140"/>
      <c r="V568" s="140"/>
      <c r="W568" s="140"/>
      <c r="X568" s="140"/>
      <c r="Y568" s="140"/>
      <c r="Z568" s="140"/>
      <c r="AA568" s="140"/>
      <c r="AB568" s="140"/>
      <c r="AC568" s="140"/>
      <c r="AD568" s="140"/>
    </row>
    <row r="569" spans="1:30" ht="15.75" customHeight="1" x14ac:dyDescent="0.2">
      <c r="A569" s="140"/>
      <c r="B569" s="140"/>
      <c r="C569" s="140"/>
      <c r="D569" s="140"/>
      <c r="E569" s="140"/>
      <c r="F569" s="140"/>
      <c r="G569" s="140"/>
      <c r="H569" s="140"/>
      <c r="I569" s="140"/>
      <c r="J569" s="140"/>
      <c r="K569" s="140"/>
      <c r="L569" s="140"/>
      <c r="M569" s="140"/>
      <c r="N569" s="140"/>
      <c r="O569" s="140"/>
      <c r="P569" s="140"/>
      <c r="Q569" s="140"/>
      <c r="R569" s="140"/>
      <c r="S569" s="140"/>
      <c r="T569" s="140"/>
      <c r="U569" s="140"/>
      <c r="V569" s="140"/>
      <c r="W569" s="140"/>
      <c r="X569" s="140"/>
      <c r="Y569" s="140"/>
      <c r="Z569" s="140"/>
      <c r="AA569" s="140"/>
      <c r="AB569" s="140"/>
      <c r="AC569" s="140"/>
      <c r="AD569" s="140"/>
    </row>
    <row r="570" spans="1:30" ht="15.75" customHeight="1" x14ac:dyDescent="0.2">
      <c r="A570" s="140"/>
      <c r="B570" s="140"/>
      <c r="C570" s="140"/>
      <c r="D570" s="140"/>
      <c r="E570" s="140"/>
      <c r="F570" s="140"/>
      <c r="G570" s="140"/>
      <c r="H570" s="140"/>
      <c r="I570" s="140"/>
      <c r="J570" s="140"/>
      <c r="K570" s="140"/>
      <c r="L570" s="140"/>
      <c r="M570" s="140"/>
      <c r="N570" s="140"/>
      <c r="O570" s="140"/>
      <c r="P570" s="140"/>
      <c r="Q570" s="140"/>
      <c r="R570" s="140"/>
      <c r="S570" s="140"/>
      <c r="T570" s="140"/>
      <c r="U570" s="140"/>
      <c r="V570" s="140"/>
      <c r="W570" s="140"/>
      <c r="X570" s="140"/>
      <c r="Y570" s="140"/>
      <c r="Z570" s="140"/>
      <c r="AA570" s="140"/>
      <c r="AB570" s="140"/>
      <c r="AC570" s="140"/>
      <c r="AD570" s="140"/>
    </row>
    <row r="571" spans="1:30" ht="15.75" customHeight="1" x14ac:dyDescent="0.2">
      <c r="A571" s="140"/>
      <c r="B571" s="140"/>
      <c r="C571" s="140"/>
      <c r="D571" s="140"/>
      <c r="E571" s="140"/>
      <c r="F571" s="140"/>
      <c r="G571" s="140"/>
      <c r="H571" s="140"/>
      <c r="I571" s="140"/>
      <c r="J571" s="140"/>
      <c r="K571" s="140"/>
      <c r="L571" s="140"/>
      <c r="M571" s="140"/>
      <c r="N571" s="140"/>
      <c r="O571" s="140"/>
      <c r="P571" s="140"/>
      <c r="Q571" s="140"/>
      <c r="R571" s="140"/>
      <c r="S571" s="140"/>
      <c r="T571" s="140"/>
      <c r="U571" s="140"/>
      <c r="V571" s="140"/>
      <c r="W571" s="140"/>
      <c r="X571" s="140"/>
      <c r="Y571" s="140"/>
      <c r="Z571" s="140"/>
      <c r="AA571" s="140"/>
      <c r="AB571" s="140"/>
      <c r="AC571" s="140"/>
      <c r="AD571" s="140"/>
    </row>
    <row r="572" spans="1:30" ht="15.75" customHeight="1" x14ac:dyDescent="0.2">
      <c r="A572" s="140"/>
      <c r="B572" s="140"/>
      <c r="C572" s="140"/>
      <c r="D572" s="140"/>
      <c r="E572" s="140"/>
      <c r="F572" s="140"/>
      <c r="G572" s="140"/>
      <c r="H572" s="140"/>
      <c r="I572" s="140"/>
      <c r="J572" s="140"/>
      <c r="K572" s="140"/>
      <c r="L572" s="140"/>
      <c r="M572" s="140"/>
      <c r="N572" s="140"/>
      <c r="O572" s="140"/>
      <c r="P572" s="140"/>
      <c r="Q572" s="140"/>
      <c r="R572" s="140"/>
      <c r="S572" s="140"/>
      <c r="T572" s="140"/>
      <c r="U572" s="140"/>
      <c r="V572" s="140"/>
      <c r="W572" s="140"/>
      <c r="X572" s="140"/>
      <c r="Y572" s="140"/>
      <c r="Z572" s="140"/>
      <c r="AA572" s="140"/>
      <c r="AB572" s="140"/>
      <c r="AC572" s="140"/>
      <c r="AD572" s="140"/>
    </row>
    <row r="573" spans="1:30" ht="15.75" customHeight="1" x14ac:dyDescent="0.2">
      <c r="A573" s="140"/>
      <c r="B573" s="140"/>
      <c r="C573" s="140"/>
      <c r="D573" s="140"/>
      <c r="E573" s="140"/>
      <c r="F573" s="140"/>
      <c r="G573" s="140"/>
      <c r="H573" s="140"/>
      <c r="I573" s="140"/>
      <c r="J573" s="140"/>
      <c r="K573" s="140"/>
      <c r="L573" s="140"/>
      <c r="M573" s="140"/>
      <c r="N573" s="140"/>
      <c r="O573" s="140"/>
      <c r="P573" s="140"/>
      <c r="Q573" s="140"/>
      <c r="R573" s="140"/>
      <c r="S573" s="140"/>
      <c r="T573" s="140"/>
      <c r="U573" s="140"/>
      <c r="V573" s="140"/>
      <c r="W573" s="140"/>
      <c r="X573" s="140"/>
      <c r="Y573" s="140"/>
      <c r="Z573" s="140"/>
      <c r="AA573" s="140"/>
      <c r="AB573" s="140"/>
      <c r="AC573" s="140"/>
      <c r="AD573" s="140"/>
    </row>
    <row r="574" spans="1:30" ht="15.75" customHeight="1" x14ac:dyDescent="0.2">
      <c r="A574" s="140"/>
      <c r="B574" s="140"/>
      <c r="C574" s="140"/>
      <c r="D574" s="140"/>
      <c r="E574" s="140"/>
      <c r="F574" s="140"/>
      <c r="G574" s="140"/>
      <c r="H574" s="140"/>
      <c r="I574" s="140"/>
      <c r="J574" s="140"/>
      <c r="K574" s="140"/>
      <c r="L574" s="140"/>
      <c r="M574" s="140"/>
      <c r="N574" s="140"/>
      <c r="O574" s="140"/>
      <c r="P574" s="140"/>
      <c r="Q574" s="140"/>
      <c r="R574" s="140"/>
      <c r="S574" s="140"/>
      <c r="T574" s="140"/>
      <c r="U574" s="140"/>
      <c r="V574" s="140"/>
      <c r="W574" s="140"/>
      <c r="X574" s="140"/>
      <c r="Y574" s="140"/>
      <c r="Z574" s="140"/>
      <c r="AA574" s="140"/>
      <c r="AB574" s="140"/>
      <c r="AC574" s="140"/>
      <c r="AD574" s="140"/>
    </row>
    <row r="575" spans="1:30" ht="15.75" customHeight="1" x14ac:dyDescent="0.2">
      <c r="A575" s="140"/>
      <c r="B575" s="140"/>
      <c r="C575" s="140"/>
      <c r="D575" s="140"/>
      <c r="E575" s="140"/>
      <c r="F575" s="140"/>
      <c r="G575" s="140"/>
      <c r="H575" s="140"/>
      <c r="I575" s="140"/>
      <c r="J575" s="140"/>
      <c r="K575" s="140"/>
      <c r="L575" s="140"/>
      <c r="M575" s="140"/>
      <c r="N575" s="140"/>
      <c r="O575" s="140"/>
      <c r="P575" s="140"/>
      <c r="Q575" s="140"/>
      <c r="R575" s="140"/>
      <c r="S575" s="140"/>
      <c r="T575" s="140"/>
      <c r="U575" s="140"/>
      <c r="V575" s="140"/>
      <c r="W575" s="140"/>
      <c r="X575" s="140"/>
      <c r="Y575" s="140"/>
      <c r="Z575" s="140"/>
      <c r="AA575" s="140"/>
      <c r="AB575" s="140"/>
      <c r="AC575" s="140"/>
      <c r="AD575" s="140"/>
    </row>
    <row r="576" spans="1:30" ht="15.75" customHeight="1" x14ac:dyDescent="0.2">
      <c r="A576" s="140"/>
      <c r="B576" s="140"/>
      <c r="C576" s="140"/>
      <c r="D576" s="140"/>
      <c r="E576" s="140"/>
      <c r="F576" s="140"/>
      <c r="G576" s="140"/>
      <c r="H576" s="140"/>
      <c r="I576" s="140"/>
      <c r="J576" s="140"/>
      <c r="K576" s="140"/>
      <c r="L576" s="140"/>
      <c r="M576" s="140"/>
      <c r="N576" s="140"/>
      <c r="O576" s="140"/>
      <c r="P576" s="140"/>
      <c r="Q576" s="140"/>
      <c r="R576" s="140"/>
      <c r="S576" s="140"/>
      <c r="T576" s="140"/>
      <c r="U576" s="140"/>
      <c r="V576" s="140"/>
      <c r="W576" s="140"/>
      <c r="X576" s="140"/>
      <c r="Y576" s="140"/>
      <c r="Z576" s="140"/>
      <c r="AA576" s="140"/>
      <c r="AB576" s="140"/>
      <c r="AC576" s="140"/>
      <c r="AD576" s="140"/>
    </row>
    <row r="577" spans="1:30" ht="15.75" customHeight="1" x14ac:dyDescent="0.2">
      <c r="A577" s="140"/>
      <c r="B577" s="140"/>
      <c r="C577" s="140"/>
      <c r="D577" s="140"/>
      <c r="E577" s="140"/>
      <c r="F577" s="140"/>
      <c r="G577" s="140"/>
      <c r="H577" s="140"/>
      <c r="I577" s="140"/>
      <c r="J577" s="140"/>
      <c r="K577" s="140"/>
      <c r="L577" s="140"/>
      <c r="M577" s="140"/>
      <c r="N577" s="140"/>
      <c r="O577" s="140"/>
      <c r="P577" s="140"/>
      <c r="Q577" s="140"/>
      <c r="R577" s="140"/>
      <c r="S577" s="140"/>
      <c r="T577" s="140"/>
      <c r="U577" s="140"/>
      <c r="V577" s="140"/>
      <c r="W577" s="140"/>
      <c r="X577" s="140"/>
      <c r="Y577" s="140"/>
      <c r="Z577" s="140"/>
      <c r="AA577" s="140"/>
      <c r="AB577" s="140"/>
      <c r="AC577" s="140"/>
      <c r="AD577" s="140"/>
    </row>
    <row r="578" spans="1:30" ht="15.75" customHeight="1" x14ac:dyDescent="0.2">
      <c r="A578" s="140"/>
      <c r="B578" s="140"/>
      <c r="C578" s="140"/>
      <c r="D578" s="140"/>
      <c r="E578" s="140"/>
      <c r="F578" s="140"/>
      <c r="G578" s="140"/>
      <c r="H578" s="140"/>
      <c r="I578" s="140"/>
      <c r="J578" s="140"/>
      <c r="K578" s="140"/>
      <c r="L578" s="140"/>
      <c r="M578" s="140"/>
      <c r="N578" s="140"/>
      <c r="O578" s="140"/>
      <c r="P578" s="140"/>
      <c r="Q578" s="140"/>
      <c r="R578" s="140"/>
      <c r="S578" s="140"/>
      <c r="T578" s="140"/>
      <c r="U578" s="140"/>
      <c r="V578" s="140"/>
      <c r="W578" s="140"/>
      <c r="X578" s="140"/>
      <c r="Y578" s="140"/>
      <c r="Z578" s="140"/>
      <c r="AA578" s="140"/>
      <c r="AB578" s="140"/>
      <c r="AC578" s="140"/>
      <c r="AD578" s="140"/>
    </row>
    <row r="579" spans="1:30" ht="15.75" customHeight="1" x14ac:dyDescent="0.2">
      <c r="A579" s="140"/>
      <c r="B579" s="140"/>
      <c r="C579" s="140"/>
      <c r="D579" s="140"/>
      <c r="E579" s="140"/>
      <c r="F579" s="140"/>
      <c r="G579" s="140"/>
      <c r="H579" s="140"/>
      <c r="I579" s="140"/>
      <c r="J579" s="140"/>
      <c r="K579" s="140"/>
      <c r="L579" s="140"/>
      <c r="M579" s="140"/>
      <c r="N579" s="140"/>
      <c r="O579" s="140"/>
      <c r="P579" s="140"/>
      <c r="Q579" s="140"/>
      <c r="R579" s="140"/>
      <c r="S579" s="140"/>
      <c r="T579" s="140"/>
      <c r="U579" s="140"/>
      <c r="V579" s="140"/>
      <c r="W579" s="140"/>
      <c r="X579" s="140"/>
      <c r="Y579" s="140"/>
      <c r="Z579" s="140"/>
      <c r="AA579" s="140"/>
      <c r="AB579" s="140"/>
      <c r="AC579" s="140"/>
      <c r="AD579" s="140"/>
    </row>
    <row r="580" spans="1:30" ht="15.75" customHeight="1" x14ac:dyDescent="0.2">
      <c r="A580" s="140"/>
      <c r="B580" s="140"/>
      <c r="C580" s="140"/>
      <c r="D580" s="140"/>
      <c r="E580" s="140"/>
      <c r="F580" s="140"/>
      <c r="G580" s="140"/>
      <c r="H580" s="140"/>
      <c r="I580" s="140"/>
      <c r="J580" s="140"/>
      <c r="K580" s="140"/>
      <c r="L580" s="140"/>
      <c r="M580" s="140"/>
      <c r="N580" s="140"/>
      <c r="O580" s="140"/>
      <c r="P580" s="140"/>
      <c r="Q580" s="140"/>
      <c r="R580" s="140"/>
      <c r="S580" s="140"/>
      <c r="T580" s="140"/>
      <c r="U580" s="140"/>
      <c r="V580" s="140"/>
      <c r="W580" s="140"/>
      <c r="X580" s="140"/>
      <c r="Y580" s="140"/>
      <c r="Z580" s="140"/>
      <c r="AA580" s="140"/>
      <c r="AB580" s="140"/>
      <c r="AC580" s="140"/>
      <c r="AD580" s="140"/>
    </row>
    <row r="581" spans="1:30" ht="15.75" customHeight="1" x14ac:dyDescent="0.2">
      <c r="A581" s="140"/>
      <c r="B581" s="140"/>
      <c r="C581" s="140"/>
      <c r="D581" s="140"/>
      <c r="E581" s="140"/>
      <c r="F581" s="140"/>
      <c r="G581" s="140"/>
      <c r="H581" s="140"/>
      <c r="I581" s="140"/>
      <c r="J581" s="140"/>
      <c r="K581" s="140"/>
      <c r="L581" s="140"/>
      <c r="M581" s="140"/>
      <c r="N581" s="140"/>
      <c r="O581" s="140"/>
      <c r="P581" s="140"/>
      <c r="Q581" s="140"/>
      <c r="R581" s="140"/>
      <c r="S581" s="140"/>
      <c r="T581" s="140"/>
      <c r="U581" s="140"/>
      <c r="V581" s="140"/>
      <c r="W581" s="140"/>
      <c r="X581" s="140"/>
      <c r="Y581" s="140"/>
      <c r="Z581" s="140"/>
      <c r="AA581" s="140"/>
      <c r="AB581" s="140"/>
      <c r="AC581" s="140"/>
      <c r="AD581" s="140"/>
    </row>
    <row r="582" spans="1:30" ht="15.75" customHeight="1" x14ac:dyDescent="0.2">
      <c r="A582" s="140"/>
      <c r="B582" s="140"/>
      <c r="C582" s="140"/>
      <c r="D582" s="140"/>
      <c r="E582" s="140"/>
      <c r="F582" s="140"/>
      <c r="G582" s="140"/>
      <c r="H582" s="140"/>
      <c r="I582" s="140"/>
      <c r="J582" s="140"/>
      <c r="K582" s="140"/>
      <c r="L582" s="140"/>
      <c r="M582" s="140"/>
      <c r="N582" s="140"/>
      <c r="O582" s="140"/>
      <c r="P582" s="140"/>
      <c r="Q582" s="140"/>
      <c r="R582" s="140"/>
      <c r="S582" s="140"/>
      <c r="T582" s="140"/>
      <c r="U582" s="140"/>
      <c r="V582" s="140"/>
      <c r="W582" s="140"/>
      <c r="X582" s="140"/>
      <c r="Y582" s="140"/>
      <c r="Z582" s="140"/>
      <c r="AA582" s="140"/>
      <c r="AB582" s="140"/>
      <c r="AC582" s="140"/>
      <c r="AD582" s="140"/>
    </row>
    <row r="583" spans="1:30" ht="15.75" customHeight="1" x14ac:dyDescent="0.2">
      <c r="A583" s="140"/>
      <c r="B583" s="140"/>
      <c r="C583" s="140"/>
      <c r="D583" s="140"/>
      <c r="E583" s="140"/>
      <c r="F583" s="140"/>
      <c r="G583" s="140"/>
      <c r="H583" s="140"/>
      <c r="I583" s="140"/>
      <c r="J583" s="140"/>
      <c r="K583" s="140"/>
      <c r="L583" s="140"/>
      <c r="M583" s="140"/>
      <c r="N583" s="140"/>
      <c r="O583" s="140"/>
      <c r="P583" s="140"/>
      <c r="Q583" s="140"/>
      <c r="R583" s="140"/>
      <c r="S583" s="140"/>
      <c r="T583" s="140"/>
      <c r="U583" s="140"/>
      <c r="V583" s="140"/>
      <c r="W583" s="140"/>
      <c r="X583" s="140"/>
      <c r="Y583" s="140"/>
      <c r="Z583" s="140"/>
      <c r="AA583" s="140"/>
      <c r="AB583" s="140"/>
      <c r="AC583" s="140"/>
      <c r="AD583" s="140"/>
    </row>
    <row r="584" spans="1:30" ht="15.75" customHeight="1" x14ac:dyDescent="0.2">
      <c r="A584" s="140"/>
      <c r="B584" s="140"/>
      <c r="C584" s="140"/>
      <c r="D584" s="140"/>
      <c r="E584" s="140"/>
      <c r="F584" s="140"/>
      <c r="G584" s="140"/>
      <c r="H584" s="140"/>
      <c r="I584" s="140"/>
      <c r="J584" s="140"/>
      <c r="K584" s="140"/>
      <c r="L584" s="140"/>
      <c r="M584" s="140"/>
      <c r="N584" s="140"/>
      <c r="O584" s="140"/>
      <c r="P584" s="140"/>
      <c r="Q584" s="140"/>
      <c r="R584" s="140"/>
      <c r="S584" s="140"/>
      <c r="T584" s="140"/>
      <c r="U584" s="140"/>
      <c r="V584" s="140"/>
      <c r="W584" s="140"/>
      <c r="X584" s="140"/>
      <c r="Y584" s="140"/>
      <c r="Z584" s="140"/>
      <c r="AA584" s="140"/>
      <c r="AB584" s="140"/>
      <c r="AC584" s="140"/>
      <c r="AD584" s="140"/>
    </row>
    <row r="585" spans="1:30" ht="15.75" customHeight="1" x14ac:dyDescent="0.2">
      <c r="A585" s="140"/>
      <c r="B585" s="140"/>
      <c r="C585" s="140"/>
      <c r="D585" s="140"/>
      <c r="E585" s="140"/>
      <c r="F585" s="140"/>
      <c r="G585" s="140"/>
      <c r="H585" s="140"/>
      <c r="I585" s="140"/>
      <c r="J585" s="140"/>
      <c r="K585" s="140"/>
      <c r="L585" s="140"/>
      <c r="M585" s="140"/>
      <c r="N585" s="140"/>
      <c r="O585" s="140"/>
      <c r="P585" s="140"/>
      <c r="Q585" s="140"/>
      <c r="R585" s="140"/>
      <c r="S585" s="140"/>
      <c r="T585" s="140"/>
      <c r="U585" s="140"/>
      <c r="V585" s="140"/>
      <c r="W585" s="140"/>
      <c r="X585" s="140"/>
      <c r="Y585" s="140"/>
      <c r="Z585" s="140"/>
      <c r="AA585" s="140"/>
      <c r="AB585" s="140"/>
      <c r="AC585" s="140"/>
      <c r="AD585" s="140"/>
    </row>
    <row r="586" spans="1:30" ht="15.75" customHeight="1" x14ac:dyDescent="0.2">
      <c r="A586" s="140"/>
      <c r="B586" s="140"/>
      <c r="C586" s="140"/>
      <c r="D586" s="140"/>
      <c r="E586" s="140"/>
      <c r="F586" s="140"/>
      <c r="G586" s="140"/>
      <c r="H586" s="140"/>
      <c r="I586" s="140"/>
      <c r="J586" s="140"/>
      <c r="K586" s="140"/>
      <c r="L586" s="140"/>
      <c r="M586" s="140"/>
      <c r="N586" s="140"/>
      <c r="O586" s="140"/>
      <c r="P586" s="140"/>
      <c r="Q586" s="140"/>
      <c r="R586" s="140"/>
      <c r="S586" s="140"/>
      <c r="T586" s="140"/>
      <c r="U586" s="140"/>
      <c r="V586" s="140"/>
      <c r="W586" s="140"/>
      <c r="X586" s="140"/>
      <c r="Y586" s="140"/>
      <c r="Z586" s="140"/>
      <c r="AA586" s="140"/>
      <c r="AB586" s="140"/>
      <c r="AC586" s="140"/>
      <c r="AD586" s="140"/>
    </row>
    <row r="587" spans="1:30" ht="15.75" customHeight="1" x14ac:dyDescent="0.2">
      <c r="A587" s="140"/>
      <c r="B587" s="140"/>
      <c r="C587" s="140"/>
      <c r="D587" s="140"/>
      <c r="E587" s="140"/>
      <c r="F587" s="140"/>
      <c r="G587" s="140"/>
      <c r="H587" s="140"/>
      <c r="I587" s="140"/>
      <c r="J587" s="140"/>
      <c r="K587" s="140"/>
      <c r="L587" s="140"/>
      <c r="M587" s="140"/>
      <c r="N587" s="140"/>
      <c r="O587" s="140"/>
      <c r="P587" s="140"/>
      <c r="Q587" s="140"/>
      <c r="R587" s="140"/>
      <c r="S587" s="140"/>
      <c r="T587" s="140"/>
      <c r="U587" s="140"/>
      <c r="V587" s="140"/>
      <c r="W587" s="140"/>
      <c r="X587" s="140"/>
      <c r="Y587" s="140"/>
      <c r="Z587" s="140"/>
      <c r="AA587" s="140"/>
      <c r="AB587" s="140"/>
      <c r="AC587" s="140"/>
      <c r="AD587" s="140"/>
    </row>
    <row r="588" spans="1:30" ht="15.75" customHeight="1" x14ac:dyDescent="0.2">
      <c r="A588" s="140"/>
      <c r="B588" s="140"/>
      <c r="C588" s="140"/>
      <c r="D588" s="140"/>
      <c r="E588" s="140"/>
      <c r="F588" s="140"/>
      <c r="G588" s="140"/>
      <c r="H588" s="140"/>
      <c r="I588" s="140"/>
      <c r="J588" s="140"/>
      <c r="K588" s="140"/>
      <c r="L588" s="140"/>
      <c r="M588" s="140"/>
      <c r="N588" s="140"/>
      <c r="O588" s="140"/>
      <c r="P588" s="140"/>
      <c r="Q588" s="140"/>
      <c r="R588" s="140"/>
      <c r="S588" s="140"/>
      <c r="T588" s="140"/>
      <c r="U588" s="140"/>
      <c r="V588" s="140"/>
      <c r="W588" s="140"/>
      <c r="X588" s="140"/>
      <c r="Y588" s="140"/>
      <c r="Z588" s="140"/>
      <c r="AA588" s="140"/>
      <c r="AB588" s="140"/>
      <c r="AC588" s="140"/>
      <c r="AD588" s="140"/>
    </row>
    <row r="589" spans="1:30" ht="15.75" customHeight="1" x14ac:dyDescent="0.2">
      <c r="A589" s="140"/>
      <c r="B589" s="140"/>
      <c r="C589" s="140"/>
      <c r="D589" s="140"/>
      <c r="E589" s="140"/>
      <c r="F589" s="140"/>
      <c r="G589" s="140"/>
      <c r="H589" s="140"/>
      <c r="I589" s="140"/>
      <c r="J589" s="140"/>
      <c r="K589" s="140"/>
      <c r="L589" s="140"/>
      <c r="M589" s="140"/>
      <c r="N589" s="140"/>
      <c r="O589" s="140"/>
      <c r="P589" s="140"/>
      <c r="Q589" s="140"/>
      <c r="R589" s="140"/>
      <c r="S589" s="140"/>
      <c r="T589" s="140"/>
      <c r="U589" s="140"/>
      <c r="V589" s="140"/>
      <c r="W589" s="140"/>
      <c r="X589" s="140"/>
      <c r="Y589" s="140"/>
      <c r="Z589" s="140"/>
      <c r="AA589" s="140"/>
      <c r="AB589" s="140"/>
      <c r="AC589" s="140"/>
      <c r="AD589" s="140"/>
    </row>
    <row r="590" spans="1:30" ht="15.75" customHeight="1" x14ac:dyDescent="0.2">
      <c r="A590" s="140"/>
      <c r="B590" s="140"/>
      <c r="C590" s="140"/>
      <c r="D590" s="140"/>
      <c r="E590" s="140"/>
      <c r="F590" s="140"/>
      <c r="G590" s="140"/>
      <c r="H590" s="140"/>
      <c r="I590" s="140"/>
      <c r="J590" s="140"/>
      <c r="K590" s="140"/>
      <c r="L590" s="140"/>
      <c r="M590" s="140"/>
      <c r="N590" s="140"/>
      <c r="O590" s="140"/>
      <c r="P590" s="140"/>
      <c r="Q590" s="140"/>
      <c r="R590" s="140"/>
      <c r="S590" s="140"/>
      <c r="T590" s="140"/>
      <c r="U590" s="140"/>
      <c r="V590" s="140"/>
      <c r="W590" s="140"/>
      <c r="X590" s="140"/>
      <c r="Y590" s="140"/>
      <c r="Z590" s="140"/>
      <c r="AA590" s="140"/>
      <c r="AB590" s="140"/>
      <c r="AC590" s="140"/>
      <c r="AD590" s="140"/>
    </row>
    <row r="591" spans="1:30" ht="15.75" customHeight="1" x14ac:dyDescent="0.2">
      <c r="A591" s="140"/>
      <c r="B591" s="140"/>
      <c r="C591" s="140"/>
      <c r="D591" s="140"/>
      <c r="E591" s="140"/>
      <c r="F591" s="140"/>
      <c r="G591" s="140"/>
      <c r="H591" s="140"/>
      <c r="I591" s="140"/>
      <c r="J591" s="140"/>
      <c r="K591" s="140"/>
      <c r="L591" s="140"/>
      <c r="M591" s="140"/>
      <c r="N591" s="140"/>
      <c r="O591" s="140"/>
      <c r="P591" s="140"/>
      <c r="Q591" s="140"/>
      <c r="R591" s="140"/>
      <c r="S591" s="140"/>
      <c r="T591" s="140"/>
      <c r="U591" s="140"/>
      <c r="V591" s="140"/>
      <c r="W591" s="140"/>
      <c r="X591" s="140"/>
      <c r="Y591" s="140"/>
      <c r="Z591" s="140"/>
      <c r="AA591" s="140"/>
      <c r="AB591" s="140"/>
      <c r="AC591" s="140"/>
      <c r="AD591" s="140"/>
    </row>
    <row r="592" spans="1:30" ht="15.75" customHeight="1" x14ac:dyDescent="0.2">
      <c r="A592" s="140"/>
      <c r="B592" s="140"/>
      <c r="C592" s="140"/>
      <c r="D592" s="140"/>
      <c r="E592" s="140"/>
      <c r="F592" s="140"/>
      <c r="G592" s="140"/>
      <c r="H592" s="140"/>
      <c r="I592" s="140"/>
      <c r="J592" s="140"/>
      <c r="K592" s="140"/>
      <c r="L592" s="140"/>
      <c r="M592" s="140"/>
      <c r="N592" s="140"/>
      <c r="O592" s="140"/>
      <c r="P592" s="140"/>
      <c r="Q592" s="140"/>
      <c r="R592" s="140"/>
      <c r="S592" s="140"/>
      <c r="T592" s="140"/>
      <c r="U592" s="140"/>
      <c r="V592" s="140"/>
      <c r="W592" s="140"/>
      <c r="X592" s="140"/>
      <c r="Y592" s="140"/>
      <c r="Z592" s="140"/>
      <c r="AA592" s="140"/>
      <c r="AB592" s="140"/>
      <c r="AC592" s="140"/>
      <c r="AD592" s="140"/>
    </row>
    <row r="593" spans="1:30" ht="15.75" customHeight="1" x14ac:dyDescent="0.2">
      <c r="A593" s="140"/>
      <c r="B593" s="140"/>
      <c r="C593" s="140"/>
      <c r="D593" s="140"/>
      <c r="E593" s="140"/>
      <c r="F593" s="140"/>
      <c r="G593" s="140"/>
      <c r="H593" s="140"/>
      <c r="I593" s="140"/>
      <c r="J593" s="140"/>
      <c r="K593" s="140"/>
      <c r="L593" s="140"/>
      <c r="M593" s="140"/>
      <c r="N593" s="140"/>
      <c r="O593" s="140"/>
      <c r="P593" s="140"/>
      <c r="Q593" s="140"/>
      <c r="R593" s="140"/>
      <c r="S593" s="140"/>
      <c r="T593" s="140"/>
      <c r="U593" s="140"/>
      <c r="V593" s="140"/>
      <c r="W593" s="140"/>
      <c r="X593" s="140"/>
      <c r="Y593" s="140"/>
      <c r="Z593" s="140"/>
      <c r="AA593" s="140"/>
      <c r="AB593" s="140"/>
      <c r="AC593" s="140"/>
      <c r="AD593" s="140"/>
    </row>
    <row r="594" spans="1:30" ht="15.75" customHeight="1" x14ac:dyDescent="0.2">
      <c r="A594" s="140"/>
      <c r="B594" s="140"/>
      <c r="C594" s="140"/>
      <c r="D594" s="140"/>
      <c r="E594" s="140"/>
      <c r="F594" s="140"/>
      <c r="G594" s="140"/>
      <c r="H594" s="140"/>
      <c r="I594" s="140"/>
      <c r="J594" s="140"/>
      <c r="K594" s="140"/>
      <c r="L594" s="140"/>
      <c r="M594" s="140"/>
      <c r="N594" s="140"/>
      <c r="O594" s="140"/>
      <c r="P594" s="140"/>
      <c r="Q594" s="140"/>
      <c r="R594" s="140"/>
      <c r="S594" s="140"/>
      <c r="T594" s="140"/>
      <c r="U594" s="140"/>
      <c r="V594" s="140"/>
      <c r="W594" s="140"/>
      <c r="X594" s="140"/>
      <c r="Y594" s="140"/>
      <c r="Z594" s="140"/>
      <c r="AA594" s="140"/>
      <c r="AB594" s="140"/>
      <c r="AC594" s="140"/>
      <c r="AD594" s="140"/>
    </row>
    <row r="595" spans="1:30" ht="15.75" customHeight="1" x14ac:dyDescent="0.2">
      <c r="A595" s="140"/>
      <c r="B595" s="140"/>
      <c r="C595" s="140"/>
      <c r="D595" s="140"/>
      <c r="E595" s="140"/>
      <c r="F595" s="140"/>
      <c r="G595" s="140"/>
      <c r="H595" s="140"/>
      <c r="I595" s="140"/>
      <c r="J595" s="140"/>
      <c r="K595" s="140"/>
      <c r="L595" s="140"/>
      <c r="M595" s="140"/>
      <c r="N595" s="140"/>
      <c r="O595" s="140"/>
      <c r="P595" s="140"/>
      <c r="Q595" s="140"/>
      <c r="R595" s="140"/>
      <c r="S595" s="140"/>
      <c r="T595" s="140"/>
      <c r="U595" s="140"/>
      <c r="V595" s="140"/>
      <c r="W595" s="140"/>
      <c r="X595" s="140"/>
      <c r="Y595" s="140"/>
      <c r="Z595" s="140"/>
      <c r="AA595" s="140"/>
      <c r="AB595" s="140"/>
      <c r="AC595" s="140"/>
      <c r="AD595" s="140"/>
    </row>
    <row r="596" spans="1:30" ht="15.75" customHeight="1" x14ac:dyDescent="0.2">
      <c r="A596" s="140"/>
      <c r="B596" s="140"/>
      <c r="C596" s="140"/>
      <c r="D596" s="140"/>
      <c r="E596" s="140"/>
      <c r="F596" s="140"/>
      <c r="G596" s="140"/>
      <c r="H596" s="140"/>
      <c r="I596" s="140"/>
      <c r="J596" s="140"/>
      <c r="K596" s="140"/>
      <c r="L596" s="140"/>
      <c r="M596" s="140"/>
      <c r="N596" s="140"/>
      <c r="O596" s="140"/>
      <c r="P596" s="140"/>
      <c r="Q596" s="140"/>
      <c r="R596" s="140"/>
      <c r="S596" s="140"/>
      <c r="T596" s="140"/>
      <c r="U596" s="140"/>
      <c r="V596" s="140"/>
      <c r="W596" s="140"/>
      <c r="X596" s="140"/>
      <c r="Y596" s="140"/>
      <c r="Z596" s="140"/>
      <c r="AA596" s="140"/>
      <c r="AB596" s="140"/>
      <c r="AC596" s="140"/>
      <c r="AD596" s="140"/>
    </row>
    <row r="597" spans="1:30" ht="15.75" customHeight="1" x14ac:dyDescent="0.2">
      <c r="A597" s="140"/>
      <c r="B597" s="140"/>
      <c r="C597" s="140"/>
      <c r="D597" s="140"/>
      <c r="E597" s="140"/>
      <c r="F597" s="140"/>
      <c r="G597" s="140"/>
      <c r="H597" s="140"/>
      <c r="I597" s="140"/>
      <c r="J597" s="140"/>
      <c r="K597" s="140"/>
      <c r="L597" s="140"/>
      <c r="M597" s="140"/>
      <c r="N597" s="140"/>
      <c r="O597" s="140"/>
      <c r="P597" s="140"/>
      <c r="Q597" s="140"/>
      <c r="R597" s="140"/>
      <c r="S597" s="140"/>
      <c r="T597" s="140"/>
      <c r="U597" s="140"/>
      <c r="V597" s="140"/>
      <c r="W597" s="140"/>
      <c r="X597" s="140"/>
      <c r="Y597" s="140"/>
      <c r="Z597" s="140"/>
      <c r="AA597" s="140"/>
      <c r="AB597" s="140"/>
      <c r="AC597" s="140"/>
      <c r="AD597" s="140"/>
    </row>
    <row r="598" spans="1:30" ht="15.75" customHeight="1" x14ac:dyDescent="0.2">
      <c r="A598" s="140"/>
      <c r="B598" s="140"/>
      <c r="C598" s="140"/>
      <c r="D598" s="140"/>
      <c r="E598" s="140"/>
      <c r="F598" s="140"/>
      <c r="G598" s="140"/>
      <c r="H598" s="140"/>
      <c r="I598" s="140"/>
      <c r="J598" s="140"/>
      <c r="K598" s="140"/>
      <c r="L598" s="140"/>
      <c r="M598" s="140"/>
      <c r="N598" s="140"/>
      <c r="O598" s="140"/>
      <c r="P598" s="140"/>
      <c r="Q598" s="140"/>
      <c r="R598" s="140"/>
      <c r="S598" s="140"/>
      <c r="T598" s="140"/>
      <c r="U598" s="140"/>
      <c r="V598" s="140"/>
      <c r="W598" s="140"/>
      <c r="X598" s="140"/>
      <c r="Y598" s="140"/>
      <c r="Z598" s="140"/>
      <c r="AA598" s="140"/>
      <c r="AB598" s="140"/>
      <c r="AC598" s="140"/>
      <c r="AD598" s="140"/>
    </row>
    <row r="599" spans="1:30" ht="15.75" customHeight="1" x14ac:dyDescent="0.2">
      <c r="A599" s="140"/>
      <c r="B599" s="140"/>
      <c r="C599" s="140"/>
      <c r="D599" s="140"/>
      <c r="E599" s="140"/>
      <c r="F599" s="140"/>
      <c r="G599" s="140"/>
      <c r="H599" s="140"/>
      <c r="I599" s="140"/>
      <c r="J599" s="140"/>
      <c r="K599" s="140"/>
      <c r="L599" s="140"/>
      <c r="M599" s="140"/>
      <c r="N599" s="140"/>
      <c r="O599" s="140"/>
      <c r="P599" s="140"/>
      <c r="Q599" s="140"/>
      <c r="R599" s="140"/>
      <c r="S599" s="140"/>
      <c r="T599" s="140"/>
      <c r="U599" s="140"/>
      <c r="V599" s="140"/>
      <c r="W599" s="140"/>
      <c r="X599" s="140"/>
      <c r="Y599" s="140"/>
      <c r="Z599" s="140"/>
      <c r="AA599" s="140"/>
      <c r="AB599" s="140"/>
      <c r="AC599" s="140"/>
      <c r="AD599" s="140"/>
    </row>
    <row r="600" spans="1:30" ht="15.75" customHeight="1" x14ac:dyDescent="0.2">
      <c r="A600" s="140"/>
      <c r="B600" s="140"/>
      <c r="C600" s="140"/>
      <c r="D600" s="140"/>
      <c r="E600" s="140"/>
      <c r="F600" s="140"/>
      <c r="G600" s="140"/>
      <c r="H600" s="140"/>
      <c r="I600" s="140"/>
      <c r="J600" s="140"/>
      <c r="K600" s="140"/>
      <c r="L600" s="140"/>
      <c r="M600" s="140"/>
      <c r="N600" s="140"/>
      <c r="O600" s="140"/>
      <c r="P600" s="140"/>
      <c r="Q600" s="140"/>
      <c r="R600" s="140"/>
      <c r="S600" s="140"/>
      <c r="T600" s="140"/>
      <c r="U600" s="140"/>
      <c r="V600" s="140"/>
      <c r="W600" s="140"/>
      <c r="X600" s="140"/>
      <c r="Y600" s="140"/>
      <c r="Z600" s="140"/>
      <c r="AA600" s="140"/>
      <c r="AB600" s="140"/>
      <c r="AC600" s="140"/>
      <c r="AD600" s="140"/>
    </row>
    <row r="601" spans="1:30" ht="15.75" customHeight="1" x14ac:dyDescent="0.2">
      <c r="A601" s="140"/>
      <c r="B601" s="140"/>
      <c r="C601" s="140"/>
      <c r="D601" s="140"/>
      <c r="E601" s="140"/>
      <c r="F601" s="140"/>
      <c r="G601" s="140"/>
      <c r="H601" s="140"/>
      <c r="I601" s="140"/>
      <c r="J601" s="140"/>
      <c r="K601" s="140"/>
      <c r="L601" s="140"/>
      <c r="M601" s="140"/>
      <c r="N601" s="140"/>
      <c r="O601" s="140"/>
      <c r="P601" s="140"/>
      <c r="Q601" s="140"/>
      <c r="R601" s="140"/>
      <c r="S601" s="140"/>
      <c r="T601" s="140"/>
      <c r="U601" s="140"/>
      <c r="V601" s="140"/>
      <c r="W601" s="140"/>
      <c r="X601" s="140"/>
      <c r="Y601" s="140"/>
      <c r="Z601" s="140"/>
      <c r="AA601" s="140"/>
      <c r="AB601" s="140"/>
      <c r="AC601" s="140"/>
      <c r="AD601" s="140"/>
    </row>
    <row r="602" spans="1:30" ht="15.75" customHeight="1" x14ac:dyDescent="0.2">
      <c r="A602" s="140"/>
      <c r="B602" s="140"/>
      <c r="C602" s="140"/>
      <c r="D602" s="140"/>
      <c r="E602" s="140"/>
      <c r="F602" s="140"/>
      <c r="G602" s="140"/>
      <c r="H602" s="140"/>
      <c r="I602" s="140"/>
      <c r="J602" s="140"/>
      <c r="K602" s="140"/>
      <c r="L602" s="140"/>
      <c r="M602" s="140"/>
      <c r="N602" s="140"/>
      <c r="O602" s="140"/>
      <c r="P602" s="140"/>
      <c r="Q602" s="140"/>
      <c r="R602" s="140"/>
      <c r="S602" s="140"/>
      <c r="T602" s="140"/>
      <c r="U602" s="140"/>
      <c r="V602" s="140"/>
      <c r="W602" s="140"/>
      <c r="X602" s="140"/>
      <c r="Y602" s="140"/>
      <c r="Z602" s="140"/>
      <c r="AA602" s="140"/>
      <c r="AB602" s="140"/>
      <c r="AC602" s="140"/>
      <c r="AD602" s="140"/>
    </row>
    <row r="603" spans="1:30" ht="15.75" customHeight="1" x14ac:dyDescent="0.2">
      <c r="A603" s="140"/>
      <c r="B603" s="140"/>
      <c r="C603" s="140"/>
      <c r="D603" s="140"/>
      <c r="E603" s="140"/>
      <c r="F603" s="140"/>
      <c r="G603" s="140"/>
      <c r="H603" s="140"/>
      <c r="I603" s="140"/>
      <c r="J603" s="140"/>
      <c r="K603" s="140"/>
      <c r="L603" s="140"/>
      <c r="M603" s="140"/>
      <c r="N603" s="140"/>
      <c r="O603" s="140"/>
      <c r="P603" s="140"/>
      <c r="Q603" s="140"/>
      <c r="R603" s="140"/>
      <c r="S603" s="140"/>
      <c r="T603" s="140"/>
      <c r="U603" s="140"/>
      <c r="V603" s="140"/>
      <c r="W603" s="140"/>
      <c r="X603" s="140"/>
      <c r="Y603" s="140"/>
      <c r="Z603" s="140"/>
      <c r="AA603" s="140"/>
      <c r="AB603" s="140"/>
      <c r="AC603" s="140"/>
      <c r="AD603" s="140"/>
    </row>
    <row r="604" spans="1:30" ht="15.75" customHeight="1" x14ac:dyDescent="0.2">
      <c r="A604" s="140"/>
      <c r="B604" s="140"/>
      <c r="C604" s="140"/>
      <c r="D604" s="140"/>
      <c r="E604" s="140"/>
      <c r="F604" s="140"/>
      <c r="G604" s="140"/>
      <c r="H604" s="140"/>
      <c r="I604" s="140"/>
      <c r="J604" s="140"/>
      <c r="K604" s="140"/>
      <c r="L604" s="140"/>
      <c r="M604" s="140"/>
      <c r="N604" s="140"/>
      <c r="O604" s="140"/>
      <c r="P604" s="140"/>
      <c r="Q604" s="140"/>
      <c r="R604" s="140"/>
      <c r="S604" s="140"/>
      <c r="T604" s="140"/>
      <c r="U604" s="140"/>
      <c r="V604" s="140"/>
      <c r="W604" s="140"/>
      <c r="X604" s="140"/>
      <c r="Y604" s="140"/>
      <c r="Z604" s="140"/>
      <c r="AA604" s="140"/>
      <c r="AB604" s="140"/>
      <c r="AC604" s="140"/>
      <c r="AD604" s="140"/>
    </row>
    <row r="605" spans="1:30" ht="15.75" customHeight="1" x14ac:dyDescent="0.2">
      <c r="A605" s="140"/>
      <c r="B605" s="140"/>
      <c r="C605" s="140"/>
      <c r="D605" s="140"/>
      <c r="E605" s="140"/>
      <c r="F605" s="140"/>
      <c r="G605" s="140"/>
      <c r="H605" s="140"/>
      <c r="I605" s="140"/>
      <c r="J605" s="140"/>
      <c r="K605" s="140"/>
      <c r="L605" s="140"/>
      <c r="M605" s="140"/>
      <c r="N605" s="140"/>
      <c r="O605" s="140"/>
      <c r="P605" s="140"/>
      <c r="Q605" s="140"/>
      <c r="R605" s="140"/>
      <c r="S605" s="140"/>
      <c r="T605" s="140"/>
      <c r="U605" s="140"/>
      <c r="V605" s="140"/>
      <c r="W605" s="140"/>
      <c r="X605" s="140"/>
      <c r="Y605" s="140"/>
      <c r="Z605" s="140"/>
      <c r="AA605" s="140"/>
      <c r="AB605" s="140"/>
      <c r="AC605" s="140"/>
      <c r="AD605" s="140"/>
    </row>
    <row r="606" spans="1:30" ht="15.75" customHeight="1" x14ac:dyDescent="0.2">
      <c r="A606" s="140"/>
      <c r="B606" s="140"/>
      <c r="C606" s="140"/>
      <c r="D606" s="140"/>
      <c r="E606" s="140"/>
      <c r="F606" s="140"/>
      <c r="G606" s="140"/>
      <c r="H606" s="140"/>
      <c r="I606" s="140"/>
      <c r="J606" s="140"/>
      <c r="K606" s="140"/>
      <c r="L606" s="140"/>
      <c r="M606" s="140"/>
      <c r="N606" s="140"/>
      <c r="O606" s="140"/>
      <c r="P606" s="140"/>
      <c r="Q606" s="140"/>
      <c r="R606" s="140"/>
      <c r="S606" s="140"/>
      <c r="T606" s="140"/>
      <c r="U606" s="140"/>
      <c r="V606" s="140"/>
      <c r="W606" s="140"/>
      <c r="X606" s="140"/>
      <c r="Y606" s="140"/>
      <c r="Z606" s="140"/>
      <c r="AA606" s="140"/>
      <c r="AB606" s="140"/>
      <c r="AC606" s="140"/>
      <c r="AD606" s="140"/>
    </row>
    <row r="607" spans="1:30" ht="15.75" customHeight="1" x14ac:dyDescent="0.2">
      <c r="A607" s="140"/>
      <c r="B607" s="140"/>
      <c r="C607" s="140"/>
      <c r="D607" s="140"/>
      <c r="E607" s="140"/>
      <c r="F607" s="140"/>
      <c r="G607" s="140"/>
      <c r="H607" s="140"/>
      <c r="I607" s="140"/>
      <c r="J607" s="140"/>
      <c r="K607" s="140"/>
      <c r="L607" s="140"/>
      <c r="M607" s="140"/>
      <c r="N607" s="140"/>
      <c r="O607" s="140"/>
      <c r="P607" s="140"/>
      <c r="Q607" s="140"/>
      <c r="R607" s="140"/>
      <c r="S607" s="140"/>
      <c r="T607" s="140"/>
      <c r="U607" s="140"/>
      <c r="V607" s="140"/>
      <c r="W607" s="140"/>
      <c r="X607" s="140"/>
      <c r="Y607" s="140"/>
      <c r="Z607" s="140"/>
      <c r="AA607" s="140"/>
      <c r="AB607" s="140"/>
      <c r="AC607" s="140"/>
      <c r="AD607" s="140"/>
    </row>
    <row r="608" spans="1:30" ht="15.75" customHeight="1" x14ac:dyDescent="0.2">
      <c r="A608" s="140"/>
      <c r="B608" s="140"/>
      <c r="C608" s="140"/>
      <c r="D608" s="140"/>
      <c r="E608" s="140"/>
      <c r="F608" s="140"/>
      <c r="G608" s="140"/>
      <c r="H608" s="140"/>
      <c r="I608" s="140"/>
      <c r="J608" s="140"/>
      <c r="K608" s="140"/>
      <c r="L608" s="140"/>
      <c r="M608" s="140"/>
      <c r="N608" s="140"/>
      <c r="O608" s="140"/>
      <c r="P608" s="140"/>
      <c r="Q608" s="140"/>
      <c r="R608" s="140"/>
      <c r="S608" s="140"/>
      <c r="T608" s="140"/>
      <c r="U608" s="140"/>
      <c r="V608" s="140"/>
      <c r="W608" s="140"/>
      <c r="X608" s="140"/>
      <c r="Y608" s="140"/>
      <c r="Z608" s="140"/>
      <c r="AA608" s="140"/>
      <c r="AB608" s="140"/>
      <c r="AC608" s="140"/>
      <c r="AD608" s="140"/>
    </row>
    <row r="609" spans="1:30" ht="15.75" customHeight="1" x14ac:dyDescent="0.2">
      <c r="A609" s="140"/>
      <c r="B609" s="140"/>
      <c r="C609" s="140"/>
      <c r="D609" s="140"/>
      <c r="E609" s="140"/>
      <c r="F609" s="140"/>
      <c r="G609" s="140"/>
      <c r="H609" s="140"/>
      <c r="I609" s="140"/>
      <c r="J609" s="140"/>
      <c r="K609" s="140"/>
      <c r="L609" s="140"/>
      <c r="M609" s="140"/>
      <c r="N609" s="140"/>
      <c r="O609" s="140"/>
      <c r="P609" s="140"/>
      <c r="Q609" s="140"/>
      <c r="R609" s="140"/>
      <c r="S609" s="140"/>
      <c r="T609" s="140"/>
      <c r="U609" s="140"/>
      <c r="V609" s="140"/>
      <c r="W609" s="140"/>
      <c r="X609" s="140"/>
      <c r="Y609" s="140"/>
      <c r="Z609" s="140"/>
      <c r="AA609" s="140"/>
      <c r="AB609" s="140"/>
      <c r="AC609" s="140"/>
      <c r="AD609" s="140"/>
    </row>
    <row r="610" spans="1:30" ht="15.75" customHeight="1" x14ac:dyDescent="0.2">
      <c r="A610" s="140"/>
      <c r="B610" s="140"/>
      <c r="C610" s="140"/>
      <c r="D610" s="140"/>
      <c r="E610" s="140"/>
      <c r="F610" s="140"/>
      <c r="G610" s="140"/>
      <c r="H610" s="140"/>
      <c r="I610" s="140"/>
      <c r="J610" s="140"/>
      <c r="K610" s="140"/>
      <c r="L610" s="140"/>
      <c r="M610" s="140"/>
      <c r="N610" s="140"/>
      <c r="O610" s="140"/>
      <c r="P610" s="140"/>
      <c r="Q610" s="140"/>
      <c r="R610" s="140"/>
      <c r="S610" s="140"/>
      <c r="T610" s="140"/>
      <c r="U610" s="140"/>
      <c r="V610" s="140"/>
      <c r="W610" s="140"/>
      <c r="X610" s="140"/>
      <c r="Y610" s="140"/>
      <c r="Z610" s="140"/>
      <c r="AA610" s="140"/>
      <c r="AB610" s="140"/>
      <c r="AC610" s="140"/>
      <c r="AD610" s="140"/>
    </row>
    <row r="611" spans="1:30" ht="15.75" customHeight="1" x14ac:dyDescent="0.2">
      <c r="A611" s="140"/>
      <c r="B611" s="140"/>
      <c r="C611" s="140"/>
      <c r="D611" s="140"/>
      <c r="E611" s="140"/>
      <c r="F611" s="140"/>
      <c r="G611" s="140"/>
      <c r="H611" s="140"/>
      <c r="I611" s="140"/>
      <c r="J611" s="140"/>
      <c r="K611" s="140"/>
      <c r="L611" s="140"/>
      <c r="M611" s="140"/>
      <c r="N611" s="140"/>
      <c r="O611" s="140"/>
      <c r="P611" s="140"/>
      <c r="Q611" s="140"/>
      <c r="R611" s="140"/>
      <c r="S611" s="140"/>
      <c r="T611" s="140"/>
      <c r="U611" s="140"/>
      <c r="V611" s="140"/>
      <c r="W611" s="140"/>
      <c r="X611" s="140"/>
      <c r="Y611" s="140"/>
      <c r="Z611" s="140"/>
      <c r="AA611" s="140"/>
      <c r="AB611" s="140"/>
      <c r="AC611" s="140"/>
      <c r="AD611" s="140"/>
    </row>
    <row r="612" spans="1:30" ht="15.75" customHeight="1" x14ac:dyDescent="0.2">
      <c r="A612" s="140"/>
      <c r="B612" s="140"/>
      <c r="C612" s="140"/>
      <c r="D612" s="140"/>
      <c r="E612" s="140"/>
      <c r="F612" s="140"/>
      <c r="G612" s="140"/>
      <c r="H612" s="140"/>
      <c r="I612" s="140"/>
      <c r="J612" s="140"/>
      <c r="K612" s="140"/>
      <c r="L612" s="140"/>
      <c r="M612" s="140"/>
      <c r="N612" s="140"/>
      <c r="O612" s="140"/>
      <c r="P612" s="140"/>
      <c r="Q612" s="140"/>
      <c r="R612" s="140"/>
      <c r="S612" s="140"/>
      <c r="T612" s="140"/>
      <c r="U612" s="140"/>
      <c r="V612" s="140"/>
      <c r="W612" s="140"/>
      <c r="X612" s="140"/>
      <c r="Y612" s="140"/>
      <c r="Z612" s="140"/>
      <c r="AA612" s="140"/>
      <c r="AB612" s="140"/>
      <c r="AC612" s="140"/>
      <c r="AD612" s="140"/>
    </row>
    <row r="613" spans="1:30" ht="15.75" customHeight="1" x14ac:dyDescent="0.2">
      <c r="A613" s="140"/>
      <c r="B613" s="140"/>
      <c r="C613" s="140"/>
      <c r="D613" s="140"/>
      <c r="E613" s="140"/>
      <c r="F613" s="140"/>
      <c r="G613" s="140"/>
      <c r="H613" s="140"/>
      <c r="I613" s="140"/>
      <c r="J613" s="140"/>
      <c r="K613" s="140"/>
      <c r="L613" s="140"/>
      <c r="M613" s="140"/>
      <c r="N613" s="140"/>
      <c r="O613" s="140"/>
      <c r="P613" s="140"/>
      <c r="Q613" s="140"/>
      <c r="R613" s="140"/>
      <c r="S613" s="140"/>
      <c r="T613" s="140"/>
      <c r="U613" s="140"/>
      <c r="V613" s="140"/>
      <c r="W613" s="140"/>
      <c r="X613" s="140"/>
      <c r="Y613" s="140"/>
      <c r="Z613" s="140"/>
      <c r="AA613" s="140"/>
      <c r="AB613" s="140"/>
      <c r="AC613" s="140"/>
      <c r="AD613" s="140"/>
    </row>
    <row r="614" spans="1:30" ht="15.75" customHeight="1" x14ac:dyDescent="0.2">
      <c r="A614" s="140"/>
      <c r="B614" s="140"/>
      <c r="C614" s="140"/>
      <c r="D614" s="140"/>
      <c r="E614" s="140"/>
      <c r="F614" s="140"/>
      <c r="G614" s="140"/>
      <c r="H614" s="140"/>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row>
    <row r="615" spans="1:30" ht="15.75" customHeight="1" x14ac:dyDescent="0.2">
      <c r="A615" s="140"/>
      <c r="B615" s="140"/>
      <c r="C615" s="140"/>
      <c r="D615" s="140"/>
      <c r="E615" s="140"/>
      <c r="F615" s="140"/>
      <c r="G615" s="140"/>
      <c r="H615" s="140"/>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row>
    <row r="616" spans="1:30" ht="15.75" customHeight="1" x14ac:dyDescent="0.2">
      <c r="A616" s="140"/>
      <c r="B616" s="140"/>
      <c r="C616" s="140"/>
      <c r="D616" s="140"/>
      <c r="E616" s="140"/>
      <c r="F616" s="140"/>
      <c r="G616" s="140"/>
      <c r="H616" s="140"/>
      <c r="I616" s="140"/>
      <c r="J616" s="140"/>
      <c r="K616" s="140"/>
      <c r="L616" s="140"/>
      <c r="M616" s="140"/>
      <c r="N616" s="140"/>
      <c r="O616" s="140"/>
      <c r="P616" s="140"/>
      <c r="Q616" s="140"/>
      <c r="R616" s="140"/>
      <c r="S616" s="140"/>
      <c r="T616" s="140"/>
      <c r="U616" s="140"/>
      <c r="V616" s="140"/>
      <c r="W616" s="140"/>
      <c r="X616" s="140"/>
      <c r="Y616" s="140"/>
      <c r="Z616" s="140"/>
      <c r="AA616" s="140"/>
      <c r="AB616" s="140"/>
      <c r="AC616" s="140"/>
      <c r="AD616" s="140"/>
    </row>
    <row r="617" spans="1:30" ht="15.75" customHeight="1" x14ac:dyDescent="0.2">
      <c r="A617" s="140"/>
      <c r="B617" s="140"/>
      <c r="C617" s="140"/>
      <c r="D617" s="140"/>
      <c r="E617" s="140"/>
      <c r="F617" s="140"/>
      <c r="G617" s="140"/>
      <c r="H617" s="140"/>
      <c r="I617" s="140"/>
      <c r="J617" s="140"/>
      <c r="K617" s="140"/>
      <c r="L617" s="140"/>
      <c r="M617" s="140"/>
      <c r="N617" s="140"/>
      <c r="O617" s="140"/>
      <c r="P617" s="140"/>
      <c r="Q617" s="140"/>
      <c r="R617" s="140"/>
      <c r="S617" s="140"/>
      <c r="T617" s="140"/>
      <c r="U617" s="140"/>
      <c r="V617" s="140"/>
      <c r="W617" s="140"/>
      <c r="X617" s="140"/>
      <c r="Y617" s="140"/>
      <c r="Z617" s="140"/>
      <c r="AA617" s="140"/>
      <c r="AB617" s="140"/>
      <c r="AC617" s="140"/>
      <c r="AD617" s="140"/>
    </row>
    <row r="618" spans="1:30" ht="15.75" customHeight="1" x14ac:dyDescent="0.2">
      <c r="A618" s="140"/>
      <c r="B618" s="140"/>
      <c r="C618" s="140"/>
      <c r="D618" s="140"/>
      <c r="E618" s="140"/>
      <c r="F618" s="140"/>
      <c r="G618" s="140"/>
      <c r="H618" s="140"/>
      <c r="I618" s="140"/>
      <c r="J618" s="140"/>
      <c r="K618" s="140"/>
      <c r="L618" s="140"/>
      <c r="M618" s="140"/>
      <c r="N618" s="140"/>
      <c r="O618" s="140"/>
      <c r="P618" s="140"/>
      <c r="Q618" s="140"/>
      <c r="R618" s="140"/>
      <c r="S618" s="140"/>
      <c r="T618" s="140"/>
      <c r="U618" s="140"/>
      <c r="V618" s="140"/>
      <c r="W618" s="140"/>
      <c r="X618" s="140"/>
      <c r="Y618" s="140"/>
      <c r="Z618" s="140"/>
      <c r="AA618" s="140"/>
      <c r="AB618" s="140"/>
      <c r="AC618" s="140"/>
      <c r="AD618" s="140"/>
    </row>
    <row r="619" spans="1:30" ht="15.75" customHeight="1" x14ac:dyDescent="0.2">
      <c r="A619" s="140"/>
      <c r="B619" s="140"/>
      <c r="C619" s="140"/>
      <c r="D619" s="140"/>
      <c r="E619" s="140"/>
      <c r="F619" s="140"/>
      <c r="G619" s="140"/>
      <c r="H619" s="140"/>
      <c r="I619" s="140"/>
      <c r="J619" s="140"/>
      <c r="K619" s="140"/>
      <c r="L619" s="140"/>
      <c r="M619" s="140"/>
      <c r="N619" s="140"/>
      <c r="O619" s="140"/>
      <c r="P619" s="140"/>
      <c r="Q619" s="140"/>
      <c r="R619" s="140"/>
      <c r="S619" s="140"/>
      <c r="T619" s="140"/>
      <c r="U619" s="140"/>
      <c r="V619" s="140"/>
      <c r="W619" s="140"/>
      <c r="X619" s="140"/>
      <c r="Y619" s="140"/>
      <c r="Z619" s="140"/>
      <c r="AA619" s="140"/>
      <c r="AB619" s="140"/>
      <c r="AC619" s="140"/>
      <c r="AD619" s="140"/>
    </row>
    <row r="620" spans="1:30" ht="15.75" customHeight="1" x14ac:dyDescent="0.2">
      <c r="A620" s="140"/>
      <c r="B620" s="140"/>
      <c r="C620" s="140"/>
      <c r="D620" s="140"/>
      <c r="E620" s="140"/>
      <c r="F620" s="140"/>
      <c r="G620" s="140"/>
      <c r="H620" s="140"/>
      <c r="I620" s="140"/>
      <c r="J620" s="140"/>
      <c r="K620" s="140"/>
      <c r="L620" s="140"/>
      <c r="M620" s="140"/>
      <c r="N620" s="140"/>
      <c r="O620" s="140"/>
      <c r="P620" s="140"/>
      <c r="Q620" s="140"/>
      <c r="R620" s="140"/>
      <c r="S620" s="140"/>
      <c r="T620" s="140"/>
      <c r="U620" s="140"/>
      <c r="V620" s="140"/>
      <c r="W620" s="140"/>
      <c r="X620" s="140"/>
      <c r="Y620" s="140"/>
      <c r="Z620" s="140"/>
      <c r="AA620" s="140"/>
      <c r="AB620" s="140"/>
      <c r="AC620" s="140"/>
      <c r="AD620" s="140"/>
    </row>
    <row r="621" spans="1:30" ht="15.75" customHeight="1" x14ac:dyDescent="0.2">
      <c r="A621" s="140"/>
      <c r="B621" s="140"/>
      <c r="C621" s="140"/>
      <c r="D621" s="140"/>
      <c r="E621" s="140"/>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c r="AC621" s="140"/>
      <c r="AD621" s="140"/>
    </row>
    <row r="622" spans="1:30" ht="15.75" customHeight="1" x14ac:dyDescent="0.2">
      <c r="A622" s="140"/>
      <c r="B622" s="140"/>
      <c r="C622" s="140"/>
      <c r="D622" s="140"/>
      <c r="E622" s="140"/>
      <c r="F622" s="140"/>
      <c r="G622" s="140"/>
      <c r="H622" s="140"/>
      <c r="I622" s="140"/>
      <c r="J622" s="140"/>
      <c r="K622" s="140"/>
      <c r="L622" s="140"/>
      <c r="M622" s="140"/>
      <c r="N622" s="140"/>
      <c r="O622" s="140"/>
      <c r="P622" s="140"/>
      <c r="Q622" s="140"/>
      <c r="R622" s="140"/>
      <c r="S622" s="140"/>
      <c r="T622" s="140"/>
      <c r="U622" s="140"/>
      <c r="V622" s="140"/>
      <c r="W622" s="140"/>
      <c r="X622" s="140"/>
      <c r="Y622" s="140"/>
      <c r="Z622" s="140"/>
      <c r="AA622" s="140"/>
      <c r="AB622" s="140"/>
      <c r="AC622" s="140"/>
      <c r="AD622" s="140"/>
    </row>
    <row r="623" spans="1:30" ht="15.75" customHeight="1" x14ac:dyDescent="0.2">
      <c r="A623" s="140"/>
      <c r="B623" s="140"/>
      <c r="C623" s="140"/>
      <c r="D623" s="140"/>
      <c r="E623" s="140"/>
      <c r="F623" s="140"/>
      <c r="G623" s="140"/>
      <c r="H623" s="140"/>
      <c r="I623" s="140"/>
      <c r="J623" s="140"/>
      <c r="K623" s="140"/>
      <c r="L623" s="140"/>
      <c r="M623" s="140"/>
      <c r="N623" s="140"/>
      <c r="O623" s="140"/>
      <c r="P623" s="140"/>
      <c r="Q623" s="140"/>
      <c r="R623" s="140"/>
      <c r="S623" s="140"/>
      <c r="T623" s="140"/>
      <c r="U623" s="140"/>
      <c r="V623" s="140"/>
      <c r="W623" s="140"/>
      <c r="X623" s="140"/>
      <c r="Y623" s="140"/>
      <c r="Z623" s="140"/>
      <c r="AA623" s="140"/>
      <c r="AB623" s="140"/>
      <c r="AC623" s="140"/>
      <c r="AD623" s="140"/>
    </row>
    <row r="624" spans="1:30" ht="15.75" customHeight="1" x14ac:dyDescent="0.2">
      <c r="A624" s="140"/>
      <c r="B624" s="140"/>
      <c r="C624" s="140"/>
      <c r="D624" s="140"/>
      <c r="E624" s="140"/>
      <c r="F624" s="140"/>
      <c r="G624" s="140"/>
      <c r="H624" s="140"/>
      <c r="I624" s="140"/>
      <c r="J624" s="140"/>
      <c r="K624" s="140"/>
      <c r="L624" s="140"/>
      <c r="M624" s="140"/>
      <c r="N624" s="140"/>
      <c r="O624" s="140"/>
      <c r="P624" s="140"/>
      <c r="Q624" s="140"/>
      <c r="R624" s="140"/>
      <c r="S624" s="140"/>
      <c r="T624" s="140"/>
      <c r="U624" s="140"/>
      <c r="V624" s="140"/>
      <c r="W624" s="140"/>
      <c r="X624" s="140"/>
      <c r="Y624" s="140"/>
      <c r="Z624" s="140"/>
      <c r="AA624" s="140"/>
      <c r="AB624" s="140"/>
      <c r="AC624" s="140"/>
      <c r="AD624" s="140"/>
    </row>
    <row r="625" spans="1:30" ht="15.75" customHeight="1" x14ac:dyDescent="0.2">
      <c r="A625" s="140"/>
      <c r="B625" s="140"/>
      <c r="C625" s="140"/>
      <c r="D625" s="140"/>
      <c r="E625" s="140"/>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140"/>
      <c r="AD625" s="140"/>
    </row>
    <row r="626" spans="1:30" ht="15.75" customHeight="1" x14ac:dyDescent="0.2">
      <c r="A626" s="140"/>
      <c r="B626" s="140"/>
      <c r="C626" s="140"/>
      <c r="D626" s="140"/>
      <c r="E626" s="140"/>
      <c r="F626" s="140"/>
      <c r="G626" s="140"/>
      <c r="H626" s="140"/>
      <c r="I626" s="140"/>
      <c r="J626" s="140"/>
      <c r="K626" s="140"/>
      <c r="L626" s="140"/>
      <c r="M626" s="140"/>
      <c r="N626" s="140"/>
      <c r="O626" s="140"/>
      <c r="P626" s="140"/>
      <c r="Q626" s="140"/>
      <c r="R626" s="140"/>
      <c r="S626" s="140"/>
      <c r="T626" s="140"/>
      <c r="U626" s="140"/>
      <c r="V626" s="140"/>
      <c r="W626" s="140"/>
      <c r="X626" s="140"/>
      <c r="Y626" s="140"/>
      <c r="Z626" s="140"/>
      <c r="AA626" s="140"/>
      <c r="AB626" s="140"/>
      <c r="AC626" s="140"/>
      <c r="AD626" s="140"/>
    </row>
    <row r="627" spans="1:30" ht="15.75" customHeight="1" x14ac:dyDescent="0.2">
      <c r="A627" s="140"/>
      <c r="B627" s="140"/>
      <c r="C627" s="140"/>
      <c r="D627" s="140"/>
      <c r="E627" s="140"/>
      <c r="F627" s="140"/>
      <c r="G627" s="140"/>
      <c r="H627" s="140"/>
      <c r="I627" s="140"/>
      <c r="J627" s="140"/>
      <c r="K627" s="140"/>
      <c r="L627" s="140"/>
      <c r="M627" s="140"/>
      <c r="N627" s="140"/>
      <c r="O627" s="140"/>
      <c r="P627" s="140"/>
      <c r="Q627" s="140"/>
      <c r="R627" s="140"/>
      <c r="S627" s="140"/>
      <c r="T627" s="140"/>
      <c r="U627" s="140"/>
      <c r="V627" s="140"/>
      <c r="W627" s="140"/>
      <c r="X627" s="140"/>
      <c r="Y627" s="140"/>
      <c r="Z627" s="140"/>
      <c r="AA627" s="140"/>
      <c r="AB627" s="140"/>
      <c r="AC627" s="140"/>
      <c r="AD627" s="140"/>
    </row>
    <row r="628" spans="1:30" ht="15.75" customHeight="1" x14ac:dyDescent="0.2">
      <c r="A628" s="140"/>
      <c r="B628" s="140"/>
      <c r="C628" s="140"/>
      <c r="D628" s="140"/>
      <c r="E628" s="140"/>
      <c r="F628" s="140"/>
      <c r="G628" s="140"/>
      <c r="H628" s="140"/>
      <c r="I628" s="140"/>
      <c r="J628" s="140"/>
      <c r="K628" s="140"/>
      <c r="L628" s="140"/>
      <c r="M628" s="140"/>
      <c r="N628" s="140"/>
      <c r="O628" s="140"/>
      <c r="P628" s="140"/>
      <c r="Q628" s="140"/>
      <c r="R628" s="140"/>
      <c r="S628" s="140"/>
      <c r="T628" s="140"/>
      <c r="U628" s="140"/>
      <c r="V628" s="140"/>
      <c r="W628" s="140"/>
      <c r="X628" s="140"/>
      <c r="Y628" s="140"/>
      <c r="Z628" s="140"/>
      <c r="AA628" s="140"/>
      <c r="AB628" s="140"/>
      <c r="AC628" s="140"/>
      <c r="AD628" s="140"/>
    </row>
    <row r="629" spans="1:30" ht="15.75" customHeight="1" x14ac:dyDescent="0.2">
      <c r="A629" s="140"/>
      <c r="B629" s="140"/>
      <c r="C629" s="140"/>
      <c r="D629" s="140"/>
      <c r="E629" s="140"/>
      <c r="F629" s="140"/>
      <c r="G629" s="140"/>
      <c r="H629" s="140"/>
      <c r="I629" s="140"/>
      <c r="J629" s="140"/>
      <c r="K629" s="140"/>
      <c r="L629" s="140"/>
      <c r="M629" s="140"/>
      <c r="N629" s="140"/>
      <c r="O629" s="140"/>
      <c r="P629" s="140"/>
      <c r="Q629" s="140"/>
      <c r="R629" s="140"/>
      <c r="S629" s="140"/>
      <c r="T629" s="140"/>
      <c r="U629" s="140"/>
      <c r="V629" s="140"/>
      <c r="W629" s="140"/>
      <c r="X629" s="140"/>
      <c r="Y629" s="140"/>
      <c r="Z629" s="140"/>
      <c r="AA629" s="140"/>
      <c r="AB629" s="140"/>
      <c r="AC629" s="140"/>
      <c r="AD629" s="140"/>
    </row>
    <row r="630" spans="1:30" ht="15.75" customHeight="1" x14ac:dyDescent="0.2">
      <c r="A630" s="140"/>
      <c r="B630" s="140"/>
      <c r="C630" s="140"/>
      <c r="D630" s="140"/>
      <c r="E630" s="140"/>
      <c r="F630" s="140"/>
      <c r="G630" s="140"/>
      <c r="H630" s="140"/>
      <c r="I630" s="140"/>
      <c r="J630" s="140"/>
      <c r="K630" s="140"/>
      <c r="L630" s="140"/>
      <c r="M630" s="140"/>
      <c r="N630" s="140"/>
      <c r="O630" s="140"/>
      <c r="P630" s="140"/>
      <c r="Q630" s="140"/>
      <c r="R630" s="140"/>
      <c r="S630" s="140"/>
      <c r="T630" s="140"/>
      <c r="U630" s="140"/>
      <c r="V630" s="140"/>
      <c r="W630" s="140"/>
      <c r="X630" s="140"/>
      <c r="Y630" s="140"/>
      <c r="Z630" s="140"/>
      <c r="AA630" s="140"/>
      <c r="AB630" s="140"/>
      <c r="AC630" s="140"/>
      <c r="AD630" s="140"/>
    </row>
    <row r="631" spans="1:30" ht="15.75" customHeight="1" x14ac:dyDescent="0.2">
      <c r="A631" s="140"/>
      <c r="B631" s="140"/>
      <c r="C631" s="140"/>
      <c r="D631" s="140"/>
      <c r="E631" s="140"/>
      <c r="F631" s="140"/>
      <c r="G631" s="140"/>
      <c r="H631" s="140"/>
      <c r="I631" s="140"/>
      <c r="J631" s="140"/>
      <c r="K631" s="140"/>
      <c r="L631" s="140"/>
      <c r="M631" s="140"/>
      <c r="N631" s="140"/>
      <c r="O631" s="140"/>
      <c r="P631" s="140"/>
      <c r="Q631" s="140"/>
      <c r="R631" s="140"/>
      <c r="S631" s="140"/>
      <c r="T631" s="140"/>
      <c r="U631" s="140"/>
      <c r="V631" s="140"/>
      <c r="W631" s="140"/>
      <c r="X631" s="140"/>
      <c r="Y631" s="140"/>
      <c r="Z631" s="140"/>
      <c r="AA631" s="140"/>
      <c r="AB631" s="140"/>
      <c r="AC631" s="140"/>
      <c r="AD631" s="140"/>
    </row>
    <row r="632" spans="1:30" ht="15.75" customHeight="1" x14ac:dyDescent="0.2">
      <c r="A632" s="140"/>
      <c r="B632" s="140"/>
      <c r="C632" s="140"/>
      <c r="D632" s="140"/>
      <c r="E632" s="140"/>
      <c r="F632" s="140"/>
      <c r="G632" s="140"/>
      <c r="H632" s="140"/>
      <c r="I632" s="140"/>
      <c r="J632" s="140"/>
      <c r="K632" s="140"/>
      <c r="L632" s="140"/>
      <c r="M632" s="140"/>
      <c r="N632" s="140"/>
      <c r="O632" s="140"/>
      <c r="P632" s="140"/>
      <c r="Q632" s="140"/>
      <c r="R632" s="140"/>
      <c r="S632" s="140"/>
      <c r="T632" s="140"/>
      <c r="U632" s="140"/>
      <c r="V632" s="140"/>
      <c r="W632" s="140"/>
      <c r="X632" s="140"/>
      <c r="Y632" s="140"/>
      <c r="Z632" s="140"/>
      <c r="AA632" s="140"/>
      <c r="AB632" s="140"/>
      <c r="AC632" s="140"/>
      <c r="AD632" s="140"/>
    </row>
    <row r="633" spans="1:30" ht="15.75" customHeight="1" x14ac:dyDescent="0.2">
      <c r="A633" s="140"/>
      <c r="B633" s="140"/>
      <c r="C633" s="140"/>
      <c r="D633" s="140"/>
      <c r="E633" s="140"/>
      <c r="F633" s="140"/>
      <c r="G633" s="140"/>
      <c r="H633" s="140"/>
      <c r="I633" s="140"/>
      <c r="J633" s="140"/>
      <c r="K633" s="140"/>
      <c r="L633" s="140"/>
      <c r="M633" s="140"/>
      <c r="N633" s="140"/>
      <c r="O633" s="140"/>
      <c r="P633" s="140"/>
      <c r="Q633" s="140"/>
      <c r="R633" s="140"/>
      <c r="S633" s="140"/>
      <c r="T633" s="140"/>
      <c r="U633" s="140"/>
      <c r="V633" s="140"/>
      <c r="W633" s="140"/>
      <c r="X633" s="140"/>
      <c r="Y633" s="140"/>
      <c r="Z633" s="140"/>
      <c r="AA633" s="140"/>
      <c r="AB633" s="140"/>
      <c r="AC633" s="140"/>
      <c r="AD633" s="140"/>
    </row>
    <row r="634" spans="1:30" ht="15.75" customHeight="1" x14ac:dyDescent="0.2">
      <c r="A634" s="140"/>
      <c r="B634" s="140"/>
      <c r="C634" s="140"/>
      <c r="D634" s="140"/>
      <c r="E634" s="140"/>
      <c r="F634" s="140"/>
      <c r="G634" s="140"/>
      <c r="H634" s="140"/>
      <c r="I634" s="140"/>
      <c r="J634" s="140"/>
      <c r="K634" s="140"/>
      <c r="L634" s="140"/>
      <c r="M634" s="140"/>
      <c r="N634" s="140"/>
      <c r="O634" s="140"/>
      <c r="P634" s="140"/>
      <c r="Q634" s="140"/>
      <c r="R634" s="140"/>
      <c r="S634" s="140"/>
      <c r="T634" s="140"/>
      <c r="U634" s="140"/>
      <c r="V634" s="140"/>
      <c r="W634" s="140"/>
      <c r="X634" s="140"/>
      <c r="Y634" s="140"/>
      <c r="Z634" s="140"/>
      <c r="AA634" s="140"/>
      <c r="AB634" s="140"/>
      <c r="AC634" s="140"/>
      <c r="AD634" s="140"/>
    </row>
    <row r="635" spans="1:30" ht="15.75" customHeight="1" x14ac:dyDescent="0.2">
      <c r="A635" s="140"/>
      <c r="B635" s="140"/>
      <c r="C635" s="140"/>
      <c r="D635" s="140"/>
      <c r="E635" s="140"/>
      <c r="F635" s="140"/>
      <c r="G635" s="140"/>
      <c r="H635" s="140"/>
      <c r="I635" s="140"/>
      <c r="J635" s="140"/>
      <c r="K635" s="140"/>
      <c r="L635" s="140"/>
      <c r="M635" s="140"/>
      <c r="N635" s="140"/>
      <c r="O635" s="140"/>
      <c r="P635" s="140"/>
      <c r="Q635" s="140"/>
      <c r="R635" s="140"/>
      <c r="S635" s="140"/>
      <c r="T635" s="140"/>
      <c r="U635" s="140"/>
      <c r="V635" s="140"/>
      <c r="W635" s="140"/>
      <c r="X635" s="140"/>
      <c r="Y635" s="140"/>
      <c r="Z635" s="140"/>
      <c r="AA635" s="140"/>
      <c r="AB635" s="140"/>
      <c r="AC635" s="140"/>
      <c r="AD635" s="140"/>
    </row>
    <row r="636" spans="1:30" ht="15.75" customHeight="1" x14ac:dyDescent="0.2">
      <c r="A636" s="140"/>
      <c r="B636" s="140"/>
      <c r="C636" s="140"/>
      <c r="D636" s="140"/>
      <c r="E636" s="140"/>
      <c r="F636" s="140"/>
      <c r="G636" s="140"/>
      <c r="H636" s="140"/>
      <c r="I636" s="140"/>
      <c r="J636" s="140"/>
      <c r="K636" s="140"/>
      <c r="L636" s="140"/>
      <c r="M636" s="140"/>
      <c r="N636" s="140"/>
      <c r="O636" s="140"/>
      <c r="P636" s="140"/>
      <c r="Q636" s="140"/>
      <c r="R636" s="140"/>
      <c r="S636" s="140"/>
      <c r="T636" s="140"/>
      <c r="U636" s="140"/>
      <c r="V636" s="140"/>
      <c r="W636" s="140"/>
      <c r="X636" s="140"/>
      <c r="Y636" s="140"/>
      <c r="Z636" s="140"/>
      <c r="AA636" s="140"/>
      <c r="AB636" s="140"/>
      <c r="AC636" s="140"/>
      <c r="AD636" s="140"/>
    </row>
    <row r="637" spans="1:30" ht="15.75" customHeight="1" x14ac:dyDescent="0.2">
      <c r="A637" s="140"/>
      <c r="B637" s="140"/>
      <c r="C637" s="140"/>
      <c r="D637" s="140"/>
      <c r="E637" s="140"/>
      <c r="F637" s="140"/>
      <c r="G637" s="140"/>
      <c r="H637" s="140"/>
      <c r="I637" s="140"/>
      <c r="J637" s="140"/>
      <c r="K637" s="140"/>
      <c r="L637" s="140"/>
      <c r="M637" s="140"/>
      <c r="N637" s="140"/>
      <c r="O637" s="140"/>
      <c r="P637" s="140"/>
      <c r="Q637" s="140"/>
      <c r="R637" s="140"/>
      <c r="S637" s="140"/>
      <c r="T637" s="140"/>
      <c r="U637" s="140"/>
      <c r="V637" s="140"/>
      <c r="W637" s="140"/>
      <c r="X637" s="140"/>
      <c r="Y637" s="140"/>
      <c r="Z637" s="140"/>
      <c r="AA637" s="140"/>
      <c r="AB637" s="140"/>
      <c r="AC637" s="140"/>
      <c r="AD637" s="140"/>
    </row>
    <row r="638" spans="1:30" ht="15.75" customHeight="1" x14ac:dyDescent="0.2">
      <c r="A638" s="140"/>
      <c r="B638" s="140"/>
      <c r="C638" s="140"/>
      <c r="D638" s="140"/>
      <c r="E638" s="140"/>
      <c r="F638" s="140"/>
      <c r="G638" s="140"/>
      <c r="H638" s="140"/>
      <c r="I638" s="140"/>
      <c r="J638" s="140"/>
      <c r="K638" s="140"/>
      <c r="L638" s="140"/>
      <c r="M638" s="140"/>
      <c r="N638" s="140"/>
      <c r="O638" s="140"/>
      <c r="P638" s="140"/>
      <c r="Q638" s="140"/>
      <c r="R638" s="140"/>
      <c r="S638" s="140"/>
      <c r="T638" s="140"/>
      <c r="U638" s="140"/>
      <c r="V638" s="140"/>
      <c r="W638" s="140"/>
      <c r="X638" s="140"/>
      <c r="Y638" s="140"/>
      <c r="Z638" s="140"/>
      <c r="AA638" s="140"/>
      <c r="AB638" s="140"/>
      <c r="AC638" s="140"/>
      <c r="AD638" s="140"/>
    </row>
    <row r="639" spans="1:30" ht="15.75" customHeight="1" x14ac:dyDescent="0.2">
      <c r="A639" s="140"/>
      <c r="B639" s="140"/>
      <c r="C639" s="140"/>
      <c r="D639" s="140"/>
      <c r="E639" s="140"/>
      <c r="F639" s="140"/>
      <c r="G639" s="140"/>
      <c r="H639" s="140"/>
      <c r="I639" s="140"/>
      <c r="J639" s="140"/>
      <c r="K639" s="140"/>
      <c r="L639" s="140"/>
      <c r="M639" s="140"/>
      <c r="N639" s="140"/>
      <c r="O639" s="140"/>
      <c r="P639" s="140"/>
      <c r="Q639" s="140"/>
      <c r="R639" s="140"/>
      <c r="S639" s="140"/>
      <c r="T639" s="140"/>
      <c r="U639" s="140"/>
      <c r="V639" s="140"/>
      <c r="W639" s="140"/>
      <c r="X639" s="140"/>
      <c r="Y639" s="140"/>
      <c r="Z639" s="140"/>
      <c r="AA639" s="140"/>
      <c r="AB639" s="140"/>
      <c r="AC639" s="140"/>
      <c r="AD639" s="140"/>
    </row>
    <row r="640" spans="1:30" ht="15.75" customHeight="1" x14ac:dyDescent="0.2">
      <c r="A640" s="140"/>
      <c r="B640" s="140"/>
      <c r="C640" s="140"/>
      <c r="D640" s="140"/>
      <c r="E640" s="140"/>
      <c r="F640" s="140"/>
      <c r="G640" s="140"/>
      <c r="H640" s="140"/>
      <c r="I640" s="140"/>
      <c r="J640" s="140"/>
      <c r="K640" s="140"/>
      <c r="L640" s="140"/>
      <c r="M640" s="140"/>
      <c r="N640" s="140"/>
      <c r="O640" s="140"/>
      <c r="P640" s="140"/>
      <c r="Q640" s="140"/>
      <c r="R640" s="140"/>
      <c r="S640" s="140"/>
      <c r="T640" s="140"/>
      <c r="U640" s="140"/>
      <c r="V640" s="140"/>
      <c r="W640" s="140"/>
      <c r="X640" s="140"/>
      <c r="Y640" s="140"/>
      <c r="Z640" s="140"/>
      <c r="AA640" s="140"/>
      <c r="AB640" s="140"/>
      <c r="AC640" s="140"/>
      <c r="AD640" s="140"/>
    </row>
    <row r="641" spans="1:30" ht="15.75" customHeight="1" x14ac:dyDescent="0.2">
      <c r="A641" s="140"/>
      <c r="B641" s="140"/>
      <c r="C641" s="140"/>
      <c r="D641" s="140"/>
      <c r="E641" s="140"/>
      <c r="F641" s="140"/>
      <c r="G641" s="140"/>
      <c r="H641" s="140"/>
      <c r="I641" s="140"/>
      <c r="J641" s="140"/>
      <c r="K641" s="140"/>
      <c r="L641" s="140"/>
      <c r="M641" s="140"/>
      <c r="N641" s="140"/>
      <c r="O641" s="140"/>
      <c r="P641" s="140"/>
      <c r="Q641" s="140"/>
      <c r="R641" s="140"/>
      <c r="S641" s="140"/>
      <c r="T641" s="140"/>
      <c r="U641" s="140"/>
      <c r="V641" s="140"/>
      <c r="W641" s="140"/>
      <c r="X641" s="140"/>
      <c r="Y641" s="140"/>
      <c r="Z641" s="140"/>
      <c r="AA641" s="140"/>
      <c r="AB641" s="140"/>
      <c r="AC641" s="140"/>
      <c r="AD641" s="140"/>
    </row>
    <row r="642" spans="1:30" ht="15.75" customHeight="1" x14ac:dyDescent="0.2">
      <c r="A642" s="140"/>
      <c r="B642" s="140"/>
      <c r="C642" s="140"/>
      <c r="D642" s="140"/>
      <c r="E642" s="140"/>
      <c r="F642" s="140"/>
      <c r="G642" s="140"/>
      <c r="H642" s="140"/>
      <c r="I642" s="140"/>
      <c r="J642" s="140"/>
      <c r="K642" s="140"/>
      <c r="L642" s="140"/>
      <c r="M642" s="140"/>
      <c r="N642" s="140"/>
      <c r="O642" s="140"/>
      <c r="P642" s="140"/>
      <c r="Q642" s="140"/>
      <c r="R642" s="140"/>
      <c r="S642" s="140"/>
      <c r="T642" s="140"/>
      <c r="U642" s="140"/>
      <c r="V642" s="140"/>
      <c r="W642" s="140"/>
      <c r="X642" s="140"/>
      <c r="Y642" s="140"/>
      <c r="Z642" s="140"/>
      <c r="AA642" s="140"/>
      <c r="AB642" s="140"/>
      <c r="AC642" s="140"/>
      <c r="AD642" s="140"/>
    </row>
    <row r="643" spans="1:30" ht="15.75" customHeight="1" x14ac:dyDescent="0.2">
      <c r="A643" s="140"/>
      <c r="B643" s="140"/>
      <c r="C643" s="140"/>
      <c r="D643" s="140"/>
      <c r="E643" s="140"/>
      <c r="F643" s="140"/>
      <c r="G643" s="140"/>
      <c r="H643" s="140"/>
      <c r="I643" s="140"/>
      <c r="J643" s="140"/>
      <c r="K643" s="140"/>
      <c r="L643" s="140"/>
      <c r="M643" s="140"/>
      <c r="N643" s="140"/>
      <c r="O643" s="140"/>
      <c r="P643" s="140"/>
      <c r="Q643" s="140"/>
      <c r="R643" s="140"/>
      <c r="S643" s="140"/>
      <c r="T643" s="140"/>
      <c r="U643" s="140"/>
      <c r="V643" s="140"/>
      <c r="W643" s="140"/>
      <c r="X643" s="140"/>
      <c r="Y643" s="140"/>
      <c r="Z643" s="140"/>
      <c r="AA643" s="140"/>
      <c r="AB643" s="140"/>
      <c r="AC643" s="140"/>
      <c r="AD643" s="140"/>
    </row>
    <row r="644" spans="1:30" ht="15.75" customHeight="1" x14ac:dyDescent="0.2">
      <c r="A644" s="140"/>
      <c r="B644" s="140"/>
      <c r="C644" s="140"/>
      <c r="D644" s="140"/>
      <c r="E644" s="140"/>
      <c r="F644" s="140"/>
      <c r="G644" s="140"/>
      <c r="H644" s="140"/>
      <c r="I644" s="140"/>
      <c r="J644" s="140"/>
      <c r="K644" s="140"/>
      <c r="L644" s="140"/>
      <c r="M644" s="140"/>
      <c r="N644" s="140"/>
      <c r="O644" s="140"/>
      <c r="P644" s="140"/>
      <c r="Q644" s="140"/>
      <c r="R644" s="140"/>
      <c r="S644" s="140"/>
      <c r="T644" s="140"/>
      <c r="U644" s="140"/>
      <c r="V644" s="140"/>
      <c r="W644" s="140"/>
      <c r="X644" s="140"/>
      <c r="Y644" s="140"/>
      <c r="Z644" s="140"/>
      <c r="AA644" s="140"/>
      <c r="AB644" s="140"/>
      <c r="AC644" s="140"/>
      <c r="AD644" s="140"/>
    </row>
    <row r="645" spans="1:30" ht="15.75" customHeight="1" x14ac:dyDescent="0.2">
      <c r="A645" s="140"/>
      <c r="B645" s="140"/>
      <c r="C645" s="140"/>
      <c r="D645" s="140"/>
      <c r="E645" s="140"/>
      <c r="F645" s="140"/>
      <c r="G645" s="140"/>
      <c r="H645" s="140"/>
      <c r="I645" s="140"/>
      <c r="J645" s="140"/>
      <c r="K645" s="140"/>
      <c r="L645" s="140"/>
      <c r="M645" s="140"/>
      <c r="N645" s="140"/>
      <c r="O645" s="140"/>
      <c r="P645" s="140"/>
      <c r="Q645" s="140"/>
      <c r="R645" s="140"/>
      <c r="S645" s="140"/>
      <c r="T645" s="140"/>
      <c r="U645" s="140"/>
      <c r="V645" s="140"/>
      <c r="W645" s="140"/>
      <c r="X645" s="140"/>
      <c r="Y645" s="140"/>
      <c r="Z645" s="140"/>
      <c r="AA645" s="140"/>
      <c r="AB645" s="140"/>
      <c r="AC645" s="140"/>
      <c r="AD645" s="140"/>
    </row>
    <row r="646" spans="1:30" ht="15.75" customHeight="1" x14ac:dyDescent="0.2">
      <c r="A646" s="140"/>
      <c r="B646" s="140"/>
      <c r="C646" s="140"/>
      <c r="D646" s="140"/>
      <c r="E646" s="140"/>
      <c r="F646" s="140"/>
      <c r="G646" s="140"/>
      <c r="H646" s="140"/>
      <c r="I646" s="140"/>
      <c r="J646" s="140"/>
      <c r="K646" s="140"/>
      <c r="L646" s="140"/>
      <c r="M646" s="140"/>
      <c r="N646" s="140"/>
      <c r="O646" s="140"/>
      <c r="P646" s="140"/>
      <c r="Q646" s="140"/>
      <c r="R646" s="140"/>
      <c r="S646" s="140"/>
      <c r="T646" s="140"/>
      <c r="U646" s="140"/>
      <c r="V646" s="140"/>
      <c r="W646" s="140"/>
      <c r="X646" s="140"/>
      <c r="Y646" s="140"/>
      <c r="Z646" s="140"/>
      <c r="AA646" s="140"/>
      <c r="AB646" s="140"/>
      <c r="AC646" s="140"/>
      <c r="AD646" s="140"/>
    </row>
    <row r="647" spans="1:30" ht="15.75" customHeight="1" x14ac:dyDescent="0.2">
      <c r="A647" s="140"/>
      <c r="B647" s="140"/>
      <c r="C647" s="140"/>
      <c r="D647" s="140"/>
      <c r="E647" s="140"/>
      <c r="F647" s="140"/>
      <c r="G647" s="140"/>
      <c r="H647" s="140"/>
      <c r="I647" s="140"/>
      <c r="J647" s="140"/>
      <c r="K647" s="140"/>
      <c r="L647" s="140"/>
      <c r="M647" s="140"/>
      <c r="N647" s="140"/>
      <c r="O647" s="140"/>
      <c r="P647" s="140"/>
      <c r="Q647" s="140"/>
      <c r="R647" s="140"/>
      <c r="S647" s="140"/>
      <c r="T647" s="140"/>
      <c r="U647" s="140"/>
      <c r="V647" s="140"/>
      <c r="W647" s="140"/>
      <c r="X647" s="140"/>
      <c r="Y647" s="140"/>
      <c r="Z647" s="140"/>
      <c r="AA647" s="140"/>
      <c r="AB647" s="140"/>
      <c r="AC647" s="140"/>
      <c r="AD647" s="140"/>
    </row>
    <row r="648" spans="1:30" ht="15.75" customHeight="1" x14ac:dyDescent="0.2">
      <c r="A648" s="140"/>
      <c r="B648" s="140"/>
      <c r="C648" s="140"/>
      <c r="D648" s="140"/>
      <c r="E648" s="140"/>
      <c r="F648" s="140"/>
      <c r="G648" s="140"/>
      <c r="H648" s="140"/>
      <c r="I648" s="140"/>
      <c r="J648" s="140"/>
      <c r="K648" s="140"/>
      <c r="L648" s="140"/>
      <c r="M648" s="140"/>
      <c r="N648" s="140"/>
      <c r="O648" s="140"/>
      <c r="P648" s="140"/>
      <c r="Q648" s="140"/>
      <c r="R648" s="140"/>
      <c r="S648" s="140"/>
      <c r="T648" s="140"/>
      <c r="U648" s="140"/>
      <c r="V648" s="140"/>
      <c r="W648" s="140"/>
      <c r="X648" s="140"/>
      <c r="Y648" s="140"/>
      <c r="Z648" s="140"/>
      <c r="AA648" s="140"/>
      <c r="AB648" s="140"/>
      <c r="AC648" s="140"/>
      <c r="AD648" s="140"/>
    </row>
    <row r="649" spans="1:30" ht="15.75" customHeight="1" x14ac:dyDescent="0.2">
      <c r="A649" s="140"/>
      <c r="B649" s="140"/>
      <c r="C649" s="140"/>
      <c r="D649" s="140"/>
      <c r="E649" s="140"/>
      <c r="F649" s="140"/>
      <c r="G649" s="140"/>
      <c r="H649" s="140"/>
      <c r="I649" s="140"/>
      <c r="J649" s="140"/>
      <c r="K649" s="140"/>
      <c r="L649" s="140"/>
      <c r="M649" s="140"/>
      <c r="N649" s="140"/>
      <c r="O649" s="140"/>
      <c r="P649" s="140"/>
      <c r="Q649" s="140"/>
      <c r="R649" s="140"/>
      <c r="S649" s="140"/>
      <c r="T649" s="140"/>
      <c r="U649" s="140"/>
      <c r="V649" s="140"/>
      <c r="W649" s="140"/>
      <c r="X649" s="140"/>
      <c r="Y649" s="140"/>
      <c r="Z649" s="140"/>
      <c r="AA649" s="140"/>
      <c r="AB649" s="140"/>
      <c r="AC649" s="140"/>
      <c r="AD649" s="140"/>
    </row>
    <row r="650" spans="1:30" ht="15.75" customHeight="1" x14ac:dyDescent="0.2">
      <c r="A650" s="140"/>
      <c r="B650" s="140"/>
      <c r="C650" s="140"/>
      <c r="D650" s="140"/>
      <c r="E650" s="140"/>
      <c r="F650" s="140"/>
      <c r="G650" s="140"/>
      <c r="H650" s="140"/>
      <c r="I650" s="140"/>
      <c r="J650" s="140"/>
      <c r="K650" s="140"/>
      <c r="L650" s="140"/>
      <c r="M650" s="140"/>
      <c r="N650" s="140"/>
      <c r="O650" s="140"/>
      <c r="P650" s="140"/>
      <c r="Q650" s="140"/>
      <c r="R650" s="140"/>
      <c r="S650" s="140"/>
      <c r="T650" s="140"/>
      <c r="U650" s="140"/>
      <c r="V650" s="140"/>
      <c r="W650" s="140"/>
      <c r="X650" s="140"/>
      <c r="Y650" s="140"/>
      <c r="Z650" s="140"/>
      <c r="AA650" s="140"/>
      <c r="AB650" s="140"/>
      <c r="AC650" s="140"/>
      <c r="AD650" s="140"/>
    </row>
    <row r="651" spans="1:30" ht="15.75" customHeight="1" x14ac:dyDescent="0.2">
      <c r="A651" s="140"/>
      <c r="B651" s="140"/>
      <c r="C651" s="140"/>
      <c r="D651" s="140"/>
      <c r="E651" s="140"/>
      <c r="F651" s="140"/>
      <c r="G651" s="140"/>
      <c r="H651" s="140"/>
      <c r="I651" s="140"/>
      <c r="J651" s="140"/>
      <c r="K651" s="140"/>
      <c r="L651" s="140"/>
      <c r="M651" s="140"/>
      <c r="N651" s="140"/>
      <c r="O651" s="140"/>
      <c r="P651" s="140"/>
      <c r="Q651" s="140"/>
      <c r="R651" s="140"/>
      <c r="S651" s="140"/>
      <c r="T651" s="140"/>
      <c r="U651" s="140"/>
      <c r="V651" s="140"/>
      <c r="W651" s="140"/>
      <c r="X651" s="140"/>
      <c r="Y651" s="140"/>
      <c r="Z651" s="140"/>
      <c r="AA651" s="140"/>
      <c r="AB651" s="140"/>
      <c r="AC651" s="140"/>
      <c r="AD651" s="140"/>
    </row>
    <row r="652" spans="1:30" ht="15.75" customHeight="1" x14ac:dyDescent="0.2">
      <c r="A652" s="140"/>
      <c r="B652" s="140"/>
      <c r="C652" s="140"/>
      <c r="D652" s="140"/>
      <c r="E652" s="140"/>
      <c r="F652" s="140"/>
      <c r="G652" s="140"/>
      <c r="H652" s="140"/>
      <c r="I652" s="140"/>
      <c r="J652" s="140"/>
      <c r="K652" s="140"/>
      <c r="L652" s="140"/>
      <c r="M652" s="140"/>
      <c r="N652" s="140"/>
      <c r="O652" s="140"/>
      <c r="P652" s="140"/>
      <c r="Q652" s="140"/>
      <c r="R652" s="140"/>
      <c r="S652" s="140"/>
      <c r="T652" s="140"/>
      <c r="U652" s="140"/>
      <c r="V652" s="140"/>
      <c r="W652" s="140"/>
      <c r="X652" s="140"/>
      <c r="Y652" s="140"/>
      <c r="Z652" s="140"/>
      <c r="AA652" s="140"/>
      <c r="AB652" s="140"/>
      <c r="AC652" s="140"/>
      <c r="AD652" s="140"/>
    </row>
    <row r="653" spans="1:30" ht="15.75" customHeight="1" x14ac:dyDescent="0.2">
      <c r="A653" s="140"/>
      <c r="B653" s="140"/>
      <c r="C653" s="140"/>
      <c r="D653" s="140"/>
      <c r="E653" s="140"/>
      <c r="F653" s="140"/>
      <c r="G653" s="140"/>
      <c r="H653" s="140"/>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row>
    <row r="654" spans="1:30" ht="15.75" customHeight="1" x14ac:dyDescent="0.2">
      <c r="A654" s="140"/>
      <c r="B654" s="140"/>
      <c r="C654" s="140"/>
      <c r="D654" s="140"/>
      <c r="E654" s="140"/>
      <c r="F654" s="140"/>
      <c r="G654" s="140"/>
      <c r="H654" s="140"/>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row>
    <row r="655" spans="1:30" ht="15.75" customHeight="1" x14ac:dyDescent="0.2">
      <c r="A655" s="140"/>
      <c r="B655" s="140"/>
      <c r="C655" s="140"/>
      <c r="D655" s="140"/>
      <c r="E655" s="140"/>
      <c r="F655" s="140"/>
      <c r="G655" s="140"/>
      <c r="H655" s="140"/>
      <c r="I655" s="140"/>
      <c r="J655" s="140"/>
      <c r="K655" s="140"/>
      <c r="L655" s="140"/>
      <c r="M655" s="140"/>
      <c r="N655" s="140"/>
      <c r="O655" s="140"/>
      <c r="P655" s="140"/>
      <c r="Q655" s="140"/>
      <c r="R655" s="140"/>
      <c r="S655" s="140"/>
      <c r="T655" s="140"/>
      <c r="U655" s="140"/>
      <c r="V655" s="140"/>
      <c r="W655" s="140"/>
      <c r="X655" s="140"/>
      <c r="Y655" s="140"/>
      <c r="Z655" s="140"/>
      <c r="AA655" s="140"/>
      <c r="AB655" s="140"/>
      <c r="AC655" s="140"/>
      <c r="AD655" s="140"/>
    </row>
    <row r="656" spans="1:30" ht="15.75" customHeight="1" x14ac:dyDescent="0.2">
      <c r="A656" s="140"/>
      <c r="B656" s="140"/>
      <c r="C656" s="140"/>
      <c r="D656" s="140"/>
      <c r="E656" s="140"/>
      <c r="F656" s="140"/>
      <c r="G656" s="140"/>
      <c r="H656" s="140"/>
      <c r="I656" s="140"/>
      <c r="J656" s="140"/>
      <c r="K656" s="140"/>
      <c r="L656" s="140"/>
      <c r="M656" s="140"/>
      <c r="N656" s="140"/>
      <c r="O656" s="140"/>
      <c r="P656" s="140"/>
      <c r="Q656" s="140"/>
      <c r="R656" s="140"/>
      <c r="S656" s="140"/>
      <c r="T656" s="140"/>
      <c r="U656" s="140"/>
      <c r="V656" s="140"/>
      <c r="W656" s="140"/>
      <c r="X656" s="140"/>
      <c r="Y656" s="140"/>
      <c r="Z656" s="140"/>
      <c r="AA656" s="140"/>
      <c r="AB656" s="140"/>
      <c r="AC656" s="140"/>
      <c r="AD656" s="140"/>
    </row>
    <row r="657" spans="1:30" ht="15.75" customHeight="1" x14ac:dyDescent="0.2">
      <c r="A657" s="140"/>
      <c r="B657" s="140"/>
      <c r="C657" s="140"/>
      <c r="D657" s="140"/>
      <c r="E657" s="140"/>
      <c r="F657" s="140"/>
      <c r="G657" s="140"/>
      <c r="H657" s="140"/>
      <c r="I657" s="140"/>
      <c r="J657" s="140"/>
      <c r="K657" s="140"/>
      <c r="L657" s="140"/>
      <c r="M657" s="140"/>
      <c r="N657" s="140"/>
      <c r="O657" s="140"/>
      <c r="P657" s="140"/>
      <c r="Q657" s="140"/>
      <c r="R657" s="140"/>
      <c r="S657" s="140"/>
      <c r="T657" s="140"/>
      <c r="U657" s="140"/>
      <c r="V657" s="140"/>
      <c r="W657" s="140"/>
      <c r="X657" s="140"/>
      <c r="Y657" s="140"/>
      <c r="Z657" s="140"/>
      <c r="AA657" s="140"/>
      <c r="AB657" s="140"/>
      <c r="AC657" s="140"/>
      <c r="AD657" s="140"/>
    </row>
    <row r="658" spans="1:30" ht="15.75" customHeight="1" x14ac:dyDescent="0.2">
      <c r="A658" s="140"/>
      <c r="B658" s="140"/>
      <c r="C658" s="140"/>
      <c r="D658" s="140"/>
      <c r="E658" s="140"/>
      <c r="F658" s="140"/>
      <c r="G658" s="140"/>
      <c r="H658" s="140"/>
      <c r="I658" s="140"/>
      <c r="J658" s="140"/>
      <c r="K658" s="140"/>
      <c r="L658" s="140"/>
      <c r="M658" s="140"/>
      <c r="N658" s="140"/>
      <c r="O658" s="140"/>
      <c r="P658" s="140"/>
      <c r="Q658" s="140"/>
      <c r="R658" s="140"/>
      <c r="S658" s="140"/>
      <c r="T658" s="140"/>
      <c r="U658" s="140"/>
      <c r="V658" s="140"/>
      <c r="W658" s="140"/>
      <c r="X658" s="140"/>
      <c r="Y658" s="140"/>
      <c r="Z658" s="140"/>
      <c r="AA658" s="140"/>
      <c r="AB658" s="140"/>
      <c r="AC658" s="140"/>
      <c r="AD658" s="140"/>
    </row>
    <row r="659" spans="1:30" ht="15.75" customHeight="1" x14ac:dyDescent="0.2">
      <c r="A659" s="140"/>
      <c r="B659" s="140"/>
      <c r="C659" s="140"/>
      <c r="D659" s="140"/>
      <c r="E659" s="140"/>
      <c r="F659" s="140"/>
      <c r="G659" s="140"/>
      <c r="H659" s="140"/>
      <c r="I659" s="140"/>
      <c r="J659" s="140"/>
      <c r="K659" s="140"/>
      <c r="L659" s="140"/>
      <c r="M659" s="140"/>
      <c r="N659" s="140"/>
      <c r="O659" s="140"/>
      <c r="P659" s="140"/>
      <c r="Q659" s="140"/>
      <c r="R659" s="140"/>
      <c r="S659" s="140"/>
      <c r="T659" s="140"/>
      <c r="U659" s="140"/>
      <c r="V659" s="140"/>
      <c r="W659" s="140"/>
      <c r="X659" s="140"/>
      <c r="Y659" s="140"/>
      <c r="Z659" s="140"/>
      <c r="AA659" s="140"/>
      <c r="AB659" s="140"/>
      <c r="AC659" s="140"/>
      <c r="AD659" s="140"/>
    </row>
    <row r="660" spans="1:30" ht="15.75" customHeight="1" x14ac:dyDescent="0.2">
      <c r="A660" s="140"/>
      <c r="B660" s="140"/>
      <c r="C660" s="140"/>
      <c r="D660" s="140"/>
      <c r="E660" s="140"/>
      <c r="F660" s="140"/>
      <c r="G660" s="140"/>
      <c r="H660" s="140"/>
      <c r="I660" s="140"/>
      <c r="J660" s="140"/>
      <c r="K660" s="140"/>
      <c r="L660" s="140"/>
      <c r="M660" s="140"/>
      <c r="N660" s="140"/>
      <c r="O660" s="140"/>
      <c r="P660" s="140"/>
      <c r="Q660" s="140"/>
      <c r="R660" s="140"/>
      <c r="S660" s="140"/>
      <c r="T660" s="140"/>
      <c r="U660" s="140"/>
      <c r="V660" s="140"/>
      <c r="W660" s="140"/>
      <c r="X660" s="140"/>
      <c r="Y660" s="140"/>
      <c r="Z660" s="140"/>
      <c r="AA660" s="140"/>
      <c r="AB660" s="140"/>
      <c r="AC660" s="140"/>
      <c r="AD660" s="140"/>
    </row>
    <row r="661" spans="1:30" ht="15.75" customHeight="1" x14ac:dyDescent="0.2">
      <c r="A661" s="140"/>
      <c r="B661" s="140"/>
      <c r="C661" s="140"/>
      <c r="D661" s="140"/>
      <c r="E661" s="140"/>
      <c r="F661" s="140"/>
      <c r="G661" s="140"/>
      <c r="H661" s="140"/>
      <c r="I661" s="140"/>
      <c r="J661" s="140"/>
      <c r="K661" s="140"/>
      <c r="L661" s="140"/>
      <c r="M661" s="140"/>
      <c r="N661" s="140"/>
      <c r="O661" s="140"/>
      <c r="P661" s="140"/>
      <c r="Q661" s="140"/>
      <c r="R661" s="140"/>
      <c r="S661" s="140"/>
      <c r="T661" s="140"/>
      <c r="U661" s="140"/>
      <c r="V661" s="140"/>
      <c r="W661" s="140"/>
      <c r="X661" s="140"/>
      <c r="Y661" s="140"/>
      <c r="Z661" s="140"/>
      <c r="AA661" s="140"/>
      <c r="AB661" s="140"/>
      <c r="AC661" s="140"/>
      <c r="AD661" s="140"/>
    </row>
    <row r="662" spans="1:30" ht="15.75" customHeight="1" x14ac:dyDescent="0.2">
      <c r="A662" s="140"/>
      <c r="B662" s="140"/>
      <c r="C662" s="140"/>
      <c r="D662" s="140"/>
      <c r="E662" s="140"/>
      <c r="F662" s="140"/>
      <c r="G662" s="140"/>
      <c r="H662" s="140"/>
      <c r="I662" s="140"/>
      <c r="J662" s="140"/>
      <c r="K662" s="140"/>
      <c r="L662" s="140"/>
      <c r="M662" s="140"/>
      <c r="N662" s="140"/>
      <c r="O662" s="140"/>
      <c r="P662" s="140"/>
      <c r="Q662" s="140"/>
      <c r="R662" s="140"/>
      <c r="S662" s="140"/>
      <c r="T662" s="140"/>
      <c r="U662" s="140"/>
      <c r="V662" s="140"/>
      <c r="W662" s="140"/>
      <c r="X662" s="140"/>
      <c r="Y662" s="140"/>
      <c r="Z662" s="140"/>
      <c r="AA662" s="140"/>
      <c r="AB662" s="140"/>
      <c r="AC662" s="140"/>
      <c r="AD662" s="140"/>
    </row>
    <row r="663" spans="1:30" ht="15.75" customHeight="1" x14ac:dyDescent="0.2">
      <c r="A663" s="140"/>
      <c r="B663" s="140"/>
      <c r="C663" s="140"/>
      <c r="D663" s="140"/>
      <c r="E663" s="140"/>
      <c r="F663" s="140"/>
      <c r="G663" s="140"/>
      <c r="H663" s="140"/>
      <c r="I663" s="140"/>
      <c r="J663" s="140"/>
      <c r="K663" s="140"/>
      <c r="L663" s="140"/>
      <c r="M663" s="140"/>
      <c r="N663" s="140"/>
      <c r="O663" s="140"/>
      <c r="P663" s="140"/>
      <c r="Q663" s="140"/>
      <c r="R663" s="140"/>
      <c r="S663" s="140"/>
      <c r="T663" s="140"/>
      <c r="U663" s="140"/>
      <c r="V663" s="140"/>
      <c r="W663" s="140"/>
      <c r="X663" s="140"/>
      <c r="Y663" s="140"/>
      <c r="Z663" s="140"/>
      <c r="AA663" s="140"/>
      <c r="AB663" s="140"/>
      <c r="AC663" s="140"/>
      <c r="AD663" s="140"/>
    </row>
    <row r="664" spans="1:30" ht="15.75" customHeight="1" x14ac:dyDescent="0.2">
      <c r="A664" s="140"/>
      <c r="B664" s="140"/>
      <c r="C664" s="140"/>
      <c r="D664" s="140"/>
      <c r="E664" s="140"/>
      <c r="F664" s="140"/>
      <c r="G664" s="140"/>
      <c r="H664" s="140"/>
      <c r="I664" s="140"/>
      <c r="J664" s="140"/>
      <c r="K664" s="140"/>
      <c r="L664" s="140"/>
      <c r="M664" s="140"/>
      <c r="N664" s="140"/>
      <c r="O664" s="140"/>
      <c r="P664" s="140"/>
      <c r="Q664" s="140"/>
      <c r="R664" s="140"/>
      <c r="S664" s="140"/>
      <c r="T664" s="140"/>
      <c r="U664" s="140"/>
      <c r="V664" s="140"/>
      <c r="W664" s="140"/>
      <c r="X664" s="140"/>
      <c r="Y664" s="140"/>
      <c r="Z664" s="140"/>
      <c r="AA664" s="140"/>
      <c r="AB664" s="140"/>
      <c r="AC664" s="140"/>
      <c r="AD664" s="140"/>
    </row>
    <row r="665" spans="1:30" ht="15.75" customHeight="1" x14ac:dyDescent="0.2">
      <c r="A665" s="140"/>
      <c r="B665" s="140"/>
      <c r="C665" s="140"/>
      <c r="D665" s="140"/>
      <c r="E665" s="140"/>
      <c r="F665" s="140"/>
      <c r="G665" s="140"/>
      <c r="H665" s="140"/>
      <c r="I665" s="140"/>
      <c r="J665" s="140"/>
      <c r="K665" s="140"/>
      <c r="L665" s="140"/>
      <c r="M665" s="140"/>
      <c r="N665" s="140"/>
      <c r="O665" s="140"/>
      <c r="P665" s="140"/>
      <c r="Q665" s="140"/>
      <c r="R665" s="140"/>
      <c r="S665" s="140"/>
      <c r="T665" s="140"/>
      <c r="U665" s="140"/>
      <c r="V665" s="140"/>
      <c r="W665" s="140"/>
      <c r="X665" s="140"/>
      <c r="Y665" s="140"/>
      <c r="Z665" s="140"/>
      <c r="AA665" s="140"/>
      <c r="AB665" s="140"/>
      <c r="AC665" s="140"/>
      <c r="AD665" s="140"/>
    </row>
    <row r="666" spans="1:30" ht="15.75" customHeight="1" x14ac:dyDescent="0.2">
      <c r="A666" s="140"/>
      <c r="B666" s="140"/>
      <c r="C666" s="140"/>
      <c r="D666" s="140"/>
      <c r="E666" s="140"/>
      <c r="F666" s="140"/>
      <c r="G666" s="140"/>
      <c r="H666" s="140"/>
      <c r="I666" s="140"/>
      <c r="J666" s="140"/>
      <c r="K666" s="140"/>
      <c r="L666" s="140"/>
      <c r="M666" s="140"/>
      <c r="N666" s="140"/>
      <c r="O666" s="140"/>
      <c r="P666" s="140"/>
      <c r="Q666" s="140"/>
      <c r="R666" s="140"/>
      <c r="S666" s="140"/>
      <c r="T666" s="140"/>
      <c r="U666" s="140"/>
      <c r="V666" s="140"/>
      <c r="W666" s="140"/>
      <c r="X666" s="140"/>
      <c r="Y666" s="140"/>
      <c r="Z666" s="140"/>
      <c r="AA666" s="140"/>
      <c r="AB666" s="140"/>
      <c r="AC666" s="140"/>
      <c r="AD666" s="140"/>
    </row>
    <row r="667" spans="1:30" ht="15.75" customHeight="1" x14ac:dyDescent="0.2">
      <c r="A667" s="140"/>
      <c r="B667" s="140"/>
      <c r="C667" s="140"/>
      <c r="D667" s="140"/>
      <c r="E667" s="140"/>
      <c r="F667" s="140"/>
      <c r="G667" s="140"/>
      <c r="H667" s="140"/>
      <c r="I667" s="140"/>
      <c r="J667" s="140"/>
      <c r="K667" s="140"/>
      <c r="L667" s="140"/>
      <c r="M667" s="140"/>
      <c r="N667" s="140"/>
      <c r="O667" s="140"/>
      <c r="P667" s="140"/>
      <c r="Q667" s="140"/>
      <c r="R667" s="140"/>
      <c r="S667" s="140"/>
      <c r="T667" s="140"/>
      <c r="U667" s="140"/>
      <c r="V667" s="140"/>
      <c r="W667" s="140"/>
      <c r="X667" s="140"/>
      <c r="Y667" s="140"/>
      <c r="Z667" s="140"/>
      <c r="AA667" s="140"/>
      <c r="AB667" s="140"/>
      <c r="AC667" s="140"/>
      <c r="AD667" s="140"/>
    </row>
    <row r="668" spans="1:30" ht="15.75" customHeight="1" x14ac:dyDescent="0.2">
      <c r="A668" s="140"/>
      <c r="B668" s="140"/>
      <c r="C668" s="140"/>
      <c r="D668" s="140"/>
      <c r="E668" s="140"/>
      <c r="F668" s="140"/>
      <c r="G668" s="140"/>
      <c r="H668" s="140"/>
      <c r="I668" s="140"/>
      <c r="J668" s="140"/>
      <c r="K668" s="140"/>
      <c r="L668" s="140"/>
      <c r="M668" s="140"/>
      <c r="N668" s="140"/>
      <c r="O668" s="140"/>
      <c r="P668" s="140"/>
      <c r="Q668" s="140"/>
      <c r="R668" s="140"/>
      <c r="S668" s="140"/>
      <c r="T668" s="140"/>
      <c r="U668" s="140"/>
      <c r="V668" s="140"/>
      <c r="W668" s="140"/>
      <c r="X668" s="140"/>
      <c r="Y668" s="140"/>
      <c r="Z668" s="140"/>
      <c r="AA668" s="140"/>
      <c r="AB668" s="140"/>
      <c r="AC668" s="140"/>
      <c r="AD668" s="140"/>
    </row>
    <row r="669" spans="1:30" ht="15.75" customHeight="1" x14ac:dyDescent="0.2">
      <c r="A669" s="140"/>
      <c r="B669" s="140"/>
      <c r="C669" s="140"/>
      <c r="D669" s="140"/>
      <c r="E669" s="140"/>
      <c r="F669" s="140"/>
      <c r="G669" s="140"/>
      <c r="H669" s="140"/>
      <c r="I669" s="140"/>
      <c r="J669" s="140"/>
      <c r="K669" s="140"/>
      <c r="L669" s="140"/>
      <c r="M669" s="140"/>
      <c r="N669" s="140"/>
      <c r="O669" s="140"/>
      <c r="P669" s="140"/>
      <c r="Q669" s="140"/>
      <c r="R669" s="140"/>
      <c r="S669" s="140"/>
      <c r="T669" s="140"/>
      <c r="U669" s="140"/>
      <c r="V669" s="140"/>
      <c r="W669" s="140"/>
      <c r="X669" s="140"/>
      <c r="Y669" s="140"/>
      <c r="Z669" s="140"/>
      <c r="AA669" s="140"/>
      <c r="AB669" s="140"/>
      <c r="AC669" s="140"/>
      <c r="AD669" s="140"/>
    </row>
    <row r="670" spans="1:30" ht="15.75" customHeight="1" x14ac:dyDescent="0.2">
      <c r="A670" s="140"/>
      <c r="B670" s="140"/>
      <c r="C670" s="140"/>
      <c r="D670" s="140"/>
      <c r="E670" s="140"/>
      <c r="F670" s="140"/>
      <c r="G670" s="140"/>
      <c r="H670" s="140"/>
      <c r="I670" s="140"/>
      <c r="J670" s="140"/>
      <c r="K670" s="140"/>
      <c r="L670" s="140"/>
      <c r="M670" s="140"/>
      <c r="N670" s="140"/>
      <c r="O670" s="140"/>
      <c r="P670" s="140"/>
      <c r="Q670" s="140"/>
      <c r="R670" s="140"/>
      <c r="S670" s="140"/>
      <c r="T670" s="140"/>
      <c r="U670" s="140"/>
      <c r="V670" s="140"/>
      <c r="W670" s="140"/>
      <c r="X670" s="140"/>
      <c r="Y670" s="140"/>
      <c r="Z670" s="140"/>
      <c r="AA670" s="140"/>
      <c r="AB670" s="140"/>
      <c r="AC670" s="140"/>
      <c r="AD670" s="140"/>
    </row>
    <row r="671" spans="1:30" ht="15.75" customHeight="1" x14ac:dyDescent="0.2">
      <c r="A671" s="140"/>
      <c r="B671" s="140"/>
      <c r="C671" s="140"/>
      <c r="D671" s="140"/>
      <c r="E671" s="140"/>
      <c r="F671" s="140"/>
      <c r="G671" s="140"/>
      <c r="H671" s="140"/>
      <c r="I671" s="140"/>
      <c r="J671" s="140"/>
      <c r="K671" s="140"/>
      <c r="L671" s="140"/>
      <c r="M671" s="140"/>
      <c r="N671" s="140"/>
      <c r="O671" s="140"/>
      <c r="P671" s="140"/>
      <c r="Q671" s="140"/>
      <c r="R671" s="140"/>
      <c r="S671" s="140"/>
      <c r="T671" s="140"/>
      <c r="U671" s="140"/>
      <c r="V671" s="140"/>
      <c r="W671" s="140"/>
      <c r="X671" s="140"/>
      <c r="Y671" s="140"/>
      <c r="Z671" s="140"/>
      <c r="AA671" s="140"/>
      <c r="AB671" s="140"/>
      <c r="AC671" s="140"/>
      <c r="AD671" s="140"/>
    </row>
    <row r="672" spans="1:30" ht="15.75" customHeight="1" x14ac:dyDescent="0.2">
      <c r="A672" s="140"/>
      <c r="B672" s="140"/>
      <c r="C672" s="140"/>
      <c r="D672" s="140"/>
      <c r="E672" s="140"/>
      <c r="F672" s="140"/>
      <c r="G672" s="140"/>
      <c r="H672" s="140"/>
      <c r="I672" s="140"/>
      <c r="J672" s="140"/>
      <c r="K672" s="140"/>
      <c r="L672" s="140"/>
      <c r="M672" s="140"/>
      <c r="N672" s="140"/>
      <c r="O672" s="140"/>
      <c r="P672" s="140"/>
      <c r="Q672" s="140"/>
      <c r="R672" s="140"/>
      <c r="S672" s="140"/>
      <c r="T672" s="140"/>
      <c r="U672" s="140"/>
      <c r="V672" s="140"/>
      <c r="W672" s="140"/>
      <c r="X672" s="140"/>
      <c r="Y672" s="140"/>
      <c r="Z672" s="140"/>
      <c r="AA672" s="140"/>
      <c r="AB672" s="140"/>
      <c r="AC672" s="140"/>
      <c r="AD672" s="140"/>
    </row>
    <row r="673" spans="1:30" ht="15.75" customHeight="1" x14ac:dyDescent="0.2">
      <c r="A673" s="140"/>
      <c r="B673" s="140"/>
      <c r="C673" s="140"/>
      <c r="D673" s="140"/>
      <c r="E673" s="140"/>
      <c r="F673" s="140"/>
      <c r="G673" s="140"/>
      <c r="H673" s="140"/>
      <c r="I673" s="140"/>
      <c r="J673" s="140"/>
      <c r="K673" s="140"/>
      <c r="L673" s="140"/>
      <c r="M673" s="140"/>
      <c r="N673" s="140"/>
      <c r="O673" s="140"/>
      <c r="P673" s="140"/>
      <c r="Q673" s="140"/>
      <c r="R673" s="140"/>
      <c r="S673" s="140"/>
      <c r="T673" s="140"/>
      <c r="U673" s="140"/>
      <c r="V673" s="140"/>
      <c r="W673" s="140"/>
      <c r="X673" s="140"/>
      <c r="Y673" s="140"/>
      <c r="Z673" s="140"/>
      <c r="AA673" s="140"/>
      <c r="AB673" s="140"/>
      <c r="AC673" s="140"/>
      <c r="AD673" s="140"/>
    </row>
    <row r="674" spans="1:30" ht="15.75" customHeight="1" x14ac:dyDescent="0.2">
      <c r="A674" s="140"/>
      <c r="B674" s="140"/>
      <c r="C674" s="140"/>
      <c r="D674" s="140"/>
      <c r="E674" s="140"/>
      <c r="F674" s="140"/>
      <c r="G674" s="140"/>
      <c r="H674" s="140"/>
      <c r="I674" s="140"/>
      <c r="J674" s="140"/>
      <c r="K674" s="140"/>
      <c r="L674" s="140"/>
      <c r="M674" s="140"/>
      <c r="N674" s="140"/>
      <c r="O674" s="140"/>
      <c r="P674" s="140"/>
      <c r="Q674" s="140"/>
      <c r="R674" s="140"/>
      <c r="S674" s="140"/>
      <c r="T674" s="140"/>
      <c r="U674" s="140"/>
      <c r="V674" s="140"/>
      <c r="W674" s="140"/>
      <c r="X674" s="140"/>
      <c r="Y674" s="140"/>
      <c r="Z674" s="140"/>
      <c r="AA674" s="140"/>
      <c r="AB674" s="140"/>
      <c r="AC674" s="140"/>
      <c r="AD674" s="140"/>
    </row>
    <row r="675" spans="1:30" ht="15.75" customHeight="1" x14ac:dyDescent="0.2">
      <c r="A675" s="140"/>
      <c r="B675" s="140"/>
      <c r="C675" s="140"/>
      <c r="D675" s="140"/>
      <c r="E675" s="140"/>
      <c r="F675" s="140"/>
      <c r="G675" s="140"/>
      <c r="H675" s="140"/>
      <c r="I675" s="140"/>
      <c r="J675" s="140"/>
      <c r="K675" s="140"/>
      <c r="L675" s="140"/>
      <c r="M675" s="140"/>
      <c r="N675" s="140"/>
      <c r="O675" s="140"/>
      <c r="P675" s="140"/>
      <c r="Q675" s="140"/>
      <c r="R675" s="140"/>
      <c r="S675" s="140"/>
      <c r="T675" s="140"/>
      <c r="U675" s="140"/>
      <c r="V675" s="140"/>
      <c r="W675" s="140"/>
      <c r="X675" s="140"/>
      <c r="Y675" s="140"/>
      <c r="Z675" s="140"/>
      <c r="AA675" s="140"/>
      <c r="AB675" s="140"/>
      <c r="AC675" s="140"/>
      <c r="AD675" s="140"/>
    </row>
    <row r="676" spans="1:30" ht="15.75" customHeight="1" x14ac:dyDescent="0.2">
      <c r="A676" s="140"/>
      <c r="B676" s="140"/>
      <c r="C676" s="140"/>
      <c r="D676" s="140"/>
      <c r="E676" s="140"/>
      <c r="F676" s="140"/>
      <c r="G676" s="140"/>
      <c r="H676" s="140"/>
      <c r="I676" s="140"/>
      <c r="J676" s="140"/>
      <c r="K676" s="140"/>
      <c r="L676" s="140"/>
      <c r="M676" s="140"/>
      <c r="N676" s="140"/>
      <c r="O676" s="140"/>
      <c r="P676" s="140"/>
      <c r="Q676" s="140"/>
      <c r="R676" s="140"/>
      <c r="S676" s="140"/>
      <c r="T676" s="140"/>
      <c r="U676" s="140"/>
      <c r="V676" s="140"/>
      <c r="W676" s="140"/>
      <c r="X676" s="140"/>
      <c r="Y676" s="140"/>
      <c r="Z676" s="140"/>
      <c r="AA676" s="140"/>
      <c r="AB676" s="140"/>
      <c r="AC676" s="140"/>
      <c r="AD676" s="140"/>
    </row>
    <row r="677" spans="1:30" ht="15.75" customHeight="1" x14ac:dyDescent="0.2">
      <c r="A677" s="140"/>
      <c r="B677" s="140"/>
      <c r="C677" s="140"/>
      <c r="D677" s="140"/>
      <c r="E677" s="140"/>
      <c r="F677" s="140"/>
      <c r="G677" s="140"/>
      <c r="H677" s="140"/>
      <c r="I677" s="140"/>
      <c r="J677" s="140"/>
      <c r="K677" s="140"/>
      <c r="L677" s="140"/>
      <c r="M677" s="140"/>
      <c r="N677" s="140"/>
      <c r="O677" s="140"/>
      <c r="P677" s="140"/>
      <c r="Q677" s="140"/>
      <c r="R677" s="140"/>
      <c r="S677" s="140"/>
      <c r="T677" s="140"/>
      <c r="U677" s="140"/>
      <c r="V677" s="140"/>
      <c r="W677" s="140"/>
      <c r="X677" s="140"/>
      <c r="Y677" s="140"/>
      <c r="Z677" s="140"/>
      <c r="AA677" s="140"/>
      <c r="AB677" s="140"/>
      <c r="AC677" s="140"/>
      <c r="AD677" s="140"/>
    </row>
    <row r="678" spans="1:30" ht="15.75" customHeight="1" x14ac:dyDescent="0.2">
      <c r="A678" s="140"/>
      <c r="B678" s="140"/>
      <c r="C678" s="140"/>
      <c r="D678" s="140"/>
      <c r="E678" s="140"/>
      <c r="F678" s="140"/>
      <c r="G678" s="140"/>
      <c r="H678" s="140"/>
      <c r="I678" s="140"/>
      <c r="J678" s="140"/>
      <c r="K678" s="140"/>
      <c r="L678" s="140"/>
      <c r="M678" s="140"/>
      <c r="N678" s="140"/>
      <c r="O678" s="140"/>
      <c r="P678" s="140"/>
      <c r="Q678" s="140"/>
      <c r="R678" s="140"/>
      <c r="S678" s="140"/>
      <c r="T678" s="140"/>
      <c r="U678" s="140"/>
      <c r="V678" s="140"/>
      <c r="W678" s="140"/>
      <c r="X678" s="140"/>
      <c r="Y678" s="140"/>
      <c r="Z678" s="140"/>
      <c r="AA678" s="140"/>
      <c r="AB678" s="140"/>
      <c r="AC678" s="140"/>
      <c r="AD678" s="140"/>
    </row>
    <row r="679" spans="1:30" ht="15.75" customHeight="1" x14ac:dyDescent="0.2">
      <c r="A679" s="140"/>
      <c r="B679" s="140"/>
      <c r="C679" s="140"/>
      <c r="D679" s="140"/>
      <c r="E679" s="140"/>
      <c r="F679" s="140"/>
      <c r="G679" s="140"/>
      <c r="H679" s="140"/>
      <c r="I679" s="140"/>
      <c r="J679" s="140"/>
      <c r="K679" s="140"/>
      <c r="L679" s="140"/>
      <c r="M679" s="140"/>
      <c r="N679" s="140"/>
      <c r="O679" s="140"/>
      <c r="P679" s="140"/>
      <c r="Q679" s="140"/>
      <c r="R679" s="140"/>
      <c r="S679" s="140"/>
      <c r="T679" s="140"/>
      <c r="U679" s="140"/>
      <c r="V679" s="140"/>
      <c r="W679" s="140"/>
      <c r="X679" s="140"/>
      <c r="Y679" s="140"/>
      <c r="Z679" s="140"/>
      <c r="AA679" s="140"/>
      <c r="AB679" s="140"/>
      <c r="AC679" s="140"/>
      <c r="AD679" s="140"/>
    </row>
    <row r="680" spans="1:30" ht="15.75" customHeight="1" x14ac:dyDescent="0.2">
      <c r="A680" s="140"/>
      <c r="B680" s="140"/>
      <c r="C680" s="140"/>
      <c r="D680" s="140"/>
      <c r="E680" s="140"/>
      <c r="F680" s="140"/>
      <c r="G680" s="140"/>
      <c r="H680" s="140"/>
      <c r="I680" s="140"/>
      <c r="J680" s="140"/>
      <c r="K680" s="140"/>
      <c r="L680" s="140"/>
      <c r="M680" s="140"/>
      <c r="N680" s="140"/>
      <c r="O680" s="140"/>
      <c r="P680" s="140"/>
      <c r="Q680" s="140"/>
      <c r="R680" s="140"/>
      <c r="S680" s="140"/>
      <c r="T680" s="140"/>
      <c r="U680" s="140"/>
      <c r="V680" s="140"/>
      <c r="W680" s="140"/>
      <c r="X680" s="140"/>
      <c r="Y680" s="140"/>
      <c r="Z680" s="140"/>
      <c r="AA680" s="140"/>
      <c r="AB680" s="140"/>
      <c r="AC680" s="140"/>
      <c r="AD680" s="140"/>
    </row>
    <row r="681" spans="1:30" ht="15.75" customHeight="1" x14ac:dyDescent="0.2">
      <c r="A681" s="140"/>
      <c r="B681" s="140"/>
      <c r="C681" s="140"/>
      <c r="D681" s="140"/>
      <c r="E681" s="140"/>
      <c r="F681" s="140"/>
      <c r="G681" s="140"/>
      <c r="H681" s="140"/>
      <c r="I681" s="140"/>
      <c r="J681" s="140"/>
      <c r="K681" s="140"/>
      <c r="L681" s="140"/>
      <c r="M681" s="140"/>
      <c r="N681" s="140"/>
      <c r="O681" s="140"/>
      <c r="P681" s="140"/>
      <c r="Q681" s="140"/>
      <c r="R681" s="140"/>
      <c r="S681" s="140"/>
      <c r="T681" s="140"/>
      <c r="U681" s="140"/>
      <c r="V681" s="140"/>
      <c r="W681" s="140"/>
      <c r="X681" s="140"/>
      <c r="Y681" s="140"/>
      <c r="Z681" s="140"/>
      <c r="AA681" s="140"/>
      <c r="AB681" s="140"/>
      <c r="AC681" s="140"/>
      <c r="AD681" s="140"/>
    </row>
    <row r="682" spans="1:30" ht="15.75" customHeight="1" x14ac:dyDescent="0.2">
      <c r="A682" s="140"/>
      <c r="B682" s="140"/>
      <c r="C682" s="140"/>
      <c r="D682" s="140"/>
      <c r="E682" s="140"/>
      <c r="F682" s="140"/>
      <c r="G682" s="140"/>
      <c r="H682" s="140"/>
      <c r="I682" s="140"/>
      <c r="J682" s="140"/>
      <c r="K682" s="140"/>
      <c r="L682" s="140"/>
      <c r="M682" s="140"/>
      <c r="N682" s="140"/>
      <c r="O682" s="140"/>
      <c r="P682" s="140"/>
      <c r="Q682" s="140"/>
      <c r="R682" s="140"/>
      <c r="S682" s="140"/>
      <c r="T682" s="140"/>
      <c r="U682" s="140"/>
      <c r="V682" s="140"/>
      <c r="W682" s="140"/>
      <c r="X682" s="140"/>
      <c r="Y682" s="140"/>
      <c r="Z682" s="140"/>
      <c r="AA682" s="140"/>
      <c r="AB682" s="140"/>
      <c r="AC682" s="140"/>
      <c r="AD682" s="140"/>
    </row>
    <row r="683" spans="1:30" ht="15.75" customHeight="1" x14ac:dyDescent="0.2">
      <c r="A683" s="140"/>
      <c r="B683" s="140"/>
      <c r="C683" s="140"/>
      <c r="D683" s="140"/>
      <c r="E683" s="140"/>
      <c r="F683" s="140"/>
      <c r="G683" s="140"/>
      <c r="H683" s="140"/>
      <c r="I683" s="140"/>
      <c r="J683" s="140"/>
      <c r="K683" s="140"/>
      <c r="L683" s="140"/>
      <c r="M683" s="140"/>
      <c r="N683" s="140"/>
      <c r="O683" s="140"/>
      <c r="P683" s="140"/>
      <c r="Q683" s="140"/>
      <c r="R683" s="140"/>
      <c r="S683" s="140"/>
      <c r="T683" s="140"/>
      <c r="U683" s="140"/>
      <c r="V683" s="140"/>
      <c r="W683" s="140"/>
      <c r="X683" s="140"/>
      <c r="Y683" s="140"/>
      <c r="Z683" s="140"/>
      <c r="AA683" s="140"/>
      <c r="AB683" s="140"/>
      <c r="AC683" s="140"/>
      <c r="AD683" s="140"/>
    </row>
    <row r="684" spans="1:30" ht="15.75" customHeight="1" x14ac:dyDescent="0.2">
      <c r="A684" s="140"/>
      <c r="B684" s="140"/>
      <c r="C684" s="140"/>
      <c r="D684" s="140"/>
      <c r="E684" s="140"/>
      <c r="F684" s="140"/>
      <c r="G684" s="140"/>
      <c r="H684" s="140"/>
      <c r="I684" s="140"/>
      <c r="J684" s="140"/>
      <c r="K684" s="140"/>
      <c r="L684" s="140"/>
      <c r="M684" s="140"/>
      <c r="N684" s="140"/>
      <c r="O684" s="140"/>
      <c r="P684" s="140"/>
      <c r="Q684" s="140"/>
      <c r="R684" s="140"/>
      <c r="S684" s="140"/>
      <c r="T684" s="140"/>
      <c r="U684" s="140"/>
      <c r="V684" s="140"/>
      <c r="W684" s="140"/>
      <c r="X684" s="140"/>
      <c r="Y684" s="140"/>
      <c r="Z684" s="140"/>
      <c r="AA684" s="140"/>
      <c r="AB684" s="140"/>
      <c r="AC684" s="140"/>
      <c r="AD684" s="140"/>
    </row>
    <row r="685" spans="1:30" ht="15.75" customHeight="1" x14ac:dyDescent="0.2">
      <c r="A685" s="140"/>
      <c r="B685" s="140"/>
      <c r="C685" s="140"/>
      <c r="D685" s="140"/>
      <c r="E685" s="140"/>
      <c r="F685" s="140"/>
      <c r="G685" s="140"/>
      <c r="H685" s="140"/>
      <c r="I685" s="140"/>
      <c r="J685" s="140"/>
      <c r="K685" s="140"/>
      <c r="L685" s="140"/>
      <c r="M685" s="140"/>
      <c r="N685" s="140"/>
      <c r="O685" s="140"/>
      <c r="P685" s="140"/>
      <c r="Q685" s="140"/>
      <c r="R685" s="140"/>
      <c r="S685" s="140"/>
      <c r="T685" s="140"/>
      <c r="U685" s="140"/>
      <c r="V685" s="140"/>
      <c r="W685" s="140"/>
      <c r="X685" s="140"/>
      <c r="Y685" s="140"/>
      <c r="Z685" s="140"/>
      <c r="AA685" s="140"/>
      <c r="AB685" s="140"/>
      <c r="AC685" s="140"/>
      <c r="AD685" s="140"/>
    </row>
    <row r="686" spans="1:30" ht="15.75" customHeight="1" x14ac:dyDescent="0.2">
      <c r="A686" s="140"/>
      <c r="B686" s="140"/>
      <c r="C686" s="140"/>
      <c r="D686" s="140"/>
      <c r="E686" s="140"/>
      <c r="F686" s="140"/>
      <c r="G686" s="140"/>
      <c r="H686" s="140"/>
      <c r="I686" s="140"/>
      <c r="J686" s="140"/>
      <c r="K686" s="140"/>
      <c r="L686" s="140"/>
      <c r="M686" s="140"/>
      <c r="N686" s="140"/>
      <c r="O686" s="140"/>
      <c r="P686" s="140"/>
      <c r="Q686" s="140"/>
      <c r="R686" s="140"/>
      <c r="S686" s="140"/>
      <c r="T686" s="140"/>
      <c r="U686" s="140"/>
      <c r="V686" s="140"/>
      <c r="W686" s="140"/>
      <c r="X686" s="140"/>
      <c r="Y686" s="140"/>
      <c r="Z686" s="140"/>
      <c r="AA686" s="140"/>
      <c r="AB686" s="140"/>
      <c r="AC686" s="140"/>
      <c r="AD686" s="140"/>
    </row>
    <row r="687" spans="1:30" ht="15.75" customHeight="1" x14ac:dyDescent="0.2">
      <c r="A687" s="140"/>
      <c r="B687" s="140"/>
      <c r="C687" s="140"/>
      <c r="D687" s="140"/>
      <c r="E687" s="140"/>
      <c r="F687" s="140"/>
      <c r="G687" s="140"/>
      <c r="H687" s="140"/>
      <c r="I687" s="140"/>
      <c r="J687" s="140"/>
      <c r="K687" s="140"/>
      <c r="L687" s="140"/>
      <c r="M687" s="140"/>
      <c r="N687" s="140"/>
      <c r="O687" s="140"/>
      <c r="P687" s="140"/>
      <c r="Q687" s="140"/>
      <c r="R687" s="140"/>
      <c r="S687" s="140"/>
      <c r="T687" s="140"/>
      <c r="U687" s="140"/>
      <c r="V687" s="140"/>
      <c r="W687" s="140"/>
      <c r="X687" s="140"/>
      <c r="Y687" s="140"/>
      <c r="Z687" s="140"/>
      <c r="AA687" s="140"/>
      <c r="AB687" s="140"/>
      <c r="AC687" s="140"/>
      <c r="AD687" s="140"/>
    </row>
    <row r="688" spans="1:30" ht="15.75" customHeight="1" x14ac:dyDescent="0.2">
      <c r="A688" s="140"/>
      <c r="B688" s="140"/>
      <c r="C688" s="140"/>
      <c r="D688" s="140"/>
      <c r="E688" s="140"/>
      <c r="F688" s="140"/>
      <c r="G688" s="140"/>
      <c r="H688" s="140"/>
      <c r="I688" s="140"/>
      <c r="J688" s="140"/>
      <c r="K688" s="140"/>
      <c r="L688" s="140"/>
      <c r="M688" s="140"/>
      <c r="N688" s="140"/>
      <c r="O688" s="140"/>
      <c r="P688" s="140"/>
      <c r="Q688" s="140"/>
      <c r="R688" s="140"/>
      <c r="S688" s="140"/>
      <c r="T688" s="140"/>
      <c r="U688" s="140"/>
      <c r="V688" s="140"/>
      <c r="W688" s="140"/>
      <c r="X688" s="140"/>
      <c r="Y688" s="140"/>
      <c r="Z688" s="140"/>
      <c r="AA688" s="140"/>
      <c r="AB688" s="140"/>
      <c r="AC688" s="140"/>
      <c r="AD688" s="140"/>
    </row>
    <row r="689" spans="1:30" ht="15.75" customHeight="1" x14ac:dyDescent="0.2">
      <c r="A689" s="140"/>
      <c r="B689" s="140"/>
      <c r="C689" s="140"/>
      <c r="D689" s="140"/>
      <c r="E689" s="140"/>
      <c r="F689" s="140"/>
      <c r="G689" s="140"/>
      <c r="H689" s="140"/>
      <c r="I689" s="140"/>
      <c r="J689" s="140"/>
      <c r="K689" s="140"/>
      <c r="L689" s="140"/>
      <c r="M689" s="140"/>
      <c r="N689" s="140"/>
      <c r="O689" s="140"/>
      <c r="P689" s="140"/>
      <c r="Q689" s="140"/>
      <c r="R689" s="140"/>
      <c r="S689" s="140"/>
      <c r="T689" s="140"/>
      <c r="U689" s="140"/>
      <c r="V689" s="140"/>
      <c r="W689" s="140"/>
      <c r="X689" s="140"/>
      <c r="Y689" s="140"/>
      <c r="Z689" s="140"/>
      <c r="AA689" s="140"/>
      <c r="AB689" s="140"/>
      <c r="AC689" s="140"/>
      <c r="AD689" s="140"/>
    </row>
    <row r="690" spans="1:30" ht="15.75" customHeight="1" x14ac:dyDescent="0.2">
      <c r="A690" s="140"/>
      <c r="B690" s="140"/>
      <c r="C690" s="140"/>
      <c r="D690" s="140"/>
      <c r="E690" s="140"/>
      <c r="F690" s="140"/>
      <c r="G690" s="140"/>
      <c r="H690" s="140"/>
      <c r="I690" s="140"/>
      <c r="J690" s="140"/>
      <c r="K690" s="140"/>
      <c r="L690" s="140"/>
      <c r="M690" s="140"/>
      <c r="N690" s="140"/>
      <c r="O690" s="140"/>
      <c r="P690" s="140"/>
      <c r="Q690" s="140"/>
      <c r="R690" s="140"/>
      <c r="S690" s="140"/>
      <c r="T690" s="140"/>
      <c r="U690" s="140"/>
      <c r="V690" s="140"/>
      <c r="W690" s="140"/>
      <c r="X690" s="140"/>
      <c r="Y690" s="140"/>
      <c r="Z690" s="140"/>
      <c r="AA690" s="140"/>
      <c r="AB690" s="140"/>
      <c r="AC690" s="140"/>
      <c r="AD690" s="140"/>
    </row>
    <row r="691" spans="1:30" ht="15.75" customHeight="1" x14ac:dyDescent="0.2">
      <c r="A691" s="140"/>
      <c r="B691" s="140"/>
      <c r="C691" s="140"/>
      <c r="D691" s="140"/>
      <c r="E691" s="140"/>
      <c r="F691" s="140"/>
      <c r="G691" s="140"/>
      <c r="H691" s="140"/>
      <c r="I691" s="140"/>
      <c r="J691" s="140"/>
      <c r="K691" s="140"/>
      <c r="L691" s="140"/>
      <c r="M691" s="140"/>
      <c r="N691" s="140"/>
      <c r="O691" s="140"/>
      <c r="P691" s="140"/>
      <c r="Q691" s="140"/>
      <c r="R691" s="140"/>
      <c r="S691" s="140"/>
      <c r="T691" s="140"/>
      <c r="U691" s="140"/>
      <c r="V691" s="140"/>
      <c r="W691" s="140"/>
      <c r="X691" s="140"/>
      <c r="Y691" s="140"/>
      <c r="Z691" s="140"/>
      <c r="AA691" s="140"/>
      <c r="AB691" s="140"/>
      <c r="AC691" s="140"/>
      <c r="AD691" s="140"/>
    </row>
    <row r="692" spans="1:30" ht="15.75" customHeight="1" x14ac:dyDescent="0.2">
      <c r="A692" s="140"/>
      <c r="B692" s="140"/>
      <c r="C692" s="140"/>
      <c r="D692" s="140"/>
      <c r="E692" s="140"/>
      <c r="F692" s="140"/>
      <c r="G692" s="140"/>
      <c r="H692" s="140"/>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row>
    <row r="693" spans="1:30" ht="15.75" customHeight="1" x14ac:dyDescent="0.2">
      <c r="A693" s="140"/>
      <c r="B693" s="140"/>
      <c r="C693" s="140"/>
      <c r="D693" s="140"/>
      <c r="E693" s="140"/>
      <c r="F693" s="140"/>
      <c r="G693" s="140"/>
      <c r="H693" s="140"/>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row>
    <row r="694" spans="1:30" ht="15.75" customHeight="1" x14ac:dyDescent="0.2">
      <c r="A694" s="140"/>
      <c r="B694" s="140"/>
      <c r="C694" s="140"/>
      <c r="D694" s="140"/>
      <c r="E694" s="140"/>
      <c r="F694" s="140"/>
      <c r="G694" s="140"/>
      <c r="H694" s="140"/>
      <c r="I694" s="140"/>
      <c r="J694" s="140"/>
      <c r="K694" s="140"/>
      <c r="L694" s="140"/>
      <c r="M694" s="140"/>
      <c r="N694" s="140"/>
      <c r="O694" s="140"/>
      <c r="P694" s="140"/>
      <c r="Q694" s="140"/>
      <c r="R694" s="140"/>
      <c r="S694" s="140"/>
      <c r="T694" s="140"/>
      <c r="U694" s="140"/>
      <c r="V694" s="140"/>
      <c r="W694" s="140"/>
      <c r="X694" s="140"/>
      <c r="Y694" s="140"/>
      <c r="Z694" s="140"/>
      <c r="AA694" s="140"/>
      <c r="AB694" s="140"/>
      <c r="AC694" s="140"/>
      <c r="AD694" s="140"/>
    </row>
    <row r="695" spans="1:30" ht="15.75" customHeight="1" x14ac:dyDescent="0.2">
      <c r="A695" s="140"/>
      <c r="B695" s="140"/>
      <c r="C695" s="140"/>
      <c r="D695" s="140"/>
      <c r="E695" s="140"/>
      <c r="F695" s="140"/>
      <c r="G695" s="140"/>
      <c r="H695" s="140"/>
      <c r="I695" s="140"/>
      <c r="J695" s="140"/>
      <c r="K695" s="140"/>
      <c r="L695" s="140"/>
      <c r="M695" s="140"/>
      <c r="N695" s="140"/>
      <c r="O695" s="140"/>
      <c r="P695" s="140"/>
      <c r="Q695" s="140"/>
      <c r="R695" s="140"/>
      <c r="S695" s="140"/>
      <c r="T695" s="140"/>
      <c r="U695" s="140"/>
      <c r="V695" s="140"/>
      <c r="W695" s="140"/>
      <c r="X695" s="140"/>
      <c r="Y695" s="140"/>
      <c r="Z695" s="140"/>
      <c r="AA695" s="140"/>
      <c r="AB695" s="140"/>
      <c r="AC695" s="140"/>
      <c r="AD695" s="140"/>
    </row>
    <row r="696" spans="1:30" ht="15.75" customHeight="1" x14ac:dyDescent="0.2">
      <c r="A696" s="140"/>
      <c r="B696" s="140"/>
      <c r="C696" s="140"/>
      <c r="D696" s="140"/>
      <c r="E696" s="140"/>
      <c r="F696" s="140"/>
      <c r="G696" s="140"/>
      <c r="H696" s="140"/>
      <c r="I696" s="140"/>
      <c r="J696" s="140"/>
      <c r="K696" s="140"/>
      <c r="L696" s="140"/>
      <c r="M696" s="140"/>
      <c r="N696" s="140"/>
      <c r="O696" s="140"/>
      <c r="P696" s="140"/>
      <c r="Q696" s="140"/>
      <c r="R696" s="140"/>
      <c r="S696" s="140"/>
      <c r="T696" s="140"/>
      <c r="U696" s="140"/>
      <c r="V696" s="140"/>
      <c r="W696" s="140"/>
      <c r="X696" s="140"/>
      <c r="Y696" s="140"/>
      <c r="Z696" s="140"/>
      <c r="AA696" s="140"/>
      <c r="AB696" s="140"/>
      <c r="AC696" s="140"/>
      <c r="AD696" s="140"/>
    </row>
    <row r="697" spans="1:30" ht="15.75" customHeight="1" x14ac:dyDescent="0.2">
      <c r="A697" s="140"/>
      <c r="B697" s="140"/>
      <c r="C697" s="140"/>
      <c r="D697" s="140"/>
      <c r="E697" s="140"/>
      <c r="F697" s="140"/>
      <c r="G697" s="140"/>
      <c r="H697" s="140"/>
      <c r="I697" s="140"/>
      <c r="J697" s="140"/>
      <c r="K697" s="140"/>
      <c r="L697" s="140"/>
      <c r="M697" s="140"/>
      <c r="N697" s="140"/>
      <c r="O697" s="140"/>
      <c r="P697" s="140"/>
      <c r="Q697" s="140"/>
      <c r="R697" s="140"/>
      <c r="S697" s="140"/>
      <c r="T697" s="140"/>
      <c r="U697" s="140"/>
      <c r="V697" s="140"/>
      <c r="W697" s="140"/>
      <c r="X697" s="140"/>
      <c r="Y697" s="140"/>
      <c r="Z697" s="140"/>
      <c r="AA697" s="140"/>
      <c r="AB697" s="140"/>
      <c r="AC697" s="140"/>
      <c r="AD697" s="140"/>
    </row>
    <row r="698" spans="1:30" ht="15.75" customHeight="1" x14ac:dyDescent="0.2">
      <c r="A698" s="140"/>
      <c r="B698" s="140"/>
      <c r="C698" s="140"/>
      <c r="D698" s="140"/>
      <c r="E698" s="140"/>
      <c r="F698" s="140"/>
      <c r="G698" s="140"/>
      <c r="H698" s="140"/>
      <c r="I698" s="140"/>
      <c r="J698" s="140"/>
      <c r="K698" s="140"/>
      <c r="L698" s="140"/>
      <c r="M698" s="140"/>
      <c r="N698" s="140"/>
      <c r="O698" s="140"/>
      <c r="P698" s="140"/>
      <c r="Q698" s="140"/>
      <c r="R698" s="140"/>
      <c r="S698" s="140"/>
      <c r="T698" s="140"/>
      <c r="U698" s="140"/>
      <c r="V698" s="140"/>
      <c r="W698" s="140"/>
      <c r="X698" s="140"/>
      <c r="Y698" s="140"/>
      <c r="Z698" s="140"/>
      <c r="AA698" s="140"/>
      <c r="AB698" s="140"/>
      <c r="AC698" s="140"/>
      <c r="AD698" s="140"/>
    </row>
    <row r="699" spans="1:30" ht="15.75" customHeight="1" x14ac:dyDescent="0.2">
      <c r="A699" s="140"/>
      <c r="B699" s="140"/>
      <c r="C699" s="140"/>
      <c r="D699" s="140"/>
      <c r="E699" s="140"/>
      <c r="F699" s="140"/>
      <c r="G699" s="140"/>
      <c r="H699" s="140"/>
      <c r="I699" s="140"/>
      <c r="J699" s="140"/>
      <c r="K699" s="140"/>
      <c r="L699" s="140"/>
      <c r="M699" s="140"/>
      <c r="N699" s="140"/>
      <c r="O699" s="140"/>
      <c r="P699" s="140"/>
      <c r="Q699" s="140"/>
      <c r="R699" s="140"/>
      <c r="S699" s="140"/>
      <c r="T699" s="140"/>
      <c r="U699" s="140"/>
      <c r="V699" s="140"/>
      <c r="W699" s="140"/>
      <c r="X699" s="140"/>
      <c r="Y699" s="140"/>
      <c r="Z699" s="140"/>
      <c r="AA699" s="140"/>
      <c r="AB699" s="140"/>
      <c r="AC699" s="140"/>
      <c r="AD699" s="140"/>
    </row>
    <row r="700" spans="1:30" ht="15.75" customHeight="1" x14ac:dyDescent="0.2">
      <c r="A700" s="140"/>
      <c r="B700" s="140"/>
      <c r="C700" s="140"/>
      <c r="D700" s="140"/>
      <c r="E700" s="140"/>
      <c r="F700" s="140"/>
      <c r="G700" s="140"/>
      <c r="H700" s="140"/>
      <c r="I700" s="140"/>
      <c r="J700" s="140"/>
      <c r="K700" s="140"/>
      <c r="L700" s="140"/>
      <c r="M700" s="140"/>
      <c r="N700" s="140"/>
      <c r="O700" s="140"/>
      <c r="P700" s="140"/>
      <c r="Q700" s="140"/>
      <c r="R700" s="140"/>
      <c r="S700" s="140"/>
      <c r="T700" s="140"/>
      <c r="U700" s="140"/>
      <c r="V700" s="140"/>
      <c r="W700" s="140"/>
      <c r="X700" s="140"/>
      <c r="Y700" s="140"/>
      <c r="Z700" s="140"/>
      <c r="AA700" s="140"/>
      <c r="AB700" s="140"/>
      <c r="AC700" s="140"/>
      <c r="AD700" s="140"/>
    </row>
    <row r="701" spans="1:30" ht="15.75" customHeight="1" x14ac:dyDescent="0.2">
      <c r="A701" s="140"/>
      <c r="B701" s="140"/>
      <c r="C701" s="140"/>
      <c r="D701" s="140"/>
      <c r="E701" s="140"/>
      <c r="F701" s="140"/>
      <c r="G701" s="140"/>
      <c r="H701" s="140"/>
      <c r="I701" s="140"/>
      <c r="J701" s="140"/>
      <c r="K701" s="140"/>
      <c r="L701" s="140"/>
      <c r="M701" s="140"/>
      <c r="N701" s="140"/>
      <c r="O701" s="140"/>
      <c r="P701" s="140"/>
      <c r="Q701" s="140"/>
      <c r="R701" s="140"/>
      <c r="S701" s="140"/>
      <c r="T701" s="140"/>
      <c r="U701" s="140"/>
      <c r="V701" s="140"/>
      <c r="W701" s="140"/>
      <c r="X701" s="140"/>
      <c r="Y701" s="140"/>
      <c r="Z701" s="140"/>
      <c r="AA701" s="140"/>
      <c r="AB701" s="140"/>
      <c r="AC701" s="140"/>
      <c r="AD701" s="140"/>
    </row>
    <row r="702" spans="1:30" ht="15.75" customHeight="1" x14ac:dyDescent="0.2">
      <c r="A702" s="140"/>
      <c r="B702" s="140"/>
      <c r="C702" s="140"/>
      <c r="D702" s="140"/>
      <c r="E702" s="140"/>
      <c r="F702" s="140"/>
      <c r="G702" s="140"/>
      <c r="H702" s="140"/>
      <c r="I702" s="140"/>
      <c r="J702" s="140"/>
      <c r="K702" s="140"/>
      <c r="L702" s="140"/>
      <c r="M702" s="140"/>
      <c r="N702" s="140"/>
      <c r="O702" s="140"/>
      <c r="P702" s="140"/>
      <c r="Q702" s="140"/>
      <c r="R702" s="140"/>
      <c r="S702" s="140"/>
      <c r="T702" s="140"/>
      <c r="U702" s="140"/>
      <c r="V702" s="140"/>
      <c r="W702" s="140"/>
      <c r="X702" s="140"/>
      <c r="Y702" s="140"/>
      <c r="Z702" s="140"/>
      <c r="AA702" s="140"/>
      <c r="AB702" s="140"/>
      <c r="AC702" s="140"/>
      <c r="AD702" s="140"/>
    </row>
    <row r="703" spans="1:30" ht="15.75" customHeight="1" x14ac:dyDescent="0.2">
      <c r="A703" s="140"/>
      <c r="B703" s="140"/>
      <c r="C703" s="140"/>
      <c r="D703" s="140"/>
      <c r="E703" s="140"/>
      <c r="F703" s="140"/>
      <c r="G703" s="140"/>
      <c r="H703" s="140"/>
      <c r="I703" s="140"/>
      <c r="J703" s="140"/>
      <c r="K703" s="140"/>
      <c r="L703" s="140"/>
      <c r="M703" s="140"/>
      <c r="N703" s="140"/>
      <c r="O703" s="140"/>
      <c r="P703" s="140"/>
      <c r="Q703" s="140"/>
      <c r="R703" s="140"/>
      <c r="S703" s="140"/>
      <c r="T703" s="140"/>
      <c r="U703" s="140"/>
      <c r="V703" s="140"/>
      <c r="W703" s="140"/>
      <c r="X703" s="140"/>
      <c r="Y703" s="140"/>
      <c r="Z703" s="140"/>
      <c r="AA703" s="140"/>
      <c r="AB703" s="140"/>
      <c r="AC703" s="140"/>
      <c r="AD703" s="140"/>
    </row>
    <row r="704" spans="1:30" ht="15.75" customHeight="1" x14ac:dyDescent="0.2">
      <c r="A704" s="140"/>
      <c r="B704" s="140"/>
      <c r="C704" s="140"/>
      <c r="D704" s="140"/>
      <c r="E704" s="140"/>
      <c r="F704" s="140"/>
      <c r="G704" s="140"/>
      <c r="H704" s="140"/>
      <c r="I704" s="140"/>
      <c r="J704" s="140"/>
      <c r="K704" s="140"/>
      <c r="L704" s="140"/>
      <c r="M704" s="140"/>
      <c r="N704" s="140"/>
      <c r="O704" s="140"/>
      <c r="P704" s="140"/>
      <c r="Q704" s="140"/>
      <c r="R704" s="140"/>
      <c r="S704" s="140"/>
      <c r="T704" s="140"/>
      <c r="U704" s="140"/>
      <c r="V704" s="140"/>
      <c r="W704" s="140"/>
      <c r="X704" s="140"/>
      <c r="Y704" s="140"/>
      <c r="Z704" s="140"/>
      <c r="AA704" s="140"/>
      <c r="AB704" s="140"/>
      <c r="AC704" s="140"/>
      <c r="AD704" s="140"/>
    </row>
    <row r="705" spans="1:30" ht="15.75" customHeight="1" x14ac:dyDescent="0.2">
      <c r="A705" s="140"/>
      <c r="B705" s="140"/>
      <c r="C705" s="140"/>
      <c r="D705" s="140"/>
      <c r="E705" s="140"/>
      <c r="F705" s="140"/>
      <c r="G705" s="140"/>
      <c r="H705" s="140"/>
      <c r="I705" s="140"/>
      <c r="J705" s="140"/>
      <c r="K705" s="140"/>
      <c r="L705" s="140"/>
      <c r="M705" s="140"/>
      <c r="N705" s="140"/>
      <c r="O705" s="140"/>
      <c r="P705" s="140"/>
      <c r="Q705" s="140"/>
      <c r="R705" s="140"/>
      <c r="S705" s="140"/>
      <c r="T705" s="140"/>
      <c r="U705" s="140"/>
      <c r="V705" s="140"/>
      <c r="W705" s="140"/>
      <c r="X705" s="140"/>
      <c r="Y705" s="140"/>
      <c r="Z705" s="140"/>
      <c r="AA705" s="140"/>
      <c r="AB705" s="140"/>
      <c r="AC705" s="140"/>
      <c r="AD705" s="140"/>
    </row>
    <row r="706" spans="1:30" ht="15.75" customHeight="1" x14ac:dyDescent="0.2">
      <c r="A706" s="140"/>
      <c r="B706" s="140"/>
      <c r="C706" s="140"/>
      <c r="D706" s="140"/>
      <c r="E706" s="140"/>
      <c r="F706" s="140"/>
      <c r="G706" s="140"/>
      <c r="H706" s="140"/>
      <c r="I706" s="140"/>
      <c r="J706" s="140"/>
      <c r="K706" s="140"/>
      <c r="L706" s="140"/>
      <c r="M706" s="140"/>
      <c r="N706" s="140"/>
      <c r="O706" s="140"/>
      <c r="P706" s="140"/>
      <c r="Q706" s="140"/>
      <c r="R706" s="140"/>
      <c r="S706" s="140"/>
      <c r="T706" s="140"/>
      <c r="U706" s="140"/>
      <c r="V706" s="140"/>
      <c r="W706" s="140"/>
      <c r="X706" s="140"/>
      <c r="Y706" s="140"/>
      <c r="Z706" s="140"/>
      <c r="AA706" s="140"/>
      <c r="AB706" s="140"/>
      <c r="AC706" s="140"/>
      <c r="AD706" s="140"/>
    </row>
    <row r="707" spans="1:30" ht="15.75" customHeight="1" x14ac:dyDescent="0.2">
      <c r="A707" s="140"/>
      <c r="B707" s="140"/>
      <c r="C707" s="140"/>
      <c r="D707" s="140"/>
      <c r="E707" s="140"/>
      <c r="F707" s="140"/>
      <c r="G707" s="140"/>
      <c r="H707" s="140"/>
      <c r="I707" s="140"/>
      <c r="J707" s="140"/>
      <c r="K707" s="140"/>
      <c r="L707" s="140"/>
      <c r="M707" s="140"/>
      <c r="N707" s="140"/>
      <c r="O707" s="140"/>
      <c r="P707" s="140"/>
      <c r="Q707" s="140"/>
      <c r="R707" s="140"/>
      <c r="S707" s="140"/>
      <c r="T707" s="140"/>
      <c r="U707" s="140"/>
      <c r="V707" s="140"/>
      <c r="W707" s="140"/>
      <c r="X707" s="140"/>
      <c r="Y707" s="140"/>
      <c r="Z707" s="140"/>
      <c r="AA707" s="140"/>
      <c r="AB707" s="140"/>
      <c r="AC707" s="140"/>
      <c r="AD707" s="140"/>
    </row>
    <row r="708" spans="1:30" ht="15.75" customHeight="1" x14ac:dyDescent="0.2">
      <c r="A708" s="140"/>
      <c r="B708" s="140"/>
      <c r="C708" s="140"/>
      <c r="D708" s="140"/>
      <c r="E708" s="140"/>
      <c r="F708" s="140"/>
      <c r="G708" s="140"/>
      <c r="H708" s="140"/>
      <c r="I708" s="140"/>
      <c r="J708" s="140"/>
      <c r="K708" s="140"/>
      <c r="L708" s="140"/>
      <c r="M708" s="140"/>
      <c r="N708" s="140"/>
      <c r="O708" s="140"/>
      <c r="P708" s="140"/>
      <c r="Q708" s="140"/>
      <c r="R708" s="140"/>
      <c r="S708" s="140"/>
      <c r="T708" s="140"/>
      <c r="U708" s="140"/>
      <c r="V708" s="140"/>
      <c r="W708" s="140"/>
      <c r="X708" s="140"/>
      <c r="Y708" s="140"/>
      <c r="Z708" s="140"/>
      <c r="AA708" s="140"/>
      <c r="AB708" s="140"/>
      <c r="AC708" s="140"/>
      <c r="AD708" s="140"/>
    </row>
    <row r="709" spans="1:30" ht="15.75" customHeight="1" x14ac:dyDescent="0.2">
      <c r="A709" s="140"/>
      <c r="B709" s="140"/>
      <c r="C709" s="140"/>
      <c r="D709" s="140"/>
      <c r="E709" s="140"/>
      <c r="F709" s="140"/>
      <c r="G709" s="140"/>
      <c r="H709" s="140"/>
      <c r="I709" s="140"/>
      <c r="J709" s="140"/>
      <c r="K709" s="140"/>
      <c r="L709" s="140"/>
      <c r="M709" s="140"/>
      <c r="N709" s="140"/>
      <c r="O709" s="140"/>
      <c r="P709" s="140"/>
      <c r="Q709" s="140"/>
      <c r="R709" s="140"/>
      <c r="S709" s="140"/>
      <c r="T709" s="140"/>
      <c r="U709" s="140"/>
      <c r="V709" s="140"/>
      <c r="W709" s="140"/>
      <c r="X709" s="140"/>
      <c r="Y709" s="140"/>
      <c r="Z709" s="140"/>
      <c r="AA709" s="140"/>
      <c r="AB709" s="140"/>
      <c r="AC709" s="140"/>
      <c r="AD709" s="140"/>
    </row>
    <row r="710" spans="1:30" ht="15.75" customHeight="1" x14ac:dyDescent="0.2">
      <c r="A710" s="140"/>
      <c r="B710" s="140"/>
      <c r="C710" s="140"/>
      <c r="D710" s="140"/>
      <c r="E710" s="140"/>
      <c r="F710" s="140"/>
      <c r="G710" s="140"/>
      <c r="H710" s="140"/>
      <c r="I710" s="140"/>
      <c r="J710" s="140"/>
      <c r="K710" s="140"/>
      <c r="L710" s="140"/>
      <c r="M710" s="140"/>
      <c r="N710" s="140"/>
      <c r="O710" s="140"/>
      <c r="P710" s="140"/>
      <c r="Q710" s="140"/>
      <c r="R710" s="140"/>
      <c r="S710" s="140"/>
      <c r="T710" s="140"/>
      <c r="U710" s="140"/>
      <c r="V710" s="140"/>
      <c r="W710" s="140"/>
      <c r="X710" s="140"/>
      <c r="Y710" s="140"/>
      <c r="Z710" s="140"/>
      <c r="AA710" s="140"/>
      <c r="AB710" s="140"/>
      <c r="AC710" s="140"/>
      <c r="AD710" s="140"/>
    </row>
    <row r="711" spans="1:30" ht="15.75" customHeight="1" x14ac:dyDescent="0.2">
      <c r="A711" s="140"/>
      <c r="B711" s="140"/>
      <c r="C711" s="140"/>
      <c r="D711" s="140"/>
      <c r="E711" s="140"/>
      <c r="F711" s="140"/>
      <c r="G711" s="140"/>
      <c r="H711" s="140"/>
      <c r="I711" s="140"/>
      <c r="J711" s="140"/>
      <c r="K711" s="140"/>
      <c r="L711" s="140"/>
      <c r="M711" s="140"/>
      <c r="N711" s="140"/>
      <c r="O711" s="140"/>
      <c r="P711" s="140"/>
      <c r="Q711" s="140"/>
      <c r="R711" s="140"/>
      <c r="S711" s="140"/>
      <c r="T711" s="140"/>
      <c r="U711" s="140"/>
      <c r="V711" s="140"/>
      <c r="W711" s="140"/>
      <c r="X711" s="140"/>
      <c r="Y711" s="140"/>
      <c r="Z711" s="140"/>
      <c r="AA711" s="140"/>
      <c r="AB711" s="140"/>
      <c r="AC711" s="140"/>
      <c r="AD711" s="140"/>
    </row>
    <row r="712" spans="1:30" ht="15.75" customHeight="1" x14ac:dyDescent="0.2">
      <c r="A712" s="140"/>
      <c r="B712" s="140"/>
      <c r="C712" s="140"/>
      <c r="D712" s="140"/>
      <c r="E712" s="140"/>
      <c r="F712" s="140"/>
      <c r="G712" s="140"/>
      <c r="H712" s="140"/>
      <c r="I712" s="140"/>
      <c r="J712" s="140"/>
      <c r="K712" s="140"/>
      <c r="L712" s="140"/>
      <c r="M712" s="140"/>
      <c r="N712" s="140"/>
      <c r="O712" s="140"/>
      <c r="P712" s="140"/>
      <c r="Q712" s="140"/>
      <c r="R712" s="140"/>
      <c r="S712" s="140"/>
      <c r="T712" s="140"/>
      <c r="U712" s="140"/>
      <c r="V712" s="140"/>
      <c r="W712" s="140"/>
      <c r="X712" s="140"/>
      <c r="Y712" s="140"/>
      <c r="Z712" s="140"/>
      <c r="AA712" s="140"/>
      <c r="AB712" s="140"/>
      <c r="AC712" s="140"/>
      <c r="AD712" s="140"/>
    </row>
    <row r="713" spans="1:30" ht="15.75" customHeight="1" x14ac:dyDescent="0.2">
      <c r="A713" s="140"/>
      <c r="B713" s="140"/>
      <c r="C713" s="140"/>
      <c r="D713" s="140"/>
      <c r="E713" s="140"/>
      <c r="F713" s="140"/>
      <c r="G713" s="140"/>
      <c r="H713" s="140"/>
      <c r="I713" s="140"/>
      <c r="J713" s="140"/>
      <c r="K713" s="140"/>
      <c r="L713" s="140"/>
      <c r="M713" s="140"/>
      <c r="N713" s="140"/>
      <c r="O713" s="140"/>
      <c r="P713" s="140"/>
      <c r="Q713" s="140"/>
      <c r="R713" s="140"/>
      <c r="S713" s="140"/>
      <c r="T713" s="140"/>
      <c r="U713" s="140"/>
      <c r="V713" s="140"/>
      <c r="W713" s="140"/>
      <c r="X713" s="140"/>
      <c r="Y713" s="140"/>
      <c r="Z713" s="140"/>
      <c r="AA713" s="140"/>
      <c r="AB713" s="140"/>
      <c r="AC713" s="140"/>
      <c r="AD713" s="140"/>
    </row>
    <row r="714" spans="1:30" ht="15.75" customHeight="1" x14ac:dyDescent="0.2">
      <c r="A714" s="140"/>
      <c r="B714" s="140"/>
      <c r="C714" s="140"/>
      <c r="D714" s="140"/>
      <c r="E714" s="140"/>
      <c r="F714" s="140"/>
      <c r="G714" s="140"/>
      <c r="H714" s="140"/>
      <c r="I714" s="140"/>
      <c r="J714" s="140"/>
      <c r="K714" s="140"/>
      <c r="L714" s="140"/>
      <c r="M714" s="140"/>
      <c r="N714" s="140"/>
      <c r="O714" s="140"/>
      <c r="P714" s="140"/>
      <c r="Q714" s="140"/>
      <c r="R714" s="140"/>
      <c r="S714" s="140"/>
      <c r="T714" s="140"/>
      <c r="U714" s="140"/>
      <c r="V714" s="140"/>
      <c r="W714" s="140"/>
      <c r="X714" s="140"/>
      <c r="Y714" s="140"/>
      <c r="Z714" s="140"/>
      <c r="AA714" s="140"/>
      <c r="AB714" s="140"/>
      <c r="AC714" s="140"/>
      <c r="AD714" s="140"/>
    </row>
    <row r="715" spans="1:30" ht="15.75" customHeight="1" x14ac:dyDescent="0.2">
      <c r="A715" s="140"/>
      <c r="B715" s="140"/>
      <c r="C715" s="140"/>
      <c r="D715" s="140"/>
      <c r="E715" s="140"/>
      <c r="F715" s="140"/>
      <c r="G715" s="140"/>
      <c r="H715" s="140"/>
      <c r="I715" s="140"/>
      <c r="J715" s="140"/>
      <c r="K715" s="140"/>
      <c r="L715" s="140"/>
      <c r="M715" s="140"/>
      <c r="N715" s="140"/>
      <c r="O715" s="140"/>
      <c r="P715" s="140"/>
      <c r="Q715" s="140"/>
      <c r="R715" s="140"/>
      <c r="S715" s="140"/>
      <c r="T715" s="140"/>
      <c r="U715" s="140"/>
      <c r="V715" s="140"/>
      <c r="W715" s="140"/>
      <c r="X715" s="140"/>
      <c r="Y715" s="140"/>
      <c r="Z715" s="140"/>
      <c r="AA715" s="140"/>
      <c r="AB715" s="140"/>
      <c r="AC715" s="140"/>
      <c r="AD715" s="140"/>
    </row>
    <row r="716" spans="1:30" ht="15.75" customHeight="1" x14ac:dyDescent="0.2">
      <c r="A716" s="140"/>
      <c r="B716" s="140"/>
      <c r="C716" s="140"/>
      <c r="D716" s="140"/>
      <c r="E716" s="140"/>
      <c r="F716" s="140"/>
      <c r="G716" s="140"/>
      <c r="H716" s="140"/>
      <c r="I716" s="140"/>
      <c r="J716" s="140"/>
      <c r="K716" s="140"/>
      <c r="L716" s="140"/>
      <c r="M716" s="140"/>
      <c r="N716" s="140"/>
      <c r="O716" s="140"/>
      <c r="P716" s="140"/>
      <c r="Q716" s="140"/>
      <c r="R716" s="140"/>
      <c r="S716" s="140"/>
      <c r="T716" s="140"/>
      <c r="U716" s="140"/>
      <c r="V716" s="140"/>
      <c r="W716" s="140"/>
      <c r="X716" s="140"/>
      <c r="Y716" s="140"/>
      <c r="Z716" s="140"/>
      <c r="AA716" s="140"/>
      <c r="AB716" s="140"/>
      <c r="AC716" s="140"/>
      <c r="AD716" s="140"/>
    </row>
    <row r="717" spans="1:30" ht="15.75" customHeight="1" x14ac:dyDescent="0.2">
      <c r="A717" s="140"/>
      <c r="B717" s="140"/>
      <c r="C717" s="140"/>
      <c r="D717" s="140"/>
      <c r="E717" s="140"/>
      <c r="F717" s="140"/>
      <c r="G717" s="140"/>
      <c r="H717" s="140"/>
      <c r="I717" s="140"/>
      <c r="J717" s="140"/>
      <c r="K717" s="140"/>
      <c r="L717" s="140"/>
      <c r="M717" s="140"/>
      <c r="N717" s="140"/>
      <c r="O717" s="140"/>
      <c r="P717" s="140"/>
      <c r="Q717" s="140"/>
      <c r="R717" s="140"/>
      <c r="S717" s="140"/>
      <c r="T717" s="140"/>
      <c r="U717" s="140"/>
      <c r="V717" s="140"/>
      <c r="W717" s="140"/>
      <c r="X717" s="140"/>
      <c r="Y717" s="140"/>
      <c r="Z717" s="140"/>
      <c r="AA717" s="140"/>
      <c r="AB717" s="140"/>
      <c r="AC717" s="140"/>
      <c r="AD717" s="140"/>
    </row>
    <row r="718" spans="1:30" ht="15.75" customHeight="1" x14ac:dyDescent="0.2">
      <c r="A718" s="140"/>
      <c r="B718" s="140"/>
      <c r="C718" s="140"/>
      <c r="D718" s="140"/>
      <c r="E718" s="140"/>
      <c r="F718" s="140"/>
      <c r="G718" s="140"/>
      <c r="H718" s="140"/>
      <c r="I718" s="140"/>
      <c r="J718" s="140"/>
      <c r="K718" s="140"/>
      <c r="L718" s="140"/>
      <c r="M718" s="140"/>
      <c r="N718" s="140"/>
      <c r="O718" s="140"/>
      <c r="P718" s="140"/>
      <c r="Q718" s="140"/>
      <c r="R718" s="140"/>
      <c r="S718" s="140"/>
      <c r="T718" s="140"/>
      <c r="U718" s="140"/>
      <c r="V718" s="140"/>
      <c r="W718" s="140"/>
      <c r="X718" s="140"/>
      <c r="Y718" s="140"/>
      <c r="Z718" s="140"/>
      <c r="AA718" s="140"/>
      <c r="AB718" s="140"/>
      <c r="AC718" s="140"/>
      <c r="AD718" s="140"/>
    </row>
    <row r="719" spans="1:30" ht="15.75" customHeight="1" x14ac:dyDescent="0.2">
      <c r="A719" s="140"/>
      <c r="B719" s="140"/>
      <c r="C719" s="140"/>
      <c r="D719" s="140"/>
      <c r="E719" s="140"/>
      <c r="F719" s="140"/>
      <c r="G719" s="140"/>
      <c r="H719" s="140"/>
      <c r="I719" s="140"/>
      <c r="J719" s="140"/>
      <c r="K719" s="140"/>
      <c r="L719" s="140"/>
      <c r="M719" s="140"/>
      <c r="N719" s="140"/>
      <c r="O719" s="140"/>
      <c r="P719" s="140"/>
      <c r="Q719" s="140"/>
      <c r="R719" s="140"/>
      <c r="S719" s="140"/>
      <c r="T719" s="140"/>
      <c r="U719" s="140"/>
      <c r="V719" s="140"/>
      <c r="W719" s="140"/>
      <c r="X719" s="140"/>
      <c r="Y719" s="140"/>
      <c r="Z719" s="140"/>
      <c r="AA719" s="140"/>
      <c r="AB719" s="140"/>
      <c r="AC719" s="140"/>
      <c r="AD719" s="140"/>
    </row>
    <row r="720" spans="1:30" ht="15.75" customHeight="1" x14ac:dyDescent="0.2">
      <c r="A720" s="140"/>
      <c r="B720" s="140"/>
      <c r="C720" s="140"/>
      <c r="D720" s="140"/>
      <c r="E720" s="140"/>
      <c r="F720" s="140"/>
      <c r="G720" s="140"/>
      <c r="H720" s="140"/>
      <c r="I720" s="140"/>
      <c r="J720" s="140"/>
      <c r="K720" s="140"/>
      <c r="L720" s="140"/>
      <c r="M720" s="140"/>
      <c r="N720" s="140"/>
      <c r="O720" s="140"/>
      <c r="P720" s="140"/>
      <c r="Q720" s="140"/>
      <c r="R720" s="140"/>
      <c r="S720" s="140"/>
      <c r="T720" s="140"/>
      <c r="U720" s="140"/>
      <c r="V720" s="140"/>
      <c r="W720" s="140"/>
      <c r="X720" s="140"/>
      <c r="Y720" s="140"/>
      <c r="Z720" s="140"/>
      <c r="AA720" s="140"/>
      <c r="AB720" s="140"/>
      <c r="AC720" s="140"/>
      <c r="AD720" s="140"/>
    </row>
    <row r="721" spans="1:30" ht="15.75" customHeight="1" x14ac:dyDescent="0.2">
      <c r="A721" s="140"/>
      <c r="B721" s="140"/>
      <c r="C721" s="140"/>
      <c r="D721" s="140"/>
      <c r="E721" s="140"/>
      <c r="F721" s="140"/>
      <c r="G721" s="140"/>
      <c r="H721" s="140"/>
      <c r="I721" s="140"/>
      <c r="J721" s="140"/>
      <c r="K721" s="140"/>
      <c r="L721" s="140"/>
      <c r="M721" s="140"/>
      <c r="N721" s="140"/>
      <c r="O721" s="140"/>
      <c r="P721" s="140"/>
      <c r="Q721" s="140"/>
      <c r="R721" s="140"/>
      <c r="S721" s="140"/>
      <c r="T721" s="140"/>
      <c r="U721" s="140"/>
      <c r="V721" s="140"/>
      <c r="W721" s="140"/>
      <c r="X721" s="140"/>
      <c r="Y721" s="140"/>
      <c r="Z721" s="140"/>
      <c r="AA721" s="140"/>
      <c r="AB721" s="140"/>
      <c r="AC721" s="140"/>
      <c r="AD721" s="140"/>
    </row>
    <row r="722" spans="1:30" ht="15.75" customHeight="1" x14ac:dyDescent="0.2">
      <c r="A722" s="140"/>
      <c r="B722" s="140"/>
      <c r="C722" s="140"/>
      <c r="D722" s="140"/>
      <c r="E722" s="140"/>
      <c r="F722" s="140"/>
      <c r="G722" s="140"/>
      <c r="H722" s="140"/>
      <c r="I722" s="140"/>
      <c r="J722" s="140"/>
      <c r="K722" s="140"/>
      <c r="L722" s="140"/>
      <c r="M722" s="140"/>
      <c r="N722" s="140"/>
      <c r="O722" s="140"/>
      <c r="P722" s="140"/>
      <c r="Q722" s="140"/>
      <c r="R722" s="140"/>
      <c r="S722" s="140"/>
      <c r="T722" s="140"/>
      <c r="U722" s="140"/>
      <c r="V722" s="140"/>
      <c r="W722" s="140"/>
      <c r="X722" s="140"/>
      <c r="Y722" s="140"/>
      <c r="Z722" s="140"/>
      <c r="AA722" s="140"/>
      <c r="AB722" s="140"/>
      <c r="AC722" s="140"/>
      <c r="AD722" s="140"/>
    </row>
    <row r="723" spans="1:30" ht="15.75" customHeight="1" x14ac:dyDescent="0.2">
      <c r="A723" s="140"/>
      <c r="B723" s="140"/>
      <c r="C723" s="140"/>
      <c r="D723" s="140"/>
      <c r="E723" s="140"/>
      <c r="F723" s="140"/>
      <c r="G723" s="140"/>
      <c r="H723" s="140"/>
      <c r="I723" s="140"/>
      <c r="J723" s="140"/>
      <c r="K723" s="140"/>
      <c r="L723" s="140"/>
      <c r="M723" s="140"/>
      <c r="N723" s="140"/>
      <c r="O723" s="140"/>
      <c r="P723" s="140"/>
      <c r="Q723" s="140"/>
      <c r="R723" s="140"/>
      <c r="S723" s="140"/>
      <c r="T723" s="140"/>
      <c r="U723" s="140"/>
      <c r="V723" s="140"/>
      <c r="W723" s="140"/>
      <c r="X723" s="140"/>
      <c r="Y723" s="140"/>
      <c r="Z723" s="140"/>
      <c r="AA723" s="140"/>
      <c r="AB723" s="140"/>
      <c r="AC723" s="140"/>
      <c r="AD723" s="140"/>
    </row>
    <row r="724" spans="1:30" ht="15.75" customHeight="1" x14ac:dyDescent="0.2">
      <c r="A724" s="140"/>
      <c r="B724" s="140"/>
      <c r="C724" s="140"/>
      <c r="D724" s="140"/>
      <c r="E724" s="140"/>
      <c r="F724" s="140"/>
      <c r="G724" s="140"/>
      <c r="H724" s="140"/>
      <c r="I724" s="140"/>
      <c r="J724" s="140"/>
      <c r="K724" s="140"/>
      <c r="L724" s="140"/>
      <c r="M724" s="140"/>
      <c r="N724" s="140"/>
      <c r="O724" s="140"/>
      <c r="P724" s="140"/>
      <c r="Q724" s="140"/>
      <c r="R724" s="140"/>
      <c r="S724" s="140"/>
      <c r="T724" s="140"/>
      <c r="U724" s="140"/>
      <c r="V724" s="140"/>
      <c r="W724" s="140"/>
      <c r="X724" s="140"/>
      <c r="Y724" s="140"/>
      <c r="Z724" s="140"/>
      <c r="AA724" s="140"/>
      <c r="AB724" s="140"/>
      <c r="AC724" s="140"/>
      <c r="AD724" s="140"/>
    </row>
    <row r="725" spans="1:30" ht="15.75" customHeight="1" x14ac:dyDescent="0.2">
      <c r="A725" s="140"/>
      <c r="B725" s="140"/>
      <c r="C725" s="140"/>
      <c r="D725" s="140"/>
      <c r="E725" s="140"/>
      <c r="F725" s="140"/>
      <c r="G725" s="140"/>
      <c r="H725" s="140"/>
      <c r="I725" s="140"/>
      <c r="J725" s="140"/>
      <c r="K725" s="140"/>
      <c r="L725" s="140"/>
      <c r="M725" s="140"/>
      <c r="N725" s="140"/>
      <c r="O725" s="140"/>
      <c r="P725" s="140"/>
      <c r="Q725" s="140"/>
      <c r="R725" s="140"/>
      <c r="S725" s="140"/>
      <c r="T725" s="140"/>
      <c r="U725" s="140"/>
      <c r="V725" s="140"/>
      <c r="W725" s="140"/>
      <c r="X725" s="140"/>
      <c r="Y725" s="140"/>
      <c r="Z725" s="140"/>
      <c r="AA725" s="140"/>
      <c r="AB725" s="140"/>
      <c r="AC725" s="140"/>
      <c r="AD725" s="140"/>
    </row>
    <row r="726" spans="1:30" ht="15.75" customHeight="1" x14ac:dyDescent="0.2">
      <c r="A726" s="140"/>
      <c r="B726" s="140"/>
      <c r="C726" s="140"/>
      <c r="D726" s="140"/>
      <c r="E726" s="140"/>
      <c r="F726" s="140"/>
      <c r="G726" s="140"/>
      <c r="H726" s="140"/>
      <c r="I726" s="140"/>
      <c r="J726" s="140"/>
      <c r="K726" s="140"/>
      <c r="L726" s="140"/>
      <c r="M726" s="140"/>
      <c r="N726" s="140"/>
      <c r="O726" s="140"/>
      <c r="P726" s="140"/>
      <c r="Q726" s="140"/>
      <c r="R726" s="140"/>
      <c r="S726" s="140"/>
      <c r="T726" s="140"/>
      <c r="U726" s="140"/>
      <c r="V726" s="140"/>
      <c r="W726" s="140"/>
      <c r="X726" s="140"/>
      <c r="Y726" s="140"/>
      <c r="Z726" s="140"/>
      <c r="AA726" s="140"/>
      <c r="AB726" s="140"/>
      <c r="AC726" s="140"/>
      <c r="AD726" s="140"/>
    </row>
    <row r="727" spans="1:30" ht="15.75" customHeight="1" x14ac:dyDescent="0.2">
      <c r="A727" s="140"/>
      <c r="B727" s="140"/>
      <c r="C727" s="140"/>
      <c r="D727" s="140"/>
      <c r="E727" s="140"/>
      <c r="F727" s="140"/>
      <c r="G727" s="140"/>
      <c r="H727" s="140"/>
      <c r="I727" s="140"/>
      <c r="J727" s="140"/>
      <c r="K727" s="140"/>
      <c r="L727" s="140"/>
      <c r="M727" s="140"/>
      <c r="N727" s="140"/>
      <c r="O727" s="140"/>
      <c r="P727" s="140"/>
      <c r="Q727" s="140"/>
      <c r="R727" s="140"/>
      <c r="S727" s="140"/>
      <c r="T727" s="140"/>
      <c r="U727" s="140"/>
      <c r="V727" s="140"/>
      <c r="W727" s="140"/>
      <c r="X727" s="140"/>
      <c r="Y727" s="140"/>
      <c r="Z727" s="140"/>
      <c r="AA727" s="140"/>
      <c r="AB727" s="140"/>
      <c r="AC727" s="140"/>
      <c r="AD727" s="140"/>
    </row>
    <row r="728" spans="1:30" ht="15.75" customHeight="1" x14ac:dyDescent="0.2">
      <c r="A728" s="140"/>
      <c r="B728" s="140"/>
      <c r="C728" s="140"/>
      <c r="D728" s="140"/>
      <c r="E728" s="140"/>
      <c r="F728" s="140"/>
      <c r="G728" s="140"/>
      <c r="H728" s="140"/>
      <c r="I728" s="140"/>
      <c r="J728" s="140"/>
      <c r="K728" s="140"/>
      <c r="L728" s="140"/>
      <c r="M728" s="140"/>
      <c r="N728" s="140"/>
      <c r="O728" s="140"/>
      <c r="P728" s="140"/>
      <c r="Q728" s="140"/>
      <c r="R728" s="140"/>
      <c r="S728" s="140"/>
      <c r="T728" s="140"/>
      <c r="U728" s="140"/>
      <c r="V728" s="140"/>
      <c r="W728" s="140"/>
      <c r="X728" s="140"/>
      <c r="Y728" s="140"/>
      <c r="Z728" s="140"/>
      <c r="AA728" s="140"/>
      <c r="AB728" s="140"/>
      <c r="AC728" s="140"/>
      <c r="AD728" s="140"/>
    </row>
    <row r="729" spans="1:30" ht="15.75" customHeight="1" x14ac:dyDescent="0.2">
      <c r="A729" s="140"/>
      <c r="B729" s="140"/>
      <c r="C729" s="140"/>
      <c r="D729" s="140"/>
      <c r="E729" s="140"/>
      <c r="F729" s="140"/>
      <c r="G729" s="140"/>
      <c r="H729" s="140"/>
      <c r="I729" s="140"/>
      <c r="J729" s="140"/>
      <c r="K729" s="140"/>
      <c r="L729" s="140"/>
      <c r="M729" s="140"/>
      <c r="N729" s="140"/>
      <c r="O729" s="140"/>
      <c r="P729" s="140"/>
      <c r="Q729" s="140"/>
      <c r="R729" s="140"/>
      <c r="S729" s="140"/>
      <c r="T729" s="140"/>
      <c r="U729" s="140"/>
      <c r="V729" s="140"/>
      <c r="W729" s="140"/>
      <c r="X729" s="140"/>
      <c r="Y729" s="140"/>
      <c r="Z729" s="140"/>
      <c r="AA729" s="140"/>
      <c r="AB729" s="140"/>
      <c r="AC729" s="140"/>
      <c r="AD729" s="140"/>
    </row>
    <row r="730" spans="1:30" ht="15.75" customHeight="1" x14ac:dyDescent="0.2">
      <c r="A730" s="140"/>
      <c r="B730" s="140"/>
      <c r="C730" s="140"/>
      <c r="D730" s="140"/>
      <c r="E730" s="140"/>
      <c r="F730" s="140"/>
      <c r="G730" s="140"/>
      <c r="H730" s="140"/>
      <c r="I730" s="140"/>
      <c r="J730" s="140"/>
      <c r="K730" s="140"/>
      <c r="L730" s="140"/>
      <c r="M730" s="140"/>
      <c r="N730" s="140"/>
      <c r="O730" s="140"/>
      <c r="P730" s="140"/>
      <c r="Q730" s="140"/>
      <c r="R730" s="140"/>
      <c r="S730" s="140"/>
      <c r="T730" s="140"/>
      <c r="U730" s="140"/>
      <c r="V730" s="140"/>
      <c r="W730" s="140"/>
      <c r="X730" s="140"/>
      <c r="Y730" s="140"/>
      <c r="Z730" s="140"/>
      <c r="AA730" s="140"/>
      <c r="AB730" s="140"/>
      <c r="AC730" s="140"/>
      <c r="AD730" s="140"/>
    </row>
    <row r="731" spans="1:30" ht="15.75" customHeight="1" x14ac:dyDescent="0.2">
      <c r="A731" s="140"/>
      <c r="B731" s="140"/>
      <c r="C731" s="140"/>
      <c r="D731" s="140"/>
      <c r="E731" s="140"/>
      <c r="F731" s="140"/>
      <c r="G731" s="140"/>
      <c r="H731" s="140"/>
      <c r="I731" s="140"/>
      <c r="J731" s="140"/>
      <c r="K731" s="140"/>
      <c r="L731" s="140"/>
      <c r="M731" s="140"/>
      <c r="N731" s="140"/>
      <c r="O731" s="140"/>
      <c r="P731" s="140"/>
      <c r="Q731" s="140"/>
      <c r="R731" s="140"/>
      <c r="S731" s="140"/>
      <c r="T731" s="140"/>
      <c r="U731" s="140"/>
      <c r="V731" s="140"/>
      <c r="W731" s="140"/>
      <c r="X731" s="140"/>
      <c r="Y731" s="140"/>
      <c r="Z731" s="140"/>
      <c r="AA731" s="140"/>
      <c r="AB731" s="140"/>
      <c r="AC731" s="140"/>
      <c r="AD731" s="140"/>
    </row>
    <row r="732" spans="1:30" ht="15.75" customHeight="1" x14ac:dyDescent="0.2">
      <c r="A732" s="140"/>
      <c r="B732" s="140"/>
      <c r="C732" s="140"/>
      <c r="D732" s="140"/>
      <c r="E732" s="140"/>
      <c r="F732" s="140"/>
      <c r="G732" s="140"/>
      <c r="H732" s="140"/>
      <c r="I732" s="140"/>
      <c r="J732" s="140"/>
      <c r="K732" s="140"/>
      <c r="L732" s="140"/>
      <c r="M732" s="140"/>
      <c r="N732" s="140"/>
      <c r="O732" s="140"/>
      <c r="P732" s="140"/>
      <c r="Q732" s="140"/>
      <c r="R732" s="140"/>
      <c r="S732" s="140"/>
      <c r="T732" s="140"/>
      <c r="U732" s="140"/>
      <c r="V732" s="140"/>
      <c r="W732" s="140"/>
      <c r="X732" s="140"/>
      <c r="Y732" s="140"/>
      <c r="Z732" s="140"/>
      <c r="AA732" s="140"/>
      <c r="AB732" s="140"/>
      <c r="AC732" s="140"/>
      <c r="AD732" s="140"/>
    </row>
    <row r="733" spans="1:30" ht="15.75" customHeight="1" x14ac:dyDescent="0.2">
      <c r="A733" s="140"/>
      <c r="B733" s="140"/>
      <c r="C733" s="140"/>
      <c r="D733" s="140"/>
      <c r="E733" s="140"/>
      <c r="F733" s="140"/>
      <c r="G733" s="140"/>
      <c r="H733" s="140"/>
      <c r="I733" s="140"/>
      <c r="J733" s="140"/>
      <c r="K733" s="140"/>
      <c r="L733" s="140"/>
      <c r="M733" s="140"/>
      <c r="N733" s="140"/>
      <c r="O733" s="140"/>
      <c r="P733" s="140"/>
      <c r="Q733" s="140"/>
      <c r="R733" s="140"/>
      <c r="S733" s="140"/>
      <c r="T733" s="140"/>
      <c r="U733" s="140"/>
      <c r="V733" s="140"/>
      <c r="W733" s="140"/>
      <c r="X733" s="140"/>
      <c r="Y733" s="140"/>
      <c r="Z733" s="140"/>
      <c r="AA733" s="140"/>
      <c r="AB733" s="140"/>
      <c r="AC733" s="140"/>
      <c r="AD733" s="140"/>
    </row>
    <row r="734" spans="1:30" ht="15.75" customHeight="1" x14ac:dyDescent="0.2">
      <c r="A734" s="140"/>
      <c r="B734" s="140"/>
      <c r="C734" s="140"/>
      <c r="D734" s="140"/>
      <c r="E734" s="140"/>
      <c r="F734" s="140"/>
      <c r="G734" s="140"/>
      <c r="H734" s="140"/>
      <c r="I734" s="140"/>
      <c r="J734" s="140"/>
      <c r="K734" s="140"/>
      <c r="L734" s="140"/>
      <c r="M734" s="140"/>
      <c r="N734" s="140"/>
      <c r="O734" s="140"/>
      <c r="P734" s="140"/>
      <c r="Q734" s="140"/>
      <c r="R734" s="140"/>
      <c r="S734" s="140"/>
      <c r="T734" s="140"/>
      <c r="U734" s="140"/>
      <c r="V734" s="140"/>
      <c r="W734" s="140"/>
      <c r="X734" s="140"/>
      <c r="Y734" s="140"/>
      <c r="Z734" s="140"/>
      <c r="AA734" s="140"/>
      <c r="AB734" s="140"/>
      <c r="AC734" s="140"/>
      <c r="AD734" s="140"/>
    </row>
    <row r="735" spans="1:30" ht="15.75" customHeight="1" x14ac:dyDescent="0.2">
      <c r="A735" s="140"/>
      <c r="B735" s="140"/>
      <c r="C735" s="140"/>
      <c r="D735" s="140"/>
      <c r="E735" s="140"/>
      <c r="F735" s="140"/>
      <c r="G735" s="140"/>
      <c r="H735" s="140"/>
      <c r="I735" s="140"/>
      <c r="J735" s="140"/>
      <c r="K735" s="140"/>
      <c r="L735" s="140"/>
      <c r="M735" s="140"/>
      <c r="N735" s="140"/>
      <c r="O735" s="140"/>
      <c r="P735" s="140"/>
      <c r="Q735" s="140"/>
      <c r="R735" s="140"/>
      <c r="S735" s="140"/>
      <c r="T735" s="140"/>
      <c r="U735" s="140"/>
      <c r="V735" s="140"/>
      <c r="W735" s="140"/>
      <c r="X735" s="140"/>
      <c r="Y735" s="140"/>
      <c r="Z735" s="140"/>
      <c r="AA735" s="140"/>
      <c r="AB735" s="140"/>
      <c r="AC735" s="140"/>
      <c r="AD735" s="140"/>
    </row>
    <row r="736" spans="1:30" ht="15.75" customHeight="1" x14ac:dyDescent="0.2">
      <c r="A736" s="140"/>
      <c r="B736" s="140"/>
      <c r="C736" s="140"/>
      <c r="D736" s="140"/>
      <c r="E736" s="140"/>
      <c r="F736" s="140"/>
      <c r="G736" s="140"/>
      <c r="H736" s="140"/>
      <c r="I736" s="140"/>
      <c r="J736" s="140"/>
      <c r="K736" s="140"/>
      <c r="L736" s="140"/>
      <c r="M736" s="140"/>
      <c r="N736" s="140"/>
      <c r="O736" s="140"/>
      <c r="P736" s="140"/>
      <c r="Q736" s="140"/>
      <c r="R736" s="140"/>
      <c r="S736" s="140"/>
      <c r="T736" s="140"/>
      <c r="U736" s="140"/>
      <c r="V736" s="140"/>
      <c r="W736" s="140"/>
      <c r="X736" s="140"/>
      <c r="Y736" s="140"/>
      <c r="Z736" s="140"/>
      <c r="AA736" s="140"/>
      <c r="AB736" s="140"/>
      <c r="AC736" s="140"/>
      <c r="AD736" s="140"/>
    </row>
    <row r="737" spans="1:30" ht="15.75" customHeight="1" x14ac:dyDescent="0.2">
      <c r="A737" s="140"/>
      <c r="B737" s="140"/>
      <c r="C737" s="140"/>
      <c r="D737" s="140"/>
      <c r="E737" s="140"/>
      <c r="F737" s="140"/>
      <c r="G737" s="140"/>
      <c r="H737" s="140"/>
      <c r="I737" s="140"/>
      <c r="J737" s="140"/>
      <c r="K737" s="140"/>
      <c r="L737" s="140"/>
      <c r="M737" s="140"/>
      <c r="N737" s="140"/>
      <c r="O737" s="140"/>
      <c r="P737" s="140"/>
      <c r="Q737" s="140"/>
      <c r="R737" s="140"/>
      <c r="S737" s="140"/>
      <c r="T737" s="140"/>
      <c r="U737" s="140"/>
      <c r="V737" s="140"/>
      <c r="W737" s="140"/>
      <c r="X737" s="140"/>
      <c r="Y737" s="140"/>
      <c r="Z737" s="140"/>
      <c r="AA737" s="140"/>
      <c r="AB737" s="140"/>
      <c r="AC737" s="140"/>
      <c r="AD737" s="140"/>
    </row>
    <row r="738" spans="1:30" ht="15.75" customHeight="1" x14ac:dyDescent="0.2">
      <c r="A738" s="140"/>
      <c r="B738" s="140"/>
      <c r="C738" s="140"/>
      <c r="D738" s="140"/>
      <c r="E738" s="140"/>
      <c r="F738" s="140"/>
      <c r="G738" s="140"/>
      <c r="H738" s="140"/>
      <c r="I738" s="140"/>
      <c r="J738" s="140"/>
      <c r="K738" s="140"/>
      <c r="L738" s="140"/>
      <c r="M738" s="140"/>
      <c r="N738" s="140"/>
      <c r="O738" s="140"/>
      <c r="P738" s="140"/>
      <c r="Q738" s="140"/>
      <c r="R738" s="140"/>
      <c r="S738" s="140"/>
      <c r="T738" s="140"/>
      <c r="U738" s="140"/>
      <c r="V738" s="140"/>
      <c r="W738" s="140"/>
      <c r="X738" s="140"/>
      <c r="Y738" s="140"/>
      <c r="Z738" s="140"/>
      <c r="AA738" s="140"/>
      <c r="AB738" s="140"/>
      <c r="AC738" s="140"/>
      <c r="AD738" s="140"/>
    </row>
    <row r="739" spans="1:30" ht="15.75" customHeight="1" x14ac:dyDescent="0.2">
      <c r="A739" s="140"/>
      <c r="B739" s="140"/>
      <c r="C739" s="140"/>
      <c r="D739" s="140"/>
      <c r="E739" s="140"/>
      <c r="F739" s="140"/>
      <c r="G739" s="140"/>
      <c r="H739" s="140"/>
      <c r="I739" s="140"/>
      <c r="J739" s="140"/>
      <c r="K739" s="140"/>
      <c r="L739" s="140"/>
      <c r="M739" s="140"/>
      <c r="N739" s="140"/>
      <c r="O739" s="140"/>
      <c r="P739" s="140"/>
      <c r="Q739" s="140"/>
      <c r="R739" s="140"/>
      <c r="S739" s="140"/>
      <c r="T739" s="140"/>
      <c r="U739" s="140"/>
      <c r="V739" s="140"/>
      <c r="W739" s="140"/>
      <c r="X739" s="140"/>
      <c r="Y739" s="140"/>
      <c r="Z739" s="140"/>
      <c r="AA739" s="140"/>
      <c r="AB739" s="140"/>
      <c r="AC739" s="140"/>
      <c r="AD739" s="140"/>
    </row>
    <row r="740" spans="1:30" ht="15.75" customHeight="1" x14ac:dyDescent="0.2">
      <c r="A740" s="140"/>
      <c r="B740" s="140"/>
      <c r="C740" s="140"/>
      <c r="D740" s="140"/>
      <c r="E740" s="140"/>
      <c r="F740" s="140"/>
      <c r="G740" s="140"/>
      <c r="H740" s="140"/>
      <c r="I740" s="140"/>
      <c r="J740" s="140"/>
      <c r="K740" s="140"/>
      <c r="L740" s="140"/>
      <c r="M740" s="140"/>
      <c r="N740" s="140"/>
      <c r="O740" s="140"/>
      <c r="P740" s="140"/>
      <c r="Q740" s="140"/>
      <c r="R740" s="140"/>
      <c r="S740" s="140"/>
      <c r="T740" s="140"/>
      <c r="U740" s="140"/>
      <c r="V740" s="140"/>
      <c r="W740" s="140"/>
      <c r="X740" s="140"/>
      <c r="Y740" s="140"/>
      <c r="Z740" s="140"/>
      <c r="AA740" s="140"/>
      <c r="AB740" s="140"/>
      <c r="AC740" s="140"/>
      <c r="AD740" s="140"/>
    </row>
    <row r="741" spans="1:30" ht="15.75" customHeight="1" x14ac:dyDescent="0.2">
      <c r="A741" s="140"/>
      <c r="B741" s="140"/>
      <c r="C741" s="140"/>
      <c r="D741" s="140"/>
      <c r="E741" s="140"/>
      <c r="F741" s="140"/>
      <c r="G741" s="140"/>
      <c r="H741" s="140"/>
      <c r="I741" s="140"/>
      <c r="J741" s="140"/>
      <c r="K741" s="140"/>
      <c r="L741" s="140"/>
      <c r="M741" s="140"/>
      <c r="N741" s="140"/>
      <c r="O741" s="140"/>
      <c r="P741" s="140"/>
      <c r="Q741" s="140"/>
      <c r="R741" s="140"/>
      <c r="S741" s="140"/>
      <c r="T741" s="140"/>
      <c r="U741" s="140"/>
      <c r="V741" s="140"/>
      <c r="W741" s="140"/>
      <c r="X741" s="140"/>
      <c r="Y741" s="140"/>
      <c r="Z741" s="140"/>
      <c r="AA741" s="140"/>
      <c r="AB741" s="140"/>
      <c r="AC741" s="140"/>
      <c r="AD741" s="140"/>
    </row>
    <row r="742" spans="1:30" ht="15.75" customHeight="1" x14ac:dyDescent="0.2">
      <c r="A742" s="140"/>
      <c r="B742" s="140"/>
      <c r="C742" s="140"/>
      <c r="D742" s="140"/>
      <c r="E742" s="140"/>
      <c r="F742" s="140"/>
      <c r="G742" s="140"/>
      <c r="H742" s="140"/>
      <c r="I742" s="140"/>
      <c r="J742" s="140"/>
      <c r="K742" s="140"/>
      <c r="L742" s="140"/>
      <c r="M742" s="140"/>
      <c r="N742" s="140"/>
      <c r="O742" s="140"/>
      <c r="P742" s="140"/>
      <c r="Q742" s="140"/>
      <c r="R742" s="140"/>
      <c r="S742" s="140"/>
      <c r="T742" s="140"/>
      <c r="U742" s="140"/>
      <c r="V742" s="140"/>
      <c r="W742" s="140"/>
      <c r="X742" s="140"/>
      <c r="Y742" s="140"/>
      <c r="Z742" s="140"/>
      <c r="AA742" s="140"/>
      <c r="AB742" s="140"/>
      <c r="AC742" s="140"/>
      <c r="AD742" s="140"/>
    </row>
    <row r="743" spans="1:30" ht="15.75" customHeight="1" x14ac:dyDescent="0.2">
      <c r="A743" s="140"/>
      <c r="B743" s="140"/>
      <c r="C743" s="140"/>
      <c r="D743" s="140"/>
      <c r="E743" s="140"/>
      <c r="F743" s="140"/>
      <c r="G743" s="140"/>
      <c r="H743" s="140"/>
      <c r="I743" s="140"/>
      <c r="J743" s="140"/>
      <c r="K743" s="140"/>
      <c r="L743" s="140"/>
      <c r="M743" s="140"/>
      <c r="N743" s="140"/>
      <c r="O743" s="140"/>
      <c r="P743" s="140"/>
      <c r="Q743" s="140"/>
      <c r="R743" s="140"/>
      <c r="S743" s="140"/>
      <c r="T743" s="140"/>
      <c r="U743" s="140"/>
      <c r="V743" s="140"/>
      <c r="W743" s="140"/>
      <c r="X743" s="140"/>
      <c r="Y743" s="140"/>
      <c r="Z743" s="140"/>
      <c r="AA743" s="140"/>
      <c r="AB743" s="140"/>
      <c r="AC743" s="140"/>
      <c r="AD743" s="140"/>
    </row>
    <row r="744" spans="1:30" ht="15.75" customHeight="1" x14ac:dyDescent="0.2">
      <c r="A744" s="140"/>
      <c r="B744" s="140"/>
      <c r="C744" s="140"/>
      <c r="D744" s="140"/>
      <c r="E744" s="140"/>
      <c r="F744" s="140"/>
      <c r="G744" s="140"/>
      <c r="H744" s="140"/>
      <c r="I744" s="140"/>
      <c r="J744" s="140"/>
      <c r="K744" s="140"/>
      <c r="L744" s="140"/>
      <c r="M744" s="140"/>
      <c r="N744" s="140"/>
      <c r="O744" s="140"/>
      <c r="P744" s="140"/>
      <c r="Q744" s="140"/>
      <c r="R744" s="140"/>
      <c r="S744" s="140"/>
      <c r="T744" s="140"/>
      <c r="U744" s="140"/>
      <c r="V744" s="140"/>
      <c r="W744" s="140"/>
      <c r="X744" s="140"/>
      <c r="Y744" s="140"/>
      <c r="Z744" s="140"/>
      <c r="AA744" s="140"/>
      <c r="AB744" s="140"/>
      <c r="AC744" s="140"/>
      <c r="AD744" s="140"/>
    </row>
    <row r="745" spans="1:30" ht="15.75" customHeight="1" x14ac:dyDescent="0.2">
      <c r="A745" s="140"/>
      <c r="B745" s="140"/>
      <c r="C745" s="140"/>
      <c r="D745" s="140"/>
      <c r="E745" s="140"/>
      <c r="F745" s="140"/>
      <c r="G745" s="140"/>
      <c r="H745" s="140"/>
      <c r="I745" s="140"/>
      <c r="J745" s="140"/>
      <c r="K745" s="140"/>
      <c r="L745" s="140"/>
      <c r="M745" s="140"/>
      <c r="N745" s="140"/>
      <c r="O745" s="140"/>
      <c r="P745" s="140"/>
      <c r="Q745" s="140"/>
      <c r="R745" s="140"/>
      <c r="S745" s="140"/>
      <c r="T745" s="140"/>
      <c r="U745" s="140"/>
      <c r="V745" s="140"/>
      <c r="W745" s="140"/>
      <c r="X745" s="140"/>
      <c r="Y745" s="140"/>
      <c r="Z745" s="140"/>
      <c r="AA745" s="140"/>
      <c r="AB745" s="140"/>
      <c r="AC745" s="140"/>
      <c r="AD745" s="140"/>
    </row>
    <row r="746" spans="1:30" ht="15.75" customHeight="1" x14ac:dyDescent="0.2">
      <c r="A746" s="140"/>
      <c r="B746" s="140"/>
      <c r="C746" s="140"/>
      <c r="D746" s="140"/>
      <c r="E746" s="140"/>
      <c r="F746" s="140"/>
      <c r="G746" s="140"/>
      <c r="H746" s="140"/>
      <c r="I746" s="140"/>
      <c r="J746" s="140"/>
      <c r="K746" s="140"/>
      <c r="L746" s="140"/>
      <c r="M746" s="140"/>
      <c r="N746" s="140"/>
      <c r="O746" s="140"/>
      <c r="P746" s="140"/>
      <c r="Q746" s="140"/>
      <c r="R746" s="140"/>
      <c r="S746" s="140"/>
      <c r="T746" s="140"/>
      <c r="U746" s="140"/>
      <c r="V746" s="140"/>
      <c r="W746" s="140"/>
      <c r="X746" s="140"/>
      <c r="Y746" s="140"/>
      <c r="Z746" s="140"/>
      <c r="AA746" s="140"/>
      <c r="AB746" s="140"/>
      <c r="AC746" s="140"/>
      <c r="AD746" s="140"/>
    </row>
    <row r="747" spans="1:30" ht="15.75" customHeight="1" x14ac:dyDescent="0.2">
      <c r="A747" s="140"/>
      <c r="B747" s="140"/>
      <c r="C747" s="140"/>
      <c r="D747" s="140"/>
      <c r="E747" s="140"/>
      <c r="F747" s="140"/>
      <c r="G747" s="140"/>
      <c r="H747" s="140"/>
      <c r="I747" s="140"/>
      <c r="J747" s="140"/>
      <c r="K747" s="140"/>
      <c r="L747" s="140"/>
      <c r="M747" s="140"/>
      <c r="N747" s="140"/>
      <c r="O747" s="140"/>
      <c r="P747" s="140"/>
      <c r="Q747" s="140"/>
      <c r="R747" s="140"/>
      <c r="S747" s="140"/>
      <c r="T747" s="140"/>
      <c r="U747" s="140"/>
      <c r="V747" s="140"/>
      <c r="W747" s="140"/>
      <c r="X747" s="140"/>
      <c r="Y747" s="140"/>
      <c r="Z747" s="140"/>
      <c r="AA747" s="140"/>
      <c r="AB747" s="140"/>
      <c r="AC747" s="140"/>
      <c r="AD747" s="140"/>
    </row>
    <row r="748" spans="1:30" ht="15.75" customHeight="1" x14ac:dyDescent="0.2">
      <c r="A748" s="140"/>
      <c r="B748" s="140"/>
      <c r="C748" s="140"/>
      <c r="D748" s="140"/>
      <c r="E748" s="140"/>
      <c r="F748" s="140"/>
      <c r="G748" s="140"/>
      <c r="H748" s="140"/>
      <c r="I748" s="140"/>
      <c r="J748" s="140"/>
      <c r="K748" s="140"/>
      <c r="L748" s="140"/>
      <c r="M748" s="140"/>
      <c r="N748" s="140"/>
      <c r="O748" s="140"/>
      <c r="P748" s="140"/>
      <c r="Q748" s="140"/>
      <c r="R748" s="140"/>
      <c r="S748" s="140"/>
      <c r="T748" s="140"/>
      <c r="U748" s="140"/>
      <c r="V748" s="140"/>
      <c r="W748" s="140"/>
      <c r="X748" s="140"/>
      <c r="Y748" s="140"/>
      <c r="Z748" s="140"/>
      <c r="AA748" s="140"/>
      <c r="AB748" s="140"/>
      <c r="AC748" s="140"/>
      <c r="AD748" s="140"/>
    </row>
    <row r="749" spans="1:30" ht="15.75" customHeight="1" x14ac:dyDescent="0.2">
      <c r="A749" s="140"/>
      <c r="B749" s="140"/>
      <c r="C749" s="140"/>
      <c r="D749" s="140"/>
      <c r="E749" s="140"/>
      <c r="F749" s="140"/>
      <c r="G749" s="140"/>
      <c r="H749" s="140"/>
      <c r="I749" s="140"/>
      <c r="J749" s="140"/>
      <c r="K749" s="140"/>
      <c r="L749" s="140"/>
      <c r="M749" s="140"/>
      <c r="N749" s="140"/>
      <c r="O749" s="140"/>
      <c r="P749" s="140"/>
      <c r="Q749" s="140"/>
      <c r="R749" s="140"/>
      <c r="S749" s="140"/>
      <c r="T749" s="140"/>
      <c r="U749" s="140"/>
      <c r="V749" s="140"/>
      <c r="W749" s="140"/>
      <c r="X749" s="140"/>
      <c r="Y749" s="140"/>
      <c r="Z749" s="140"/>
      <c r="AA749" s="140"/>
      <c r="AB749" s="140"/>
      <c r="AC749" s="140"/>
      <c r="AD749" s="140"/>
    </row>
    <row r="750" spans="1:30" ht="15.75" customHeight="1" x14ac:dyDescent="0.2">
      <c r="A750" s="140"/>
      <c r="B750" s="140"/>
      <c r="C750" s="140"/>
      <c r="D750" s="140"/>
      <c r="E750" s="140"/>
      <c r="F750" s="140"/>
      <c r="G750" s="140"/>
      <c r="H750" s="140"/>
      <c r="I750" s="140"/>
      <c r="J750" s="140"/>
      <c r="K750" s="140"/>
      <c r="L750" s="140"/>
      <c r="M750" s="140"/>
      <c r="N750" s="140"/>
      <c r="O750" s="140"/>
      <c r="P750" s="140"/>
      <c r="Q750" s="140"/>
      <c r="R750" s="140"/>
      <c r="S750" s="140"/>
      <c r="T750" s="140"/>
      <c r="U750" s="140"/>
      <c r="V750" s="140"/>
      <c r="W750" s="140"/>
      <c r="X750" s="140"/>
      <c r="Y750" s="140"/>
      <c r="Z750" s="140"/>
      <c r="AA750" s="140"/>
      <c r="AB750" s="140"/>
      <c r="AC750" s="140"/>
      <c r="AD750" s="140"/>
    </row>
    <row r="751" spans="1:30" ht="15.75" customHeight="1" x14ac:dyDescent="0.2">
      <c r="A751" s="140"/>
      <c r="B751" s="140"/>
      <c r="C751" s="140"/>
      <c r="D751" s="140"/>
      <c r="E751" s="140"/>
      <c r="F751" s="140"/>
      <c r="G751" s="140"/>
      <c r="H751" s="140"/>
      <c r="I751" s="140"/>
      <c r="J751" s="140"/>
      <c r="K751" s="140"/>
      <c r="L751" s="140"/>
      <c r="M751" s="140"/>
      <c r="N751" s="140"/>
      <c r="O751" s="140"/>
      <c r="P751" s="140"/>
      <c r="Q751" s="140"/>
      <c r="R751" s="140"/>
      <c r="S751" s="140"/>
      <c r="T751" s="140"/>
      <c r="U751" s="140"/>
      <c r="V751" s="140"/>
      <c r="W751" s="140"/>
      <c r="X751" s="140"/>
      <c r="Y751" s="140"/>
      <c r="Z751" s="140"/>
      <c r="AA751" s="140"/>
      <c r="AB751" s="140"/>
      <c r="AC751" s="140"/>
      <c r="AD751" s="140"/>
    </row>
    <row r="752" spans="1:30" ht="15.75" customHeight="1" x14ac:dyDescent="0.2">
      <c r="A752" s="140"/>
      <c r="B752" s="140"/>
      <c r="C752" s="140"/>
      <c r="D752" s="140"/>
      <c r="E752" s="140"/>
      <c r="F752" s="140"/>
      <c r="G752" s="140"/>
      <c r="H752" s="140"/>
      <c r="I752" s="140"/>
      <c r="J752" s="140"/>
      <c r="K752" s="140"/>
      <c r="L752" s="140"/>
      <c r="M752" s="140"/>
      <c r="N752" s="140"/>
      <c r="O752" s="140"/>
      <c r="P752" s="140"/>
      <c r="Q752" s="140"/>
      <c r="R752" s="140"/>
      <c r="S752" s="140"/>
      <c r="T752" s="140"/>
      <c r="U752" s="140"/>
      <c r="V752" s="140"/>
      <c r="W752" s="140"/>
      <c r="X752" s="140"/>
      <c r="Y752" s="140"/>
      <c r="Z752" s="140"/>
      <c r="AA752" s="140"/>
      <c r="AB752" s="140"/>
      <c r="AC752" s="140"/>
      <c r="AD752" s="140"/>
    </row>
    <row r="753" spans="1:30" ht="15.75" customHeight="1" x14ac:dyDescent="0.2">
      <c r="A753" s="140"/>
      <c r="B753" s="140"/>
      <c r="C753" s="140"/>
      <c r="D753" s="140"/>
      <c r="E753" s="140"/>
      <c r="F753" s="140"/>
      <c r="G753" s="140"/>
      <c r="H753" s="140"/>
      <c r="I753" s="140"/>
      <c r="J753" s="140"/>
      <c r="K753" s="140"/>
      <c r="L753" s="140"/>
      <c r="M753" s="140"/>
      <c r="N753" s="140"/>
      <c r="O753" s="140"/>
      <c r="P753" s="140"/>
      <c r="Q753" s="140"/>
      <c r="R753" s="140"/>
      <c r="S753" s="140"/>
      <c r="T753" s="140"/>
      <c r="U753" s="140"/>
      <c r="V753" s="140"/>
      <c r="W753" s="140"/>
      <c r="X753" s="140"/>
      <c r="Y753" s="140"/>
      <c r="Z753" s="140"/>
      <c r="AA753" s="140"/>
      <c r="AB753" s="140"/>
      <c r="AC753" s="140"/>
      <c r="AD753" s="140"/>
    </row>
    <row r="754" spans="1:30" ht="15.75" customHeight="1" x14ac:dyDescent="0.2">
      <c r="A754" s="140"/>
      <c r="B754" s="140"/>
      <c r="C754" s="140"/>
      <c r="D754" s="140"/>
      <c r="E754" s="140"/>
      <c r="F754" s="140"/>
      <c r="G754" s="140"/>
      <c r="H754" s="140"/>
      <c r="I754" s="140"/>
      <c r="J754" s="140"/>
      <c r="K754" s="140"/>
      <c r="L754" s="140"/>
      <c r="M754" s="140"/>
      <c r="N754" s="140"/>
      <c r="O754" s="140"/>
      <c r="P754" s="140"/>
      <c r="Q754" s="140"/>
      <c r="R754" s="140"/>
      <c r="S754" s="140"/>
      <c r="T754" s="140"/>
      <c r="U754" s="140"/>
      <c r="V754" s="140"/>
      <c r="W754" s="140"/>
      <c r="X754" s="140"/>
      <c r="Y754" s="140"/>
      <c r="Z754" s="140"/>
      <c r="AA754" s="140"/>
      <c r="AB754" s="140"/>
      <c r="AC754" s="140"/>
      <c r="AD754" s="140"/>
    </row>
    <row r="755" spans="1:30" ht="15.75" customHeight="1" x14ac:dyDescent="0.2">
      <c r="A755" s="140"/>
      <c r="B755" s="140"/>
      <c r="C755" s="140"/>
      <c r="D755" s="140"/>
      <c r="E755" s="140"/>
      <c r="F755" s="140"/>
      <c r="G755" s="140"/>
      <c r="H755" s="140"/>
      <c r="I755" s="140"/>
      <c r="J755" s="140"/>
      <c r="K755" s="140"/>
      <c r="L755" s="140"/>
      <c r="M755" s="140"/>
      <c r="N755" s="140"/>
      <c r="O755" s="140"/>
      <c r="P755" s="140"/>
      <c r="Q755" s="140"/>
      <c r="R755" s="140"/>
      <c r="S755" s="140"/>
      <c r="T755" s="140"/>
      <c r="U755" s="140"/>
      <c r="V755" s="140"/>
      <c r="W755" s="140"/>
      <c r="X755" s="140"/>
      <c r="Y755" s="140"/>
      <c r="Z755" s="140"/>
      <c r="AA755" s="140"/>
      <c r="AB755" s="140"/>
      <c r="AC755" s="140"/>
      <c r="AD755" s="140"/>
    </row>
    <row r="756" spans="1:30" ht="15.75" customHeight="1" x14ac:dyDescent="0.2">
      <c r="A756" s="140"/>
      <c r="B756" s="140"/>
      <c r="C756" s="140"/>
      <c r="D756" s="140"/>
      <c r="E756" s="140"/>
      <c r="F756" s="140"/>
      <c r="G756" s="140"/>
      <c r="H756" s="140"/>
      <c r="I756" s="140"/>
      <c r="J756" s="140"/>
      <c r="K756" s="140"/>
      <c r="L756" s="140"/>
      <c r="M756" s="140"/>
      <c r="N756" s="140"/>
      <c r="O756" s="140"/>
      <c r="P756" s="140"/>
      <c r="Q756" s="140"/>
      <c r="R756" s="140"/>
      <c r="S756" s="140"/>
      <c r="T756" s="140"/>
      <c r="U756" s="140"/>
      <c r="V756" s="140"/>
      <c r="W756" s="140"/>
      <c r="X756" s="140"/>
      <c r="Y756" s="140"/>
      <c r="Z756" s="140"/>
      <c r="AA756" s="140"/>
      <c r="AB756" s="140"/>
      <c r="AC756" s="140"/>
      <c r="AD756" s="140"/>
    </row>
    <row r="757" spans="1:30" ht="15.75" customHeight="1" x14ac:dyDescent="0.2">
      <c r="A757" s="140"/>
      <c r="B757" s="140"/>
      <c r="C757" s="140"/>
      <c r="D757" s="140"/>
      <c r="E757" s="140"/>
      <c r="F757" s="140"/>
      <c r="G757" s="140"/>
      <c r="H757" s="140"/>
      <c r="I757" s="140"/>
      <c r="J757" s="140"/>
      <c r="K757" s="140"/>
      <c r="L757" s="140"/>
      <c r="M757" s="140"/>
      <c r="N757" s="140"/>
      <c r="O757" s="140"/>
      <c r="P757" s="140"/>
      <c r="Q757" s="140"/>
      <c r="R757" s="140"/>
      <c r="S757" s="140"/>
      <c r="T757" s="140"/>
      <c r="U757" s="140"/>
      <c r="V757" s="140"/>
      <c r="W757" s="140"/>
      <c r="X757" s="140"/>
      <c r="Y757" s="140"/>
      <c r="Z757" s="140"/>
      <c r="AA757" s="140"/>
      <c r="AB757" s="140"/>
      <c r="AC757" s="140"/>
      <c r="AD757" s="140"/>
    </row>
    <row r="758" spans="1:30" ht="15.75" customHeight="1" x14ac:dyDescent="0.2">
      <c r="A758" s="140"/>
      <c r="B758" s="140"/>
      <c r="C758" s="140"/>
      <c r="D758" s="140"/>
      <c r="E758" s="140"/>
      <c r="F758" s="140"/>
      <c r="G758" s="140"/>
      <c r="H758" s="140"/>
      <c r="I758" s="140"/>
      <c r="J758" s="140"/>
      <c r="K758" s="140"/>
      <c r="L758" s="140"/>
      <c r="M758" s="140"/>
      <c r="N758" s="140"/>
      <c r="O758" s="140"/>
      <c r="P758" s="140"/>
      <c r="Q758" s="140"/>
      <c r="R758" s="140"/>
      <c r="S758" s="140"/>
      <c r="T758" s="140"/>
      <c r="U758" s="140"/>
      <c r="V758" s="140"/>
      <c r="W758" s="140"/>
      <c r="X758" s="140"/>
      <c r="Y758" s="140"/>
      <c r="Z758" s="140"/>
      <c r="AA758" s="140"/>
      <c r="AB758" s="140"/>
      <c r="AC758" s="140"/>
      <c r="AD758" s="140"/>
    </row>
    <row r="759" spans="1:30" ht="15.75" customHeight="1" x14ac:dyDescent="0.2">
      <c r="A759" s="140"/>
      <c r="B759" s="140"/>
      <c r="C759" s="140"/>
      <c r="D759" s="140"/>
      <c r="E759" s="140"/>
      <c r="F759" s="140"/>
      <c r="G759" s="140"/>
      <c r="H759" s="140"/>
      <c r="I759" s="140"/>
      <c r="J759" s="140"/>
      <c r="K759" s="140"/>
      <c r="L759" s="140"/>
      <c r="M759" s="140"/>
      <c r="N759" s="140"/>
      <c r="O759" s="140"/>
      <c r="P759" s="140"/>
      <c r="Q759" s="140"/>
      <c r="R759" s="140"/>
      <c r="S759" s="140"/>
      <c r="T759" s="140"/>
      <c r="U759" s="140"/>
      <c r="V759" s="140"/>
      <c r="W759" s="140"/>
      <c r="X759" s="140"/>
      <c r="Y759" s="140"/>
      <c r="Z759" s="140"/>
      <c r="AA759" s="140"/>
      <c r="AB759" s="140"/>
      <c r="AC759" s="140"/>
      <c r="AD759" s="140"/>
    </row>
    <row r="760" spans="1:30" ht="15.75" customHeight="1" x14ac:dyDescent="0.2">
      <c r="A760" s="140"/>
      <c r="B760" s="140"/>
      <c r="C760" s="140"/>
      <c r="D760" s="140"/>
      <c r="E760" s="140"/>
      <c r="F760" s="140"/>
      <c r="G760" s="140"/>
      <c r="H760" s="140"/>
      <c r="I760" s="140"/>
      <c r="J760" s="140"/>
      <c r="K760" s="140"/>
      <c r="L760" s="140"/>
      <c r="M760" s="140"/>
      <c r="N760" s="140"/>
      <c r="O760" s="140"/>
      <c r="P760" s="140"/>
      <c r="Q760" s="140"/>
      <c r="R760" s="140"/>
      <c r="S760" s="140"/>
      <c r="T760" s="140"/>
      <c r="U760" s="140"/>
      <c r="V760" s="140"/>
      <c r="W760" s="140"/>
      <c r="X760" s="140"/>
      <c r="Y760" s="140"/>
      <c r="Z760" s="140"/>
      <c r="AA760" s="140"/>
      <c r="AB760" s="140"/>
      <c r="AC760" s="140"/>
      <c r="AD760" s="140"/>
    </row>
    <row r="761" spans="1:30" ht="15.75" customHeight="1" x14ac:dyDescent="0.2">
      <c r="A761" s="140"/>
      <c r="B761" s="140"/>
      <c r="C761" s="140"/>
      <c r="D761" s="140"/>
      <c r="E761" s="140"/>
      <c r="F761" s="140"/>
      <c r="G761" s="140"/>
      <c r="H761" s="140"/>
      <c r="I761" s="140"/>
      <c r="J761" s="140"/>
      <c r="K761" s="140"/>
      <c r="L761" s="140"/>
      <c r="M761" s="140"/>
      <c r="N761" s="140"/>
      <c r="O761" s="140"/>
      <c r="P761" s="140"/>
      <c r="Q761" s="140"/>
      <c r="R761" s="140"/>
      <c r="S761" s="140"/>
      <c r="T761" s="140"/>
      <c r="U761" s="140"/>
      <c r="V761" s="140"/>
      <c r="W761" s="140"/>
      <c r="X761" s="140"/>
      <c r="Y761" s="140"/>
      <c r="Z761" s="140"/>
      <c r="AA761" s="140"/>
      <c r="AB761" s="140"/>
      <c r="AC761" s="140"/>
      <c r="AD761" s="140"/>
    </row>
    <row r="762" spans="1:30" ht="15.75" customHeight="1" x14ac:dyDescent="0.2">
      <c r="A762" s="140"/>
      <c r="B762" s="140"/>
      <c r="C762" s="140"/>
      <c r="D762" s="140"/>
      <c r="E762" s="140"/>
      <c r="F762" s="140"/>
      <c r="G762" s="140"/>
      <c r="H762" s="140"/>
      <c r="I762" s="140"/>
      <c r="J762" s="140"/>
      <c r="K762" s="140"/>
      <c r="L762" s="140"/>
      <c r="M762" s="140"/>
      <c r="N762" s="140"/>
      <c r="O762" s="140"/>
      <c r="P762" s="140"/>
      <c r="Q762" s="140"/>
      <c r="R762" s="140"/>
      <c r="S762" s="140"/>
      <c r="T762" s="140"/>
      <c r="U762" s="140"/>
      <c r="V762" s="140"/>
      <c r="W762" s="140"/>
      <c r="X762" s="140"/>
      <c r="Y762" s="140"/>
      <c r="Z762" s="140"/>
      <c r="AA762" s="140"/>
      <c r="AB762" s="140"/>
      <c r="AC762" s="140"/>
      <c r="AD762" s="140"/>
    </row>
    <row r="763" spans="1:30" ht="15.75" customHeight="1" x14ac:dyDescent="0.2">
      <c r="A763" s="140"/>
      <c r="B763" s="140"/>
      <c r="C763" s="140"/>
      <c r="D763" s="140"/>
      <c r="E763" s="140"/>
      <c r="F763" s="140"/>
      <c r="G763" s="140"/>
      <c r="H763" s="140"/>
      <c r="I763" s="140"/>
      <c r="J763" s="140"/>
      <c r="K763" s="140"/>
      <c r="L763" s="140"/>
      <c r="M763" s="140"/>
      <c r="N763" s="140"/>
      <c r="O763" s="140"/>
      <c r="P763" s="140"/>
      <c r="Q763" s="140"/>
      <c r="R763" s="140"/>
      <c r="S763" s="140"/>
      <c r="T763" s="140"/>
      <c r="U763" s="140"/>
      <c r="V763" s="140"/>
      <c r="W763" s="140"/>
      <c r="X763" s="140"/>
      <c r="Y763" s="140"/>
      <c r="Z763" s="140"/>
      <c r="AA763" s="140"/>
      <c r="AB763" s="140"/>
      <c r="AC763" s="140"/>
      <c r="AD763" s="140"/>
    </row>
    <row r="764" spans="1:30" ht="15.75" customHeight="1" x14ac:dyDescent="0.2">
      <c r="A764" s="140"/>
      <c r="B764" s="140"/>
      <c r="C764" s="140"/>
      <c r="D764" s="140"/>
      <c r="E764" s="140"/>
      <c r="F764" s="140"/>
      <c r="G764" s="140"/>
      <c r="H764" s="140"/>
      <c r="I764" s="140"/>
      <c r="J764" s="140"/>
      <c r="K764" s="140"/>
      <c r="L764" s="140"/>
      <c r="M764" s="140"/>
      <c r="N764" s="140"/>
      <c r="O764" s="140"/>
      <c r="P764" s="140"/>
      <c r="Q764" s="140"/>
      <c r="R764" s="140"/>
      <c r="S764" s="140"/>
      <c r="T764" s="140"/>
      <c r="U764" s="140"/>
      <c r="V764" s="140"/>
      <c r="W764" s="140"/>
      <c r="X764" s="140"/>
      <c r="Y764" s="140"/>
      <c r="Z764" s="140"/>
      <c r="AA764" s="140"/>
      <c r="AB764" s="140"/>
      <c r="AC764" s="140"/>
      <c r="AD764" s="140"/>
    </row>
    <row r="765" spans="1:30" ht="15.75" customHeight="1" x14ac:dyDescent="0.2">
      <c r="A765" s="140"/>
      <c r="B765" s="140"/>
      <c r="C765" s="140"/>
      <c r="D765" s="140"/>
      <c r="E765" s="140"/>
      <c r="F765" s="140"/>
      <c r="G765" s="140"/>
      <c r="H765" s="140"/>
      <c r="I765" s="140"/>
      <c r="J765" s="140"/>
      <c r="K765" s="140"/>
      <c r="L765" s="140"/>
      <c r="M765" s="140"/>
      <c r="N765" s="140"/>
      <c r="O765" s="140"/>
      <c r="P765" s="140"/>
      <c r="Q765" s="140"/>
      <c r="R765" s="140"/>
      <c r="S765" s="140"/>
      <c r="T765" s="140"/>
      <c r="U765" s="140"/>
      <c r="V765" s="140"/>
      <c r="W765" s="140"/>
      <c r="X765" s="140"/>
      <c r="Y765" s="140"/>
      <c r="Z765" s="140"/>
      <c r="AA765" s="140"/>
      <c r="AB765" s="140"/>
      <c r="AC765" s="140"/>
      <c r="AD765" s="140"/>
    </row>
    <row r="766" spans="1:30" ht="15.75" customHeight="1" x14ac:dyDescent="0.2">
      <c r="A766" s="140"/>
      <c r="B766" s="140"/>
      <c r="C766" s="140"/>
      <c r="D766" s="140"/>
      <c r="E766" s="140"/>
      <c r="F766" s="140"/>
      <c r="G766" s="140"/>
      <c r="H766" s="140"/>
      <c r="I766" s="140"/>
      <c r="J766" s="140"/>
      <c r="K766" s="140"/>
      <c r="L766" s="140"/>
      <c r="M766" s="140"/>
      <c r="N766" s="140"/>
      <c r="O766" s="140"/>
      <c r="P766" s="140"/>
      <c r="Q766" s="140"/>
      <c r="R766" s="140"/>
      <c r="S766" s="140"/>
      <c r="T766" s="140"/>
      <c r="U766" s="140"/>
      <c r="V766" s="140"/>
      <c r="W766" s="140"/>
      <c r="X766" s="140"/>
      <c r="Y766" s="140"/>
      <c r="Z766" s="140"/>
      <c r="AA766" s="140"/>
      <c r="AB766" s="140"/>
      <c r="AC766" s="140"/>
      <c r="AD766" s="140"/>
    </row>
    <row r="767" spans="1:30" ht="15.75" customHeight="1" x14ac:dyDescent="0.2">
      <c r="A767" s="140"/>
      <c r="B767" s="140"/>
      <c r="C767" s="140"/>
      <c r="D767" s="140"/>
      <c r="E767" s="140"/>
      <c r="F767" s="140"/>
      <c r="G767" s="140"/>
      <c r="H767" s="140"/>
      <c r="I767" s="140"/>
      <c r="J767" s="140"/>
      <c r="K767" s="140"/>
      <c r="L767" s="140"/>
      <c r="M767" s="140"/>
      <c r="N767" s="140"/>
      <c r="O767" s="140"/>
      <c r="P767" s="140"/>
      <c r="Q767" s="140"/>
      <c r="R767" s="140"/>
      <c r="S767" s="140"/>
      <c r="T767" s="140"/>
      <c r="U767" s="140"/>
      <c r="V767" s="140"/>
      <c r="W767" s="140"/>
      <c r="X767" s="140"/>
      <c r="Y767" s="140"/>
      <c r="Z767" s="140"/>
      <c r="AA767" s="140"/>
      <c r="AB767" s="140"/>
      <c r="AC767" s="140"/>
      <c r="AD767" s="140"/>
    </row>
    <row r="768" spans="1:30" ht="15.75" customHeight="1" x14ac:dyDescent="0.2">
      <c r="A768" s="140"/>
      <c r="B768" s="140"/>
      <c r="C768" s="140"/>
      <c r="D768" s="140"/>
      <c r="E768" s="140"/>
      <c r="F768" s="140"/>
      <c r="G768" s="140"/>
      <c r="H768" s="140"/>
      <c r="I768" s="140"/>
      <c r="J768" s="140"/>
      <c r="K768" s="140"/>
      <c r="L768" s="140"/>
      <c r="M768" s="140"/>
      <c r="N768" s="140"/>
      <c r="O768" s="140"/>
      <c r="P768" s="140"/>
      <c r="Q768" s="140"/>
      <c r="R768" s="140"/>
      <c r="S768" s="140"/>
      <c r="T768" s="140"/>
      <c r="U768" s="140"/>
      <c r="V768" s="140"/>
      <c r="W768" s="140"/>
      <c r="X768" s="140"/>
      <c r="Y768" s="140"/>
      <c r="Z768" s="140"/>
      <c r="AA768" s="140"/>
      <c r="AB768" s="140"/>
      <c r="AC768" s="140"/>
      <c r="AD768" s="140"/>
    </row>
    <row r="769" spans="1:30" ht="15.75" customHeight="1" x14ac:dyDescent="0.2">
      <c r="A769" s="140"/>
      <c r="B769" s="140"/>
      <c r="C769" s="140"/>
      <c r="D769" s="140"/>
      <c r="E769" s="140"/>
      <c r="F769" s="140"/>
      <c r="G769" s="140"/>
      <c r="H769" s="140"/>
      <c r="I769" s="140"/>
      <c r="J769" s="140"/>
      <c r="K769" s="140"/>
      <c r="L769" s="140"/>
      <c r="M769" s="140"/>
      <c r="N769" s="140"/>
      <c r="O769" s="140"/>
      <c r="P769" s="140"/>
      <c r="Q769" s="140"/>
      <c r="R769" s="140"/>
      <c r="S769" s="140"/>
      <c r="T769" s="140"/>
      <c r="U769" s="140"/>
      <c r="V769" s="140"/>
      <c r="W769" s="140"/>
      <c r="X769" s="140"/>
      <c r="Y769" s="140"/>
      <c r="Z769" s="140"/>
      <c r="AA769" s="140"/>
      <c r="AB769" s="140"/>
      <c r="AC769" s="140"/>
      <c r="AD769" s="140"/>
    </row>
    <row r="770" spans="1:30" ht="15.75" customHeight="1" x14ac:dyDescent="0.2">
      <c r="A770" s="140"/>
      <c r="B770" s="140"/>
      <c r="C770" s="140"/>
      <c r="D770" s="140"/>
      <c r="E770" s="140"/>
      <c r="F770" s="140"/>
      <c r="G770" s="140"/>
      <c r="H770" s="140"/>
      <c r="I770" s="140"/>
      <c r="J770" s="140"/>
      <c r="K770" s="140"/>
      <c r="L770" s="140"/>
      <c r="M770" s="140"/>
      <c r="N770" s="140"/>
      <c r="O770" s="140"/>
      <c r="P770" s="140"/>
      <c r="Q770" s="140"/>
      <c r="R770" s="140"/>
      <c r="S770" s="140"/>
      <c r="T770" s="140"/>
      <c r="U770" s="140"/>
      <c r="V770" s="140"/>
      <c r="W770" s="140"/>
      <c r="X770" s="140"/>
      <c r="Y770" s="140"/>
      <c r="Z770" s="140"/>
      <c r="AA770" s="140"/>
      <c r="AB770" s="140"/>
      <c r="AC770" s="140"/>
      <c r="AD770" s="140"/>
    </row>
    <row r="771" spans="1:30" ht="15.75" customHeight="1" x14ac:dyDescent="0.2">
      <c r="A771" s="140"/>
      <c r="B771" s="140"/>
      <c r="C771" s="140"/>
      <c r="D771" s="140"/>
      <c r="E771" s="140"/>
      <c r="F771" s="140"/>
      <c r="G771" s="140"/>
      <c r="H771" s="140"/>
      <c r="I771" s="140"/>
      <c r="J771" s="140"/>
      <c r="K771" s="140"/>
      <c r="L771" s="140"/>
      <c r="M771" s="140"/>
      <c r="N771" s="140"/>
      <c r="O771" s="140"/>
      <c r="P771" s="140"/>
      <c r="Q771" s="140"/>
      <c r="R771" s="140"/>
      <c r="S771" s="140"/>
      <c r="T771" s="140"/>
      <c r="U771" s="140"/>
      <c r="V771" s="140"/>
      <c r="W771" s="140"/>
      <c r="X771" s="140"/>
      <c r="Y771" s="140"/>
      <c r="Z771" s="140"/>
      <c r="AA771" s="140"/>
      <c r="AB771" s="140"/>
      <c r="AC771" s="140"/>
      <c r="AD771" s="140"/>
    </row>
    <row r="772" spans="1:30" ht="15.75" customHeight="1" x14ac:dyDescent="0.2">
      <c r="A772" s="140"/>
      <c r="B772" s="140"/>
      <c r="C772" s="140"/>
      <c r="D772" s="140"/>
      <c r="E772" s="140"/>
      <c r="F772" s="140"/>
      <c r="G772" s="140"/>
      <c r="H772" s="140"/>
      <c r="I772" s="140"/>
      <c r="J772" s="140"/>
      <c r="K772" s="140"/>
      <c r="L772" s="140"/>
      <c r="M772" s="140"/>
      <c r="N772" s="140"/>
      <c r="O772" s="140"/>
      <c r="P772" s="140"/>
      <c r="Q772" s="140"/>
      <c r="R772" s="140"/>
      <c r="S772" s="140"/>
      <c r="T772" s="140"/>
      <c r="U772" s="140"/>
      <c r="V772" s="140"/>
      <c r="W772" s="140"/>
      <c r="X772" s="140"/>
      <c r="Y772" s="140"/>
      <c r="Z772" s="140"/>
      <c r="AA772" s="140"/>
      <c r="AB772" s="140"/>
      <c r="AC772" s="140"/>
      <c r="AD772" s="140"/>
    </row>
    <row r="773" spans="1:30" ht="15.75" customHeight="1" x14ac:dyDescent="0.2">
      <c r="A773" s="140"/>
      <c r="B773" s="140"/>
      <c r="C773" s="140"/>
      <c r="D773" s="140"/>
      <c r="E773" s="140"/>
      <c r="F773" s="140"/>
      <c r="G773" s="140"/>
      <c r="H773" s="140"/>
      <c r="I773" s="140"/>
      <c r="J773" s="140"/>
      <c r="K773" s="140"/>
      <c r="L773" s="140"/>
      <c r="M773" s="140"/>
      <c r="N773" s="140"/>
      <c r="O773" s="140"/>
      <c r="P773" s="140"/>
      <c r="Q773" s="140"/>
      <c r="R773" s="140"/>
      <c r="S773" s="140"/>
      <c r="T773" s="140"/>
      <c r="U773" s="140"/>
      <c r="V773" s="140"/>
      <c r="W773" s="140"/>
      <c r="X773" s="140"/>
      <c r="Y773" s="140"/>
      <c r="Z773" s="140"/>
      <c r="AA773" s="140"/>
      <c r="AB773" s="140"/>
      <c r="AC773" s="140"/>
      <c r="AD773" s="140"/>
    </row>
    <row r="774" spans="1:30" ht="15.75" customHeight="1" x14ac:dyDescent="0.2">
      <c r="A774" s="140"/>
      <c r="B774" s="140"/>
      <c r="C774" s="140"/>
      <c r="D774" s="140"/>
      <c r="E774" s="140"/>
      <c r="F774" s="140"/>
      <c r="G774" s="140"/>
      <c r="H774" s="140"/>
      <c r="I774" s="140"/>
      <c r="J774" s="140"/>
      <c r="K774" s="140"/>
      <c r="L774" s="140"/>
      <c r="M774" s="140"/>
      <c r="N774" s="140"/>
      <c r="O774" s="140"/>
      <c r="P774" s="140"/>
      <c r="Q774" s="140"/>
      <c r="R774" s="140"/>
      <c r="S774" s="140"/>
      <c r="T774" s="140"/>
      <c r="U774" s="140"/>
      <c r="V774" s="140"/>
      <c r="W774" s="140"/>
      <c r="X774" s="140"/>
      <c r="Y774" s="140"/>
      <c r="Z774" s="140"/>
      <c r="AA774" s="140"/>
      <c r="AB774" s="140"/>
      <c r="AC774" s="140"/>
      <c r="AD774" s="140"/>
    </row>
    <row r="775" spans="1:30" ht="15.75" customHeight="1" x14ac:dyDescent="0.2">
      <c r="A775" s="140"/>
      <c r="B775" s="140"/>
      <c r="C775" s="140"/>
      <c r="D775" s="140"/>
      <c r="E775" s="140"/>
      <c r="F775" s="140"/>
      <c r="G775" s="140"/>
      <c r="H775" s="140"/>
      <c r="I775" s="140"/>
      <c r="J775" s="140"/>
      <c r="K775" s="140"/>
      <c r="L775" s="140"/>
      <c r="M775" s="140"/>
      <c r="N775" s="140"/>
      <c r="O775" s="140"/>
      <c r="P775" s="140"/>
      <c r="Q775" s="140"/>
      <c r="R775" s="140"/>
      <c r="S775" s="140"/>
      <c r="T775" s="140"/>
      <c r="U775" s="140"/>
      <c r="V775" s="140"/>
      <c r="W775" s="140"/>
      <c r="X775" s="140"/>
      <c r="Y775" s="140"/>
      <c r="Z775" s="140"/>
      <c r="AA775" s="140"/>
      <c r="AB775" s="140"/>
      <c r="AC775" s="140"/>
      <c r="AD775" s="140"/>
    </row>
    <row r="776" spans="1:30" ht="15.75" customHeight="1" x14ac:dyDescent="0.2">
      <c r="A776" s="140"/>
      <c r="B776" s="140"/>
      <c r="C776" s="140"/>
      <c r="D776" s="140"/>
      <c r="E776" s="140"/>
      <c r="F776" s="140"/>
      <c r="G776" s="140"/>
      <c r="H776" s="140"/>
      <c r="I776" s="140"/>
      <c r="J776" s="140"/>
      <c r="K776" s="140"/>
      <c r="L776" s="140"/>
      <c r="M776" s="140"/>
      <c r="N776" s="140"/>
      <c r="O776" s="140"/>
      <c r="P776" s="140"/>
      <c r="Q776" s="140"/>
      <c r="R776" s="140"/>
      <c r="S776" s="140"/>
      <c r="T776" s="140"/>
      <c r="U776" s="140"/>
      <c r="V776" s="140"/>
      <c r="W776" s="140"/>
      <c r="X776" s="140"/>
      <c r="Y776" s="140"/>
      <c r="Z776" s="140"/>
      <c r="AA776" s="140"/>
      <c r="AB776" s="140"/>
      <c r="AC776" s="140"/>
      <c r="AD776" s="140"/>
    </row>
    <row r="777" spans="1:30" ht="15.75" customHeight="1" x14ac:dyDescent="0.2">
      <c r="A777" s="140"/>
      <c r="B777" s="140"/>
      <c r="C777" s="140"/>
      <c r="D777" s="140"/>
      <c r="E777" s="140"/>
      <c r="F777" s="140"/>
      <c r="G777" s="140"/>
      <c r="H777" s="140"/>
      <c r="I777" s="140"/>
      <c r="J777" s="140"/>
      <c r="K777" s="140"/>
      <c r="L777" s="140"/>
      <c r="M777" s="140"/>
      <c r="N777" s="140"/>
      <c r="O777" s="140"/>
      <c r="P777" s="140"/>
      <c r="Q777" s="140"/>
      <c r="R777" s="140"/>
      <c r="S777" s="140"/>
      <c r="T777" s="140"/>
      <c r="U777" s="140"/>
      <c r="V777" s="140"/>
      <c r="W777" s="140"/>
      <c r="X777" s="140"/>
      <c r="Y777" s="140"/>
      <c r="Z777" s="140"/>
      <c r="AA777" s="140"/>
      <c r="AB777" s="140"/>
      <c r="AC777" s="140"/>
      <c r="AD777" s="140"/>
    </row>
    <row r="778" spans="1:30" ht="15.75" customHeight="1" x14ac:dyDescent="0.2">
      <c r="A778" s="140"/>
      <c r="B778" s="140"/>
      <c r="C778" s="140"/>
      <c r="D778" s="140"/>
      <c r="E778" s="140"/>
      <c r="F778" s="140"/>
      <c r="G778" s="140"/>
      <c r="H778" s="140"/>
      <c r="I778" s="140"/>
      <c r="J778" s="140"/>
      <c r="K778" s="140"/>
      <c r="L778" s="140"/>
      <c r="M778" s="140"/>
      <c r="N778" s="140"/>
      <c r="O778" s="140"/>
      <c r="P778" s="140"/>
      <c r="Q778" s="140"/>
      <c r="R778" s="140"/>
      <c r="S778" s="140"/>
      <c r="T778" s="140"/>
      <c r="U778" s="140"/>
      <c r="V778" s="140"/>
      <c r="W778" s="140"/>
      <c r="X778" s="140"/>
      <c r="Y778" s="140"/>
      <c r="Z778" s="140"/>
      <c r="AA778" s="140"/>
      <c r="AB778" s="140"/>
      <c r="AC778" s="140"/>
      <c r="AD778" s="140"/>
    </row>
    <row r="779" spans="1:30" ht="15.75" customHeight="1" x14ac:dyDescent="0.2">
      <c r="A779" s="140"/>
      <c r="B779" s="140"/>
      <c r="C779" s="140"/>
      <c r="D779" s="140"/>
      <c r="E779" s="140"/>
      <c r="F779" s="140"/>
      <c r="G779" s="140"/>
      <c r="H779" s="140"/>
      <c r="I779" s="140"/>
      <c r="J779" s="140"/>
      <c r="K779" s="140"/>
      <c r="L779" s="140"/>
      <c r="M779" s="140"/>
      <c r="N779" s="140"/>
      <c r="O779" s="140"/>
      <c r="P779" s="140"/>
      <c r="Q779" s="140"/>
      <c r="R779" s="140"/>
      <c r="S779" s="140"/>
      <c r="T779" s="140"/>
      <c r="U779" s="140"/>
      <c r="V779" s="140"/>
      <c r="W779" s="140"/>
      <c r="X779" s="140"/>
      <c r="Y779" s="140"/>
      <c r="Z779" s="140"/>
      <c r="AA779" s="140"/>
      <c r="AB779" s="140"/>
      <c r="AC779" s="140"/>
      <c r="AD779" s="140"/>
    </row>
    <row r="780" spans="1:30" ht="15.75" customHeight="1" x14ac:dyDescent="0.2">
      <c r="A780" s="140"/>
      <c r="B780" s="140"/>
      <c r="C780" s="140"/>
      <c r="D780" s="140"/>
      <c r="E780" s="140"/>
      <c r="F780" s="140"/>
      <c r="G780" s="140"/>
      <c r="H780" s="140"/>
      <c r="I780" s="140"/>
      <c r="J780" s="140"/>
      <c r="K780" s="140"/>
      <c r="L780" s="140"/>
      <c r="M780" s="140"/>
      <c r="N780" s="140"/>
      <c r="O780" s="140"/>
      <c r="P780" s="140"/>
      <c r="Q780" s="140"/>
      <c r="R780" s="140"/>
      <c r="S780" s="140"/>
      <c r="T780" s="140"/>
      <c r="U780" s="140"/>
      <c r="V780" s="140"/>
      <c r="W780" s="140"/>
      <c r="X780" s="140"/>
      <c r="Y780" s="140"/>
      <c r="Z780" s="140"/>
      <c r="AA780" s="140"/>
      <c r="AB780" s="140"/>
      <c r="AC780" s="140"/>
      <c r="AD780" s="140"/>
    </row>
    <row r="781" spans="1:30" ht="15.75" customHeight="1" x14ac:dyDescent="0.2">
      <c r="A781" s="140"/>
      <c r="B781" s="140"/>
      <c r="C781" s="140"/>
      <c r="D781" s="140"/>
      <c r="E781" s="140"/>
      <c r="F781" s="140"/>
      <c r="G781" s="140"/>
      <c r="H781" s="140"/>
      <c r="I781" s="140"/>
      <c r="J781" s="140"/>
      <c r="K781" s="140"/>
      <c r="L781" s="140"/>
      <c r="M781" s="140"/>
      <c r="N781" s="140"/>
      <c r="O781" s="140"/>
      <c r="P781" s="140"/>
      <c r="Q781" s="140"/>
      <c r="R781" s="140"/>
      <c r="S781" s="140"/>
      <c r="T781" s="140"/>
      <c r="U781" s="140"/>
      <c r="V781" s="140"/>
      <c r="W781" s="140"/>
      <c r="X781" s="140"/>
      <c r="Y781" s="140"/>
      <c r="Z781" s="140"/>
      <c r="AA781" s="140"/>
      <c r="AB781" s="140"/>
      <c r="AC781" s="140"/>
      <c r="AD781" s="140"/>
    </row>
    <row r="782" spans="1:30" ht="15.75" customHeight="1" x14ac:dyDescent="0.2">
      <c r="A782" s="140"/>
      <c r="B782" s="140"/>
      <c r="C782" s="140"/>
      <c r="D782" s="140"/>
      <c r="E782" s="140"/>
      <c r="F782" s="140"/>
      <c r="G782" s="140"/>
      <c r="H782" s="140"/>
      <c r="I782" s="140"/>
      <c r="J782" s="140"/>
      <c r="K782" s="140"/>
      <c r="L782" s="140"/>
      <c r="M782" s="140"/>
      <c r="N782" s="140"/>
      <c r="O782" s="140"/>
      <c r="P782" s="140"/>
      <c r="Q782" s="140"/>
      <c r="R782" s="140"/>
      <c r="S782" s="140"/>
      <c r="T782" s="140"/>
      <c r="U782" s="140"/>
      <c r="V782" s="140"/>
      <c r="W782" s="140"/>
      <c r="X782" s="140"/>
      <c r="Y782" s="140"/>
      <c r="Z782" s="140"/>
      <c r="AA782" s="140"/>
      <c r="AB782" s="140"/>
      <c r="AC782" s="140"/>
      <c r="AD782" s="140"/>
    </row>
    <row r="783" spans="1:30" ht="15.75" customHeight="1" x14ac:dyDescent="0.2">
      <c r="A783" s="140"/>
      <c r="B783" s="140"/>
      <c r="C783" s="140"/>
      <c r="D783" s="140"/>
      <c r="E783" s="140"/>
      <c r="F783" s="140"/>
      <c r="G783" s="140"/>
      <c r="H783" s="140"/>
      <c r="I783" s="140"/>
      <c r="J783" s="140"/>
      <c r="K783" s="140"/>
      <c r="L783" s="140"/>
      <c r="M783" s="140"/>
      <c r="N783" s="140"/>
      <c r="O783" s="140"/>
      <c r="P783" s="140"/>
      <c r="Q783" s="140"/>
      <c r="R783" s="140"/>
      <c r="S783" s="140"/>
      <c r="T783" s="140"/>
      <c r="U783" s="140"/>
      <c r="V783" s="140"/>
      <c r="W783" s="140"/>
      <c r="X783" s="140"/>
      <c r="Y783" s="140"/>
      <c r="Z783" s="140"/>
      <c r="AA783" s="140"/>
      <c r="AB783" s="140"/>
      <c r="AC783" s="140"/>
      <c r="AD783" s="140"/>
    </row>
    <row r="784" spans="1:30" ht="15.75" customHeight="1" x14ac:dyDescent="0.2">
      <c r="A784" s="140"/>
      <c r="B784" s="140"/>
      <c r="C784" s="140"/>
      <c r="D784" s="140"/>
      <c r="E784" s="140"/>
      <c r="F784" s="140"/>
      <c r="G784" s="140"/>
      <c r="H784" s="140"/>
      <c r="I784" s="140"/>
      <c r="J784" s="140"/>
      <c r="K784" s="140"/>
      <c r="L784" s="140"/>
      <c r="M784" s="140"/>
      <c r="N784" s="140"/>
      <c r="O784" s="140"/>
      <c r="P784" s="140"/>
      <c r="Q784" s="140"/>
      <c r="R784" s="140"/>
      <c r="S784" s="140"/>
      <c r="T784" s="140"/>
      <c r="U784" s="140"/>
      <c r="V784" s="140"/>
      <c r="W784" s="140"/>
      <c r="X784" s="140"/>
      <c r="Y784" s="140"/>
      <c r="Z784" s="140"/>
      <c r="AA784" s="140"/>
      <c r="AB784" s="140"/>
      <c r="AC784" s="140"/>
      <c r="AD784" s="140"/>
    </row>
    <row r="785" spans="1:30" ht="15.75" customHeight="1" x14ac:dyDescent="0.2">
      <c r="A785" s="140"/>
      <c r="B785" s="140"/>
      <c r="C785" s="140"/>
      <c r="D785" s="140"/>
      <c r="E785" s="140"/>
      <c r="F785" s="140"/>
      <c r="G785" s="140"/>
      <c r="H785" s="140"/>
      <c r="I785" s="140"/>
      <c r="J785" s="140"/>
      <c r="K785" s="140"/>
      <c r="L785" s="140"/>
      <c r="M785" s="140"/>
      <c r="N785" s="140"/>
      <c r="O785" s="140"/>
      <c r="P785" s="140"/>
      <c r="Q785" s="140"/>
      <c r="R785" s="140"/>
      <c r="S785" s="140"/>
      <c r="T785" s="140"/>
      <c r="U785" s="140"/>
      <c r="V785" s="140"/>
      <c r="W785" s="140"/>
      <c r="X785" s="140"/>
      <c r="Y785" s="140"/>
      <c r="Z785" s="140"/>
      <c r="AA785" s="140"/>
      <c r="AB785" s="140"/>
      <c r="AC785" s="140"/>
      <c r="AD785" s="140"/>
    </row>
    <row r="786" spans="1:30" ht="15.75" customHeight="1" x14ac:dyDescent="0.2">
      <c r="A786" s="140"/>
      <c r="B786" s="140"/>
      <c r="C786" s="140"/>
      <c r="D786" s="140"/>
      <c r="E786" s="140"/>
      <c r="F786" s="140"/>
      <c r="G786" s="140"/>
      <c r="H786" s="140"/>
      <c r="I786" s="140"/>
      <c r="J786" s="140"/>
      <c r="K786" s="140"/>
      <c r="L786" s="140"/>
      <c r="M786" s="140"/>
      <c r="N786" s="140"/>
      <c r="O786" s="140"/>
      <c r="P786" s="140"/>
      <c r="Q786" s="140"/>
      <c r="R786" s="140"/>
      <c r="S786" s="140"/>
      <c r="T786" s="140"/>
      <c r="U786" s="140"/>
      <c r="V786" s="140"/>
      <c r="W786" s="140"/>
      <c r="X786" s="140"/>
      <c r="Y786" s="140"/>
      <c r="Z786" s="140"/>
      <c r="AA786" s="140"/>
      <c r="AB786" s="140"/>
      <c r="AC786" s="140"/>
      <c r="AD786" s="140"/>
    </row>
    <row r="787" spans="1:30" ht="15.75" customHeight="1" x14ac:dyDescent="0.2">
      <c r="A787" s="140"/>
      <c r="B787" s="140"/>
      <c r="C787" s="140"/>
      <c r="D787" s="140"/>
      <c r="E787" s="140"/>
      <c r="F787" s="140"/>
      <c r="G787" s="140"/>
      <c r="H787" s="140"/>
      <c r="I787" s="140"/>
      <c r="J787" s="140"/>
      <c r="K787" s="140"/>
      <c r="L787" s="140"/>
      <c r="M787" s="140"/>
      <c r="N787" s="140"/>
      <c r="O787" s="140"/>
      <c r="P787" s="140"/>
      <c r="Q787" s="140"/>
      <c r="R787" s="140"/>
      <c r="S787" s="140"/>
      <c r="T787" s="140"/>
      <c r="U787" s="140"/>
      <c r="V787" s="140"/>
      <c r="W787" s="140"/>
      <c r="X787" s="140"/>
      <c r="Y787" s="140"/>
      <c r="Z787" s="140"/>
      <c r="AA787" s="140"/>
      <c r="AB787" s="140"/>
      <c r="AC787" s="140"/>
      <c r="AD787" s="140"/>
    </row>
    <row r="788" spans="1:30" ht="15.75" customHeight="1" x14ac:dyDescent="0.2">
      <c r="A788" s="140"/>
      <c r="B788" s="140"/>
      <c r="C788" s="140"/>
      <c r="D788" s="140"/>
      <c r="E788" s="140"/>
      <c r="F788" s="140"/>
      <c r="G788" s="140"/>
      <c r="H788" s="140"/>
      <c r="I788" s="140"/>
      <c r="J788" s="140"/>
      <c r="K788" s="140"/>
      <c r="L788" s="140"/>
      <c r="M788" s="140"/>
      <c r="N788" s="140"/>
      <c r="O788" s="140"/>
      <c r="P788" s="140"/>
      <c r="Q788" s="140"/>
      <c r="R788" s="140"/>
      <c r="S788" s="140"/>
      <c r="T788" s="140"/>
      <c r="U788" s="140"/>
      <c r="V788" s="140"/>
      <c r="W788" s="140"/>
      <c r="X788" s="140"/>
      <c r="Y788" s="140"/>
      <c r="Z788" s="140"/>
      <c r="AA788" s="140"/>
      <c r="AB788" s="140"/>
      <c r="AC788" s="140"/>
      <c r="AD788" s="140"/>
    </row>
    <row r="789" spans="1:30" ht="15.75" customHeight="1" x14ac:dyDescent="0.2">
      <c r="A789" s="140"/>
      <c r="B789" s="140"/>
      <c r="C789" s="140"/>
      <c r="D789" s="140"/>
      <c r="E789" s="140"/>
      <c r="F789" s="140"/>
      <c r="G789" s="140"/>
      <c r="H789" s="140"/>
      <c r="I789" s="140"/>
      <c r="J789" s="140"/>
      <c r="K789" s="140"/>
      <c r="L789" s="140"/>
      <c r="M789" s="140"/>
      <c r="N789" s="140"/>
      <c r="O789" s="140"/>
      <c r="P789" s="140"/>
      <c r="Q789" s="140"/>
      <c r="R789" s="140"/>
      <c r="S789" s="140"/>
      <c r="T789" s="140"/>
      <c r="U789" s="140"/>
      <c r="V789" s="140"/>
      <c r="W789" s="140"/>
      <c r="X789" s="140"/>
      <c r="Y789" s="140"/>
      <c r="Z789" s="140"/>
      <c r="AA789" s="140"/>
      <c r="AB789" s="140"/>
      <c r="AC789" s="140"/>
      <c r="AD789" s="140"/>
    </row>
    <row r="790" spans="1:30" ht="15.75" customHeight="1" x14ac:dyDescent="0.2">
      <c r="A790" s="140"/>
      <c r="B790" s="140"/>
      <c r="C790" s="140"/>
      <c r="D790" s="140"/>
      <c r="E790" s="140"/>
      <c r="F790" s="140"/>
      <c r="G790" s="140"/>
      <c r="H790" s="140"/>
      <c r="I790" s="140"/>
      <c r="J790" s="140"/>
      <c r="K790" s="140"/>
      <c r="L790" s="140"/>
      <c r="M790" s="140"/>
      <c r="N790" s="140"/>
      <c r="O790" s="140"/>
      <c r="P790" s="140"/>
      <c r="Q790" s="140"/>
      <c r="R790" s="140"/>
      <c r="S790" s="140"/>
      <c r="T790" s="140"/>
      <c r="U790" s="140"/>
      <c r="V790" s="140"/>
      <c r="W790" s="140"/>
      <c r="X790" s="140"/>
      <c r="Y790" s="140"/>
      <c r="Z790" s="140"/>
      <c r="AA790" s="140"/>
      <c r="AB790" s="140"/>
      <c r="AC790" s="140"/>
      <c r="AD790" s="140"/>
    </row>
    <row r="791" spans="1:30" ht="15.75" customHeight="1" x14ac:dyDescent="0.2">
      <c r="A791" s="140"/>
      <c r="B791" s="140"/>
      <c r="C791" s="140"/>
      <c r="D791" s="140"/>
      <c r="E791" s="140"/>
      <c r="F791" s="140"/>
      <c r="G791" s="140"/>
      <c r="H791" s="140"/>
      <c r="I791" s="140"/>
      <c r="J791" s="140"/>
      <c r="K791" s="140"/>
      <c r="L791" s="140"/>
      <c r="M791" s="140"/>
      <c r="N791" s="140"/>
      <c r="O791" s="140"/>
      <c r="P791" s="140"/>
      <c r="Q791" s="140"/>
      <c r="R791" s="140"/>
      <c r="S791" s="140"/>
      <c r="T791" s="140"/>
      <c r="U791" s="140"/>
      <c r="V791" s="140"/>
      <c r="W791" s="140"/>
      <c r="X791" s="140"/>
      <c r="Y791" s="140"/>
      <c r="Z791" s="140"/>
      <c r="AA791" s="140"/>
      <c r="AB791" s="140"/>
      <c r="AC791" s="140"/>
      <c r="AD791" s="140"/>
    </row>
    <row r="792" spans="1:30" ht="15.75" customHeight="1" x14ac:dyDescent="0.2">
      <c r="A792" s="140"/>
      <c r="B792" s="140"/>
      <c r="C792" s="140"/>
      <c r="D792" s="140"/>
      <c r="E792" s="140"/>
      <c r="F792" s="140"/>
      <c r="G792" s="140"/>
      <c r="H792" s="140"/>
      <c r="I792" s="140"/>
      <c r="J792" s="140"/>
      <c r="K792" s="140"/>
      <c r="L792" s="140"/>
      <c r="M792" s="140"/>
      <c r="N792" s="140"/>
      <c r="O792" s="140"/>
      <c r="P792" s="140"/>
      <c r="Q792" s="140"/>
      <c r="R792" s="140"/>
      <c r="S792" s="140"/>
      <c r="T792" s="140"/>
      <c r="U792" s="140"/>
      <c r="V792" s="140"/>
      <c r="W792" s="140"/>
      <c r="X792" s="140"/>
      <c r="Y792" s="140"/>
      <c r="Z792" s="140"/>
      <c r="AA792" s="140"/>
      <c r="AB792" s="140"/>
      <c r="AC792" s="140"/>
      <c r="AD792" s="140"/>
    </row>
    <row r="793" spans="1:30" ht="15.75" customHeight="1" x14ac:dyDescent="0.2">
      <c r="A793" s="140"/>
      <c r="B793" s="140"/>
      <c r="C793" s="140"/>
      <c r="D793" s="140"/>
      <c r="E793" s="140"/>
      <c r="F793" s="140"/>
      <c r="G793" s="140"/>
      <c r="H793" s="140"/>
      <c r="I793" s="140"/>
      <c r="J793" s="140"/>
      <c r="K793" s="140"/>
      <c r="L793" s="140"/>
      <c r="M793" s="140"/>
      <c r="N793" s="140"/>
      <c r="O793" s="140"/>
      <c r="P793" s="140"/>
      <c r="Q793" s="140"/>
      <c r="R793" s="140"/>
      <c r="S793" s="140"/>
      <c r="T793" s="140"/>
      <c r="U793" s="140"/>
      <c r="V793" s="140"/>
      <c r="W793" s="140"/>
      <c r="X793" s="140"/>
      <c r="Y793" s="140"/>
      <c r="Z793" s="140"/>
      <c r="AA793" s="140"/>
      <c r="AB793" s="140"/>
      <c r="AC793" s="140"/>
      <c r="AD793" s="140"/>
    </row>
    <row r="794" spans="1:30" ht="15.75" customHeight="1" x14ac:dyDescent="0.2">
      <c r="A794" s="140"/>
      <c r="B794" s="140"/>
      <c r="C794" s="140"/>
      <c r="D794" s="140"/>
      <c r="E794" s="140"/>
      <c r="F794" s="140"/>
      <c r="G794" s="140"/>
      <c r="H794" s="140"/>
      <c r="I794" s="140"/>
      <c r="J794" s="140"/>
      <c r="K794" s="140"/>
      <c r="L794" s="140"/>
      <c r="M794" s="140"/>
      <c r="N794" s="140"/>
      <c r="O794" s="140"/>
      <c r="P794" s="140"/>
      <c r="Q794" s="140"/>
      <c r="R794" s="140"/>
      <c r="S794" s="140"/>
      <c r="T794" s="140"/>
      <c r="U794" s="140"/>
      <c r="V794" s="140"/>
      <c r="W794" s="140"/>
      <c r="X794" s="140"/>
      <c r="Y794" s="140"/>
      <c r="Z794" s="140"/>
      <c r="AA794" s="140"/>
      <c r="AB794" s="140"/>
      <c r="AC794" s="140"/>
      <c r="AD794" s="140"/>
    </row>
    <row r="795" spans="1:30" ht="15.75" customHeight="1" x14ac:dyDescent="0.2">
      <c r="A795" s="140"/>
      <c r="B795" s="140"/>
      <c r="C795" s="140"/>
      <c r="D795" s="140"/>
      <c r="E795" s="140"/>
      <c r="F795" s="140"/>
      <c r="G795" s="140"/>
      <c r="H795" s="140"/>
      <c r="I795" s="140"/>
      <c r="J795" s="140"/>
      <c r="K795" s="140"/>
      <c r="L795" s="140"/>
      <c r="M795" s="140"/>
      <c r="N795" s="140"/>
      <c r="O795" s="140"/>
      <c r="P795" s="140"/>
      <c r="Q795" s="140"/>
      <c r="R795" s="140"/>
      <c r="S795" s="140"/>
      <c r="T795" s="140"/>
      <c r="U795" s="140"/>
      <c r="V795" s="140"/>
      <c r="W795" s="140"/>
      <c r="X795" s="140"/>
      <c r="Y795" s="140"/>
      <c r="Z795" s="140"/>
      <c r="AA795" s="140"/>
      <c r="AB795" s="140"/>
      <c r="AC795" s="140"/>
      <c r="AD795" s="140"/>
    </row>
    <row r="796" spans="1:30" ht="15.75" customHeight="1" x14ac:dyDescent="0.2">
      <c r="A796" s="140"/>
      <c r="B796" s="140"/>
      <c r="C796" s="140"/>
      <c r="D796" s="140"/>
      <c r="E796" s="140"/>
      <c r="F796" s="140"/>
      <c r="G796" s="140"/>
      <c r="H796" s="140"/>
      <c r="I796" s="140"/>
      <c r="J796" s="140"/>
      <c r="K796" s="140"/>
      <c r="L796" s="140"/>
      <c r="M796" s="140"/>
      <c r="N796" s="140"/>
      <c r="O796" s="140"/>
      <c r="P796" s="140"/>
      <c r="Q796" s="140"/>
      <c r="R796" s="140"/>
      <c r="S796" s="140"/>
      <c r="T796" s="140"/>
      <c r="U796" s="140"/>
      <c r="V796" s="140"/>
      <c r="W796" s="140"/>
      <c r="X796" s="140"/>
      <c r="Y796" s="140"/>
      <c r="Z796" s="140"/>
      <c r="AA796" s="140"/>
      <c r="AB796" s="140"/>
      <c r="AC796" s="140"/>
      <c r="AD796" s="140"/>
    </row>
    <row r="797" spans="1:30" ht="15.75" customHeight="1" x14ac:dyDescent="0.2">
      <c r="A797" s="140"/>
      <c r="B797" s="140"/>
      <c r="C797" s="140"/>
      <c r="D797" s="140"/>
      <c r="E797" s="140"/>
      <c r="F797" s="140"/>
      <c r="G797" s="140"/>
      <c r="H797" s="140"/>
      <c r="I797" s="140"/>
      <c r="J797" s="140"/>
      <c r="K797" s="140"/>
      <c r="L797" s="140"/>
      <c r="M797" s="140"/>
      <c r="N797" s="140"/>
      <c r="O797" s="140"/>
      <c r="P797" s="140"/>
      <c r="Q797" s="140"/>
      <c r="R797" s="140"/>
      <c r="S797" s="140"/>
      <c r="T797" s="140"/>
      <c r="U797" s="140"/>
      <c r="V797" s="140"/>
      <c r="W797" s="140"/>
      <c r="X797" s="140"/>
      <c r="Y797" s="140"/>
      <c r="Z797" s="140"/>
      <c r="AA797" s="140"/>
      <c r="AB797" s="140"/>
      <c r="AC797" s="140"/>
      <c r="AD797" s="140"/>
    </row>
    <row r="798" spans="1:30" ht="15.75" customHeight="1" x14ac:dyDescent="0.2">
      <c r="A798" s="140"/>
      <c r="B798" s="140"/>
      <c r="C798" s="140"/>
      <c r="D798" s="140"/>
      <c r="E798" s="140"/>
      <c r="F798" s="140"/>
      <c r="G798" s="140"/>
      <c r="H798" s="140"/>
      <c r="I798" s="140"/>
      <c r="J798" s="140"/>
      <c r="K798" s="140"/>
      <c r="L798" s="140"/>
      <c r="M798" s="140"/>
      <c r="N798" s="140"/>
      <c r="O798" s="140"/>
      <c r="P798" s="140"/>
      <c r="Q798" s="140"/>
      <c r="R798" s="140"/>
      <c r="S798" s="140"/>
      <c r="T798" s="140"/>
      <c r="U798" s="140"/>
      <c r="V798" s="140"/>
      <c r="W798" s="140"/>
      <c r="X798" s="140"/>
      <c r="Y798" s="140"/>
      <c r="Z798" s="140"/>
      <c r="AA798" s="140"/>
      <c r="AB798" s="140"/>
      <c r="AC798" s="140"/>
      <c r="AD798" s="140"/>
    </row>
    <row r="799" spans="1:30" ht="15.75" customHeight="1" x14ac:dyDescent="0.2">
      <c r="A799" s="140"/>
      <c r="B799" s="140"/>
      <c r="C799" s="140"/>
      <c r="D799" s="140"/>
      <c r="E799" s="140"/>
      <c r="F799" s="140"/>
      <c r="G799" s="140"/>
      <c r="H799" s="140"/>
      <c r="I799" s="140"/>
      <c r="J799" s="140"/>
      <c r="K799" s="140"/>
      <c r="L799" s="140"/>
      <c r="M799" s="140"/>
      <c r="N799" s="140"/>
      <c r="O799" s="140"/>
      <c r="P799" s="140"/>
      <c r="Q799" s="140"/>
      <c r="R799" s="140"/>
      <c r="S799" s="140"/>
      <c r="T799" s="140"/>
      <c r="U799" s="140"/>
      <c r="V799" s="140"/>
      <c r="W799" s="140"/>
      <c r="X799" s="140"/>
      <c r="Y799" s="140"/>
      <c r="Z799" s="140"/>
      <c r="AA799" s="140"/>
      <c r="AB799" s="140"/>
      <c r="AC799" s="140"/>
      <c r="AD799" s="140"/>
    </row>
    <row r="800" spans="1:30" ht="15.75" customHeight="1" x14ac:dyDescent="0.2">
      <c r="A800" s="140"/>
      <c r="B800" s="140"/>
      <c r="C800" s="140"/>
      <c r="D800" s="140"/>
      <c r="E800" s="140"/>
      <c r="F800" s="140"/>
      <c r="G800" s="140"/>
      <c r="H800" s="140"/>
      <c r="I800" s="140"/>
      <c r="J800" s="140"/>
      <c r="K800" s="140"/>
      <c r="L800" s="140"/>
      <c r="M800" s="140"/>
      <c r="N800" s="140"/>
      <c r="O800" s="140"/>
      <c r="P800" s="140"/>
      <c r="Q800" s="140"/>
      <c r="R800" s="140"/>
      <c r="S800" s="140"/>
      <c r="T800" s="140"/>
      <c r="U800" s="140"/>
      <c r="V800" s="140"/>
      <c r="W800" s="140"/>
      <c r="X800" s="140"/>
      <c r="Y800" s="140"/>
      <c r="Z800" s="140"/>
      <c r="AA800" s="140"/>
      <c r="AB800" s="140"/>
      <c r="AC800" s="140"/>
      <c r="AD800" s="140"/>
    </row>
    <row r="801" spans="1:30" ht="15.75" customHeight="1" x14ac:dyDescent="0.2">
      <c r="A801" s="140"/>
      <c r="B801" s="140"/>
      <c r="C801" s="140"/>
      <c r="D801" s="140"/>
      <c r="E801" s="140"/>
      <c r="F801" s="140"/>
      <c r="G801" s="140"/>
      <c r="H801" s="140"/>
      <c r="I801" s="140"/>
      <c r="J801" s="140"/>
      <c r="K801" s="140"/>
      <c r="L801" s="140"/>
      <c r="M801" s="140"/>
      <c r="N801" s="140"/>
      <c r="O801" s="140"/>
      <c r="P801" s="140"/>
      <c r="Q801" s="140"/>
      <c r="R801" s="140"/>
      <c r="S801" s="140"/>
      <c r="T801" s="140"/>
      <c r="U801" s="140"/>
      <c r="V801" s="140"/>
      <c r="W801" s="140"/>
      <c r="X801" s="140"/>
      <c r="Y801" s="140"/>
      <c r="Z801" s="140"/>
      <c r="AA801" s="140"/>
      <c r="AB801" s="140"/>
      <c r="AC801" s="140"/>
      <c r="AD801" s="140"/>
    </row>
    <row r="802" spans="1:30" ht="15.75" customHeight="1" x14ac:dyDescent="0.2">
      <c r="A802" s="140"/>
      <c r="B802" s="140"/>
      <c r="C802" s="140"/>
      <c r="D802" s="140"/>
      <c r="E802" s="140"/>
      <c r="F802" s="140"/>
      <c r="G802" s="140"/>
      <c r="H802" s="140"/>
      <c r="I802" s="140"/>
      <c r="J802" s="140"/>
      <c r="K802" s="140"/>
      <c r="L802" s="140"/>
      <c r="M802" s="140"/>
      <c r="N802" s="140"/>
      <c r="O802" s="140"/>
      <c r="P802" s="140"/>
      <c r="Q802" s="140"/>
      <c r="R802" s="140"/>
      <c r="S802" s="140"/>
      <c r="T802" s="140"/>
      <c r="U802" s="140"/>
      <c r="V802" s="140"/>
      <c r="W802" s="140"/>
      <c r="X802" s="140"/>
      <c r="Y802" s="140"/>
      <c r="Z802" s="140"/>
      <c r="AA802" s="140"/>
      <c r="AB802" s="140"/>
      <c r="AC802" s="140"/>
      <c r="AD802" s="140"/>
    </row>
    <row r="803" spans="1:30" ht="15.75" customHeight="1" x14ac:dyDescent="0.2">
      <c r="A803" s="140"/>
      <c r="B803" s="140"/>
      <c r="C803" s="140"/>
      <c r="D803" s="140"/>
      <c r="E803" s="140"/>
      <c r="F803" s="140"/>
      <c r="G803" s="140"/>
      <c r="H803" s="140"/>
      <c r="I803" s="140"/>
      <c r="J803" s="140"/>
      <c r="K803" s="140"/>
      <c r="L803" s="140"/>
      <c r="M803" s="140"/>
      <c r="N803" s="140"/>
      <c r="O803" s="140"/>
      <c r="P803" s="140"/>
      <c r="Q803" s="140"/>
      <c r="R803" s="140"/>
      <c r="S803" s="140"/>
      <c r="T803" s="140"/>
      <c r="U803" s="140"/>
      <c r="V803" s="140"/>
      <c r="W803" s="140"/>
      <c r="X803" s="140"/>
      <c r="Y803" s="140"/>
      <c r="Z803" s="140"/>
      <c r="AA803" s="140"/>
      <c r="AB803" s="140"/>
      <c r="AC803" s="140"/>
      <c r="AD803" s="140"/>
    </row>
    <row r="804" spans="1:30" ht="15.75" customHeight="1" x14ac:dyDescent="0.2">
      <c r="A804" s="140"/>
      <c r="B804" s="140"/>
      <c r="C804" s="140"/>
      <c r="D804" s="140"/>
      <c r="E804" s="140"/>
      <c r="F804" s="140"/>
      <c r="G804" s="140"/>
      <c r="H804" s="140"/>
      <c r="I804" s="140"/>
      <c r="J804" s="140"/>
      <c r="K804" s="140"/>
      <c r="L804" s="140"/>
      <c r="M804" s="140"/>
      <c r="N804" s="140"/>
      <c r="O804" s="140"/>
      <c r="P804" s="140"/>
      <c r="Q804" s="140"/>
      <c r="R804" s="140"/>
      <c r="S804" s="140"/>
      <c r="T804" s="140"/>
      <c r="U804" s="140"/>
      <c r="V804" s="140"/>
      <c r="W804" s="140"/>
      <c r="X804" s="140"/>
      <c r="Y804" s="140"/>
      <c r="Z804" s="140"/>
      <c r="AA804" s="140"/>
      <c r="AB804" s="140"/>
      <c r="AC804" s="140"/>
      <c r="AD804" s="140"/>
    </row>
    <row r="805" spans="1:30" ht="15.75" customHeight="1" x14ac:dyDescent="0.2">
      <c r="A805" s="140"/>
      <c r="B805" s="140"/>
      <c r="C805" s="140"/>
      <c r="D805" s="140"/>
      <c r="E805" s="140"/>
      <c r="F805" s="140"/>
      <c r="G805" s="140"/>
      <c r="H805" s="140"/>
      <c r="I805" s="140"/>
      <c r="J805" s="140"/>
      <c r="K805" s="140"/>
      <c r="L805" s="140"/>
      <c r="M805" s="140"/>
      <c r="N805" s="140"/>
      <c r="O805" s="140"/>
      <c r="P805" s="140"/>
      <c r="Q805" s="140"/>
      <c r="R805" s="140"/>
      <c r="S805" s="140"/>
      <c r="T805" s="140"/>
      <c r="U805" s="140"/>
      <c r="V805" s="140"/>
      <c r="W805" s="140"/>
      <c r="X805" s="140"/>
      <c r="Y805" s="140"/>
      <c r="Z805" s="140"/>
      <c r="AA805" s="140"/>
      <c r="AB805" s="140"/>
      <c r="AC805" s="140"/>
      <c r="AD805" s="140"/>
    </row>
    <row r="806" spans="1:30" ht="15.75" customHeight="1" x14ac:dyDescent="0.2">
      <c r="A806" s="140"/>
      <c r="B806" s="140"/>
      <c r="C806" s="140"/>
      <c r="D806" s="140"/>
      <c r="E806" s="140"/>
      <c r="F806" s="140"/>
      <c r="G806" s="140"/>
      <c r="H806" s="140"/>
      <c r="I806" s="140"/>
      <c r="J806" s="140"/>
      <c r="K806" s="140"/>
      <c r="L806" s="140"/>
      <c r="M806" s="140"/>
      <c r="N806" s="140"/>
      <c r="O806" s="140"/>
      <c r="P806" s="140"/>
      <c r="Q806" s="140"/>
      <c r="R806" s="140"/>
      <c r="S806" s="140"/>
      <c r="T806" s="140"/>
      <c r="U806" s="140"/>
      <c r="V806" s="140"/>
      <c r="W806" s="140"/>
      <c r="X806" s="140"/>
      <c r="Y806" s="140"/>
      <c r="Z806" s="140"/>
      <c r="AA806" s="140"/>
      <c r="AB806" s="140"/>
      <c r="AC806" s="140"/>
      <c r="AD806" s="140"/>
    </row>
    <row r="807" spans="1:30" ht="15.75" customHeight="1" x14ac:dyDescent="0.2">
      <c r="A807" s="140"/>
      <c r="B807" s="140"/>
      <c r="C807" s="140"/>
      <c r="D807" s="140"/>
      <c r="E807" s="140"/>
      <c r="F807" s="140"/>
      <c r="G807" s="140"/>
      <c r="H807" s="140"/>
      <c r="I807" s="140"/>
      <c r="J807" s="140"/>
      <c r="K807" s="140"/>
      <c r="L807" s="140"/>
      <c r="M807" s="140"/>
      <c r="N807" s="140"/>
      <c r="O807" s="140"/>
      <c r="P807" s="140"/>
      <c r="Q807" s="140"/>
      <c r="R807" s="140"/>
      <c r="S807" s="140"/>
      <c r="T807" s="140"/>
      <c r="U807" s="140"/>
      <c r="V807" s="140"/>
      <c r="W807" s="140"/>
      <c r="X807" s="140"/>
      <c r="Y807" s="140"/>
      <c r="Z807" s="140"/>
      <c r="AA807" s="140"/>
      <c r="AB807" s="140"/>
      <c r="AC807" s="140"/>
      <c r="AD807" s="140"/>
    </row>
    <row r="808" spans="1:30" ht="15.75" customHeight="1" x14ac:dyDescent="0.2">
      <c r="A808" s="140"/>
      <c r="B808" s="140"/>
      <c r="C808" s="140"/>
      <c r="D808" s="140"/>
      <c r="E808" s="140"/>
      <c r="F808" s="140"/>
      <c r="G808" s="140"/>
      <c r="H808" s="140"/>
      <c r="I808" s="140"/>
      <c r="J808" s="140"/>
      <c r="K808" s="140"/>
      <c r="L808" s="140"/>
      <c r="M808" s="140"/>
      <c r="N808" s="140"/>
      <c r="O808" s="140"/>
      <c r="P808" s="140"/>
      <c r="Q808" s="140"/>
      <c r="R808" s="140"/>
      <c r="S808" s="140"/>
      <c r="T808" s="140"/>
      <c r="U808" s="140"/>
      <c r="V808" s="140"/>
      <c r="W808" s="140"/>
      <c r="X808" s="140"/>
      <c r="Y808" s="140"/>
      <c r="Z808" s="140"/>
      <c r="AA808" s="140"/>
      <c r="AB808" s="140"/>
      <c r="AC808" s="140"/>
      <c r="AD808" s="140"/>
    </row>
    <row r="809" spans="1:30" ht="15.75" customHeight="1" x14ac:dyDescent="0.2">
      <c r="A809" s="140"/>
      <c r="B809" s="140"/>
      <c r="C809" s="140"/>
      <c r="D809" s="140"/>
      <c r="E809" s="140"/>
      <c r="F809" s="140"/>
      <c r="G809" s="140"/>
      <c r="H809" s="140"/>
      <c r="I809" s="140"/>
      <c r="J809" s="140"/>
      <c r="K809" s="140"/>
      <c r="L809" s="140"/>
      <c r="M809" s="140"/>
      <c r="N809" s="140"/>
      <c r="O809" s="140"/>
      <c r="P809" s="140"/>
      <c r="Q809" s="140"/>
      <c r="R809" s="140"/>
      <c r="S809" s="140"/>
      <c r="T809" s="140"/>
      <c r="U809" s="140"/>
      <c r="V809" s="140"/>
      <c r="W809" s="140"/>
      <c r="X809" s="140"/>
      <c r="Y809" s="140"/>
      <c r="Z809" s="140"/>
      <c r="AA809" s="140"/>
      <c r="AB809" s="140"/>
      <c r="AC809" s="140"/>
      <c r="AD809" s="140"/>
    </row>
    <row r="810" spans="1:30" ht="15.75" customHeight="1" x14ac:dyDescent="0.2">
      <c r="A810" s="140"/>
      <c r="B810" s="140"/>
      <c r="C810" s="140"/>
      <c r="D810" s="140"/>
      <c r="E810" s="140"/>
      <c r="F810" s="140"/>
      <c r="G810" s="140"/>
      <c r="H810" s="140"/>
      <c r="I810" s="140"/>
      <c r="J810" s="140"/>
      <c r="K810" s="140"/>
      <c r="L810" s="140"/>
      <c r="M810" s="140"/>
      <c r="N810" s="140"/>
      <c r="O810" s="140"/>
      <c r="P810" s="140"/>
      <c r="Q810" s="140"/>
      <c r="R810" s="140"/>
      <c r="S810" s="140"/>
      <c r="T810" s="140"/>
      <c r="U810" s="140"/>
      <c r="V810" s="140"/>
      <c r="W810" s="140"/>
      <c r="X810" s="140"/>
      <c r="Y810" s="140"/>
      <c r="Z810" s="140"/>
      <c r="AA810" s="140"/>
      <c r="AB810" s="140"/>
      <c r="AC810" s="140"/>
      <c r="AD810" s="140"/>
    </row>
    <row r="811" spans="1:30" ht="15.75" customHeight="1" x14ac:dyDescent="0.2">
      <c r="A811" s="140"/>
      <c r="B811" s="140"/>
      <c r="C811" s="140"/>
      <c r="D811" s="140"/>
      <c r="E811" s="140"/>
      <c r="F811" s="140"/>
      <c r="G811" s="140"/>
      <c r="H811" s="140"/>
      <c r="I811" s="140"/>
      <c r="J811" s="140"/>
      <c r="K811" s="140"/>
      <c r="L811" s="140"/>
      <c r="M811" s="140"/>
      <c r="N811" s="140"/>
      <c r="O811" s="140"/>
      <c r="P811" s="140"/>
      <c r="Q811" s="140"/>
      <c r="R811" s="140"/>
      <c r="S811" s="140"/>
      <c r="T811" s="140"/>
      <c r="U811" s="140"/>
      <c r="V811" s="140"/>
      <c r="W811" s="140"/>
      <c r="X811" s="140"/>
      <c r="Y811" s="140"/>
      <c r="Z811" s="140"/>
      <c r="AA811" s="140"/>
      <c r="AB811" s="140"/>
      <c r="AC811" s="140"/>
      <c r="AD811" s="140"/>
    </row>
    <row r="812" spans="1:30" ht="15.75" customHeight="1" x14ac:dyDescent="0.2">
      <c r="A812" s="140"/>
      <c r="B812" s="140"/>
      <c r="C812" s="140"/>
      <c r="D812" s="140"/>
      <c r="E812" s="140"/>
      <c r="F812" s="140"/>
      <c r="G812" s="140"/>
      <c r="H812" s="140"/>
      <c r="I812" s="140"/>
      <c r="J812" s="140"/>
      <c r="K812" s="140"/>
      <c r="L812" s="140"/>
      <c r="M812" s="140"/>
      <c r="N812" s="140"/>
      <c r="O812" s="140"/>
      <c r="P812" s="140"/>
      <c r="Q812" s="140"/>
      <c r="R812" s="140"/>
      <c r="S812" s="140"/>
      <c r="T812" s="140"/>
      <c r="U812" s="140"/>
      <c r="V812" s="140"/>
      <c r="W812" s="140"/>
      <c r="X812" s="140"/>
      <c r="Y812" s="140"/>
      <c r="Z812" s="140"/>
      <c r="AA812" s="140"/>
      <c r="AB812" s="140"/>
      <c r="AC812" s="140"/>
      <c r="AD812" s="140"/>
    </row>
    <row r="813" spans="1:30" ht="15.75" customHeight="1" x14ac:dyDescent="0.2">
      <c r="A813" s="140"/>
      <c r="B813" s="140"/>
      <c r="C813" s="140"/>
      <c r="D813" s="140"/>
      <c r="E813" s="140"/>
      <c r="F813" s="140"/>
      <c r="G813" s="140"/>
      <c r="H813" s="140"/>
      <c r="I813" s="140"/>
      <c r="J813" s="140"/>
      <c r="K813" s="140"/>
      <c r="L813" s="140"/>
      <c r="M813" s="140"/>
      <c r="N813" s="140"/>
      <c r="O813" s="140"/>
      <c r="P813" s="140"/>
      <c r="Q813" s="140"/>
      <c r="R813" s="140"/>
      <c r="S813" s="140"/>
      <c r="T813" s="140"/>
      <c r="U813" s="140"/>
      <c r="V813" s="140"/>
      <c r="W813" s="140"/>
      <c r="X813" s="140"/>
      <c r="Y813" s="140"/>
      <c r="Z813" s="140"/>
      <c r="AA813" s="140"/>
      <c r="AB813" s="140"/>
      <c r="AC813" s="140"/>
      <c r="AD813" s="140"/>
    </row>
    <row r="814" spans="1:30" ht="15.75" customHeight="1" x14ac:dyDescent="0.2">
      <c r="A814" s="140"/>
      <c r="B814" s="140"/>
      <c r="C814" s="140"/>
      <c r="D814" s="140"/>
      <c r="E814" s="140"/>
      <c r="F814" s="140"/>
      <c r="G814" s="140"/>
      <c r="H814" s="140"/>
      <c r="I814" s="140"/>
      <c r="J814" s="140"/>
      <c r="K814" s="140"/>
      <c r="L814" s="140"/>
      <c r="M814" s="140"/>
      <c r="N814" s="140"/>
      <c r="O814" s="140"/>
      <c r="P814" s="140"/>
      <c r="Q814" s="140"/>
      <c r="R814" s="140"/>
      <c r="S814" s="140"/>
      <c r="T814" s="140"/>
      <c r="U814" s="140"/>
      <c r="V814" s="140"/>
      <c r="W814" s="140"/>
      <c r="X814" s="140"/>
      <c r="Y814" s="140"/>
      <c r="Z814" s="140"/>
      <c r="AA814" s="140"/>
      <c r="AB814" s="140"/>
      <c r="AC814" s="140"/>
      <c r="AD814" s="140"/>
    </row>
    <row r="815" spans="1:30" ht="15.75" customHeight="1" x14ac:dyDescent="0.2">
      <c r="A815" s="140"/>
      <c r="B815" s="140"/>
      <c r="C815" s="140"/>
      <c r="D815" s="140"/>
      <c r="E815" s="140"/>
      <c r="F815" s="140"/>
      <c r="G815" s="140"/>
      <c r="H815" s="140"/>
      <c r="I815" s="140"/>
      <c r="J815" s="140"/>
      <c r="K815" s="140"/>
      <c r="L815" s="140"/>
      <c r="M815" s="140"/>
      <c r="N815" s="140"/>
      <c r="O815" s="140"/>
      <c r="P815" s="140"/>
      <c r="Q815" s="140"/>
      <c r="R815" s="140"/>
      <c r="S815" s="140"/>
      <c r="T815" s="140"/>
      <c r="U815" s="140"/>
      <c r="V815" s="140"/>
      <c r="W815" s="140"/>
      <c r="X815" s="140"/>
      <c r="Y815" s="140"/>
      <c r="Z815" s="140"/>
      <c r="AA815" s="140"/>
      <c r="AB815" s="140"/>
      <c r="AC815" s="140"/>
      <c r="AD815" s="140"/>
    </row>
    <row r="816" spans="1:30" ht="15.75" customHeight="1" x14ac:dyDescent="0.2">
      <c r="A816" s="140"/>
      <c r="B816" s="140"/>
      <c r="C816" s="140"/>
      <c r="D816" s="140"/>
      <c r="E816" s="140"/>
      <c r="F816" s="140"/>
      <c r="G816" s="140"/>
      <c r="H816" s="140"/>
      <c r="I816" s="140"/>
      <c r="J816" s="140"/>
      <c r="K816" s="140"/>
      <c r="L816" s="140"/>
      <c r="M816" s="140"/>
      <c r="N816" s="140"/>
      <c r="O816" s="140"/>
      <c r="P816" s="140"/>
      <c r="Q816" s="140"/>
      <c r="R816" s="140"/>
      <c r="S816" s="140"/>
      <c r="T816" s="140"/>
      <c r="U816" s="140"/>
      <c r="V816" s="140"/>
      <c r="W816" s="140"/>
      <c r="X816" s="140"/>
      <c r="Y816" s="140"/>
      <c r="Z816" s="140"/>
      <c r="AA816" s="140"/>
      <c r="AB816" s="140"/>
      <c r="AC816" s="140"/>
      <c r="AD816" s="140"/>
    </row>
    <row r="817" spans="1:30" ht="15.75" customHeight="1" x14ac:dyDescent="0.2">
      <c r="A817" s="140"/>
      <c r="B817" s="140"/>
      <c r="C817" s="140"/>
      <c r="D817" s="140"/>
      <c r="E817" s="140"/>
      <c r="F817" s="140"/>
      <c r="G817" s="140"/>
      <c r="H817" s="140"/>
      <c r="I817" s="140"/>
      <c r="J817" s="140"/>
      <c r="K817" s="140"/>
      <c r="L817" s="140"/>
      <c r="M817" s="140"/>
      <c r="N817" s="140"/>
      <c r="O817" s="140"/>
      <c r="P817" s="140"/>
      <c r="Q817" s="140"/>
      <c r="R817" s="140"/>
      <c r="S817" s="140"/>
      <c r="T817" s="140"/>
      <c r="U817" s="140"/>
      <c r="V817" s="140"/>
      <c r="W817" s="140"/>
      <c r="X817" s="140"/>
      <c r="Y817" s="140"/>
      <c r="Z817" s="140"/>
      <c r="AA817" s="140"/>
      <c r="AB817" s="140"/>
      <c r="AC817" s="140"/>
      <c r="AD817" s="140"/>
    </row>
    <row r="818" spans="1:30" ht="15.75" customHeight="1" x14ac:dyDescent="0.2">
      <c r="A818" s="140"/>
      <c r="B818" s="140"/>
      <c r="C818" s="140"/>
      <c r="D818" s="140"/>
      <c r="E818" s="140"/>
      <c r="F818" s="140"/>
      <c r="G818" s="140"/>
      <c r="H818" s="140"/>
      <c r="I818" s="140"/>
      <c r="J818" s="140"/>
      <c r="K818" s="140"/>
      <c r="L818" s="140"/>
      <c r="M818" s="140"/>
      <c r="N818" s="140"/>
      <c r="O818" s="140"/>
      <c r="P818" s="140"/>
      <c r="Q818" s="140"/>
      <c r="R818" s="140"/>
      <c r="S818" s="140"/>
      <c r="T818" s="140"/>
      <c r="U818" s="140"/>
      <c r="V818" s="140"/>
      <c r="W818" s="140"/>
      <c r="X818" s="140"/>
      <c r="Y818" s="140"/>
      <c r="Z818" s="140"/>
      <c r="AA818" s="140"/>
      <c r="AB818" s="140"/>
      <c r="AC818" s="140"/>
      <c r="AD818" s="140"/>
    </row>
    <row r="819" spans="1:30" ht="15.75" customHeight="1" x14ac:dyDescent="0.2">
      <c r="A819" s="140"/>
      <c r="B819" s="140"/>
      <c r="C819" s="140"/>
      <c r="D819" s="140"/>
      <c r="E819" s="140"/>
      <c r="F819" s="140"/>
      <c r="G819" s="140"/>
      <c r="H819" s="140"/>
      <c r="I819" s="140"/>
      <c r="J819" s="140"/>
      <c r="K819" s="140"/>
      <c r="L819" s="140"/>
      <c r="M819" s="140"/>
      <c r="N819" s="140"/>
      <c r="O819" s="140"/>
      <c r="P819" s="140"/>
      <c r="Q819" s="140"/>
      <c r="R819" s="140"/>
      <c r="S819" s="140"/>
      <c r="T819" s="140"/>
      <c r="U819" s="140"/>
      <c r="V819" s="140"/>
      <c r="W819" s="140"/>
      <c r="X819" s="140"/>
      <c r="Y819" s="140"/>
      <c r="Z819" s="140"/>
      <c r="AA819" s="140"/>
      <c r="AB819" s="140"/>
      <c r="AC819" s="140"/>
      <c r="AD819" s="140"/>
    </row>
    <row r="820" spans="1:30" ht="15.75" customHeight="1" x14ac:dyDescent="0.2">
      <c r="A820" s="140"/>
      <c r="B820" s="140"/>
      <c r="C820" s="140"/>
      <c r="D820" s="140"/>
      <c r="E820" s="140"/>
      <c r="F820" s="140"/>
      <c r="G820" s="140"/>
      <c r="H820" s="140"/>
      <c r="I820" s="140"/>
      <c r="J820" s="140"/>
      <c r="K820" s="140"/>
      <c r="L820" s="140"/>
      <c r="M820" s="140"/>
      <c r="N820" s="140"/>
      <c r="O820" s="140"/>
      <c r="P820" s="140"/>
      <c r="Q820" s="140"/>
      <c r="R820" s="140"/>
      <c r="S820" s="140"/>
      <c r="T820" s="140"/>
      <c r="U820" s="140"/>
      <c r="V820" s="140"/>
      <c r="W820" s="140"/>
      <c r="X820" s="140"/>
      <c r="Y820" s="140"/>
      <c r="Z820" s="140"/>
      <c r="AA820" s="140"/>
      <c r="AB820" s="140"/>
      <c r="AC820" s="140"/>
      <c r="AD820" s="140"/>
    </row>
    <row r="821" spans="1:30" ht="15.75" customHeight="1" x14ac:dyDescent="0.2">
      <c r="A821" s="140"/>
      <c r="B821" s="140"/>
      <c r="C821" s="140"/>
      <c r="D821" s="140"/>
      <c r="E821" s="140"/>
      <c r="F821" s="140"/>
      <c r="G821" s="140"/>
      <c r="H821" s="140"/>
      <c r="I821" s="140"/>
      <c r="J821" s="140"/>
      <c r="K821" s="140"/>
      <c r="L821" s="140"/>
      <c r="M821" s="140"/>
      <c r="N821" s="140"/>
      <c r="O821" s="140"/>
      <c r="P821" s="140"/>
      <c r="Q821" s="140"/>
      <c r="R821" s="140"/>
      <c r="S821" s="140"/>
      <c r="T821" s="140"/>
      <c r="U821" s="140"/>
      <c r="V821" s="140"/>
      <c r="W821" s="140"/>
      <c r="X821" s="140"/>
      <c r="Y821" s="140"/>
      <c r="Z821" s="140"/>
      <c r="AA821" s="140"/>
      <c r="AB821" s="140"/>
      <c r="AC821" s="140"/>
      <c r="AD821" s="140"/>
    </row>
    <row r="822" spans="1:30" ht="15.75" customHeight="1" x14ac:dyDescent="0.2">
      <c r="A822" s="140"/>
      <c r="B822" s="140"/>
      <c r="C822" s="140"/>
      <c r="D822" s="140"/>
      <c r="E822" s="140"/>
      <c r="F822" s="140"/>
      <c r="G822" s="140"/>
      <c r="H822" s="140"/>
      <c r="I822" s="140"/>
      <c r="J822" s="140"/>
      <c r="K822" s="140"/>
      <c r="L822" s="140"/>
      <c r="M822" s="140"/>
      <c r="N822" s="140"/>
      <c r="O822" s="140"/>
      <c r="P822" s="140"/>
      <c r="Q822" s="140"/>
      <c r="R822" s="140"/>
      <c r="S822" s="140"/>
      <c r="T822" s="140"/>
      <c r="U822" s="140"/>
      <c r="V822" s="140"/>
      <c r="W822" s="140"/>
      <c r="X822" s="140"/>
      <c r="Y822" s="140"/>
      <c r="Z822" s="140"/>
      <c r="AA822" s="140"/>
      <c r="AB822" s="140"/>
      <c r="AC822" s="140"/>
      <c r="AD822" s="140"/>
    </row>
    <row r="823" spans="1:30" ht="15.75" customHeight="1" x14ac:dyDescent="0.2">
      <c r="A823" s="140"/>
      <c r="B823" s="140"/>
      <c r="C823" s="140"/>
      <c r="D823" s="140"/>
      <c r="E823" s="140"/>
      <c r="F823" s="140"/>
      <c r="G823" s="140"/>
      <c r="H823" s="140"/>
      <c r="I823" s="140"/>
      <c r="J823" s="140"/>
      <c r="K823" s="140"/>
      <c r="L823" s="140"/>
      <c r="M823" s="140"/>
      <c r="N823" s="140"/>
      <c r="O823" s="140"/>
      <c r="P823" s="140"/>
      <c r="Q823" s="140"/>
      <c r="R823" s="140"/>
      <c r="S823" s="140"/>
      <c r="T823" s="140"/>
      <c r="U823" s="140"/>
      <c r="V823" s="140"/>
      <c r="W823" s="140"/>
      <c r="X823" s="140"/>
      <c r="Y823" s="140"/>
      <c r="Z823" s="140"/>
      <c r="AA823" s="140"/>
      <c r="AB823" s="140"/>
      <c r="AC823" s="140"/>
      <c r="AD823" s="140"/>
    </row>
    <row r="824" spans="1:30" ht="15.75" customHeight="1" x14ac:dyDescent="0.2">
      <c r="A824" s="140"/>
      <c r="B824" s="140"/>
      <c r="C824" s="140"/>
      <c r="D824" s="140"/>
      <c r="E824" s="140"/>
      <c r="F824" s="140"/>
      <c r="G824" s="140"/>
      <c r="H824" s="140"/>
      <c r="I824" s="140"/>
      <c r="J824" s="140"/>
      <c r="K824" s="140"/>
      <c r="L824" s="140"/>
      <c r="M824" s="140"/>
      <c r="N824" s="140"/>
      <c r="O824" s="140"/>
      <c r="P824" s="140"/>
      <c r="Q824" s="140"/>
      <c r="R824" s="140"/>
      <c r="S824" s="140"/>
      <c r="T824" s="140"/>
      <c r="U824" s="140"/>
      <c r="V824" s="140"/>
      <c r="W824" s="140"/>
      <c r="X824" s="140"/>
      <c r="Y824" s="140"/>
      <c r="Z824" s="140"/>
      <c r="AA824" s="140"/>
      <c r="AB824" s="140"/>
      <c r="AC824" s="140"/>
      <c r="AD824" s="140"/>
    </row>
    <row r="825" spans="1:30" ht="15.75" customHeight="1" x14ac:dyDescent="0.2">
      <c r="A825" s="140"/>
      <c r="B825" s="140"/>
      <c r="C825" s="140"/>
      <c r="D825" s="140"/>
      <c r="E825" s="140"/>
      <c r="F825" s="140"/>
      <c r="G825" s="140"/>
      <c r="H825" s="140"/>
      <c r="I825" s="140"/>
      <c r="J825" s="140"/>
      <c r="K825" s="140"/>
      <c r="L825" s="140"/>
      <c r="M825" s="140"/>
      <c r="N825" s="140"/>
      <c r="O825" s="140"/>
      <c r="P825" s="140"/>
      <c r="Q825" s="140"/>
      <c r="R825" s="140"/>
      <c r="S825" s="140"/>
      <c r="T825" s="140"/>
      <c r="U825" s="140"/>
      <c r="V825" s="140"/>
      <c r="W825" s="140"/>
      <c r="X825" s="140"/>
      <c r="Y825" s="140"/>
      <c r="Z825" s="140"/>
      <c r="AA825" s="140"/>
      <c r="AB825" s="140"/>
      <c r="AC825" s="140"/>
      <c r="AD825" s="140"/>
    </row>
    <row r="826" spans="1:30" ht="15.75" customHeight="1" x14ac:dyDescent="0.2">
      <c r="A826" s="140"/>
      <c r="B826" s="140"/>
      <c r="C826" s="140"/>
      <c r="D826" s="140"/>
      <c r="E826" s="140"/>
      <c r="F826" s="140"/>
      <c r="G826" s="140"/>
      <c r="H826" s="140"/>
      <c r="I826" s="140"/>
      <c r="J826" s="140"/>
      <c r="K826" s="140"/>
      <c r="L826" s="140"/>
      <c r="M826" s="140"/>
      <c r="N826" s="140"/>
      <c r="O826" s="140"/>
      <c r="P826" s="140"/>
      <c r="Q826" s="140"/>
      <c r="R826" s="140"/>
      <c r="S826" s="140"/>
      <c r="T826" s="140"/>
      <c r="U826" s="140"/>
      <c r="V826" s="140"/>
      <c r="W826" s="140"/>
      <c r="X826" s="140"/>
      <c r="Y826" s="140"/>
      <c r="Z826" s="140"/>
      <c r="AA826" s="140"/>
      <c r="AB826" s="140"/>
      <c r="AC826" s="140"/>
      <c r="AD826" s="140"/>
    </row>
    <row r="827" spans="1:30" ht="15.75" customHeight="1" x14ac:dyDescent="0.2">
      <c r="A827" s="140"/>
      <c r="B827" s="140"/>
      <c r="C827" s="140"/>
      <c r="D827" s="140"/>
      <c r="E827" s="140"/>
      <c r="F827" s="140"/>
      <c r="G827" s="140"/>
      <c r="H827" s="140"/>
      <c r="I827" s="140"/>
      <c r="J827" s="140"/>
      <c r="K827" s="140"/>
      <c r="L827" s="140"/>
      <c r="M827" s="140"/>
      <c r="N827" s="140"/>
      <c r="O827" s="140"/>
      <c r="P827" s="140"/>
      <c r="Q827" s="140"/>
      <c r="R827" s="140"/>
      <c r="S827" s="140"/>
      <c r="T827" s="140"/>
      <c r="U827" s="140"/>
      <c r="V827" s="140"/>
      <c r="W827" s="140"/>
      <c r="X827" s="140"/>
      <c r="Y827" s="140"/>
      <c r="Z827" s="140"/>
      <c r="AA827" s="140"/>
      <c r="AB827" s="140"/>
      <c r="AC827" s="140"/>
      <c r="AD827" s="140"/>
    </row>
    <row r="828" spans="1:30" ht="15.75" customHeight="1" x14ac:dyDescent="0.2">
      <c r="A828" s="140"/>
      <c r="B828" s="140"/>
      <c r="C828" s="140"/>
      <c r="D828" s="140"/>
      <c r="E828" s="140"/>
      <c r="F828" s="140"/>
      <c r="G828" s="140"/>
      <c r="H828" s="140"/>
      <c r="I828" s="140"/>
      <c r="J828" s="140"/>
      <c r="K828" s="140"/>
      <c r="L828" s="140"/>
      <c r="M828" s="140"/>
      <c r="N828" s="140"/>
      <c r="O828" s="140"/>
      <c r="P828" s="140"/>
      <c r="Q828" s="140"/>
      <c r="R828" s="140"/>
      <c r="S828" s="140"/>
      <c r="T828" s="140"/>
      <c r="U828" s="140"/>
      <c r="V828" s="140"/>
      <c r="W828" s="140"/>
      <c r="X828" s="140"/>
      <c r="Y828" s="140"/>
      <c r="Z828" s="140"/>
      <c r="AA828" s="140"/>
      <c r="AB828" s="140"/>
      <c r="AC828" s="140"/>
      <c r="AD828" s="140"/>
    </row>
    <row r="829" spans="1:30" ht="15.75" customHeight="1" x14ac:dyDescent="0.2">
      <c r="A829" s="140"/>
      <c r="B829" s="140"/>
      <c r="C829" s="140"/>
      <c r="D829" s="140"/>
      <c r="E829" s="140"/>
      <c r="F829" s="140"/>
      <c r="G829" s="140"/>
      <c r="H829" s="140"/>
      <c r="I829" s="140"/>
      <c r="J829" s="140"/>
      <c r="K829" s="140"/>
      <c r="L829" s="140"/>
      <c r="M829" s="140"/>
      <c r="N829" s="140"/>
      <c r="O829" s="140"/>
      <c r="P829" s="140"/>
      <c r="Q829" s="140"/>
      <c r="R829" s="140"/>
      <c r="S829" s="140"/>
      <c r="T829" s="140"/>
      <c r="U829" s="140"/>
      <c r="V829" s="140"/>
      <c r="W829" s="140"/>
      <c r="X829" s="140"/>
      <c r="Y829" s="140"/>
      <c r="Z829" s="140"/>
      <c r="AA829" s="140"/>
      <c r="AB829" s="140"/>
      <c r="AC829" s="140"/>
      <c r="AD829" s="140"/>
    </row>
    <row r="830" spans="1:30" ht="15.75" customHeight="1" x14ac:dyDescent="0.2">
      <c r="A830" s="140"/>
      <c r="B830" s="140"/>
      <c r="C830" s="140"/>
      <c r="D830" s="140"/>
      <c r="E830" s="140"/>
      <c r="F830" s="140"/>
      <c r="G830" s="140"/>
      <c r="H830" s="140"/>
      <c r="I830" s="140"/>
      <c r="J830" s="140"/>
      <c r="K830" s="140"/>
      <c r="L830" s="140"/>
      <c r="M830" s="140"/>
      <c r="N830" s="140"/>
      <c r="O830" s="140"/>
      <c r="P830" s="140"/>
      <c r="Q830" s="140"/>
      <c r="R830" s="140"/>
      <c r="S830" s="140"/>
      <c r="T830" s="140"/>
      <c r="U830" s="140"/>
      <c r="V830" s="140"/>
      <c r="W830" s="140"/>
      <c r="X830" s="140"/>
      <c r="Y830" s="140"/>
      <c r="Z830" s="140"/>
      <c r="AA830" s="140"/>
      <c r="AB830" s="140"/>
      <c r="AC830" s="140"/>
      <c r="AD830" s="140"/>
    </row>
    <row r="831" spans="1:30" ht="15.75" customHeight="1" x14ac:dyDescent="0.2">
      <c r="A831" s="140"/>
      <c r="B831" s="140"/>
      <c r="C831" s="140"/>
      <c r="D831" s="140"/>
      <c r="E831" s="140"/>
      <c r="F831" s="140"/>
      <c r="G831" s="140"/>
      <c r="H831" s="140"/>
      <c r="I831" s="140"/>
      <c r="J831" s="140"/>
      <c r="K831" s="140"/>
      <c r="L831" s="140"/>
      <c r="M831" s="140"/>
      <c r="N831" s="140"/>
      <c r="O831" s="140"/>
      <c r="P831" s="140"/>
      <c r="Q831" s="140"/>
      <c r="R831" s="140"/>
      <c r="S831" s="140"/>
      <c r="T831" s="140"/>
      <c r="U831" s="140"/>
      <c r="V831" s="140"/>
      <c r="W831" s="140"/>
      <c r="X831" s="140"/>
      <c r="Y831" s="140"/>
      <c r="Z831" s="140"/>
      <c r="AA831" s="140"/>
      <c r="AB831" s="140"/>
      <c r="AC831" s="140"/>
      <c r="AD831" s="140"/>
    </row>
    <row r="832" spans="1:30" ht="15.75" customHeight="1" x14ac:dyDescent="0.2">
      <c r="A832" s="140"/>
      <c r="B832" s="140"/>
      <c r="C832" s="140"/>
      <c r="D832" s="140"/>
      <c r="E832" s="140"/>
      <c r="F832" s="140"/>
      <c r="G832" s="140"/>
      <c r="H832" s="140"/>
      <c r="I832" s="140"/>
      <c r="J832" s="140"/>
      <c r="K832" s="140"/>
      <c r="L832" s="140"/>
      <c r="M832" s="140"/>
      <c r="N832" s="140"/>
      <c r="O832" s="140"/>
      <c r="P832" s="140"/>
      <c r="Q832" s="140"/>
      <c r="R832" s="140"/>
      <c r="S832" s="140"/>
      <c r="T832" s="140"/>
      <c r="U832" s="140"/>
      <c r="V832" s="140"/>
      <c r="W832" s="140"/>
      <c r="X832" s="140"/>
      <c r="Y832" s="140"/>
      <c r="Z832" s="140"/>
      <c r="AA832" s="140"/>
      <c r="AB832" s="140"/>
      <c r="AC832" s="140"/>
      <c r="AD832" s="140"/>
    </row>
    <row r="833" spans="1:30" ht="15.75" customHeight="1" x14ac:dyDescent="0.2">
      <c r="A833" s="140"/>
      <c r="B833" s="140"/>
      <c r="C833" s="140"/>
      <c r="D833" s="140"/>
      <c r="E833" s="140"/>
      <c r="F833" s="140"/>
      <c r="G833" s="140"/>
      <c r="H833" s="140"/>
      <c r="I833" s="140"/>
      <c r="J833" s="140"/>
      <c r="K833" s="140"/>
      <c r="L833" s="140"/>
      <c r="M833" s="140"/>
      <c r="N833" s="140"/>
      <c r="O833" s="140"/>
      <c r="P833" s="140"/>
      <c r="Q833" s="140"/>
      <c r="R833" s="140"/>
      <c r="S833" s="140"/>
      <c r="T833" s="140"/>
      <c r="U833" s="140"/>
      <c r="V833" s="140"/>
      <c r="W833" s="140"/>
      <c r="X833" s="140"/>
      <c r="Y833" s="140"/>
      <c r="Z833" s="140"/>
      <c r="AA833" s="140"/>
      <c r="AB833" s="140"/>
      <c r="AC833" s="140"/>
      <c r="AD833" s="140"/>
    </row>
    <row r="834" spans="1:30" ht="15.75" customHeight="1" x14ac:dyDescent="0.2">
      <c r="A834" s="140"/>
      <c r="B834" s="140"/>
      <c r="C834" s="140"/>
      <c r="D834" s="140"/>
      <c r="E834" s="140"/>
      <c r="F834" s="140"/>
      <c r="G834" s="140"/>
      <c r="H834" s="140"/>
      <c r="I834" s="140"/>
      <c r="J834" s="140"/>
      <c r="K834" s="140"/>
      <c r="L834" s="140"/>
      <c r="M834" s="140"/>
      <c r="N834" s="140"/>
      <c r="O834" s="140"/>
      <c r="P834" s="140"/>
      <c r="Q834" s="140"/>
      <c r="R834" s="140"/>
      <c r="S834" s="140"/>
      <c r="T834" s="140"/>
      <c r="U834" s="140"/>
      <c r="V834" s="140"/>
      <c r="W834" s="140"/>
      <c r="X834" s="140"/>
      <c r="Y834" s="140"/>
      <c r="Z834" s="140"/>
      <c r="AA834" s="140"/>
      <c r="AB834" s="140"/>
      <c r="AC834" s="140"/>
      <c r="AD834" s="140"/>
    </row>
    <row r="835" spans="1:30" ht="15.75" customHeight="1" x14ac:dyDescent="0.2">
      <c r="A835" s="140"/>
      <c r="B835" s="140"/>
      <c r="C835" s="140"/>
      <c r="D835" s="140"/>
      <c r="E835" s="140"/>
      <c r="F835" s="140"/>
      <c r="G835" s="140"/>
      <c r="H835" s="140"/>
      <c r="I835" s="140"/>
      <c r="J835" s="140"/>
      <c r="K835" s="140"/>
      <c r="L835" s="140"/>
      <c r="M835" s="140"/>
      <c r="N835" s="140"/>
      <c r="O835" s="140"/>
      <c r="P835" s="140"/>
      <c r="Q835" s="140"/>
      <c r="R835" s="140"/>
      <c r="S835" s="140"/>
      <c r="T835" s="140"/>
      <c r="U835" s="140"/>
      <c r="V835" s="140"/>
      <c r="W835" s="140"/>
      <c r="X835" s="140"/>
      <c r="Y835" s="140"/>
      <c r="Z835" s="140"/>
      <c r="AA835" s="140"/>
      <c r="AB835" s="140"/>
      <c r="AC835" s="140"/>
      <c r="AD835" s="140"/>
    </row>
    <row r="836" spans="1:30" ht="15.75" customHeight="1" x14ac:dyDescent="0.2">
      <c r="A836" s="140"/>
      <c r="B836" s="140"/>
      <c r="C836" s="140"/>
      <c r="D836" s="140"/>
      <c r="E836" s="140"/>
      <c r="F836" s="140"/>
      <c r="G836" s="140"/>
      <c r="H836" s="140"/>
      <c r="I836" s="140"/>
      <c r="J836" s="140"/>
      <c r="K836" s="140"/>
      <c r="L836" s="140"/>
      <c r="M836" s="140"/>
      <c r="N836" s="140"/>
      <c r="O836" s="140"/>
      <c r="P836" s="140"/>
      <c r="Q836" s="140"/>
      <c r="R836" s="140"/>
      <c r="S836" s="140"/>
      <c r="T836" s="140"/>
      <c r="U836" s="140"/>
      <c r="V836" s="140"/>
      <c r="W836" s="140"/>
      <c r="X836" s="140"/>
      <c r="Y836" s="140"/>
      <c r="Z836" s="140"/>
      <c r="AA836" s="140"/>
      <c r="AB836" s="140"/>
      <c r="AC836" s="140"/>
      <c r="AD836" s="140"/>
    </row>
    <row r="837" spans="1:30" ht="15.75" customHeight="1" x14ac:dyDescent="0.2">
      <c r="A837" s="140"/>
      <c r="B837" s="140"/>
      <c r="C837" s="140"/>
      <c r="D837" s="140"/>
      <c r="E837" s="140"/>
      <c r="F837" s="140"/>
      <c r="G837" s="140"/>
      <c r="H837" s="140"/>
      <c r="I837" s="140"/>
      <c r="J837" s="140"/>
      <c r="K837" s="140"/>
      <c r="L837" s="140"/>
      <c r="M837" s="140"/>
      <c r="N837" s="140"/>
      <c r="O837" s="140"/>
      <c r="P837" s="140"/>
      <c r="Q837" s="140"/>
      <c r="R837" s="140"/>
      <c r="S837" s="140"/>
      <c r="T837" s="140"/>
      <c r="U837" s="140"/>
      <c r="V837" s="140"/>
      <c r="W837" s="140"/>
      <c r="X837" s="140"/>
      <c r="Y837" s="140"/>
      <c r="Z837" s="140"/>
      <c r="AA837" s="140"/>
      <c r="AB837" s="140"/>
      <c r="AC837" s="140"/>
      <c r="AD837" s="140"/>
    </row>
    <row r="838" spans="1:30" ht="15.75" customHeight="1" x14ac:dyDescent="0.2">
      <c r="A838" s="140"/>
      <c r="B838" s="140"/>
      <c r="C838" s="140"/>
      <c r="D838" s="140"/>
      <c r="E838" s="140"/>
      <c r="F838" s="140"/>
      <c r="G838" s="140"/>
      <c r="H838" s="140"/>
      <c r="I838" s="140"/>
      <c r="J838" s="140"/>
      <c r="K838" s="140"/>
      <c r="L838" s="140"/>
      <c r="M838" s="140"/>
      <c r="N838" s="140"/>
      <c r="O838" s="140"/>
      <c r="P838" s="140"/>
      <c r="Q838" s="140"/>
      <c r="R838" s="140"/>
      <c r="S838" s="140"/>
      <c r="T838" s="140"/>
      <c r="U838" s="140"/>
      <c r="V838" s="140"/>
      <c r="W838" s="140"/>
      <c r="X838" s="140"/>
      <c r="Y838" s="140"/>
      <c r="Z838" s="140"/>
      <c r="AA838" s="140"/>
      <c r="AB838" s="140"/>
      <c r="AC838" s="140"/>
      <c r="AD838" s="140"/>
    </row>
    <row r="839" spans="1:30" ht="15.75" customHeight="1" x14ac:dyDescent="0.2">
      <c r="A839" s="140"/>
      <c r="B839" s="140"/>
      <c r="C839" s="140"/>
      <c r="D839" s="140"/>
      <c r="E839" s="140"/>
      <c r="F839" s="140"/>
      <c r="G839" s="140"/>
      <c r="H839" s="140"/>
      <c r="I839" s="140"/>
      <c r="J839" s="140"/>
      <c r="K839" s="140"/>
      <c r="L839" s="140"/>
      <c r="M839" s="140"/>
      <c r="N839" s="140"/>
      <c r="O839" s="140"/>
      <c r="P839" s="140"/>
      <c r="Q839" s="140"/>
      <c r="R839" s="140"/>
      <c r="S839" s="140"/>
      <c r="T839" s="140"/>
      <c r="U839" s="140"/>
      <c r="V839" s="140"/>
      <c r="W839" s="140"/>
      <c r="X839" s="140"/>
      <c r="Y839" s="140"/>
      <c r="Z839" s="140"/>
      <c r="AA839" s="140"/>
      <c r="AB839" s="140"/>
      <c r="AC839" s="140"/>
      <c r="AD839" s="140"/>
    </row>
    <row r="840" spans="1:30" ht="15.75" customHeight="1" x14ac:dyDescent="0.2">
      <c r="A840" s="140"/>
      <c r="B840" s="140"/>
      <c r="C840" s="140"/>
      <c r="D840" s="140"/>
      <c r="E840" s="140"/>
      <c r="F840" s="140"/>
      <c r="G840" s="140"/>
      <c r="H840" s="140"/>
      <c r="I840" s="140"/>
      <c r="J840" s="140"/>
      <c r="K840" s="140"/>
      <c r="L840" s="140"/>
      <c r="M840" s="140"/>
      <c r="N840" s="140"/>
      <c r="O840" s="140"/>
      <c r="P840" s="140"/>
      <c r="Q840" s="140"/>
      <c r="R840" s="140"/>
      <c r="S840" s="140"/>
      <c r="T840" s="140"/>
      <c r="U840" s="140"/>
      <c r="V840" s="140"/>
      <c r="W840" s="140"/>
      <c r="X840" s="140"/>
      <c r="Y840" s="140"/>
      <c r="Z840" s="140"/>
      <c r="AA840" s="140"/>
      <c r="AB840" s="140"/>
      <c r="AC840" s="140"/>
      <c r="AD840" s="140"/>
    </row>
    <row r="841" spans="1:30" ht="15.75" customHeight="1" x14ac:dyDescent="0.2">
      <c r="A841" s="140"/>
      <c r="B841" s="140"/>
      <c r="C841" s="140"/>
      <c r="D841" s="140"/>
      <c r="E841" s="140"/>
      <c r="F841" s="140"/>
      <c r="G841" s="140"/>
      <c r="H841" s="140"/>
      <c r="I841" s="140"/>
      <c r="J841" s="140"/>
      <c r="K841" s="140"/>
      <c r="L841" s="140"/>
      <c r="M841" s="140"/>
      <c r="N841" s="140"/>
      <c r="O841" s="140"/>
      <c r="P841" s="140"/>
      <c r="Q841" s="140"/>
      <c r="R841" s="140"/>
      <c r="S841" s="140"/>
      <c r="T841" s="140"/>
      <c r="U841" s="140"/>
      <c r="V841" s="140"/>
      <c r="W841" s="140"/>
      <c r="X841" s="140"/>
      <c r="Y841" s="140"/>
      <c r="Z841" s="140"/>
      <c r="AA841" s="140"/>
      <c r="AB841" s="140"/>
      <c r="AC841" s="140"/>
      <c r="AD841" s="140"/>
    </row>
    <row r="842" spans="1:30" ht="15.75" customHeight="1" x14ac:dyDescent="0.2">
      <c r="A842" s="140"/>
      <c r="B842" s="140"/>
      <c r="C842" s="140"/>
      <c r="D842" s="140"/>
      <c r="E842" s="140"/>
      <c r="F842" s="140"/>
      <c r="G842" s="140"/>
      <c r="H842" s="140"/>
      <c r="I842" s="140"/>
      <c r="J842" s="140"/>
      <c r="K842" s="140"/>
      <c r="L842" s="140"/>
      <c r="M842" s="140"/>
      <c r="N842" s="140"/>
      <c r="O842" s="140"/>
      <c r="P842" s="140"/>
      <c r="Q842" s="140"/>
      <c r="R842" s="140"/>
      <c r="S842" s="140"/>
      <c r="T842" s="140"/>
      <c r="U842" s="140"/>
      <c r="V842" s="140"/>
      <c r="W842" s="140"/>
      <c r="X842" s="140"/>
      <c r="Y842" s="140"/>
      <c r="Z842" s="140"/>
      <c r="AA842" s="140"/>
      <c r="AB842" s="140"/>
      <c r="AC842" s="140"/>
      <c r="AD842" s="140"/>
    </row>
    <row r="843" spans="1:30" ht="15.75" customHeight="1" x14ac:dyDescent="0.2">
      <c r="A843" s="140"/>
      <c r="B843" s="140"/>
      <c r="C843" s="140"/>
      <c r="D843" s="140"/>
      <c r="E843" s="140"/>
      <c r="F843" s="140"/>
      <c r="G843" s="140"/>
      <c r="H843" s="140"/>
      <c r="I843" s="140"/>
      <c r="J843" s="140"/>
      <c r="K843" s="140"/>
      <c r="L843" s="140"/>
      <c r="M843" s="140"/>
      <c r="N843" s="140"/>
      <c r="O843" s="140"/>
      <c r="P843" s="140"/>
      <c r="Q843" s="140"/>
      <c r="R843" s="140"/>
      <c r="S843" s="140"/>
      <c r="T843" s="140"/>
      <c r="U843" s="140"/>
      <c r="V843" s="140"/>
      <c r="W843" s="140"/>
      <c r="X843" s="140"/>
      <c r="Y843" s="140"/>
      <c r="Z843" s="140"/>
      <c r="AA843" s="140"/>
      <c r="AB843" s="140"/>
      <c r="AC843" s="140"/>
      <c r="AD843" s="140"/>
    </row>
    <row r="844" spans="1:30" ht="15.75" customHeight="1" x14ac:dyDescent="0.2">
      <c r="A844" s="140"/>
      <c r="B844" s="140"/>
      <c r="C844" s="140"/>
      <c r="D844" s="140"/>
      <c r="E844" s="140"/>
      <c r="F844" s="140"/>
      <c r="G844" s="140"/>
      <c r="H844" s="140"/>
      <c r="I844" s="140"/>
      <c r="J844" s="140"/>
      <c r="K844" s="140"/>
      <c r="L844" s="140"/>
      <c r="M844" s="140"/>
      <c r="N844" s="140"/>
      <c r="O844" s="140"/>
      <c r="P844" s="140"/>
      <c r="Q844" s="140"/>
      <c r="R844" s="140"/>
      <c r="S844" s="140"/>
      <c r="T844" s="140"/>
      <c r="U844" s="140"/>
      <c r="V844" s="140"/>
      <c r="W844" s="140"/>
      <c r="X844" s="140"/>
      <c r="Y844" s="140"/>
      <c r="Z844" s="140"/>
      <c r="AA844" s="140"/>
      <c r="AB844" s="140"/>
      <c r="AC844" s="140"/>
      <c r="AD844" s="140"/>
    </row>
    <row r="845" spans="1:30" ht="15.75" customHeight="1" x14ac:dyDescent="0.2">
      <c r="A845" s="140"/>
      <c r="B845" s="140"/>
      <c r="C845" s="140"/>
      <c r="D845" s="140"/>
      <c r="E845" s="140"/>
      <c r="F845" s="140"/>
      <c r="G845" s="140"/>
      <c r="H845" s="140"/>
      <c r="I845" s="140"/>
      <c r="J845" s="140"/>
      <c r="K845" s="140"/>
      <c r="L845" s="140"/>
      <c r="M845" s="140"/>
      <c r="N845" s="140"/>
      <c r="O845" s="140"/>
      <c r="P845" s="140"/>
      <c r="Q845" s="140"/>
      <c r="R845" s="140"/>
      <c r="S845" s="140"/>
      <c r="T845" s="140"/>
      <c r="U845" s="140"/>
      <c r="V845" s="140"/>
      <c r="W845" s="140"/>
      <c r="X845" s="140"/>
      <c r="Y845" s="140"/>
      <c r="Z845" s="140"/>
      <c r="AA845" s="140"/>
      <c r="AB845" s="140"/>
      <c r="AC845" s="140"/>
      <c r="AD845" s="140"/>
    </row>
    <row r="846" spans="1:30" ht="15.75" customHeight="1" x14ac:dyDescent="0.2">
      <c r="A846" s="140"/>
      <c r="B846" s="140"/>
      <c r="C846" s="140"/>
      <c r="D846" s="140"/>
      <c r="E846" s="140"/>
      <c r="F846" s="140"/>
      <c r="G846" s="140"/>
      <c r="H846" s="140"/>
      <c r="I846" s="140"/>
      <c r="J846" s="140"/>
      <c r="K846" s="140"/>
      <c r="L846" s="140"/>
      <c r="M846" s="140"/>
      <c r="N846" s="140"/>
      <c r="O846" s="140"/>
      <c r="P846" s="140"/>
      <c r="Q846" s="140"/>
      <c r="R846" s="140"/>
      <c r="S846" s="140"/>
      <c r="T846" s="140"/>
      <c r="U846" s="140"/>
      <c r="V846" s="140"/>
      <c r="W846" s="140"/>
      <c r="X846" s="140"/>
      <c r="Y846" s="140"/>
      <c r="Z846" s="140"/>
      <c r="AA846" s="140"/>
      <c r="AB846" s="140"/>
      <c r="AC846" s="140"/>
      <c r="AD846" s="140"/>
    </row>
    <row r="847" spans="1:30" ht="15.75" customHeight="1" x14ac:dyDescent="0.2">
      <c r="A847" s="140"/>
      <c r="B847" s="140"/>
      <c r="C847" s="140"/>
      <c r="D847" s="140"/>
      <c r="E847" s="140"/>
      <c r="F847" s="140"/>
      <c r="G847" s="140"/>
      <c r="H847" s="140"/>
      <c r="I847" s="140"/>
      <c r="J847" s="140"/>
      <c r="K847" s="140"/>
      <c r="L847" s="140"/>
      <c r="M847" s="140"/>
      <c r="N847" s="140"/>
      <c r="O847" s="140"/>
      <c r="P847" s="140"/>
      <c r="Q847" s="140"/>
      <c r="R847" s="140"/>
      <c r="S847" s="140"/>
      <c r="T847" s="140"/>
      <c r="U847" s="140"/>
      <c r="V847" s="140"/>
      <c r="W847" s="140"/>
      <c r="X847" s="140"/>
      <c r="Y847" s="140"/>
      <c r="Z847" s="140"/>
      <c r="AA847" s="140"/>
      <c r="AB847" s="140"/>
      <c r="AC847" s="140"/>
      <c r="AD847" s="140"/>
    </row>
    <row r="848" spans="1:30" ht="15.75" customHeight="1" x14ac:dyDescent="0.2">
      <c r="A848" s="140"/>
      <c r="B848" s="140"/>
      <c r="C848" s="140"/>
      <c r="D848" s="140"/>
      <c r="E848" s="140"/>
      <c r="F848" s="140"/>
      <c r="G848" s="140"/>
      <c r="H848" s="140"/>
      <c r="I848" s="140"/>
      <c r="J848" s="140"/>
      <c r="K848" s="140"/>
      <c r="L848" s="140"/>
      <c r="M848" s="140"/>
      <c r="N848" s="140"/>
      <c r="O848" s="140"/>
      <c r="P848" s="140"/>
      <c r="Q848" s="140"/>
      <c r="R848" s="140"/>
      <c r="S848" s="140"/>
      <c r="T848" s="140"/>
      <c r="U848" s="140"/>
      <c r="V848" s="140"/>
      <c r="W848" s="140"/>
      <c r="X848" s="140"/>
      <c r="Y848" s="140"/>
      <c r="Z848" s="140"/>
      <c r="AA848" s="140"/>
      <c r="AB848" s="140"/>
      <c r="AC848" s="140"/>
      <c r="AD848" s="140"/>
    </row>
    <row r="849" spans="1:30" ht="15.75" customHeight="1" x14ac:dyDescent="0.2">
      <c r="A849" s="140"/>
      <c r="B849" s="140"/>
      <c r="C849" s="140"/>
      <c r="D849" s="140"/>
      <c r="E849" s="140"/>
      <c r="F849" s="140"/>
      <c r="G849" s="140"/>
      <c r="H849" s="140"/>
      <c r="I849" s="140"/>
      <c r="J849" s="140"/>
      <c r="K849" s="140"/>
      <c r="L849" s="140"/>
      <c r="M849" s="140"/>
      <c r="N849" s="140"/>
      <c r="O849" s="140"/>
      <c r="P849" s="140"/>
      <c r="Q849" s="140"/>
      <c r="R849" s="140"/>
      <c r="S849" s="140"/>
      <c r="T849" s="140"/>
      <c r="U849" s="140"/>
      <c r="V849" s="140"/>
      <c r="W849" s="140"/>
      <c r="X849" s="140"/>
      <c r="Y849" s="140"/>
      <c r="Z849" s="140"/>
      <c r="AA849" s="140"/>
      <c r="AB849" s="140"/>
      <c r="AC849" s="140"/>
      <c r="AD849" s="140"/>
    </row>
    <row r="850" spans="1:30" ht="15.75" customHeight="1" x14ac:dyDescent="0.2">
      <c r="A850" s="140"/>
      <c r="B850" s="140"/>
      <c r="C850" s="140"/>
      <c r="D850" s="140"/>
      <c r="E850" s="140"/>
      <c r="F850" s="140"/>
      <c r="G850" s="140"/>
      <c r="H850" s="140"/>
      <c r="I850" s="140"/>
      <c r="J850" s="140"/>
      <c r="K850" s="140"/>
      <c r="L850" s="140"/>
      <c r="M850" s="140"/>
      <c r="N850" s="140"/>
      <c r="O850" s="140"/>
      <c r="P850" s="140"/>
      <c r="Q850" s="140"/>
      <c r="R850" s="140"/>
      <c r="S850" s="140"/>
      <c r="T850" s="140"/>
      <c r="U850" s="140"/>
      <c r="V850" s="140"/>
      <c r="W850" s="140"/>
      <c r="X850" s="140"/>
      <c r="Y850" s="140"/>
      <c r="Z850" s="140"/>
      <c r="AA850" s="140"/>
      <c r="AB850" s="140"/>
      <c r="AC850" s="140"/>
      <c r="AD850" s="140"/>
    </row>
    <row r="851" spans="1:30" ht="15.75" customHeight="1" x14ac:dyDescent="0.2">
      <c r="A851" s="140"/>
      <c r="B851" s="140"/>
      <c r="C851" s="140"/>
      <c r="D851" s="140"/>
      <c r="E851" s="140"/>
      <c r="F851" s="140"/>
      <c r="G851" s="140"/>
      <c r="H851" s="140"/>
      <c r="I851" s="140"/>
      <c r="J851" s="140"/>
      <c r="K851" s="140"/>
      <c r="L851" s="140"/>
      <c r="M851" s="140"/>
      <c r="N851" s="140"/>
      <c r="O851" s="140"/>
      <c r="P851" s="140"/>
      <c r="Q851" s="140"/>
      <c r="R851" s="140"/>
      <c r="S851" s="140"/>
      <c r="T851" s="140"/>
      <c r="U851" s="140"/>
      <c r="V851" s="140"/>
      <c r="W851" s="140"/>
      <c r="X851" s="140"/>
      <c r="Y851" s="140"/>
      <c r="Z851" s="140"/>
      <c r="AA851" s="140"/>
      <c r="AB851" s="140"/>
      <c r="AC851" s="140"/>
      <c r="AD851" s="140"/>
    </row>
    <row r="852" spans="1:30" ht="15.75" customHeight="1" x14ac:dyDescent="0.2">
      <c r="A852" s="140"/>
      <c r="B852" s="140"/>
      <c r="C852" s="140"/>
      <c r="D852" s="140"/>
      <c r="E852" s="140"/>
      <c r="F852" s="140"/>
      <c r="G852" s="140"/>
      <c r="H852" s="140"/>
      <c r="I852" s="140"/>
      <c r="J852" s="140"/>
      <c r="K852" s="140"/>
      <c r="L852" s="140"/>
      <c r="M852" s="140"/>
      <c r="N852" s="140"/>
      <c r="O852" s="140"/>
      <c r="P852" s="140"/>
      <c r="Q852" s="140"/>
      <c r="R852" s="140"/>
      <c r="S852" s="140"/>
      <c r="T852" s="140"/>
      <c r="U852" s="140"/>
      <c r="V852" s="140"/>
      <c r="W852" s="140"/>
      <c r="X852" s="140"/>
      <c r="Y852" s="140"/>
      <c r="Z852" s="140"/>
      <c r="AA852" s="140"/>
      <c r="AB852" s="140"/>
      <c r="AC852" s="140"/>
      <c r="AD852" s="140"/>
    </row>
    <row r="853" spans="1:30" ht="15.75" customHeight="1" x14ac:dyDescent="0.2">
      <c r="A853" s="140"/>
      <c r="B853" s="140"/>
      <c r="C853" s="140"/>
      <c r="D853" s="140"/>
      <c r="E853" s="140"/>
      <c r="F853" s="140"/>
      <c r="G853" s="140"/>
      <c r="H853" s="140"/>
      <c r="I853" s="140"/>
      <c r="J853" s="140"/>
      <c r="K853" s="140"/>
      <c r="L853" s="140"/>
      <c r="M853" s="140"/>
      <c r="N853" s="140"/>
      <c r="O853" s="140"/>
      <c r="P853" s="140"/>
      <c r="Q853" s="140"/>
      <c r="R853" s="140"/>
      <c r="S853" s="140"/>
      <c r="T853" s="140"/>
      <c r="U853" s="140"/>
      <c r="V853" s="140"/>
      <c r="W853" s="140"/>
      <c r="X853" s="140"/>
      <c r="Y853" s="140"/>
      <c r="Z853" s="140"/>
      <c r="AA853" s="140"/>
      <c r="AB853" s="140"/>
      <c r="AC853" s="140"/>
      <c r="AD853" s="140"/>
    </row>
    <row r="854" spans="1:30" ht="15.75" customHeight="1" x14ac:dyDescent="0.2">
      <c r="A854" s="140"/>
      <c r="B854" s="140"/>
      <c r="C854" s="140"/>
      <c r="D854" s="140"/>
      <c r="E854" s="140"/>
      <c r="F854" s="140"/>
      <c r="G854" s="140"/>
      <c r="H854" s="140"/>
      <c r="I854" s="140"/>
      <c r="J854" s="140"/>
      <c r="K854" s="140"/>
      <c r="L854" s="140"/>
      <c r="M854" s="140"/>
      <c r="N854" s="140"/>
      <c r="O854" s="140"/>
      <c r="P854" s="140"/>
      <c r="Q854" s="140"/>
      <c r="R854" s="140"/>
      <c r="S854" s="140"/>
      <c r="T854" s="140"/>
      <c r="U854" s="140"/>
      <c r="V854" s="140"/>
      <c r="W854" s="140"/>
      <c r="X854" s="140"/>
      <c r="Y854" s="140"/>
      <c r="Z854" s="140"/>
      <c r="AA854" s="140"/>
      <c r="AB854" s="140"/>
      <c r="AC854" s="140"/>
      <c r="AD854" s="140"/>
    </row>
    <row r="855" spans="1:30" ht="15.75" customHeight="1" x14ac:dyDescent="0.2">
      <c r="A855" s="140"/>
      <c r="B855" s="140"/>
      <c r="C855" s="140"/>
      <c r="D855" s="140"/>
      <c r="E855" s="140"/>
      <c r="F855" s="140"/>
      <c r="G855" s="140"/>
      <c r="H855" s="140"/>
      <c r="I855" s="140"/>
      <c r="J855" s="140"/>
      <c r="K855" s="140"/>
      <c r="L855" s="140"/>
      <c r="M855" s="140"/>
      <c r="N855" s="140"/>
      <c r="O855" s="140"/>
      <c r="P855" s="140"/>
      <c r="Q855" s="140"/>
      <c r="R855" s="140"/>
      <c r="S855" s="140"/>
      <c r="T855" s="140"/>
      <c r="U855" s="140"/>
      <c r="V855" s="140"/>
      <c r="W855" s="140"/>
      <c r="X855" s="140"/>
      <c r="Y855" s="140"/>
      <c r="Z855" s="140"/>
      <c r="AA855" s="140"/>
      <c r="AB855" s="140"/>
      <c r="AC855" s="140"/>
      <c r="AD855" s="140"/>
    </row>
    <row r="856" spans="1:30" ht="15.75" customHeight="1" x14ac:dyDescent="0.2">
      <c r="A856" s="140"/>
      <c r="B856" s="140"/>
      <c r="C856" s="140"/>
      <c r="D856" s="140"/>
      <c r="E856" s="140"/>
      <c r="F856" s="140"/>
      <c r="G856" s="140"/>
      <c r="H856" s="140"/>
      <c r="I856" s="140"/>
      <c r="J856" s="140"/>
      <c r="K856" s="140"/>
      <c r="L856" s="140"/>
      <c r="M856" s="140"/>
      <c r="N856" s="140"/>
      <c r="O856" s="140"/>
      <c r="P856" s="140"/>
      <c r="Q856" s="140"/>
      <c r="R856" s="140"/>
      <c r="S856" s="140"/>
      <c r="T856" s="140"/>
      <c r="U856" s="140"/>
      <c r="V856" s="140"/>
      <c r="W856" s="140"/>
      <c r="X856" s="140"/>
      <c r="Y856" s="140"/>
      <c r="Z856" s="140"/>
      <c r="AA856" s="140"/>
      <c r="AB856" s="140"/>
      <c r="AC856" s="140"/>
      <c r="AD856" s="140"/>
    </row>
    <row r="857" spans="1:30" ht="15.75" customHeight="1" x14ac:dyDescent="0.2">
      <c r="A857" s="140"/>
      <c r="B857" s="140"/>
      <c r="C857" s="140"/>
      <c r="D857" s="140"/>
      <c r="E857" s="140"/>
      <c r="F857" s="140"/>
      <c r="G857" s="140"/>
      <c r="H857" s="140"/>
      <c r="I857" s="140"/>
      <c r="J857" s="140"/>
      <c r="K857" s="140"/>
      <c r="L857" s="140"/>
      <c r="M857" s="140"/>
      <c r="N857" s="140"/>
      <c r="O857" s="140"/>
      <c r="P857" s="140"/>
      <c r="Q857" s="140"/>
      <c r="R857" s="140"/>
      <c r="S857" s="140"/>
      <c r="T857" s="140"/>
      <c r="U857" s="140"/>
      <c r="V857" s="140"/>
      <c r="W857" s="140"/>
      <c r="X857" s="140"/>
      <c r="Y857" s="140"/>
      <c r="Z857" s="140"/>
      <c r="AA857" s="140"/>
      <c r="AB857" s="140"/>
      <c r="AC857" s="140"/>
      <c r="AD857" s="140"/>
    </row>
    <row r="858" spans="1:30" ht="15.75" customHeight="1" x14ac:dyDescent="0.2">
      <c r="A858" s="140"/>
      <c r="B858" s="140"/>
      <c r="C858" s="140"/>
      <c r="D858" s="140"/>
      <c r="E858" s="140"/>
      <c r="F858" s="140"/>
      <c r="G858" s="140"/>
      <c r="H858" s="140"/>
      <c r="I858" s="140"/>
      <c r="J858" s="140"/>
      <c r="K858" s="140"/>
      <c r="L858" s="140"/>
      <c r="M858" s="140"/>
      <c r="N858" s="140"/>
      <c r="O858" s="140"/>
      <c r="P858" s="140"/>
      <c r="Q858" s="140"/>
      <c r="R858" s="140"/>
      <c r="S858" s="140"/>
      <c r="T858" s="140"/>
      <c r="U858" s="140"/>
      <c r="V858" s="140"/>
      <c r="W858" s="140"/>
      <c r="X858" s="140"/>
      <c r="Y858" s="140"/>
      <c r="Z858" s="140"/>
      <c r="AA858" s="140"/>
      <c r="AB858" s="140"/>
      <c r="AC858" s="140"/>
      <c r="AD858" s="140"/>
    </row>
    <row r="859" spans="1:30" ht="15.75" customHeight="1" x14ac:dyDescent="0.2">
      <c r="A859" s="140"/>
      <c r="B859" s="140"/>
      <c r="C859" s="140"/>
      <c r="D859" s="140"/>
      <c r="E859" s="140"/>
      <c r="F859" s="140"/>
      <c r="G859" s="140"/>
      <c r="H859" s="140"/>
      <c r="I859" s="140"/>
      <c r="J859" s="140"/>
      <c r="K859" s="140"/>
      <c r="L859" s="140"/>
      <c r="M859" s="140"/>
      <c r="N859" s="140"/>
      <c r="O859" s="140"/>
      <c r="P859" s="140"/>
      <c r="Q859" s="140"/>
      <c r="R859" s="140"/>
      <c r="S859" s="140"/>
      <c r="T859" s="140"/>
      <c r="U859" s="140"/>
      <c r="V859" s="140"/>
      <c r="W859" s="140"/>
      <c r="X859" s="140"/>
      <c r="Y859" s="140"/>
      <c r="Z859" s="140"/>
      <c r="AA859" s="140"/>
      <c r="AB859" s="140"/>
      <c r="AC859" s="140"/>
      <c r="AD859" s="140"/>
    </row>
    <row r="860" spans="1:30" ht="15.75" customHeight="1" x14ac:dyDescent="0.2">
      <c r="A860" s="140"/>
      <c r="B860" s="140"/>
      <c r="C860" s="140"/>
      <c r="D860" s="140"/>
      <c r="E860" s="140"/>
      <c r="F860" s="140"/>
      <c r="G860" s="140"/>
      <c r="H860" s="140"/>
      <c r="I860" s="140"/>
      <c r="J860" s="140"/>
      <c r="K860" s="140"/>
      <c r="L860" s="140"/>
      <c r="M860" s="140"/>
      <c r="N860" s="140"/>
      <c r="O860" s="140"/>
      <c r="P860" s="140"/>
      <c r="Q860" s="140"/>
      <c r="R860" s="140"/>
      <c r="S860" s="140"/>
      <c r="T860" s="140"/>
      <c r="U860" s="140"/>
      <c r="V860" s="140"/>
      <c r="W860" s="140"/>
      <c r="X860" s="140"/>
      <c r="Y860" s="140"/>
      <c r="Z860" s="140"/>
      <c r="AA860" s="140"/>
      <c r="AB860" s="140"/>
      <c r="AC860" s="140"/>
      <c r="AD860" s="140"/>
    </row>
    <row r="861" spans="1:30" ht="15.75" customHeight="1" x14ac:dyDescent="0.2">
      <c r="A861" s="140"/>
      <c r="B861" s="140"/>
      <c r="C861" s="140"/>
      <c r="D861" s="140"/>
      <c r="E861" s="140"/>
      <c r="F861" s="140"/>
      <c r="G861" s="140"/>
      <c r="H861" s="140"/>
      <c r="I861" s="140"/>
      <c r="J861" s="140"/>
      <c r="K861" s="140"/>
      <c r="L861" s="140"/>
      <c r="M861" s="140"/>
      <c r="N861" s="140"/>
      <c r="O861" s="140"/>
      <c r="P861" s="140"/>
      <c r="Q861" s="140"/>
      <c r="R861" s="140"/>
      <c r="S861" s="140"/>
      <c r="T861" s="140"/>
      <c r="U861" s="140"/>
      <c r="V861" s="140"/>
      <c r="W861" s="140"/>
      <c r="X861" s="140"/>
      <c r="Y861" s="140"/>
      <c r="Z861" s="140"/>
      <c r="AA861" s="140"/>
      <c r="AB861" s="140"/>
      <c r="AC861" s="140"/>
      <c r="AD861" s="140"/>
    </row>
    <row r="862" spans="1:30" ht="15.75" customHeight="1" x14ac:dyDescent="0.2">
      <c r="A862" s="140"/>
      <c r="B862" s="140"/>
      <c r="C862" s="140"/>
      <c r="D862" s="140"/>
      <c r="E862" s="140"/>
      <c r="F862" s="140"/>
      <c r="G862" s="140"/>
      <c r="H862" s="140"/>
      <c r="I862" s="140"/>
      <c r="J862" s="140"/>
      <c r="K862" s="140"/>
      <c r="L862" s="140"/>
      <c r="M862" s="140"/>
      <c r="N862" s="140"/>
      <c r="O862" s="140"/>
      <c r="P862" s="140"/>
      <c r="Q862" s="140"/>
      <c r="R862" s="140"/>
      <c r="S862" s="140"/>
      <c r="T862" s="140"/>
      <c r="U862" s="140"/>
      <c r="V862" s="140"/>
      <c r="W862" s="140"/>
      <c r="X862" s="140"/>
      <c r="Y862" s="140"/>
      <c r="Z862" s="140"/>
      <c r="AA862" s="140"/>
      <c r="AB862" s="140"/>
      <c r="AC862" s="140"/>
      <c r="AD862" s="140"/>
    </row>
    <row r="863" spans="1:30" ht="15.75" customHeight="1" x14ac:dyDescent="0.2">
      <c r="A863" s="140"/>
      <c r="B863" s="140"/>
      <c r="C863" s="140"/>
      <c r="D863" s="140"/>
      <c r="E863" s="140"/>
      <c r="F863" s="140"/>
      <c r="G863" s="140"/>
      <c r="H863" s="140"/>
      <c r="I863" s="140"/>
      <c r="J863" s="140"/>
      <c r="K863" s="140"/>
      <c r="L863" s="140"/>
      <c r="M863" s="140"/>
      <c r="N863" s="140"/>
      <c r="O863" s="140"/>
      <c r="P863" s="140"/>
      <c r="Q863" s="140"/>
      <c r="R863" s="140"/>
      <c r="S863" s="140"/>
      <c r="T863" s="140"/>
      <c r="U863" s="140"/>
      <c r="V863" s="140"/>
      <c r="W863" s="140"/>
      <c r="X863" s="140"/>
      <c r="Y863" s="140"/>
      <c r="Z863" s="140"/>
      <c r="AA863" s="140"/>
      <c r="AB863" s="140"/>
      <c r="AC863" s="140"/>
      <c r="AD863" s="140"/>
    </row>
    <row r="864" spans="1:30" ht="15.75" customHeight="1" x14ac:dyDescent="0.2">
      <c r="A864" s="140"/>
      <c r="B864" s="140"/>
      <c r="C864" s="140"/>
      <c r="D864" s="140"/>
      <c r="E864" s="140"/>
      <c r="F864" s="140"/>
      <c r="G864" s="140"/>
      <c r="H864" s="140"/>
      <c r="I864" s="140"/>
      <c r="J864" s="140"/>
      <c r="K864" s="140"/>
      <c r="L864" s="140"/>
      <c r="M864" s="140"/>
      <c r="N864" s="140"/>
      <c r="O864" s="140"/>
      <c r="P864" s="140"/>
      <c r="Q864" s="140"/>
      <c r="R864" s="140"/>
      <c r="S864" s="140"/>
      <c r="T864" s="140"/>
      <c r="U864" s="140"/>
      <c r="V864" s="140"/>
      <c r="W864" s="140"/>
      <c r="X864" s="140"/>
      <c r="Y864" s="140"/>
      <c r="Z864" s="140"/>
      <c r="AA864" s="140"/>
      <c r="AB864" s="140"/>
      <c r="AC864" s="140"/>
      <c r="AD864" s="140"/>
    </row>
    <row r="865" spans="1:30" ht="15.75" customHeight="1" x14ac:dyDescent="0.2">
      <c r="A865" s="140"/>
      <c r="B865" s="140"/>
      <c r="C865" s="140"/>
      <c r="D865" s="140"/>
      <c r="E865" s="140"/>
      <c r="F865" s="140"/>
      <c r="G865" s="140"/>
      <c r="H865" s="140"/>
      <c r="I865" s="140"/>
      <c r="J865" s="140"/>
      <c r="K865" s="140"/>
      <c r="L865" s="140"/>
      <c r="M865" s="140"/>
      <c r="N865" s="140"/>
      <c r="O865" s="140"/>
      <c r="P865" s="140"/>
      <c r="Q865" s="140"/>
      <c r="R865" s="140"/>
      <c r="S865" s="140"/>
      <c r="T865" s="140"/>
      <c r="U865" s="140"/>
      <c r="V865" s="140"/>
      <c r="W865" s="140"/>
      <c r="X865" s="140"/>
      <c r="Y865" s="140"/>
      <c r="Z865" s="140"/>
      <c r="AA865" s="140"/>
      <c r="AB865" s="140"/>
      <c r="AC865" s="140"/>
      <c r="AD865" s="140"/>
    </row>
    <row r="866" spans="1:30" ht="15.75" customHeight="1" x14ac:dyDescent="0.2">
      <c r="A866" s="140"/>
      <c r="B866" s="140"/>
      <c r="C866" s="140"/>
      <c r="D866" s="140"/>
      <c r="E866" s="140"/>
      <c r="F866" s="140"/>
      <c r="G866" s="140"/>
      <c r="H866" s="140"/>
      <c r="I866" s="140"/>
      <c r="J866" s="140"/>
      <c r="K866" s="140"/>
      <c r="L866" s="140"/>
      <c r="M866" s="140"/>
      <c r="N866" s="140"/>
      <c r="O866" s="140"/>
      <c r="P866" s="140"/>
      <c r="Q866" s="140"/>
      <c r="R866" s="140"/>
      <c r="S866" s="140"/>
      <c r="T866" s="140"/>
      <c r="U866" s="140"/>
      <c r="V866" s="140"/>
      <c r="W866" s="140"/>
      <c r="X866" s="140"/>
      <c r="Y866" s="140"/>
      <c r="Z866" s="140"/>
      <c r="AA866" s="140"/>
      <c r="AB866" s="140"/>
      <c r="AC866" s="140"/>
      <c r="AD866" s="140"/>
    </row>
    <row r="867" spans="1:30" ht="15.75" customHeight="1" x14ac:dyDescent="0.2">
      <c r="A867" s="140"/>
      <c r="B867" s="140"/>
      <c r="C867" s="140"/>
      <c r="D867" s="140"/>
      <c r="E867" s="140"/>
      <c r="F867" s="140"/>
      <c r="G867" s="140"/>
      <c r="H867" s="140"/>
      <c r="I867" s="140"/>
      <c r="J867" s="140"/>
      <c r="K867" s="140"/>
      <c r="L867" s="140"/>
      <c r="M867" s="140"/>
      <c r="N867" s="140"/>
      <c r="O867" s="140"/>
      <c r="P867" s="140"/>
      <c r="Q867" s="140"/>
      <c r="R867" s="140"/>
      <c r="S867" s="140"/>
      <c r="T867" s="140"/>
      <c r="U867" s="140"/>
      <c r="V867" s="140"/>
      <c r="W867" s="140"/>
      <c r="X867" s="140"/>
      <c r="Y867" s="140"/>
      <c r="Z867" s="140"/>
      <c r="AA867" s="140"/>
      <c r="AB867" s="140"/>
      <c r="AC867" s="140"/>
      <c r="AD867" s="140"/>
    </row>
    <row r="868" spans="1:30" ht="15.75" customHeight="1" x14ac:dyDescent="0.2">
      <c r="A868" s="140"/>
      <c r="B868" s="140"/>
      <c r="C868" s="140"/>
      <c r="D868" s="140"/>
      <c r="E868" s="140"/>
      <c r="F868" s="140"/>
      <c r="G868" s="140"/>
      <c r="H868" s="140"/>
      <c r="I868" s="140"/>
      <c r="J868" s="140"/>
      <c r="K868" s="140"/>
      <c r="L868" s="140"/>
      <c r="M868" s="140"/>
      <c r="N868" s="140"/>
      <c r="O868" s="140"/>
      <c r="P868" s="140"/>
      <c r="Q868" s="140"/>
      <c r="R868" s="140"/>
      <c r="S868" s="140"/>
      <c r="T868" s="140"/>
      <c r="U868" s="140"/>
      <c r="V868" s="140"/>
      <c r="W868" s="140"/>
      <c r="X868" s="140"/>
      <c r="Y868" s="140"/>
      <c r="Z868" s="140"/>
      <c r="AA868" s="140"/>
      <c r="AB868" s="140"/>
      <c r="AC868" s="140"/>
      <c r="AD868" s="140"/>
    </row>
    <row r="869" spans="1:30" ht="15.75" customHeight="1" x14ac:dyDescent="0.2">
      <c r="A869" s="140"/>
      <c r="B869" s="140"/>
      <c r="C869" s="140"/>
      <c r="D869" s="140"/>
      <c r="E869" s="140"/>
      <c r="F869" s="140"/>
      <c r="G869" s="140"/>
      <c r="H869" s="140"/>
      <c r="I869" s="140"/>
      <c r="J869" s="140"/>
      <c r="K869" s="140"/>
      <c r="L869" s="140"/>
      <c r="M869" s="140"/>
      <c r="N869" s="140"/>
      <c r="O869" s="140"/>
      <c r="P869" s="140"/>
      <c r="Q869" s="140"/>
      <c r="R869" s="140"/>
      <c r="S869" s="140"/>
      <c r="T869" s="140"/>
      <c r="U869" s="140"/>
      <c r="V869" s="140"/>
      <c r="W869" s="140"/>
      <c r="X869" s="140"/>
      <c r="Y869" s="140"/>
      <c r="Z869" s="140"/>
      <c r="AA869" s="140"/>
      <c r="AB869" s="140"/>
      <c r="AC869" s="140"/>
      <c r="AD869" s="140"/>
    </row>
    <row r="870" spans="1:30" ht="15.75" customHeight="1" x14ac:dyDescent="0.2">
      <c r="A870" s="140"/>
      <c r="B870" s="140"/>
      <c r="C870" s="140"/>
      <c r="D870" s="140"/>
      <c r="E870" s="140"/>
      <c r="F870" s="140"/>
      <c r="G870" s="140"/>
      <c r="H870" s="140"/>
      <c r="I870" s="140"/>
      <c r="J870" s="140"/>
      <c r="K870" s="140"/>
      <c r="L870" s="140"/>
      <c r="M870" s="140"/>
      <c r="N870" s="140"/>
      <c r="O870" s="140"/>
      <c r="P870" s="140"/>
      <c r="Q870" s="140"/>
      <c r="R870" s="140"/>
      <c r="S870" s="140"/>
      <c r="T870" s="140"/>
      <c r="U870" s="140"/>
      <c r="V870" s="140"/>
      <c r="W870" s="140"/>
      <c r="X870" s="140"/>
      <c r="Y870" s="140"/>
      <c r="Z870" s="140"/>
      <c r="AA870" s="140"/>
      <c r="AB870" s="140"/>
      <c r="AC870" s="140"/>
      <c r="AD870" s="140"/>
    </row>
    <row r="871" spans="1:30" ht="15.75" customHeight="1" x14ac:dyDescent="0.2">
      <c r="A871" s="140"/>
      <c r="B871" s="140"/>
      <c r="C871" s="140"/>
      <c r="D871" s="140"/>
      <c r="E871" s="140"/>
      <c r="F871" s="140"/>
      <c r="G871" s="140"/>
      <c r="H871" s="140"/>
      <c r="I871" s="140"/>
      <c r="J871" s="140"/>
      <c r="K871" s="140"/>
      <c r="L871" s="140"/>
      <c r="M871" s="140"/>
      <c r="N871" s="140"/>
      <c r="O871" s="140"/>
      <c r="P871" s="140"/>
      <c r="Q871" s="140"/>
      <c r="R871" s="140"/>
      <c r="S871" s="140"/>
      <c r="T871" s="140"/>
      <c r="U871" s="140"/>
      <c r="V871" s="140"/>
      <c r="W871" s="140"/>
      <c r="X871" s="140"/>
      <c r="Y871" s="140"/>
      <c r="Z871" s="140"/>
      <c r="AA871" s="140"/>
      <c r="AB871" s="140"/>
      <c r="AC871" s="140"/>
      <c r="AD871" s="140"/>
    </row>
    <row r="872" spans="1:30" ht="15.75" customHeight="1" x14ac:dyDescent="0.2">
      <c r="A872" s="140"/>
      <c r="B872" s="140"/>
      <c r="C872" s="140"/>
      <c r="D872" s="140"/>
      <c r="E872" s="140"/>
      <c r="F872" s="140"/>
      <c r="G872" s="140"/>
      <c r="H872" s="140"/>
      <c r="I872" s="140"/>
      <c r="J872" s="140"/>
      <c r="K872" s="140"/>
      <c r="L872" s="140"/>
      <c r="M872" s="140"/>
      <c r="N872" s="140"/>
      <c r="O872" s="140"/>
      <c r="P872" s="140"/>
      <c r="Q872" s="140"/>
      <c r="R872" s="140"/>
      <c r="S872" s="140"/>
      <c r="T872" s="140"/>
      <c r="U872" s="140"/>
      <c r="V872" s="140"/>
      <c r="W872" s="140"/>
      <c r="X872" s="140"/>
      <c r="Y872" s="140"/>
      <c r="Z872" s="140"/>
      <c r="AA872" s="140"/>
      <c r="AB872" s="140"/>
      <c r="AC872" s="140"/>
      <c r="AD872" s="140"/>
    </row>
    <row r="873" spans="1:30" ht="15.75" customHeight="1" x14ac:dyDescent="0.2">
      <c r="A873" s="140"/>
      <c r="B873" s="140"/>
      <c r="C873" s="140"/>
      <c r="D873" s="140"/>
      <c r="E873" s="140"/>
      <c r="F873" s="140"/>
      <c r="G873" s="140"/>
      <c r="H873" s="140"/>
      <c r="I873" s="140"/>
      <c r="J873" s="140"/>
      <c r="K873" s="140"/>
      <c r="L873" s="140"/>
      <c r="M873" s="140"/>
      <c r="N873" s="140"/>
      <c r="O873" s="140"/>
      <c r="P873" s="140"/>
      <c r="Q873" s="140"/>
      <c r="R873" s="140"/>
      <c r="S873" s="140"/>
      <c r="T873" s="140"/>
      <c r="U873" s="140"/>
      <c r="V873" s="140"/>
      <c r="W873" s="140"/>
      <c r="X873" s="140"/>
      <c r="Y873" s="140"/>
      <c r="Z873" s="140"/>
      <c r="AA873" s="140"/>
      <c r="AB873" s="140"/>
      <c r="AC873" s="140"/>
      <c r="AD873" s="140"/>
    </row>
    <row r="874" spans="1:30" ht="15.75" customHeight="1" x14ac:dyDescent="0.2">
      <c r="A874" s="140"/>
      <c r="B874" s="140"/>
      <c r="C874" s="140"/>
      <c r="D874" s="140"/>
      <c r="E874" s="140"/>
      <c r="F874" s="140"/>
      <c r="G874" s="140"/>
      <c r="H874" s="140"/>
      <c r="I874" s="140"/>
      <c r="J874" s="140"/>
      <c r="K874" s="140"/>
      <c r="L874" s="140"/>
      <c r="M874" s="140"/>
      <c r="N874" s="140"/>
      <c r="O874" s="140"/>
      <c r="P874" s="140"/>
      <c r="Q874" s="140"/>
      <c r="R874" s="140"/>
      <c r="S874" s="140"/>
      <c r="T874" s="140"/>
      <c r="U874" s="140"/>
      <c r="V874" s="140"/>
      <c r="W874" s="140"/>
      <c r="X874" s="140"/>
      <c r="Y874" s="140"/>
      <c r="Z874" s="140"/>
      <c r="AA874" s="140"/>
      <c r="AB874" s="140"/>
      <c r="AC874" s="140"/>
      <c r="AD874" s="140"/>
    </row>
    <row r="875" spans="1:30" ht="15.75" customHeight="1" x14ac:dyDescent="0.2">
      <c r="A875" s="140"/>
      <c r="B875" s="140"/>
      <c r="C875" s="140"/>
      <c r="D875" s="140"/>
      <c r="E875" s="140"/>
      <c r="F875" s="140"/>
      <c r="G875" s="140"/>
      <c r="H875" s="140"/>
      <c r="I875" s="140"/>
      <c r="J875" s="140"/>
      <c r="K875" s="140"/>
      <c r="L875" s="140"/>
      <c r="M875" s="140"/>
      <c r="N875" s="140"/>
      <c r="O875" s="140"/>
      <c r="P875" s="140"/>
      <c r="Q875" s="140"/>
      <c r="R875" s="140"/>
      <c r="S875" s="140"/>
      <c r="T875" s="140"/>
      <c r="U875" s="140"/>
      <c r="V875" s="140"/>
      <c r="W875" s="140"/>
      <c r="X875" s="140"/>
      <c r="Y875" s="140"/>
      <c r="Z875" s="140"/>
      <c r="AA875" s="140"/>
      <c r="AB875" s="140"/>
      <c r="AC875" s="140"/>
      <c r="AD875" s="140"/>
    </row>
    <row r="876" spans="1:30" ht="15.75" customHeight="1" x14ac:dyDescent="0.2">
      <c r="A876" s="140"/>
      <c r="B876" s="140"/>
      <c r="C876" s="140"/>
      <c r="D876" s="140"/>
      <c r="E876" s="140"/>
      <c r="F876" s="140"/>
      <c r="G876" s="140"/>
      <c r="H876" s="140"/>
      <c r="I876" s="140"/>
      <c r="J876" s="140"/>
      <c r="K876" s="140"/>
      <c r="L876" s="140"/>
      <c r="M876" s="140"/>
      <c r="N876" s="140"/>
      <c r="O876" s="140"/>
      <c r="P876" s="140"/>
      <c r="Q876" s="140"/>
      <c r="R876" s="140"/>
      <c r="S876" s="140"/>
      <c r="T876" s="140"/>
      <c r="U876" s="140"/>
      <c r="V876" s="140"/>
      <c r="W876" s="140"/>
      <c r="X876" s="140"/>
      <c r="Y876" s="140"/>
      <c r="Z876" s="140"/>
      <c r="AA876" s="140"/>
      <c r="AB876" s="140"/>
      <c r="AC876" s="140"/>
      <c r="AD876" s="140"/>
    </row>
    <row r="877" spans="1:30" ht="15.75" customHeight="1" x14ac:dyDescent="0.2">
      <c r="A877" s="140"/>
      <c r="B877" s="140"/>
      <c r="C877" s="140"/>
      <c r="D877" s="140"/>
      <c r="E877" s="140"/>
      <c r="F877" s="140"/>
      <c r="G877" s="140"/>
      <c r="H877" s="140"/>
      <c r="I877" s="140"/>
      <c r="J877" s="140"/>
      <c r="K877" s="140"/>
      <c r="L877" s="140"/>
      <c r="M877" s="140"/>
      <c r="N877" s="140"/>
      <c r="O877" s="140"/>
      <c r="P877" s="140"/>
      <c r="Q877" s="140"/>
      <c r="R877" s="140"/>
      <c r="S877" s="140"/>
      <c r="T877" s="140"/>
      <c r="U877" s="140"/>
      <c r="V877" s="140"/>
      <c r="W877" s="140"/>
      <c r="X877" s="140"/>
      <c r="Y877" s="140"/>
      <c r="Z877" s="140"/>
      <c r="AA877" s="140"/>
      <c r="AB877" s="140"/>
      <c r="AC877" s="140"/>
      <c r="AD877" s="140"/>
    </row>
    <row r="878" spans="1:30" ht="15.75" customHeight="1" x14ac:dyDescent="0.2">
      <c r="A878" s="140"/>
      <c r="B878" s="140"/>
      <c r="C878" s="140"/>
      <c r="D878" s="140"/>
      <c r="E878" s="140"/>
      <c r="F878" s="140"/>
      <c r="G878" s="140"/>
      <c r="H878" s="140"/>
      <c r="I878" s="140"/>
      <c r="J878" s="140"/>
      <c r="K878" s="140"/>
      <c r="L878" s="140"/>
      <c r="M878" s="140"/>
      <c r="N878" s="140"/>
      <c r="O878" s="140"/>
      <c r="P878" s="140"/>
      <c r="Q878" s="140"/>
      <c r="R878" s="140"/>
      <c r="S878" s="140"/>
      <c r="T878" s="140"/>
      <c r="U878" s="140"/>
      <c r="V878" s="140"/>
      <c r="W878" s="140"/>
      <c r="X878" s="140"/>
      <c r="Y878" s="140"/>
      <c r="Z878" s="140"/>
      <c r="AA878" s="140"/>
      <c r="AB878" s="140"/>
      <c r="AC878" s="140"/>
      <c r="AD878" s="140"/>
    </row>
    <row r="879" spans="1:30" ht="15.75" customHeight="1" x14ac:dyDescent="0.2">
      <c r="A879" s="140"/>
      <c r="B879" s="140"/>
      <c r="C879" s="140"/>
      <c r="D879" s="140"/>
      <c r="E879" s="140"/>
      <c r="F879" s="140"/>
      <c r="G879" s="140"/>
      <c r="H879" s="140"/>
      <c r="I879" s="140"/>
      <c r="J879" s="140"/>
      <c r="K879" s="140"/>
      <c r="L879" s="140"/>
      <c r="M879" s="140"/>
      <c r="N879" s="140"/>
      <c r="O879" s="140"/>
      <c r="P879" s="140"/>
      <c r="Q879" s="140"/>
      <c r="R879" s="140"/>
      <c r="S879" s="140"/>
      <c r="T879" s="140"/>
      <c r="U879" s="140"/>
      <c r="V879" s="140"/>
      <c r="W879" s="140"/>
      <c r="X879" s="140"/>
      <c r="Y879" s="140"/>
      <c r="Z879" s="140"/>
      <c r="AA879" s="140"/>
      <c r="AB879" s="140"/>
      <c r="AC879" s="140"/>
      <c r="AD879" s="140"/>
    </row>
    <row r="880" spans="1:30" ht="15.75" customHeight="1" x14ac:dyDescent="0.2">
      <c r="A880" s="140"/>
      <c r="B880" s="140"/>
      <c r="C880" s="140"/>
      <c r="D880" s="140"/>
      <c r="E880" s="140"/>
      <c r="F880" s="140"/>
      <c r="G880" s="140"/>
      <c r="H880" s="140"/>
      <c r="I880" s="140"/>
      <c r="J880" s="140"/>
      <c r="K880" s="140"/>
      <c r="L880" s="140"/>
      <c r="M880" s="140"/>
      <c r="N880" s="140"/>
      <c r="O880" s="140"/>
      <c r="P880" s="140"/>
      <c r="Q880" s="140"/>
      <c r="R880" s="140"/>
      <c r="S880" s="140"/>
      <c r="T880" s="140"/>
      <c r="U880" s="140"/>
      <c r="V880" s="140"/>
      <c r="W880" s="140"/>
      <c r="X880" s="140"/>
      <c r="Y880" s="140"/>
      <c r="Z880" s="140"/>
      <c r="AA880" s="140"/>
      <c r="AB880" s="140"/>
      <c r="AC880" s="140"/>
      <c r="AD880" s="140"/>
    </row>
    <row r="881" spans="1:30" ht="15.75" customHeight="1" x14ac:dyDescent="0.2">
      <c r="A881" s="140"/>
      <c r="B881" s="140"/>
      <c r="C881" s="140"/>
      <c r="D881" s="140"/>
      <c r="E881" s="140"/>
      <c r="F881" s="140"/>
      <c r="G881" s="140"/>
      <c r="H881" s="140"/>
      <c r="I881" s="140"/>
      <c r="J881" s="140"/>
      <c r="K881" s="140"/>
      <c r="L881" s="140"/>
      <c r="M881" s="140"/>
      <c r="N881" s="140"/>
      <c r="O881" s="140"/>
      <c r="P881" s="140"/>
      <c r="Q881" s="140"/>
      <c r="R881" s="140"/>
      <c r="S881" s="140"/>
      <c r="T881" s="140"/>
      <c r="U881" s="140"/>
      <c r="V881" s="140"/>
      <c r="W881" s="140"/>
      <c r="X881" s="140"/>
      <c r="Y881" s="140"/>
      <c r="Z881" s="140"/>
      <c r="AA881" s="140"/>
      <c r="AB881" s="140"/>
      <c r="AC881" s="140"/>
      <c r="AD881" s="140"/>
    </row>
    <row r="882" spans="1:30" ht="15.75" customHeight="1" x14ac:dyDescent="0.2">
      <c r="A882" s="140"/>
      <c r="B882" s="140"/>
      <c r="C882" s="140"/>
      <c r="D882" s="140"/>
      <c r="E882" s="140"/>
      <c r="F882" s="140"/>
      <c r="G882" s="140"/>
      <c r="H882" s="140"/>
      <c r="I882" s="140"/>
      <c r="J882" s="140"/>
      <c r="K882" s="140"/>
      <c r="L882" s="140"/>
      <c r="M882" s="140"/>
      <c r="N882" s="140"/>
      <c r="O882" s="140"/>
      <c r="P882" s="140"/>
      <c r="Q882" s="140"/>
      <c r="R882" s="140"/>
      <c r="S882" s="140"/>
      <c r="T882" s="140"/>
      <c r="U882" s="140"/>
      <c r="V882" s="140"/>
      <c r="W882" s="140"/>
      <c r="X882" s="140"/>
      <c r="Y882" s="140"/>
      <c r="Z882" s="140"/>
      <c r="AA882" s="140"/>
      <c r="AB882" s="140"/>
      <c r="AC882" s="140"/>
      <c r="AD882" s="140"/>
    </row>
    <row r="883" spans="1:30" ht="15.75" customHeight="1" x14ac:dyDescent="0.2">
      <c r="A883" s="140"/>
      <c r="B883" s="140"/>
      <c r="C883" s="140"/>
      <c r="D883" s="140"/>
      <c r="E883" s="140"/>
      <c r="F883" s="140"/>
      <c r="G883" s="140"/>
      <c r="H883" s="140"/>
      <c r="I883" s="140"/>
      <c r="J883" s="140"/>
      <c r="K883" s="140"/>
      <c r="L883" s="140"/>
      <c r="M883" s="140"/>
      <c r="N883" s="140"/>
      <c r="O883" s="140"/>
      <c r="P883" s="140"/>
      <c r="Q883" s="140"/>
      <c r="R883" s="140"/>
      <c r="S883" s="140"/>
      <c r="T883" s="140"/>
      <c r="U883" s="140"/>
      <c r="V883" s="140"/>
      <c r="W883" s="140"/>
      <c r="X883" s="140"/>
      <c r="Y883" s="140"/>
      <c r="Z883" s="140"/>
      <c r="AA883" s="140"/>
      <c r="AB883" s="140"/>
      <c r="AC883" s="140"/>
      <c r="AD883" s="140"/>
    </row>
    <row r="884" spans="1:30" ht="15.75" customHeight="1" x14ac:dyDescent="0.2">
      <c r="A884" s="140"/>
      <c r="B884" s="140"/>
      <c r="C884" s="140"/>
      <c r="D884" s="140"/>
      <c r="E884" s="140"/>
      <c r="F884" s="140"/>
      <c r="G884" s="140"/>
      <c r="H884" s="140"/>
      <c r="I884" s="140"/>
      <c r="J884" s="140"/>
      <c r="K884" s="140"/>
      <c r="L884" s="140"/>
      <c r="M884" s="140"/>
      <c r="N884" s="140"/>
      <c r="O884" s="140"/>
      <c r="P884" s="140"/>
      <c r="Q884" s="140"/>
      <c r="R884" s="140"/>
      <c r="S884" s="140"/>
      <c r="T884" s="140"/>
      <c r="U884" s="140"/>
      <c r="V884" s="140"/>
      <c r="W884" s="140"/>
      <c r="X884" s="140"/>
      <c r="Y884" s="140"/>
      <c r="Z884" s="140"/>
      <c r="AA884" s="140"/>
      <c r="AB884" s="140"/>
      <c r="AC884" s="140"/>
      <c r="AD884" s="140"/>
    </row>
    <row r="885" spans="1:30" ht="15.75" customHeight="1" x14ac:dyDescent="0.2">
      <c r="A885" s="140"/>
      <c r="B885" s="140"/>
      <c r="C885" s="140"/>
      <c r="D885" s="140"/>
      <c r="E885" s="140"/>
      <c r="F885" s="140"/>
      <c r="G885" s="140"/>
      <c r="H885" s="140"/>
      <c r="I885" s="140"/>
      <c r="J885" s="140"/>
      <c r="K885" s="140"/>
      <c r="L885" s="140"/>
      <c r="M885" s="140"/>
      <c r="N885" s="140"/>
      <c r="O885" s="140"/>
      <c r="P885" s="140"/>
      <c r="Q885" s="140"/>
      <c r="R885" s="140"/>
      <c r="S885" s="140"/>
      <c r="T885" s="140"/>
      <c r="U885" s="140"/>
      <c r="V885" s="140"/>
      <c r="W885" s="140"/>
      <c r="X885" s="140"/>
      <c r="Y885" s="140"/>
      <c r="Z885" s="140"/>
      <c r="AA885" s="140"/>
      <c r="AB885" s="140"/>
      <c r="AC885" s="140"/>
      <c r="AD885" s="140"/>
    </row>
    <row r="886" spans="1:30" ht="15.75" customHeight="1" x14ac:dyDescent="0.2">
      <c r="A886" s="140"/>
      <c r="B886" s="140"/>
      <c r="C886" s="140"/>
      <c r="D886" s="140"/>
      <c r="E886" s="140"/>
      <c r="F886" s="140"/>
      <c r="G886" s="140"/>
      <c r="H886" s="140"/>
      <c r="I886" s="140"/>
      <c r="J886" s="140"/>
      <c r="K886" s="140"/>
      <c r="L886" s="140"/>
      <c r="M886" s="140"/>
      <c r="N886" s="140"/>
      <c r="O886" s="140"/>
      <c r="P886" s="140"/>
      <c r="Q886" s="140"/>
      <c r="R886" s="140"/>
      <c r="S886" s="140"/>
      <c r="T886" s="140"/>
      <c r="U886" s="140"/>
      <c r="V886" s="140"/>
      <c r="W886" s="140"/>
      <c r="X886" s="140"/>
      <c r="Y886" s="140"/>
      <c r="Z886" s="140"/>
      <c r="AA886" s="140"/>
      <c r="AB886" s="140"/>
      <c r="AC886" s="140"/>
      <c r="AD886" s="140"/>
    </row>
    <row r="887" spans="1:30" ht="15.75" customHeight="1" x14ac:dyDescent="0.2">
      <c r="A887" s="140"/>
      <c r="B887" s="140"/>
      <c r="C887" s="140"/>
      <c r="D887" s="140"/>
      <c r="E887" s="140"/>
      <c r="F887" s="140"/>
      <c r="G887" s="140"/>
      <c r="H887" s="140"/>
      <c r="I887" s="140"/>
      <c r="J887" s="140"/>
      <c r="K887" s="140"/>
      <c r="L887" s="140"/>
      <c r="M887" s="140"/>
      <c r="N887" s="140"/>
      <c r="O887" s="140"/>
      <c r="P887" s="140"/>
      <c r="Q887" s="140"/>
      <c r="R887" s="140"/>
      <c r="S887" s="140"/>
      <c r="T887" s="140"/>
      <c r="U887" s="140"/>
      <c r="V887" s="140"/>
      <c r="W887" s="140"/>
      <c r="X887" s="140"/>
      <c r="Y887" s="140"/>
      <c r="Z887" s="140"/>
      <c r="AA887" s="140"/>
      <c r="AB887" s="140"/>
      <c r="AC887" s="140"/>
      <c r="AD887" s="140"/>
    </row>
    <row r="888" spans="1:30" ht="15.75" customHeight="1" x14ac:dyDescent="0.2">
      <c r="A888" s="140"/>
      <c r="B888" s="140"/>
      <c r="C888" s="140"/>
      <c r="D888" s="140"/>
      <c r="E888" s="140"/>
      <c r="F888" s="140"/>
      <c r="G888" s="140"/>
      <c r="H888" s="140"/>
      <c r="I888" s="140"/>
      <c r="J888" s="140"/>
      <c r="K888" s="140"/>
      <c r="L888" s="140"/>
      <c r="M888" s="140"/>
      <c r="N888" s="140"/>
      <c r="O888" s="140"/>
      <c r="P888" s="140"/>
      <c r="Q888" s="140"/>
      <c r="R888" s="140"/>
      <c r="S888" s="140"/>
      <c r="T888" s="140"/>
      <c r="U888" s="140"/>
      <c r="V888" s="140"/>
      <c r="W888" s="140"/>
      <c r="X888" s="140"/>
      <c r="Y888" s="140"/>
      <c r="Z888" s="140"/>
      <c r="AA888" s="140"/>
      <c r="AB888" s="140"/>
      <c r="AC888" s="140"/>
      <c r="AD888" s="140"/>
    </row>
    <row r="889" spans="1:30" ht="15.75" customHeight="1" x14ac:dyDescent="0.2">
      <c r="A889" s="140"/>
      <c r="B889" s="140"/>
      <c r="C889" s="140"/>
      <c r="D889" s="140"/>
      <c r="E889" s="140"/>
      <c r="F889" s="140"/>
      <c r="G889" s="140"/>
      <c r="H889" s="140"/>
      <c r="I889" s="140"/>
      <c r="J889" s="140"/>
      <c r="K889" s="140"/>
      <c r="L889" s="140"/>
      <c r="M889" s="140"/>
      <c r="N889" s="140"/>
      <c r="O889" s="140"/>
      <c r="P889" s="140"/>
      <c r="Q889" s="140"/>
      <c r="R889" s="140"/>
      <c r="S889" s="140"/>
      <c r="T889" s="140"/>
      <c r="U889" s="140"/>
      <c r="V889" s="140"/>
      <c r="W889" s="140"/>
      <c r="X889" s="140"/>
      <c r="Y889" s="140"/>
      <c r="Z889" s="140"/>
      <c r="AA889" s="140"/>
      <c r="AB889" s="140"/>
      <c r="AC889" s="140"/>
      <c r="AD889" s="140"/>
    </row>
    <row r="890" spans="1:30" ht="15.75" customHeight="1" x14ac:dyDescent="0.2">
      <c r="A890" s="140"/>
      <c r="B890" s="140"/>
      <c r="C890" s="140"/>
      <c r="D890" s="140"/>
      <c r="E890" s="140"/>
      <c r="F890" s="140"/>
      <c r="G890" s="140"/>
      <c r="H890" s="140"/>
      <c r="I890" s="140"/>
      <c r="J890" s="140"/>
      <c r="K890" s="140"/>
      <c r="L890" s="140"/>
      <c r="M890" s="140"/>
      <c r="N890" s="140"/>
      <c r="O890" s="140"/>
      <c r="P890" s="140"/>
      <c r="Q890" s="140"/>
      <c r="R890" s="140"/>
      <c r="S890" s="140"/>
      <c r="T890" s="140"/>
      <c r="U890" s="140"/>
      <c r="V890" s="140"/>
      <c r="W890" s="140"/>
      <c r="X890" s="140"/>
      <c r="Y890" s="140"/>
      <c r="Z890" s="140"/>
      <c r="AA890" s="140"/>
      <c r="AB890" s="140"/>
      <c r="AC890" s="140"/>
      <c r="AD890" s="140"/>
    </row>
    <row r="891" spans="1:30" ht="15.75" customHeight="1" x14ac:dyDescent="0.2">
      <c r="A891" s="140"/>
      <c r="B891" s="140"/>
      <c r="C891" s="140"/>
      <c r="D891" s="140"/>
      <c r="E891" s="140"/>
      <c r="F891" s="140"/>
      <c r="G891" s="140"/>
      <c r="H891" s="140"/>
      <c r="I891" s="140"/>
      <c r="J891" s="140"/>
      <c r="K891" s="140"/>
      <c r="L891" s="140"/>
      <c r="M891" s="140"/>
      <c r="N891" s="140"/>
      <c r="O891" s="140"/>
      <c r="P891" s="140"/>
      <c r="Q891" s="140"/>
      <c r="R891" s="140"/>
      <c r="S891" s="140"/>
      <c r="T891" s="140"/>
      <c r="U891" s="140"/>
      <c r="V891" s="140"/>
      <c r="W891" s="140"/>
      <c r="X891" s="140"/>
      <c r="Y891" s="140"/>
      <c r="Z891" s="140"/>
      <c r="AA891" s="140"/>
      <c r="AB891" s="140"/>
      <c r="AC891" s="140"/>
      <c r="AD891" s="140"/>
    </row>
    <row r="892" spans="1:30" ht="15.75" customHeight="1" x14ac:dyDescent="0.2">
      <c r="A892" s="140"/>
      <c r="B892" s="140"/>
      <c r="C892" s="140"/>
      <c r="D892" s="140"/>
      <c r="E892" s="140"/>
      <c r="F892" s="140"/>
      <c r="G892" s="140"/>
      <c r="H892" s="140"/>
      <c r="I892" s="140"/>
      <c r="J892" s="140"/>
      <c r="K892" s="140"/>
      <c r="L892" s="140"/>
      <c r="M892" s="140"/>
      <c r="N892" s="140"/>
      <c r="O892" s="140"/>
      <c r="P892" s="140"/>
      <c r="Q892" s="140"/>
      <c r="R892" s="140"/>
      <c r="S892" s="140"/>
      <c r="T892" s="140"/>
      <c r="U892" s="140"/>
      <c r="V892" s="140"/>
      <c r="W892" s="140"/>
      <c r="X892" s="140"/>
      <c r="Y892" s="140"/>
      <c r="Z892" s="140"/>
      <c r="AA892" s="140"/>
      <c r="AB892" s="140"/>
      <c r="AC892" s="140"/>
      <c r="AD892" s="140"/>
    </row>
    <row r="893" spans="1:30" ht="15.75" customHeight="1" x14ac:dyDescent="0.2">
      <c r="A893" s="140"/>
      <c r="B893" s="140"/>
      <c r="C893" s="140"/>
      <c r="D893" s="140"/>
      <c r="E893" s="140"/>
      <c r="F893" s="140"/>
      <c r="G893" s="140"/>
      <c r="H893" s="140"/>
      <c r="I893" s="140"/>
      <c r="J893" s="140"/>
      <c r="K893" s="140"/>
      <c r="L893" s="140"/>
      <c r="M893" s="140"/>
      <c r="N893" s="140"/>
      <c r="O893" s="140"/>
      <c r="P893" s="140"/>
      <c r="Q893" s="140"/>
      <c r="R893" s="140"/>
      <c r="S893" s="140"/>
      <c r="T893" s="140"/>
      <c r="U893" s="140"/>
      <c r="V893" s="140"/>
      <c r="W893" s="140"/>
      <c r="X893" s="140"/>
      <c r="Y893" s="140"/>
      <c r="Z893" s="140"/>
      <c r="AA893" s="140"/>
      <c r="AB893" s="140"/>
      <c r="AC893" s="140"/>
      <c r="AD893" s="140"/>
    </row>
    <row r="894" spans="1:30" ht="15.75" customHeight="1" x14ac:dyDescent="0.2">
      <c r="A894" s="140"/>
      <c r="B894" s="140"/>
      <c r="C894" s="140"/>
      <c r="D894" s="140"/>
      <c r="E894" s="140"/>
      <c r="F894" s="140"/>
      <c r="G894" s="140"/>
      <c r="H894" s="140"/>
      <c r="I894" s="140"/>
      <c r="J894" s="140"/>
      <c r="K894" s="140"/>
      <c r="L894" s="140"/>
      <c r="M894" s="140"/>
      <c r="N894" s="140"/>
      <c r="O894" s="140"/>
      <c r="P894" s="140"/>
      <c r="Q894" s="140"/>
      <c r="R894" s="140"/>
      <c r="S894" s="140"/>
      <c r="T894" s="140"/>
      <c r="U894" s="140"/>
      <c r="V894" s="140"/>
      <c r="W894" s="140"/>
      <c r="X894" s="140"/>
      <c r="Y894" s="140"/>
      <c r="Z894" s="140"/>
      <c r="AA894" s="140"/>
      <c r="AB894" s="140"/>
      <c r="AC894" s="140"/>
      <c r="AD894" s="140"/>
    </row>
    <row r="895" spans="1:30" ht="15.75" customHeight="1" x14ac:dyDescent="0.2">
      <c r="A895" s="140"/>
      <c r="B895" s="140"/>
      <c r="C895" s="140"/>
      <c r="D895" s="140"/>
      <c r="E895" s="140"/>
      <c r="F895" s="140"/>
      <c r="G895" s="140"/>
      <c r="H895" s="140"/>
      <c r="I895" s="140"/>
      <c r="J895" s="140"/>
      <c r="K895" s="140"/>
      <c r="L895" s="140"/>
      <c r="M895" s="140"/>
      <c r="N895" s="140"/>
      <c r="O895" s="140"/>
      <c r="P895" s="140"/>
      <c r="Q895" s="140"/>
      <c r="R895" s="140"/>
      <c r="S895" s="140"/>
      <c r="T895" s="140"/>
      <c r="U895" s="140"/>
      <c r="V895" s="140"/>
      <c r="W895" s="140"/>
      <c r="X895" s="140"/>
      <c r="Y895" s="140"/>
      <c r="Z895" s="140"/>
      <c r="AA895" s="140"/>
      <c r="AB895" s="140"/>
      <c r="AC895" s="140"/>
      <c r="AD895" s="140"/>
    </row>
    <row r="896" spans="1:30" ht="15.75" customHeight="1" x14ac:dyDescent="0.2">
      <c r="A896" s="140"/>
      <c r="B896" s="140"/>
      <c r="C896" s="140"/>
      <c r="D896" s="140"/>
      <c r="E896" s="140"/>
      <c r="F896" s="140"/>
      <c r="G896" s="140"/>
      <c r="H896" s="140"/>
      <c r="I896" s="140"/>
      <c r="J896" s="140"/>
      <c r="K896" s="140"/>
      <c r="L896" s="140"/>
      <c r="M896" s="140"/>
      <c r="N896" s="140"/>
      <c r="O896" s="140"/>
      <c r="P896" s="140"/>
      <c r="Q896" s="140"/>
      <c r="R896" s="140"/>
      <c r="S896" s="140"/>
      <c r="T896" s="140"/>
      <c r="U896" s="140"/>
      <c r="V896" s="140"/>
      <c r="W896" s="140"/>
      <c r="X896" s="140"/>
      <c r="Y896" s="140"/>
      <c r="Z896" s="140"/>
      <c r="AA896" s="140"/>
      <c r="AB896" s="140"/>
      <c r="AC896" s="140"/>
      <c r="AD896" s="140"/>
    </row>
    <row r="897" spans="1:30" ht="15.75" customHeight="1" x14ac:dyDescent="0.2">
      <c r="A897" s="140"/>
      <c r="B897" s="140"/>
      <c r="C897" s="140"/>
      <c r="D897" s="140"/>
      <c r="E897" s="140"/>
      <c r="F897" s="140"/>
      <c r="G897" s="140"/>
      <c r="H897" s="140"/>
      <c r="I897" s="140"/>
      <c r="J897" s="140"/>
      <c r="K897" s="140"/>
      <c r="L897" s="140"/>
      <c r="M897" s="140"/>
      <c r="N897" s="140"/>
      <c r="O897" s="140"/>
      <c r="P897" s="140"/>
      <c r="Q897" s="140"/>
      <c r="R897" s="140"/>
      <c r="S897" s="140"/>
      <c r="T897" s="140"/>
      <c r="U897" s="140"/>
      <c r="V897" s="140"/>
      <c r="W897" s="140"/>
      <c r="X897" s="140"/>
      <c r="Y897" s="140"/>
      <c r="Z897" s="140"/>
      <c r="AA897" s="140"/>
      <c r="AB897" s="140"/>
      <c r="AC897" s="140"/>
      <c r="AD897" s="140"/>
    </row>
    <row r="898" spans="1:30" ht="15.75" customHeight="1" x14ac:dyDescent="0.2">
      <c r="A898" s="140"/>
      <c r="B898" s="140"/>
      <c r="C898" s="140"/>
      <c r="D898" s="140"/>
      <c r="E898" s="140"/>
      <c r="F898" s="140"/>
      <c r="G898" s="140"/>
      <c r="H898" s="140"/>
      <c r="I898" s="140"/>
      <c r="J898" s="140"/>
      <c r="K898" s="140"/>
      <c r="L898" s="140"/>
      <c r="M898" s="140"/>
      <c r="N898" s="140"/>
      <c r="O898" s="140"/>
      <c r="P898" s="140"/>
      <c r="Q898" s="140"/>
      <c r="R898" s="140"/>
      <c r="S898" s="140"/>
      <c r="T898" s="140"/>
      <c r="U898" s="140"/>
      <c r="V898" s="140"/>
      <c r="W898" s="140"/>
      <c r="X898" s="140"/>
      <c r="Y898" s="140"/>
      <c r="Z898" s="140"/>
      <c r="AA898" s="140"/>
      <c r="AB898" s="140"/>
      <c r="AC898" s="140"/>
      <c r="AD898" s="140"/>
    </row>
    <row r="899" spans="1:30" ht="15.75" customHeight="1" x14ac:dyDescent="0.2">
      <c r="A899" s="140"/>
      <c r="B899" s="140"/>
      <c r="C899" s="140"/>
      <c r="D899" s="140"/>
      <c r="E899" s="140"/>
      <c r="F899" s="140"/>
      <c r="G899" s="140"/>
      <c r="H899" s="140"/>
      <c r="I899" s="140"/>
      <c r="J899" s="140"/>
      <c r="K899" s="140"/>
      <c r="L899" s="140"/>
      <c r="M899" s="140"/>
      <c r="N899" s="140"/>
      <c r="O899" s="140"/>
      <c r="P899" s="140"/>
      <c r="Q899" s="140"/>
      <c r="R899" s="140"/>
      <c r="S899" s="140"/>
      <c r="T899" s="140"/>
      <c r="U899" s="140"/>
      <c r="V899" s="140"/>
      <c r="W899" s="140"/>
      <c r="X899" s="140"/>
      <c r="Y899" s="140"/>
      <c r="Z899" s="140"/>
      <c r="AA899" s="140"/>
      <c r="AB899" s="140"/>
      <c r="AC899" s="140"/>
      <c r="AD899" s="140"/>
    </row>
    <row r="900" spans="1:30" ht="15.75" customHeight="1" x14ac:dyDescent="0.2">
      <c r="A900" s="140"/>
      <c r="B900" s="140"/>
      <c r="C900" s="140"/>
      <c r="D900" s="140"/>
      <c r="E900" s="140"/>
      <c r="F900" s="140"/>
      <c r="G900" s="140"/>
      <c r="H900" s="140"/>
      <c r="I900" s="140"/>
      <c r="J900" s="140"/>
      <c r="K900" s="140"/>
      <c r="L900" s="140"/>
      <c r="M900" s="140"/>
      <c r="N900" s="140"/>
      <c r="O900" s="140"/>
      <c r="P900" s="140"/>
      <c r="Q900" s="140"/>
      <c r="R900" s="140"/>
      <c r="S900" s="140"/>
      <c r="T900" s="140"/>
      <c r="U900" s="140"/>
      <c r="V900" s="140"/>
      <c r="W900" s="140"/>
      <c r="X900" s="140"/>
      <c r="Y900" s="140"/>
      <c r="Z900" s="140"/>
      <c r="AA900" s="140"/>
      <c r="AB900" s="140"/>
      <c r="AC900" s="140"/>
      <c r="AD900" s="140"/>
    </row>
    <row r="901" spans="1:30" ht="15.75" customHeight="1" x14ac:dyDescent="0.2">
      <c r="A901" s="140"/>
      <c r="B901" s="140"/>
      <c r="C901" s="140"/>
      <c r="D901" s="140"/>
      <c r="E901" s="140"/>
      <c r="F901" s="140"/>
      <c r="G901" s="140"/>
      <c r="H901" s="140"/>
      <c r="I901" s="140"/>
      <c r="J901" s="140"/>
      <c r="K901" s="140"/>
      <c r="L901" s="140"/>
      <c r="M901" s="140"/>
      <c r="N901" s="140"/>
      <c r="O901" s="140"/>
      <c r="P901" s="140"/>
      <c r="Q901" s="140"/>
      <c r="R901" s="140"/>
      <c r="S901" s="140"/>
      <c r="T901" s="140"/>
      <c r="U901" s="140"/>
      <c r="V901" s="140"/>
      <c r="W901" s="140"/>
      <c r="X901" s="140"/>
      <c r="Y901" s="140"/>
      <c r="Z901" s="140"/>
      <c r="AA901" s="140"/>
      <c r="AB901" s="140"/>
      <c r="AC901" s="140"/>
      <c r="AD901" s="140"/>
    </row>
    <row r="902" spans="1:30" ht="15.75" customHeight="1" x14ac:dyDescent="0.2">
      <c r="A902" s="140"/>
      <c r="B902" s="140"/>
      <c r="C902" s="140"/>
      <c r="D902" s="140"/>
      <c r="E902" s="140"/>
      <c r="F902" s="140"/>
      <c r="G902" s="140"/>
      <c r="H902" s="140"/>
      <c r="I902" s="140"/>
      <c r="J902" s="140"/>
      <c r="K902" s="140"/>
      <c r="L902" s="140"/>
      <c r="M902" s="140"/>
      <c r="N902" s="140"/>
      <c r="O902" s="140"/>
      <c r="P902" s="140"/>
      <c r="Q902" s="140"/>
      <c r="R902" s="140"/>
      <c r="S902" s="140"/>
      <c r="T902" s="140"/>
      <c r="U902" s="140"/>
      <c r="V902" s="140"/>
      <c r="W902" s="140"/>
      <c r="X902" s="140"/>
      <c r="Y902" s="140"/>
      <c r="Z902" s="140"/>
      <c r="AA902" s="140"/>
      <c r="AB902" s="140"/>
      <c r="AC902" s="140"/>
      <c r="AD902" s="140"/>
    </row>
    <row r="903" spans="1:30" ht="15.75" customHeight="1" x14ac:dyDescent="0.2">
      <c r="A903" s="140"/>
      <c r="B903" s="140"/>
      <c r="C903" s="140"/>
      <c r="D903" s="140"/>
      <c r="E903" s="140"/>
      <c r="F903" s="140"/>
      <c r="G903" s="140"/>
      <c r="H903" s="140"/>
      <c r="I903" s="140"/>
      <c r="J903" s="140"/>
      <c r="K903" s="140"/>
      <c r="L903" s="140"/>
      <c r="M903" s="140"/>
      <c r="N903" s="140"/>
      <c r="O903" s="140"/>
      <c r="P903" s="140"/>
      <c r="Q903" s="140"/>
      <c r="R903" s="140"/>
      <c r="S903" s="140"/>
      <c r="T903" s="140"/>
      <c r="U903" s="140"/>
      <c r="V903" s="140"/>
      <c r="W903" s="140"/>
      <c r="X903" s="140"/>
      <c r="Y903" s="140"/>
      <c r="Z903" s="140"/>
      <c r="AA903" s="140"/>
      <c r="AB903" s="140"/>
      <c r="AC903" s="140"/>
      <c r="AD903" s="140"/>
    </row>
    <row r="904" spans="1:30" ht="15.75" customHeight="1" x14ac:dyDescent="0.2">
      <c r="A904" s="140"/>
      <c r="B904" s="140"/>
      <c r="C904" s="140"/>
      <c r="D904" s="140"/>
      <c r="E904" s="140"/>
      <c r="F904" s="140"/>
      <c r="G904" s="140"/>
      <c r="H904" s="140"/>
      <c r="I904" s="140"/>
      <c r="J904" s="140"/>
      <c r="K904" s="140"/>
      <c r="L904" s="140"/>
      <c r="M904" s="140"/>
      <c r="N904" s="140"/>
      <c r="O904" s="140"/>
      <c r="P904" s="140"/>
      <c r="Q904" s="140"/>
      <c r="R904" s="140"/>
      <c r="S904" s="140"/>
      <c r="T904" s="140"/>
      <c r="U904" s="140"/>
      <c r="V904" s="140"/>
      <c r="W904" s="140"/>
      <c r="X904" s="140"/>
      <c r="Y904" s="140"/>
      <c r="Z904" s="140"/>
      <c r="AA904" s="140"/>
      <c r="AB904" s="140"/>
      <c r="AC904" s="140"/>
      <c r="AD904" s="140"/>
    </row>
    <row r="905" spans="1:30" ht="15.75" customHeight="1" x14ac:dyDescent="0.2">
      <c r="A905" s="140"/>
      <c r="B905" s="140"/>
      <c r="C905" s="140"/>
      <c r="D905" s="140"/>
      <c r="E905" s="140"/>
      <c r="F905" s="140"/>
      <c r="G905" s="140"/>
      <c r="H905" s="140"/>
      <c r="I905" s="140"/>
      <c r="J905" s="140"/>
      <c r="K905" s="140"/>
      <c r="L905" s="140"/>
      <c r="M905" s="140"/>
      <c r="N905" s="140"/>
      <c r="O905" s="140"/>
      <c r="P905" s="140"/>
      <c r="Q905" s="140"/>
      <c r="R905" s="140"/>
      <c r="S905" s="140"/>
      <c r="T905" s="140"/>
      <c r="U905" s="140"/>
      <c r="V905" s="140"/>
      <c r="W905" s="140"/>
      <c r="X905" s="140"/>
      <c r="Y905" s="140"/>
      <c r="Z905" s="140"/>
      <c r="AA905" s="140"/>
      <c r="AB905" s="140"/>
      <c r="AC905" s="140"/>
      <c r="AD905" s="140"/>
    </row>
    <row r="906" spans="1:30" ht="15.75" customHeight="1" x14ac:dyDescent="0.2">
      <c r="A906" s="140"/>
      <c r="B906" s="140"/>
      <c r="C906" s="140"/>
      <c r="D906" s="140"/>
      <c r="E906" s="140"/>
      <c r="F906" s="140"/>
      <c r="G906" s="140"/>
      <c r="H906" s="140"/>
      <c r="I906" s="140"/>
      <c r="J906" s="140"/>
      <c r="K906" s="140"/>
      <c r="L906" s="140"/>
      <c r="M906" s="140"/>
      <c r="N906" s="140"/>
      <c r="O906" s="140"/>
      <c r="P906" s="140"/>
      <c r="Q906" s="140"/>
      <c r="R906" s="140"/>
      <c r="S906" s="140"/>
      <c r="T906" s="140"/>
      <c r="U906" s="140"/>
      <c r="V906" s="140"/>
      <c r="W906" s="140"/>
      <c r="X906" s="140"/>
      <c r="Y906" s="140"/>
      <c r="Z906" s="140"/>
      <c r="AA906" s="140"/>
      <c r="AB906" s="140"/>
      <c r="AC906" s="140"/>
      <c r="AD906" s="140"/>
    </row>
    <row r="907" spans="1:30" ht="15.75" customHeight="1" x14ac:dyDescent="0.2">
      <c r="A907" s="140"/>
      <c r="B907" s="140"/>
      <c r="C907" s="140"/>
      <c r="D907" s="140"/>
      <c r="E907" s="140"/>
      <c r="F907" s="140"/>
      <c r="G907" s="140"/>
      <c r="H907" s="140"/>
      <c r="I907" s="140"/>
      <c r="J907" s="140"/>
      <c r="K907" s="140"/>
      <c r="L907" s="140"/>
      <c r="M907" s="140"/>
      <c r="N907" s="140"/>
      <c r="O907" s="140"/>
      <c r="P907" s="140"/>
      <c r="Q907" s="140"/>
      <c r="R907" s="140"/>
      <c r="S907" s="140"/>
      <c r="T907" s="140"/>
      <c r="U907" s="140"/>
      <c r="V907" s="140"/>
      <c r="W907" s="140"/>
      <c r="X907" s="140"/>
      <c r="Y907" s="140"/>
      <c r="Z907" s="140"/>
      <c r="AA907" s="140"/>
      <c r="AB907" s="140"/>
      <c r="AC907" s="140"/>
      <c r="AD907" s="140"/>
    </row>
    <row r="908" spans="1:30" ht="15.75" customHeight="1" x14ac:dyDescent="0.2">
      <c r="A908" s="140"/>
      <c r="B908" s="140"/>
      <c r="C908" s="140"/>
      <c r="D908" s="140"/>
      <c r="E908" s="140"/>
      <c r="F908" s="140"/>
      <c r="G908" s="140"/>
      <c r="H908" s="140"/>
      <c r="I908" s="140"/>
      <c r="J908" s="140"/>
      <c r="K908" s="140"/>
      <c r="L908" s="140"/>
      <c r="M908" s="140"/>
      <c r="N908" s="140"/>
      <c r="O908" s="140"/>
      <c r="P908" s="140"/>
      <c r="Q908" s="140"/>
      <c r="R908" s="140"/>
      <c r="S908" s="140"/>
      <c r="T908" s="140"/>
      <c r="U908" s="140"/>
      <c r="V908" s="140"/>
      <c r="W908" s="140"/>
      <c r="X908" s="140"/>
      <c r="Y908" s="140"/>
      <c r="Z908" s="140"/>
      <c r="AA908" s="140"/>
      <c r="AB908" s="140"/>
      <c r="AC908" s="140"/>
      <c r="AD908" s="140"/>
    </row>
    <row r="909" spans="1:30" ht="15.75" customHeight="1" x14ac:dyDescent="0.2">
      <c r="A909" s="140"/>
      <c r="B909" s="140"/>
      <c r="C909" s="140"/>
      <c r="D909" s="140"/>
      <c r="E909" s="140"/>
      <c r="F909" s="140"/>
      <c r="G909" s="140"/>
      <c r="H909" s="140"/>
      <c r="I909" s="140"/>
      <c r="J909" s="140"/>
      <c r="K909" s="140"/>
      <c r="L909" s="140"/>
      <c r="M909" s="140"/>
      <c r="N909" s="140"/>
      <c r="O909" s="140"/>
      <c r="P909" s="140"/>
      <c r="Q909" s="140"/>
      <c r="R909" s="140"/>
      <c r="S909" s="140"/>
      <c r="T909" s="140"/>
      <c r="U909" s="140"/>
      <c r="V909" s="140"/>
      <c r="W909" s="140"/>
      <c r="X909" s="140"/>
      <c r="Y909" s="140"/>
      <c r="Z909" s="140"/>
      <c r="AA909" s="140"/>
      <c r="AB909" s="140"/>
      <c r="AC909" s="140"/>
      <c r="AD909" s="140"/>
    </row>
    <row r="910" spans="1:30" ht="15.75" customHeight="1" x14ac:dyDescent="0.2">
      <c r="A910" s="140"/>
      <c r="B910" s="140"/>
      <c r="C910" s="140"/>
      <c r="D910" s="140"/>
      <c r="E910" s="140"/>
      <c r="F910" s="140"/>
      <c r="G910" s="140"/>
      <c r="H910" s="140"/>
      <c r="I910" s="140"/>
      <c r="J910" s="140"/>
      <c r="K910" s="140"/>
      <c r="L910" s="140"/>
      <c r="M910" s="140"/>
      <c r="N910" s="140"/>
      <c r="O910" s="140"/>
      <c r="P910" s="140"/>
      <c r="Q910" s="140"/>
      <c r="R910" s="140"/>
      <c r="S910" s="140"/>
      <c r="T910" s="140"/>
      <c r="U910" s="140"/>
      <c r="V910" s="140"/>
      <c r="W910" s="140"/>
      <c r="X910" s="140"/>
      <c r="Y910" s="140"/>
      <c r="Z910" s="140"/>
      <c r="AA910" s="140"/>
      <c r="AB910" s="140"/>
      <c r="AC910" s="140"/>
      <c r="AD910" s="140"/>
    </row>
    <row r="911" spans="1:30" ht="15.75" customHeight="1" x14ac:dyDescent="0.2">
      <c r="A911" s="140"/>
      <c r="B911" s="140"/>
      <c r="C911" s="140"/>
      <c r="D911" s="140"/>
      <c r="E911" s="140"/>
      <c r="F911" s="140"/>
      <c r="G911" s="140"/>
      <c r="H911" s="140"/>
      <c r="I911" s="140"/>
      <c r="J911" s="140"/>
      <c r="K911" s="140"/>
      <c r="L911" s="140"/>
      <c r="M911" s="140"/>
      <c r="N911" s="140"/>
      <c r="O911" s="140"/>
      <c r="P911" s="140"/>
      <c r="Q911" s="140"/>
      <c r="R911" s="140"/>
      <c r="S911" s="140"/>
      <c r="T911" s="140"/>
      <c r="U911" s="140"/>
      <c r="V911" s="140"/>
      <c r="W911" s="140"/>
      <c r="X911" s="140"/>
      <c r="Y911" s="140"/>
      <c r="Z911" s="140"/>
      <c r="AA911" s="140"/>
      <c r="AB911" s="140"/>
      <c r="AC911" s="140"/>
      <c r="AD911" s="140"/>
    </row>
    <row r="912" spans="1:30" ht="15.75" customHeight="1" x14ac:dyDescent="0.2">
      <c r="A912" s="140"/>
      <c r="B912" s="140"/>
      <c r="C912" s="140"/>
      <c r="D912" s="140"/>
      <c r="E912" s="140"/>
      <c r="F912" s="140"/>
      <c r="G912" s="140"/>
      <c r="H912" s="140"/>
      <c r="I912" s="140"/>
      <c r="J912" s="140"/>
      <c r="K912" s="140"/>
      <c r="L912" s="140"/>
      <c r="M912" s="140"/>
      <c r="N912" s="140"/>
      <c r="O912" s="140"/>
      <c r="P912" s="140"/>
      <c r="Q912" s="140"/>
      <c r="R912" s="140"/>
      <c r="S912" s="140"/>
      <c r="T912" s="140"/>
      <c r="U912" s="140"/>
      <c r="V912" s="140"/>
      <c r="W912" s="140"/>
      <c r="X912" s="140"/>
      <c r="Y912" s="140"/>
      <c r="Z912" s="140"/>
      <c r="AA912" s="140"/>
      <c r="AB912" s="140"/>
      <c r="AC912" s="140"/>
      <c r="AD912" s="140"/>
    </row>
    <row r="913" spans="1:30" ht="15.75" customHeight="1" x14ac:dyDescent="0.2">
      <c r="A913" s="140"/>
      <c r="B913" s="140"/>
      <c r="C913" s="140"/>
      <c r="D913" s="140"/>
      <c r="E913" s="140"/>
      <c r="F913" s="140"/>
      <c r="G913" s="140"/>
      <c r="H913" s="140"/>
      <c r="I913" s="140"/>
      <c r="J913" s="140"/>
      <c r="K913" s="140"/>
      <c r="L913" s="140"/>
      <c r="M913" s="140"/>
      <c r="N913" s="140"/>
      <c r="O913" s="140"/>
      <c r="P913" s="140"/>
      <c r="Q913" s="140"/>
      <c r="R913" s="140"/>
      <c r="S913" s="140"/>
      <c r="T913" s="140"/>
      <c r="U913" s="140"/>
      <c r="V913" s="140"/>
      <c r="W913" s="140"/>
      <c r="X913" s="140"/>
      <c r="Y913" s="140"/>
      <c r="Z913" s="140"/>
      <c r="AA913" s="140"/>
      <c r="AB913" s="140"/>
      <c r="AC913" s="140"/>
      <c r="AD913" s="140"/>
    </row>
    <row r="914" spans="1:30" ht="15.75" customHeight="1" x14ac:dyDescent="0.2">
      <c r="A914" s="140"/>
      <c r="B914" s="140"/>
      <c r="C914" s="140"/>
      <c r="D914" s="140"/>
      <c r="E914" s="140"/>
      <c r="F914" s="140"/>
      <c r="G914" s="140"/>
      <c r="H914" s="140"/>
      <c r="I914" s="140"/>
      <c r="J914" s="140"/>
      <c r="K914" s="140"/>
      <c r="L914" s="140"/>
      <c r="M914" s="140"/>
      <c r="N914" s="140"/>
      <c r="O914" s="140"/>
      <c r="P914" s="140"/>
      <c r="Q914" s="140"/>
      <c r="R914" s="140"/>
      <c r="S914" s="140"/>
      <c r="T914" s="140"/>
      <c r="U914" s="140"/>
      <c r="V914" s="140"/>
      <c r="W914" s="140"/>
      <c r="X914" s="140"/>
      <c r="Y914" s="140"/>
      <c r="Z914" s="140"/>
      <c r="AA914" s="140"/>
      <c r="AB914" s="140"/>
      <c r="AC914" s="140"/>
      <c r="AD914" s="140"/>
    </row>
    <row r="915" spans="1:30" ht="15.75" customHeight="1" x14ac:dyDescent="0.2">
      <c r="A915" s="140"/>
      <c r="B915" s="140"/>
      <c r="C915" s="140"/>
      <c r="D915" s="140"/>
      <c r="E915" s="140"/>
      <c r="F915" s="140"/>
      <c r="G915" s="140"/>
      <c r="H915" s="140"/>
      <c r="I915" s="140"/>
      <c r="J915" s="140"/>
      <c r="K915" s="140"/>
      <c r="L915" s="140"/>
      <c r="M915" s="140"/>
      <c r="N915" s="140"/>
      <c r="O915" s="140"/>
      <c r="P915" s="140"/>
      <c r="Q915" s="140"/>
      <c r="R915" s="140"/>
      <c r="S915" s="140"/>
      <c r="T915" s="140"/>
      <c r="U915" s="140"/>
      <c r="V915" s="140"/>
      <c r="W915" s="140"/>
      <c r="X915" s="140"/>
      <c r="Y915" s="140"/>
      <c r="Z915" s="140"/>
      <c r="AA915" s="140"/>
      <c r="AB915" s="140"/>
      <c r="AC915" s="140"/>
      <c r="AD915" s="140"/>
    </row>
    <row r="916" spans="1:30" ht="15.75" customHeight="1" x14ac:dyDescent="0.2">
      <c r="A916" s="140"/>
      <c r="B916" s="140"/>
      <c r="C916" s="140"/>
      <c r="D916" s="140"/>
      <c r="E916" s="140"/>
      <c r="F916" s="140"/>
      <c r="G916" s="140"/>
      <c r="H916" s="140"/>
      <c r="I916" s="140"/>
      <c r="J916" s="140"/>
      <c r="K916" s="140"/>
      <c r="L916" s="140"/>
      <c r="M916" s="140"/>
      <c r="N916" s="140"/>
      <c r="O916" s="140"/>
      <c r="P916" s="140"/>
      <c r="Q916" s="140"/>
      <c r="R916" s="140"/>
      <c r="S916" s="140"/>
      <c r="T916" s="140"/>
      <c r="U916" s="140"/>
      <c r="V916" s="140"/>
      <c r="W916" s="140"/>
      <c r="X916" s="140"/>
      <c r="Y916" s="140"/>
      <c r="Z916" s="140"/>
      <c r="AA916" s="140"/>
      <c r="AB916" s="140"/>
      <c r="AC916" s="140"/>
      <c r="AD916" s="140"/>
    </row>
    <row r="917" spans="1:30" ht="15.75" customHeight="1" x14ac:dyDescent="0.2">
      <c r="A917" s="140"/>
      <c r="B917" s="140"/>
      <c r="C917" s="140"/>
      <c r="D917" s="140"/>
      <c r="E917" s="140"/>
      <c r="F917" s="140"/>
      <c r="G917" s="140"/>
      <c r="H917" s="140"/>
      <c r="I917" s="140"/>
      <c r="J917" s="140"/>
      <c r="K917" s="140"/>
      <c r="L917" s="140"/>
      <c r="M917" s="140"/>
      <c r="N917" s="140"/>
      <c r="O917" s="140"/>
      <c r="P917" s="140"/>
      <c r="Q917" s="140"/>
      <c r="R917" s="140"/>
      <c r="S917" s="140"/>
      <c r="T917" s="140"/>
      <c r="U917" s="140"/>
      <c r="V917" s="140"/>
      <c r="W917" s="140"/>
      <c r="X917" s="140"/>
      <c r="Y917" s="140"/>
      <c r="Z917" s="140"/>
      <c r="AA917" s="140"/>
      <c r="AB917" s="140"/>
      <c r="AC917" s="140"/>
      <c r="AD917" s="140"/>
    </row>
    <row r="918" spans="1:30" ht="15.75" customHeight="1" x14ac:dyDescent="0.2">
      <c r="A918" s="140"/>
      <c r="B918" s="140"/>
      <c r="C918" s="140"/>
      <c r="D918" s="140"/>
      <c r="E918" s="140"/>
      <c r="F918" s="140"/>
      <c r="G918" s="140"/>
      <c r="H918" s="140"/>
      <c r="I918" s="140"/>
      <c r="J918" s="140"/>
      <c r="K918" s="140"/>
      <c r="L918" s="140"/>
      <c r="M918" s="140"/>
      <c r="N918" s="140"/>
      <c r="O918" s="140"/>
      <c r="P918" s="140"/>
      <c r="Q918" s="140"/>
      <c r="R918" s="140"/>
      <c r="S918" s="140"/>
      <c r="T918" s="140"/>
      <c r="U918" s="140"/>
      <c r="V918" s="140"/>
      <c r="W918" s="140"/>
      <c r="X918" s="140"/>
      <c r="Y918" s="140"/>
      <c r="Z918" s="140"/>
      <c r="AA918" s="140"/>
      <c r="AB918" s="140"/>
      <c r="AC918" s="140"/>
      <c r="AD918" s="140"/>
    </row>
    <row r="919" spans="1:30" ht="15.75" customHeight="1" x14ac:dyDescent="0.2">
      <c r="A919" s="140"/>
      <c r="B919" s="140"/>
      <c r="C919" s="140"/>
      <c r="D919" s="140"/>
      <c r="E919" s="140"/>
      <c r="F919" s="140"/>
      <c r="G919" s="140"/>
      <c r="H919" s="140"/>
      <c r="I919" s="140"/>
      <c r="J919" s="140"/>
      <c r="K919" s="140"/>
      <c r="L919" s="140"/>
      <c r="M919" s="140"/>
      <c r="N919" s="140"/>
      <c r="O919" s="140"/>
      <c r="P919" s="140"/>
      <c r="Q919" s="140"/>
      <c r="R919" s="140"/>
      <c r="S919" s="140"/>
      <c r="T919" s="140"/>
      <c r="U919" s="140"/>
      <c r="V919" s="140"/>
      <c r="W919" s="140"/>
      <c r="X919" s="140"/>
      <c r="Y919" s="140"/>
      <c r="Z919" s="140"/>
      <c r="AA919" s="140"/>
      <c r="AB919" s="140"/>
      <c r="AC919" s="140"/>
      <c r="AD919" s="140"/>
    </row>
    <row r="920" spans="1:30" ht="15.75" customHeight="1" x14ac:dyDescent="0.2">
      <c r="A920" s="140"/>
      <c r="B920" s="140"/>
      <c r="C920" s="140"/>
      <c r="D920" s="140"/>
      <c r="E920" s="140"/>
      <c r="F920" s="140"/>
      <c r="G920" s="140"/>
      <c r="H920" s="140"/>
      <c r="I920" s="140"/>
      <c r="J920" s="140"/>
      <c r="K920" s="140"/>
      <c r="L920" s="140"/>
      <c r="M920" s="140"/>
      <c r="N920" s="140"/>
      <c r="O920" s="140"/>
      <c r="P920" s="140"/>
      <c r="Q920" s="140"/>
      <c r="R920" s="140"/>
      <c r="S920" s="140"/>
      <c r="T920" s="140"/>
      <c r="U920" s="140"/>
      <c r="V920" s="140"/>
      <c r="W920" s="140"/>
      <c r="X920" s="140"/>
      <c r="Y920" s="140"/>
      <c r="Z920" s="140"/>
      <c r="AA920" s="140"/>
      <c r="AB920" s="140"/>
      <c r="AC920" s="140"/>
      <c r="AD920" s="140"/>
    </row>
    <row r="921" spans="1:30" ht="15.75" customHeight="1" x14ac:dyDescent="0.2">
      <c r="A921" s="140"/>
      <c r="B921" s="140"/>
      <c r="C921" s="140"/>
      <c r="D921" s="140"/>
      <c r="E921" s="140"/>
      <c r="F921" s="140"/>
      <c r="G921" s="140"/>
      <c r="H921" s="140"/>
      <c r="I921" s="140"/>
      <c r="J921" s="140"/>
      <c r="K921" s="140"/>
      <c r="L921" s="140"/>
      <c r="M921" s="140"/>
      <c r="N921" s="140"/>
      <c r="O921" s="140"/>
      <c r="P921" s="140"/>
      <c r="Q921" s="140"/>
      <c r="R921" s="140"/>
      <c r="S921" s="140"/>
      <c r="T921" s="140"/>
      <c r="U921" s="140"/>
      <c r="V921" s="140"/>
      <c r="W921" s="140"/>
      <c r="X921" s="140"/>
      <c r="Y921" s="140"/>
      <c r="Z921" s="140"/>
      <c r="AA921" s="140"/>
      <c r="AB921" s="140"/>
      <c r="AC921" s="140"/>
      <c r="AD921" s="140"/>
    </row>
    <row r="922" spans="1:30" ht="15.75" customHeight="1" x14ac:dyDescent="0.2">
      <c r="A922" s="140"/>
      <c r="B922" s="140"/>
      <c r="C922" s="140"/>
      <c r="D922" s="140"/>
      <c r="E922" s="140"/>
      <c r="F922" s="140"/>
      <c r="G922" s="140"/>
      <c r="H922" s="140"/>
      <c r="I922" s="140"/>
      <c r="J922" s="140"/>
      <c r="K922" s="140"/>
      <c r="L922" s="140"/>
      <c r="M922" s="140"/>
      <c r="N922" s="140"/>
      <c r="O922" s="140"/>
      <c r="P922" s="140"/>
      <c r="Q922" s="140"/>
      <c r="R922" s="140"/>
      <c r="S922" s="140"/>
      <c r="T922" s="140"/>
      <c r="U922" s="140"/>
      <c r="V922" s="140"/>
      <c r="W922" s="140"/>
      <c r="X922" s="140"/>
      <c r="Y922" s="140"/>
      <c r="Z922" s="140"/>
      <c r="AA922" s="140"/>
      <c r="AB922" s="140"/>
      <c r="AC922" s="140"/>
      <c r="AD922" s="140"/>
    </row>
    <row r="923" spans="1:30" ht="15.75" customHeight="1" x14ac:dyDescent="0.2">
      <c r="A923" s="140"/>
      <c r="B923" s="140"/>
      <c r="C923" s="140"/>
      <c r="D923" s="140"/>
      <c r="E923" s="140"/>
      <c r="F923" s="140"/>
      <c r="G923" s="140"/>
      <c r="H923" s="140"/>
      <c r="I923" s="140"/>
      <c r="J923" s="140"/>
      <c r="K923" s="140"/>
      <c r="L923" s="140"/>
      <c r="M923" s="140"/>
      <c r="N923" s="140"/>
      <c r="O923" s="140"/>
      <c r="P923" s="140"/>
      <c r="Q923" s="140"/>
      <c r="R923" s="140"/>
      <c r="S923" s="140"/>
      <c r="T923" s="140"/>
      <c r="U923" s="140"/>
      <c r="V923" s="140"/>
      <c r="W923" s="140"/>
      <c r="X923" s="140"/>
      <c r="Y923" s="140"/>
      <c r="Z923" s="140"/>
      <c r="AA923" s="140"/>
      <c r="AB923" s="140"/>
      <c r="AC923" s="140"/>
      <c r="AD923" s="140"/>
    </row>
    <row r="924" spans="1:30" ht="15.75" customHeight="1" x14ac:dyDescent="0.2">
      <c r="A924" s="140"/>
      <c r="B924" s="140"/>
      <c r="C924" s="140"/>
      <c r="D924" s="140"/>
      <c r="E924" s="140"/>
      <c r="F924" s="140"/>
      <c r="G924" s="140"/>
      <c r="H924" s="140"/>
      <c r="I924" s="140"/>
      <c r="J924" s="140"/>
      <c r="K924" s="140"/>
      <c r="L924" s="140"/>
      <c r="M924" s="140"/>
      <c r="N924" s="140"/>
      <c r="O924" s="140"/>
      <c r="P924" s="140"/>
      <c r="Q924" s="140"/>
      <c r="R924" s="140"/>
      <c r="S924" s="140"/>
      <c r="T924" s="140"/>
      <c r="U924" s="140"/>
      <c r="V924" s="140"/>
      <c r="W924" s="140"/>
      <c r="X924" s="140"/>
      <c r="Y924" s="140"/>
      <c r="Z924" s="140"/>
      <c r="AA924" s="140"/>
      <c r="AB924" s="140"/>
      <c r="AC924" s="140"/>
      <c r="AD924" s="140"/>
    </row>
    <row r="925" spans="1:30" ht="15.75" customHeight="1" x14ac:dyDescent="0.2">
      <c r="A925" s="140"/>
      <c r="B925" s="140"/>
      <c r="C925" s="140"/>
      <c r="D925" s="140"/>
      <c r="E925" s="140"/>
      <c r="F925" s="140"/>
      <c r="G925" s="140"/>
      <c r="H925" s="140"/>
      <c r="I925" s="140"/>
      <c r="J925" s="140"/>
      <c r="K925" s="140"/>
      <c r="L925" s="140"/>
      <c r="M925" s="140"/>
      <c r="N925" s="140"/>
      <c r="O925" s="140"/>
      <c r="P925" s="140"/>
      <c r="Q925" s="140"/>
      <c r="R925" s="140"/>
      <c r="S925" s="140"/>
      <c r="T925" s="140"/>
      <c r="U925" s="140"/>
      <c r="V925" s="140"/>
      <c r="W925" s="140"/>
      <c r="X925" s="140"/>
      <c r="Y925" s="140"/>
      <c r="Z925" s="140"/>
      <c r="AA925" s="140"/>
      <c r="AB925" s="140"/>
      <c r="AC925" s="140"/>
      <c r="AD925" s="140"/>
    </row>
    <row r="926" spans="1:30" ht="15.75" customHeight="1" x14ac:dyDescent="0.2">
      <c r="A926" s="140"/>
      <c r="B926" s="140"/>
      <c r="C926" s="140"/>
      <c r="D926" s="140"/>
      <c r="E926" s="140"/>
      <c r="F926" s="140"/>
      <c r="G926" s="140"/>
      <c r="H926" s="140"/>
      <c r="I926" s="140"/>
      <c r="J926" s="140"/>
      <c r="K926" s="140"/>
      <c r="L926" s="140"/>
      <c r="M926" s="140"/>
      <c r="N926" s="140"/>
      <c r="O926" s="140"/>
      <c r="P926" s="140"/>
      <c r="Q926" s="140"/>
      <c r="R926" s="140"/>
      <c r="S926" s="140"/>
      <c r="T926" s="140"/>
      <c r="U926" s="140"/>
      <c r="V926" s="140"/>
      <c r="W926" s="140"/>
      <c r="X926" s="140"/>
      <c r="Y926" s="140"/>
      <c r="Z926" s="140"/>
      <c r="AA926" s="140"/>
      <c r="AB926" s="140"/>
      <c r="AC926" s="140"/>
      <c r="AD926" s="140"/>
    </row>
    <row r="927" spans="1:30" ht="15.75" customHeight="1" x14ac:dyDescent="0.2">
      <c r="A927" s="140"/>
      <c r="B927" s="140"/>
      <c r="C927" s="140"/>
      <c r="D927" s="140"/>
      <c r="E927" s="140"/>
      <c r="F927" s="140"/>
      <c r="G927" s="140"/>
      <c r="H927" s="140"/>
      <c r="I927" s="140"/>
      <c r="J927" s="140"/>
      <c r="K927" s="140"/>
      <c r="L927" s="140"/>
      <c r="M927" s="140"/>
      <c r="N927" s="140"/>
      <c r="O927" s="140"/>
      <c r="P927" s="140"/>
      <c r="Q927" s="140"/>
      <c r="R927" s="140"/>
      <c r="S927" s="140"/>
      <c r="T927" s="140"/>
      <c r="U927" s="140"/>
      <c r="V927" s="140"/>
      <c r="W927" s="140"/>
      <c r="X927" s="140"/>
      <c r="Y927" s="140"/>
      <c r="Z927" s="140"/>
      <c r="AA927" s="140"/>
      <c r="AB927" s="140"/>
      <c r="AC927" s="140"/>
      <c r="AD927" s="140"/>
    </row>
    <row r="928" spans="1:30" ht="15.75" customHeight="1" x14ac:dyDescent="0.2">
      <c r="A928" s="140"/>
      <c r="B928" s="140"/>
      <c r="C928" s="140"/>
      <c r="D928" s="140"/>
      <c r="E928" s="140"/>
      <c r="F928" s="140"/>
      <c r="G928" s="140"/>
      <c r="H928" s="140"/>
      <c r="I928" s="140"/>
      <c r="J928" s="140"/>
      <c r="K928" s="140"/>
      <c r="L928" s="140"/>
      <c r="M928" s="140"/>
      <c r="N928" s="140"/>
      <c r="O928" s="140"/>
      <c r="P928" s="140"/>
      <c r="Q928" s="140"/>
      <c r="R928" s="140"/>
      <c r="S928" s="140"/>
      <c r="T928" s="140"/>
      <c r="U928" s="140"/>
      <c r="V928" s="140"/>
      <c r="W928" s="140"/>
      <c r="X928" s="140"/>
      <c r="Y928" s="140"/>
      <c r="Z928" s="140"/>
      <c r="AA928" s="140"/>
      <c r="AB928" s="140"/>
      <c r="AC928" s="140"/>
      <c r="AD928" s="140"/>
    </row>
    <row r="929" spans="1:30" ht="15.75" customHeight="1" x14ac:dyDescent="0.2">
      <c r="A929" s="140"/>
      <c r="B929" s="140"/>
      <c r="C929" s="140"/>
      <c r="D929" s="140"/>
      <c r="E929" s="140"/>
      <c r="F929" s="140"/>
      <c r="G929" s="140"/>
      <c r="H929" s="140"/>
      <c r="I929" s="140"/>
      <c r="J929" s="140"/>
      <c r="K929" s="140"/>
      <c r="L929" s="140"/>
      <c r="M929" s="140"/>
      <c r="N929" s="140"/>
      <c r="O929" s="140"/>
      <c r="P929" s="140"/>
      <c r="Q929" s="140"/>
      <c r="R929" s="140"/>
      <c r="S929" s="140"/>
      <c r="T929" s="140"/>
      <c r="U929" s="140"/>
      <c r="V929" s="140"/>
      <c r="W929" s="140"/>
      <c r="X929" s="140"/>
      <c r="Y929" s="140"/>
      <c r="Z929" s="140"/>
      <c r="AA929" s="140"/>
      <c r="AB929" s="140"/>
      <c r="AC929" s="140"/>
      <c r="AD929" s="140"/>
    </row>
    <row r="930" spans="1:30" ht="15.75" customHeight="1" x14ac:dyDescent="0.2">
      <c r="A930" s="140"/>
      <c r="B930" s="140"/>
      <c r="C930" s="140"/>
      <c r="D930" s="140"/>
      <c r="E930" s="140"/>
      <c r="F930" s="140"/>
      <c r="G930" s="140"/>
      <c r="H930" s="140"/>
      <c r="I930" s="140"/>
      <c r="J930" s="140"/>
      <c r="K930" s="140"/>
      <c r="L930" s="140"/>
      <c r="M930" s="140"/>
      <c r="N930" s="140"/>
      <c r="O930" s="140"/>
      <c r="P930" s="140"/>
      <c r="Q930" s="140"/>
      <c r="R930" s="140"/>
      <c r="S930" s="140"/>
      <c r="T930" s="140"/>
      <c r="U930" s="140"/>
      <c r="V930" s="140"/>
      <c r="W930" s="140"/>
      <c r="X930" s="140"/>
      <c r="Y930" s="140"/>
      <c r="Z930" s="140"/>
      <c r="AA930" s="140"/>
      <c r="AB930" s="140"/>
      <c r="AC930" s="140"/>
      <c r="AD930" s="140"/>
    </row>
    <row r="931" spans="1:30" ht="15.75" customHeight="1" x14ac:dyDescent="0.2">
      <c r="A931" s="140"/>
      <c r="B931" s="140"/>
      <c r="C931" s="140"/>
      <c r="D931" s="140"/>
      <c r="E931" s="140"/>
      <c r="F931" s="140"/>
      <c r="G931" s="140"/>
      <c r="H931" s="140"/>
      <c r="I931" s="140"/>
      <c r="J931" s="140"/>
      <c r="K931" s="140"/>
      <c r="L931" s="140"/>
      <c r="M931" s="140"/>
      <c r="N931" s="140"/>
      <c r="O931" s="140"/>
      <c r="P931" s="140"/>
      <c r="Q931" s="140"/>
      <c r="R931" s="140"/>
      <c r="S931" s="140"/>
      <c r="T931" s="140"/>
      <c r="U931" s="140"/>
      <c r="V931" s="140"/>
      <c r="W931" s="140"/>
      <c r="X931" s="140"/>
      <c r="Y931" s="140"/>
      <c r="Z931" s="140"/>
      <c r="AA931" s="140"/>
      <c r="AB931" s="140"/>
      <c r="AC931" s="140"/>
      <c r="AD931" s="140"/>
    </row>
    <row r="932" spans="1:30" ht="15.75" customHeight="1" x14ac:dyDescent="0.2">
      <c r="A932" s="140"/>
      <c r="B932" s="140"/>
      <c r="C932" s="140"/>
      <c r="D932" s="140"/>
      <c r="E932" s="140"/>
      <c r="F932" s="140"/>
      <c r="G932" s="140"/>
      <c r="H932" s="140"/>
      <c r="I932" s="140"/>
      <c r="J932" s="140"/>
      <c r="K932" s="140"/>
      <c r="L932" s="140"/>
      <c r="M932" s="140"/>
      <c r="N932" s="140"/>
      <c r="O932" s="140"/>
      <c r="P932" s="140"/>
      <c r="Q932" s="140"/>
      <c r="R932" s="140"/>
      <c r="S932" s="140"/>
      <c r="T932" s="140"/>
      <c r="U932" s="140"/>
      <c r="V932" s="140"/>
      <c r="W932" s="140"/>
      <c r="X932" s="140"/>
      <c r="Y932" s="140"/>
      <c r="Z932" s="140"/>
      <c r="AA932" s="140"/>
      <c r="AB932" s="140"/>
      <c r="AC932" s="140"/>
      <c r="AD932" s="140"/>
    </row>
    <row r="933" spans="1:30" ht="15.75" customHeight="1" x14ac:dyDescent="0.2">
      <c r="A933" s="140"/>
      <c r="B933" s="140"/>
      <c r="C933" s="140"/>
      <c r="D933" s="140"/>
      <c r="E933" s="140"/>
      <c r="F933" s="140"/>
      <c r="G933" s="140"/>
      <c r="H933" s="140"/>
      <c r="I933" s="140"/>
      <c r="J933" s="140"/>
      <c r="K933" s="140"/>
      <c r="L933" s="140"/>
      <c r="M933" s="140"/>
      <c r="N933" s="140"/>
      <c r="O933" s="140"/>
      <c r="P933" s="140"/>
      <c r="Q933" s="140"/>
      <c r="R933" s="140"/>
      <c r="S933" s="140"/>
      <c r="T933" s="140"/>
      <c r="U933" s="140"/>
      <c r="V933" s="140"/>
      <c r="W933" s="140"/>
      <c r="X933" s="140"/>
      <c r="Y933" s="140"/>
      <c r="Z933" s="140"/>
      <c r="AA933" s="140"/>
      <c r="AB933" s="140"/>
      <c r="AC933" s="140"/>
      <c r="AD933" s="140"/>
    </row>
    <row r="934" spans="1:30" ht="15.75" customHeight="1" x14ac:dyDescent="0.2">
      <c r="A934" s="140"/>
      <c r="B934" s="140"/>
      <c r="C934" s="140"/>
      <c r="D934" s="140"/>
      <c r="E934" s="140"/>
      <c r="F934" s="140"/>
      <c r="G934" s="140"/>
      <c r="H934" s="140"/>
      <c r="I934" s="140"/>
      <c r="J934" s="140"/>
      <c r="K934" s="140"/>
      <c r="L934" s="140"/>
      <c r="M934" s="140"/>
      <c r="N934" s="140"/>
      <c r="O934" s="140"/>
      <c r="P934" s="140"/>
      <c r="Q934" s="140"/>
      <c r="R934" s="140"/>
      <c r="S934" s="140"/>
      <c r="T934" s="140"/>
      <c r="U934" s="140"/>
      <c r="V934" s="140"/>
      <c r="W934" s="140"/>
      <c r="X934" s="140"/>
      <c r="Y934" s="140"/>
      <c r="Z934" s="140"/>
      <c r="AA934" s="140"/>
      <c r="AB934" s="140"/>
      <c r="AC934" s="140"/>
      <c r="AD934" s="140"/>
    </row>
    <row r="935" spans="1:30" ht="15.75" customHeight="1" x14ac:dyDescent="0.2">
      <c r="A935" s="140"/>
      <c r="B935" s="140"/>
      <c r="C935" s="140"/>
      <c r="D935" s="140"/>
      <c r="E935" s="140"/>
      <c r="F935" s="140"/>
      <c r="G935" s="140"/>
      <c r="H935" s="140"/>
      <c r="I935" s="140"/>
      <c r="J935" s="140"/>
      <c r="K935" s="140"/>
      <c r="L935" s="140"/>
      <c r="M935" s="140"/>
      <c r="N935" s="140"/>
      <c r="O935" s="140"/>
      <c r="P935" s="140"/>
      <c r="Q935" s="140"/>
      <c r="R935" s="140"/>
      <c r="S935" s="140"/>
      <c r="T935" s="140"/>
      <c r="U935" s="140"/>
      <c r="V935" s="140"/>
      <c r="W935" s="140"/>
      <c r="X935" s="140"/>
      <c r="Y935" s="140"/>
      <c r="Z935" s="140"/>
      <c r="AA935" s="140"/>
      <c r="AB935" s="140"/>
      <c r="AC935" s="140"/>
      <c r="AD935" s="140"/>
    </row>
    <row r="936" spans="1:30" ht="15.75" customHeight="1" x14ac:dyDescent="0.2">
      <c r="A936" s="140"/>
      <c r="B936" s="140"/>
      <c r="C936" s="140"/>
      <c r="D936" s="140"/>
      <c r="E936" s="140"/>
      <c r="F936" s="140"/>
      <c r="G936" s="140"/>
      <c r="H936" s="140"/>
      <c r="I936" s="140"/>
      <c r="J936" s="140"/>
      <c r="K936" s="140"/>
      <c r="L936" s="140"/>
      <c r="M936" s="140"/>
      <c r="N936" s="140"/>
      <c r="O936" s="140"/>
      <c r="P936" s="140"/>
      <c r="Q936" s="140"/>
      <c r="R936" s="140"/>
      <c r="S936" s="140"/>
      <c r="T936" s="140"/>
      <c r="U936" s="140"/>
      <c r="V936" s="140"/>
      <c r="W936" s="140"/>
      <c r="X936" s="140"/>
      <c r="Y936" s="140"/>
      <c r="Z936" s="140"/>
      <c r="AA936" s="140"/>
      <c r="AB936" s="140"/>
      <c r="AC936" s="140"/>
      <c r="AD936" s="140"/>
    </row>
    <row r="937" spans="1:30" ht="15.75" customHeight="1" x14ac:dyDescent="0.2">
      <c r="A937" s="140"/>
      <c r="B937" s="140"/>
      <c r="C937" s="140"/>
      <c r="D937" s="140"/>
      <c r="E937" s="140"/>
      <c r="F937" s="140"/>
      <c r="G937" s="140"/>
      <c r="H937" s="140"/>
      <c r="I937" s="140"/>
      <c r="J937" s="140"/>
      <c r="K937" s="140"/>
      <c r="L937" s="140"/>
      <c r="M937" s="140"/>
      <c r="N937" s="140"/>
      <c r="O937" s="140"/>
      <c r="P937" s="140"/>
      <c r="Q937" s="140"/>
      <c r="R937" s="140"/>
      <c r="S937" s="140"/>
      <c r="T937" s="140"/>
      <c r="U937" s="140"/>
      <c r="V937" s="140"/>
      <c r="W937" s="140"/>
      <c r="X937" s="140"/>
      <c r="Y937" s="140"/>
      <c r="Z937" s="140"/>
      <c r="AA937" s="140"/>
      <c r="AB937" s="140"/>
      <c r="AC937" s="140"/>
      <c r="AD937" s="140"/>
    </row>
    <row r="938" spans="1:30" ht="15.75" customHeight="1" x14ac:dyDescent="0.2">
      <c r="A938" s="140"/>
      <c r="B938" s="140"/>
      <c r="C938" s="140"/>
      <c r="D938" s="140"/>
      <c r="E938" s="140"/>
      <c r="F938" s="140"/>
      <c r="G938" s="140"/>
      <c r="H938" s="140"/>
      <c r="I938" s="140"/>
      <c r="J938" s="140"/>
      <c r="K938" s="140"/>
      <c r="L938" s="140"/>
      <c r="M938" s="140"/>
      <c r="N938" s="140"/>
      <c r="O938" s="140"/>
      <c r="P938" s="140"/>
      <c r="Q938" s="140"/>
      <c r="R938" s="140"/>
      <c r="S938" s="140"/>
      <c r="T938" s="140"/>
      <c r="U938" s="140"/>
      <c r="V938" s="140"/>
      <c r="W938" s="140"/>
      <c r="X938" s="140"/>
      <c r="Y938" s="140"/>
      <c r="Z938" s="140"/>
      <c r="AA938" s="140"/>
      <c r="AB938" s="140"/>
      <c r="AC938" s="140"/>
      <c r="AD938" s="140"/>
    </row>
    <row r="939" spans="1:30" ht="15.75" customHeight="1" x14ac:dyDescent="0.2">
      <c r="A939" s="140"/>
      <c r="B939" s="140"/>
      <c r="C939" s="140"/>
      <c r="D939" s="140"/>
      <c r="E939" s="140"/>
      <c r="F939" s="140"/>
      <c r="G939" s="140"/>
      <c r="H939" s="140"/>
      <c r="I939" s="140"/>
      <c r="J939" s="140"/>
      <c r="K939" s="140"/>
      <c r="L939" s="140"/>
      <c r="M939" s="140"/>
      <c r="N939" s="140"/>
      <c r="O939" s="140"/>
      <c r="P939" s="140"/>
      <c r="Q939" s="140"/>
      <c r="R939" s="140"/>
      <c r="S939" s="140"/>
      <c r="T939" s="140"/>
      <c r="U939" s="140"/>
      <c r="V939" s="140"/>
      <c r="W939" s="140"/>
      <c r="X939" s="140"/>
      <c r="Y939" s="140"/>
      <c r="Z939" s="140"/>
      <c r="AA939" s="140"/>
      <c r="AB939" s="140"/>
      <c r="AC939" s="140"/>
      <c r="AD939" s="140"/>
    </row>
    <row r="940" spans="1:30" ht="15.75" customHeight="1" x14ac:dyDescent="0.2">
      <c r="A940" s="140"/>
      <c r="B940" s="140"/>
      <c r="C940" s="140"/>
      <c r="D940" s="140"/>
      <c r="E940" s="140"/>
      <c r="F940" s="140"/>
      <c r="G940" s="140"/>
      <c r="H940" s="140"/>
      <c r="I940" s="140"/>
      <c r="J940" s="140"/>
      <c r="K940" s="140"/>
      <c r="L940" s="140"/>
      <c r="M940" s="140"/>
      <c r="N940" s="140"/>
      <c r="O940" s="140"/>
      <c r="P940" s="140"/>
      <c r="Q940" s="140"/>
      <c r="R940" s="140"/>
      <c r="S940" s="140"/>
      <c r="T940" s="140"/>
      <c r="U940" s="140"/>
      <c r="V940" s="140"/>
      <c r="W940" s="140"/>
      <c r="X940" s="140"/>
      <c r="Y940" s="140"/>
      <c r="Z940" s="140"/>
      <c r="AA940" s="140"/>
      <c r="AB940" s="140"/>
      <c r="AC940" s="140"/>
      <c r="AD940" s="140"/>
    </row>
    <row r="941" spans="1:30" ht="15.75" customHeight="1" x14ac:dyDescent="0.2">
      <c r="A941" s="140"/>
      <c r="B941" s="140"/>
      <c r="C941" s="140"/>
      <c r="D941" s="140"/>
      <c r="E941" s="140"/>
      <c r="F941" s="140"/>
      <c r="G941" s="140"/>
      <c r="H941" s="140"/>
      <c r="I941" s="140"/>
      <c r="J941" s="140"/>
      <c r="K941" s="140"/>
      <c r="L941" s="140"/>
      <c r="M941" s="140"/>
      <c r="N941" s="140"/>
      <c r="O941" s="140"/>
      <c r="P941" s="140"/>
      <c r="Q941" s="140"/>
      <c r="R941" s="140"/>
      <c r="S941" s="140"/>
      <c r="T941" s="140"/>
      <c r="U941" s="140"/>
      <c r="V941" s="140"/>
      <c r="W941" s="140"/>
      <c r="X941" s="140"/>
      <c r="Y941" s="140"/>
      <c r="Z941" s="140"/>
      <c r="AA941" s="140"/>
      <c r="AB941" s="140"/>
      <c r="AC941" s="140"/>
      <c r="AD941" s="140"/>
    </row>
    <row r="942" spans="1:30" ht="15.75" customHeight="1" x14ac:dyDescent="0.2">
      <c r="A942" s="140"/>
      <c r="B942" s="140"/>
      <c r="C942" s="140"/>
      <c r="D942" s="140"/>
      <c r="E942" s="140"/>
      <c r="F942" s="140"/>
      <c r="G942" s="140"/>
      <c r="H942" s="140"/>
      <c r="I942" s="140"/>
      <c r="J942" s="140"/>
      <c r="K942" s="140"/>
      <c r="L942" s="140"/>
      <c r="M942" s="140"/>
      <c r="N942" s="140"/>
      <c r="O942" s="140"/>
      <c r="P942" s="140"/>
      <c r="Q942" s="140"/>
      <c r="R942" s="140"/>
      <c r="S942" s="140"/>
      <c r="T942" s="140"/>
      <c r="U942" s="140"/>
      <c r="V942" s="140"/>
      <c r="W942" s="140"/>
      <c r="X942" s="140"/>
      <c r="Y942" s="140"/>
      <c r="Z942" s="140"/>
      <c r="AA942" s="140"/>
      <c r="AB942" s="140"/>
      <c r="AC942" s="140"/>
      <c r="AD942" s="140"/>
    </row>
    <row r="943" spans="1:30" ht="15.75" customHeight="1" x14ac:dyDescent="0.2">
      <c r="A943" s="140"/>
      <c r="B943" s="140"/>
      <c r="C943" s="140"/>
      <c r="D943" s="140"/>
      <c r="E943" s="140"/>
      <c r="F943" s="140"/>
      <c r="G943" s="140"/>
      <c r="H943" s="140"/>
      <c r="I943" s="140"/>
      <c r="J943" s="140"/>
      <c r="K943" s="140"/>
      <c r="L943" s="140"/>
      <c r="M943" s="140"/>
      <c r="N943" s="140"/>
      <c r="O943" s="140"/>
      <c r="P943" s="140"/>
      <c r="Q943" s="140"/>
      <c r="R943" s="140"/>
      <c r="S943" s="140"/>
      <c r="T943" s="140"/>
      <c r="U943" s="140"/>
      <c r="V943" s="140"/>
      <c r="W943" s="140"/>
      <c r="X943" s="140"/>
      <c r="Y943" s="140"/>
      <c r="Z943" s="140"/>
      <c r="AA943" s="140"/>
      <c r="AB943" s="140"/>
      <c r="AC943" s="140"/>
      <c r="AD943" s="140"/>
    </row>
    <row r="944" spans="1:30" ht="15.75" customHeight="1" x14ac:dyDescent="0.2">
      <c r="A944" s="140"/>
      <c r="B944" s="140"/>
      <c r="C944" s="140"/>
      <c r="D944" s="140"/>
      <c r="E944" s="140"/>
      <c r="F944" s="140"/>
      <c r="G944" s="140"/>
      <c r="H944" s="140"/>
      <c r="I944" s="140"/>
      <c r="J944" s="140"/>
      <c r="K944" s="140"/>
      <c r="L944" s="140"/>
      <c r="M944" s="140"/>
      <c r="N944" s="140"/>
      <c r="O944" s="140"/>
      <c r="P944" s="140"/>
      <c r="Q944" s="140"/>
      <c r="R944" s="140"/>
      <c r="S944" s="140"/>
      <c r="T944" s="140"/>
      <c r="U944" s="140"/>
      <c r="V944" s="140"/>
      <c r="W944" s="140"/>
      <c r="X944" s="140"/>
      <c r="Y944" s="140"/>
      <c r="Z944" s="140"/>
      <c r="AA944" s="140"/>
      <c r="AB944" s="140"/>
      <c r="AC944" s="140"/>
      <c r="AD944" s="140"/>
    </row>
    <row r="945" spans="1:30" ht="15.75" customHeight="1" x14ac:dyDescent="0.2">
      <c r="A945" s="140"/>
      <c r="B945" s="140"/>
      <c r="C945" s="140"/>
      <c r="D945" s="140"/>
      <c r="E945" s="140"/>
      <c r="F945" s="140"/>
      <c r="G945" s="140"/>
      <c r="H945" s="140"/>
      <c r="I945" s="140"/>
      <c r="J945" s="140"/>
      <c r="K945" s="140"/>
      <c r="L945" s="140"/>
      <c r="M945" s="140"/>
      <c r="N945" s="140"/>
      <c r="O945" s="140"/>
      <c r="P945" s="140"/>
      <c r="Q945" s="140"/>
      <c r="R945" s="140"/>
      <c r="S945" s="140"/>
      <c r="T945" s="140"/>
      <c r="U945" s="140"/>
      <c r="V945" s="140"/>
      <c r="W945" s="140"/>
      <c r="X945" s="140"/>
      <c r="Y945" s="140"/>
      <c r="Z945" s="140"/>
      <c r="AA945" s="140"/>
      <c r="AB945" s="140"/>
      <c r="AC945" s="140"/>
      <c r="AD945" s="140"/>
    </row>
    <row r="946" spans="1:30" ht="15.75" customHeight="1" x14ac:dyDescent="0.2">
      <c r="A946" s="140"/>
      <c r="B946" s="140"/>
      <c r="C946" s="140"/>
      <c r="D946" s="140"/>
      <c r="E946" s="140"/>
      <c r="F946" s="140"/>
      <c r="G946" s="140"/>
      <c r="H946" s="140"/>
      <c r="I946" s="140"/>
      <c r="J946" s="140"/>
      <c r="K946" s="140"/>
      <c r="L946" s="140"/>
      <c r="M946" s="140"/>
      <c r="N946" s="140"/>
      <c r="O946" s="140"/>
      <c r="P946" s="140"/>
      <c r="Q946" s="140"/>
      <c r="R946" s="140"/>
      <c r="S946" s="140"/>
      <c r="T946" s="140"/>
      <c r="U946" s="140"/>
      <c r="V946" s="140"/>
      <c r="W946" s="140"/>
      <c r="X946" s="140"/>
      <c r="Y946" s="140"/>
      <c r="Z946" s="140"/>
      <c r="AA946" s="140"/>
      <c r="AB946" s="140"/>
      <c r="AC946" s="140"/>
      <c r="AD946" s="140"/>
    </row>
    <row r="947" spans="1:30" ht="15.75" customHeight="1" x14ac:dyDescent="0.2">
      <c r="A947" s="140"/>
      <c r="B947" s="140"/>
      <c r="C947" s="140"/>
      <c r="D947" s="140"/>
      <c r="E947" s="140"/>
      <c r="F947" s="140"/>
      <c r="G947" s="140"/>
      <c r="H947" s="140"/>
      <c r="I947" s="140"/>
      <c r="J947" s="140"/>
      <c r="K947" s="140"/>
      <c r="L947" s="140"/>
      <c r="M947" s="140"/>
      <c r="N947" s="140"/>
      <c r="O947" s="140"/>
      <c r="P947" s="140"/>
      <c r="Q947" s="140"/>
      <c r="R947" s="140"/>
      <c r="S947" s="140"/>
      <c r="T947" s="140"/>
      <c r="U947" s="140"/>
      <c r="V947" s="140"/>
      <c r="W947" s="140"/>
      <c r="X947" s="140"/>
      <c r="Y947" s="140"/>
      <c r="Z947" s="140"/>
      <c r="AA947" s="140"/>
      <c r="AB947" s="140"/>
      <c r="AC947" s="140"/>
      <c r="AD947" s="140"/>
    </row>
    <row r="948" spans="1:30" ht="15.75" customHeight="1" x14ac:dyDescent="0.2">
      <c r="A948" s="140"/>
      <c r="B948" s="140"/>
      <c r="C948" s="140"/>
      <c r="D948" s="140"/>
      <c r="E948" s="140"/>
      <c r="F948" s="140"/>
      <c r="G948" s="140"/>
      <c r="H948" s="140"/>
      <c r="I948" s="140"/>
      <c r="J948" s="140"/>
      <c r="K948" s="140"/>
      <c r="L948" s="140"/>
      <c r="M948" s="140"/>
      <c r="N948" s="140"/>
      <c r="O948" s="140"/>
      <c r="P948" s="140"/>
      <c r="Q948" s="140"/>
      <c r="R948" s="140"/>
      <c r="S948" s="140"/>
      <c r="T948" s="140"/>
      <c r="U948" s="140"/>
      <c r="V948" s="140"/>
      <c r="W948" s="140"/>
      <c r="X948" s="140"/>
      <c r="Y948" s="140"/>
      <c r="Z948" s="140"/>
      <c r="AA948" s="140"/>
      <c r="AB948" s="140"/>
      <c r="AC948" s="140"/>
      <c r="AD948" s="140"/>
    </row>
    <row r="949" spans="1:30" ht="15.75" customHeight="1" x14ac:dyDescent="0.2">
      <c r="A949" s="140"/>
      <c r="B949" s="140"/>
      <c r="C949" s="140"/>
      <c r="D949" s="140"/>
      <c r="E949" s="140"/>
      <c r="F949" s="140"/>
      <c r="G949" s="140"/>
      <c r="H949" s="140"/>
      <c r="I949" s="140"/>
      <c r="J949" s="140"/>
      <c r="K949" s="140"/>
      <c r="L949" s="140"/>
      <c r="M949" s="140"/>
      <c r="N949" s="140"/>
      <c r="O949" s="140"/>
      <c r="P949" s="140"/>
      <c r="Q949" s="140"/>
      <c r="R949" s="140"/>
      <c r="S949" s="140"/>
      <c r="T949" s="140"/>
      <c r="U949" s="140"/>
      <c r="V949" s="140"/>
      <c r="W949" s="140"/>
      <c r="X949" s="140"/>
      <c r="Y949" s="140"/>
      <c r="Z949" s="140"/>
      <c r="AA949" s="140"/>
      <c r="AB949" s="140"/>
      <c r="AC949" s="140"/>
      <c r="AD949" s="140"/>
    </row>
    <row r="950" spans="1:30" ht="15.75" customHeight="1" x14ac:dyDescent="0.2">
      <c r="A950" s="140"/>
      <c r="B950" s="140"/>
      <c r="C950" s="140"/>
      <c r="D950" s="140"/>
      <c r="E950" s="140"/>
      <c r="F950" s="140"/>
      <c r="G950" s="140"/>
      <c r="H950" s="140"/>
      <c r="I950" s="140"/>
      <c r="J950" s="140"/>
      <c r="K950" s="140"/>
      <c r="L950" s="140"/>
      <c r="M950" s="140"/>
      <c r="N950" s="140"/>
      <c r="O950" s="140"/>
      <c r="P950" s="140"/>
      <c r="Q950" s="140"/>
      <c r="R950" s="140"/>
      <c r="S950" s="140"/>
      <c r="T950" s="140"/>
      <c r="U950" s="140"/>
      <c r="V950" s="140"/>
      <c r="W950" s="140"/>
      <c r="X950" s="140"/>
      <c r="Y950" s="140"/>
      <c r="Z950" s="140"/>
      <c r="AA950" s="140"/>
      <c r="AB950" s="140"/>
      <c r="AC950" s="140"/>
      <c r="AD950" s="140"/>
    </row>
    <row r="951" spans="1:30" ht="15.75" customHeight="1" x14ac:dyDescent="0.2">
      <c r="A951" s="140"/>
      <c r="B951" s="140"/>
      <c r="C951" s="140"/>
      <c r="D951" s="140"/>
      <c r="E951" s="140"/>
      <c r="F951" s="140"/>
      <c r="G951" s="140"/>
      <c r="H951" s="140"/>
      <c r="I951" s="140"/>
      <c r="J951" s="140"/>
      <c r="K951" s="140"/>
      <c r="L951" s="140"/>
      <c r="M951" s="140"/>
      <c r="N951" s="140"/>
      <c r="O951" s="140"/>
      <c r="P951" s="140"/>
      <c r="Q951" s="140"/>
      <c r="R951" s="140"/>
      <c r="S951" s="140"/>
      <c r="T951" s="140"/>
      <c r="U951" s="140"/>
      <c r="V951" s="140"/>
      <c r="W951" s="140"/>
      <c r="X951" s="140"/>
      <c r="Y951" s="140"/>
      <c r="Z951" s="140"/>
      <c r="AA951" s="140"/>
      <c r="AB951" s="140"/>
      <c r="AC951" s="140"/>
      <c r="AD951" s="140"/>
    </row>
    <row r="952" spans="1:30" ht="15.75" customHeight="1" x14ac:dyDescent="0.2">
      <c r="A952" s="140"/>
      <c r="B952" s="140"/>
      <c r="C952" s="140"/>
      <c r="D952" s="140"/>
      <c r="E952" s="140"/>
      <c r="F952" s="140"/>
      <c r="G952" s="140"/>
      <c r="H952" s="140"/>
      <c r="I952" s="140"/>
      <c r="J952" s="140"/>
      <c r="K952" s="140"/>
      <c r="L952" s="140"/>
      <c r="M952" s="140"/>
      <c r="N952" s="140"/>
      <c r="O952" s="140"/>
      <c r="P952" s="140"/>
      <c r="Q952" s="140"/>
      <c r="R952" s="140"/>
      <c r="S952" s="140"/>
      <c r="T952" s="140"/>
      <c r="U952" s="140"/>
      <c r="V952" s="140"/>
      <c r="W952" s="140"/>
      <c r="X952" s="140"/>
      <c r="Y952" s="140"/>
      <c r="Z952" s="140"/>
      <c r="AA952" s="140"/>
      <c r="AB952" s="140"/>
      <c r="AC952" s="140"/>
      <c r="AD952" s="140"/>
    </row>
    <row r="953" spans="1:30" ht="15.75" customHeight="1" x14ac:dyDescent="0.2">
      <c r="A953" s="140"/>
      <c r="B953" s="140"/>
      <c r="C953" s="140"/>
      <c r="D953" s="140"/>
      <c r="E953" s="140"/>
      <c r="F953" s="140"/>
      <c r="G953" s="140"/>
      <c r="H953" s="140"/>
      <c r="I953" s="140"/>
      <c r="J953" s="140"/>
      <c r="K953" s="140"/>
      <c r="L953" s="140"/>
      <c r="M953" s="140"/>
      <c r="N953" s="140"/>
      <c r="O953" s="140"/>
      <c r="P953" s="140"/>
      <c r="Q953" s="140"/>
      <c r="R953" s="140"/>
      <c r="S953" s="140"/>
      <c r="T953" s="140"/>
      <c r="U953" s="140"/>
      <c r="V953" s="140"/>
      <c r="W953" s="140"/>
      <c r="X953" s="140"/>
      <c r="Y953" s="140"/>
      <c r="Z953" s="140"/>
      <c r="AA953" s="140"/>
      <c r="AB953" s="140"/>
      <c r="AC953" s="140"/>
      <c r="AD953" s="140"/>
    </row>
    <row r="954" spans="1:30" ht="15.75" customHeight="1" x14ac:dyDescent="0.2">
      <c r="A954" s="140"/>
      <c r="B954" s="140"/>
      <c r="C954" s="140"/>
      <c r="D954" s="140"/>
      <c r="E954" s="140"/>
      <c r="F954" s="140"/>
      <c r="G954" s="140"/>
      <c r="H954" s="140"/>
      <c r="I954" s="140"/>
      <c r="J954" s="140"/>
      <c r="K954" s="140"/>
      <c r="L954" s="140"/>
      <c r="M954" s="140"/>
      <c r="N954" s="140"/>
      <c r="O954" s="140"/>
      <c r="P954" s="140"/>
      <c r="Q954" s="140"/>
      <c r="R954" s="140"/>
      <c r="S954" s="140"/>
      <c r="T954" s="140"/>
      <c r="U954" s="140"/>
      <c r="V954" s="140"/>
      <c r="W954" s="140"/>
      <c r="X954" s="140"/>
      <c r="Y954" s="140"/>
      <c r="Z954" s="140"/>
      <c r="AA954" s="140"/>
      <c r="AB954" s="140"/>
      <c r="AC954" s="140"/>
      <c r="AD954" s="140"/>
    </row>
    <row r="955" spans="1:30" ht="15.75" customHeight="1" x14ac:dyDescent="0.2">
      <c r="A955" s="140"/>
      <c r="B955" s="140"/>
      <c r="C955" s="140"/>
      <c r="D955" s="140"/>
      <c r="E955" s="140"/>
      <c r="F955" s="140"/>
      <c r="G955" s="140"/>
      <c r="H955" s="140"/>
      <c r="I955" s="140"/>
      <c r="J955" s="140"/>
      <c r="K955" s="140"/>
      <c r="L955" s="140"/>
      <c r="M955" s="140"/>
      <c r="N955" s="140"/>
      <c r="O955" s="140"/>
      <c r="P955" s="140"/>
      <c r="Q955" s="140"/>
      <c r="R955" s="140"/>
      <c r="S955" s="140"/>
      <c r="T955" s="140"/>
      <c r="U955" s="140"/>
      <c r="V955" s="140"/>
      <c r="W955" s="140"/>
      <c r="X955" s="140"/>
      <c r="Y955" s="140"/>
      <c r="Z955" s="140"/>
      <c r="AA955" s="140"/>
      <c r="AB955" s="140"/>
      <c r="AC955" s="140"/>
      <c r="AD955" s="140"/>
    </row>
    <row r="956" spans="1:30" ht="15.75" customHeight="1" x14ac:dyDescent="0.2">
      <c r="A956" s="140"/>
      <c r="B956" s="140"/>
      <c r="C956" s="140"/>
      <c r="D956" s="140"/>
      <c r="E956" s="140"/>
      <c r="F956" s="140"/>
      <c r="G956" s="140"/>
      <c r="H956" s="140"/>
      <c r="I956" s="140"/>
      <c r="J956" s="140"/>
      <c r="K956" s="140"/>
      <c r="L956" s="140"/>
      <c r="M956" s="140"/>
      <c r="N956" s="140"/>
      <c r="O956" s="140"/>
      <c r="P956" s="140"/>
      <c r="Q956" s="140"/>
      <c r="R956" s="140"/>
      <c r="S956" s="140"/>
      <c r="T956" s="140"/>
      <c r="U956" s="140"/>
      <c r="V956" s="140"/>
      <c r="W956" s="140"/>
      <c r="X956" s="140"/>
      <c r="Y956" s="140"/>
      <c r="Z956" s="140"/>
      <c r="AA956" s="140"/>
      <c r="AB956" s="140"/>
      <c r="AC956" s="140"/>
      <c r="AD956" s="140"/>
    </row>
    <row r="957" spans="1:30" ht="15.75" customHeight="1" x14ac:dyDescent="0.2">
      <c r="A957" s="140"/>
      <c r="B957" s="140"/>
      <c r="C957" s="140"/>
      <c r="D957" s="140"/>
      <c r="E957" s="140"/>
      <c r="F957" s="140"/>
      <c r="G957" s="140"/>
      <c r="H957" s="140"/>
      <c r="I957" s="140"/>
      <c r="J957" s="140"/>
      <c r="K957" s="140"/>
      <c r="L957" s="140"/>
      <c r="M957" s="140"/>
      <c r="N957" s="140"/>
      <c r="O957" s="140"/>
      <c r="P957" s="140"/>
      <c r="Q957" s="140"/>
      <c r="R957" s="140"/>
      <c r="S957" s="140"/>
      <c r="T957" s="140"/>
      <c r="U957" s="140"/>
      <c r="V957" s="140"/>
      <c r="W957" s="140"/>
      <c r="X957" s="140"/>
      <c r="Y957" s="140"/>
      <c r="Z957" s="140"/>
      <c r="AA957" s="140"/>
      <c r="AB957" s="140"/>
      <c r="AC957" s="140"/>
      <c r="AD957" s="140"/>
    </row>
    <row r="958" spans="1:30" ht="15.75" customHeight="1" x14ac:dyDescent="0.2">
      <c r="A958" s="140"/>
      <c r="B958" s="140"/>
      <c r="C958" s="140"/>
      <c r="D958" s="140"/>
      <c r="E958" s="140"/>
      <c r="F958" s="140"/>
      <c r="G958" s="140"/>
      <c r="H958" s="140"/>
      <c r="I958" s="140"/>
      <c r="J958" s="140"/>
      <c r="K958" s="140"/>
      <c r="L958" s="140"/>
      <c r="M958" s="140"/>
      <c r="N958" s="140"/>
      <c r="O958" s="140"/>
      <c r="P958" s="140"/>
      <c r="Q958" s="140"/>
      <c r="R958" s="140"/>
      <c r="S958" s="140"/>
      <c r="T958" s="140"/>
      <c r="U958" s="140"/>
      <c r="V958" s="140"/>
      <c r="W958" s="140"/>
      <c r="X958" s="140"/>
      <c r="Y958" s="140"/>
      <c r="Z958" s="140"/>
      <c r="AA958" s="140"/>
      <c r="AB958" s="140"/>
      <c r="AC958" s="140"/>
      <c r="AD958" s="140"/>
    </row>
    <row r="959" spans="1:30" ht="15.75" customHeight="1" x14ac:dyDescent="0.2">
      <c r="A959" s="140"/>
      <c r="B959" s="140"/>
      <c r="C959" s="140"/>
      <c r="D959" s="140"/>
      <c r="E959" s="140"/>
      <c r="F959" s="140"/>
      <c r="G959" s="140"/>
      <c r="H959" s="140"/>
      <c r="I959" s="140"/>
      <c r="J959" s="140"/>
      <c r="K959" s="140"/>
      <c r="L959" s="140"/>
      <c r="M959" s="140"/>
      <c r="N959" s="140"/>
      <c r="O959" s="140"/>
      <c r="P959" s="140"/>
      <c r="Q959" s="140"/>
      <c r="R959" s="140"/>
      <c r="S959" s="140"/>
      <c r="T959" s="140"/>
      <c r="U959" s="140"/>
      <c r="V959" s="140"/>
      <c r="W959" s="140"/>
      <c r="X959" s="140"/>
      <c r="Y959" s="140"/>
      <c r="Z959" s="140"/>
      <c r="AA959" s="140"/>
      <c r="AB959" s="140"/>
      <c r="AC959" s="140"/>
      <c r="AD959" s="140"/>
    </row>
    <row r="960" spans="1:30" ht="15.75" customHeight="1" x14ac:dyDescent="0.2">
      <c r="A960" s="140"/>
      <c r="B960" s="140"/>
      <c r="C960" s="140"/>
      <c r="D960" s="140"/>
      <c r="E960" s="140"/>
      <c r="F960" s="140"/>
      <c r="G960" s="140"/>
      <c r="H960" s="140"/>
      <c r="I960" s="140"/>
      <c r="J960" s="140"/>
      <c r="K960" s="140"/>
      <c r="L960" s="140"/>
      <c r="M960" s="140"/>
      <c r="N960" s="140"/>
      <c r="O960" s="140"/>
      <c r="P960" s="140"/>
      <c r="Q960" s="140"/>
      <c r="R960" s="140"/>
      <c r="S960" s="140"/>
      <c r="T960" s="140"/>
      <c r="U960" s="140"/>
      <c r="V960" s="140"/>
      <c r="W960" s="140"/>
      <c r="X960" s="140"/>
      <c r="Y960" s="140"/>
      <c r="Z960" s="140"/>
      <c r="AA960" s="140"/>
      <c r="AB960" s="140"/>
      <c r="AC960" s="140"/>
      <c r="AD960" s="140"/>
    </row>
    <row r="961" spans="1:30" ht="15.75" customHeight="1" x14ac:dyDescent="0.2">
      <c r="A961" s="140"/>
      <c r="B961" s="140"/>
      <c r="C961" s="140"/>
      <c r="D961" s="140"/>
      <c r="E961" s="140"/>
      <c r="F961" s="140"/>
      <c r="G961" s="140"/>
      <c r="H961" s="140"/>
      <c r="I961" s="140"/>
      <c r="J961" s="140"/>
      <c r="K961" s="140"/>
      <c r="L961" s="140"/>
      <c r="M961" s="140"/>
      <c r="N961" s="140"/>
      <c r="O961" s="140"/>
      <c r="P961" s="140"/>
      <c r="Q961" s="140"/>
      <c r="R961" s="140"/>
      <c r="S961" s="140"/>
      <c r="T961" s="140"/>
      <c r="U961" s="140"/>
      <c r="V961" s="140"/>
      <c r="W961" s="140"/>
      <c r="X961" s="140"/>
      <c r="Y961" s="140"/>
      <c r="Z961" s="140"/>
      <c r="AA961" s="140"/>
      <c r="AB961" s="140"/>
      <c r="AC961" s="140"/>
      <c r="AD961" s="140"/>
    </row>
    <row r="962" spans="1:30" ht="15.75" customHeight="1" x14ac:dyDescent="0.2">
      <c r="A962" s="140"/>
      <c r="B962" s="140"/>
      <c r="C962" s="140"/>
      <c r="D962" s="140"/>
      <c r="E962" s="140"/>
      <c r="F962" s="140"/>
      <c r="G962" s="140"/>
      <c r="H962" s="140"/>
      <c r="I962" s="140"/>
      <c r="J962" s="140"/>
      <c r="K962" s="140"/>
      <c r="L962" s="140"/>
      <c r="M962" s="140"/>
      <c r="N962" s="140"/>
      <c r="O962" s="140"/>
      <c r="P962" s="140"/>
      <c r="Q962" s="140"/>
      <c r="R962" s="140"/>
      <c r="S962" s="140"/>
      <c r="T962" s="140"/>
      <c r="U962" s="140"/>
      <c r="V962" s="140"/>
      <c r="W962" s="140"/>
      <c r="X962" s="140"/>
      <c r="Y962" s="140"/>
      <c r="Z962" s="140"/>
      <c r="AA962" s="140"/>
      <c r="AB962" s="140"/>
      <c r="AC962" s="140"/>
      <c r="AD962" s="140"/>
    </row>
    <row r="963" spans="1:30" ht="15.75" customHeight="1" x14ac:dyDescent="0.2">
      <c r="A963" s="140"/>
      <c r="B963" s="140"/>
      <c r="C963" s="140"/>
      <c r="D963" s="140"/>
      <c r="E963" s="140"/>
      <c r="F963" s="140"/>
      <c r="G963" s="140"/>
      <c r="H963" s="140"/>
      <c r="I963" s="140"/>
      <c r="J963" s="140"/>
      <c r="K963" s="140"/>
      <c r="L963" s="140"/>
      <c r="M963" s="140"/>
      <c r="N963" s="140"/>
      <c r="O963" s="140"/>
      <c r="P963" s="140"/>
      <c r="Q963" s="140"/>
      <c r="R963" s="140"/>
      <c r="S963" s="140"/>
      <c r="T963" s="140"/>
      <c r="U963" s="140"/>
      <c r="V963" s="140"/>
      <c r="W963" s="140"/>
      <c r="X963" s="140"/>
      <c r="Y963" s="140"/>
      <c r="Z963" s="140"/>
      <c r="AA963" s="140"/>
      <c r="AB963" s="140"/>
      <c r="AC963" s="140"/>
      <c r="AD963" s="140"/>
    </row>
    <row r="964" spans="1:30" ht="15.75" customHeight="1" x14ac:dyDescent="0.2">
      <c r="A964" s="140"/>
      <c r="B964" s="140"/>
      <c r="C964" s="140"/>
      <c r="D964" s="140"/>
      <c r="E964" s="140"/>
      <c r="F964" s="140"/>
      <c r="G964" s="140"/>
      <c r="H964" s="140"/>
      <c r="I964" s="140"/>
      <c r="J964" s="140"/>
      <c r="K964" s="140"/>
      <c r="L964" s="140"/>
      <c r="M964" s="140"/>
      <c r="N964" s="140"/>
      <c r="O964" s="140"/>
      <c r="P964" s="140"/>
      <c r="Q964" s="140"/>
      <c r="R964" s="140"/>
      <c r="S964" s="140"/>
      <c r="T964" s="140"/>
      <c r="U964" s="140"/>
      <c r="V964" s="140"/>
      <c r="W964" s="140"/>
      <c r="X964" s="140"/>
      <c r="Y964" s="140"/>
      <c r="Z964" s="140"/>
      <c r="AA964" s="140"/>
      <c r="AB964" s="140"/>
      <c r="AC964" s="140"/>
      <c r="AD964" s="140"/>
    </row>
    <row r="965" spans="1:30" ht="15.75" customHeight="1" x14ac:dyDescent="0.2">
      <c r="A965" s="140"/>
      <c r="B965" s="140"/>
      <c r="C965" s="140"/>
      <c r="D965" s="140"/>
      <c r="E965" s="140"/>
      <c r="F965" s="140"/>
      <c r="G965" s="140"/>
      <c r="H965" s="140"/>
      <c r="I965" s="140"/>
      <c r="J965" s="140"/>
      <c r="K965" s="140"/>
      <c r="L965" s="140"/>
      <c r="M965" s="140"/>
      <c r="N965" s="140"/>
      <c r="O965" s="140"/>
      <c r="P965" s="140"/>
      <c r="Q965" s="140"/>
      <c r="R965" s="140"/>
      <c r="S965" s="140"/>
      <c r="T965" s="140"/>
      <c r="U965" s="140"/>
      <c r="V965" s="140"/>
      <c r="W965" s="140"/>
      <c r="X965" s="140"/>
      <c r="Y965" s="140"/>
      <c r="Z965" s="140"/>
      <c r="AA965" s="140"/>
      <c r="AB965" s="140"/>
      <c r="AC965" s="140"/>
      <c r="AD965" s="140"/>
    </row>
    <row r="966" spans="1:30" ht="15.75" customHeight="1" x14ac:dyDescent="0.2">
      <c r="A966" s="140"/>
      <c r="B966" s="140"/>
      <c r="C966" s="140"/>
      <c r="D966" s="140"/>
      <c r="E966" s="140"/>
      <c r="F966" s="140"/>
      <c r="G966" s="140"/>
      <c r="H966" s="140"/>
      <c r="I966" s="140"/>
      <c r="J966" s="140"/>
      <c r="K966" s="140"/>
      <c r="L966" s="140"/>
      <c r="M966" s="140"/>
      <c r="N966" s="140"/>
      <c r="O966" s="140"/>
      <c r="P966" s="140"/>
      <c r="Q966" s="140"/>
      <c r="R966" s="140"/>
      <c r="S966" s="140"/>
      <c r="T966" s="140"/>
      <c r="U966" s="140"/>
      <c r="V966" s="140"/>
      <c r="W966" s="140"/>
      <c r="X966" s="140"/>
      <c r="Y966" s="140"/>
      <c r="Z966" s="140"/>
      <c r="AA966" s="140"/>
      <c r="AB966" s="140"/>
      <c r="AC966" s="140"/>
      <c r="AD966" s="140"/>
    </row>
    <row r="967" spans="1:30" ht="15.75" customHeight="1" x14ac:dyDescent="0.2">
      <c r="A967" s="140"/>
      <c r="B967" s="140"/>
      <c r="C967" s="140"/>
      <c r="D967" s="140"/>
      <c r="E967" s="140"/>
      <c r="F967" s="140"/>
      <c r="G967" s="140"/>
      <c r="H967" s="140"/>
      <c r="I967" s="140"/>
      <c r="J967" s="140"/>
      <c r="K967" s="140"/>
      <c r="L967" s="140"/>
      <c r="M967" s="140"/>
      <c r="N967" s="140"/>
      <c r="O967" s="140"/>
      <c r="P967" s="140"/>
      <c r="Q967" s="140"/>
      <c r="R967" s="140"/>
      <c r="S967" s="140"/>
      <c r="T967" s="140"/>
      <c r="U967" s="140"/>
      <c r="V967" s="140"/>
      <c r="W967" s="140"/>
      <c r="X967" s="140"/>
      <c r="Y967" s="140"/>
      <c r="Z967" s="140"/>
      <c r="AA967" s="140"/>
      <c r="AB967" s="140"/>
      <c r="AC967" s="140"/>
      <c r="AD967" s="140"/>
    </row>
    <row r="968" spans="1:30" ht="15.75" customHeight="1" x14ac:dyDescent="0.2">
      <c r="A968" s="140"/>
      <c r="B968" s="140"/>
      <c r="C968" s="140"/>
      <c r="D968" s="140"/>
      <c r="E968" s="140"/>
      <c r="F968" s="140"/>
      <c r="G968" s="140"/>
      <c r="H968" s="140"/>
      <c r="I968" s="140"/>
      <c r="J968" s="140"/>
      <c r="K968" s="140"/>
      <c r="L968" s="140"/>
      <c r="M968" s="140"/>
      <c r="N968" s="140"/>
      <c r="O968" s="140"/>
      <c r="P968" s="140"/>
      <c r="Q968" s="140"/>
      <c r="R968" s="140"/>
      <c r="S968" s="140"/>
      <c r="T968" s="140"/>
      <c r="U968" s="140"/>
      <c r="V968" s="140"/>
      <c r="W968" s="140"/>
      <c r="X968" s="140"/>
      <c r="Y968" s="140"/>
      <c r="Z968" s="140"/>
      <c r="AA968" s="140"/>
      <c r="AB968" s="140"/>
      <c r="AC968" s="140"/>
      <c r="AD968" s="140"/>
    </row>
    <row r="969" spans="1:30" ht="15.75" customHeight="1" x14ac:dyDescent="0.2">
      <c r="A969" s="140"/>
      <c r="B969" s="140"/>
      <c r="C969" s="140"/>
      <c r="D969" s="140"/>
      <c r="E969" s="140"/>
      <c r="F969" s="140"/>
      <c r="G969" s="140"/>
      <c r="H969" s="140"/>
      <c r="I969" s="140"/>
      <c r="J969" s="140"/>
      <c r="K969" s="140"/>
      <c r="L969" s="140"/>
      <c r="M969" s="140"/>
      <c r="N969" s="140"/>
      <c r="O969" s="140"/>
      <c r="P969" s="140"/>
      <c r="Q969" s="140"/>
      <c r="R969" s="140"/>
      <c r="S969" s="140"/>
      <c r="T969" s="140"/>
      <c r="U969" s="140"/>
      <c r="V969" s="140"/>
      <c r="W969" s="140"/>
      <c r="X969" s="140"/>
      <c r="Y969" s="140"/>
      <c r="Z969" s="140"/>
      <c r="AA969" s="140"/>
      <c r="AB969" s="140"/>
      <c r="AC969" s="140"/>
      <c r="AD969" s="140"/>
    </row>
    <row r="970" spans="1:30" ht="15.75" customHeight="1" x14ac:dyDescent="0.2">
      <c r="A970" s="140"/>
      <c r="B970" s="140"/>
      <c r="C970" s="140"/>
      <c r="D970" s="140"/>
      <c r="E970" s="140"/>
      <c r="F970" s="140"/>
      <c r="G970" s="140"/>
      <c r="H970" s="140"/>
      <c r="I970" s="140"/>
      <c r="J970" s="140"/>
      <c r="K970" s="140"/>
      <c r="L970" s="140"/>
      <c r="M970" s="140"/>
      <c r="N970" s="140"/>
      <c r="O970" s="140"/>
      <c r="P970" s="140"/>
      <c r="Q970" s="140"/>
      <c r="R970" s="140"/>
      <c r="S970" s="140"/>
      <c r="T970" s="140"/>
      <c r="U970" s="140"/>
      <c r="V970" s="140"/>
      <c r="W970" s="140"/>
      <c r="X970" s="140"/>
      <c r="Y970" s="140"/>
      <c r="Z970" s="140"/>
      <c r="AA970" s="140"/>
      <c r="AB970" s="140"/>
      <c r="AC970" s="140"/>
      <c r="AD970" s="140"/>
    </row>
    <row r="971" spans="1:30" ht="15.75" customHeight="1" x14ac:dyDescent="0.2">
      <c r="A971" s="140"/>
      <c r="B971" s="140"/>
      <c r="C971" s="140"/>
      <c r="D971" s="140"/>
      <c r="E971" s="140"/>
      <c r="F971" s="140"/>
      <c r="G971" s="140"/>
      <c r="H971" s="140"/>
      <c r="I971" s="140"/>
      <c r="J971" s="140"/>
      <c r="K971" s="140"/>
      <c r="L971" s="140"/>
      <c r="M971" s="140"/>
      <c r="N971" s="140"/>
      <c r="O971" s="140"/>
      <c r="P971" s="140"/>
      <c r="Q971" s="140"/>
      <c r="R971" s="140"/>
      <c r="S971" s="140"/>
      <c r="T971" s="140"/>
      <c r="U971" s="140"/>
      <c r="V971" s="140"/>
      <c r="W971" s="140"/>
      <c r="X971" s="140"/>
      <c r="Y971" s="140"/>
      <c r="Z971" s="140"/>
      <c r="AA971" s="140"/>
      <c r="AB971" s="140"/>
      <c r="AC971" s="140"/>
      <c r="AD971" s="140"/>
    </row>
    <row r="972" spans="1:30" ht="15.75" customHeight="1" x14ac:dyDescent="0.2">
      <c r="A972" s="140"/>
      <c r="B972" s="140"/>
      <c r="C972" s="140"/>
      <c r="D972" s="140"/>
      <c r="E972" s="140"/>
      <c r="F972" s="140"/>
      <c r="G972" s="140"/>
      <c r="H972" s="140"/>
      <c r="I972" s="140"/>
      <c r="J972" s="140"/>
      <c r="K972" s="140"/>
      <c r="L972" s="140"/>
      <c r="M972" s="140"/>
      <c r="N972" s="140"/>
      <c r="O972" s="140"/>
      <c r="P972" s="140"/>
      <c r="Q972" s="140"/>
      <c r="R972" s="140"/>
      <c r="S972" s="140"/>
      <c r="T972" s="140"/>
      <c r="U972" s="140"/>
      <c r="V972" s="140"/>
      <c r="W972" s="140"/>
      <c r="X972" s="140"/>
      <c r="Y972" s="140"/>
      <c r="Z972" s="140"/>
      <c r="AA972" s="140"/>
      <c r="AB972" s="140"/>
      <c r="AC972" s="140"/>
      <c r="AD972" s="140"/>
    </row>
    <row r="973" spans="1:30" ht="15.75" customHeight="1" x14ac:dyDescent="0.2">
      <c r="A973" s="140"/>
      <c r="B973" s="140"/>
      <c r="C973" s="140"/>
      <c r="D973" s="140"/>
      <c r="E973" s="140"/>
      <c r="F973" s="140"/>
      <c r="G973" s="140"/>
      <c r="H973" s="140"/>
      <c r="I973" s="140"/>
      <c r="J973" s="140"/>
      <c r="K973" s="140"/>
      <c r="L973" s="140"/>
      <c r="M973" s="140"/>
      <c r="N973" s="140"/>
      <c r="O973" s="140"/>
      <c r="P973" s="140"/>
      <c r="Q973" s="140"/>
      <c r="R973" s="140"/>
      <c r="S973" s="140"/>
      <c r="T973" s="140"/>
      <c r="U973" s="140"/>
      <c r="V973" s="140"/>
      <c r="W973" s="140"/>
      <c r="X973" s="140"/>
      <c r="Y973" s="140"/>
      <c r="Z973" s="140"/>
      <c r="AA973" s="140"/>
      <c r="AB973" s="140"/>
      <c r="AC973" s="140"/>
      <c r="AD973" s="140"/>
    </row>
    <row r="974" spans="1:30" ht="15.75" customHeight="1" x14ac:dyDescent="0.2">
      <c r="A974" s="140"/>
      <c r="B974" s="140"/>
      <c r="C974" s="140"/>
      <c r="D974" s="140"/>
      <c r="E974" s="140"/>
      <c r="F974" s="140"/>
      <c r="G974" s="140"/>
      <c r="H974" s="140"/>
      <c r="I974" s="140"/>
      <c r="J974" s="140"/>
      <c r="K974" s="140"/>
      <c r="L974" s="140"/>
      <c r="M974" s="140"/>
      <c r="N974" s="140"/>
      <c r="O974" s="140"/>
      <c r="P974" s="140"/>
      <c r="Q974" s="140"/>
      <c r="R974" s="140"/>
      <c r="S974" s="140"/>
      <c r="T974" s="140"/>
      <c r="U974" s="140"/>
      <c r="V974" s="140"/>
      <c r="W974" s="140"/>
      <c r="X974" s="140"/>
      <c r="Y974" s="140"/>
      <c r="Z974" s="140"/>
      <c r="AA974" s="140"/>
      <c r="AB974" s="140"/>
      <c r="AC974" s="140"/>
      <c r="AD974" s="140"/>
    </row>
    <row r="975" spans="1:30" ht="15.75" customHeight="1" x14ac:dyDescent="0.2">
      <c r="A975" s="140"/>
      <c r="B975" s="140"/>
      <c r="C975" s="140"/>
      <c r="D975" s="140"/>
      <c r="E975" s="140"/>
      <c r="F975" s="140"/>
      <c r="G975" s="140"/>
      <c r="H975" s="140"/>
      <c r="I975" s="140"/>
      <c r="J975" s="140"/>
      <c r="K975" s="140"/>
      <c r="L975" s="140"/>
      <c r="M975" s="140"/>
      <c r="N975" s="140"/>
      <c r="O975" s="140"/>
      <c r="P975" s="140"/>
      <c r="Q975" s="140"/>
      <c r="R975" s="140"/>
      <c r="S975" s="140"/>
      <c r="T975" s="140"/>
      <c r="U975" s="140"/>
      <c r="V975" s="140"/>
      <c r="W975" s="140"/>
      <c r="X975" s="140"/>
      <c r="Y975" s="140"/>
      <c r="Z975" s="140"/>
      <c r="AA975" s="140"/>
      <c r="AB975" s="140"/>
      <c r="AC975" s="140"/>
      <c r="AD975" s="140"/>
    </row>
    <row r="976" spans="1:30" ht="15.75" customHeight="1" x14ac:dyDescent="0.2">
      <c r="A976" s="140"/>
      <c r="B976" s="140"/>
      <c r="C976" s="140"/>
      <c r="D976" s="140"/>
      <c r="E976" s="140"/>
      <c r="F976" s="140"/>
      <c r="G976" s="140"/>
      <c r="H976" s="140"/>
      <c r="I976" s="140"/>
      <c r="J976" s="140"/>
      <c r="K976" s="140"/>
      <c r="L976" s="140"/>
      <c r="M976" s="140"/>
      <c r="N976" s="140"/>
      <c r="O976" s="140"/>
      <c r="P976" s="140"/>
      <c r="Q976" s="140"/>
      <c r="R976" s="140"/>
      <c r="S976" s="140"/>
      <c r="T976" s="140"/>
      <c r="U976" s="140"/>
      <c r="V976" s="140"/>
      <c r="W976" s="140"/>
      <c r="X976" s="140"/>
      <c r="Y976" s="140"/>
      <c r="Z976" s="140"/>
      <c r="AA976" s="140"/>
      <c r="AB976" s="140"/>
      <c r="AC976" s="140"/>
      <c r="AD976" s="140"/>
    </row>
    <row r="977" spans="1:30" ht="15.75" customHeight="1" x14ac:dyDescent="0.2">
      <c r="A977" s="140"/>
      <c r="B977" s="140"/>
      <c r="C977" s="140"/>
      <c r="D977" s="140"/>
      <c r="E977" s="140"/>
      <c r="F977" s="140"/>
      <c r="G977" s="140"/>
      <c r="H977" s="140"/>
      <c r="I977" s="140"/>
      <c r="J977" s="140"/>
      <c r="K977" s="140"/>
      <c r="L977" s="140"/>
      <c r="M977" s="140"/>
      <c r="N977" s="140"/>
      <c r="O977" s="140"/>
      <c r="P977" s="140"/>
      <c r="Q977" s="140"/>
      <c r="R977" s="140"/>
      <c r="S977" s="140"/>
      <c r="T977" s="140"/>
      <c r="U977" s="140"/>
      <c r="V977" s="140"/>
      <c r="W977" s="140"/>
      <c r="X977" s="140"/>
      <c r="Y977" s="140"/>
      <c r="Z977" s="140"/>
      <c r="AA977" s="140"/>
      <c r="AB977" s="140"/>
      <c r="AC977" s="140"/>
      <c r="AD977" s="140"/>
    </row>
    <row r="978" spans="1:30" ht="15.75" customHeight="1" x14ac:dyDescent="0.2">
      <c r="A978" s="140"/>
      <c r="B978" s="140"/>
      <c r="C978" s="140"/>
      <c r="D978" s="140"/>
      <c r="E978" s="140"/>
      <c r="F978" s="140"/>
      <c r="G978" s="140"/>
      <c r="H978" s="140"/>
      <c r="I978" s="140"/>
      <c r="J978" s="140"/>
      <c r="K978" s="140"/>
      <c r="L978" s="140"/>
      <c r="M978" s="140"/>
      <c r="N978" s="140"/>
      <c r="O978" s="140"/>
      <c r="P978" s="140"/>
      <c r="Q978" s="140"/>
      <c r="R978" s="140"/>
      <c r="S978" s="140"/>
      <c r="T978" s="140"/>
      <c r="U978" s="140"/>
      <c r="V978" s="140"/>
      <c r="W978" s="140"/>
      <c r="X978" s="140"/>
      <c r="Y978" s="140"/>
      <c r="Z978" s="140"/>
      <c r="AA978" s="140"/>
      <c r="AB978" s="140"/>
      <c r="AC978" s="140"/>
      <c r="AD978" s="140"/>
    </row>
    <row r="979" spans="1:30" ht="15.75" customHeight="1" x14ac:dyDescent="0.2">
      <c r="A979" s="140"/>
      <c r="B979" s="140"/>
      <c r="C979" s="140"/>
      <c r="D979" s="140"/>
      <c r="E979" s="140"/>
      <c r="F979" s="140"/>
      <c r="G979" s="140"/>
      <c r="H979" s="140"/>
      <c r="I979" s="140"/>
      <c r="J979" s="140"/>
      <c r="K979" s="140"/>
      <c r="L979" s="140"/>
      <c r="M979" s="140"/>
      <c r="N979" s="140"/>
      <c r="O979" s="140"/>
      <c r="P979" s="140"/>
      <c r="Q979" s="140"/>
      <c r="R979" s="140"/>
      <c r="S979" s="140"/>
      <c r="T979" s="140"/>
      <c r="U979" s="140"/>
      <c r="V979" s="140"/>
      <c r="W979" s="140"/>
      <c r="X979" s="140"/>
      <c r="Y979" s="140"/>
      <c r="Z979" s="140"/>
      <c r="AA979" s="140"/>
      <c r="AB979" s="140"/>
      <c r="AC979" s="140"/>
      <c r="AD979" s="140"/>
    </row>
    <row r="980" spans="1:30" ht="15.75" customHeight="1" x14ac:dyDescent="0.2">
      <c r="A980" s="140"/>
      <c r="B980" s="140"/>
      <c r="C980" s="140"/>
      <c r="D980" s="140"/>
      <c r="E980" s="140"/>
      <c r="F980" s="140"/>
      <c r="G980" s="140"/>
      <c r="H980" s="140"/>
      <c r="I980" s="140"/>
      <c r="J980" s="140"/>
      <c r="K980" s="140"/>
      <c r="L980" s="140"/>
      <c r="M980" s="140"/>
      <c r="N980" s="140"/>
      <c r="O980" s="140"/>
      <c r="P980" s="140"/>
      <c r="Q980" s="140"/>
      <c r="R980" s="140"/>
      <c r="S980" s="140"/>
      <c r="T980" s="140"/>
      <c r="U980" s="140"/>
      <c r="V980" s="140"/>
      <c r="W980" s="140"/>
      <c r="X980" s="140"/>
      <c r="Y980" s="140"/>
      <c r="Z980" s="140"/>
      <c r="AA980" s="140"/>
      <c r="AB980" s="140"/>
      <c r="AC980" s="140"/>
      <c r="AD980" s="140"/>
    </row>
    <row r="981" spans="1:30" ht="15.75" customHeight="1" x14ac:dyDescent="0.2">
      <c r="A981" s="140"/>
      <c r="B981" s="140"/>
      <c r="C981" s="140"/>
      <c r="D981" s="140"/>
      <c r="E981" s="140"/>
      <c r="F981" s="140"/>
      <c r="G981" s="140"/>
      <c r="H981" s="140"/>
      <c r="I981" s="140"/>
      <c r="J981" s="140"/>
      <c r="K981" s="140"/>
      <c r="L981" s="140"/>
      <c r="M981" s="140"/>
      <c r="N981" s="140"/>
      <c r="O981" s="140"/>
      <c r="P981" s="140"/>
      <c r="Q981" s="140"/>
      <c r="R981" s="140"/>
      <c r="S981" s="140"/>
      <c r="T981" s="140"/>
      <c r="U981" s="140"/>
      <c r="V981" s="140"/>
      <c r="W981" s="140"/>
      <c r="X981" s="140"/>
      <c r="Y981" s="140"/>
      <c r="Z981" s="140"/>
      <c r="AA981" s="140"/>
      <c r="AB981" s="140"/>
      <c r="AC981" s="140"/>
      <c r="AD981" s="140"/>
    </row>
    <row r="982" spans="1:30" ht="15.75" customHeight="1" x14ac:dyDescent="0.2">
      <c r="A982" s="140"/>
      <c r="B982" s="140"/>
      <c r="C982" s="140"/>
      <c r="D982" s="140"/>
      <c r="E982" s="140"/>
      <c r="F982" s="140"/>
      <c r="G982" s="140"/>
      <c r="H982" s="140"/>
      <c r="I982" s="140"/>
      <c r="J982" s="140"/>
      <c r="K982" s="140"/>
      <c r="L982" s="140"/>
      <c r="M982" s="140"/>
      <c r="N982" s="140"/>
      <c r="O982" s="140"/>
      <c r="P982" s="140"/>
      <c r="Q982" s="140"/>
      <c r="R982" s="140"/>
      <c r="S982" s="140"/>
      <c r="T982" s="140"/>
      <c r="U982" s="140"/>
      <c r="V982" s="140"/>
      <c r="W982" s="140"/>
      <c r="X982" s="140"/>
      <c r="Y982" s="140"/>
      <c r="Z982" s="140"/>
      <c r="AA982" s="140"/>
      <c r="AB982" s="140"/>
      <c r="AC982" s="140"/>
      <c r="AD982" s="140"/>
    </row>
    <row r="983" spans="1:30" ht="15.75" customHeight="1" x14ac:dyDescent="0.2">
      <c r="A983" s="140"/>
      <c r="B983" s="140"/>
      <c r="C983" s="140"/>
      <c r="D983" s="140"/>
      <c r="E983" s="140"/>
      <c r="F983" s="140"/>
      <c r="G983" s="140"/>
      <c r="H983" s="140"/>
      <c r="I983" s="140"/>
      <c r="J983" s="140"/>
      <c r="K983" s="140"/>
      <c r="L983" s="140"/>
      <c r="M983" s="140"/>
      <c r="N983" s="140"/>
      <c r="O983" s="140"/>
      <c r="P983" s="140"/>
      <c r="Q983" s="140"/>
      <c r="R983" s="140"/>
      <c r="S983" s="140"/>
      <c r="T983" s="140"/>
      <c r="U983" s="140"/>
      <c r="V983" s="140"/>
      <c r="W983" s="140"/>
      <c r="X983" s="140"/>
      <c r="Y983" s="140"/>
      <c r="Z983" s="140"/>
      <c r="AA983" s="140"/>
      <c r="AB983" s="140"/>
      <c r="AC983" s="140"/>
      <c r="AD983" s="140"/>
    </row>
    <row r="984" spans="1:30" ht="15.75" customHeight="1" x14ac:dyDescent="0.2">
      <c r="A984" s="140"/>
      <c r="B984" s="140"/>
      <c r="C984" s="140"/>
      <c r="D984" s="140"/>
      <c r="E984" s="140"/>
      <c r="F984" s="140"/>
      <c r="G984" s="140"/>
      <c r="H984" s="140"/>
      <c r="I984" s="140"/>
      <c r="J984" s="140"/>
      <c r="K984" s="140"/>
      <c r="L984" s="140"/>
      <c r="M984" s="140"/>
      <c r="N984" s="140"/>
      <c r="O984" s="140"/>
      <c r="P984" s="140"/>
      <c r="Q984" s="140"/>
      <c r="R984" s="140"/>
      <c r="S984" s="140"/>
      <c r="T984" s="140"/>
      <c r="U984" s="140"/>
      <c r="V984" s="140"/>
      <c r="W984" s="140"/>
      <c r="X984" s="140"/>
      <c r="Y984" s="140"/>
      <c r="Z984" s="140"/>
      <c r="AA984" s="140"/>
      <c r="AB984" s="140"/>
      <c r="AC984" s="140"/>
      <c r="AD984" s="140"/>
    </row>
    <row r="985" spans="1:30" ht="15.75" customHeight="1" x14ac:dyDescent="0.2">
      <c r="A985" s="140"/>
      <c r="B985" s="140"/>
      <c r="C985" s="140"/>
      <c r="D985" s="140"/>
      <c r="E985" s="140"/>
      <c r="F985" s="140"/>
      <c r="G985" s="140"/>
      <c r="H985" s="140"/>
      <c r="I985" s="140"/>
      <c r="J985" s="140"/>
      <c r="K985" s="140"/>
      <c r="L985" s="140"/>
      <c r="M985" s="140"/>
      <c r="N985" s="140"/>
      <c r="O985" s="140"/>
      <c r="P985" s="140"/>
      <c r="Q985" s="140"/>
      <c r="R985" s="140"/>
      <c r="S985" s="140"/>
      <c r="T985" s="140"/>
      <c r="U985" s="140"/>
      <c r="V985" s="140"/>
      <c r="W985" s="140"/>
      <c r="X985" s="140"/>
      <c r="Y985" s="140"/>
      <c r="Z985" s="140"/>
      <c r="AA985" s="140"/>
      <c r="AB985" s="140"/>
      <c r="AC985" s="140"/>
      <c r="AD985" s="140"/>
    </row>
    <row r="986" spans="1:30" ht="15.75" customHeight="1" x14ac:dyDescent="0.2">
      <c r="A986" s="140"/>
      <c r="B986" s="140"/>
      <c r="C986" s="140"/>
      <c r="D986" s="140"/>
      <c r="E986" s="140"/>
      <c r="F986" s="140"/>
      <c r="G986" s="140"/>
      <c r="H986" s="140"/>
      <c r="I986" s="140"/>
      <c r="J986" s="140"/>
      <c r="K986" s="140"/>
      <c r="L986" s="140"/>
      <c r="M986" s="140"/>
      <c r="N986" s="140"/>
      <c r="O986" s="140"/>
      <c r="P986" s="140"/>
      <c r="Q986" s="140"/>
      <c r="R986" s="140"/>
      <c r="S986" s="140"/>
      <c r="T986" s="140"/>
      <c r="U986" s="140"/>
      <c r="V986" s="140"/>
      <c r="W986" s="140"/>
      <c r="X986" s="140"/>
      <c r="Y986" s="140"/>
      <c r="Z986" s="140"/>
      <c r="AA986" s="140"/>
      <c r="AB986" s="140"/>
      <c r="AC986" s="140"/>
      <c r="AD986" s="140"/>
    </row>
    <row r="987" spans="1:30" ht="15.75" customHeight="1" x14ac:dyDescent="0.2">
      <c r="A987" s="140"/>
      <c r="B987" s="140"/>
      <c r="C987" s="140"/>
      <c r="D987" s="140"/>
      <c r="E987" s="140"/>
      <c r="F987" s="140"/>
      <c r="G987" s="140"/>
      <c r="H987" s="140"/>
      <c r="I987" s="140"/>
      <c r="J987" s="140"/>
      <c r="K987" s="140"/>
      <c r="L987" s="140"/>
      <c r="M987" s="140"/>
      <c r="N987" s="140"/>
      <c r="O987" s="140"/>
      <c r="P987" s="140"/>
      <c r="Q987" s="140"/>
      <c r="R987" s="140"/>
      <c r="S987" s="140"/>
      <c r="T987" s="140"/>
      <c r="U987" s="140"/>
      <c r="V987" s="140"/>
      <c r="W987" s="140"/>
      <c r="X987" s="140"/>
      <c r="Y987" s="140"/>
      <c r="Z987" s="140"/>
      <c r="AA987" s="140"/>
      <c r="AB987" s="140"/>
      <c r="AC987" s="140"/>
      <c r="AD987" s="140"/>
    </row>
    <row r="988" spans="1:30" ht="15.75" customHeight="1" x14ac:dyDescent="0.2">
      <c r="A988" s="140"/>
      <c r="B988" s="140"/>
      <c r="C988" s="140"/>
      <c r="D988" s="140"/>
      <c r="E988" s="140"/>
      <c r="F988" s="140"/>
      <c r="G988" s="140"/>
      <c r="H988" s="140"/>
      <c r="I988" s="140"/>
      <c r="J988" s="140"/>
      <c r="K988" s="140"/>
      <c r="L988" s="140"/>
      <c r="M988" s="140"/>
      <c r="N988" s="140"/>
      <c r="O988" s="140"/>
      <c r="P988" s="140"/>
      <c r="Q988" s="140"/>
      <c r="R988" s="140"/>
      <c r="S988" s="140"/>
      <c r="T988" s="140"/>
      <c r="U988" s="140"/>
      <c r="V988" s="140"/>
      <c r="W988" s="140"/>
      <c r="X988" s="140"/>
      <c r="Y988" s="140"/>
      <c r="Z988" s="140"/>
      <c r="AA988" s="140"/>
      <c r="AB988" s="140"/>
      <c r="AC988" s="140"/>
      <c r="AD988" s="140"/>
    </row>
    <row r="989" spans="1:30" ht="15.75" customHeight="1" x14ac:dyDescent="0.2">
      <c r="A989" s="140"/>
      <c r="B989" s="140"/>
      <c r="C989" s="140"/>
      <c r="D989" s="140"/>
      <c r="E989" s="140"/>
      <c r="F989" s="140"/>
      <c r="G989" s="140"/>
      <c r="H989" s="140"/>
      <c r="I989" s="140"/>
      <c r="J989" s="140"/>
      <c r="K989" s="140"/>
      <c r="L989" s="140"/>
      <c r="M989" s="140"/>
      <c r="N989" s="140"/>
      <c r="O989" s="140"/>
      <c r="P989" s="140"/>
      <c r="Q989" s="140"/>
      <c r="R989" s="140"/>
      <c r="S989" s="140"/>
      <c r="T989" s="140"/>
      <c r="U989" s="140"/>
      <c r="V989" s="140"/>
      <c r="W989" s="140"/>
      <c r="X989" s="140"/>
      <c r="Y989" s="140"/>
      <c r="Z989" s="140"/>
      <c r="AA989" s="140"/>
      <c r="AB989" s="140"/>
      <c r="AC989" s="140"/>
      <c r="AD989" s="140"/>
    </row>
    <row r="990" spans="1:30" ht="15.75" customHeight="1" x14ac:dyDescent="0.2">
      <c r="A990" s="140"/>
      <c r="B990" s="140"/>
      <c r="C990" s="140"/>
      <c r="D990" s="140"/>
      <c r="E990" s="140"/>
      <c r="F990" s="140"/>
      <c r="G990" s="140"/>
      <c r="H990" s="140"/>
      <c r="I990" s="140"/>
      <c r="J990" s="140"/>
      <c r="K990" s="140"/>
      <c r="L990" s="140"/>
      <c r="M990" s="140"/>
      <c r="N990" s="140"/>
      <c r="O990" s="140"/>
      <c r="P990" s="140"/>
      <c r="Q990" s="140"/>
      <c r="R990" s="140"/>
      <c r="S990" s="140"/>
      <c r="T990" s="140"/>
      <c r="U990" s="140"/>
      <c r="V990" s="140"/>
      <c r="W990" s="140"/>
      <c r="X990" s="140"/>
      <c r="Y990" s="140"/>
      <c r="Z990" s="140"/>
      <c r="AA990" s="140"/>
      <c r="AB990" s="140"/>
      <c r="AC990" s="140"/>
      <c r="AD990" s="140"/>
    </row>
    <row r="991" spans="1:30" ht="15.75" customHeight="1" x14ac:dyDescent="0.2">
      <c r="A991" s="140"/>
      <c r="B991" s="140"/>
      <c r="C991" s="140"/>
      <c r="D991" s="140"/>
      <c r="E991" s="140"/>
      <c r="F991" s="140"/>
      <c r="G991" s="140"/>
      <c r="H991" s="140"/>
      <c r="I991" s="140"/>
      <c r="J991" s="140"/>
      <c r="K991" s="140"/>
      <c r="L991" s="140"/>
      <c r="M991" s="140"/>
      <c r="N991" s="140"/>
      <c r="O991" s="140"/>
      <c r="P991" s="140"/>
      <c r="Q991" s="140"/>
      <c r="R991" s="140"/>
      <c r="S991" s="140"/>
      <c r="T991" s="140"/>
      <c r="U991" s="140"/>
      <c r="V991" s="140"/>
      <c r="W991" s="140"/>
      <c r="X991" s="140"/>
      <c r="Y991" s="140"/>
      <c r="Z991" s="140"/>
      <c r="AA991" s="140"/>
      <c r="AB991" s="140"/>
      <c r="AC991" s="140"/>
      <c r="AD991" s="140"/>
    </row>
    <row r="992" spans="1:30" ht="15.75" customHeight="1" x14ac:dyDescent="0.2">
      <c r="A992" s="140"/>
      <c r="B992" s="140"/>
      <c r="C992" s="140"/>
      <c r="D992" s="140"/>
      <c r="E992" s="140"/>
      <c r="F992" s="140"/>
      <c r="G992" s="140"/>
      <c r="H992" s="140"/>
      <c r="I992" s="140"/>
      <c r="J992" s="140"/>
      <c r="K992" s="140"/>
      <c r="L992" s="140"/>
      <c r="M992" s="140"/>
      <c r="N992" s="140"/>
      <c r="O992" s="140"/>
      <c r="P992" s="140"/>
      <c r="Q992" s="140"/>
      <c r="R992" s="140"/>
      <c r="S992" s="140"/>
      <c r="T992" s="140"/>
      <c r="U992" s="140"/>
      <c r="V992" s="140"/>
      <c r="W992" s="140"/>
      <c r="X992" s="140"/>
      <c r="Y992" s="140"/>
      <c r="Z992" s="140"/>
      <c r="AA992" s="140"/>
      <c r="AB992" s="140"/>
      <c r="AC992" s="140"/>
      <c r="AD992" s="140"/>
    </row>
    <row r="993" spans="1:30" ht="15.75" customHeight="1" x14ac:dyDescent="0.2">
      <c r="A993" s="140"/>
      <c r="B993" s="140"/>
      <c r="C993" s="140"/>
      <c r="D993" s="140"/>
      <c r="E993" s="140"/>
      <c r="F993" s="140"/>
      <c r="G993" s="140"/>
      <c r="H993" s="140"/>
      <c r="I993" s="140"/>
      <c r="J993" s="140"/>
      <c r="K993" s="140"/>
      <c r="L993" s="140"/>
      <c r="M993" s="140"/>
      <c r="N993" s="140"/>
      <c r="O993" s="140"/>
      <c r="P993" s="140"/>
      <c r="Q993" s="140"/>
      <c r="R993" s="140"/>
      <c r="S993" s="140"/>
      <c r="T993" s="140"/>
      <c r="U993" s="140"/>
      <c r="V993" s="140"/>
      <c r="W993" s="140"/>
      <c r="X993" s="140"/>
      <c r="Y993" s="140"/>
      <c r="Z993" s="140"/>
      <c r="AA993" s="140"/>
      <c r="AB993" s="140"/>
      <c r="AC993" s="140"/>
      <c r="AD993" s="140"/>
    </row>
    <row r="994" spans="1:30" ht="15.75" customHeight="1" x14ac:dyDescent="0.2">
      <c r="A994" s="140"/>
      <c r="B994" s="140"/>
      <c r="C994" s="140"/>
      <c r="D994" s="140"/>
      <c r="E994" s="140"/>
      <c r="F994" s="140"/>
      <c r="G994" s="140"/>
      <c r="H994" s="140"/>
      <c r="I994" s="140"/>
      <c r="J994" s="140"/>
      <c r="K994" s="140"/>
      <c r="L994" s="140"/>
      <c r="M994" s="140"/>
      <c r="N994" s="140"/>
      <c r="O994" s="140"/>
      <c r="P994" s="140"/>
      <c r="Q994" s="140"/>
      <c r="R994" s="140"/>
      <c r="S994" s="140"/>
      <c r="T994" s="140"/>
      <c r="U994" s="140"/>
      <c r="V994" s="140"/>
      <c r="W994" s="140"/>
      <c r="X994" s="140"/>
      <c r="Y994" s="140"/>
      <c r="Z994" s="140"/>
      <c r="AA994" s="140"/>
      <c r="AB994" s="140"/>
      <c r="AC994" s="140"/>
      <c r="AD994" s="140"/>
    </row>
    <row r="995" spans="1:30" ht="15.75" customHeight="1" x14ac:dyDescent="0.2">
      <c r="A995" s="140"/>
      <c r="B995" s="140"/>
      <c r="C995" s="140"/>
      <c r="D995" s="140"/>
      <c r="E995" s="140"/>
      <c r="F995" s="140"/>
      <c r="G995" s="140"/>
      <c r="H995" s="140"/>
      <c r="I995" s="140"/>
      <c r="J995" s="140"/>
      <c r="K995" s="140"/>
      <c r="L995" s="140"/>
      <c r="M995" s="140"/>
      <c r="N995" s="140"/>
      <c r="O995" s="140"/>
      <c r="P995" s="140"/>
      <c r="Q995" s="140"/>
      <c r="R995" s="140"/>
      <c r="S995" s="140"/>
      <c r="T995" s="140"/>
      <c r="U995" s="140"/>
      <c r="V995" s="140"/>
      <c r="W995" s="140"/>
      <c r="X995" s="140"/>
      <c r="Y995" s="140"/>
      <c r="Z995" s="140"/>
      <c r="AA995" s="140"/>
      <c r="AB995" s="140"/>
      <c r="AC995" s="140"/>
      <c r="AD995" s="140"/>
    </row>
    <row r="996" spans="1:30" ht="15.75" customHeight="1" x14ac:dyDescent="0.2">
      <c r="A996" s="140"/>
      <c r="B996" s="140"/>
      <c r="C996" s="140"/>
      <c r="D996" s="140"/>
      <c r="E996" s="140"/>
      <c r="F996" s="140"/>
      <c r="G996" s="140"/>
      <c r="H996" s="140"/>
      <c r="I996" s="140"/>
      <c r="J996" s="140"/>
      <c r="K996" s="140"/>
      <c r="L996" s="140"/>
      <c r="M996" s="140"/>
      <c r="N996" s="140"/>
      <c r="O996" s="140"/>
      <c r="P996" s="140"/>
      <c r="Q996" s="140"/>
      <c r="R996" s="140"/>
      <c r="S996" s="140"/>
      <c r="T996" s="140"/>
      <c r="U996" s="140"/>
      <c r="V996" s="140"/>
      <c r="W996" s="140"/>
      <c r="X996" s="140"/>
      <c r="Y996" s="140"/>
      <c r="Z996" s="140"/>
      <c r="AA996" s="140"/>
      <c r="AB996" s="140"/>
      <c r="AC996" s="140"/>
      <c r="AD996" s="140"/>
    </row>
    <row r="997" spans="1:30" ht="15.75" customHeight="1" x14ac:dyDescent="0.2">
      <c r="A997" s="140"/>
      <c r="B997" s="140"/>
      <c r="C997" s="140"/>
      <c r="D997" s="140"/>
      <c r="E997" s="140"/>
      <c r="F997" s="140"/>
      <c r="G997" s="140"/>
      <c r="H997" s="140"/>
      <c r="I997" s="140"/>
      <c r="J997" s="140"/>
      <c r="K997" s="140"/>
      <c r="L997" s="140"/>
      <c r="M997" s="140"/>
      <c r="N997" s="140"/>
      <c r="O997" s="140"/>
      <c r="P997" s="140"/>
      <c r="Q997" s="140"/>
      <c r="R997" s="140"/>
      <c r="S997" s="140"/>
      <c r="T997" s="140"/>
      <c r="U997" s="140"/>
      <c r="V997" s="140"/>
      <c r="W997" s="140"/>
      <c r="X997" s="140"/>
      <c r="Y997" s="140"/>
      <c r="Z997" s="140"/>
      <c r="AA997" s="140"/>
      <c r="AB997" s="140"/>
      <c r="AC997" s="140"/>
      <c r="AD997" s="140"/>
    </row>
    <row r="998" spans="1:30" ht="15.75" customHeight="1" x14ac:dyDescent="0.2">
      <c r="A998" s="140"/>
      <c r="B998" s="140"/>
      <c r="C998" s="140"/>
      <c r="D998" s="140"/>
      <c r="E998" s="140"/>
      <c r="F998" s="140"/>
      <c r="G998" s="140"/>
      <c r="H998" s="140"/>
      <c r="I998" s="140"/>
      <c r="J998" s="140"/>
      <c r="K998" s="140"/>
      <c r="L998" s="140"/>
      <c r="M998" s="140"/>
      <c r="N998" s="140"/>
      <c r="O998" s="140"/>
      <c r="P998" s="140"/>
      <c r="Q998" s="140"/>
      <c r="R998" s="140"/>
      <c r="S998" s="140"/>
      <c r="T998" s="140"/>
      <c r="U998" s="140"/>
      <c r="V998" s="140"/>
      <c r="W998" s="140"/>
      <c r="X998" s="140"/>
      <c r="Y998" s="140"/>
      <c r="Z998" s="140"/>
      <c r="AA998" s="140"/>
      <c r="AB998" s="140"/>
      <c r="AC998" s="140"/>
      <c r="AD998" s="140"/>
    </row>
    <row r="999" spans="1:30" ht="15.75" customHeight="1" x14ac:dyDescent="0.2">
      <c r="A999" s="140"/>
      <c r="B999" s="140"/>
      <c r="C999" s="140"/>
      <c r="D999" s="140"/>
      <c r="E999" s="140"/>
      <c r="F999" s="140"/>
      <c r="G999" s="140"/>
      <c r="H999" s="140"/>
      <c r="I999" s="140"/>
      <c r="J999" s="140"/>
      <c r="K999" s="140"/>
      <c r="L999" s="140"/>
      <c r="M999" s="140"/>
      <c r="N999" s="140"/>
      <c r="O999" s="140"/>
      <c r="P999" s="140"/>
      <c r="Q999" s="140"/>
      <c r="R999" s="140"/>
      <c r="S999" s="140"/>
      <c r="T999" s="140"/>
      <c r="U999" s="140"/>
      <c r="V999" s="140"/>
      <c r="W999" s="140"/>
      <c r="X999" s="140"/>
      <c r="Y999" s="140"/>
      <c r="Z999" s="140"/>
      <c r="AA999" s="140"/>
      <c r="AB999" s="140"/>
      <c r="AC999" s="140"/>
      <c r="AD999" s="140"/>
    </row>
    <row r="1000" spans="1:30" ht="15.75" customHeight="1" x14ac:dyDescent="0.2">
      <c r="A1000" s="140"/>
      <c r="B1000" s="140"/>
      <c r="C1000" s="140"/>
      <c r="D1000" s="140"/>
      <c r="E1000" s="140"/>
      <c r="F1000" s="140"/>
      <c r="G1000" s="140"/>
      <c r="H1000" s="140"/>
      <c r="I1000" s="140"/>
      <c r="J1000" s="140"/>
      <c r="K1000" s="140"/>
      <c r="L1000" s="140"/>
      <c r="M1000" s="140"/>
      <c r="N1000" s="140"/>
      <c r="O1000" s="140"/>
      <c r="P1000" s="140"/>
      <c r="Q1000" s="140"/>
      <c r="R1000" s="140"/>
      <c r="S1000" s="140"/>
      <c r="T1000" s="140"/>
      <c r="U1000" s="140"/>
      <c r="V1000" s="140"/>
      <c r="W1000" s="140"/>
      <c r="X1000" s="140"/>
      <c r="Y1000" s="140"/>
      <c r="Z1000" s="140"/>
      <c r="AA1000" s="140"/>
      <c r="AB1000" s="140"/>
      <c r="AC1000" s="140"/>
      <c r="AD1000" s="140"/>
    </row>
  </sheetData>
  <mergeCells count="1">
    <mergeCell ref="AF7:AG7"/>
  </mergeCells>
  <pageMargins left="0.7" right="0.7" top="0.75" bottom="0.75" header="0" footer="0"/>
  <pageSetup orientation="landscape"/>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D1000"/>
  <sheetViews>
    <sheetView workbookViewId="0"/>
  </sheetViews>
  <sheetFormatPr defaultColWidth="16.85546875" defaultRowHeight="15" customHeight="1" x14ac:dyDescent="0.2"/>
  <cols>
    <col min="1" max="1" width="3.85546875" customWidth="1"/>
    <col min="2" max="2" width="19" customWidth="1"/>
    <col min="3" max="3" width="38" customWidth="1"/>
    <col min="4" max="4" width="41.140625" customWidth="1"/>
    <col min="5" max="5" width="21.140625" customWidth="1"/>
    <col min="6" max="6" width="24" customWidth="1"/>
    <col min="7" max="7" width="16.42578125" customWidth="1"/>
    <col min="8" max="8" width="12.28515625" customWidth="1"/>
    <col min="9" max="9" width="24.7109375" customWidth="1"/>
    <col min="10" max="10" width="17.7109375" customWidth="1"/>
    <col min="11" max="11" width="21.28515625" customWidth="1"/>
    <col min="12" max="12" width="19.140625" customWidth="1"/>
    <col min="13" max="13" width="19.28515625" customWidth="1"/>
    <col min="14" max="14" width="12.140625" customWidth="1"/>
    <col min="15" max="30" width="9.28515625" customWidth="1"/>
  </cols>
  <sheetData>
    <row r="1" spans="1:30" ht="11.25" customHeight="1" x14ac:dyDescent="0.2">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row>
    <row r="2" spans="1:30" ht="11.25" customHeight="1" x14ac:dyDescent="0.2">
      <c r="A2" s="140"/>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row>
    <row r="3" spans="1:30" ht="21" x14ac:dyDescent="0.4">
      <c r="A3" s="140"/>
      <c r="B3" s="141" t="s">
        <v>166</v>
      </c>
      <c r="C3" s="142"/>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row>
    <row r="4" spans="1:30" ht="12.75" customHeight="1" x14ac:dyDescent="0.25">
      <c r="A4" s="143"/>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143"/>
      <c r="AB4" s="143"/>
      <c r="AC4" s="143"/>
      <c r="AD4" s="143"/>
    </row>
    <row r="5" spans="1:30" ht="12.75" customHeight="1" x14ac:dyDescent="0.25">
      <c r="A5" s="143"/>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row>
    <row r="6" spans="1:30" ht="12.75" customHeight="1" x14ac:dyDescent="0.35">
      <c r="A6" s="143"/>
      <c r="B6" s="144" t="s">
        <v>167</v>
      </c>
      <c r="C6" s="145" t="s">
        <v>168</v>
      </c>
      <c r="D6" s="145" t="s">
        <v>169</v>
      </c>
      <c r="E6" s="145" t="s">
        <v>170</v>
      </c>
      <c r="F6" s="145" t="s">
        <v>171</v>
      </c>
      <c r="G6" s="145" t="s">
        <v>171</v>
      </c>
      <c r="H6" s="145" t="s">
        <v>172</v>
      </c>
      <c r="I6" s="145" t="s">
        <v>173</v>
      </c>
      <c r="J6" s="146" t="s">
        <v>174</v>
      </c>
      <c r="K6" s="145" t="s">
        <v>175</v>
      </c>
      <c r="L6" s="145" t="s">
        <v>176</v>
      </c>
      <c r="M6" s="147" t="s">
        <v>177</v>
      </c>
      <c r="N6" s="143"/>
      <c r="O6" s="143"/>
      <c r="P6" s="143"/>
      <c r="Q6" s="143"/>
      <c r="R6" s="143"/>
      <c r="S6" s="143"/>
      <c r="T6" s="143"/>
      <c r="U6" s="143"/>
      <c r="V6" s="143"/>
      <c r="W6" s="143"/>
      <c r="X6" s="143"/>
      <c r="Y6" s="143"/>
      <c r="Z6" s="143"/>
      <c r="AA6" s="143"/>
      <c r="AB6" s="143"/>
      <c r="AC6" s="143"/>
      <c r="AD6" s="143"/>
    </row>
    <row r="7" spans="1:30" ht="12.75" customHeight="1" x14ac:dyDescent="0.25">
      <c r="A7" s="143"/>
      <c r="B7" s="148"/>
      <c r="C7" s="149"/>
      <c r="D7" s="149"/>
      <c r="E7" s="149"/>
      <c r="F7" s="149"/>
      <c r="G7" s="149" t="s">
        <v>178</v>
      </c>
      <c r="H7" s="149" t="s">
        <v>179</v>
      </c>
      <c r="I7" s="149" t="s">
        <v>180</v>
      </c>
      <c r="J7" s="149" t="s">
        <v>181</v>
      </c>
      <c r="K7" s="149" t="s">
        <v>182</v>
      </c>
      <c r="L7" s="149" t="s">
        <v>182</v>
      </c>
      <c r="M7" s="150" t="s">
        <v>182</v>
      </c>
      <c r="N7" s="143"/>
      <c r="O7" s="143"/>
      <c r="P7" s="143"/>
      <c r="Q7" s="143"/>
      <c r="R7" s="143"/>
      <c r="S7" s="143"/>
      <c r="T7" s="143"/>
      <c r="U7" s="143"/>
      <c r="V7" s="143"/>
      <c r="W7" s="143"/>
      <c r="X7" s="143"/>
      <c r="Y7" s="143"/>
      <c r="Z7" s="143"/>
      <c r="AA7" s="143"/>
      <c r="AB7" s="143"/>
      <c r="AC7" s="143"/>
      <c r="AD7" s="143"/>
    </row>
    <row r="8" spans="1:30" ht="12.75" customHeight="1" x14ac:dyDescent="0.25">
      <c r="A8" s="143"/>
      <c r="B8" s="151"/>
      <c r="C8" s="152"/>
      <c r="D8" s="152"/>
      <c r="E8" s="152"/>
      <c r="F8" s="152"/>
      <c r="G8" s="152"/>
      <c r="H8" s="152"/>
      <c r="I8" s="152"/>
      <c r="J8" s="152"/>
      <c r="K8" s="153"/>
      <c r="L8" s="152"/>
      <c r="M8" s="154"/>
      <c r="N8" s="143"/>
      <c r="O8" s="143"/>
      <c r="P8" s="143"/>
      <c r="Q8" s="143"/>
      <c r="R8" s="143"/>
      <c r="S8" s="143"/>
      <c r="T8" s="143"/>
      <c r="U8" s="143"/>
      <c r="V8" s="143"/>
      <c r="W8" s="143"/>
      <c r="X8" s="143"/>
      <c r="Y8" s="143"/>
      <c r="Z8" s="143"/>
      <c r="AA8" s="143"/>
      <c r="AB8" s="143"/>
      <c r="AC8" s="143"/>
      <c r="AD8" s="143"/>
    </row>
    <row r="9" spans="1:30" ht="12.75" customHeight="1" x14ac:dyDescent="0.25">
      <c r="A9" s="143"/>
      <c r="B9" s="155" t="s">
        <v>183</v>
      </c>
      <c r="C9" s="156" t="s">
        <v>184</v>
      </c>
      <c r="D9" s="157"/>
      <c r="E9" s="157"/>
      <c r="F9" s="158"/>
      <c r="G9" s="157"/>
      <c r="H9" s="157"/>
      <c r="I9" s="157"/>
      <c r="J9" s="157"/>
      <c r="K9" s="157"/>
      <c r="L9" s="157"/>
      <c r="M9" s="159"/>
      <c r="N9" s="143"/>
      <c r="O9" s="143"/>
      <c r="P9" s="143"/>
      <c r="Q9" s="143"/>
      <c r="R9" s="143"/>
      <c r="S9" s="143"/>
      <c r="T9" s="143"/>
      <c r="U9" s="143"/>
      <c r="V9" s="143"/>
      <c r="W9" s="143"/>
      <c r="X9" s="143"/>
      <c r="Y9" s="143"/>
      <c r="Z9" s="143"/>
      <c r="AA9" s="143"/>
      <c r="AB9" s="143"/>
      <c r="AC9" s="143"/>
      <c r="AD9" s="143"/>
    </row>
    <row r="10" spans="1:30" ht="12.75" customHeight="1" x14ac:dyDescent="0.25">
      <c r="A10" s="143"/>
      <c r="B10" s="151"/>
      <c r="C10" s="152" t="s">
        <v>185</v>
      </c>
      <c r="D10" s="160" t="s">
        <v>186</v>
      </c>
      <c r="E10" s="160" t="s">
        <v>187</v>
      </c>
      <c r="F10" s="161">
        <v>507880</v>
      </c>
      <c r="G10" s="160" t="s">
        <v>188</v>
      </c>
      <c r="H10" s="162">
        <v>11067</v>
      </c>
      <c r="I10" s="160" t="s">
        <v>189</v>
      </c>
      <c r="J10" s="163">
        <v>11908871</v>
      </c>
      <c r="K10" s="164">
        <v>1220867.8987337432</v>
      </c>
      <c r="L10" s="164">
        <v>144.30228682123382</v>
      </c>
      <c r="M10" s="165">
        <v>20.985789634666968</v>
      </c>
      <c r="N10" s="143"/>
      <c r="O10" s="143"/>
      <c r="P10" s="143"/>
      <c r="Q10" s="143"/>
      <c r="R10" s="143"/>
      <c r="S10" s="143"/>
      <c r="T10" s="143"/>
      <c r="U10" s="143"/>
      <c r="V10" s="143"/>
      <c r="W10" s="143"/>
      <c r="X10" s="143"/>
      <c r="Y10" s="143"/>
      <c r="Z10" s="143"/>
      <c r="AA10" s="143"/>
      <c r="AB10" s="143"/>
      <c r="AC10" s="143"/>
      <c r="AD10" s="143"/>
    </row>
    <row r="11" spans="1:30" ht="12.75" customHeight="1" x14ac:dyDescent="0.25">
      <c r="A11" s="143"/>
      <c r="B11" s="166"/>
      <c r="C11" s="167"/>
      <c r="D11" s="168"/>
      <c r="E11" s="168"/>
      <c r="F11" s="169"/>
      <c r="G11" s="168"/>
      <c r="H11" s="170"/>
      <c r="I11" s="168"/>
      <c r="J11" s="171"/>
      <c r="K11" s="168"/>
      <c r="L11" s="172"/>
      <c r="M11" s="173"/>
      <c r="N11" s="143"/>
      <c r="O11" s="143"/>
      <c r="P11" s="143"/>
      <c r="Q11" s="143"/>
      <c r="R11" s="143"/>
      <c r="S11" s="143"/>
      <c r="T11" s="143"/>
      <c r="U11" s="143"/>
      <c r="V11" s="143"/>
      <c r="W11" s="143"/>
      <c r="X11" s="143"/>
      <c r="Y11" s="143"/>
      <c r="Z11" s="143"/>
      <c r="AA11" s="143"/>
      <c r="AB11" s="143"/>
      <c r="AC11" s="143"/>
      <c r="AD11" s="143"/>
    </row>
    <row r="12" spans="1:30" ht="12.75" customHeight="1" x14ac:dyDescent="0.25">
      <c r="A12" s="143"/>
      <c r="B12" s="151"/>
      <c r="C12" s="152"/>
      <c r="D12" s="160"/>
      <c r="E12" s="160"/>
      <c r="F12" s="174"/>
      <c r="G12" s="160"/>
      <c r="H12" s="175"/>
      <c r="I12" s="160"/>
      <c r="J12" s="175"/>
      <c r="K12" s="176"/>
      <c r="L12" s="177"/>
      <c r="M12" s="178"/>
      <c r="N12" s="143"/>
      <c r="O12" s="143"/>
      <c r="P12" s="143"/>
      <c r="Q12" s="143"/>
      <c r="R12" s="143"/>
      <c r="S12" s="143"/>
      <c r="T12" s="143"/>
      <c r="U12" s="143"/>
      <c r="V12" s="143"/>
      <c r="W12" s="143"/>
      <c r="X12" s="143"/>
      <c r="Y12" s="143"/>
      <c r="Z12" s="143"/>
      <c r="AA12" s="143"/>
      <c r="AB12" s="143"/>
      <c r="AC12" s="143"/>
      <c r="AD12" s="143"/>
    </row>
    <row r="13" spans="1:30" ht="12.75" customHeight="1" x14ac:dyDescent="0.25">
      <c r="A13" s="143"/>
      <c r="B13" s="151" t="s">
        <v>190</v>
      </c>
      <c r="C13" s="179" t="s">
        <v>191</v>
      </c>
      <c r="D13" s="160"/>
      <c r="E13" s="160"/>
      <c r="F13" s="174"/>
      <c r="G13" s="160"/>
      <c r="H13" s="175"/>
      <c r="I13" s="160"/>
      <c r="J13" s="160"/>
      <c r="K13" s="175"/>
      <c r="L13" s="177"/>
      <c r="M13" s="178"/>
      <c r="N13" s="143"/>
      <c r="O13" s="143"/>
      <c r="P13" s="143"/>
      <c r="Q13" s="143"/>
      <c r="R13" s="143"/>
      <c r="S13" s="143"/>
      <c r="T13" s="143"/>
      <c r="U13" s="143"/>
      <c r="V13" s="143"/>
      <c r="W13" s="143"/>
      <c r="X13" s="143"/>
      <c r="Y13" s="143"/>
      <c r="Z13" s="143"/>
      <c r="AA13" s="143"/>
      <c r="AB13" s="143"/>
      <c r="AC13" s="143"/>
      <c r="AD13" s="143"/>
    </row>
    <row r="14" spans="1:30" ht="12.75" customHeight="1" x14ac:dyDescent="0.25">
      <c r="A14" s="143"/>
      <c r="B14" s="151"/>
      <c r="C14" s="152" t="s">
        <v>192</v>
      </c>
      <c r="D14" s="160" t="s">
        <v>193</v>
      </c>
      <c r="E14" s="160" t="s">
        <v>194</v>
      </c>
      <c r="F14" s="161">
        <v>274334</v>
      </c>
      <c r="G14" s="160" t="s">
        <v>188</v>
      </c>
      <c r="H14" s="177">
        <v>26.03</v>
      </c>
      <c r="I14" s="160" t="s">
        <v>195</v>
      </c>
      <c r="J14" s="180">
        <v>7140914.0200000005</v>
      </c>
      <c r="K14" s="181">
        <v>738581.32969990571</v>
      </c>
      <c r="L14" s="182">
        <v>86.552999999999997</v>
      </c>
      <c r="M14" s="183">
        <v>12.59</v>
      </c>
      <c r="N14" s="143"/>
      <c r="O14" s="143"/>
      <c r="P14" s="143"/>
      <c r="Q14" s="143"/>
      <c r="R14" s="143"/>
      <c r="S14" s="143"/>
      <c r="T14" s="143"/>
      <c r="U14" s="143"/>
      <c r="V14" s="143"/>
      <c r="W14" s="143"/>
      <c r="X14" s="143"/>
      <c r="Y14" s="143"/>
      <c r="Z14" s="143"/>
      <c r="AA14" s="143"/>
      <c r="AB14" s="143"/>
      <c r="AC14" s="143"/>
      <c r="AD14" s="143"/>
    </row>
    <row r="15" spans="1:30" ht="12.75" customHeight="1" x14ac:dyDescent="0.25">
      <c r="A15" s="143"/>
      <c r="B15" s="151"/>
      <c r="C15" s="152" t="s">
        <v>196</v>
      </c>
      <c r="D15" s="160" t="s">
        <v>197</v>
      </c>
      <c r="E15" s="160" t="s">
        <v>194</v>
      </c>
      <c r="F15" s="161">
        <v>194242</v>
      </c>
      <c r="G15" s="160" t="s">
        <v>188</v>
      </c>
      <c r="H15" s="177">
        <v>26.03</v>
      </c>
      <c r="I15" s="160" t="s">
        <v>195</v>
      </c>
      <c r="J15" s="180">
        <v>5056119.26</v>
      </c>
      <c r="K15" s="184">
        <v>484334.44321918994</v>
      </c>
      <c r="L15" s="185">
        <v>61.283999999999999</v>
      </c>
      <c r="M15" s="186">
        <v>8.9139999999999997</v>
      </c>
      <c r="N15" s="143"/>
      <c r="O15" s="143"/>
      <c r="P15" s="143"/>
      <c r="Q15" s="143"/>
      <c r="R15" s="143"/>
      <c r="S15" s="143"/>
      <c r="T15" s="143"/>
      <c r="U15" s="143"/>
      <c r="V15" s="143"/>
      <c r="W15" s="143"/>
      <c r="X15" s="143"/>
      <c r="Y15" s="143"/>
      <c r="Z15" s="143"/>
      <c r="AA15" s="143"/>
      <c r="AB15" s="143"/>
      <c r="AC15" s="143"/>
      <c r="AD15" s="143"/>
    </row>
    <row r="16" spans="1:30" ht="12.75" customHeight="1" x14ac:dyDescent="0.25">
      <c r="A16" s="143"/>
      <c r="B16" s="155"/>
      <c r="C16" s="156"/>
      <c r="D16" s="157"/>
      <c r="E16" s="157"/>
      <c r="F16" s="158"/>
      <c r="G16" s="157"/>
      <c r="H16" s="176"/>
      <c r="I16" s="157"/>
      <c r="J16" s="176"/>
      <c r="K16" s="176"/>
      <c r="L16" s="187"/>
      <c r="M16" s="159"/>
      <c r="N16" s="143"/>
      <c r="O16" s="143"/>
      <c r="P16" s="143"/>
      <c r="Q16" s="143"/>
      <c r="R16" s="143"/>
      <c r="S16" s="143"/>
      <c r="T16" s="143"/>
      <c r="U16" s="143"/>
      <c r="V16" s="143"/>
      <c r="W16" s="143"/>
      <c r="X16" s="143"/>
      <c r="Y16" s="143"/>
      <c r="Z16" s="143"/>
      <c r="AA16" s="143"/>
      <c r="AB16" s="143"/>
      <c r="AC16" s="143"/>
      <c r="AD16" s="143"/>
    </row>
    <row r="17" spans="1:30" ht="12.75" customHeight="1" x14ac:dyDescent="0.25">
      <c r="A17" s="143"/>
      <c r="B17" s="151" t="s">
        <v>198</v>
      </c>
      <c r="C17" s="179" t="s">
        <v>199</v>
      </c>
      <c r="D17" s="160"/>
      <c r="E17" s="160"/>
      <c r="F17" s="174"/>
      <c r="G17" s="160"/>
      <c r="H17" s="175"/>
      <c r="I17" s="160"/>
      <c r="J17" s="175"/>
      <c r="K17" s="175"/>
      <c r="L17" s="177"/>
      <c r="M17" s="188"/>
      <c r="N17" s="143"/>
      <c r="O17" s="143"/>
      <c r="P17" s="143"/>
      <c r="Q17" s="143"/>
      <c r="R17" s="143"/>
      <c r="S17" s="143"/>
      <c r="T17" s="143"/>
      <c r="U17" s="143"/>
      <c r="V17" s="143"/>
      <c r="W17" s="143"/>
      <c r="X17" s="143"/>
      <c r="Y17" s="143"/>
      <c r="Z17" s="143"/>
      <c r="AA17" s="143"/>
      <c r="AB17" s="143"/>
      <c r="AC17" s="143"/>
      <c r="AD17" s="143"/>
    </row>
    <row r="18" spans="1:30" ht="12.75" customHeight="1" x14ac:dyDescent="0.25">
      <c r="A18" s="143"/>
      <c r="B18" s="151"/>
      <c r="C18" s="152" t="s">
        <v>200</v>
      </c>
      <c r="D18" s="160" t="s">
        <v>193</v>
      </c>
      <c r="E18" s="160" t="s">
        <v>187</v>
      </c>
      <c r="F18" s="161">
        <v>73330</v>
      </c>
      <c r="G18" s="160" t="s">
        <v>188</v>
      </c>
      <c r="H18" s="175">
        <v>12906.5</v>
      </c>
      <c r="I18" s="160" t="s">
        <v>201</v>
      </c>
      <c r="J18" s="175">
        <v>1892867.29</v>
      </c>
      <c r="K18" s="175">
        <v>219559.89428387559</v>
      </c>
      <c r="L18" s="177">
        <v>22.945337289379996</v>
      </c>
      <c r="M18" s="189">
        <v>3.3375036057279996</v>
      </c>
      <c r="N18" s="143"/>
      <c r="O18" s="143"/>
      <c r="P18" s="143"/>
      <c r="Q18" s="143"/>
      <c r="R18" s="143"/>
      <c r="S18" s="143"/>
      <c r="T18" s="143"/>
      <c r="U18" s="143"/>
      <c r="V18" s="143"/>
      <c r="W18" s="143"/>
      <c r="X18" s="143"/>
      <c r="Y18" s="143"/>
      <c r="Z18" s="143"/>
      <c r="AA18" s="143"/>
      <c r="AB18" s="143"/>
      <c r="AC18" s="143"/>
      <c r="AD18" s="143"/>
    </row>
    <row r="19" spans="1:30" ht="12.75" customHeight="1" x14ac:dyDescent="0.25">
      <c r="A19" s="143"/>
      <c r="B19" s="151"/>
      <c r="C19" s="152" t="s">
        <v>202</v>
      </c>
      <c r="D19" s="160" t="s">
        <v>197</v>
      </c>
      <c r="E19" s="160" t="s">
        <v>187</v>
      </c>
      <c r="F19" s="161">
        <v>10500</v>
      </c>
      <c r="G19" s="160" t="s">
        <v>188</v>
      </c>
      <c r="H19" s="175">
        <v>12906.5</v>
      </c>
      <c r="I19" s="160" t="s">
        <v>201</v>
      </c>
      <c r="J19" s="175">
        <v>271036.5</v>
      </c>
      <c r="K19" s="175">
        <v>30101.855299617982</v>
      </c>
      <c r="L19" s="177">
        <v>3.2855044529999997</v>
      </c>
      <c r="M19" s="189">
        <v>0.47802165432000004</v>
      </c>
      <c r="N19" s="143"/>
      <c r="O19" s="143"/>
      <c r="P19" s="143"/>
      <c r="Q19" s="143"/>
      <c r="R19" s="143"/>
      <c r="S19" s="143"/>
      <c r="T19" s="143"/>
      <c r="U19" s="143"/>
      <c r="V19" s="143"/>
      <c r="W19" s="143"/>
      <c r="X19" s="143"/>
      <c r="Y19" s="143"/>
      <c r="Z19" s="143"/>
      <c r="AA19" s="143"/>
      <c r="AB19" s="143"/>
      <c r="AC19" s="143"/>
      <c r="AD19" s="143"/>
    </row>
    <row r="20" spans="1:30" ht="12.75" customHeight="1" x14ac:dyDescent="0.25">
      <c r="A20" s="143"/>
      <c r="B20" s="155"/>
      <c r="C20" s="190"/>
      <c r="D20" s="157"/>
      <c r="E20" s="157"/>
      <c r="F20" s="191"/>
      <c r="G20" s="157"/>
      <c r="H20" s="176"/>
      <c r="I20" s="157"/>
      <c r="J20" s="157"/>
      <c r="K20" s="157"/>
      <c r="L20" s="157"/>
      <c r="M20" s="159"/>
      <c r="N20" s="143"/>
      <c r="O20" s="143"/>
      <c r="P20" s="143"/>
      <c r="Q20" s="143"/>
      <c r="R20" s="143"/>
      <c r="S20" s="143"/>
      <c r="T20" s="143"/>
      <c r="U20" s="143"/>
      <c r="V20" s="143"/>
      <c r="W20" s="143"/>
      <c r="X20" s="143"/>
      <c r="Y20" s="143"/>
      <c r="Z20" s="143"/>
      <c r="AA20" s="143"/>
      <c r="AB20" s="143"/>
      <c r="AC20" s="143"/>
      <c r="AD20" s="143"/>
    </row>
    <row r="21" spans="1:30" ht="12.75" customHeight="1" x14ac:dyDescent="0.25">
      <c r="A21" s="143"/>
      <c r="B21" s="151" t="s">
        <v>203</v>
      </c>
      <c r="C21" s="179" t="s">
        <v>204</v>
      </c>
      <c r="D21" s="160"/>
      <c r="E21" s="160"/>
      <c r="F21" s="174"/>
      <c r="G21" s="160"/>
      <c r="H21" s="175"/>
      <c r="I21" s="160"/>
      <c r="J21" s="175"/>
      <c r="K21" s="175"/>
      <c r="L21" s="177"/>
      <c r="M21" s="178"/>
      <c r="N21" s="143"/>
      <c r="O21" s="143"/>
      <c r="P21" s="143"/>
      <c r="Q21" s="143"/>
      <c r="R21" s="143"/>
      <c r="S21" s="143"/>
      <c r="T21" s="143"/>
      <c r="U21" s="143"/>
      <c r="V21" s="143"/>
      <c r="W21" s="143"/>
      <c r="X21" s="143"/>
      <c r="Y21" s="143"/>
      <c r="Z21" s="143"/>
      <c r="AA21" s="143"/>
      <c r="AB21" s="143"/>
      <c r="AC21" s="143"/>
      <c r="AD21" s="143"/>
    </row>
    <row r="22" spans="1:30" ht="12.75" customHeight="1" x14ac:dyDescent="0.25">
      <c r="A22" s="143"/>
      <c r="B22" s="151"/>
      <c r="C22" s="152" t="s">
        <v>205</v>
      </c>
      <c r="D22" s="160" t="s">
        <v>206</v>
      </c>
      <c r="E22" s="160" t="s">
        <v>194</v>
      </c>
      <c r="F22" s="161">
        <v>37888</v>
      </c>
      <c r="G22" s="160" t="s">
        <v>188</v>
      </c>
      <c r="H22" s="192">
        <v>23.8</v>
      </c>
      <c r="I22" s="160" t="s">
        <v>207</v>
      </c>
      <c r="J22" s="180">
        <v>901734.40000000002</v>
      </c>
      <c r="K22" s="184">
        <v>94749.091833686747</v>
      </c>
      <c r="L22" s="193">
        <v>11.016999999999999</v>
      </c>
      <c r="M22" s="183">
        <v>1.6020000000000001</v>
      </c>
      <c r="N22" s="143"/>
      <c r="O22" s="143"/>
      <c r="P22" s="143"/>
      <c r="Q22" s="143"/>
      <c r="R22" s="143"/>
      <c r="S22" s="143"/>
      <c r="T22" s="143"/>
      <c r="U22" s="143"/>
      <c r="V22" s="143"/>
      <c r="W22" s="143"/>
      <c r="X22" s="143"/>
      <c r="Y22" s="143"/>
      <c r="Z22" s="143"/>
      <c r="AA22" s="143"/>
      <c r="AB22" s="143"/>
      <c r="AC22" s="143"/>
      <c r="AD22" s="143"/>
    </row>
    <row r="23" spans="1:30" ht="12.75" customHeight="1" x14ac:dyDescent="0.25">
      <c r="A23" s="143"/>
      <c r="B23" s="155"/>
      <c r="C23" s="190"/>
      <c r="D23" s="157"/>
      <c r="E23" s="157"/>
      <c r="F23" s="190"/>
      <c r="G23" s="157"/>
      <c r="H23" s="157"/>
      <c r="I23" s="157"/>
      <c r="J23" s="157"/>
      <c r="K23" s="157"/>
      <c r="L23" s="157"/>
      <c r="M23" s="159"/>
      <c r="N23" s="143"/>
      <c r="O23" s="143"/>
      <c r="P23" s="143"/>
      <c r="Q23" s="143"/>
      <c r="R23" s="143"/>
      <c r="S23" s="143"/>
      <c r="T23" s="143"/>
      <c r="U23" s="143"/>
      <c r="V23" s="143"/>
      <c r="W23" s="143"/>
      <c r="X23" s="143"/>
      <c r="Y23" s="143"/>
      <c r="Z23" s="143"/>
      <c r="AA23" s="143"/>
      <c r="AB23" s="143"/>
      <c r="AC23" s="143"/>
      <c r="AD23" s="143"/>
    </row>
    <row r="24" spans="1:30" ht="12.75" customHeight="1" x14ac:dyDescent="0.25">
      <c r="A24" s="143"/>
      <c r="B24" s="151" t="s">
        <v>208</v>
      </c>
      <c r="C24" s="179" t="s">
        <v>209</v>
      </c>
      <c r="D24" s="160"/>
      <c r="E24" s="160"/>
      <c r="F24" s="152"/>
      <c r="G24" s="160"/>
      <c r="H24" s="160"/>
      <c r="I24" s="160"/>
      <c r="J24" s="160"/>
      <c r="K24" s="160"/>
      <c r="L24" s="160"/>
      <c r="M24" s="178"/>
      <c r="N24" s="143"/>
      <c r="O24" s="143"/>
      <c r="P24" s="143"/>
      <c r="Q24" s="143"/>
      <c r="R24" s="143"/>
      <c r="S24" s="143"/>
      <c r="T24" s="143"/>
      <c r="U24" s="143"/>
      <c r="V24" s="143"/>
      <c r="W24" s="143"/>
      <c r="X24" s="143"/>
      <c r="Y24" s="143"/>
      <c r="Z24" s="143"/>
      <c r="AA24" s="143"/>
      <c r="AB24" s="143"/>
      <c r="AC24" s="143"/>
      <c r="AD24" s="143"/>
    </row>
    <row r="25" spans="1:30" ht="12.75" customHeight="1" x14ac:dyDescent="0.25">
      <c r="A25" s="143"/>
      <c r="B25" s="151"/>
      <c r="C25" s="152" t="s">
        <v>210</v>
      </c>
      <c r="D25" s="160" t="s">
        <v>211</v>
      </c>
      <c r="E25" s="160" t="s">
        <v>187</v>
      </c>
      <c r="F25" s="194">
        <v>51040</v>
      </c>
      <c r="G25" s="160" t="s">
        <v>188</v>
      </c>
      <c r="H25" s="195">
        <v>12828.8</v>
      </c>
      <c r="I25" s="160" t="s">
        <v>189</v>
      </c>
      <c r="J25" s="180">
        <v>1309563.9040000001</v>
      </c>
      <c r="K25" s="175">
        <v>124770.14937944809</v>
      </c>
      <c r="L25" s="196">
        <v>15.879031094022823</v>
      </c>
      <c r="M25" s="189">
        <v>2.3096754678512545</v>
      </c>
      <c r="N25" s="143"/>
      <c r="O25" s="143"/>
      <c r="P25" s="143"/>
      <c r="Q25" s="143"/>
      <c r="R25" s="143"/>
      <c r="S25" s="143"/>
      <c r="T25" s="143"/>
      <c r="U25" s="143"/>
      <c r="V25" s="143"/>
      <c r="W25" s="143"/>
      <c r="X25" s="143"/>
      <c r="Y25" s="143"/>
      <c r="Z25" s="143"/>
      <c r="AA25" s="143"/>
      <c r="AB25" s="143"/>
      <c r="AC25" s="143"/>
      <c r="AD25" s="143"/>
    </row>
    <row r="26" spans="1:30" ht="12.75" customHeight="1" x14ac:dyDescent="0.25">
      <c r="A26" s="143"/>
      <c r="B26" s="151"/>
      <c r="C26" s="152" t="s">
        <v>212</v>
      </c>
      <c r="D26" s="160" t="s">
        <v>213</v>
      </c>
      <c r="E26" s="160" t="s">
        <v>187</v>
      </c>
      <c r="F26" s="194">
        <v>35960</v>
      </c>
      <c r="G26" s="160" t="s">
        <v>188</v>
      </c>
      <c r="H26" s="195">
        <v>12828.8</v>
      </c>
      <c r="I26" s="160" t="s">
        <v>189</v>
      </c>
      <c r="J26" s="180">
        <v>922647.29599999997</v>
      </c>
      <c r="K26" s="175">
        <v>85450.056681938077</v>
      </c>
      <c r="L26" s="196">
        <v>11.187490547404511</v>
      </c>
      <c r="M26" s="189">
        <v>1.6272713523497475</v>
      </c>
      <c r="N26" s="143"/>
      <c r="O26" s="143"/>
      <c r="P26" s="143"/>
      <c r="Q26" s="143"/>
      <c r="R26" s="143"/>
      <c r="S26" s="143"/>
      <c r="T26" s="143"/>
      <c r="U26" s="143"/>
      <c r="V26" s="143"/>
      <c r="W26" s="143"/>
      <c r="X26" s="143"/>
      <c r="Y26" s="143"/>
      <c r="Z26" s="143"/>
      <c r="AA26" s="143"/>
      <c r="AB26" s="143"/>
      <c r="AC26" s="143"/>
      <c r="AD26" s="143"/>
    </row>
    <row r="27" spans="1:30" ht="12.75" customHeight="1" x14ac:dyDescent="0.25">
      <c r="A27" s="143"/>
      <c r="B27" s="151"/>
      <c r="C27" s="152" t="s">
        <v>214</v>
      </c>
      <c r="D27" s="160" t="s">
        <v>215</v>
      </c>
      <c r="E27" s="160" t="s">
        <v>187</v>
      </c>
      <c r="F27" s="194">
        <v>7440</v>
      </c>
      <c r="G27" s="160" t="s">
        <v>188</v>
      </c>
      <c r="H27" s="195">
        <v>12828.8</v>
      </c>
      <c r="I27" s="160" t="s">
        <v>189</v>
      </c>
      <c r="J27" s="180">
        <v>190892.54399999999</v>
      </c>
      <c r="K27" s="175">
        <v>18428.72840879823</v>
      </c>
      <c r="L27" s="196">
        <v>2.3146532167043818</v>
      </c>
      <c r="M27" s="189">
        <v>0.33667683152063743</v>
      </c>
      <c r="N27" s="143"/>
      <c r="O27" s="143"/>
      <c r="P27" s="143"/>
      <c r="Q27" s="143"/>
      <c r="R27" s="143"/>
      <c r="S27" s="143"/>
      <c r="T27" s="143"/>
      <c r="U27" s="143"/>
      <c r="V27" s="143"/>
      <c r="W27" s="143"/>
      <c r="X27" s="143"/>
      <c r="Y27" s="143"/>
      <c r="Z27" s="143"/>
      <c r="AA27" s="143"/>
      <c r="AB27" s="143"/>
      <c r="AC27" s="143"/>
      <c r="AD27" s="143"/>
    </row>
    <row r="28" spans="1:30" ht="12.75" customHeight="1" x14ac:dyDescent="0.25">
      <c r="A28" s="143"/>
      <c r="B28" s="155"/>
      <c r="C28" s="190"/>
      <c r="D28" s="157"/>
      <c r="E28" s="157"/>
      <c r="F28" s="190"/>
      <c r="G28" s="157"/>
      <c r="H28" s="157"/>
      <c r="I28" s="157"/>
      <c r="J28" s="157"/>
      <c r="K28" s="157"/>
      <c r="L28" s="157"/>
      <c r="M28" s="159"/>
      <c r="N28" s="143"/>
      <c r="O28" s="143"/>
      <c r="P28" s="143"/>
      <c r="Q28" s="143"/>
      <c r="R28" s="143"/>
      <c r="S28" s="143"/>
      <c r="T28" s="143"/>
      <c r="U28" s="143"/>
      <c r="V28" s="143"/>
      <c r="W28" s="143"/>
      <c r="X28" s="143"/>
      <c r="Y28" s="143"/>
      <c r="Z28" s="143"/>
      <c r="AA28" s="143"/>
      <c r="AB28" s="143"/>
      <c r="AC28" s="143"/>
      <c r="AD28" s="143"/>
    </row>
    <row r="29" spans="1:30" ht="12.75" customHeight="1" x14ac:dyDescent="0.25">
      <c r="A29" s="143"/>
      <c r="B29" s="151" t="s">
        <v>216</v>
      </c>
      <c r="C29" s="179" t="s">
        <v>217</v>
      </c>
      <c r="D29" s="160"/>
      <c r="E29" s="160"/>
      <c r="F29" s="152"/>
      <c r="G29" s="160"/>
      <c r="H29" s="160"/>
      <c r="I29" s="160"/>
      <c r="J29" s="160"/>
      <c r="K29" s="160"/>
      <c r="L29" s="160"/>
      <c r="M29" s="178"/>
      <c r="N29" s="143"/>
      <c r="O29" s="143"/>
      <c r="P29" s="143"/>
      <c r="Q29" s="143"/>
      <c r="R29" s="143"/>
      <c r="S29" s="143"/>
      <c r="T29" s="143"/>
      <c r="U29" s="143"/>
      <c r="V29" s="143"/>
      <c r="W29" s="143"/>
      <c r="X29" s="143"/>
      <c r="Y29" s="143"/>
      <c r="Z29" s="143"/>
      <c r="AA29" s="143"/>
      <c r="AB29" s="143"/>
      <c r="AC29" s="143"/>
      <c r="AD29" s="143"/>
    </row>
    <row r="30" spans="1:30" ht="12.75" customHeight="1" x14ac:dyDescent="0.25">
      <c r="A30" s="143"/>
      <c r="B30" s="151"/>
      <c r="C30" s="152" t="s">
        <v>218</v>
      </c>
      <c r="D30" s="160" t="s">
        <v>193</v>
      </c>
      <c r="E30" s="160" t="s">
        <v>187</v>
      </c>
      <c r="F30" s="194">
        <v>217355</v>
      </c>
      <c r="G30" s="160" t="s">
        <v>188</v>
      </c>
      <c r="H30" s="195">
        <v>12984</v>
      </c>
      <c r="I30" s="160" t="s">
        <v>189</v>
      </c>
      <c r="J30" s="180">
        <v>5644274.6399999997</v>
      </c>
      <c r="K30" s="175">
        <v>629776.07332166482</v>
      </c>
      <c r="L30" s="196">
        <v>73.429852645120576</v>
      </c>
      <c r="M30" s="189">
        <v>10.698909154281704</v>
      </c>
      <c r="N30" s="143"/>
      <c r="O30" s="143"/>
      <c r="P30" s="143"/>
      <c r="Q30" s="143"/>
      <c r="R30" s="143"/>
      <c r="S30" s="143"/>
      <c r="T30" s="143"/>
      <c r="U30" s="143"/>
      <c r="V30" s="143"/>
      <c r="W30" s="143"/>
      <c r="X30" s="143"/>
      <c r="Y30" s="143"/>
      <c r="Z30" s="143"/>
      <c r="AA30" s="143"/>
      <c r="AB30" s="143"/>
      <c r="AC30" s="143"/>
      <c r="AD30" s="143"/>
    </row>
    <row r="31" spans="1:30" ht="12.75" customHeight="1" x14ac:dyDescent="0.25">
      <c r="A31" s="143"/>
      <c r="B31" s="151"/>
      <c r="C31" s="152" t="s">
        <v>219</v>
      </c>
      <c r="D31" s="160" t="s">
        <v>197</v>
      </c>
      <c r="E31" s="160" t="s">
        <v>187</v>
      </c>
      <c r="F31" s="194">
        <v>234348</v>
      </c>
      <c r="G31" s="160" t="s">
        <v>188</v>
      </c>
      <c r="H31" s="197">
        <v>12984</v>
      </c>
      <c r="I31" s="160" t="s">
        <v>189</v>
      </c>
      <c r="J31" s="180">
        <v>6085548.8640000001</v>
      </c>
      <c r="K31" s="175">
        <v>627087.11668143061</v>
      </c>
      <c r="L31" s="196">
        <v>73.107117033753497</v>
      </c>
      <c r="M31" s="189">
        <v>10.658387582045416</v>
      </c>
      <c r="N31" s="143"/>
      <c r="O31" s="143"/>
      <c r="P31" s="143"/>
      <c r="Q31" s="143"/>
      <c r="R31" s="143"/>
      <c r="S31" s="143"/>
      <c r="T31" s="143"/>
      <c r="U31" s="143"/>
      <c r="V31" s="143"/>
      <c r="W31" s="143"/>
      <c r="X31" s="143"/>
      <c r="Y31" s="143"/>
      <c r="Z31" s="143"/>
      <c r="AA31" s="143"/>
      <c r="AB31" s="143"/>
      <c r="AC31" s="143"/>
      <c r="AD31" s="143"/>
    </row>
    <row r="32" spans="1:30" ht="12.75" customHeight="1" x14ac:dyDescent="0.25">
      <c r="A32" s="143"/>
      <c r="B32" s="151"/>
      <c r="C32" s="152"/>
      <c r="D32" s="160"/>
      <c r="E32" s="160"/>
      <c r="F32" s="160"/>
      <c r="G32" s="160"/>
      <c r="H32" s="160"/>
      <c r="I32" s="160"/>
      <c r="J32" s="160"/>
      <c r="K32" s="160"/>
      <c r="L32" s="160"/>
      <c r="M32" s="178"/>
      <c r="N32" s="143"/>
      <c r="O32" s="143"/>
      <c r="P32" s="143"/>
      <c r="Q32" s="143"/>
      <c r="R32" s="143"/>
      <c r="S32" s="143"/>
      <c r="T32" s="143"/>
      <c r="U32" s="143"/>
      <c r="V32" s="143"/>
      <c r="W32" s="143"/>
      <c r="X32" s="143"/>
      <c r="Y32" s="143"/>
      <c r="Z32" s="143"/>
      <c r="AA32" s="143"/>
      <c r="AB32" s="143"/>
      <c r="AC32" s="143"/>
      <c r="AD32" s="143"/>
    </row>
    <row r="33" spans="1:30" ht="12.75" customHeight="1" x14ac:dyDescent="0.25">
      <c r="A33" s="143"/>
      <c r="B33" s="151"/>
      <c r="C33" s="152"/>
      <c r="D33" s="160"/>
      <c r="E33" s="160"/>
      <c r="F33" s="198">
        <f>SUM(F9:F32)</f>
        <v>1644317</v>
      </c>
      <c r="G33" s="199"/>
      <c r="H33" s="199"/>
      <c r="I33" s="199"/>
      <c r="J33" s="198">
        <f t="shared" ref="J33:M33" si="0">SUM(J9:J32)</f>
        <v>41324469.717999995</v>
      </c>
      <c r="K33" s="198">
        <f t="shared" si="0"/>
        <v>4273706.6375432992</v>
      </c>
      <c r="L33" s="198">
        <f t="shared" si="0"/>
        <v>505.30527310061962</v>
      </c>
      <c r="M33" s="200">
        <f t="shared" si="0"/>
        <v>73.538235282763736</v>
      </c>
      <c r="N33" s="143"/>
      <c r="O33" s="143"/>
      <c r="P33" s="143"/>
      <c r="Q33" s="143"/>
      <c r="R33" s="143"/>
      <c r="S33" s="143"/>
      <c r="T33" s="143"/>
      <c r="U33" s="143"/>
      <c r="V33" s="143"/>
      <c r="W33" s="143"/>
      <c r="X33" s="143"/>
      <c r="Y33" s="143"/>
      <c r="Z33" s="143"/>
      <c r="AA33" s="143"/>
      <c r="AB33" s="143"/>
      <c r="AC33" s="143"/>
      <c r="AD33" s="143"/>
    </row>
    <row r="34" spans="1:30" ht="12.75" customHeight="1" x14ac:dyDescent="0.25">
      <c r="A34" s="143"/>
      <c r="B34" s="201"/>
      <c r="C34" s="202"/>
      <c r="D34" s="203"/>
      <c r="E34" s="203"/>
      <c r="F34" s="203"/>
      <c r="G34" s="203"/>
      <c r="H34" s="203"/>
      <c r="I34" s="203"/>
      <c r="J34" s="203"/>
      <c r="K34" s="203"/>
      <c r="L34" s="203"/>
      <c r="M34" s="204"/>
      <c r="N34" s="143"/>
      <c r="O34" s="143"/>
      <c r="P34" s="143"/>
      <c r="Q34" s="143"/>
      <c r="R34" s="143"/>
      <c r="S34" s="143"/>
      <c r="T34" s="143"/>
      <c r="U34" s="143"/>
      <c r="V34" s="143"/>
      <c r="W34" s="143"/>
      <c r="X34" s="143"/>
      <c r="Y34" s="143"/>
      <c r="Z34" s="143"/>
      <c r="AA34" s="143"/>
      <c r="AB34" s="143"/>
      <c r="AC34" s="143"/>
      <c r="AD34" s="143"/>
    </row>
    <row r="35" spans="1:30" ht="12.75" customHeight="1" x14ac:dyDescent="0.25">
      <c r="A35" s="143"/>
      <c r="B35" s="143"/>
      <c r="C35" s="143"/>
      <c r="D35" s="143"/>
      <c r="E35" s="143"/>
      <c r="F35" s="143"/>
      <c r="G35" s="143"/>
      <c r="H35" s="143"/>
      <c r="I35" s="143"/>
      <c r="J35" s="143"/>
      <c r="K35" s="143"/>
      <c r="L35" s="143"/>
      <c r="M35" s="143"/>
      <c r="N35" s="143"/>
      <c r="O35" s="143"/>
      <c r="P35" s="143"/>
      <c r="Q35" s="143"/>
      <c r="R35" s="143"/>
      <c r="S35" s="143"/>
      <c r="T35" s="143"/>
      <c r="U35" s="143"/>
      <c r="V35" s="143"/>
      <c r="W35" s="143"/>
      <c r="X35" s="143"/>
      <c r="Y35" s="143"/>
      <c r="Z35" s="143"/>
      <c r="AA35" s="143"/>
      <c r="AB35" s="143"/>
      <c r="AC35" s="143"/>
      <c r="AD35" s="143"/>
    </row>
    <row r="36" spans="1:30" ht="12.75" customHeight="1" x14ac:dyDescent="0.25">
      <c r="A36" s="143"/>
      <c r="B36" s="143"/>
      <c r="C36" s="143"/>
      <c r="D36" s="143"/>
      <c r="E36" s="143"/>
      <c r="F36" s="143"/>
      <c r="G36" s="143"/>
      <c r="H36" s="143"/>
      <c r="I36" s="143"/>
      <c r="J36" s="143"/>
      <c r="K36" s="143"/>
      <c r="L36" s="143"/>
      <c r="M36" s="143"/>
      <c r="N36" s="143"/>
      <c r="O36" s="143"/>
      <c r="P36" s="143"/>
      <c r="Q36" s="143"/>
      <c r="R36" s="143"/>
      <c r="S36" s="143"/>
      <c r="T36" s="143"/>
      <c r="U36" s="143"/>
      <c r="V36" s="143"/>
      <c r="W36" s="143"/>
      <c r="X36" s="143"/>
      <c r="Y36" s="143"/>
      <c r="Z36" s="143"/>
      <c r="AA36" s="143"/>
      <c r="AB36" s="143"/>
      <c r="AC36" s="143"/>
      <c r="AD36" s="143"/>
    </row>
    <row r="37" spans="1:30" ht="21" x14ac:dyDescent="0.4">
      <c r="A37" s="143"/>
      <c r="B37" s="205" t="s">
        <v>220</v>
      </c>
      <c r="C37" s="206"/>
      <c r="D37" s="207"/>
      <c r="E37" s="143"/>
      <c r="F37" s="143"/>
      <c r="G37" s="143"/>
      <c r="H37" s="143"/>
      <c r="I37" s="143"/>
      <c r="J37" s="143"/>
      <c r="K37" s="143"/>
      <c r="L37" s="143"/>
      <c r="M37" s="143"/>
      <c r="N37" s="143"/>
      <c r="O37" s="143"/>
      <c r="P37" s="143"/>
      <c r="Q37" s="143"/>
      <c r="R37" s="143"/>
      <c r="S37" s="143"/>
      <c r="T37" s="143"/>
      <c r="U37" s="143"/>
      <c r="V37" s="143"/>
      <c r="W37" s="143"/>
      <c r="X37" s="143"/>
      <c r="Y37" s="143"/>
      <c r="Z37" s="143"/>
      <c r="AA37" s="143"/>
      <c r="AB37" s="143"/>
      <c r="AC37" s="143"/>
      <c r="AD37" s="143"/>
    </row>
    <row r="38" spans="1:30" ht="12.75" customHeight="1" x14ac:dyDescent="0.25">
      <c r="A38" s="143"/>
      <c r="B38" s="143"/>
      <c r="C38" s="143"/>
      <c r="D38" s="143"/>
      <c r="E38" s="143"/>
      <c r="F38" s="143"/>
      <c r="G38" s="143"/>
      <c r="H38" s="143"/>
      <c r="I38" s="143"/>
      <c r="J38" s="143"/>
      <c r="K38" s="143"/>
      <c r="L38" s="143"/>
      <c r="M38" s="143"/>
      <c r="N38" s="143"/>
      <c r="O38" s="143"/>
      <c r="P38" s="143"/>
      <c r="Q38" s="143"/>
      <c r="R38" s="143"/>
      <c r="S38" s="143"/>
      <c r="T38" s="143"/>
      <c r="U38" s="143"/>
      <c r="V38" s="143"/>
      <c r="W38" s="143"/>
      <c r="X38" s="143"/>
      <c r="Y38" s="143"/>
      <c r="Z38" s="143"/>
      <c r="AA38" s="143"/>
      <c r="AB38" s="143"/>
      <c r="AC38" s="143"/>
      <c r="AD38" s="143"/>
    </row>
    <row r="39" spans="1:30" ht="12.75" customHeight="1" x14ac:dyDescent="0.25">
      <c r="A39" s="143"/>
      <c r="B39" s="143"/>
      <c r="C39" s="143"/>
      <c r="D39" s="143"/>
      <c r="E39" s="143"/>
      <c r="F39" s="143"/>
      <c r="G39" s="143"/>
      <c r="H39" s="143"/>
      <c r="I39" s="143"/>
      <c r="J39" s="143"/>
      <c r="K39" s="143"/>
      <c r="L39" s="143"/>
      <c r="M39" s="143"/>
      <c r="N39" s="143"/>
      <c r="O39" s="143"/>
      <c r="P39" s="143"/>
      <c r="Q39" s="143"/>
      <c r="R39" s="143"/>
      <c r="S39" s="143"/>
      <c r="T39" s="143"/>
      <c r="U39" s="143"/>
      <c r="V39" s="143"/>
      <c r="W39" s="143"/>
      <c r="X39" s="143"/>
      <c r="Y39" s="143"/>
      <c r="Z39" s="143"/>
      <c r="AA39" s="143"/>
      <c r="AB39" s="143"/>
      <c r="AC39" s="143"/>
      <c r="AD39" s="143"/>
    </row>
    <row r="40" spans="1:30" ht="12.75" customHeight="1" x14ac:dyDescent="0.35">
      <c r="A40" s="143"/>
      <c r="B40" s="144" t="s">
        <v>167</v>
      </c>
      <c r="C40" s="145" t="s">
        <v>168</v>
      </c>
      <c r="D40" s="145" t="s">
        <v>169</v>
      </c>
      <c r="E40" s="145" t="s">
        <v>170</v>
      </c>
      <c r="F40" s="145" t="s">
        <v>171</v>
      </c>
      <c r="G40" s="145" t="s">
        <v>171</v>
      </c>
      <c r="H40" s="145" t="s">
        <v>172</v>
      </c>
      <c r="I40" s="145" t="s">
        <v>173</v>
      </c>
      <c r="J40" s="146" t="s">
        <v>174</v>
      </c>
      <c r="K40" s="145" t="s">
        <v>221</v>
      </c>
      <c r="L40" s="145" t="s">
        <v>222</v>
      </c>
      <c r="M40" s="147" t="s">
        <v>223</v>
      </c>
      <c r="N40" s="143"/>
      <c r="O40" s="143"/>
      <c r="P40" s="143"/>
      <c r="Q40" s="143"/>
      <c r="R40" s="143"/>
      <c r="S40" s="143"/>
      <c r="T40" s="143"/>
      <c r="U40" s="143"/>
      <c r="V40" s="143"/>
      <c r="W40" s="143"/>
      <c r="X40" s="143"/>
      <c r="Y40" s="143"/>
      <c r="Z40" s="143"/>
      <c r="AA40" s="143"/>
      <c r="AB40" s="143"/>
      <c r="AC40" s="143"/>
      <c r="AD40" s="143"/>
    </row>
    <row r="41" spans="1:30" ht="12.75" customHeight="1" x14ac:dyDescent="0.25">
      <c r="A41" s="143"/>
      <c r="B41" s="148"/>
      <c r="C41" s="149"/>
      <c r="D41" s="149"/>
      <c r="E41" s="149"/>
      <c r="F41" s="149"/>
      <c r="G41" s="149" t="s">
        <v>178</v>
      </c>
      <c r="H41" s="149" t="s">
        <v>179</v>
      </c>
      <c r="I41" s="149" t="s">
        <v>180</v>
      </c>
      <c r="J41" s="149" t="s">
        <v>181</v>
      </c>
      <c r="K41" s="149" t="s">
        <v>182</v>
      </c>
      <c r="L41" s="149" t="s">
        <v>182</v>
      </c>
      <c r="M41" s="150" t="s">
        <v>182</v>
      </c>
      <c r="N41" s="143"/>
      <c r="O41" s="143"/>
      <c r="P41" s="143"/>
      <c r="Q41" s="143"/>
      <c r="R41" s="143"/>
      <c r="S41" s="143"/>
      <c r="T41" s="143"/>
      <c r="U41" s="143"/>
      <c r="V41" s="143"/>
      <c r="W41" s="143"/>
      <c r="X41" s="143"/>
      <c r="Y41" s="143"/>
      <c r="Z41" s="143"/>
      <c r="AA41" s="143"/>
      <c r="AB41" s="143"/>
      <c r="AC41" s="143"/>
      <c r="AD41" s="143"/>
    </row>
    <row r="42" spans="1:30" ht="12.75" customHeight="1" x14ac:dyDescent="0.25">
      <c r="A42" s="143"/>
      <c r="B42" s="151"/>
      <c r="C42" s="152"/>
      <c r="D42" s="152"/>
      <c r="E42" s="152"/>
      <c r="F42" s="152"/>
      <c r="G42" s="152"/>
      <c r="H42" s="152"/>
      <c r="I42" s="152"/>
      <c r="J42" s="152"/>
      <c r="K42" s="153"/>
      <c r="L42" s="152"/>
      <c r="M42" s="154"/>
      <c r="N42" s="143"/>
      <c r="O42" s="143"/>
      <c r="P42" s="143"/>
      <c r="Q42" s="143"/>
      <c r="R42" s="143"/>
      <c r="S42" s="143"/>
      <c r="T42" s="143"/>
      <c r="U42" s="143"/>
      <c r="V42" s="143"/>
      <c r="W42" s="143"/>
      <c r="X42" s="143"/>
      <c r="Y42" s="143"/>
      <c r="Z42" s="143"/>
      <c r="AA42" s="143"/>
      <c r="AB42" s="143"/>
      <c r="AC42" s="143"/>
      <c r="AD42" s="143"/>
    </row>
    <row r="43" spans="1:30" ht="12.75" customHeight="1" x14ac:dyDescent="0.25">
      <c r="A43" s="143"/>
      <c r="B43" s="155" t="s">
        <v>183</v>
      </c>
      <c r="C43" s="156" t="s">
        <v>184</v>
      </c>
      <c r="D43" s="190"/>
      <c r="E43" s="190"/>
      <c r="F43" s="158"/>
      <c r="G43" s="190"/>
      <c r="H43" s="190"/>
      <c r="I43" s="190"/>
      <c r="J43" s="190"/>
      <c r="K43" s="190"/>
      <c r="L43" s="190"/>
      <c r="M43" s="208"/>
      <c r="N43" s="143"/>
      <c r="O43" s="143"/>
      <c r="P43" s="143"/>
      <c r="Q43" s="143"/>
      <c r="R43" s="143"/>
      <c r="S43" s="143"/>
      <c r="T43" s="143"/>
      <c r="U43" s="143"/>
      <c r="V43" s="143"/>
      <c r="W43" s="143"/>
      <c r="X43" s="143"/>
      <c r="Y43" s="143"/>
      <c r="Z43" s="143"/>
      <c r="AA43" s="143"/>
      <c r="AB43" s="143"/>
      <c r="AC43" s="143"/>
      <c r="AD43" s="143"/>
    </row>
    <row r="44" spans="1:30" ht="12.75" customHeight="1" x14ac:dyDescent="0.25">
      <c r="A44" s="143"/>
      <c r="B44" s="151"/>
      <c r="C44" s="152" t="s">
        <v>185</v>
      </c>
      <c r="D44" s="152" t="s">
        <v>186</v>
      </c>
      <c r="E44" s="152" t="s">
        <v>224</v>
      </c>
      <c r="F44" s="209">
        <v>57600</v>
      </c>
      <c r="G44" s="152" t="s">
        <v>225</v>
      </c>
      <c r="H44" s="161">
        <v>140000</v>
      </c>
      <c r="I44" s="152" t="s">
        <v>226</v>
      </c>
      <c r="J44" s="210">
        <v>8064</v>
      </c>
      <c r="K44" s="211">
        <v>826.70126625680189</v>
      </c>
      <c r="L44" s="211">
        <v>9.7713178766184433E-2</v>
      </c>
      <c r="M44" s="212">
        <v>1.4210365333032361E-2</v>
      </c>
      <c r="N44" s="143"/>
      <c r="O44" s="143"/>
      <c r="P44" s="143"/>
      <c r="Q44" s="143"/>
      <c r="R44" s="143"/>
      <c r="S44" s="143"/>
      <c r="T44" s="143"/>
      <c r="U44" s="143"/>
      <c r="V44" s="143"/>
      <c r="W44" s="143"/>
      <c r="X44" s="143"/>
      <c r="Y44" s="143"/>
      <c r="Z44" s="143"/>
      <c r="AA44" s="143"/>
      <c r="AB44" s="143"/>
      <c r="AC44" s="143"/>
      <c r="AD44" s="143"/>
    </row>
    <row r="45" spans="1:30" ht="12.75" customHeight="1" x14ac:dyDescent="0.25">
      <c r="A45" s="143"/>
      <c r="B45" s="151"/>
      <c r="C45" s="152" t="s">
        <v>227</v>
      </c>
      <c r="D45" s="152" t="s">
        <v>228</v>
      </c>
      <c r="E45" s="152" t="s">
        <v>224</v>
      </c>
      <c r="F45" s="209">
        <v>425</v>
      </c>
      <c r="G45" s="152" t="s">
        <v>225</v>
      </c>
      <c r="H45" s="161">
        <v>140000</v>
      </c>
      <c r="I45" s="152" t="s">
        <v>226</v>
      </c>
      <c r="J45" s="210">
        <v>59.5</v>
      </c>
      <c r="K45" s="213">
        <v>4.8</v>
      </c>
      <c r="L45" s="213">
        <v>0</v>
      </c>
      <c r="M45" s="214">
        <v>0</v>
      </c>
      <c r="N45" s="143"/>
      <c r="O45" s="143"/>
      <c r="P45" s="143"/>
      <c r="Q45" s="143"/>
      <c r="R45" s="143"/>
      <c r="S45" s="143"/>
      <c r="T45" s="143"/>
      <c r="U45" s="143"/>
      <c r="V45" s="143"/>
      <c r="W45" s="143"/>
      <c r="X45" s="143"/>
      <c r="Y45" s="143"/>
      <c r="Z45" s="143"/>
      <c r="AA45" s="143"/>
      <c r="AB45" s="143"/>
      <c r="AC45" s="143"/>
      <c r="AD45" s="143"/>
    </row>
    <row r="46" spans="1:30" ht="12.75" customHeight="1" x14ac:dyDescent="0.25">
      <c r="A46" s="143"/>
      <c r="B46" s="166"/>
      <c r="C46" s="167"/>
      <c r="D46" s="167"/>
      <c r="E46" s="167"/>
      <c r="F46" s="215"/>
      <c r="G46" s="167"/>
      <c r="H46" s="216"/>
      <c r="I46" s="167"/>
      <c r="J46" s="217"/>
      <c r="K46" s="167"/>
      <c r="L46" s="218"/>
      <c r="M46" s="219"/>
      <c r="N46" s="143"/>
      <c r="O46" s="143"/>
      <c r="P46" s="143"/>
      <c r="Q46" s="143"/>
      <c r="R46" s="143"/>
      <c r="S46" s="143"/>
      <c r="T46" s="143"/>
      <c r="U46" s="143"/>
      <c r="V46" s="143"/>
      <c r="W46" s="143"/>
      <c r="X46" s="143"/>
      <c r="Y46" s="143"/>
      <c r="Z46" s="143"/>
      <c r="AA46" s="143"/>
      <c r="AB46" s="143"/>
      <c r="AC46" s="143"/>
      <c r="AD46" s="143"/>
    </row>
    <row r="47" spans="1:30" ht="12.75" customHeight="1" x14ac:dyDescent="0.25">
      <c r="A47" s="143"/>
      <c r="B47" s="151"/>
      <c r="C47" s="152"/>
      <c r="D47" s="152"/>
      <c r="E47" s="152"/>
      <c r="F47" s="220"/>
      <c r="G47" s="152"/>
      <c r="H47" s="174"/>
      <c r="I47" s="152"/>
      <c r="J47" s="174"/>
      <c r="K47" s="158"/>
      <c r="L47" s="221"/>
      <c r="M47" s="154"/>
      <c r="N47" s="143"/>
      <c r="O47" s="143"/>
      <c r="P47" s="143"/>
      <c r="Q47" s="143"/>
      <c r="R47" s="143"/>
      <c r="S47" s="143"/>
      <c r="T47" s="143"/>
      <c r="U47" s="143"/>
      <c r="V47" s="143"/>
      <c r="W47" s="143"/>
      <c r="X47" s="143"/>
      <c r="Y47" s="143"/>
      <c r="Z47" s="143"/>
      <c r="AA47" s="143"/>
      <c r="AB47" s="143"/>
      <c r="AC47" s="143"/>
      <c r="AD47" s="143"/>
    </row>
    <row r="48" spans="1:30" ht="12.75" customHeight="1" x14ac:dyDescent="0.25">
      <c r="A48" s="143"/>
      <c r="B48" s="151" t="s">
        <v>190</v>
      </c>
      <c r="C48" s="179" t="s">
        <v>191</v>
      </c>
      <c r="D48" s="152"/>
      <c r="E48" s="152"/>
      <c r="F48" s="220"/>
      <c r="G48" s="152"/>
      <c r="H48" s="174"/>
      <c r="I48" s="152"/>
      <c r="J48" s="152"/>
      <c r="K48" s="174"/>
      <c r="L48" s="221"/>
      <c r="M48" s="154"/>
      <c r="N48" s="143"/>
      <c r="O48" s="143"/>
      <c r="P48" s="143"/>
      <c r="Q48" s="143"/>
      <c r="R48" s="143"/>
      <c r="S48" s="143"/>
      <c r="T48" s="143"/>
      <c r="U48" s="143"/>
      <c r="V48" s="143"/>
      <c r="W48" s="143"/>
      <c r="X48" s="143"/>
      <c r="Y48" s="143"/>
      <c r="Z48" s="143"/>
      <c r="AA48" s="143"/>
      <c r="AB48" s="143"/>
      <c r="AC48" s="143"/>
      <c r="AD48" s="143"/>
    </row>
    <row r="49" spans="1:30" ht="12.75" customHeight="1" x14ac:dyDescent="0.25">
      <c r="A49" s="143"/>
      <c r="B49" s="151"/>
      <c r="C49" s="152" t="s">
        <v>192</v>
      </c>
      <c r="D49" s="222" t="s">
        <v>193</v>
      </c>
      <c r="E49" s="152" t="s">
        <v>229</v>
      </c>
      <c r="F49" s="209">
        <v>1053134</v>
      </c>
      <c r="G49" s="152" t="s">
        <v>225</v>
      </c>
      <c r="H49" s="223">
        <v>0.13800000000000001</v>
      </c>
      <c r="I49" s="152" t="s">
        <v>230</v>
      </c>
      <c r="J49" s="224">
        <v>145332.492</v>
      </c>
      <c r="K49" s="225">
        <v>15031.670300094287</v>
      </c>
      <c r="L49" s="226">
        <v>0.47699999999999998</v>
      </c>
      <c r="M49" s="227">
        <v>9.5000000000000001E-2</v>
      </c>
      <c r="N49" s="143"/>
      <c r="O49" s="143"/>
      <c r="P49" s="143"/>
      <c r="Q49" s="143"/>
      <c r="R49" s="143"/>
      <c r="S49" s="143"/>
      <c r="T49" s="143"/>
      <c r="U49" s="143"/>
      <c r="V49" s="143"/>
      <c r="W49" s="143"/>
      <c r="X49" s="143"/>
      <c r="Y49" s="143"/>
      <c r="Z49" s="143"/>
      <c r="AA49" s="143"/>
      <c r="AB49" s="143"/>
      <c r="AC49" s="143"/>
      <c r="AD49" s="143"/>
    </row>
    <row r="50" spans="1:30" ht="12.75" customHeight="1" x14ac:dyDescent="0.25">
      <c r="A50" s="143"/>
      <c r="B50" s="151"/>
      <c r="C50" s="152" t="s">
        <v>196</v>
      </c>
      <c r="D50" s="222" t="s">
        <v>197</v>
      </c>
      <c r="E50" s="152" t="s">
        <v>229</v>
      </c>
      <c r="F50" s="209">
        <v>1057590</v>
      </c>
      <c r="G50" s="152" t="s">
        <v>225</v>
      </c>
      <c r="H50" s="228">
        <v>0.13800000000000001</v>
      </c>
      <c r="I50" s="152" t="s">
        <v>230</v>
      </c>
      <c r="J50" s="224">
        <v>145947.42000000001</v>
      </c>
      <c r="K50" s="229">
        <v>13980.556780810048</v>
      </c>
      <c r="L50" s="230">
        <v>0.47899999999999998</v>
      </c>
      <c r="M50" s="231">
        <v>9.6000000000000002E-2</v>
      </c>
      <c r="N50" s="143"/>
      <c r="O50" s="143"/>
      <c r="P50" s="143"/>
      <c r="Q50" s="143"/>
      <c r="R50" s="143"/>
      <c r="S50" s="143"/>
      <c r="T50" s="143"/>
      <c r="U50" s="143"/>
      <c r="V50" s="143"/>
      <c r="W50" s="143"/>
      <c r="X50" s="143"/>
      <c r="Y50" s="143"/>
      <c r="Z50" s="143"/>
      <c r="AA50" s="143"/>
      <c r="AB50" s="143"/>
      <c r="AC50" s="143"/>
      <c r="AD50" s="143"/>
    </row>
    <row r="51" spans="1:30" ht="12.75" customHeight="1" x14ac:dyDescent="0.25">
      <c r="A51" s="143"/>
      <c r="B51" s="151"/>
      <c r="C51" s="232" t="s">
        <v>231</v>
      </c>
      <c r="D51" s="222" t="s">
        <v>232</v>
      </c>
      <c r="E51" s="152" t="s">
        <v>233</v>
      </c>
      <c r="F51" s="209">
        <v>1536</v>
      </c>
      <c r="G51" s="152" t="s">
        <v>225</v>
      </c>
      <c r="H51" s="233">
        <v>0.13800000000000001</v>
      </c>
      <c r="I51" s="152" t="s">
        <v>234</v>
      </c>
      <c r="J51" s="210">
        <v>211.96800000000002</v>
      </c>
      <c r="K51" s="234">
        <v>17.54</v>
      </c>
      <c r="L51" s="235">
        <v>1.66E-4</v>
      </c>
      <c r="M51" s="236">
        <v>0</v>
      </c>
      <c r="N51" s="143"/>
      <c r="O51" s="143"/>
      <c r="P51" s="143"/>
      <c r="Q51" s="143"/>
      <c r="R51" s="143"/>
      <c r="S51" s="143"/>
      <c r="T51" s="143"/>
      <c r="U51" s="143"/>
      <c r="V51" s="143"/>
      <c r="W51" s="143"/>
      <c r="X51" s="143"/>
      <c r="Y51" s="143"/>
      <c r="Z51" s="143"/>
      <c r="AA51" s="143"/>
      <c r="AB51" s="143"/>
      <c r="AC51" s="143"/>
      <c r="AD51" s="143"/>
    </row>
    <row r="52" spans="1:30" ht="12.75" customHeight="1" x14ac:dyDescent="0.25">
      <c r="A52" s="143"/>
      <c r="B52" s="151"/>
      <c r="C52" s="152"/>
      <c r="D52" s="222"/>
      <c r="E52" s="152"/>
      <c r="F52" s="220"/>
      <c r="G52" s="152"/>
      <c r="H52" s="174"/>
      <c r="I52" s="152"/>
      <c r="J52" s="152"/>
      <c r="K52" s="174"/>
      <c r="L52" s="221"/>
      <c r="M52" s="154"/>
      <c r="N52" s="143"/>
      <c r="O52" s="143"/>
      <c r="P52" s="143"/>
      <c r="Q52" s="143"/>
      <c r="R52" s="143"/>
      <c r="S52" s="143"/>
      <c r="T52" s="143"/>
      <c r="U52" s="143"/>
      <c r="V52" s="143"/>
      <c r="W52" s="143"/>
      <c r="X52" s="143"/>
      <c r="Y52" s="143"/>
      <c r="Z52" s="143"/>
      <c r="AA52" s="143"/>
      <c r="AB52" s="143"/>
      <c r="AC52" s="143"/>
      <c r="AD52" s="143"/>
    </row>
    <row r="53" spans="1:30" ht="12.75" customHeight="1" x14ac:dyDescent="0.25">
      <c r="A53" s="143"/>
      <c r="B53" s="155"/>
      <c r="C53" s="156"/>
      <c r="D53" s="190"/>
      <c r="E53" s="190"/>
      <c r="F53" s="237"/>
      <c r="G53" s="190"/>
      <c r="H53" s="158"/>
      <c r="I53" s="190"/>
      <c r="J53" s="158"/>
      <c r="K53" s="158"/>
      <c r="L53" s="238"/>
      <c r="M53" s="208"/>
      <c r="N53" s="143"/>
      <c r="O53" s="143"/>
      <c r="P53" s="143"/>
      <c r="Q53" s="143"/>
      <c r="R53" s="143"/>
      <c r="S53" s="143"/>
      <c r="T53" s="143"/>
      <c r="U53" s="143"/>
      <c r="V53" s="143"/>
      <c r="W53" s="143"/>
      <c r="X53" s="143"/>
      <c r="Y53" s="143"/>
      <c r="Z53" s="143"/>
      <c r="AA53" s="143"/>
      <c r="AB53" s="143"/>
      <c r="AC53" s="143"/>
      <c r="AD53" s="143"/>
    </row>
    <row r="54" spans="1:30" ht="12.75" customHeight="1" x14ac:dyDescent="0.25">
      <c r="A54" s="143"/>
      <c r="B54" s="151" t="s">
        <v>198</v>
      </c>
      <c r="C54" s="179" t="s">
        <v>199</v>
      </c>
      <c r="D54" s="152"/>
      <c r="E54" s="152"/>
      <c r="F54" s="220"/>
      <c r="G54" s="152"/>
      <c r="H54" s="174"/>
      <c r="I54" s="152"/>
      <c r="J54" s="174"/>
      <c r="K54" s="174"/>
      <c r="L54" s="221"/>
      <c r="M54" s="239"/>
      <c r="N54" s="143"/>
      <c r="O54" s="143"/>
      <c r="P54" s="143"/>
      <c r="Q54" s="143"/>
      <c r="R54" s="143"/>
      <c r="S54" s="143"/>
      <c r="T54" s="143"/>
      <c r="U54" s="143"/>
      <c r="V54" s="143"/>
      <c r="W54" s="143"/>
      <c r="X54" s="143"/>
      <c r="Y54" s="143"/>
      <c r="Z54" s="143"/>
      <c r="AA54" s="143"/>
      <c r="AB54" s="143"/>
      <c r="AC54" s="143"/>
      <c r="AD54" s="143"/>
    </row>
    <row r="55" spans="1:30" ht="12.75" customHeight="1" x14ac:dyDescent="0.25">
      <c r="A55" s="143"/>
      <c r="B55" s="151"/>
      <c r="C55" s="152" t="s">
        <v>200</v>
      </c>
      <c r="D55" s="222" t="s">
        <v>193</v>
      </c>
      <c r="E55" s="240" t="s">
        <v>235</v>
      </c>
      <c r="F55" s="209">
        <v>145320</v>
      </c>
      <c r="G55" s="152" t="s">
        <v>225</v>
      </c>
      <c r="H55" s="174">
        <v>136253</v>
      </c>
      <c r="I55" s="152" t="s">
        <v>226</v>
      </c>
      <c r="J55" s="174">
        <v>19800.285960000001</v>
      </c>
      <c r="K55" s="174">
        <v>2296.7002045706577</v>
      </c>
      <c r="L55" s="221">
        <v>6.5459745383759996E-2</v>
      </c>
      <c r="M55" s="241">
        <v>1.3091949076751999E-2</v>
      </c>
      <c r="N55" s="143"/>
      <c r="O55" s="143"/>
      <c r="P55" s="143"/>
      <c r="Q55" s="143"/>
      <c r="R55" s="143"/>
      <c r="S55" s="143"/>
      <c r="T55" s="143"/>
      <c r="U55" s="143"/>
      <c r="V55" s="143"/>
      <c r="W55" s="143"/>
      <c r="X55" s="143"/>
      <c r="Y55" s="143"/>
      <c r="Z55" s="143"/>
      <c r="AA55" s="143"/>
      <c r="AB55" s="143"/>
      <c r="AC55" s="143"/>
      <c r="AD55" s="143"/>
    </row>
    <row r="56" spans="1:30" ht="12.75" customHeight="1" x14ac:dyDescent="0.25">
      <c r="A56" s="143"/>
      <c r="B56" s="151"/>
      <c r="C56" s="152" t="s">
        <v>202</v>
      </c>
      <c r="D56" s="222" t="s">
        <v>197</v>
      </c>
      <c r="E56" s="240" t="s">
        <v>235</v>
      </c>
      <c r="F56" s="209">
        <v>41160</v>
      </c>
      <c r="G56" s="152" t="s">
        <v>225</v>
      </c>
      <c r="H56" s="174">
        <v>136253</v>
      </c>
      <c r="I56" s="152" t="s">
        <v>226</v>
      </c>
      <c r="J56" s="174">
        <v>5608.1734800000004</v>
      </c>
      <c r="K56" s="174">
        <v>622.85495344765388</v>
      </c>
      <c r="L56" s="221">
        <v>1.8540621524879997E-2</v>
      </c>
      <c r="M56" s="241">
        <v>3.7081243049759995E-3</v>
      </c>
      <c r="N56" s="143"/>
      <c r="O56" s="143"/>
      <c r="P56" s="143"/>
      <c r="Q56" s="143"/>
      <c r="R56" s="143"/>
      <c r="S56" s="143"/>
      <c r="T56" s="143"/>
      <c r="U56" s="143"/>
      <c r="V56" s="143"/>
      <c r="W56" s="143"/>
      <c r="X56" s="143"/>
      <c r="Y56" s="143"/>
      <c r="Z56" s="143"/>
      <c r="AA56" s="143"/>
      <c r="AB56" s="143"/>
      <c r="AC56" s="143"/>
      <c r="AD56" s="143"/>
    </row>
    <row r="57" spans="1:30" ht="12.75" customHeight="1" x14ac:dyDescent="0.25">
      <c r="A57" s="143"/>
      <c r="B57" s="151"/>
      <c r="C57" s="152" t="s">
        <v>236</v>
      </c>
      <c r="D57" s="242" t="s">
        <v>237</v>
      </c>
      <c r="E57" s="240" t="s">
        <v>235</v>
      </c>
      <c r="F57" s="209">
        <v>10080</v>
      </c>
      <c r="G57" s="152" t="s">
        <v>225</v>
      </c>
      <c r="H57" s="174">
        <v>136253</v>
      </c>
      <c r="I57" s="152" t="s">
        <v>226</v>
      </c>
      <c r="J57" s="243">
        <v>1373.4302399999999</v>
      </c>
      <c r="K57" s="234">
        <v>111.97</v>
      </c>
      <c r="L57" s="213">
        <v>0</v>
      </c>
      <c r="M57" s="244">
        <v>0</v>
      </c>
      <c r="N57" s="143"/>
      <c r="O57" s="143"/>
      <c r="P57" s="143"/>
      <c r="Q57" s="143"/>
      <c r="R57" s="143"/>
      <c r="S57" s="143"/>
      <c r="T57" s="143"/>
      <c r="U57" s="143"/>
      <c r="V57" s="143"/>
      <c r="W57" s="143"/>
      <c r="X57" s="143"/>
      <c r="Y57" s="143"/>
      <c r="Z57" s="143"/>
      <c r="AA57" s="143"/>
      <c r="AB57" s="143"/>
      <c r="AC57" s="143"/>
      <c r="AD57" s="143"/>
    </row>
    <row r="58" spans="1:30" ht="12.75" customHeight="1" x14ac:dyDescent="0.25">
      <c r="A58" s="143"/>
      <c r="B58" s="151"/>
      <c r="C58" s="152" t="s">
        <v>238</v>
      </c>
      <c r="D58" s="222" t="s">
        <v>239</v>
      </c>
      <c r="E58" s="240" t="s">
        <v>235</v>
      </c>
      <c r="F58" s="209">
        <v>18060</v>
      </c>
      <c r="G58" s="152" t="s">
        <v>225</v>
      </c>
      <c r="H58" s="174">
        <v>136253</v>
      </c>
      <c r="I58" s="152" t="s">
        <v>226</v>
      </c>
      <c r="J58" s="243">
        <v>2460.7291799999998</v>
      </c>
      <c r="K58" s="243">
        <v>199.5</v>
      </c>
      <c r="L58" s="245">
        <v>8.1351706690799986E-3</v>
      </c>
      <c r="M58" s="246">
        <v>1.6270341338159996E-3</v>
      </c>
      <c r="N58" s="143"/>
      <c r="O58" s="143"/>
      <c r="P58" s="143"/>
      <c r="Q58" s="143"/>
      <c r="R58" s="143"/>
      <c r="S58" s="143"/>
      <c r="T58" s="143"/>
      <c r="U58" s="143"/>
      <c r="V58" s="143"/>
      <c r="W58" s="143"/>
      <c r="X58" s="143"/>
      <c r="Y58" s="143"/>
      <c r="Z58" s="143"/>
      <c r="AA58" s="143"/>
      <c r="AB58" s="143"/>
      <c r="AC58" s="143"/>
      <c r="AD58" s="143"/>
    </row>
    <row r="59" spans="1:30" ht="12.75" customHeight="1" x14ac:dyDescent="0.25">
      <c r="A59" s="143"/>
      <c r="B59" s="151"/>
      <c r="C59" s="152" t="s">
        <v>240</v>
      </c>
      <c r="D59" s="242" t="s">
        <v>241</v>
      </c>
      <c r="E59" s="240" t="s">
        <v>235</v>
      </c>
      <c r="F59" s="209">
        <v>84840</v>
      </c>
      <c r="G59" s="152" t="s">
        <v>225</v>
      </c>
      <c r="H59" s="174">
        <v>136253</v>
      </c>
      <c r="I59" s="152" t="s">
        <v>226</v>
      </c>
      <c r="J59" s="174">
        <v>11559.704519999999</v>
      </c>
      <c r="K59" s="229">
        <v>784.03231526461309</v>
      </c>
      <c r="L59" s="221">
        <v>3.8216383143119995E-2</v>
      </c>
      <c r="M59" s="241">
        <v>7.6432766286239984E-3</v>
      </c>
      <c r="N59" s="143"/>
      <c r="O59" s="143"/>
      <c r="P59" s="143"/>
      <c r="Q59" s="143"/>
      <c r="R59" s="143"/>
      <c r="S59" s="143"/>
      <c r="T59" s="143"/>
      <c r="U59" s="143"/>
      <c r="V59" s="143"/>
      <c r="W59" s="143"/>
      <c r="X59" s="143"/>
      <c r="Y59" s="143"/>
      <c r="Z59" s="143"/>
      <c r="AA59" s="143"/>
      <c r="AB59" s="143"/>
      <c r="AC59" s="143"/>
      <c r="AD59" s="143"/>
    </row>
    <row r="60" spans="1:30" ht="12.75" customHeight="1" x14ac:dyDescent="0.25">
      <c r="A60" s="143"/>
      <c r="B60" s="151"/>
      <c r="C60" s="152" t="s">
        <v>242</v>
      </c>
      <c r="D60" s="242" t="s">
        <v>243</v>
      </c>
      <c r="E60" s="240" t="s">
        <v>235</v>
      </c>
      <c r="F60" s="209">
        <v>41580</v>
      </c>
      <c r="G60" s="152" t="s">
        <v>225</v>
      </c>
      <c r="H60" s="174">
        <v>136253</v>
      </c>
      <c r="I60" s="152" t="s">
        <v>226</v>
      </c>
      <c r="J60" s="174">
        <v>5665.3997399999998</v>
      </c>
      <c r="K60" s="229">
        <v>360.18539881240173</v>
      </c>
      <c r="L60" s="221">
        <v>1.8729811540440001E-2</v>
      </c>
      <c r="M60" s="241">
        <v>3.7459623080879994E-3</v>
      </c>
      <c r="N60" s="143"/>
      <c r="O60" s="143"/>
      <c r="P60" s="143"/>
      <c r="Q60" s="143"/>
      <c r="R60" s="143"/>
      <c r="S60" s="143"/>
      <c r="T60" s="143"/>
      <c r="U60" s="143"/>
      <c r="V60" s="143"/>
      <c r="W60" s="143"/>
      <c r="X60" s="143"/>
      <c r="Y60" s="143"/>
      <c r="Z60" s="143"/>
      <c r="AA60" s="143"/>
      <c r="AB60" s="143"/>
      <c r="AC60" s="143"/>
      <c r="AD60" s="143"/>
    </row>
    <row r="61" spans="1:30" ht="12.75" customHeight="1" x14ac:dyDescent="0.25">
      <c r="A61" s="143"/>
      <c r="B61" s="151"/>
      <c r="C61" s="152"/>
      <c r="D61" s="242" t="s">
        <v>244</v>
      </c>
      <c r="E61" s="240" t="s">
        <v>235</v>
      </c>
      <c r="F61" s="209">
        <v>96600</v>
      </c>
      <c r="G61" s="152" t="s">
        <v>225</v>
      </c>
      <c r="H61" s="174">
        <v>136253</v>
      </c>
      <c r="I61" s="152" t="s">
        <v>226</v>
      </c>
      <c r="J61" s="174">
        <v>13162.0398</v>
      </c>
      <c r="K61" s="229">
        <v>836.79436087729698</v>
      </c>
      <c r="L61" s="221">
        <v>4.3513703578799995E-2</v>
      </c>
      <c r="M61" s="241">
        <v>8.7027407157599986E-3</v>
      </c>
      <c r="N61" s="143"/>
      <c r="O61" s="143"/>
      <c r="P61" s="143"/>
      <c r="Q61" s="143"/>
      <c r="R61" s="143"/>
      <c r="S61" s="143"/>
      <c r="T61" s="143"/>
      <c r="U61" s="143"/>
      <c r="V61" s="143"/>
      <c r="W61" s="143"/>
      <c r="X61" s="143"/>
      <c r="Y61" s="143"/>
      <c r="Z61" s="143"/>
      <c r="AA61" s="143"/>
      <c r="AB61" s="143"/>
      <c r="AC61" s="143"/>
      <c r="AD61" s="143"/>
    </row>
    <row r="62" spans="1:30" ht="12.75" customHeight="1" x14ac:dyDescent="0.25">
      <c r="A62" s="143"/>
      <c r="B62" s="151"/>
      <c r="C62" s="152" t="s">
        <v>245</v>
      </c>
      <c r="D62" s="242" t="s">
        <v>246</v>
      </c>
      <c r="E62" s="240" t="s">
        <v>235</v>
      </c>
      <c r="F62" s="209">
        <v>160020</v>
      </c>
      <c r="G62" s="152" t="s">
        <v>225</v>
      </c>
      <c r="H62" s="174">
        <v>136253</v>
      </c>
      <c r="I62" s="152" t="s">
        <v>226</v>
      </c>
      <c r="J62" s="174">
        <v>21803.20506</v>
      </c>
      <c r="K62" s="229">
        <v>1568.3508148595783</v>
      </c>
      <c r="L62" s="221">
        <v>7.2081395928359993E-2</v>
      </c>
      <c r="M62" s="241">
        <v>1.4416279185671997E-2</v>
      </c>
      <c r="N62" s="143"/>
      <c r="O62" s="143"/>
      <c r="P62" s="143"/>
      <c r="Q62" s="143"/>
      <c r="R62" s="143"/>
      <c r="S62" s="143"/>
      <c r="T62" s="143"/>
      <c r="U62" s="143"/>
      <c r="V62" s="143"/>
      <c r="W62" s="143"/>
      <c r="X62" s="143"/>
      <c r="Y62" s="143"/>
      <c r="Z62" s="143"/>
      <c r="AA62" s="143"/>
      <c r="AB62" s="143"/>
      <c r="AC62" s="143"/>
      <c r="AD62" s="143"/>
    </row>
    <row r="63" spans="1:30" ht="12.75" customHeight="1" x14ac:dyDescent="0.25">
      <c r="A63" s="143"/>
      <c r="B63" s="151"/>
      <c r="C63" s="152" t="s">
        <v>247</v>
      </c>
      <c r="D63" s="222" t="s">
        <v>248</v>
      </c>
      <c r="E63" s="240" t="s">
        <v>235</v>
      </c>
      <c r="F63" s="209">
        <v>179427</v>
      </c>
      <c r="G63" s="152" t="s">
        <v>225</v>
      </c>
      <c r="H63" s="174">
        <v>136253</v>
      </c>
      <c r="I63" s="152" t="s">
        <v>226</v>
      </c>
      <c r="J63" s="229">
        <v>24447.467031</v>
      </c>
      <c r="K63" s="243">
        <v>1993.1</v>
      </c>
      <c r="L63" s="247">
        <v>0.08</v>
      </c>
      <c r="M63" s="244">
        <v>0.02</v>
      </c>
      <c r="N63" s="143"/>
      <c r="O63" s="143"/>
      <c r="P63" s="143"/>
      <c r="Q63" s="143"/>
      <c r="R63" s="143"/>
      <c r="S63" s="143"/>
      <c r="T63" s="143"/>
      <c r="U63" s="143"/>
      <c r="V63" s="143"/>
      <c r="W63" s="143"/>
      <c r="X63" s="143"/>
      <c r="Y63" s="143"/>
      <c r="Z63" s="143"/>
      <c r="AA63" s="143"/>
      <c r="AB63" s="143"/>
      <c r="AC63" s="143"/>
      <c r="AD63" s="143"/>
    </row>
    <row r="64" spans="1:30" ht="12.75" customHeight="1" x14ac:dyDescent="0.25">
      <c r="A64" s="143"/>
      <c r="B64" s="151"/>
      <c r="C64" s="152" t="s">
        <v>249</v>
      </c>
      <c r="D64" s="222" t="s">
        <v>250</v>
      </c>
      <c r="E64" s="240" t="s">
        <v>235</v>
      </c>
      <c r="F64" s="209">
        <v>220792</v>
      </c>
      <c r="G64" s="152" t="s">
        <v>225</v>
      </c>
      <c r="H64" s="174">
        <v>136253</v>
      </c>
      <c r="I64" s="152" t="s">
        <v>226</v>
      </c>
      <c r="J64" s="229">
        <v>30083.572376</v>
      </c>
      <c r="K64" s="243">
        <v>2452.6</v>
      </c>
      <c r="L64" s="247">
        <v>0.1</v>
      </c>
      <c r="M64" s="244">
        <v>0.02</v>
      </c>
      <c r="N64" s="143"/>
      <c r="O64" s="143"/>
      <c r="P64" s="143"/>
      <c r="Q64" s="143"/>
      <c r="R64" s="143"/>
      <c r="S64" s="143"/>
      <c r="T64" s="143"/>
      <c r="U64" s="143"/>
      <c r="V64" s="143"/>
      <c r="W64" s="143"/>
      <c r="X64" s="143"/>
      <c r="Y64" s="143"/>
      <c r="Z64" s="143"/>
      <c r="AA64" s="143"/>
      <c r="AB64" s="143"/>
      <c r="AC64" s="143"/>
      <c r="AD64" s="143"/>
    </row>
    <row r="65" spans="1:30" ht="12.75" customHeight="1" x14ac:dyDescent="0.25">
      <c r="A65" s="143"/>
      <c r="B65" s="151"/>
      <c r="C65" s="152" t="s">
        <v>251</v>
      </c>
      <c r="D65" s="222" t="s">
        <v>252</v>
      </c>
      <c r="E65" s="240" t="s">
        <v>235</v>
      </c>
      <c r="F65" s="209">
        <v>125087</v>
      </c>
      <c r="G65" s="152" t="s">
        <v>225</v>
      </c>
      <c r="H65" s="174">
        <v>136253</v>
      </c>
      <c r="I65" s="152" t="s">
        <v>226</v>
      </c>
      <c r="J65" s="229">
        <v>17043.479010999999</v>
      </c>
      <c r="K65" s="243">
        <v>1389.49</v>
      </c>
      <c r="L65" s="247">
        <v>0.06</v>
      </c>
      <c r="M65" s="244">
        <v>0.01</v>
      </c>
      <c r="N65" s="143"/>
      <c r="O65" s="143"/>
      <c r="P65" s="143"/>
      <c r="Q65" s="143"/>
      <c r="R65" s="143"/>
      <c r="S65" s="143"/>
      <c r="T65" s="143"/>
      <c r="U65" s="143"/>
      <c r="V65" s="143"/>
      <c r="W65" s="143"/>
      <c r="X65" s="143"/>
      <c r="Y65" s="143"/>
      <c r="Z65" s="143"/>
      <c r="AA65" s="143"/>
      <c r="AB65" s="143"/>
      <c r="AC65" s="143"/>
      <c r="AD65" s="143"/>
    </row>
    <row r="66" spans="1:30" ht="12.75" customHeight="1" x14ac:dyDescent="0.25">
      <c r="A66" s="143"/>
      <c r="B66" s="151"/>
      <c r="C66" s="152"/>
      <c r="D66" s="152"/>
      <c r="E66" s="152"/>
      <c r="F66" s="220"/>
      <c r="G66" s="152"/>
      <c r="H66" s="174"/>
      <c r="I66" s="152"/>
      <c r="J66" s="174"/>
      <c r="K66" s="174"/>
      <c r="L66" s="221"/>
      <c r="M66" s="154"/>
      <c r="N66" s="143"/>
      <c r="O66" s="143"/>
      <c r="P66" s="143"/>
      <c r="Q66" s="143"/>
      <c r="R66" s="143"/>
      <c r="S66" s="143"/>
      <c r="T66" s="143"/>
      <c r="U66" s="143"/>
      <c r="V66" s="143"/>
      <c r="W66" s="143"/>
      <c r="X66" s="143"/>
      <c r="Y66" s="143"/>
      <c r="Z66" s="143"/>
      <c r="AA66" s="143"/>
      <c r="AB66" s="143"/>
      <c r="AC66" s="143"/>
      <c r="AD66" s="143"/>
    </row>
    <row r="67" spans="1:30" ht="12.75" customHeight="1" x14ac:dyDescent="0.25">
      <c r="A67" s="143"/>
      <c r="B67" s="155"/>
      <c r="C67" s="190"/>
      <c r="D67" s="190"/>
      <c r="E67" s="190"/>
      <c r="F67" s="237"/>
      <c r="G67" s="190"/>
      <c r="H67" s="158"/>
      <c r="I67" s="190"/>
      <c r="J67" s="158"/>
      <c r="K67" s="158"/>
      <c r="L67" s="238"/>
      <c r="M67" s="208"/>
      <c r="N67" s="143"/>
      <c r="O67" s="143"/>
      <c r="P67" s="143"/>
      <c r="Q67" s="143"/>
      <c r="R67" s="143"/>
      <c r="S67" s="143"/>
      <c r="T67" s="143"/>
      <c r="U67" s="143"/>
      <c r="V67" s="143"/>
      <c r="W67" s="143"/>
      <c r="X67" s="143"/>
      <c r="Y67" s="143"/>
      <c r="Z67" s="143"/>
      <c r="AA67" s="143"/>
      <c r="AB67" s="143"/>
      <c r="AC67" s="143"/>
      <c r="AD67" s="143"/>
    </row>
    <row r="68" spans="1:30" ht="12.75" customHeight="1" x14ac:dyDescent="0.25">
      <c r="A68" s="143"/>
      <c r="B68" s="151" t="s">
        <v>253</v>
      </c>
      <c r="C68" s="179" t="s">
        <v>254</v>
      </c>
      <c r="D68" s="152"/>
      <c r="E68" s="152"/>
      <c r="F68" s="220"/>
      <c r="G68" s="152"/>
      <c r="H68" s="174"/>
      <c r="I68" s="152"/>
      <c r="J68" s="174"/>
      <c r="K68" s="174"/>
      <c r="L68" s="221"/>
      <c r="M68" s="154"/>
      <c r="N68" s="143"/>
      <c r="O68" s="143"/>
      <c r="P68" s="143"/>
      <c r="Q68" s="143"/>
      <c r="R68" s="143"/>
      <c r="S68" s="143"/>
      <c r="T68" s="143"/>
      <c r="U68" s="143"/>
      <c r="V68" s="143"/>
      <c r="W68" s="143"/>
      <c r="X68" s="143"/>
      <c r="Y68" s="143"/>
      <c r="Z68" s="143"/>
      <c r="AA68" s="143"/>
      <c r="AB68" s="143"/>
      <c r="AC68" s="143"/>
      <c r="AD68" s="143"/>
    </row>
    <row r="69" spans="1:30" ht="12.75" customHeight="1" x14ac:dyDescent="0.25">
      <c r="A69" s="143"/>
      <c r="B69" s="151"/>
      <c r="C69" s="152" t="s">
        <v>255</v>
      </c>
      <c r="D69" s="152" t="s">
        <v>256</v>
      </c>
      <c r="E69" s="240" t="s">
        <v>235</v>
      </c>
      <c r="F69" s="209">
        <v>16380</v>
      </c>
      <c r="G69" s="152" t="s">
        <v>225</v>
      </c>
      <c r="H69" s="161">
        <v>136253</v>
      </c>
      <c r="I69" s="152" t="s">
        <v>226</v>
      </c>
      <c r="J69" s="174">
        <v>2231.8241400000002</v>
      </c>
      <c r="K69" s="153">
        <v>0.25567100990763919</v>
      </c>
      <c r="L69" s="224">
        <v>7.3784106068400003E-3</v>
      </c>
      <c r="M69" s="248">
        <v>1.4756821213679999E-3</v>
      </c>
      <c r="N69" s="143"/>
      <c r="O69" s="143"/>
      <c r="P69" s="143"/>
      <c r="Q69" s="143"/>
      <c r="R69" s="143"/>
      <c r="S69" s="143"/>
      <c r="T69" s="143"/>
      <c r="U69" s="143"/>
      <c r="V69" s="143"/>
      <c r="W69" s="143"/>
      <c r="X69" s="143"/>
      <c r="Y69" s="143"/>
      <c r="Z69" s="143"/>
      <c r="AA69" s="143"/>
      <c r="AB69" s="143"/>
      <c r="AC69" s="143"/>
      <c r="AD69" s="143"/>
    </row>
    <row r="70" spans="1:30" ht="12.75" customHeight="1" x14ac:dyDescent="0.25">
      <c r="A70" s="143"/>
      <c r="B70" s="151"/>
      <c r="C70" s="152"/>
      <c r="D70" s="152"/>
      <c r="E70" s="152"/>
      <c r="F70" s="249"/>
      <c r="G70" s="152"/>
      <c r="H70" s="174"/>
      <c r="I70" s="152"/>
      <c r="J70" s="152"/>
      <c r="K70" s="152"/>
      <c r="L70" s="152"/>
      <c r="M70" s="154"/>
      <c r="N70" s="143"/>
      <c r="O70" s="143"/>
      <c r="P70" s="143"/>
      <c r="Q70" s="143"/>
      <c r="R70" s="143"/>
      <c r="S70" s="143"/>
      <c r="T70" s="143"/>
      <c r="U70" s="143"/>
      <c r="V70" s="143"/>
      <c r="W70" s="143"/>
      <c r="X70" s="143"/>
      <c r="Y70" s="143"/>
      <c r="Z70" s="143"/>
      <c r="AA70" s="143"/>
      <c r="AB70" s="143"/>
      <c r="AC70" s="143"/>
      <c r="AD70" s="143"/>
    </row>
    <row r="71" spans="1:30" ht="12.75" customHeight="1" x14ac:dyDescent="0.25">
      <c r="A71" s="143"/>
      <c r="B71" s="155"/>
      <c r="C71" s="190"/>
      <c r="D71" s="190"/>
      <c r="E71" s="190"/>
      <c r="F71" s="250"/>
      <c r="G71" s="190"/>
      <c r="H71" s="158"/>
      <c r="I71" s="190"/>
      <c r="J71" s="190"/>
      <c r="K71" s="190"/>
      <c r="L71" s="190"/>
      <c r="M71" s="208"/>
      <c r="N71" s="143"/>
      <c r="O71" s="143"/>
      <c r="P71" s="143"/>
      <c r="Q71" s="143"/>
      <c r="R71" s="143"/>
      <c r="S71" s="143"/>
      <c r="T71" s="143"/>
      <c r="U71" s="143"/>
      <c r="V71" s="143"/>
      <c r="W71" s="143"/>
      <c r="X71" s="143"/>
      <c r="Y71" s="143"/>
      <c r="Z71" s="143"/>
      <c r="AA71" s="143"/>
      <c r="AB71" s="143"/>
      <c r="AC71" s="143"/>
      <c r="AD71" s="143"/>
    </row>
    <row r="72" spans="1:30" ht="12.75" customHeight="1" x14ac:dyDescent="0.25">
      <c r="A72" s="143"/>
      <c r="B72" s="151" t="s">
        <v>203</v>
      </c>
      <c r="C72" s="179" t="s">
        <v>204</v>
      </c>
      <c r="D72" s="152"/>
      <c r="E72" s="152"/>
      <c r="F72" s="220"/>
      <c r="G72" s="152"/>
      <c r="H72" s="174"/>
      <c r="I72" s="152"/>
      <c r="J72" s="174"/>
      <c r="K72" s="174"/>
      <c r="L72" s="221"/>
      <c r="M72" s="154"/>
      <c r="N72" s="143"/>
      <c r="O72" s="143"/>
      <c r="P72" s="143"/>
      <c r="Q72" s="143"/>
      <c r="R72" s="143"/>
      <c r="S72" s="143"/>
      <c r="T72" s="143"/>
      <c r="U72" s="143"/>
      <c r="V72" s="143"/>
      <c r="W72" s="143"/>
      <c r="X72" s="143"/>
      <c r="Y72" s="143"/>
      <c r="Z72" s="143"/>
      <c r="AA72" s="143"/>
      <c r="AB72" s="143"/>
      <c r="AC72" s="143"/>
      <c r="AD72" s="143"/>
    </row>
    <row r="73" spans="1:30" ht="12.75" customHeight="1" x14ac:dyDescent="0.25">
      <c r="A73" s="143"/>
      <c r="B73" s="151"/>
      <c r="C73" s="152" t="s">
        <v>257</v>
      </c>
      <c r="D73" s="152" t="s">
        <v>258</v>
      </c>
      <c r="E73" s="152" t="s">
        <v>259</v>
      </c>
      <c r="F73" s="209">
        <v>8695</v>
      </c>
      <c r="G73" s="152" t="s">
        <v>225</v>
      </c>
      <c r="H73" s="251">
        <v>0.13700000000000001</v>
      </c>
      <c r="I73" s="152" t="s">
        <v>260</v>
      </c>
      <c r="J73" s="229">
        <v>1191.2150000000001</v>
      </c>
      <c r="K73" s="243">
        <v>98</v>
      </c>
      <c r="L73" s="252">
        <v>4.0000000000000001E-3</v>
      </c>
      <c r="M73" s="253">
        <v>7.7200000000000001E-4</v>
      </c>
      <c r="N73" s="143"/>
      <c r="O73" s="143"/>
      <c r="P73" s="143"/>
      <c r="Q73" s="143"/>
      <c r="R73" s="143"/>
      <c r="S73" s="143"/>
      <c r="T73" s="143"/>
      <c r="U73" s="143"/>
      <c r="V73" s="143"/>
      <c r="W73" s="143"/>
      <c r="X73" s="143"/>
      <c r="Y73" s="143"/>
      <c r="Z73" s="143"/>
      <c r="AA73" s="143"/>
      <c r="AB73" s="143"/>
      <c r="AC73" s="143"/>
      <c r="AD73" s="143"/>
    </row>
    <row r="74" spans="1:30" ht="12.75" customHeight="1" x14ac:dyDescent="0.25">
      <c r="A74" s="143"/>
      <c r="B74" s="151"/>
      <c r="C74" s="152"/>
      <c r="D74" s="152"/>
      <c r="E74" s="152"/>
      <c r="F74" s="249"/>
      <c r="G74" s="152"/>
      <c r="H74" s="251"/>
      <c r="I74" s="152"/>
      <c r="J74" s="229"/>
      <c r="K74" s="254"/>
      <c r="L74" s="255"/>
      <c r="M74" s="154"/>
      <c r="N74" s="143"/>
      <c r="O74" s="143"/>
      <c r="P74" s="143"/>
      <c r="Q74" s="143"/>
      <c r="R74" s="143"/>
      <c r="S74" s="143"/>
      <c r="T74" s="143"/>
      <c r="U74" s="143"/>
      <c r="V74" s="143"/>
      <c r="W74" s="143"/>
      <c r="X74" s="143"/>
      <c r="Y74" s="143"/>
      <c r="Z74" s="143"/>
      <c r="AA74" s="143"/>
      <c r="AB74" s="143"/>
      <c r="AC74" s="143"/>
      <c r="AD74" s="143"/>
    </row>
    <row r="75" spans="1:30" ht="12.75" customHeight="1" x14ac:dyDescent="0.25">
      <c r="A75" s="143"/>
      <c r="B75" s="155"/>
      <c r="C75" s="190"/>
      <c r="D75" s="190"/>
      <c r="E75" s="190"/>
      <c r="F75" s="250"/>
      <c r="G75" s="190"/>
      <c r="H75" s="256"/>
      <c r="I75" s="190"/>
      <c r="J75" s="257"/>
      <c r="K75" s="258"/>
      <c r="L75" s="259"/>
      <c r="M75" s="208"/>
      <c r="N75" s="143"/>
      <c r="O75" s="143"/>
      <c r="P75" s="143"/>
      <c r="Q75" s="143"/>
      <c r="R75" s="143"/>
      <c r="S75" s="143"/>
      <c r="T75" s="143"/>
      <c r="U75" s="143"/>
      <c r="V75" s="143"/>
      <c r="W75" s="143"/>
      <c r="X75" s="143"/>
      <c r="Y75" s="143"/>
      <c r="Z75" s="143"/>
      <c r="AA75" s="143"/>
      <c r="AB75" s="143"/>
      <c r="AC75" s="143"/>
      <c r="AD75" s="143"/>
    </row>
    <row r="76" spans="1:30" ht="12.75" customHeight="1" x14ac:dyDescent="0.25">
      <c r="A76" s="143"/>
      <c r="B76" s="151" t="s">
        <v>261</v>
      </c>
      <c r="C76" s="179" t="s">
        <v>262</v>
      </c>
      <c r="D76" s="152"/>
      <c r="E76" s="152"/>
      <c r="F76" s="220"/>
      <c r="G76" s="152"/>
      <c r="H76" s="174"/>
      <c r="I76" s="152"/>
      <c r="J76" s="174"/>
      <c r="K76" s="174"/>
      <c r="L76" s="221"/>
      <c r="M76" s="154"/>
      <c r="N76" s="143"/>
      <c r="O76" s="143"/>
      <c r="P76" s="143"/>
      <c r="Q76" s="143"/>
      <c r="R76" s="143"/>
      <c r="S76" s="143"/>
      <c r="T76" s="143"/>
      <c r="U76" s="143"/>
      <c r="V76" s="143"/>
      <c r="W76" s="143"/>
      <c r="X76" s="143"/>
      <c r="Y76" s="143"/>
      <c r="Z76" s="143"/>
      <c r="AA76" s="143"/>
      <c r="AB76" s="143"/>
      <c r="AC76" s="143"/>
      <c r="AD76" s="143"/>
    </row>
    <row r="77" spans="1:30" ht="12.75" customHeight="1" x14ac:dyDescent="0.25">
      <c r="A77" s="143"/>
      <c r="B77" s="151"/>
      <c r="C77" s="152" t="s">
        <v>263</v>
      </c>
      <c r="D77" s="152" t="s">
        <v>264</v>
      </c>
      <c r="E77" s="152" t="s">
        <v>259</v>
      </c>
      <c r="F77" s="209">
        <v>683932</v>
      </c>
      <c r="G77" s="152" t="s">
        <v>225</v>
      </c>
      <c r="H77" s="161">
        <v>137.25399999999999</v>
      </c>
      <c r="I77" s="152" t="s">
        <v>265</v>
      </c>
      <c r="J77" s="174">
        <v>93872.402728000001</v>
      </c>
      <c r="K77" s="174">
        <v>5352.7387124792276</v>
      </c>
      <c r="L77" s="221">
        <v>0.1210813146262126</v>
      </c>
      <c r="M77" s="260">
        <v>1.4598456373373153E-2</v>
      </c>
      <c r="N77" s="143"/>
      <c r="O77" s="143"/>
      <c r="P77" s="143"/>
      <c r="Q77" s="143"/>
      <c r="R77" s="143"/>
      <c r="S77" s="143"/>
      <c r="T77" s="143"/>
      <c r="U77" s="143"/>
      <c r="V77" s="143"/>
      <c r="W77" s="143"/>
      <c r="X77" s="143"/>
      <c r="Y77" s="143"/>
      <c r="Z77" s="143"/>
      <c r="AA77" s="143"/>
      <c r="AB77" s="143"/>
      <c r="AC77" s="143"/>
      <c r="AD77" s="143"/>
    </row>
    <row r="78" spans="1:30" ht="12.75" customHeight="1" x14ac:dyDescent="0.25">
      <c r="A78" s="143"/>
      <c r="B78" s="151"/>
      <c r="C78" s="152" t="s">
        <v>266</v>
      </c>
      <c r="D78" s="152" t="s">
        <v>267</v>
      </c>
      <c r="E78" s="152" t="s">
        <v>259</v>
      </c>
      <c r="F78" s="209">
        <v>627188</v>
      </c>
      <c r="G78" s="152" t="s">
        <v>225</v>
      </c>
      <c r="H78" s="161">
        <v>137.25399999999999</v>
      </c>
      <c r="I78" s="152" t="s">
        <v>265</v>
      </c>
      <c r="J78" s="229">
        <v>86084.061751999994</v>
      </c>
      <c r="K78" s="243">
        <v>6000</v>
      </c>
      <c r="L78" s="261">
        <v>0.28000000000000003</v>
      </c>
      <c r="M78" s="262">
        <v>0.06</v>
      </c>
      <c r="N78" s="143"/>
      <c r="O78" s="143"/>
      <c r="P78" s="143"/>
      <c r="Q78" s="143"/>
      <c r="R78" s="143"/>
      <c r="S78" s="143"/>
      <c r="T78" s="143"/>
      <c r="U78" s="143"/>
      <c r="V78" s="143"/>
      <c r="W78" s="143"/>
      <c r="X78" s="143"/>
      <c r="Y78" s="143"/>
      <c r="Z78" s="143"/>
      <c r="AA78" s="143"/>
      <c r="AB78" s="143"/>
      <c r="AC78" s="143"/>
      <c r="AD78" s="143"/>
    </row>
    <row r="79" spans="1:30" ht="12.75" customHeight="1" x14ac:dyDescent="0.25">
      <c r="A79" s="143"/>
      <c r="B79" s="151"/>
      <c r="C79" s="152" t="s">
        <v>268</v>
      </c>
      <c r="D79" s="152" t="s">
        <v>269</v>
      </c>
      <c r="E79" s="152" t="s">
        <v>259</v>
      </c>
      <c r="F79" s="263">
        <v>0</v>
      </c>
      <c r="G79" s="152" t="s">
        <v>225</v>
      </c>
      <c r="H79" s="161">
        <v>137.25399999999999</v>
      </c>
      <c r="I79" s="152" t="s">
        <v>265</v>
      </c>
      <c r="J79" s="264">
        <v>0</v>
      </c>
      <c r="K79" s="265">
        <v>0</v>
      </c>
      <c r="L79" s="261">
        <v>0</v>
      </c>
      <c r="M79" s="262">
        <v>0</v>
      </c>
      <c r="N79" s="143"/>
      <c r="O79" s="143"/>
      <c r="P79" s="143"/>
      <c r="Q79" s="143"/>
      <c r="R79" s="143"/>
      <c r="S79" s="143"/>
      <c r="T79" s="143"/>
      <c r="U79" s="143"/>
      <c r="V79" s="143"/>
      <c r="W79" s="143"/>
      <c r="X79" s="143"/>
      <c r="Y79" s="143"/>
      <c r="Z79" s="143"/>
      <c r="AA79" s="143"/>
      <c r="AB79" s="143"/>
      <c r="AC79" s="143"/>
      <c r="AD79" s="143"/>
    </row>
    <row r="80" spans="1:30" ht="12.75" customHeight="1" x14ac:dyDescent="0.25">
      <c r="A80" s="143"/>
      <c r="B80" s="151"/>
      <c r="C80" s="152" t="s">
        <v>270</v>
      </c>
      <c r="D80" s="152" t="s">
        <v>271</v>
      </c>
      <c r="E80" s="152" t="s">
        <v>259</v>
      </c>
      <c r="F80" s="209">
        <v>541219</v>
      </c>
      <c r="G80" s="152" t="s">
        <v>225</v>
      </c>
      <c r="H80" s="161">
        <v>137.25399999999999</v>
      </c>
      <c r="I80" s="152" t="s">
        <v>265</v>
      </c>
      <c r="J80" s="229">
        <v>74284.472626000002</v>
      </c>
      <c r="K80" s="243">
        <v>5014</v>
      </c>
      <c r="L80" s="261">
        <v>0.24</v>
      </c>
      <c r="M80" s="262">
        <v>0.05</v>
      </c>
      <c r="N80" s="143"/>
      <c r="O80" s="143"/>
      <c r="P80" s="143"/>
      <c r="Q80" s="143"/>
      <c r="R80" s="143"/>
      <c r="S80" s="143"/>
      <c r="T80" s="143"/>
      <c r="U80" s="143"/>
      <c r="V80" s="143"/>
      <c r="W80" s="143"/>
      <c r="X80" s="143"/>
      <c r="Y80" s="143"/>
      <c r="Z80" s="143"/>
      <c r="AA80" s="143"/>
      <c r="AB80" s="143"/>
      <c r="AC80" s="143"/>
      <c r="AD80" s="143"/>
    </row>
    <row r="81" spans="1:30" ht="12.75" customHeight="1" x14ac:dyDescent="0.25">
      <c r="A81" s="143"/>
      <c r="B81" s="151"/>
      <c r="C81" s="152" t="s">
        <v>272</v>
      </c>
      <c r="D81" s="152" t="s">
        <v>273</v>
      </c>
      <c r="E81" s="152" t="s">
        <v>259</v>
      </c>
      <c r="F81" s="209">
        <v>510485</v>
      </c>
      <c r="G81" s="152" t="s">
        <v>225</v>
      </c>
      <c r="H81" s="161">
        <v>137.25399999999999</v>
      </c>
      <c r="I81" s="152" t="s">
        <v>265</v>
      </c>
      <c r="J81" s="229">
        <v>70066.108189999999</v>
      </c>
      <c r="K81" s="243">
        <v>4705</v>
      </c>
      <c r="L81" s="261">
        <v>0.23</v>
      </c>
      <c r="M81" s="262">
        <v>0.05</v>
      </c>
      <c r="N81" s="143"/>
      <c r="O81" s="143"/>
      <c r="P81" s="143"/>
      <c r="Q81" s="143"/>
      <c r="R81" s="143"/>
      <c r="S81" s="143"/>
      <c r="T81" s="143"/>
      <c r="U81" s="143"/>
      <c r="V81" s="143"/>
      <c r="W81" s="143"/>
      <c r="X81" s="143"/>
      <c r="Y81" s="143"/>
      <c r="Z81" s="143"/>
      <c r="AA81" s="143"/>
      <c r="AB81" s="143"/>
      <c r="AC81" s="143"/>
      <c r="AD81" s="143"/>
    </row>
    <row r="82" spans="1:30" ht="12.75" customHeight="1" x14ac:dyDescent="0.25">
      <c r="A82" s="143"/>
      <c r="B82" s="151"/>
      <c r="C82" s="152" t="s">
        <v>274</v>
      </c>
      <c r="D82" s="152" t="s">
        <v>275</v>
      </c>
      <c r="E82" s="152" t="s">
        <v>259</v>
      </c>
      <c r="F82" s="209">
        <v>4000</v>
      </c>
      <c r="G82" s="152" t="s">
        <v>225</v>
      </c>
      <c r="H82" s="161">
        <v>138</v>
      </c>
      <c r="I82" s="152" t="s">
        <v>265</v>
      </c>
      <c r="J82" s="174">
        <v>552</v>
      </c>
      <c r="K82" s="174">
        <v>31.475829779812489</v>
      </c>
      <c r="L82" s="221">
        <v>6.1101584573763543E-4</v>
      </c>
      <c r="M82" s="260">
        <v>6.2137204651284964E-5</v>
      </c>
      <c r="N82" s="143"/>
      <c r="O82" s="143"/>
      <c r="P82" s="143"/>
      <c r="Q82" s="143"/>
      <c r="R82" s="143"/>
      <c r="S82" s="143"/>
      <c r="T82" s="143"/>
      <c r="U82" s="143"/>
      <c r="V82" s="143"/>
      <c r="W82" s="143"/>
      <c r="X82" s="143"/>
      <c r="Y82" s="143"/>
      <c r="Z82" s="143"/>
      <c r="AA82" s="143"/>
      <c r="AB82" s="143"/>
      <c r="AC82" s="143"/>
      <c r="AD82" s="143"/>
    </row>
    <row r="83" spans="1:30" ht="12.75" customHeight="1" x14ac:dyDescent="0.25">
      <c r="A83" s="143"/>
      <c r="B83" s="151"/>
      <c r="C83" s="152" t="s">
        <v>276</v>
      </c>
      <c r="D83" s="152" t="s">
        <v>277</v>
      </c>
      <c r="E83" s="152" t="s">
        <v>259</v>
      </c>
      <c r="F83" s="209">
        <v>5000</v>
      </c>
      <c r="G83" s="152" t="s">
        <v>225</v>
      </c>
      <c r="H83" s="161">
        <v>137.25399999999999</v>
      </c>
      <c r="I83" s="152" t="s">
        <v>265</v>
      </c>
      <c r="J83" s="174">
        <v>686.27</v>
      </c>
      <c r="K83" s="174">
        <v>38.033447790332147</v>
      </c>
      <c r="L83" s="221">
        <v>7.5905883101358386E-4</v>
      </c>
      <c r="M83" s="260">
        <v>8.0506239652955864E-5</v>
      </c>
      <c r="N83" s="143"/>
      <c r="O83" s="143"/>
      <c r="P83" s="143"/>
      <c r="Q83" s="143"/>
      <c r="R83" s="143"/>
      <c r="S83" s="143"/>
      <c r="T83" s="143"/>
      <c r="U83" s="143"/>
      <c r="V83" s="143"/>
      <c r="W83" s="143"/>
      <c r="X83" s="143"/>
      <c r="Y83" s="143"/>
      <c r="Z83" s="143"/>
      <c r="AA83" s="143"/>
      <c r="AB83" s="143"/>
      <c r="AC83" s="143"/>
      <c r="AD83" s="143"/>
    </row>
    <row r="84" spans="1:30" ht="12.75" customHeight="1" x14ac:dyDescent="0.25">
      <c r="A84" s="143"/>
      <c r="B84" s="151"/>
      <c r="C84" s="152"/>
      <c r="D84" s="152"/>
      <c r="E84" s="152"/>
      <c r="F84" s="249"/>
      <c r="G84" s="152"/>
      <c r="H84" s="174"/>
      <c r="I84" s="152"/>
      <c r="J84" s="174"/>
      <c r="K84" s="229"/>
      <c r="L84" s="266"/>
      <c r="M84" s="154"/>
      <c r="N84" s="143"/>
      <c r="O84" s="143"/>
      <c r="P84" s="143"/>
      <c r="Q84" s="143"/>
      <c r="R84" s="143"/>
      <c r="S84" s="143"/>
      <c r="T84" s="143"/>
      <c r="U84" s="143"/>
      <c r="V84" s="143"/>
      <c r="W84" s="143"/>
      <c r="X84" s="143"/>
      <c r="Y84" s="143"/>
      <c r="Z84" s="143"/>
      <c r="AA84" s="143"/>
      <c r="AB84" s="143"/>
      <c r="AC84" s="143"/>
      <c r="AD84" s="143"/>
    </row>
    <row r="85" spans="1:30" ht="12.75" customHeight="1" x14ac:dyDescent="0.25">
      <c r="A85" s="143"/>
      <c r="B85" s="155"/>
      <c r="C85" s="190"/>
      <c r="D85" s="190"/>
      <c r="E85" s="190"/>
      <c r="F85" s="250"/>
      <c r="G85" s="190"/>
      <c r="H85" s="158"/>
      <c r="I85" s="267"/>
      <c r="J85" s="257"/>
      <c r="K85" s="190"/>
      <c r="L85" s="190"/>
      <c r="M85" s="208"/>
      <c r="N85" s="143"/>
      <c r="O85" s="143"/>
      <c r="P85" s="143"/>
      <c r="Q85" s="143"/>
      <c r="R85" s="143"/>
      <c r="S85" s="143"/>
      <c r="T85" s="143"/>
      <c r="U85" s="143"/>
      <c r="V85" s="143"/>
      <c r="W85" s="143"/>
      <c r="X85" s="143"/>
      <c r="Y85" s="143"/>
      <c r="Z85" s="143"/>
      <c r="AA85" s="143"/>
      <c r="AB85" s="143"/>
      <c r="AC85" s="143"/>
      <c r="AD85" s="143"/>
    </row>
    <row r="86" spans="1:30" ht="12.75" customHeight="1" x14ac:dyDescent="0.25">
      <c r="A86" s="143"/>
      <c r="B86" s="151" t="s">
        <v>278</v>
      </c>
      <c r="C86" s="179" t="s">
        <v>279</v>
      </c>
      <c r="D86" s="152"/>
      <c r="E86" s="152"/>
      <c r="F86" s="268"/>
      <c r="G86" s="152"/>
      <c r="H86" s="152"/>
      <c r="I86" s="152"/>
      <c r="J86" s="152"/>
      <c r="K86" s="152"/>
      <c r="L86" s="152"/>
      <c r="M86" s="154"/>
      <c r="N86" s="143"/>
      <c r="O86" s="143"/>
      <c r="P86" s="143"/>
      <c r="Q86" s="143"/>
      <c r="R86" s="143"/>
      <c r="S86" s="143"/>
      <c r="T86" s="143"/>
      <c r="U86" s="143"/>
      <c r="V86" s="143"/>
      <c r="W86" s="143"/>
      <c r="X86" s="143"/>
      <c r="Y86" s="143"/>
      <c r="Z86" s="143"/>
      <c r="AA86" s="143"/>
      <c r="AB86" s="143"/>
      <c r="AC86" s="143"/>
      <c r="AD86" s="143"/>
    </row>
    <row r="87" spans="1:30" ht="12.75" customHeight="1" x14ac:dyDescent="0.25">
      <c r="A87" s="143"/>
      <c r="B87" s="151"/>
      <c r="C87" s="152" t="s">
        <v>280</v>
      </c>
      <c r="D87" s="152" t="s">
        <v>281</v>
      </c>
      <c r="E87" s="152" t="s">
        <v>235</v>
      </c>
      <c r="F87" s="269">
        <v>12848</v>
      </c>
      <c r="G87" s="152" t="s">
        <v>225</v>
      </c>
      <c r="H87" s="194">
        <v>138324</v>
      </c>
      <c r="I87" s="152" t="s">
        <v>282</v>
      </c>
      <c r="J87" s="270">
        <v>1777.1867520000001</v>
      </c>
      <c r="K87" s="271">
        <v>128.77816645689254</v>
      </c>
      <c r="L87" s="272">
        <v>1E-3</v>
      </c>
      <c r="M87" s="273">
        <v>0</v>
      </c>
      <c r="N87" s="143"/>
      <c r="O87" s="143"/>
      <c r="P87" s="143"/>
      <c r="Q87" s="143"/>
      <c r="R87" s="143"/>
      <c r="S87" s="143"/>
      <c r="T87" s="143"/>
      <c r="U87" s="143"/>
      <c r="V87" s="143"/>
      <c r="W87" s="143"/>
      <c r="X87" s="143"/>
      <c r="Y87" s="143"/>
      <c r="Z87" s="143"/>
      <c r="AA87" s="143"/>
      <c r="AB87" s="143"/>
      <c r="AC87" s="143"/>
      <c r="AD87" s="143"/>
    </row>
    <row r="88" spans="1:30" ht="12.75" customHeight="1" x14ac:dyDescent="0.25">
      <c r="A88" s="143"/>
      <c r="B88" s="151"/>
      <c r="C88" s="152" t="s">
        <v>283</v>
      </c>
      <c r="D88" s="152" t="s">
        <v>284</v>
      </c>
      <c r="E88" s="152" t="s">
        <v>235</v>
      </c>
      <c r="F88" s="269">
        <v>16932</v>
      </c>
      <c r="G88" s="152" t="s">
        <v>225</v>
      </c>
      <c r="H88" s="194">
        <v>138324</v>
      </c>
      <c r="I88" s="152" t="s">
        <v>282</v>
      </c>
      <c r="J88" s="229">
        <v>2342.1019679999999</v>
      </c>
      <c r="K88" s="210">
        <v>190.94</v>
      </c>
      <c r="L88" s="210">
        <v>0.01</v>
      </c>
      <c r="M88" s="274">
        <v>0</v>
      </c>
      <c r="N88" s="143"/>
      <c r="O88" s="143"/>
      <c r="P88" s="143"/>
      <c r="Q88" s="143"/>
      <c r="R88" s="143"/>
      <c r="S88" s="143"/>
      <c r="T88" s="143"/>
      <c r="U88" s="143"/>
      <c r="V88" s="143"/>
      <c r="W88" s="143"/>
      <c r="X88" s="143"/>
      <c r="Y88" s="143"/>
      <c r="Z88" s="143"/>
      <c r="AA88" s="143"/>
      <c r="AB88" s="143"/>
      <c r="AC88" s="143"/>
      <c r="AD88" s="143"/>
    </row>
    <row r="89" spans="1:30" ht="12.75" customHeight="1" x14ac:dyDescent="0.25">
      <c r="A89" s="143"/>
      <c r="B89" s="151"/>
      <c r="C89" s="152" t="s">
        <v>285</v>
      </c>
      <c r="D89" s="152" t="s">
        <v>286</v>
      </c>
      <c r="E89" s="152" t="s">
        <v>235</v>
      </c>
      <c r="F89" s="269">
        <v>20793</v>
      </c>
      <c r="G89" s="152" t="s">
        <v>225</v>
      </c>
      <c r="H89" s="194">
        <v>138324</v>
      </c>
      <c r="I89" s="152" t="s">
        <v>282</v>
      </c>
      <c r="J89" s="229">
        <v>2876.170932</v>
      </c>
      <c r="K89" s="247">
        <v>234.48</v>
      </c>
      <c r="L89" s="210">
        <v>0.01</v>
      </c>
      <c r="M89" s="274">
        <v>0</v>
      </c>
      <c r="N89" s="143"/>
      <c r="O89" s="143"/>
      <c r="P89" s="143"/>
      <c r="Q89" s="143"/>
      <c r="R89" s="143"/>
      <c r="S89" s="143"/>
      <c r="T89" s="143"/>
      <c r="U89" s="143"/>
      <c r="V89" s="143"/>
      <c r="W89" s="143"/>
      <c r="X89" s="143"/>
      <c r="Y89" s="143"/>
      <c r="Z89" s="143"/>
      <c r="AA89" s="143"/>
      <c r="AB89" s="143"/>
      <c r="AC89" s="143"/>
      <c r="AD89" s="143"/>
    </row>
    <row r="90" spans="1:30" ht="12.75" customHeight="1" x14ac:dyDescent="0.25">
      <c r="A90" s="143"/>
      <c r="B90" s="151"/>
      <c r="C90" s="152"/>
      <c r="D90" s="152"/>
      <c r="E90" s="152"/>
      <c r="F90" s="275"/>
      <c r="G90" s="152"/>
      <c r="H90" s="270"/>
      <c r="I90" s="152"/>
      <c r="J90" s="174"/>
      <c r="K90" s="276"/>
      <c r="L90" s="152"/>
      <c r="M90" s="154"/>
      <c r="N90" s="143"/>
      <c r="O90" s="143"/>
      <c r="P90" s="143"/>
      <c r="Q90" s="143"/>
      <c r="R90" s="143"/>
      <c r="S90" s="143"/>
      <c r="T90" s="143"/>
      <c r="U90" s="143"/>
      <c r="V90" s="143"/>
      <c r="W90" s="143"/>
      <c r="X90" s="143"/>
      <c r="Y90" s="143"/>
      <c r="Z90" s="143"/>
      <c r="AA90" s="143"/>
      <c r="AB90" s="143"/>
      <c r="AC90" s="143"/>
      <c r="AD90" s="143"/>
    </row>
    <row r="91" spans="1:30" ht="12.75" customHeight="1" x14ac:dyDescent="0.25">
      <c r="A91" s="143"/>
      <c r="B91" s="155"/>
      <c r="C91" s="190"/>
      <c r="D91" s="190"/>
      <c r="E91" s="190"/>
      <c r="F91" s="277"/>
      <c r="G91" s="190"/>
      <c r="H91" s="190"/>
      <c r="I91" s="190"/>
      <c r="J91" s="190"/>
      <c r="K91" s="190"/>
      <c r="L91" s="190"/>
      <c r="M91" s="208"/>
      <c r="N91" s="143"/>
      <c r="O91" s="143"/>
      <c r="P91" s="143"/>
      <c r="Q91" s="143"/>
      <c r="R91" s="143"/>
      <c r="S91" s="143"/>
      <c r="T91" s="143"/>
      <c r="U91" s="143"/>
      <c r="V91" s="143"/>
      <c r="W91" s="143"/>
      <c r="X91" s="143"/>
      <c r="Y91" s="143"/>
      <c r="Z91" s="143"/>
      <c r="AA91" s="143"/>
      <c r="AB91" s="143"/>
      <c r="AC91" s="143"/>
      <c r="AD91" s="143"/>
    </row>
    <row r="92" spans="1:30" ht="12.75" customHeight="1" x14ac:dyDescent="0.25">
      <c r="A92" s="143"/>
      <c r="B92" s="151" t="s">
        <v>208</v>
      </c>
      <c r="C92" s="179" t="s">
        <v>209</v>
      </c>
      <c r="D92" s="152"/>
      <c r="E92" s="152"/>
      <c r="F92" s="268"/>
      <c r="G92" s="152"/>
      <c r="H92" s="152"/>
      <c r="I92" s="152"/>
      <c r="J92" s="152"/>
      <c r="K92" s="152"/>
      <c r="L92" s="152"/>
      <c r="M92" s="154"/>
      <c r="N92" s="143"/>
      <c r="O92" s="143"/>
      <c r="P92" s="143"/>
      <c r="Q92" s="143"/>
      <c r="R92" s="143"/>
      <c r="S92" s="143"/>
      <c r="T92" s="143"/>
      <c r="U92" s="143"/>
      <c r="V92" s="143"/>
      <c r="W92" s="143"/>
      <c r="X92" s="143"/>
      <c r="Y92" s="143"/>
      <c r="Z92" s="143"/>
      <c r="AA92" s="143"/>
      <c r="AB92" s="143"/>
      <c r="AC92" s="143"/>
      <c r="AD92" s="143"/>
    </row>
    <row r="93" spans="1:30" ht="12.75" customHeight="1" x14ac:dyDescent="0.25">
      <c r="A93" s="143"/>
      <c r="B93" s="151"/>
      <c r="C93" s="152" t="s">
        <v>210</v>
      </c>
      <c r="D93" s="152" t="s">
        <v>211</v>
      </c>
      <c r="E93" s="152" t="s">
        <v>235</v>
      </c>
      <c r="F93" s="269">
        <v>72660</v>
      </c>
      <c r="G93" s="152" t="s">
        <v>225</v>
      </c>
      <c r="H93" s="194">
        <v>137067</v>
      </c>
      <c r="I93" s="152" t="s">
        <v>282</v>
      </c>
      <c r="J93" s="153">
        <v>9959.2882200000004</v>
      </c>
      <c r="K93" s="174">
        <v>948.88220049960819</v>
      </c>
      <c r="L93" s="278">
        <v>3.2934709613158156E-2</v>
      </c>
      <c r="M93" s="260">
        <v>6.5869419226316306E-3</v>
      </c>
      <c r="N93" s="143"/>
      <c r="O93" s="143"/>
      <c r="P93" s="143"/>
      <c r="Q93" s="143"/>
      <c r="R93" s="143"/>
      <c r="S93" s="143"/>
      <c r="T93" s="143"/>
      <c r="U93" s="143"/>
      <c r="V93" s="143"/>
      <c r="W93" s="143"/>
      <c r="X93" s="143"/>
      <c r="Y93" s="143"/>
      <c r="Z93" s="143"/>
      <c r="AA93" s="143"/>
      <c r="AB93" s="143"/>
      <c r="AC93" s="143"/>
      <c r="AD93" s="143"/>
    </row>
    <row r="94" spans="1:30" ht="12.75" customHeight="1" x14ac:dyDescent="0.25">
      <c r="A94" s="143"/>
      <c r="B94" s="151"/>
      <c r="C94" s="152" t="s">
        <v>212</v>
      </c>
      <c r="D94" s="152" t="s">
        <v>213</v>
      </c>
      <c r="E94" s="152" t="s">
        <v>235</v>
      </c>
      <c r="F94" s="269">
        <v>154140</v>
      </c>
      <c r="G94" s="152" t="s">
        <v>225</v>
      </c>
      <c r="H94" s="194">
        <v>137067</v>
      </c>
      <c r="I94" s="152" t="s">
        <v>282</v>
      </c>
      <c r="J94" s="153">
        <v>21127.507379999999</v>
      </c>
      <c r="K94" s="174">
        <v>1956.7029687247518</v>
      </c>
      <c r="L94" s="278">
        <v>6.9867274150456904E-2</v>
      </c>
      <c r="M94" s="260">
        <v>1.3973454830091377E-2</v>
      </c>
      <c r="N94" s="143"/>
      <c r="O94" s="143"/>
      <c r="P94" s="143"/>
      <c r="Q94" s="143"/>
      <c r="R94" s="143"/>
      <c r="S94" s="143"/>
      <c r="T94" s="143"/>
      <c r="U94" s="143"/>
      <c r="V94" s="143"/>
      <c r="W94" s="143"/>
      <c r="X94" s="143"/>
      <c r="Y94" s="143"/>
      <c r="Z94" s="143"/>
      <c r="AA94" s="143"/>
      <c r="AB94" s="143"/>
      <c r="AC94" s="143"/>
      <c r="AD94" s="143"/>
    </row>
    <row r="95" spans="1:30" ht="12.75" customHeight="1" x14ac:dyDescent="0.25">
      <c r="A95" s="143"/>
      <c r="B95" s="151"/>
      <c r="C95" s="152" t="s">
        <v>214</v>
      </c>
      <c r="D95" s="152" t="s">
        <v>215</v>
      </c>
      <c r="E95" s="152" t="s">
        <v>235</v>
      </c>
      <c r="F95" s="269">
        <v>59640</v>
      </c>
      <c r="G95" s="152" t="s">
        <v>225</v>
      </c>
      <c r="H95" s="194">
        <v>137067</v>
      </c>
      <c r="I95" s="152" t="s">
        <v>282</v>
      </c>
      <c r="J95" s="153">
        <v>8174.6758799999998</v>
      </c>
      <c r="K95" s="174">
        <v>789.18159120176881</v>
      </c>
      <c r="L95" s="278">
        <v>2.7033114248950628E-2</v>
      </c>
      <c r="M95" s="260">
        <v>5.4066228497901252E-3</v>
      </c>
      <c r="N95" s="143"/>
      <c r="O95" s="143"/>
      <c r="P95" s="143"/>
      <c r="Q95" s="143"/>
      <c r="R95" s="143"/>
      <c r="S95" s="143"/>
      <c r="T95" s="143"/>
      <c r="U95" s="143"/>
      <c r="V95" s="143"/>
      <c r="W95" s="143"/>
      <c r="X95" s="143"/>
      <c r="Y95" s="143"/>
      <c r="Z95" s="143"/>
      <c r="AA95" s="143"/>
      <c r="AB95" s="143"/>
      <c r="AC95" s="143"/>
      <c r="AD95" s="143"/>
    </row>
    <row r="96" spans="1:30" ht="12.75" customHeight="1" x14ac:dyDescent="0.25">
      <c r="A96" s="143"/>
      <c r="B96" s="151"/>
      <c r="C96" s="152" t="s">
        <v>287</v>
      </c>
      <c r="D96" s="152" t="s">
        <v>286</v>
      </c>
      <c r="E96" s="152" t="s">
        <v>235</v>
      </c>
      <c r="F96" s="269">
        <v>25621</v>
      </c>
      <c r="G96" s="152" t="s">
        <v>225</v>
      </c>
      <c r="H96" s="194">
        <v>137067</v>
      </c>
      <c r="I96" s="152" t="s">
        <v>282</v>
      </c>
      <c r="J96" s="229">
        <v>3511.7936070000001</v>
      </c>
      <c r="K96" s="210">
        <v>286.3</v>
      </c>
      <c r="L96" s="279">
        <v>0.01</v>
      </c>
      <c r="M96" s="274">
        <v>0</v>
      </c>
      <c r="N96" s="143"/>
      <c r="O96" s="143"/>
      <c r="P96" s="143"/>
      <c r="Q96" s="143"/>
      <c r="R96" s="143"/>
      <c r="S96" s="143"/>
      <c r="T96" s="143"/>
      <c r="U96" s="143"/>
      <c r="V96" s="143"/>
      <c r="W96" s="143"/>
      <c r="X96" s="143"/>
      <c r="Y96" s="143"/>
      <c r="Z96" s="143"/>
      <c r="AA96" s="143"/>
      <c r="AB96" s="143"/>
      <c r="AC96" s="143"/>
      <c r="AD96" s="143"/>
    </row>
    <row r="97" spans="1:30" ht="12.75" customHeight="1" x14ac:dyDescent="0.25">
      <c r="A97" s="143"/>
      <c r="B97" s="151"/>
      <c r="C97" s="152"/>
      <c r="D97" s="152"/>
      <c r="E97" s="152"/>
      <c r="F97" s="268"/>
      <c r="G97" s="152"/>
      <c r="H97" s="152"/>
      <c r="I97" s="152"/>
      <c r="J97" s="152"/>
      <c r="K97" s="152"/>
      <c r="L97" s="152"/>
      <c r="M97" s="154"/>
      <c r="N97" s="143"/>
      <c r="O97" s="143"/>
      <c r="P97" s="143"/>
      <c r="Q97" s="143"/>
      <c r="R97" s="143"/>
      <c r="S97" s="143"/>
      <c r="T97" s="143"/>
      <c r="U97" s="143"/>
      <c r="V97" s="143"/>
      <c r="W97" s="143"/>
      <c r="X97" s="143"/>
      <c r="Y97" s="143"/>
      <c r="Z97" s="143"/>
      <c r="AA97" s="143"/>
      <c r="AB97" s="143"/>
      <c r="AC97" s="143"/>
      <c r="AD97" s="143"/>
    </row>
    <row r="98" spans="1:30" ht="12.75" customHeight="1" x14ac:dyDescent="0.25">
      <c r="A98" s="143"/>
      <c r="B98" s="155"/>
      <c r="C98" s="190"/>
      <c r="D98" s="190"/>
      <c r="E98" s="190"/>
      <c r="F98" s="277"/>
      <c r="G98" s="190"/>
      <c r="H98" s="190"/>
      <c r="I98" s="190"/>
      <c r="J98" s="190"/>
      <c r="K98" s="190"/>
      <c r="L98" s="190"/>
      <c r="M98" s="208"/>
      <c r="N98" s="143"/>
      <c r="O98" s="143"/>
      <c r="P98" s="143"/>
      <c r="Q98" s="143"/>
      <c r="R98" s="143"/>
      <c r="S98" s="143"/>
      <c r="T98" s="143"/>
      <c r="U98" s="143"/>
      <c r="V98" s="143"/>
      <c r="W98" s="143"/>
      <c r="X98" s="143"/>
      <c r="Y98" s="143"/>
      <c r="Z98" s="143"/>
      <c r="AA98" s="143"/>
      <c r="AB98" s="143"/>
      <c r="AC98" s="143"/>
      <c r="AD98" s="143"/>
    </row>
    <row r="99" spans="1:30" ht="12.75" customHeight="1" x14ac:dyDescent="0.25">
      <c r="A99" s="143"/>
      <c r="B99" s="151" t="s">
        <v>288</v>
      </c>
      <c r="C99" s="179" t="s">
        <v>289</v>
      </c>
      <c r="D99" s="152"/>
      <c r="E99" s="152"/>
      <c r="F99" s="268"/>
      <c r="G99" s="152"/>
      <c r="H99" s="152"/>
      <c r="I99" s="152"/>
      <c r="J99" s="152"/>
      <c r="K99" s="152"/>
      <c r="L99" s="152"/>
      <c r="M99" s="154"/>
      <c r="N99" s="143"/>
      <c r="O99" s="143"/>
      <c r="P99" s="143"/>
      <c r="Q99" s="143"/>
      <c r="R99" s="143"/>
      <c r="S99" s="143"/>
      <c r="T99" s="143"/>
      <c r="U99" s="143"/>
      <c r="V99" s="143"/>
      <c r="W99" s="143"/>
      <c r="X99" s="143"/>
      <c r="Y99" s="143"/>
      <c r="Z99" s="143"/>
      <c r="AA99" s="143"/>
      <c r="AB99" s="143"/>
      <c r="AC99" s="143"/>
      <c r="AD99" s="143"/>
    </row>
    <row r="100" spans="1:30" ht="12.75" customHeight="1" x14ac:dyDescent="0.25">
      <c r="A100" s="143"/>
      <c r="B100" s="151"/>
      <c r="C100" s="152" t="s">
        <v>290</v>
      </c>
      <c r="D100" s="152" t="s">
        <v>291</v>
      </c>
      <c r="E100" s="152" t="s">
        <v>235</v>
      </c>
      <c r="F100" s="269">
        <v>129060</v>
      </c>
      <c r="G100" s="152" t="s">
        <v>225</v>
      </c>
      <c r="H100" s="194">
        <v>137067</v>
      </c>
      <c r="I100" s="152" t="s">
        <v>282</v>
      </c>
      <c r="J100" s="153">
        <v>17689.867020000002</v>
      </c>
      <c r="K100" s="174">
        <v>1404.7236805652169</v>
      </c>
      <c r="L100" s="278">
        <v>5.8499224094057146E-2</v>
      </c>
      <c r="M100" s="239">
        <v>1.1699844818811428E-2</v>
      </c>
      <c r="N100" s="143"/>
      <c r="O100" s="143"/>
      <c r="P100" s="143"/>
      <c r="Q100" s="143"/>
      <c r="R100" s="143"/>
      <c r="S100" s="143"/>
      <c r="T100" s="143"/>
      <c r="U100" s="143"/>
      <c r="V100" s="143"/>
      <c r="W100" s="143"/>
      <c r="X100" s="143"/>
      <c r="Y100" s="143"/>
      <c r="Z100" s="143"/>
      <c r="AA100" s="143"/>
      <c r="AB100" s="143"/>
      <c r="AC100" s="143"/>
      <c r="AD100" s="143"/>
    </row>
    <row r="101" spans="1:30" ht="12.75" customHeight="1" x14ac:dyDescent="0.25">
      <c r="A101" s="143"/>
      <c r="B101" s="151"/>
      <c r="C101" s="152" t="s">
        <v>290</v>
      </c>
      <c r="D101" s="152" t="s">
        <v>292</v>
      </c>
      <c r="E101" s="152" t="s">
        <v>235</v>
      </c>
      <c r="F101" s="269">
        <v>38806</v>
      </c>
      <c r="G101" s="152" t="s">
        <v>225</v>
      </c>
      <c r="H101" s="194">
        <v>137067</v>
      </c>
      <c r="I101" s="152" t="s">
        <v>282</v>
      </c>
      <c r="J101" s="153">
        <v>5319.0220019999997</v>
      </c>
      <c r="K101" s="174">
        <v>495.51805249447494</v>
      </c>
      <c r="L101" s="278">
        <v>1.7589655123151877E-2</v>
      </c>
      <c r="M101" s="239">
        <v>3.5179310246303752E-3</v>
      </c>
      <c r="N101" s="143"/>
      <c r="O101" s="143"/>
      <c r="P101" s="143"/>
      <c r="Q101" s="143"/>
      <c r="R101" s="143"/>
      <c r="S101" s="143"/>
      <c r="T101" s="143"/>
      <c r="U101" s="143"/>
      <c r="V101" s="143"/>
      <c r="W101" s="143"/>
      <c r="X101" s="143"/>
      <c r="Y101" s="143"/>
      <c r="Z101" s="143"/>
      <c r="AA101" s="143"/>
      <c r="AB101" s="143"/>
      <c r="AC101" s="143"/>
      <c r="AD101" s="143"/>
    </row>
    <row r="102" spans="1:30" ht="12.75" customHeight="1" x14ac:dyDescent="0.25">
      <c r="A102" s="143"/>
      <c r="B102" s="151"/>
      <c r="C102" s="152"/>
      <c r="D102" s="152"/>
      <c r="E102" s="152"/>
      <c r="F102" s="268"/>
      <c r="G102" s="152"/>
      <c r="H102" s="152"/>
      <c r="I102" s="152"/>
      <c r="J102" s="152"/>
      <c r="K102" s="152"/>
      <c r="L102" s="152"/>
      <c r="M102" s="154"/>
      <c r="N102" s="143"/>
      <c r="O102" s="143"/>
      <c r="P102" s="143"/>
      <c r="Q102" s="143"/>
      <c r="R102" s="143"/>
      <c r="S102" s="143"/>
      <c r="T102" s="143"/>
      <c r="U102" s="143"/>
      <c r="V102" s="143"/>
      <c r="W102" s="143"/>
      <c r="X102" s="143"/>
      <c r="Y102" s="143"/>
      <c r="Z102" s="143"/>
      <c r="AA102" s="143"/>
      <c r="AB102" s="143"/>
      <c r="AC102" s="143"/>
      <c r="AD102" s="143"/>
    </row>
    <row r="103" spans="1:30" ht="12.75" customHeight="1" x14ac:dyDescent="0.25">
      <c r="A103" s="143"/>
      <c r="B103" s="155"/>
      <c r="C103" s="190"/>
      <c r="D103" s="190"/>
      <c r="E103" s="190"/>
      <c r="F103" s="277"/>
      <c r="G103" s="190"/>
      <c r="H103" s="190"/>
      <c r="I103" s="190"/>
      <c r="J103" s="190"/>
      <c r="K103" s="190"/>
      <c r="L103" s="190"/>
      <c r="M103" s="208"/>
      <c r="N103" s="143"/>
      <c r="O103" s="143"/>
      <c r="P103" s="143"/>
      <c r="Q103" s="143"/>
      <c r="R103" s="143"/>
      <c r="S103" s="143"/>
      <c r="T103" s="143"/>
      <c r="U103" s="143"/>
      <c r="V103" s="143"/>
      <c r="W103" s="143"/>
      <c r="X103" s="143"/>
      <c r="Y103" s="143"/>
      <c r="Z103" s="143"/>
      <c r="AA103" s="143"/>
      <c r="AB103" s="143"/>
      <c r="AC103" s="143"/>
      <c r="AD103" s="143"/>
    </row>
    <row r="104" spans="1:30" ht="12.75" customHeight="1" x14ac:dyDescent="0.25">
      <c r="A104" s="143"/>
      <c r="B104" s="151" t="s">
        <v>216</v>
      </c>
      <c r="C104" s="179" t="s">
        <v>217</v>
      </c>
      <c r="D104" s="152"/>
      <c r="E104" s="152"/>
      <c r="F104" s="268"/>
      <c r="G104" s="152"/>
      <c r="H104" s="152"/>
      <c r="I104" s="152"/>
      <c r="J104" s="152"/>
      <c r="K104" s="152"/>
      <c r="L104" s="152"/>
      <c r="M104" s="154"/>
      <c r="N104" s="143"/>
      <c r="O104" s="143"/>
      <c r="P104" s="143"/>
      <c r="Q104" s="143"/>
      <c r="R104" s="143"/>
      <c r="S104" s="143"/>
      <c r="T104" s="143"/>
      <c r="U104" s="143"/>
      <c r="V104" s="143"/>
      <c r="W104" s="143"/>
      <c r="X104" s="143"/>
      <c r="Y104" s="143"/>
      <c r="Z104" s="143"/>
      <c r="AA104" s="143"/>
      <c r="AB104" s="143"/>
      <c r="AC104" s="143"/>
      <c r="AD104" s="143"/>
    </row>
    <row r="105" spans="1:30" ht="12.75" customHeight="1" x14ac:dyDescent="0.25">
      <c r="A105" s="143"/>
      <c r="B105" s="151"/>
      <c r="C105" s="152" t="s">
        <v>218</v>
      </c>
      <c r="D105" s="152" t="s">
        <v>193</v>
      </c>
      <c r="E105" s="152" t="s">
        <v>235</v>
      </c>
      <c r="F105" s="269">
        <v>771927</v>
      </c>
      <c r="G105" s="152" t="s">
        <v>225</v>
      </c>
      <c r="H105" s="270">
        <v>137431</v>
      </c>
      <c r="I105" s="152" t="s">
        <v>282</v>
      </c>
      <c r="J105" s="153">
        <v>106086.69953699999</v>
      </c>
      <c r="K105" s="174">
        <v>11836.926678335256</v>
      </c>
      <c r="L105" s="278">
        <v>1.3801473548794376</v>
      </c>
      <c r="M105" s="260">
        <v>0.20109084571829794</v>
      </c>
      <c r="N105" s="143"/>
      <c r="O105" s="143"/>
      <c r="P105" s="143"/>
      <c r="Q105" s="143"/>
      <c r="R105" s="143"/>
      <c r="S105" s="143"/>
      <c r="T105" s="143"/>
      <c r="U105" s="143"/>
      <c r="V105" s="143"/>
      <c r="W105" s="143"/>
      <c r="X105" s="143"/>
      <c r="Y105" s="143"/>
      <c r="Z105" s="143"/>
      <c r="AA105" s="143"/>
      <c r="AB105" s="143"/>
      <c r="AC105" s="143"/>
      <c r="AD105" s="143"/>
    </row>
    <row r="106" spans="1:30" ht="12.75" customHeight="1" x14ac:dyDescent="0.25">
      <c r="A106" s="143"/>
      <c r="B106" s="151"/>
      <c r="C106" s="152" t="s">
        <v>219</v>
      </c>
      <c r="D106" s="152" t="s">
        <v>197</v>
      </c>
      <c r="E106" s="152" t="s">
        <v>235</v>
      </c>
      <c r="F106" s="269">
        <v>837608</v>
      </c>
      <c r="G106" s="152" t="s">
        <v>225</v>
      </c>
      <c r="H106" s="270">
        <v>137431</v>
      </c>
      <c r="I106" s="152" t="s">
        <v>282</v>
      </c>
      <c r="J106" s="153">
        <v>115113.30504799999</v>
      </c>
      <c r="K106" s="174">
        <v>11861.883318569355</v>
      </c>
      <c r="L106" s="278">
        <v>1.3828829662464941</v>
      </c>
      <c r="M106" s="260">
        <v>0.20161241795458351</v>
      </c>
      <c r="N106" s="143"/>
      <c r="O106" s="143"/>
      <c r="P106" s="143"/>
      <c r="Q106" s="143"/>
      <c r="R106" s="143"/>
      <c r="S106" s="143"/>
      <c r="T106" s="143"/>
      <c r="U106" s="143"/>
      <c r="V106" s="143"/>
      <c r="W106" s="143"/>
      <c r="X106" s="143"/>
      <c r="Y106" s="143"/>
      <c r="Z106" s="143"/>
      <c r="AA106" s="143"/>
      <c r="AB106" s="143"/>
      <c r="AC106" s="143"/>
      <c r="AD106" s="143"/>
    </row>
    <row r="107" spans="1:30" ht="12.75" customHeight="1" x14ac:dyDescent="0.25">
      <c r="A107" s="143"/>
      <c r="B107" s="151"/>
      <c r="C107" s="152" t="s">
        <v>293</v>
      </c>
      <c r="D107" s="152" t="s">
        <v>294</v>
      </c>
      <c r="E107" s="152" t="s">
        <v>235</v>
      </c>
      <c r="F107" s="269">
        <v>405520</v>
      </c>
      <c r="G107" s="152" t="s">
        <v>225</v>
      </c>
      <c r="H107" s="270">
        <v>137431</v>
      </c>
      <c r="I107" s="152" t="s">
        <v>282</v>
      </c>
      <c r="J107" s="254">
        <v>55731.019119999997</v>
      </c>
      <c r="K107" s="234">
        <v>4544</v>
      </c>
      <c r="L107" s="234">
        <v>0.18</v>
      </c>
      <c r="M107" s="280">
        <v>3.6900000000000002E-2</v>
      </c>
      <c r="N107" s="143"/>
      <c r="O107" s="143"/>
      <c r="P107" s="143"/>
      <c r="Q107" s="143"/>
      <c r="R107" s="143"/>
      <c r="S107" s="143"/>
      <c r="T107" s="143"/>
      <c r="U107" s="143"/>
      <c r="V107" s="143"/>
      <c r="W107" s="143"/>
      <c r="X107" s="143"/>
      <c r="Y107" s="143"/>
      <c r="Z107" s="143"/>
      <c r="AA107" s="143"/>
      <c r="AB107" s="143"/>
      <c r="AC107" s="143"/>
      <c r="AD107" s="143"/>
    </row>
    <row r="108" spans="1:30" ht="12.75" customHeight="1" x14ac:dyDescent="0.25">
      <c r="A108" s="143"/>
      <c r="B108" s="151"/>
      <c r="C108" s="152" t="s">
        <v>295</v>
      </c>
      <c r="D108" s="152" t="s">
        <v>296</v>
      </c>
      <c r="E108" s="152" t="s">
        <v>235</v>
      </c>
      <c r="F108" s="269">
        <v>487581</v>
      </c>
      <c r="G108" s="152" t="s">
        <v>225</v>
      </c>
      <c r="H108" s="270">
        <v>137431</v>
      </c>
      <c r="I108" s="152" t="s">
        <v>282</v>
      </c>
      <c r="J108" s="254">
        <v>67008.744411000007</v>
      </c>
      <c r="K108" s="234">
        <v>5463</v>
      </c>
      <c r="L108" s="234">
        <v>0.22</v>
      </c>
      <c r="M108" s="280">
        <v>4.4299999999999999E-2</v>
      </c>
      <c r="N108" s="143"/>
      <c r="O108" s="143"/>
      <c r="P108" s="143"/>
      <c r="Q108" s="143"/>
      <c r="R108" s="143"/>
      <c r="S108" s="143"/>
      <c r="T108" s="143"/>
      <c r="U108" s="143"/>
      <c r="V108" s="143"/>
      <c r="W108" s="143"/>
      <c r="X108" s="143"/>
      <c r="Y108" s="143"/>
      <c r="Z108" s="143"/>
      <c r="AA108" s="143"/>
      <c r="AB108" s="143"/>
      <c r="AC108" s="143"/>
      <c r="AD108" s="143"/>
    </row>
    <row r="109" spans="1:30" ht="12.75" customHeight="1" x14ac:dyDescent="0.25">
      <c r="A109" s="143"/>
      <c r="B109" s="151"/>
      <c r="C109" s="152" t="s">
        <v>297</v>
      </c>
      <c r="D109" s="152" t="s">
        <v>298</v>
      </c>
      <c r="E109" s="152" t="s">
        <v>235</v>
      </c>
      <c r="F109" s="269">
        <v>25084</v>
      </c>
      <c r="G109" s="152" t="s">
        <v>225</v>
      </c>
      <c r="H109" s="270">
        <v>137431</v>
      </c>
      <c r="I109" s="152" t="s">
        <v>282</v>
      </c>
      <c r="J109" s="153">
        <v>3447.3192039999999</v>
      </c>
      <c r="K109" s="234">
        <v>281</v>
      </c>
      <c r="L109" s="234">
        <v>1.14E-2</v>
      </c>
      <c r="M109" s="280">
        <v>2.2799999999999999E-3</v>
      </c>
      <c r="N109" s="143"/>
      <c r="O109" s="143"/>
      <c r="P109" s="143"/>
      <c r="Q109" s="143"/>
      <c r="R109" s="143"/>
      <c r="S109" s="143"/>
      <c r="T109" s="143"/>
      <c r="U109" s="143"/>
      <c r="V109" s="143"/>
      <c r="W109" s="143"/>
      <c r="X109" s="143"/>
      <c r="Y109" s="143"/>
      <c r="Z109" s="143"/>
      <c r="AA109" s="143"/>
      <c r="AB109" s="143"/>
      <c r="AC109" s="143"/>
      <c r="AD109" s="143"/>
    </row>
    <row r="110" spans="1:30" ht="12.75" customHeight="1" x14ac:dyDescent="0.25">
      <c r="A110" s="143"/>
      <c r="B110" s="151"/>
      <c r="C110" s="152" t="s">
        <v>299</v>
      </c>
      <c r="D110" s="152" t="s">
        <v>239</v>
      </c>
      <c r="E110" s="152" t="s">
        <v>235</v>
      </c>
      <c r="F110" s="269">
        <v>40680</v>
      </c>
      <c r="G110" s="152" t="s">
        <v>225</v>
      </c>
      <c r="H110" s="270">
        <v>137431</v>
      </c>
      <c r="I110" s="152" t="s">
        <v>282</v>
      </c>
      <c r="J110" s="153">
        <v>5590.69308</v>
      </c>
      <c r="K110" s="234">
        <v>456</v>
      </c>
      <c r="L110" s="234">
        <v>1.8499999999999999E-2</v>
      </c>
      <c r="M110" s="280">
        <v>3.7000000000000002E-3</v>
      </c>
      <c r="N110" s="143"/>
      <c r="O110" s="143"/>
      <c r="P110" s="143"/>
      <c r="Q110" s="143"/>
      <c r="R110" s="143"/>
      <c r="S110" s="143"/>
      <c r="T110" s="143"/>
      <c r="U110" s="143"/>
      <c r="V110" s="143"/>
      <c r="W110" s="143"/>
      <c r="X110" s="143"/>
      <c r="Y110" s="143"/>
      <c r="Z110" s="143"/>
      <c r="AA110" s="143"/>
      <c r="AB110" s="143"/>
      <c r="AC110" s="143"/>
      <c r="AD110" s="143"/>
    </row>
    <row r="111" spans="1:30" ht="12.75" customHeight="1" x14ac:dyDescent="0.25">
      <c r="A111" s="143"/>
      <c r="B111" s="151"/>
      <c r="C111" s="152" t="s">
        <v>300</v>
      </c>
      <c r="D111" s="152" t="s">
        <v>301</v>
      </c>
      <c r="E111" s="152" t="s">
        <v>235</v>
      </c>
      <c r="F111" s="269">
        <v>83427</v>
      </c>
      <c r="G111" s="152" t="s">
        <v>225</v>
      </c>
      <c r="H111" s="270">
        <v>137431</v>
      </c>
      <c r="I111" s="152" t="s">
        <v>282</v>
      </c>
      <c r="J111" s="153">
        <v>11465.456037</v>
      </c>
      <c r="K111" s="234">
        <v>931</v>
      </c>
      <c r="L111" s="234">
        <v>3.7999999999999999E-2</v>
      </c>
      <c r="M111" s="280">
        <v>7.6E-3</v>
      </c>
      <c r="N111" s="143"/>
      <c r="O111" s="143"/>
      <c r="P111" s="143"/>
      <c r="Q111" s="143"/>
      <c r="R111" s="143"/>
      <c r="S111" s="143"/>
      <c r="T111" s="143"/>
      <c r="U111" s="143"/>
      <c r="V111" s="143"/>
      <c r="W111" s="143"/>
      <c r="X111" s="143"/>
      <c r="Y111" s="143"/>
      <c r="Z111" s="143"/>
      <c r="AA111" s="143"/>
      <c r="AB111" s="143"/>
      <c r="AC111" s="143"/>
      <c r="AD111" s="143"/>
    </row>
    <row r="112" spans="1:30" ht="12.75" customHeight="1" x14ac:dyDescent="0.25">
      <c r="A112" s="143"/>
      <c r="B112" s="151"/>
      <c r="C112" s="152" t="s">
        <v>302</v>
      </c>
      <c r="D112" s="152" t="s">
        <v>303</v>
      </c>
      <c r="E112" s="152" t="s">
        <v>235</v>
      </c>
      <c r="F112" s="269">
        <v>72052</v>
      </c>
      <c r="G112" s="152" t="s">
        <v>225</v>
      </c>
      <c r="H112" s="270">
        <v>137431</v>
      </c>
      <c r="I112" s="152" t="s">
        <v>282</v>
      </c>
      <c r="J112" s="153">
        <v>9902.1784119999993</v>
      </c>
      <c r="K112" s="234">
        <v>804</v>
      </c>
      <c r="L112" s="234">
        <v>3.2800000000000003E-2</v>
      </c>
      <c r="M112" s="280">
        <v>6.5700000000000003E-3</v>
      </c>
      <c r="N112" s="143"/>
      <c r="O112" s="143"/>
      <c r="P112" s="143"/>
      <c r="Q112" s="143"/>
      <c r="R112" s="143"/>
      <c r="S112" s="143"/>
      <c r="T112" s="143"/>
      <c r="U112" s="143"/>
      <c r="V112" s="143"/>
      <c r="W112" s="143"/>
      <c r="X112" s="143"/>
      <c r="Y112" s="143"/>
      <c r="Z112" s="143"/>
      <c r="AA112" s="143"/>
      <c r="AB112" s="143"/>
      <c r="AC112" s="143"/>
      <c r="AD112" s="143"/>
    </row>
    <row r="113" spans="1:30" ht="12.75" customHeight="1" x14ac:dyDescent="0.25">
      <c r="A113" s="143"/>
      <c r="B113" s="151"/>
      <c r="C113" s="152" t="s">
        <v>304</v>
      </c>
      <c r="D113" s="152" t="s">
        <v>244</v>
      </c>
      <c r="E113" s="152" t="s">
        <v>235</v>
      </c>
      <c r="F113" s="281">
        <v>68041.417147514032</v>
      </c>
      <c r="G113" s="152" t="s">
        <v>225</v>
      </c>
      <c r="H113" s="270">
        <v>137431</v>
      </c>
      <c r="I113" s="152" t="s">
        <v>282</v>
      </c>
      <c r="J113" s="153">
        <v>9351</v>
      </c>
      <c r="K113" s="234">
        <v>757</v>
      </c>
      <c r="L113" s="234">
        <v>3.09E-2</v>
      </c>
      <c r="M113" s="280">
        <v>6.1799999999999997E-3</v>
      </c>
      <c r="N113" s="143"/>
      <c r="O113" s="143"/>
      <c r="P113" s="143"/>
      <c r="Q113" s="143"/>
      <c r="R113" s="143"/>
      <c r="S113" s="143"/>
      <c r="T113" s="143"/>
      <c r="U113" s="143"/>
      <c r="V113" s="143"/>
      <c r="W113" s="143"/>
      <c r="X113" s="143"/>
      <c r="Y113" s="143"/>
      <c r="Z113" s="143"/>
      <c r="AA113" s="143"/>
      <c r="AB113" s="143"/>
      <c r="AC113" s="143"/>
      <c r="AD113" s="143"/>
    </row>
    <row r="114" spans="1:30" ht="12.75" customHeight="1" x14ac:dyDescent="0.25">
      <c r="A114" s="143"/>
      <c r="B114" s="151"/>
      <c r="C114" s="152" t="s">
        <v>305</v>
      </c>
      <c r="D114" s="152" t="s">
        <v>306</v>
      </c>
      <c r="E114" s="152" t="s">
        <v>235</v>
      </c>
      <c r="F114" s="269">
        <v>142476</v>
      </c>
      <c r="G114" s="152" t="s">
        <v>225</v>
      </c>
      <c r="H114" s="270">
        <v>137431</v>
      </c>
      <c r="I114" s="152" t="s">
        <v>282</v>
      </c>
      <c r="J114" s="153">
        <v>19580.619156000001</v>
      </c>
      <c r="K114" s="234">
        <v>1589.2</v>
      </c>
      <c r="L114" s="234">
        <v>0.06</v>
      </c>
      <c r="M114" s="280">
        <v>1.2999999999999999E-2</v>
      </c>
      <c r="N114" s="143"/>
      <c r="O114" s="143"/>
      <c r="P114" s="143"/>
      <c r="Q114" s="143"/>
      <c r="R114" s="143"/>
      <c r="S114" s="143"/>
      <c r="T114" s="143"/>
      <c r="U114" s="143"/>
      <c r="V114" s="143"/>
      <c r="W114" s="143"/>
      <c r="X114" s="143"/>
      <c r="Y114" s="143"/>
      <c r="Z114" s="143"/>
      <c r="AA114" s="143"/>
      <c r="AB114" s="143"/>
      <c r="AC114" s="143"/>
      <c r="AD114" s="143"/>
    </row>
    <row r="115" spans="1:30" ht="12.75" customHeight="1" x14ac:dyDescent="0.25">
      <c r="A115" s="143"/>
      <c r="B115" s="151"/>
      <c r="C115" s="152"/>
      <c r="D115" s="152"/>
      <c r="E115" s="152"/>
      <c r="F115" s="268"/>
      <c r="G115" s="152"/>
      <c r="H115" s="152"/>
      <c r="I115" s="152"/>
      <c r="J115" s="152"/>
      <c r="K115" s="152"/>
      <c r="L115" s="152"/>
      <c r="M115" s="219"/>
      <c r="N115" s="143"/>
      <c r="O115" s="143"/>
      <c r="P115" s="143"/>
      <c r="Q115" s="143"/>
      <c r="R115" s="143"/>
      <c r="S115" s="143"/>
      <c r="T115" s="143"/>
      <c r="U115" s="143"/>
      <c r="V115" s="143"/>
      <c r="W115" s="143"/>
      <c r="X115" s="143"/>
      <c r="Y115" s="143"/>
      <c r="Z115" s="143"/>
      <c r="AA115" s="143"/>
      <c r="AB115" s="143"/>
      <c r="AC115" s="143"/>
      <c r="AD115" s="143"/>
    </row>
    <row r="116" spans="1:30" ht="12.75" customHeight="1" x14ac:dyDescent="0.25">
      <c r="A116" s="143"/>
      <c r="B116" s="155"/>
      <c r="C116" s="190"/>
      <c r="D116" s="190"/>
      <c r="E116" s="190"/>
      <c r="F116" s="277"/>
      <c r="G116" s="190"/>
      <c r="H116" s="190"/>
      <c r="I116" s="190"/>
      <c r="J116" s="190"/>
      <c r="K116" s="190"/>
      <c r="L116" s="190"/>
      <c r="M116" s="208"/>
      <c r="N116" s="143"/>
      <c r="O116" s="143"/>
      <c r="P116" s="143"/>
      <c r="Q116" s="143"/>
      <c r="R116" s="143"/>
      <c r="S116" s="143"/>
      <c r="T116" s="143"/>
      <c r="U116" s="143"/>
      <c r="V116" s="143"/>
      <c r="W116" s="143"/>
      <c r="X116" s="143"/>
      <c r="Y116" s="143"/>
      <c r="Z116" s="143"/>
      <c r="AA116" s="143"/>
      <c r="AB116" s="143"/>
      <c r="AC116" s="143"/>
      <c r="AD116" s="143"/>
    </row>
    <row r="117" spans="1:30" ht="12.75" customHeight="1" x14ac:dyDescent="0.25">
      <c r="A117" s="143"/>
      <c r="B117" s="151" t="s">
        <v>307</v>
      </c>
      <c r="C117" s="179" t="s">
        <v>308</v>
      </c>
      <c r="D117" s="152"/>
      <c r="E117" s="152"/>
      <c r="F117" s="268"/>
      <c r="G117" s="152"/>
      <c r="H117" s="152"/>
      <c r="I117" s="152"/>
      <c r="J117" s="152"/>
      <c r="K117" s="152"/>
      <c r="L117" s="152"/>
      <c r="M117" s="154"/>
      <c r="N117" s="143"/>
      <c r="O117" s="143"/>
      <c r="P117" s="143"/>
      <c r="Q117" s="143"/>
      <c r="R117" s="143"/>
      <c r="S117" s="143"/>
      <c r="T117" s="143"/>
      <c r="U117" s="143"/>
      <c r="V117" s="143"/>
      <c r="W117" s="143"/>
      <c r="X117" s="143"/>
      <c r="Y117" s="143"/>
      <c r="Z117" s="143"/>
      <c r="AA117" s="143"/>
      <c r="AB117" s="143"/>
      <c r="AC117" s="143"/>
      <c r="AD117" s="143"/>
    </row>
    <row r="118" spans="1:30" ht="12.75" customHeight="1" x14ac:dyDescent="0.25">
      <c r="A118" s="143"/>
      <c r="B118" s="151"/>
      <c r="C118" s="152" t="s">
        <v>309</v>
      </c>
      <c r="D118" s="152" t="s">
        <v>193</v>
      </c>
      <c r="E118" s="152" t="s">
        <v>310</v>
      </c>
      <c r="F118" s="249">
        <v>33156.065673677564</v>
      </c>
      <c r="G118" s="152" t="s">
        <v>225</v>
      </c>
      <c r="H118" s="194">
        <v>137833</v>
      </c>
      <c r="I118" s="152" t="s">
        <v>311</v>
      </c>
      <c r="J118" s="161">
        <v>4570</v>
      </c>
      <c r="K118" s="221">
        <v>271.77228103803645</v>
      </c>
      <c r="L118" s="278">
        <v>1.9541405223074546E-2</v>
      </c>
      <c r="M118" s="260">
        <v>6.7643325772181124E-3</v>
      </c>
      <c r="N118" s="143"/>
      <c r="O118" s="143"/>
      <c r="P118" s="143"/>
      <c r="Q118" s="143"/>
      <c r="R118" s="143"/>
      <c r="S118" s="143"/>
      <c r="T118" s="143"/>
      <c r="U118" s="143"/>
      <c r="V118" s="143"/>
      <c r="W118" s="143"/>
      <c r="X118" s="143"/>
      <c r="Y118" s="143"/>
      <c r="Z118" s="143"/>
      <c r="AA118" s="143"/>
      <c r="AB118" s="143"/>
      <c r="AC118" s="143"/>
      <c r="AD118" s="143"/>
    </row>
    <row r="119" spans="1:30" ht="12.75" customHeight="1" x14ac:dyDescent="0.25">
      <c r="A119" s="143"/>
      <c r="B119" s="151"/>
      <c r="C119" s="152" t="s">
        <v>312</v>
      </c>
      <c r="D119" s="152" t="s">
        <v>197</v>
      </c>
      <c r="E119" s="152" t="s">
        <v>310</v>
      </c>
      <c r="F119" s="249">
        <v>32952.921288806014</v>
      </c>
      <c r="G119" s="152" t="s">
        <v>225</v>
      </c>
      <c r="H119" s="194">
        <v>137833</v>
      </c>
      <c r="I119" s="152" t="s">
        <v>311</v>
      </c>
      <c r="J119" s="161">
        <v>4542</v>
      </c>
      <c r="K119" s="221">
        <v>270.10756016949779</v>
      </c>
      <c r="L119" s="278">
        <v>1.9502793474287034E-2</v>
      </c>
      <c r="M119" s="260">
        <v>6.8724129385582897E-3</v>
      </c>
      <c r="N119" s="143"/>
      <c r="O119" s="143"/>
      <c r="P119" s="143"/>
      <c r="Q119" s="143"/>
      <c r="R119" s="143"/>
      <c r="S119" s="143"/>
      <c r="T119" s="143"/>
      <c r="U119" s="143"/>
      <c r="V119" s="143"/>
      <c r="W119" s="143"/>
      <c r="X119" s="143"/>
      <c r="Y119" s="143"/>
      <c r="Z119" s="143"/>
      <c r="AA119" s="143"/>
      <c r="AB119" s="143"/>
      <c r="AC119" s="143"/>
      <c r="AD119" s="143"/>
    </row>
    <row r="120" spans="1:30" ht="12.75" customHeight="1" x14ac:dyDescent="0.25">
      <c r="A120" s="143"/>
      <c r="B120" s="151"/>
      <c r="C120" s="282" t="s">
        <v>313</v>
      </c>
      <c r="D120" s="152" t="s">
        <v>206</v>
      </c>
      <c r="E120" s="152" t="s">
        <v>310</v>
      </c>
      <c r="F120" s="209">
        <v>5163</v>
      </c>
      <c r="G120" s="152" t="s">
        <v>225</v>
      </c>
      <c r="H120" s="194">
        <v>137833</v>
      </c>
      <c r="I120" s="152" t="s">
        <v>311</v>
      </c>
      <c r="J120" s="283">
        <v>711.63177900000005</v>
      </c>
      <c r="K120" s="247">
        <v>58</v>
      </c>
      <c r="L120" s="284">
        <v>2.3999999999999998E-3</v>
      </c>
      <c r="M120" s="285">
        <v>4.7000000000000002E-3</v>
      </c>
      <c r="N120" s="143"/>
      <c r="O120" s="143"/>
      <c r="P120" s="143"/>
      <c r="Q120" s="143"/>
      <c r="R120" s="143"/>
      <c r="S120" s="143"/>
      <c r="T120" s="143"/>
      <c r="U120" s="143"/>
      <c r="V120" s="143"/>
      <c r="W120" s="143"/>
      <c r="X120" s="143"/>
      <c r="Y120" s="143"/>
      <c r="Z120" s="143"/>
      <c r="AA120" s="143"/>
      <c r="AB120" s="143"/>
      <c r="AC120" s="143"/>
      <c r="AD120" s="143"/>
    </row>
    <row r="121" spans="1:30" ht="12.75" customHeight="1" x14ac:dyDescent="0.25">
      <c r="A121" s="143"/>
      <c r="B121" s="151"/>
      <c r="C121" s="152"/>
      <c r="D121" s="152"/>
      <c r="E121" s="152"/>
      <c r="F121" s="268"/>
      <c r="G121" s="152"/>
      <c r="H121" s="152"/>
      <c r="I121" s="152"/>
      <c r="J121" s="152"/>
      <c r="K121" s="152"/>
      <c r="L121" s="152"/>
      <c r="M121" s="154"/>
      <c r="N121" s="143"/>
      <c r="O121" s="143"/>
      <c r="P121" s="143"/>
      <c r="Q121" s="143"/>
      <c r="R121" s="143"/>
      <c r="S121" s="143"/>
      <c r="T121" s="143"/>
      <c r="U121" s="143"/>
      <c r="V121" s="143"/>
      <c r="W121" s="143"/>
      <c r="X121" s="143"/>
      <c r="Y121" s="143"/>
      <c r="Z121" s="143"/>
      <c r="AA121" s="143"/>
      <c r="AB121" s="143"/>
      <c r="AC121" s="143"/>
      <c r="AD121" s="143"/>
    </row>
    <row r="122" spans="1:30" ht="12.75" customHeight="1" x14ac:dyDescent="0.25">
      <c r="A122" s="143"/>
      <c r="B122" s="155"/>
      <c r="C122" s="190"/>
      <c r="D122" s="190"/>
      <c r="E122" s="190"/>
      <c r="F122" s="277"/>
      <c r="G122" s="190"/>
      <c r="H122" s="190"/>
      <c r="I122" s="190"/>
      <c r="J122" s="190"/>
      <c r="K122" s="190"/>
      <c r="L122" s="190"/>
      <c r="M122" s="208"/>
      <c r="N122" s="143"/>
      <c r="O122" s="143"/>
      <c r="P122" s="143"/>
      <c r="Q122" s="143"/>
      <c r="R122" s="143"/>
      <c r="S122" s="143"/>
      <c r="T122" s="143"/>
      <c r="U122" s="143"/>
      <c r="V122" s="143"/>
      <c r="W122" s="143"/>
      <c r="X122" s="143"/>
      <c r="Y122" s="143"/>
      <c r="Z122" s="143"/>
      <c r="AA122" s="143"/>
      <c r="AB122" s="143"/>
      <c r="AC122" s="143"/>
      <c r="AD122" s="143"/>
    </row>
    <row r="123" spans="1:30" ht="12.75" customHeight="1" x14ac:dyDescent="0.25">
      <c r="A123" s="143"/>
      <c r="B123" s="151" t="s">
        <v>314</v>
      </c>
      <c r="C123" s="179" t="s">
        <v>315</v>
      </c>
      <c r="D123" s="152"/>
      <c r="E123" s="152"/>
      <c r="F123" s="268"/>
      <c r="G123" s="152"/>
      <c r="H123" s="152"/>
      <c r="I123" s="152"/>
      <c r="J123" s="152"/>
      <c r="K123" s="152"/>
      <c r="L123" s="152"/>
      <c r="M123" s="154"/>
      <c r="N123" s="143"/>
      <c r="O123" s="143"/>
      <c r="P123" s="143"/>
      <c r="Q123" s="143"/>
      <c r="R123" s="143"/>
      <c r="S123" s="143"/>
      <c r="T123" s="143"/>
      <c r="U123" s="143"/>
      <c r="V123" s="143"/>
      <c r="W123" s="143"/>
      <c r="X123" s="143"/>
      <c r="Y123" s="143"/>
      <c r="Z123" s="143"/>
      <c r="AA123" s="143"/>
      <c r="AB123" s="143"/>
      <c r="AC123" s="143"/>
      <c r="AD123" s="143"/>
    </row>
    <row r="124" spans="1:30" ht="12.75" customHeight="1" x14ac:dyDescent="0.25">
      <c r="A124" s="143"/>
      <c r="B124" s="151"/>
      <c r="C124" s="152" t="s">
        <v>316</v>
      </c>
      <c r="D124" s="152" t="s">
        <v>267</v>
      </c>
      <c r="E124" s="152" t="s">
        <v>235</v>
      </c>
      <c r="F124" s="209">
        <v>137178</v>
      </c>
      <c r="G124" s="152" t="s">
        <v>225</v>
      </c>
      <c r="H124" s="161">
        <v>137.25399999999999</v>
      </c>
      <c r="I124" s="152" t="s">
        <v>317</v>
      </c>
      <c r="J124" s="286">
        <v>18828.229211999998</v>
      </c>
      <c r="K124" s="161">
        <v>1534</v>
      </c>
      <c r="L124" s="287">
        <v>0.06</v>
      </c>
      <c r="M124" s="288">
        <v>0.01</v>
      </c>
      <c r="N124" s="143"/>
      <c r="O124" s="143"/>
      <c r="P124" s="143"/>
      <c r="Q124" s="143"/>
      <c r="R124" s="143"/>
      <c r="S124" s="143"/>
      <c r="T124" s="143"/>
      <c r="U124" s="143"/>
      <c r="V124" s="143"/>
      <c r="W124" s="143"/>
      <c r="X124" s="143"/>
      <c r="Y124" s="143"/>
      <c r="Z124" s="143"/>
      <c r="AA124" s="143"/>
      <c r="AB124" s="143"/>
      <c r="AC124" s="143"/>
      <c r="AD124" s="143"/>
    </row>
    <row r="125" spans="1:30" ht="12.75" customHeight="1" x14ac:dyDescent="0.25">
      <c r="A125" s="143"/>
      <c r="B125" s="151"/>
      <c r="C125" s="152" t="s">
        <v>318</v>
      </c>
      <c r="D125" s="152" t="s">
        <v>269</v>
      </c>
      <c r="E125" s="152" t="s">
        <v>235</v>
      </c>
      <c r="F125" s="209">
        <v>117802</v>
      </c>
      <c r="G125" s="152" t="s">
        <v>225</v>
      </c>
      <c r="H125" s="161">
        <v>137.25399999999999</v>
      </c>
      <c r="I125" s="152" t="s">
        <v>317</v>
      </c>
      <c r="J125" s="286">
        <v>16168.795707999998</v>
      </c>
      <c r="K125" s="161">
        <v>1317</v>
      </c>
      <c r="L125" s="287">
        <v>0.05</v>
      </c>
      <c r="M125" s="288">
        <v>0.01</v>
      </c>
      <c r="N125" s="143"/>
      <c r="O125" s="143"/>
      <c r="P125" s="143"/>
      <c r="Q125" s="143"/>
      <c r="R125" s="143"/>
      <c r="S125" s="143"/>
      <c r="T125" s="143"/>
      <c r="U125" s="143"/>
      <c r="V125" s="143"/>
      <c r="W125" s="143"/>
      <c r="X125" s="143"/>
      <c r="Y125" s="143"/>
      <c r="Z125" s="143"/>
      <c r="AA125" s="143"/>
      <c r="AB125" s="143"/>
      <c r="AC125" s="143"/>
      <c r="AD125" s="143"/>
    </row>
    <row r="126" spans="1:30" ht="12.75" customHeight="1" x14ac:dyDescent="0.25">
      <c r="A126" s="143"/>
      <c r="B126" s="151"/>
      <c r="C126" s="152" t="s">
        <v>319</v>
      </c>
      <c r="D126" s="152" t="s">
        <v>271</v>
      </c>
      <c r="E126" s="152" t="s">
        <v>235</v>
      </c>
      <c r="F126" s="209">
        <v>129031</v>
      </c>
      <c r="G126" s="152" t="s">
        <v>225</v>
      </c>
      <c r="H126" s="161">
        <v>137.25399999999999</v>
      </c>
      <c r="I126" s="152" t="s">
        <v>317</v>
      </c>
      <c r="J126" s="286">
        <v>17710.020873999998</v>
      </c>
      <c r="K126" s="161">
        <v>1443</v>
      </c>
      <c r="L126" s="287">
        <v>0.06</v>
      </c>
      <c r="M126" s="288">
        <v>0.01</v>
      </c>
      <c r="N126" s="143"/>
      <c r="O126" s="143"/>
      <c r="P126" s="143"/>
      <c r="Q126" s="143"/>
      <c r="R126" s="143"/>
      <c r="S126" s="143"/>
      <c r="T126" s="143"/>
      <c r="U126" s="143"/>
      <c r="V126" s="143"/>
      <c r="W126" s="143"/>
      <c r="X126" s="143"/>
      <c r="Y126" s="143"/>
      <c r="Z126" s="143"/>
      <c r="AA126" s="143"/>
      <c r="AB126" s="143"/>
      <c r="AC126" s="143"/>
      <c r="AD126" s="143"/>
    </row>
    <row r="127" spans="1:30" ht="12.75" customHeight="1" x14ac:dyDescent="0.25">
      <c r="A127" s="143"/>
      <c r="B127" s="151"/>
      <c r="C127" s="152" t="s">
        <v>320</v>
      </c>
      <c r="D127" s="152" t="s">
        <v>273</v>
      </c>
      <c r="E127" s="152" t="s">
        <v>235</v>
      </c>
      <c r="F127" s="209">
        <v>115913</v>
      </c>
      <c r="G127" s="152" t="s">
        <v>225</v>
      </c>
      <c r="H127" s="161">
        <v>137.25399999999999</v>
      </c>
      <c r="I127" s="152" t="s">
        <v>317</v>
      </c>
      <c r="J127" s="286">
        <v>15909.522901999999</v>
      </c>
      <c r="K127" s="161">
        <v>1296</v>
      </c>
      <c r="L127" s="287">
        <v>0.05</v>
      </c>
      <c r="M127" s="288">
        <v>0.01</v>
      </c>
      <c r="N127" s="143"/>
      <c r="O127" s="143"/>
      <c r="P127" s="143"/>
      <c r="Q127" s="143"/>
      <c r="R127" s="143"/>
      <c r="S127" s="143"/>
      <c r="T127" s="143"/>
      <c r="U127" s="143"/>
      <c r="V127" s="143"/>
      <c r="W127" s="143"/>
      <c r="X127" s="143"/>
      <c r="Y127" s="143"/>
      <c r="Z127" s="143"/>
      <c r="AA127" s="143"/>
      <c r="AB127" s="143"/>
      <c r="AC127" s="143"/>
      <c r="AD127" s="143"/>
    </row>
    <row r="128" spans="1:30" ht="12.75" customHeight="1" x14ac:dyDescent="0.25">
      <c r="A128" s="143"/>
      <c r="B128" s="151"/>
      <c r="C128" s="152"/>
      <c r="D128" s="152"/>
      <c r="E128" s="152"/>
      <c r="F128" s="268"/>
      <c r="G128" s="152"/>
      <c r="H128" s="152"/>
      <c r="I128" s="152"/>
      <c r="J128" s="152"/>
      <c r="K128" s="174"/>
      <c r="L128" s="152"/>
      <c r="M128" s="154"/>
      <c r="N128" s="143"/>
      <c r="O128" s="143"/>
      <c r="P128" s="143"/>
      <c r="Q128" s="143"/>
      <c r="R128" s="143"/>
      <c r="S128" s="143"/>
      <c r="T128" s="143"/>
      <c r="U128" s="143"/>
      <c r="V128" s="143"/>
      <c r="W128" s="143"/>
      <c r="X128" s="143"/>
      <c r="Y128" s="143"/>
      <c r="Z128" s="143"/>
      <c r="AA128" s="143"/>
      <c r="AB128" s="143"/>
      <c r="AC128" s="143"/>
      <c r="AD128" s="143"/>
    </row>
    <row r="129" spans="1:30" ht="12.75" customHeight="1" x14ac:dyDescent="0.25">
      <c r="A129" s="143"/>
      <c r="B129" s="155"/>
      <c r="C129" s="190"/>
      <c r="D129" s="190"/>
      <c r="E129" s="190"/>
      <c r="F129" s="277"/>
      <c r="G129" s="190"/>
      <c r="H129" s="190"/>
      <c r="I129" s="190"/>
      <c r="J129" s="190"/>
      <c r="K129" s="190"/>
      <c r="L129" s="190"/>
      <c r="M129" s="208"/>
      <c r="N129" s="143"/>
      <c r="O129" s="143"/>
      <c r="P129" s="143"/>
      <c r="Q129" s="143"/>
      <c r="R129" s="143"/>
      <c r="S129" s="143"/>
      <c r="T129" s="143"/>
      <c r="U129" s="143"/>
      <c r="V129" s="143"/>
      <c r="W129" s="143"/>
      <c r="X129" s="143"/>
      <c r="Y129" s="143"/>
      <c r="Z129" s="143"/>
      <c r="AA129" s="143"/>
      <c r="AB129" s="143"/>
      <c r="AC129" s="143"/>
      <c r="AD129" s="143"/>
    </row>
    <row r="130" spans="1:30" ht="12.75" customHeight="1" x14ac:dyDescent="0.25">
      <c r="A130" s="143"/>
      <c r="B130" s="151" t="s">
        <v>321</v>
      </c>
      <c r="C130" s="179" t="s">
        <v>322</v>
      </c>
      <c r="D130" s="152"/>
      <c r="E130" s="152"/>
      <c r="F130" s="268"/>
      <c r="G130" s="152"/>
      <c r="H130" s="152"/>
      <c r="I130" s="152"/>
      <c r="J130" s="152"/>
      <c r="K130" s="152"/>
      <c r="L130" s="152"/>
      <c r="M130" s="154"/>
      <c r="N130" s="143"/>
      <c r="O130" s="143"/>
      <c r="P130" s="143"/>
      <c r="Q130" s="143"/>
      <c r="R130" s="143"/>
      <c r="S130" s="143"/>
      <c r="T130" s="143"/>
      <c r="U130" s="143"/>
      <c r="V130" s="143"/>
      <c r="W130" s="143"/>
      <c r="X130" s="143"/>
      <c r="Y130" s="143"/>
      <c r="Z130" s="143"/>
      <c r="AA130" s="143"/>
      <c r="AB130" s="143"/>
      <c r="AC130" s="143"/>
      <c r="AD130" s="143"/>
    </row>
    <row r="131" spans="1:30" ht="12.75" customHeight="1" x14ac:dyDescent="0.25">
      <c r="A131" s="143"/>
      <c r="B131" s="151"/>
      <c r="C131" s="152" t="s">
        <v>323</v>
      </c>
      <c r="D131" s="152" t="s">
        <v>324</v>
      </c>
      <c r="E131" s="152" t="s">
        <v>235</v>
      </c>
      <c r="F131" s="209">
        <v>4183</v>
      </c>
      <c r="G131" s="152" t="s">
        <v>225</v>
      </c>
      <c r="H131" s="152">
        <v>137</v>
      </c>
      <c r="I131" s="152" t="s">
        <v>317</v>
      </c>
      <c r="J131" s="221">
        <v>573.07100000000003</v>
      </c>
      <c r="K131" s="289">
        <v>47</v>
      </c>
      <c r="L131" s="290">
        <v>2.3E-3</v>
      </c>
      <c r="M131" s="236">
        <v>2.0000000000000001E-4</v>
      </c>
      <c r="N131" s="143"/>
      <c r="O131" s="143"/>
      <c r="P131" s="143"/>
      <c r="Q131" s="143"/>
      <c r="R131" s="143"/>
      <c r="S131" s="143"/>
      <c r="T131" s="143"/>
      <c r="U131" s="143"/>
      <c r="V131" s="143"/>
      <c r="W131" s="143"/>
      <c r="X131" s="143"/>
      <c r="Y131" s="143"/>
      <c r="Z131" s="143"/>
      <c r="AA131" s="143"/>
      <c r="AB131" s="143"/>
      <c r="AC131" s="143"/>
      <c r="AD131" s="143"/>
    </row>
    <row r="132" spans="1:30" ht="12.75" customHeight="1" x14ac:dyDescent="0.25">
      <c r="A132" s="143"/>
      <c r="B132" s="151"/>
      <c r="C132" s="152" t="s">
        <v>325</v>
      </c>
      <c r="D132" s="152" t="s">
        <v>326</v>
      </c>
      <c r="E132" s="152" t="s">
        <v>235</v>
      </c>
      <c r="F132" s="209">
        <v>4761</v>
      </c>
      <c r="G132" s="152" t="s">
        <v>225</v>
      </c>
      <c r="H132" s="152">
        <v>137</v>
      </c>
      <c r="I132" s="152" t="s">
        <v>317</v>
      </c>
      <c r="J132" s="221">
        <v>652.25699999999995</v>
      </c>
      <c r="K132" s="289">
        <v>54</v>
      </c>
      <c r="L132" s="290">
        <v>2.5999999999999999E-3</v>
      </c>
      <c r="M132" s="236">
        <v>2.9999999999999997E-4</v>
      </c>
      <c r="N132" s="143"/>
      <c r="O132" s="143"/>
      <c r="P132" s="143"/>
      <c r="Q132" s="143"/>
      <c r="R132" s="143"/>
      <c r="S132" s="143"/>
      <c r="T132" s="143"/>
      <c r="U132" s="143"/>
      <c r="V132" s="143"/>
      <c r="W132" s="143"/>
      <c r="X132" s="143"/>
      <c r="Y132" s="143"/>
      <c r="Z132" s="143"/>
      <c r="AA132" s="143"/>
      <c r="AB132" s="143"/>
      <c r="AC132" s="143"/>
      <c r="AD132" s="143"/>
    </row>
    <row r="133" spans="1:30" ht="12.75" customHeight="1" x14ac:dyDescent="0.25">
      <c r="A133" s="143"/>
      <c r="B133" s="151"/>
      <c r="C133" s="152" t="s">
        <v>327</v>
      </c>
      <c r="D133" s="152" t="s">
        <v>328</v>
      </c>
      <c r="E133" s="152" t="s">
        <v>235</v>
      </c>
      <c r="F133" s="209">
        <v>3738</v>
      </c>
      <c r="G133" s="152" t="s">
        <v>225</v>
      </c>
      <c r="H133" s="152">
        <v>137</v>
      </c>
      <c r="I133" s="152" t="s">
        <v>317</v>
      </c>
      <c r="J133" s="221">
        <v>512.10599999999999</v>
      </c>
      <c r="K133" s="289">
        <v>42</v>
      </c>
      <c r="L133" s="290">
        <v>2.0999999999999999E-3</v>
      </c>
      <c r="M133" s="236">
        <v>2.0000000000000001E-4</v>
      </c>
      <c r="N133" s="143"/>
      <c r="O133" s="143"/>
      <c r="P133" s="143"/>
      <c r="Q133" s="143"/>
      <c r="R133" s="143"/>
      <c r="S133" s="143"/>
      <c r="T133" s="143"/>
      <c r="U133" s="143"/>
      <c r="V133" s="143"/>
      <c r="W133" s="143"/>
      <c r="X133" s="143"/>
      <c r="Y133" s="143"/>
      <c r="Z133" s="143"/>
      <c r="AA133" s="143"/>
      <c r="AB133" s="143"/>
      <c r="AC133" s="143"/>
      <c r="AD133" s="143"/>
    </row>
    <row r="134" spans="1:30" ht="12.75" customHeight="1" x14ac:dyDescent="0.25">
      <c r="A134" s="143"/>
      <c r="B134" s="151"/>
      <c r="C134" s="152" t="s">
        <v>329</v>
      </c>
      <c r="D134" s="152" t="s">
        <v>281</v>
      </c>
      <c r="E134" s="152" t="s">
        <v>235</v>
      </c>
      <c r="F134" s="209">
        <v>3680</v>
      </c>
      <c r="G134" s="152" t="s">
        <v>225</v>
      </c>
      <c r="H134" s="152">
        <v>137</v>
      </c>
      <c r="I134" s="152" t="s">
        <v>317</v>
      </c>
      <c r="J134" s="221">
        <v>504.16</v>
      </c>
      <c r="K134" s="289">
        <v>42</v>
      </c>
      <c r="L134" s="291">
        <v>2E-3</v>
      </c>
      <c r="M134" s="236">
        <v>2.0000000000000001E-4</v>
      </c>
      <c r="N134" s="143"/>
      <c r="O134" s="143"/>
      <c r="P134" s="143"/>
      <c r="Q134" s="143"/>
      <c r="R134" s="143"/>
      <c r="S134" s="143"/>
      <c r="T134" s="143"/>
      <c r="U134" s="143"/>
      <c r="V134" s="143"/>
      <c r="W134" s="143"/>
      <c r="X134" s="143"/>
      <c r="Y134" s="143"/>
      <c r="Z134" s="143"/>
      <c r="AA134" s="143"/>
      <c r="AB134" s="143"/>
      <c r="AC134" s="143"/>
      <c r="AD134" s="143"/>
    </row>
    <row r="135" spans="1:30" ht="12.75" customHeight="1" x14ac:dyDescent="0.25">
      <c r="A135" s="143"/>
      <c r="B135" s="151"/>
      <c r="C135" s="152" t="s">
        <v>330</v>
      </c>
      <c r="D135" s="152" t="s">
        <v>331</v>
      </c>
      <c r="E135" s="152" t="s">
        <v>235</v>
      </c>
      <c r="F135" s="209">
        <v>4696</v>
      </c>
      <c r="G135" s="152" t="s">
        <v>225</v>
      </c>
      <c r="H135" s="152">
        <v>137</v>
      </c>
      <c r="I135" s="152" t="s">
        <v>317</v>
      </c>
      <c r="J135" s="221">
        <v>643.35199999999998</v>
      </c>
      <c r="K135" s="289">
        <v>53</v>
      </c>
      <c r="L135" s="290">
        <v>2.5999999999999999E-3</v>
      </c>
      <c r="M135" s="236">
        <v>2.9999999999999997E-4</v>
      </c>
      <c r="N135" s="143"/>
      <c r="O135" s="143"/>
      <c r="P135" s="143"/>
      <c r="Q135" s="143"/>
      <c r="R135" s="143"/>
      <c r="S135" s="143"/>
      <c r="T135" s="143"/>
      <c r="U135" s="143"/>
      <c r="V135" s="143"/>
      <c r="W135" s="143"/>
      <c r="X135" s="143"/>
      <c r="Y135" s="143"/>
      <c r="Z135" s="143"/>
      <c r="AA135" s="143"/>
      <c r="AB135" s="143"/>
      <c r="AC135" s="143"/>
      <c r="AD135" s="143"/>
    </row>
    <row r="136" spans="1:30" ht="12.75" customHeight="1" x14ac:dyDescent="0.25">
      <c r="A136" s="143"/>
      <c r="B136" s="151"/>
      <c r="C136" s="152" t="s">
        <v>332</v>
      </c>
      <c r="D136" s="152" t="s">
        <v>333</v>
      </c>
      <c r="E136" s="152" t="s">
        <v>235</v>
      </c>
      <c r="F136" s="209">
        <v>5720</v>
      </c>
      <c r="G136" s="152" t="s">
        <v>225</v>
      </c>
      <c r="H136" s="152">
        <v>137</v>
      </c>
      <c r="I136" s="152" t="s">
        <v>317</v>
      </c>
      <c r="J136" s="221">
        <v>783.64</v>
      </c>
      <c r="K136" s="289">
        <v>65</v>
      </c>
      <c r="L136" s="290">
        <v>3.2000000000000002E-3</v>
      </c>
      <c r="M136" s="236">
        <v>2.9999999999999997E-4</v>
      </c>
      <c r="N136" s="143"/>
      <c r="O136" s="143"/>
      <c r="P136" s="143"/>
      <c r="Q136" s="143"/>
      <c r="R136" s="143"/>
      <c r="S136" s="143"/>
      <c r="T136" s="143"/>
      <c r="U136" s="143"/>
      <c r="V136" s="143"/>
      <c r="W136" s="143"/>
      <c r="X136" s="143"/>
      <c r="Y136" s="143"/>
      <c r="Z136" s="143"/>
      <c r="AA136" s="143"/>
      <c r="AB136" s="143"/>
      <c r="AC136" s="143"/>
      <c r="AD136" s="143"/>
    </row>
    <row r="137" spans="1:30" ht="12.75" customHeight="1" x14ac:dyDescent="0.25">
      <c r="A137" s="143"/>
      <c r="B137" s="151"/>
      <c r="C137" s="152" t="s">
        <v>334</v>
      </c>
      <c r="D137" s="152" t="s">
        <v>335</v>
      </c>
      <c r="E137" s="152" t="s">
        <v>235</v>
      </c>
      <c r="F137" s="209">
        <v>6530</v>
      </c>
      <c r="G137" s="152" t="s">
        <v>225</v>
      </c>
      <c r="H137" s="152">
        <v>137</v>
      </c>
      <c r="I137" s="152" t="s">
        <v>317</v>
      </c>
      <c r="J137" s="221">
        <v>894.61</v>
      </c>
      <c r="K137" s="289">
        <v>74</v>
      </c>
      <c r="L137" s="290">
        <v>3.5999999999999999E-3</v>
      </c>
      <c r="M137" s="236">
        <v>4.0000000000000002E-4</v>
      </c>
      <c r="N137" s="143"/>
      <c r="O137" s="143"/>
      <c r="P137" s="143"/>
      <c r="Q137" s="143"/>
      <c r="R137" s="143"/>
      <c r="S137" s="143"/>
      <c r="T137" s="143"/>
      <c r="U137" s="143"/>
      <c r="V137" s="143"/>
      <c r="W137" s="143"/>
      <c r="X137" s="143"/>
      <c r="Y137" s="143"/>
      <c r="Z137" s="143"/>
      <c r="AA137" s="143"/>
      <c r="AB137" s="143"/>
      <c r="AC137" s="143"/>
      <c r="AD137" s="143"/>
    </row>
    <row r="138" spans="1:30" ht="12.75" customHeight="1" x14ac:dyDescent="0.25">
      <c r="A138" s="143"/>
      <c r="B138" s="151"/>
      <c r="C138" s="152" t="s">
        <v>336</v>
      </c>
      <c r="D138" s="152" t="s">
        <v>337</v>
      </c>
      <c r="E138" s="152" t="s">
        <v>235</v>
      </c>
      <c r="F138" s="209">
        <v>7070</v>
      </c>
      <c r="G138" s="152" t="s">
        <v>225</v>
      </c>
      <c r="H138" s="152">
        <v>137</v>
      </c>
      <c r="I138" s="152" t="s">
        <v>317</v>
      </c>
      <c r="J138" s="221">
        <v>968.59</v>
      </c>
      <c r="K138" s="289">
        <v>80</v>
      </c>
      <c r="L138" s="290">
        <v>3.8999999999999998E-3</v>
      </c>
      <c r="M138" s="236">
        <v>4.0000000000000002E-4</v>
      </c>
      <c r="N138" s="143"/>
      <c r="O138" s="143"/>
      <c r="P138" s="143"/>
      <c r="Q138" s="143"/>
      <c r="R138" s="143"/>
      <c r="S138" s="143"/>
      <c r="T138" s="143"/>
      <c r="U138" s="143"/>
      <c r="V138" s="143"/>
      <c r="W138" s="143"/>
      <c r="X138" s="143"/>
      <c r="Y138" s="143"/>
      <c r="Z138" s="143"/>
      <c r="AA138" s="143"/>
      <c r="AB138" s="143"/>
      <c r="AC138" s="143"/>
      <c r="AD138" s="143"/>
    </row>
    <row r="139" spans="1:30" ht="12.75" customHeight="1" x14ac:dyDescent="0.25">
      <c r="A139" s="143"/>
      <c r="B139" s="151"/>
      <c r="C139" s="152" t="s">
        <v>338</v>
      </c>
      <c r="D139" s="152" t="s">
        <v>339</v>
      </c>
      <c r="E139" s="152" t="s">
        <v>235</v>
      </c>
      <c r="F139" s="209">
        <v>10010</v>
      </c>
      <c r="G139" s="152" t="s">
        <v>225</v>
      </c>
      <c r="H139" s="152">
        <v>137</v>
      </c>
      <c r="I139" s="152" t="s">
        <v>317</v>
      </c>
      <c r="J139" s="221">
        <v>1371.37</v>
      </c>
      <c r="K139" s="289">
        <v>113</v>
      </c>
      <c r="L139" s="290">
        <v>5.5999999999999999E-3</v>
      </c>
      <c r="M139" s="236">
        <v>5.9999999999999995E-4</v>
      </c>
      <c r="N139" s="143"/>
      <c r="O139" s="143"/>
      <c r="P139" s="143"/>
      <c r="Q139" s="143"/>
      <c r="R139" s="143"/>
      <c r="S139" s="143"/>
      <c r="T139" s="143"/>
      <c r="U139" s="143"/>
      <c r="V139" s="143"/>
      <c r="W139" s="143"/>
      <c r="X139" s="143"/>
      <c r="Y139" s="143"/>
      <c r="Z139" s="143"/>
      <c r="AA139" s="143"/>
      <c r="AB139" s="143"/>
      <c r="AC139" s="143"/>
      <c r="AD139" s="143"/>
    </row>
    <row r="140" spans="1:30" ht="12.75" customHeight="1" x14ac:dyDescent="0.25">
      <c r="A140" s="143"/>
      <c r="B140" s="151"/>
      <c r="C140" s="152" t="s">
        <v>340</v>
      </c>
      <c r="D140" s="152" t="s">
        <v>341</v>
      </c>
      <c r="E140" s="152" t="s">
        <v>235</v>
      </c>
      <c r="F140" s="209">
        <v>11870</v>
      </c>
      <c r="G140" s="152" t="s">
        <v>225</v>
      </c>
      <c r="H140" s="152">
        <v>137</v>
      </c>
      <c r="I140" s="152" t="s">
        <v>317</v>
      </c>
      <c r="J140" s="221">
        <v>1626.19</v>
      </c>
      <c r="K140" s="289">
        <v>134</v>
      </c>
      <c r="L140" s="290">
        <v>6.6E-3</v>
      </c>
      <c r="M140" s="236">
        <v>6.9999999999999999E-4</v>
      </c>
      <c r="N140" s="143"/>
      <c r="O140" s="143"/>
      <c r="P140" s="143"/>
      <c r="Q140" s="143"/>
      <c r="R140" s="143"/>
      <c r="S140" s="143"/>
      <c r="T140" s="143"/>
      <c r="U140" s="143"/>
      <c r="V140" s="143"/>
      <c r="W140" s="143"/>
      <c r="X140" s="143"/>
      <c r="Y140" s="143"/>
      <c r="Z140" s="143"/>
      <c r="AA140" s="143"/>
      <c r="AB140" s="143"/>
      <c r="AC140" s="143"/>
      <c r="AD140" s="143"/>
    </row>
    <row r="141" spans="1:30" ht="12.75" customHeight="1" x14ac:dyDescent="0.25">
      <c r="A141" s="143"/>
      <c r="B141" s="151"/>
      <c r="C141" s="152"/>
      <c r="D141" s="152"/>
      <c r="E141" s="152"/>
      <c r="F141" s="268"/>
      <c r="G141" s="152"/>
      <c r="H141" s="152"/>
      <c r="I141" s="152"/>
      <c r="J141" s="152"/>
      <c r="K141" s="152"/>
      <c r="L141" s="152"/>
      <c r="M141" s="154"/>
      <c r="N141" s="143"/>
      <c r="O141" s="143"/>
      <c r="P141" s="143"/>
      <c r="Q141" s="143"/>
      <c r="R141" s="143"/>
      <c r="S141" s="143"/>
      <c r="T141" s="143"/>
      <c r="U141" s="143"/>
      <c r="V141" s="143"/>
      <c r="W141" s="143"/>
      <c r="X141" s="143"/>
      <c r="Y141" s="143"/>
      <c r="Z141" s="143"/>
      <c r="AA141" s="143"/>
      <c r="AB141" s="143"/>
      <c r="AC141" s="143"/>
      <c r="AD141" s="143"/>
    </row>
    <row r="142" spans="1:30" ht="12.75" customHeight="1" x14ac:dyDescent="0.25">
      <c r="A142" s="143"/>
      <c r="B142" s="155"/>
      <c r="C142" s="190"/>
      <c r="D142" s="190"/>
      <c r="E142" s="190"/>
      <c r="F142" s="277"/>
      <c r="G142" s="190"/>
      <c r="H142" s="190"/>
      <c r="I142" s="190"/>
      <c r="J142" s="190"/>
      <c r="K142" s="190"/>
      <c r="L142" s="190"/>
      <c r="M142" s="208"/>
      <c r="N142" s="143"/>
      <c r="O142" s="143"/>
      <c r="P142" s="143"/>
      <c r="Q142" s="143"/>
      <c r="R142" s="143"/>
      <c r="S142" s="143"/>
      <c r="T142" s="143"/>
      <c r="U142" s="143"/>
      <c r="V142" s="143"/>
      <c r="W142" s="143"/>
      <c r="X142" s="143"/>
      <c r="Y142" s="143"/>
      <c r="Z142" s="143"/>
      <c r="AA142" s="143"/>
      <c r="AB142" s="143"/>
      <c r="AC142" s="143"/>
      <c r="AD142" s="143"/>
    </row>
    <row r="143" spans="1:30" ht="12.75" customHeight="1" x14ac:dyDescent="0.25">
      <c r="A143" s="143"/>
      <c r="B143" s="151" t="s">
        <v>342</v>
      </c>
      <c r="C143" s="179" t="s">
        <v>343</v>
      </c>
      <c r="D143" s="152"/>
      <c r="E143" s="152"/>
      <c r="F143" s="268"/>
      <c r="G143" s="152"/>
      <c r="H143" s="152"/>
      <c r="I143" s="152"/>
      <c r="J143" s="152"/>
      <c r="K143" s="152"/>
      <c r="L143" s="152"/>
      <c r="M143" s="154"/>
      <c r="N143" s="143"/>
      <c r="O143" s="143"/>
      <c r="P143" s="143"/>
      <c r="Q143" s="143"/>
      <c r="R143" s="143"/>
      <c r="S143" s="143"/>
      <c r="T143" s="143"/>
      <c r="U143" s="143"/>
      <c r="V143" s="143"/>
      <c r="W143" s="143"/>
      <c r="X143" s="143"/>
      <c r="Y143" s="143"/>
      <c r="Z143" s="143"/>
      <c r="AA143" s="143"/>
      <c r="AB143" s="143"/>
      <c r="AC143" s="143"/>
      <c r="AD143" s="143"/>
    </row>
    <row r="144" spans="1:30" ht="12.75" customHeight="1" x14ac:dyDescent="0.25">
      <c r="A144" s="143"/>
      <c r="B144" s="151"/>
      <c r="C144" s="152" t="s">
        <v>344</v>
      </c>
      <c r="D144" s="152" t="s">
        <v>345</v>
      </c>
      <c r="E144" s="152" t="s">
        <v>235</v>
      </c>
      <c r="F144" s="209">
        <v>4343</v>
      </c>
      <c r="G144" s="152" t="s">
        <v>225</v>
      </c>
      <c r="H144" s="152">
        <v>137</v>
      </c>
      <c r="I144" s="152" t="s">
        <v>317</v>
      </c>
      <c r="J144" s="221">
        <v>594.99099999999999</v>
      </c>
      <c r="K144" s="292">
        <v>49</v>
      </c>
      <c r="L144" s="293">
        <v>2.3999999999999998E-3</v>
      </c>
      <c r="M144" s="236">
        <v>2.0000000000000001E-4</v>
      </c>
      <c r="N144" s="143"/>
      <c r="O144" s="143"/>
      <c r="P144" s="143"/>
      <c r="Q144" s="143"/>
      <c r="R144" s="143"/>
      <c r="S144" s="143"/>
      <c r="T144" s="143"/>
      <c r="U144" s="143"/>
      <c r="V144" s="143"/>
      <c r="W144" s="143"/>
      <c r="X144" s="143"/>
      <c r="Y144" s="143"/>
      <c r="Z144" s="143"/>
      <c r="AA144" s="143"/>
      <c r="AB144" s="143"/>
      <c r="AC144" s="143"/>
      <c r="AD144" s="143"/>
    </row>
    <row r="145" spans="1:30" ht="12.75" customHeight="1" x14ac:dyDescent="0.25">
      <c r="A145" s="143"/>
      <c r="B145" s="151"/>
      <c r="C145" s="152" t="s">
        <v>346</v>
      </c>
      <c r="D145" s="152" t="s">
        <v>347</v>
      </c>
      <c r="E145" s="152" t="s">
        <v>235</v>
      </c>
      <c r="F145" s="209">
        <v>4455</v>
      </c>
      <c r="G145" s="152" t="s">
        <v>225</v>
      </c>
      <c r="H145" s="152">
        <v>137</v>
      </c>
      <c r="I145" s="152" t="s">
        <v>317</v>
      </c>
      <c r="J145" s="221">
        <v>610.33500000000004</v>
      </c>
      <c r="K145" s="292">
        <v>50</v>
      </c>
      <c r="L145" s="293">
        <v>2.5000000000000001E-3</v>
      </c>
      <c r="M145" s="236">
        <v>2.0000000000000001E-4</v>
      </c>
      <c r="N145" s="143"/>
      <c r="O145" s="143"/>
      <c r="P145" s="143"/>
      <c r="Q145" s="143"/>
      <c r="R145" s="143"/>
      <c r="S145" s="143"/>
      <c r="T145" s="143"/>
      <c r="U145" s="143"/>
      <c r="V145" s="143"/>
      <c r="W145" s="143"/>
      <c r="X145" s="143"/>
      <c r="Y145" s="143"/>
      <c r="Z145" s="143"/>
      <c r="AA145" s="143"/>
      <c r="AB145" s="143"/>
      <c r="AC145" s="143"/>
      <c r="AD145" s="143"/>
    </row>
    <row r="146" spans="1:30" ht="12.75" customHeight="1" x14ac:dyDescent="0.25">
      <c r="A146" s="143"/>
      <c r="B146" s="151"/>
      <c r="C146" s="152" t="s">
        <v>348</v>
      </c>
      <c r="D146" s="152" t="s">
        <v>349</v>
      </c>
      <c r="E146" s="152" t="s">
        <v>235</v>
      </c>
      <c r="F146" s="209">
        <v>10010</v>
      </c>
      <c r="G146" s="152" t="s">
        <v>225</v>
      </c>
      <c r="H146" s="152">
        <v>137</v>
      </c>
      <c r="I146" s="152" t="s">
        <v>317</v>
      </c>
      <c r="J146" s="221">
        <v>1371.37</v>
      </c>
      <c r="K146" s="292">
        <v>113</v>
      </c>
      <c r="L146" s="293">
        <v>0</v>
      </c>
      <c r="M146" s="236">
        <v>0</v>
      </c>
      <c r="N146" s="143"/>
      <c r="O146" s="143"/>
      <c r="P146" s="143"/>
      <c r="Q146" s="143"/>
      <c r="R146" s="143"/>
      <c r="S146" s="143"/>
      <c r="T146" s="143"/>
      <c r="U146" s="143"/>
      <c r="V146" s="143"/>
      <c r="W146" s="143"/>
      <c r="X146" s="143"/>
      <c r="Y146" s="143"/>
      <c r="Z146" s="143"/>
      <c r="AA146" s="143"/>
      <c r="AB146" s="143"/>
      <c r="AC146" s="143"/>
      <c r="AD146" s="143"/>
    </row>
    <row r="147" spans="1:30" ht="12.75" customHeight="1" x14ac:dyDescent="0.25">
      <c r="A147" s="143"/>
      <c r="B147" s="151"/>
      <c r="C147" s="152" t="s">
        <v>350</v>
      </c>
      <c r="D147" s="152" t="s">
        <v>351</v>
      </c>
      <c r="E147" s="152" t="s">
        <v>235</v>
      </c>
      <c r="F147" s="209">
        <v>12790</v>
      </c>
      <c r="G147" s="152" t="s">
        <v>225</v>
      </c>
      <c r="H147" s="152">
        <v>137</v>
      </c>
      <c r="I147" s="152" t="s">
        <v>317</v>
      </c>
      <c r="J147" s="221">
        <v>1752.23</v>
      </c>
      <c r="K147" s="292">
        <v>145</v>
      </c>
      <c r="L147" s="293">
        <v>0</v>
      </c>
      <c r="M147" s="236">
        <v>0</v>
      </c>
      <c r="N147" s="143"/>
      <c r="O147" s="143"/>
      <c r="P147" s="143"/>
      <c r="Q147" s="143"/>
      <c r="R147" s="143"/>
      <c r="S147" s="143"/>
      <c r="T147" s="143"/>
      <c r="U147" s="143"/>
      <c r="V147" s="143"/>
      <c r="W147" s="143"/>
      <c r="X147" s="143"/>
      <c r="Y147" s="143"/>
      <c r="Z147" s="143"/>
      <c r="AA147" s="143"/>
      <c r="AB147" s="143"/>
      <c r="AC147" s="143"/>
      <c r="AD147" s="143"/>
    </row>
    <row r="148" spans="1:30" ht="12.75" customHeight="1" x14ac:dyDescent="0.25">
      <c r="A148" s="143"/>
      <c r="B148" s="151"/>
      <c r="C148" s="152" t="s">
        <v>352</v>
      </c>
      <c r="D148" s="152" t="s">
        <v>353</v>
      </c>
      <c r="E148" s="152" t="s">
        <v>235</v>
      </c>
      <c r="F148" s="209">
        <v>10200</v>
      </c>
      <c r="G148" s="152" t="s">
        <v>225</v>
      </c>
      <c r="H148" s="152">
        <v>137</v>
      </c>
      <c r="I148" s="152" t="s">
        <v>317</v>
      </c>
      <c r="J148" s="221">
        <v>1397.4</v>
      </c>
      <c r="K148" s="292">
        <v>115</v>
      </c>
      <c r="L148" s="293">
        <v>5.7000000000000002E-3</v>
      </c>
      <c r="M148" s="236">
        <v>5.9999999999999995E-4</v>
      </c>
      <c r="N148" s="143"/>
      <c r="O148" s="143"/>
      <c r="P148" s="143"/>
      <c r="Q148" s="143"/>
      <c r="R148" s="143"/>
      <c r="S148" s="143"/>
      <c r="T148" s="143"/>
      <c r="U148" s="143"/>
      <c r="V148" s="143"/>
      <c r="W148" s="143"/>
      <c r="X148" s="143"/>
      <c r="Y148" s="143"/>
      <c r="Z148" s="143"/>
      <c r="AA148" s="143"/>
      <c r="AB148" s="143"/>
      <c r="AC148" s="143"/>
      <c r="AD148" s="143"/>
    </row>
    <row r="149" spans="1:30" ht="12.75" customHeight="1" x14ac:dyDescent="0.25">
      <c r="A149" s="143"/>
      <c r="B149" s="151"/>
      <c r="C149" s="152" t="s">
        <v>354</v>
      </c>
      <c r="D149" s="152" t="s">
        <v>355</v>
      </c>
      <c r="E149" s="152" t="s">
        <v>235</v>
      </c>
      <c r="F149" s="209">
        <v>10570</v>
      </c>
      <c r="G149" s="152" t="s">
        <v>225</v>
      </c>
      <c r="H149" s="152">
        <v>137</v>
      </c>
      <c r="I149" s="152" t="s">
        <v>317</v>
      </c>
      <c r="J149" s="221">
        <v>1448.09</v>
      </c>
      <c r="K149" s="292">
        <v>119</v>
      </c>
      <c r="L149" s="293">
        <v>5.8999999999999999E-3</v>
      </c>
      <c r="M149" s="236">
        <v>5.9999999999999995E-4</v>
      </c>
      <c r="N149" s="143"/>
      <c r="O149" s="143"/>
      <c r="P149" s="143"/>
      <c r="Q149" s="143"/>
      <c r="R149" s="143"/>
      <c r="S149" s="143"/>
      <c r="T149" s="143"/>
      <c r="U149" s="143"/>
      <c r="V149" s="143"/>
      <c r="W149" s="143"/>
      <c r="X149" s="143"/>
      <c r="Y149" s="143"/>
      <c r="Z149" s="143"/>
      <c r="AA149" s="143"/>
      <c r="AB149" s="143"/>
      <c r="AC149" s="143"/>
      <c r="AD149" s="143"/>
    </row>
    <row r="150" spans="1:30" ht="12.75" customHeight="1" x14ac:dyDescent="0.25">
      <c r="A150" s="143"/>
      <c r="B150" s="151"/>
      <c r="C150" s="152" t="s">
        <v>356</v>
      </c>
      <c r="D150" s="152" t="s">
        <v>357</v>
      </c>
      <c r="E150" s="152" t="s">
        <v>235</v>
      </c>
      <c r="F150" s="209">
        <v>11260</v>
      </c>
      <c r="G150" s="152" t="s">
        <v>225</v>
      </c>
      <c r="H150" s="152">
        <v>137</v>
      </c>
      <c r="I150" s="152" t="s">
        <v>317</v>
      </c>
      <c r="J150" s="221">
        <v>1542.62</v>
      </c>
      <c r="K150" s="292">
        <v>127</v>
      </c>
      <c r="L150" s="293">
        <v>6.1999999999999998E-3</v>
      </c>
      <c r="M150" s="236">
        <v>5.9999999999999995E-4</v>
      </c>
      <c r="N150" s="143"/>
      <c r="O150" s="143"/>
      <c r="P150" s="143"/>
      <c r="Q150" s="143"/>
      <c r="R150" s="143"/>
      <c r="S150" s="143"/>
      <c r="T150" s="143"/>
      <c r="U150" s="143"/>
      <c r="V150" s="143"/>
      <c r="W150" s="143"/>
      <c r="X150" s="143"/>
      <c r="Y150" s="143"/>
      <c r="Z150" s="143"/>
      <c r="AA150" s="143"/>
      <c r="AB150" s="143"/>
      <c r="AC150" s="143"/>
      <c r="AD150" s="143"/>
    </row>
    <row r="151" spans="1:30" ht="12.75" customHeight="1" x14ac:dyDescent="0.25">
      <c r="A151" s="143"/>
      <c r="B151" s="151"/>
      <c r="C151" s="152" t="s">
        <v>358</v>
      </c>
      <c r="D151" s="152" t="s">
        <v>359</v>
      </c>
      <c r="E151" s="152" t="s">
        <v>235</v>
      </c>
      <c r="F151" s="209">
        <v>12560</v>
      </c>
      <c r="G151" s="152" t="s">
        <v>225</v>
      </c>
      <c r="H151" s="152">
        <v>137</v>
      </c>
      <c r="I151" s="152" t="s">
        <v>317</v>
      </c>
      <c r="J151" s="221">
        <v>1720.72</v>
      </c>
      <c r="K151" s="292">
        <v>142</v>
      </c>
      <c r="L151" s="293">
        <v>7.0000000000000001E-3</v>
      </c>
      <c r="M151" s="236">
        <v>6.9999999999999999E-4</v>
      </c>
      <c r="N151" s="143"/>
      <c r="O151" s="143"/>
      <c r="P151" s="143"/>
      <c r="Q151" s="143"/>
      <c r="R151" s="143"/>
      <c r="S151" s="143"/>
      <c r="T151" s="143"/>
      <c r="U151" s="143"/>
      <c r="V151" s="143"/>
      <c r="W151" s="143"/>
      <c r="X151" s="143"/>
      <c r="Y151" s="143"/>
      <c r="Z151" s="143"/>
      <c r="AA151" s="143"/>
      <c r="AB151" s="143"/>
      <c r="AC151" s="143"/>
      <c r="AD151" s="143"/>
    </row>
    <row r="152" spans="1:30" ht="12.75" customHeight="1" x14ac:dyDescent="0.25">
      <c r="A152" s="143"/>
      <c r="B152" s="151"/>
      <c r="C152" s="152"/>
      <c r="D152" s="152"/>
      <c r="E152" s="152"/>
      <c r="F152" s="268"/>
      <c r="G152" s="152"/>
      <c r="H152" s="152"/>
      <c r="I152" s="152"/>
      <c r="J152" s="152"/>
      <c r="K152" s="152"/>
      <c r="L152" s="152"/>
      <c r="M152" s="154"/>
      <c r="N152" s="143"/>
      <c r="O152" s="143"/>
      <c r="P152" s="143"/>
      <c r="Q152" s="143"/>
      <c r="R152" s="143"/>
      <c r="S152" s="143"/>
      <c r="T152" s="143"/>
      <c r="U152" s="143"/>
      <c r="V152" s="143"/>
      <c r="W152" s="143"/>
      <c r="X152" s="143"/>
      <c r="Y152" s="143"/>
      <c r="Z152" s="143"/>
      <c r="AA152" s="143"/>
      <c r="AB152" s="143"/>
      <c r="AC152" s="143"/>
      <c r="AD152" s="143"/>
    </row>
    <row r="153" spans="1:30" ht="12.75" customHeight="1" x14ac:dyDescent="0.25">
      <c r="A153" s="143"/>
      <c r="B153" s="155"/>
      <c r="C153" s="190"/>
      <c r="D153" s="190"/>
      <c r="E153" s="190"/>
      <c r="F153" s="277"/>
      <c r="G153" s="190"/>
      <c r="H153" s="190"/>
      <c r="I153" s="190"/>
      <c r="J153" s="190"/>
      <c r="K153" s="190"/>
      <c r="L153" s="190"/>
      <c r="M153" s="208"/>
      <c r="N153" s="143"/>
      <c r="O153" s="143"/>
      <c r="P153" s="143"/>
      <c r="Q153" s="143"/>
      <c r="R153" s="143"/>
      <c r="S153" s="143"/>
      <c r="T153" s="143"/>
      <c r="U153" s="143"/>
      <c r="V153" s="143"/>
      <c r="W153" s="143"/>
      <c r="X153" s="143"/>
      <c r="Y153" s="143"/>
      <c r="Z153" s="143"/>
      <c r="AA153" s="143"/>
      <c r="AB153" s="143"/>
      <c r="AC153" s="143"/>
      <c r="AD153" s="143"/>
    </row>
    <row r="154" spans="1:30" ht="12.75" customHeight="1" x14ac:dyDescent="0.25">
      <c r="A154" s="143"/>
      <c r="B154" s="151" t="s">
        <v>360</v>
      </c>
      <c r="C154" s="179" t="s">
        <v>361</v>
      </c>
      <c r="D154" s="152"/>
      <c r="E154" s="152"/>
      <c r="F154" s="268"/>
      <c r="G154" s="152"/>
      <c r="H154" s="152"/>
      <c r="I154" s="152"/>
      <c r="J154" s="152"/>
      <c r="K154" s="152"/>
      <c r="L154" s="152"/>
      <c r="M154" s="154"/>
      <c r="N154" s="143"/>
      <c r="O154" s="143"/>
      <c r="P154" s="143"/>
      <c r="Q154" s="143"/>
      <c r="R154" s="143"/>
      <c r="S154" s="143"/>
      <c r="T154" s="143"/>
      <c r="U154" s="143"/>
      <c r="V154" s="143"/>
      <c r="W154" s="143"/>
      <c r="X154" s="143"/>
      <c r="Y154" s="143"/>
      <c r="Z154" s="143"/>
      <c r="AA154" s="143"/>
      <c r="AB154" s="143"/>
      <c r="AC154" s="143"/>
      <c r="AD154" s="143"/>
    </row>
    <row r="155" spans="1:30" ht="12.75" customHeight="1" x14ac:dyDescent="0.25">
      <c r="A155" s="143"/>
      <c r="B155" s="151"/>
      <c r="C155" s="152" t="s">
        <v>338</v>
      </c>
      <c r="D155" s="152" t="s">
        <v>362</v>
      </c>
      <c r="E155" s="152" t="s">
        <v>235</v>
      </c>
      <c r="F155" s="161">
        <v>6347</v>
      </c>
      <c r="G155" s="152" t="s">
        <v>225</v>
      </c>
      <c r="H155" s="174">
        <v>140984</v>
      </c>
      <c r="I155" s="152" t="s">
        <v>311</v>
      </c>
      <c r="J155" s="221">
        <f t="shared" ref="J155:J156" si="1">F155*H155/1000000</f>
        <v>894.82544800000005</v>
      </c>
      <c r="K155" s="272">
        <v>70.45</v>
      </c>
      <c r="L155" s="272">
        <v>0</v>
      </c>
      <c r="M155" s="273">
        <v>0</v>
      </c>
      <c r="N155" s="143"/>
      <c r="O155" s="143"/>
      <c r="P155" s="143"/>
      <c r="Q155" s="143"/>
      <c r="R155" s="143"/>
      <c r="S155" s="143"/>
      <c r="T155" s="143"/>
      <c r="U155" s="143"/>
      <c r="V155" s="143"/>
      <c r="W155" s="143"/>
      <c r="X155" s="143"/>
      <c r="Y155" s="143"/>
      <c r="Z155" s="143"/>
      <c r="AA155" s="143"/>
      <c r="AB155" s="143"/>
      <c r="AC155" s="143"/>
      <c r="AD155" s="143"/>
    </row>
    <row r="156" spans="1:30" ht="12.75" customHeight="1" x14ac:dyDescent="0.25">
      <c r="A156" s="143"/>
      <c r="B156" s="151"/>
      <c r="C156" s="152" t="s">
        <v>336</v>
      </c>
      <c r="D156" s="152" t="s">
        <v>363</v>
      </c>
      <c r="E156" s="152" t="s">
        <v>235</v>
      </c>
      <c r="F156" s="161">
        <v>14329</v>
      </c>
      <c r="G156" s="152" t="s">
        <v>225</v>
      </c>
      <c r="H156" s="174">
        <v>140987</v>
      </c>
      <c r="I156" s="152" t="s">
        <v>311</v>
      </c>
      <c r="J156" s="221">
        <f t="shared" si="1"/>
        <v>2020.2027230000001</v>
      </c>
      <c r="K156" s="272">
        <v>159.05000000000001</v>
      </c>
      <c r="L156" s="272">
        <v>0.01</v>
      </c>
      <c r="M156" s="273">
        <v>0</v>
      </c>
      <c r="N156" s="143"/>
      <c r="O156" s="143"/>
      <c r="P156" s="143"/>
      <c r="Q156" s="143"/>
      <c r="R156" s="143"/>
      <c r="S156" s="143"/>
      <c r="T156" s="143"/>
      <c r="U156" s="143"/>
      <c r="V156" s="143"/>
      <c r="W156" s="143"/>
      <c r="X156" s="143"/>
      <c r="Y156" s="143"/>
      <c r="Z156" s="143"/>
      <c r="AA156" s="143"/>
      <c r="AB156" s="143"/>
      <c r="AC156" s="143"/>
      <c r="AD156" s="143"/>
    </row>
    <row r="157" spans="1:30" ht="12.75" customHeight="1" x14ac:dyDescent="0.25">
      <c r="A157" s="143"/>
      <c r="B157" s="151"/>
      <c r="C157" s="152" t="s">
        <v>325</v>
      </c>
      <c r="D157" s="152" t="s">
        <v>364</v>
      </c>
      <c r="E157" s="152" t="s">
        <v>235</v>
      </c>
      <c r="F157" s="294">
        <v>0</v>
      </c>
      <c r="G157" s="152" t="s">
        <v>225</v>
      </c>
      <c r="H157" s="174">
        <v>140987</v>
      </c>
      <c r="I157" s="152" t="s">
        <v>311</v>
      </c>
      <c r="J157" s="295">
        <v>0</v>
      </c>
      <c r="K157" s="272">
        <v>0</v>
      </c>
      <c r="L157" s="272">
        <v>0</v>
      </c>
      <c r="M157" s="273">
        <v>0</v>
      </c>
      <c r="N157" s="143"/>
      <c r="O157" s="143"/>
      <c r="P157" s="143"/>
      <c r="Q157" s="143"/>
      <c r="R157" s="143"/>
      <c r="S157" s="143"/>
      <c r="T157" s="143"/>
      <c r="U157" s="143"/>
      <c r="V157" s="143"/>
      <c r="W157" s="143"/>
      <c r="X157" s="143"/>
      <c r="Y157" s="143"/>
      <c r="Z157" s="143"/>
      <c r="AA157" s="143"/>
      <c r="AB157" s="143"/>
      <c r="AC157" s="143"/>
      <c r="AD157" s="143"/>
    </row>
    <row r="158" spans="1:30" ht="12.75" customHeight="1" x14ac:dyDescent="0.25">
      <c r="A158" s="143"/>
      <c r="B158" s="151"/>
      <c r="C158" s="152" t="s">
        <v>365</v>
      </c>
      <c r="D158" s="152" t="s">
        <v>364</v>
      </c>
      <c r="E158" s="152" t="s">
        <v>235</v>
      </c>
      <c r="F158" s="161">
        <f>62</f>
        <v>62</v>
      </c>
      <c r="G158" s="152" t="s">
        <v>225</v>
      </c>
      <c r="H158" s="174">
        <v>140987</v>
      </c>
      <c r="I158" s="152" t="s">
        <v>311</v>
      </c>
      <c r="J158" s="221">
        <f t="shared" ref="J158:J162" si="2">F158*H158/1000000</f>
        <v>8.7411940000000001</v>
      </c>
      <c r="K158" s="272">
        <v>0.69</v>
      </c>
      <c r="L158" s="272">
        <v>0</v>
      </c>
      <c r="M158" s="273">
        <v>0</v>
      </c>
      <c r="N158" s="143"/>
      <c r="O158" s="143"/>
      <c r="P158" s="143"/>
      <c r="Q158" s="143"/>
      <c r="R158" s="143"/>
      <c r="S158" s="143"/>
      <c r="T158" s="143"/>
      <c r="U158" s="143"/>
      <c r="V158" s="143"/>
      <c r="W158" s="143"/>
      <c r="X158" s="143"/>
      <c r="Y158" s="143"/>
      <c r="Z158" s="143"/>
      <c r="AA158" s="143"/>
      <c r="AB158" s="143"/>
      <c r="AC158" s="143"/>
      <c r="AD158" s="143"/>
    </row>
    <row r="159" spans="1:30" ht="12.75" customHeight="1" x14ac:dyDescent="0.25">
      <c r="A159" s="143"/>
      <c r="B159" s="151"/>
      <c r="C159" s="152" t="s">
        <v>366</v>
      </c>
      <c r="D159" s="152" t="s">
        <v>367</v>
      </c>
      <c r="E159" s="152" t="s">
        <v>235</v>
      </c>
      <c r="F159" s="161">
        <v>2805</v>
      </c>
      <c r="G159" s="152" t="s">
        <v>225</v>
      </c>
      <c r="H159" s="174">
        <v>140987</v>
      </c>
      <c r="I159" s="152" t="s">
        <v>311</v>
      </c>
      <c r="J159" s="221">
        <f t="shared" si="2"/>
        <v>395.46853499999997</v>
      </c>
      <c r="K159" s="272">
        <v>31.13</v>
      </c>
      <c r="L159" s="272">
        <v>0</v>
      </c>
      <c r="M159" s="273">
        <v>0</v>
      </c>
      <c r="N159" s="143"/>
      <c r="O159" s="143"/>
      <c r="P159" s="143"/>
      <c r="Q159" s="143"/>
      <c r="R159" s="143"/>
      <c r="S159" s="143"/>
      <c r="T159" s="143"/>
      <c r="U159" s="143"/>
      <c r="V159" s="143"/>
      <c r="W159" s="143"/>
      <c r="X159" s="143"/>
      <c r="Y159" s="143"/>
      <c r="Z159" s="143"/>
      <c r="AA159" s="143"/>
      <c r="AB159" s="143"/>
      <c r="AC159" s="143"/>
      <c r="AD159" s="143"/>
    </row>
    <row r="160" spans="1:30" ht="12.75" customHeight="1" x14ac:dyDescent="0.25">
      <c r="A160" s="143"/>
      <c r="B160" s="151"/>
      <c r="C160" s="152" t="s">
        <v>368</v>
      </c>
      <c r="D160" s="152" t="s">
        <v>369</v>
      </c>
      <c r="E160" s="152" t="s">
        <v>235</v>
      </c>
      <c r="F160" s="161">
        <v>2805</v>
      </c>
      <c r="G160" s="152" t="s">
        <v>225</v>
      </c>
      <c r="H160" s="174">
        <v>140987</v>
      </c>
      <c r="I160" s="152" t="s">
        <v>311</v>
      </c>
      <c r="J160" s="221">
        <f t="shared" si="2"/>
        <v>395.46853499999997</v>
      </c>
      <c r="K160" s="272">
        <v>31.13</v>
      </c>
      <c r="L160" s="272">
        <v>0</v>
      </c>
      <c r="M160" s="273">
        <v>0</v>
      </c>
      <c r="N160" s="143"/>
      <c r="O160" s="143"/>
      <c r="P160" s="143"/>
      <c r="Q160" s="143"/>
      <c r="R160" s="143"/>
      <c r="S160" s="143"/>
      <c r="T160" s="143"/>
      <c r="U160" s="143"/>
      <c r="V160" s="143"/>
      <c r="W160" s="143"/>
      <c r="X160" s="143"/>
      <c r="Y160" s="143"/>
      <c r="Z160" s="143"/>
      <c r="AA160" s="143"/>
      <c r="AB160" s="143"/>
      <c r="AC160" s="143"/>
      <c r="AD160" s="143"/>
    </row>
    <row r="161" spans="1:30" ht="12.75" customHeight="1" x14ac:dyDescent="0.25">
      <c r="A161" s="143"/>
      <c r="B161" s="151"/>
      <c r="C161" s="152" t="s">
        <v>370</v>
      </c>
      <c r="D161" s="152" t="s">
        <v>371</v>
      </c>
      <c r="E161" s="152" t="s">
        <v>235</v>
      </c>
      <c r="F161" s="161">
        <v>2805</v>
      </c>
      <c r="G161" s="152" t="s">
        <v>225</v>
      </c>
      <c r="H161" s="174">
        <v>140987</v>
      </c>
      <c r="I161" s="152" t="s">
        <v>311</v>
      </c>
      <c r="J161" s="221">
        <f t="shared" si="2"/>
        <v>395.46853499999997</v>
      </c>
      <c r="K161" s="272">
        <v>31.13</v>
      </c>
      <c r="L161" s="272">
        <v>0</v>
      </c>
      <c r="M161" s="273">
        <v>0</v>
      </c>
      <c r="N161" s="143"/>
      <c r="O161" s="143"/>
      <c r="P161" s="143"/>
      <c r="Q161" s="143"/>
      <c r="R161" s="143"/>
      <c r="S161" s="143"/>
      <c r="T161" s="143"/>
      <c r="U161" s="143"/>
      <c r="V161" s="143"/>
      <c r="W161" s="143"/>
      <c r="X161" s="143"/>
      <c r="Y161" s="143"/>
      <c r="Z161" s="143"/>
      <c r="AA161" s="143"/>
      <c r="AB161" s="143"/>
      <c r="AC161" s="143"/>
      <c r="AD161" s="143"/>
    </row>
    <row r="162" spans="1:30" ht="12.75" customHeight="1" x14ac:dyDescent="0.25">
      <c r="A162" s="143"/>
      <c r="B162" s="151"/>
      <c r="C162" s="152" t="s">
        <v>372</v>
      </c>
      <c r="D162" s="152" t="s">
        <v>373</v>
      </c>
      <c r="E162" s="152" t="s">
        <v>235</v>
      </c>
      <c r="F162" s="161">
        <v>2805</v>
      </c>
      <c r="G162" s="152" t="s">
        <v>225</v>
      </c>
      <c r="H162" s="174">
        <v>140987</v>
      </c>
      <c r="I162" s="152" t="s">
        <v>311</v>
      </c>
      <c r="J162" s="221">
        <f t="shared" si="2"/>
        <v>395.46853499999997</v>
      </c>
      <c r="K162" s="272">
        <v>31.13</v>
      </c>
      <c r="L162" s="272">
        <v>0</v>
      </c>
      <c r="M162" s="273">
        <v>0</v>
      </c>
      <c r="N162" s="143"/>
      <c r="O162" s="143"/>
      <c r="P162" s="143"/>
      <c r="Q162" s="143"/>
      <c r="R162" s="143"/>
      <c r="S162" s="143"/>
      <c r="T162" s="143"/>
      <c r="U162" s="143"/>
      <c r="V162" s="143"/>
      <c r="W162" s="143"/>
      <c r="X162" s="143"/>
      <c r="Y162" s="143"/>
      <c r="Z162" s="143"/>
      <c r="AA162" s="143"/>
      <c r="AB162" s="143"/>
      <c r="AC162" s="143"/>
      <c r="AD162" s="143"/>
    </row>
    <row r="163" spans="1:30" ht="12.75" customHeight="1" x14ac:dyDescent="0.25">
      <c r="A163" s="143"/>
      <c r="B163" s="151"/>
      <c r="C163" s="152"/>
      <c r="D163" s="152"/>
      <c r="E163" s="152"/>
      <c r="F163" s="220"/>
      <c r="G163" s="152"/>
      <c r="H163" s="152"/>
      <c r="I163" s="152"/>
      <c r="J163" s="174"/>
      <c r="K163" s="152"/>
      <c r="L163" s="152"/>
      <c r="M163" s="154"/>
      <c r="N163" s="143"/>
      <c r="O163" s="143"/>
      <c r="P163" s="143"/>
      <c r="Q163" s="143"/>
      <c r="R163" s="143"/>
      <c r="S163" s="143"/>
      <c r="T163" s="143"/>
      <c r="U163" s="143"/>
      <c r="V163" s="143"/>
      <c r="W163" s="143"/>
      <c r="X163" s="143"/>
      <c r="Y163" s="143"/>
      <c r="Z163" s="143"/>
      <c r="AA163" s="143"/>
      <c r="AB163" s="143"/>
      <c r="AC163" s="143"/>
      <c r="AD163" s="143"/>
    </row>
    <row r="164" spans="1:30" ht="12.75" customHeight="1" x14ac:dyDescent="0.25">
      <c r="A164" s="143"/>
      <c r="B164" s="155"/>
      <c r="C164" s="190"/>
      <c r="D164" s="190"/>
      <c r="E164" s="190"/>
      <c r="F164" s="277"/>
      <c r="G164" s="190"/>
      <c r="H164" s="190"/>
      <c r="I164" s="190"/>
      <c r="J164" s="190"/>
      <c r="K164" s="190"/>
      <c r="L164" s="190"/>
      <c r="M164" s="208"/>
      <c r="N164" s="143"/>
      <c r="O164" s="143"/>
      <c r="P164" s="143"/>
      <c r="Q164" s="143"/>
      <c r="R164" s="143"/>
      <c r="S164" s="143"/>
      <c r="T164" s="143"/>
      <c r="U164" s="143"/>
      <c r="V164" s="143"/>
      <c r="W164" s="143"/>
      <c r="X164" s="143"/>
      <c r="Y164" s="143"/>
      <c r="Z164" s="143"/>
      <c r="AA164" s="143"/>
      <c r="AB164" s="143"/>
      <c r="AC164" s="143"/>
      <c r="AD164" s="143"/>
    </row>
    <row r="165" spans="1:30" ht="12.75" customHeight="1" x14ac:dyDescent="0.25">
      <c r="A165" s="143"/>
      <c r="B165" s="151" t="s">
        <v>374</v>
      </c>
      <c r="C165" s="179" t="s">
        <v>375</v>
      </c>
      <c r="D165" s="152"/>
      <c r="E165" s="152"/>
      <c r="F165" s="268"/>
      <c r="G165" s="152"/>
      <c r="H165" s="152"/>
      <c r="I165" s="152"/>
      <c r="J165" s="152"/>
      <c r="K165" s="152"/>
      <c r="L165" s="152"/>
      <c r="M165" s="154"/>
      <c r="N165" s="143"/>
      <c r="O165" s="143"/>
      <c r="P165" s="143"/>
      <c r="Q165" s="143"/>
      <c r="R165" s="143"/>
      <c r="S165" s="143"/>
      <c r="T165" s="143"/>
      <c r="U165" s="143"/>
      <c r="V165" s="143"/>
      <c r="W165" s="143"/>
      <c r="X165" s="143"/>
      <c r="Y165" s="143"/>
      <c r="Z165" s="143"/>
      <c r="AA165" s="143"/>
      <c r="AB165" s="143"/>
      <c r="AC165" s="143"/>
      <c r="AD165" s="143"/>
    </row>
    <row r="166" spans="1:30" ht="12.75" customHeight="1" x14ac:dyDescent="0.25">
      <c r="A166" s="143"/>
      <c r="B166" s="151"/>
      <c r="C166" s="152" t="s">
        <v>376</v>
      </c>
      <c r="D166" s="152" t="s">
        <v>377</v>
      </c>
      <c r="E166" s="152" t="s">
        <v>235</v>
      </c>
      <c r="F166" s="209">
        <v>6990</v>
      </c>
      <c r="G166" s="152" t="s">
        <v>225</v>
      </c>
      <c r="H166" s="161">
        <v>137943</v>
      </c>
      <c r="I166" s="152" t="s">
        <v>311</v>
      </c>
      <c r="J166" s="296">
        <v>964.22157000000004</v>
      </c>
      <c r="K166" s="289">
        <v>79</v>
      </c>
      <c r="L166" s="293">
        <v>4.0000000000000001E-3</v>
      </c>
      <c r="M166" s="273">
        <v>0</v>
      </c>
      <c r="N166" s="143"/>
      <c r="O166" s="143"/>
      <c r="P166" s="143"/>
      <c r="Q166" s="143"/>
      <c r="R166" s="143"/>
      <c r="S166" s="143"/>
      <c r="T166" s="143"/>
      <c r="U166" s="143"/>
      <c r="V166" s="143"/>
      <c r="W166" s="143"/>
      <c r="X166" s="143"/>
      <c r="Y166" s="143"/>
      <c r="Z166" s="143"/>
      <c r="AA166" s="143"/>
      <c r="AB166" s="143"/>
      <c r="AC166" s="143"/>
      <c r="AD166" s="143"/>
    </row>
    <row r="167" spans="1:30" ht="12.75" customHeight="1" x14ac:dyDescent="0.25">
      <c r="A167" s="143"/>
      <c r="B167" s="151"/>
      <c r="C167" s="152" t="s">
        <v>378</v>
      </c>
      <c r="D167" s="152" t="s">
        <v>197</v>
      </c>
      <c r="E167" s="152" t="s">
        <v>235</v>
      </c>
      <c r="F167" s="209">
        <v>5519</v>
      </c>
      <c r="G167" s="152" t="s">
        <v>225</v>
      </c>
      <c r="H167" s="161">
        <v>137943</v>
      </c>
      <c r="I167" s="152" t="s">
        <v>311</v>
      </c>
      <c r="J167" s="296">
        <v>761.30741699999999</v>
      </c>
      <c r="K167" s="289">
        <v>62.4</v>
      </c>
      <c r="L167" s="293">
        <v>3.0000000000000001E-3</v>
      </c>
      <c r="M167" s="273">
        <v>0</v>
      </c>
      <c r="N167" s="143"/>
      <c r="O167" s="143"/>
      <c r="P167" s="143"/>
      <c r="Q167" s="143"/>
      <c r="R167" s="143"/>
      <c r="S167" s="143"/>
      <c r="T167" s="143"/>
      <c r="U167" s="143"/>
      <c r="V167" s="143"/>
      <c r="W167" s="143"/>
      <c r="X167" s="143"/>
      <c r="Y167" s="143"/>
      <c r="Z167" s="143"/>
      <c r="AA167" s="143"/>
      <c r="AB167" s="143"/>
      <c r="AC167" s="143"/>
      <c r="AD167" s="143"/>
    </row>
    <row r="168" spans="1:30" ht="12.75" customHeight="1" x14ac:dyDescent="0.25">
      <c r="A168" s="143"/>
      <c r="B168" s="151"/>
      <c r="C168" s="152" t="s">
        <v>379</v>
      </c>
      <c r="D168" s="152" t="s">
        <v>206</v>
      </c>
      <c r="E168" s="152" t="s">
        <v>235</v>
      </c>
      <c r="F168" s="209">
        <v>6609</v>
      </c>
      <c r="G168" s="152" t="s">
        <v>225</v>
      </c>
      <c r="H168" s="161">
        <v>137943</v>
      </c>
      <c r="I168" s="152" t="s">
        <v>311</v>
      </c>
      <c r="J168" s="296">
        <v>911.66528700000003</v>
      </c>
      <c r="K168" s="289">
        <v>74.7</v>
      </c>
      <c r="L168" s="293">
        <v>4.0000000000000001E-3</v>
      </c>
      <c r="M168" s="273">
        <v>0</v>
      </c>
      <c r="N168" s="143"/>
      <c r="O168" s="143"/>
      <c r="P168" s="143"/>
      <c r="Q168" s="143"/>
      <c r="R168" s="143"/>
      <c r="S168" s="143"/>
      <c r="T168" s="143"/>
      <c r="U168" s="143"/>
      <c r="V168" s="143"/>
      <c r="W168" s="143"/>
      <c r="X168" s="143"/>
      <c r="Y168" s="143"/>
      <c r="Z168" s="143"/>
      <c r="AA168" s="143"/>
      <c r="AB168" s="143"/>
      <c r="AC168" s="143"/>
      <c r="AD168" s="143"/>
    </row>
    <row r="169" spans="1:30" ht="12.75" customHeight="1" x14ac:dyDescent="0.25">
      <c r="A169" s="143"/>
      <c r="B169" s="151"/>
      <c r="C169" s="152" t="s">
        <v>380</v>
      </c>
      <c r="D169" s="152" t="s">
        <v>381</v>
      </c>
      <c r="E169" s="152" t="s">
        <v>235</v>
      </c>
      <c r="F169" s="209">
        <v>6082</v>
      </c>
      <c r="G169" s="152" t="s">
        <v>225</v>
      </c>
      <c r="H169" s="161">
        <v>137943</v>
      </c>
      <c r="I169" s="152" t="s">
        <v>311</v>
      </c>
      <c r="J169" s="296">
        <v>838.96932600000002</v>
      </c>
      <c r="K169" s="289">
        <v>68.7</v>
      </c>
      <c r="L169" s="293">
        <v>3.0000000000000001E-3</v>
      </c>
      <c r="M169" s="273">
        <v>0</v>
      </c>
      <c r="N169" s="143"/>
      <c r="O169" s="143"/>
      <c r="P169" s="143"/>
      <c r="Q169" s="143"/>
      <c r="R169" s="143"/>
      <c r="S169" s="143"/>
      <c r="T169" s="143"/>
      <c r="U169" s="143"/>
      <c r="V169" s="143"/>
      <c r="W169" s="143"/>
      <c r="X169" s="143"/>
      <c r="Y169" s="143"/>
      <c r="Z169" s="143"/>
      <c r="AA169" s="143"/>
      <c r="AB169" s="143"/>
      <c r="AC169" s="143"/>
      <c r="AD169" s="143"/>
    </row>
    <row r="170" spans="1:30" ht="12.75" customHeight="1" x14ac:dyDescent="0.25">
      <c r="A170" s="143"/>
      <c r="B170" s="151"/>
      <c r="C170" s="152"/>
      <c r="D170" s="152"/>
      <c r="E170" s="152"/>
      <c r="F170" s="268"/>
      <c r="G170" s="152"/>
      <c r="H170" s="152"/>
      <c r="I170" s="152"/>
      <c r="J170" s="152"/>
      <c r="K170" s="152"/>
      <c r="L170" s="152"/>
      <c r="M170" s="154"/>
      <c r="N170" s="143"/>
      <c r="O170" s="143"/>
      <c r="P170" s="143"/>
      <c r="Q170" s="143"/>
      <c r="R170" s="143"/>
      <c r="S170" s="143"/>
      <c r="T170" s="143"/>
      <c r="U170" s="143"/>
      <c r="V170" s="143"/>
      <c r="W170" s="143"/>
      <c r="X170" s="143"/>
      <c r="Y170" s="143"/>
      <c r="Z170" s="143"/>
      <c r="AA170" s="143"/>
      <c r="AB170" s="143"/>
      <c r="AC170" s="143"/>
      <c r="AD170" s="143"/>
    </row>
    <row r="171" spans="1:30" ht="12.75" customHeight="1" x14ac:dyDescent="0.25">
      <c r="A171" s="143"/>
      <c r="B171" s="155"/>
      <c r="C171" s="190"/>
      <c r="D171" s="190"/>
      <c r="E171" s="190"/>
      <c r="F171" s="277"/>
      <c r="G171" s="190"/>
      <c r="H171" s="190"/>
      <c r="I171" s="190"/>
      <c r="J171" s="190"/>
      <c r="K171" s="190"/>
      <c r="L171" s="190"/>
      <c r="M171" s="208"/>
      <c r="N171" s="143"/>
      <c r="O171" s="143"/>
      <c r="P171" s="143"/>
      <c r="Q171" s="143"/>
      <c r="R171" s="143"/>
      <c r="S171" s="143"/>
      <c r="T171" s="143"/>
      <c r="U171" s="143"/>
      <c r="V171" s="143"/>
      <c r="W171" s="143"/>
      <c r="X171" s="143"/>
      <c r="Y171" s="143"/>
      <c r="Z171" s="143"/>
      <c r="AA171" s="143"/>
      <c r="AB171" s="143"/>
      <c r="AC171" s="143"/>
      <c r="AD171" s="143"/>
    </row>
    <row r="172" spans="1:30" ht="12.75" customHeight="1" x14ac:dyDescent="0.25">
      <c r="A172" s="143"/>
      <c r="B172" s="151" t="s">
        <v>382</v>
      </c>
      <c r="C172" s="179" t="s">
        <v>383</v>
      </c>
      <c r="D172" s="152"/>
      <c r="E172" s="152"/>
      <c r="F172" s="268"/>
      <c r="G172" s="152"/>
      <c r="H172" s="152"/>
      <c r="I172" s="152"/>
      <c r="J172" s="152"/>
      <c r="K172" s="152"/>
      <c r="L172" s="152"/>
      <c r="M172" s="154"/>
      <c r="N172" s="143"/>
      <c r="O172" s="143"/>
      <c r="P172" s="143"/>
      <c r="Q172" s="143"/>
      <c r="R172" s="143"/>
      <c r="S172" s="143"/>
      <c r="T172" s="143"/>
      <c r="U172" s="143"/>
      <c r="V172" s="143"/>
      <c r="W172" s="143"/>
      <c r="X172" s="143"/>
      <c r="Y172" s="143"/>
      <c r="Z172" s="143"/>
      <c r="AA172" s="143"/>
      <c r="AB172" s="143"/>
      <c r="AC172" s="143"/>
      <c r="AD172" s="143"/>
    </row>
    <row r="173" spans="1:30" ht="12.75" customHeight="1" x14ac:dyDescent="0.25">
      <c r="A173" s="143"/>
      <c r="B173" s="151"/>
      <c r="C173" s="152" t="s">
        <v>384</v>
      </c>
      <c r="D173" s="152" t="s">
        <v>385</v>
      </c>
      <c r="E173" s="152" t="s">
        <v>235</v>
      </c>
      <c r="F173" s="209">
        <v>312</v>
      </c>
      <c r="G173" s="152" t="s">
        <v>225</v>
      </c>
      <c r="H173" s="174">
        <v>137030</v>
      </c>
      <c r="I173" s="152" t="s">
        <v>311</v>
      </c>
      <c r="J173" s="221">
        <v>42.753360000000001</v>
      </c>
      <c r="K173" s="296">
        <v>3</v>
      </c>
      <c r="L173" s="293">
        <v>1.0000000000000001E-5</v>
      </c>
      <c r="M173" s="227">
        <v>4.0000000000000003E-5</v>
      </c>
      <c r="N173" s="143"/>
      <c r="O173" s="143"/>
      <c r="P173" s="143"/>
      <c r="Q173" s="143"/>
      <c r="R173" s="143"/>
      <c r="S173" s="143"/>
      <c r="T173" s="143"/>
      <c r="U173" s="143"/>
      <c r="V173" s="143"/>
      <c r="W173" s="143"/>
      <c r="X173" s="143"/>
      <c r="Y173" s="143"/>
      <c r="Z173" s="143"/>
      <c r="AA173" s="143"/>
      <c r="AB173" s="143"/>
      <c r="AC173" s="143"/>
      <c r="AD173" s="143"/>
    </row>
    <row r="174" spans="1:30" ht="12.75" customHeight="1" x14ac:dyDescent="0.25">
      <c r="A174" s="143"/>
      <c r="B174" s="151"/>
      <c r="C174" s="152" t="s">
        <v>386</v>
      </c>
      <c r="D174" s="152" t="s">
        <v>387</v>
      </c>
      <c r="E174" s="152" t="s">
        <v>235</v>
      </c>
      <c r="F174" s="209">
        <v>271</v>
      </c>
      <c r="G174" s="152" t="s">
        <v>225</v>
      </c>
      <c r="H174" s="174">
        <v>137030</v>
      </c>
      <c r="I174" s="152" t="s">
        <v>311</v>
      </c>
      <c r="J174" s="221">
        <v>37.135129999999997</v>
      </c>
      <c r="K174" s="296">
        <v>3</v>
      </c>
      <c r="L174" s="293">
        <v>1.0000000000000001E-5</v>
      </c>
      <c r="M174" s="227">
        <v>4.0000000000000003E-5</v>
      </c>
      <c r="N174" s="143"/>
      <c r="O174" s="143"/>
      <c r="P174" s="143"/>
      <c r="Q174" s="143"/>
      <c r="R174" s="143"/>
      <c r="S174" s="143"/>
      <c r="T174" s="143"/>
      <c r="U174" s="143"/>
      <c r="V174" s="143"/>
      <c r="W174" s="143"/>
      <c r="X174" s="143"/>
      <c r="Y174" s="143"/>
      <c r="Z174" s="143"/>
      <c r="AA174" s="143"/>
      <c r="AB174" s="143"/>
      <c r="AC174" s="143"/>
      <c r="AD174" s="143"/>
    </row>
    <row r="175" spans="1:30" ht="12.75" customHeight="1" x14ac:dyDescent="0.25">
      <c r="A175" s="143"/>
      <c r="B175" s="151"/>
      <c r="C175" s="152" t="s">
        <v>388</v>
      </c>
      <c r="D175" s="152" t="s">
        <v>389</v>
      </c>
      <c r="E175" s="152" t="s">
        <v>235</v>
      </c>
      <c r="F175" s="209">
        <v>11760</v>
      </c>
      <c r="G175" s="152" t="s">
        <v>225</v>
      </c>
      <c r="H175" s="174">
        <v>138200</v>
      </c>
      <c r="I175" s="152" t="s">
        <v>311</v>
      </c>
      <c r="J175" s="221">
        <v>1625.232</v>
      </c>
      <c r="K175" s="296">
        <v>133</v>
      </c>
      <c r="L175" s="293">
        <v>0.01</v>
      </c>
      <c r="M175" s="227">
        <v>1E-3</v>
      </c>
      <c r="N175" s="143"/>
      <c r="O175" s="143"/>
      <c r="P175" s="143"/>
      <c r="Q175" s="143"/>
      <c r="R175" s="143"/>
      <c r="S175" s="143"/>
      <c r="T175" s="143"/>
      <c r="U175" s="143"/>
      <c r="V175" s="143"/>
      <c r="W175" s="143"/>
      <c r="X175" s="143"/>
      <c r="Y175" s="143"/>
      <c r="Z175" s="143"/>
      <c r="AA175" s="143"/>
      <c r="AB175" s="143"/>
      <c r="AC175" s="143"/>
      <c r="AD175" s="143"/>
    </row>
    <row r="176" spans="1:30" ht="12.75" customHeight="1" x14ac:dyDescent="0.25">
      <c r="A176" s="143"/>
      <c r="B176" s="151"/>
      <c r="C176" s="152" t="s">
        <v>390</v>
      </c>
      <c r="D176" s="152" t="s">
        <v>391</v>
      </c>
      <c r="E176" s="152" t="s">
        <v>235</v>
      </c>
      <c r="F176" s="209">
        <v>8808</v>
      </c>
      <c r="G176" s="152" t="s">
        <v>225</v>
      </c>
      <c r="H176" s="174">
        <v>138200</v>
      </c>
      <c r="I176" s="152" t="s">
        <v>311</v>
      </c>
      <c r="J176" s="221">
        <v>1217.2655999999999</v>
      </c>
      <c r="K176" s="296">
        <v>100</v>
      </c>
      <c r="L176" s="293">
        <v>5.0000000000000001E-3</v>
      </c>
      <c r="M176" s="227">
        <v>1E-3</v>
      </c>
      <c r="N176" s="143"/>
      <c r="O176" s="143"/>
      <c r="P176" s="143"/>
      <c r="Q176" s="143"/>
      <c r="R176" s="143"/>
      <c r="S176" s="143"/>
      <c r="T176" s="143"/>
      <c r="U176" s="143"/>
      <c r="V176" s="143"/>
      <c r="W176" s="143"/>
      <c r="X176" s="143"/>
      <c r="Y176" s="143"/>
      <c r="Z176" s="143"/>
      <c r="AA176" s="143"/>
      <c r="AB176" s="143"/>
      <c r="AC176" s="143"/>
      <c r="AD176" s="143"/>
    </row>
    <row r="177" spans="1:30" ht="12.75" customHeight="1" x14ac:dyDescent="0.25">
      <c r="A177" s="143"/>
      <c r="B177" s="151"/>
      <c r="C177" s="152" t="s">
        <v>392</v>
      </c>
      <c r="D177" s="152" t="s">
        <v>393</v>
      </c>
      <c r="E177" s="152" t="s">
        <v>235</v>
      </c>
      <c r="F177" s="209">
        <v>8112</v>
      </c>
      <c r="G177" s="152" t="s">
        <v>225</v>
      </c>
      <c r="H177" s="174">
        <v>138200</v>
      </c>
      <c r="I177" s="152" t="s">
        <v>311</v>
      </c>
      <c r="J177" s="221">
        <v>1121.0784000000001</v>
      </c>
      <c r="K177" s="296">
        <v>92</v>
      </c>
      <c r="L177" s="293">
        <v>5.0000000000000001E-3</v>
      </c>
      <c r="M177" s="227">
        <v>1E-3</v>
      </c>
      <c r="N177" s="143"/>
      <c r="O177" s="143"/>
      <c r="P177" s="143"/>
      <c r="Q177" s="143"/>
      <c r="R177" s="143"/>
      <c r="S177" s="143"/>
      <c r="T177" s="143"/>
      <c r="U177" s="143"/>
      <c r="V177" s="143"/>
      <c r="W177" s="143"/>
      <c r="X177" s="143"/>
      <c r="Y177" s="143"/>
      <c r="Z177" s="143"/>
      <c r="AA177" s="143"/>
      <c r="AB177" s="143"/>
      <c r="AC177" s="143"/>
      <c r="AD177" s="143"/>
    </row>
    <row r="178" spans="1:30" ht="12.75" customHeight="1" x14ac:dyDescent="0.25">
      <c r="A178" s="143"/>
      <c r="B178" s="151"/>
      <c r="C178" s="152" t="s">
        <v>394</v>
      </c>
      <c r="D178" s="152" t="s">
        <v>395</v>
      </c>
      <c r="E178" s="152" t="s">
        <v>235</v>
      </c>
      <c r="F178" s="209">
        <v>27576</v>
      </c>
      <c r="G178" s="152" t="s">
        <v>225</v>
      </c>
      <c r="H178" s="174">
        <v>139400</v>
      </c>
      <c r="I178" s="152" t="s">
        <v>311</v>
      </c>
      <c r="J178" s="221">
        <v>3844.0944</v>
      </c>
      <c r="K178" s="296">
        <v>309</v>
      </c>
      <c r="L178" s="293">
        <v>0.02</v>
      </c>
      <c r="M178" s="227">
        <v>2E-3</v>
      </c>
      <c r="N178" s="143"/>
      <c r="O178" s="143"/>
      <c r="P178" s="143"/>
      <c r="Q178" s="143"/>
      <c r="R178" s="143"/>
      <c r="S178" s="143"/>
      <c r="T178" s="143"/>
      <c r="U178" s="143"/>
      <c r="V178" s="143"/>
      <c r="W178" s="143"/>
      <c r="X178" s="143"/>
      <c r="Y178" s="143"/>
      <c r="Z178" s="143"/>
      <c r="AA178" s="143"/>
      <c r="AB178" s="143"/>
      <c r="AC178" s="143"/>
      <c r="AD178" s="143"/>
    </row>
    <row r="179" spans="1:30" ht="12.75" customHeight="1" x14ac:dyDescent="0.25">
      <c r="A179" s="143"/>
      <c r="B179" s="151"/>
      <c r="C179" s="152" t="s">
        <v>396</v>
      </c>
      <c r="D179" s="152" t="s">
        <v>397</v>
      </c>
      <c r="E179" s="152" t="s">
        <v>235</v>
      </c>
      <c r="F179" s="209">
        <v>12996</v>
      </c>
      <c r="G179" s="152" t="s">
        <v>225</v>
      </c>
      <c r="H179" s="174">
        <v>138600</v>
      </c>
      <c r="I179" s="152" t="s">
        <v>311</v>
      </c>
      <c r="J179" s="221">
        <v>1801.2456</v>
      </c>
      <c r="K179" s="296">
        <v>148</v>
      </c>
      <c r="L179" s="293">
        <v>0.01</v>
      </c>
      <c r="M179" s="227">
        <v>1E-3</v>
      </c>
      <c r="N179" s="143"/>
      <c r="O179" s="143"/>
      <c r="P179" s="143"/>
      <c r="Q179" s="143"/>
      <c r="R179" s="143"/>
      <c r="S179" s="143"/>
      <c r="T179" s="143"/>
      <c r="U179" s="143"/>
      <c r="V179" s="143"/>
      <c r="W179" s="143"/>
      <c r="X179" s="143"/>
      <c r="Y179" s="143"/>
      <c r="Z179" s="143"/>
      <c r="AA179" s="143"/>
      <c r="AB179" s="143"/>
      <c r="AC179" s="143"/>
      <c r="AD179" s="143"/>
    </row>
    <row r="180" spans="1:30" ht="12.75" customHeight="1" x14ac:dyDescent="0.25">
      <c r="A180" s="143"/>
      <c r="B180" s="151"/>
      <c r="C180" s="152" t="s">
        <v>398</v>
      </c>
      <c r="D180" s="152" t="s">
        <v>399</v>
      </c>
      <c r="E180" s="152" t="s">
        <v>235</v>
      </c>
      <c r="F180" s="209">
        <v>258</v>
      </c>
      <c r="G180" s="152" t="s">
        <v>225</v>
      </c>
      <c r="H180" s="174">
        <v>138500</v>
      </c>
      <c r="I180" s="152" t="s">
        <v>311</v>
      </c>
      <c r="J180" s="221">
        <v>35.732999999999997</v>
      </c>
      <c r="K180" s="296">
        <v>3</v>
      </c>
      <c r="L180" s="293">
        <v>1E-4</v>
      </c>
      <c r="M180" s="227">
        <v>2.0000000000000002E-5</v>
      </c>
      <c r="N180" s="143"/>
      <c r="O180" s="143"/>
      <c r="P180" s="143"/>
      <c r="Q180" s="143"/>
      <c r="R180" s="143"/>
      <c r="S180" s="143"/>
      <c r="T180" s="143"/>
      <c r="U180" s="143"/>
      <c r="V180" s="143"/>
      <c r="W180" s="143"/>
      <c r="X180" s="143"/>
      <c r="Y180" s="143"/>
      <c r="Z180" s="143"/>
      <c r="AA180" s="143"/>
      <c r="AB180" s="143"/>
      <c r="AC180" s="143"/>
      <c r="AD180" s="143"/>
    </row>
    <row r="181" spans="1:30" ht="12.75" customHeight="1" x14ac:dyDescent="0.25">
      <c r="A181" s="143"/>
      <c r="B181" s="151"/>
      <c r="C181" s="152"/>
      <c r="D181" s="152"/>
      <c r="E181" s="152"/>
      <c r="F181" s="268"/>
      <c r="G181" s="152"/>
      <c r="H181" s="152"/>
      <c r="I181" s="152"/>
      <c r="J181" s="174"/>
      <c r="K181" s="152"/>
      <c r="L181" s="152"/>
      <c r="M181" s="154"/>
      <c r="N181" s="143"/>
      <c r="O181" s="143"/>
      <c r="P181" s="143"/>
      <c r="Q181" s="143"/>
      <c r="R181" s="143"/>
      <c r="S181" s="143"/>
      <c r="T181" s="143"/>
      <c r="U181" s="143"/>
      <c r="V181" s="143"/>
      <c r="W181" s="143"/>
      <c r="X181" s="143"/>
      <c r="Y181" s="143"/>
      <c r="Z181" s="143"/>
      <c r="AA181" s="143"/>
      <c r="AB181" s="143"/>
      <c r="AC181" s="143"/>
      <c r="AD181" s="143"/>
    </row>
    <row r="182" spans="1:30" ht="12.75" customHeight="1" x14ac:dyDescent="0.25">
      <c r="A182" s="143"/>
      <c r="B182" s="151"/>
      <c r="C182" s="152"/>
      <c r="D182" s="152"/>
      <c r="E182" s="152"/>
      <c r="F182" s="268"/>
      <c r="G182" s="152"/>
      <c r="H182" s="152"/>
      <c r="I182" s="152"/>
      <c r="J182" s="152"/>
      <c r="K182" s="152"/>
      <c r="L182" s="152"/>
      <c r="M182" s="154"/>
      <c r="N182" s="143"/>
      <c r="O182" s="143"/>
      <c r="P182" s="143"/>
      <c r="Q182" s="143"/>
      <c r="R182" s="143"/>
      <c r="S182" s="143"/>
      <c r="T182" s="143"/>
      <c r="U182" s="143"/>
      <c r="V182" s="143"/>
      <c r="W182" s="143"/>
      <c r="X182" s="143"/>
      <c r="Y182" s="143"/>
      <c r="Z182" s="143"/>
      <c r="AA182" s="143"/>
      <c r="AB182" s="143"/>
      <c r="AC182" s="143"/>
      <c r="AD182" s="143"/>
    </row>
    <row r="183" spans="1:30" ht="12.75" customHeight="1" x14ac:dyDescent="0.25">
      <c r="A183" s="143"/>
      <c r="B183" s="151"/>
      <c r="C183" s="152"/>
      <c r="D183" s="152"/>
      <c r="E183" s="152"/>
      <c r="F183" s="297">
        <f>SUM(F44:F182)</f>
        <v>9991939.4041099958</v>
      </c>
      <c r="G183" s="298"/>
      <c r="H183" s="298"/>
      <c r="I183" s="298"/>
      <c r="J183" s="297">
        <f t="shared" ref="J183:M183" si="3">SUM(J44:J182)</f>
        <v>1372759.5156700006</v>
      </c>
      <c r="K183" s="297">
        <f t="shared" si="3"/>
        <v>117860.25655410749</v>
      </c>
      <c r="L183" s="297">
        <f t="shared" si="3"/>
        <v>6.4337043074974902</v>
      </c>
      <c r="M183" s="299">
        <f t="shared" si="3"/>
        <v>1.1204893182603775</v>
      </c>
      <c r="N183" s="143"/>
      <c r="O183" s="143"/>
      <c r="P183" s="143"/>
      <c r="Q183" s="143"/>
      <c r="R183" s="143"/>
      <c r="S183" s="143"/>
      <c r="T183" s="143"/>
      <c r="U183" s="143"/>
      <c r="V183" s="143"/>
      <c r="W183" s="143"/>
      <c r="X183" s="143"/>
      <c r="Y183" s="143"/>
      <c r="Z183" s="143"/>
      <c r="AA183" s="143"/>
      <c r="AB183" s="143"/>
      <c r="AC183" s="143"/>
      <c r="AD183" s="143"/>
    </row>
    <row r="184" spans="1:30" ht="12.75" customHeight="1" x14ac:dyDescent="0.25">
      <c r="A184" s="143"/>
      <c r="B184" s="151"/>
      <c r="C184" s="152"/>
      <c r="D184" s="152"/>
      <c r="E184" s="152"/>
      <c r="F184" s="152"/>
      <c r="G184" s="152"/>
      <c r="H184" s="152"/>
      <c r="I184" s="152"/>
      <c r="J184" s="152"/>
      <c r="K184" s="152"/>
      <c r="L184" s="152"/>
      <c r="M184" s="154"/>
      <c r="N184" s="143"/>
      <c r="O184" s="143"/>
      <c r="P184" s="143"/>
      <c r="Q184" s="143"/>
      <c r="R184" s="143"/>
      <c r="S184" s="143"/>
      <c r="T184" s="143"/>
      <c r="U184" s="143"/>
      <c r="V184" s="143"/>
      <c r="W184" s="143"/>
      <c r="X184" s="143"/>
      <c r="Y184" s="143"/>
      <c r="Z184" s="143"/>
      <c r="AA184" s="143"/>
      <c r="AB184" s="143"/>
      <c r="AC184" s="143"/>
      <c r="AD184" s="143"/>
    </row>
    <row r="185" spans="1:30" ht="12.75" customHeight="1" x14ac:dyDescent="0.25">
      <c r="A185" s="143"/>
      <c r="B185" s="201"/>
      <c r="C185" s="202"/>
      <c r="D185" s="202"/>
      <c r="E185" s="202"/>
      <c r="F185" s="202"/>
      <c r="G185" s="202"/>
      <c r="H185" s="202"/>
      <c r="I185" s="202"/>
      <c r="J185" s="202"/>
      <c r="K185" s="202"/>
      <c r="L185" s="202"/>
      <c r="M185" s="300"/>
      <c r="N185" s="143"/>
      <c r="O185" s="143"/>
      <c r="P185" s="143"/>
      <c r="Q185" s="143"/>
      <c r="R185" s="143"/>
      <c r="S185" s="143"/>
      <c r="T185" s="143"/>
      <c r="U185" s="143"/>
      <c r="V185" s="143"/>
      <c r="W185" s="143"/>
      <c r="X185" s="143"/>
      <c r="Y185" s="143"/>
      <c r="Z185" s="143"/>
      <c r="AA185" s="143"/>
      <c r="AB185" s="143"/>
      <c r="AC185" s="143"/>
      <c r="AD185" s="143"/>
    </row>
    <row r="186" spans="1:30" ht="12.75" customHeight="1" x14ac:dyDescent="0.25">
      <c r="A186" s="143"/>
      <c r="B186" s="143"/>
      <c r="C186" s="143"/>
      <c r="D186" s="143"/>
      <c r="E186" s="143"/>
      <c r="F186" s="143"/>
      <c r="G186" s="143"/>
      <c r="H186" s="143"/>
      <c r="I186" s="143"/>
      <c r="J186" s="143"/>
      <c r="K186" s="143"/>
      <c r="L186" s="143"/>
      <c r="M186" s="143"/>
      <c r="N186" s="143"/>
      <c r="O186" s="143"/>
      <c r="P186" s="143"/>
      <c r="Q186" s="143"/>
      <c r="R186" s="143"/>
      <c r="S186" s="143"/>
      <c r="T186" s="143"/>
      <c r="U186" s="143"/>
      <c r="V186" s="143"/>
      <c r="W186" s="143"/>
      <c r="X186" s="143"/>
      <c r="Y186" s="143"/>
      <c r="Z186" s="143"/>
      <c r="AA186" s="143"/>
      <c r="AB186" s="143"/>
      <c r="AC186" s="143"/>
      <c r="AD186" s="143"/>
    </row>
    <row r="187" spans="1:30" ht="12.75" customHeight="1" x14ac:dyDescent="0.25">
      <c r="A187" s="143"/>
      <c r="B187" s="143"/>
      <c r="C187" s="143"/>
      <c r="D187" s="143"/>
      <c r="E187" s="143"/>
      <c r="F187" s="143"/>
      <c r="G187" s="143"/>
      <c r="H187" s="143"/>
      <c r="I187" s="143"/>
      <c r="J187" s="143"/>
      <c r="K187" s="143"/>
      <c r="L187" s="143"/>
      <c r="M187" s="143"/>
      <c r="N187" s="143"/>
      <c r="O187" s="143"/>
      <c r="P187" s="143"/>
      <c r="Q187" s="143"/>
      <c r="R187" s="143"/>
      <c r="S187" s="143"/>
      <c r="T187" s="143"/>
      <c r="U187" s="143"/>
      <c r="V187" s="143"/>
      <c r="W187" s="143"/>
      <c r="X187" s="143"/>
      <c r="Y187" s="143"/>
      <c r="Z187" s="143"/>
      <c r="AA187" s="143"/>
      <c r="AB187" s="143"/>
      <c r="AC187" s="143"/>
      <c r="AD187" s="143"/>
    </row>
    <row r="188" spans="1:30" ht="12.75" customHeight="1" x14ac:dyDescent="0.25">
      <c r="A188" s="143"/>
      <c r="B188" s="143"/>
      <c r="C188" s="143"/>
      <c r="D188" s="143"/>
      <c r="E188" s="143"/>
      <c r="F188" s="143"/>
      <c r="G188" s="143"/>
      <c r="H188" s="143"/>
      <c r="I188" s="143"/>
      <c r="J188" s="143"/>
      <c r="K188" s="143"/>
      <c r="L188" s="143"/>
      <c r="M188" s="143"/>
      <c r="N188" s="143"/>
      <c r="O188" s="143"/>
      <c r="P188" s="143"/>
      <c r="Q188" s="143"/>
      <c r="R188" s="143"/>
      <c r="S188" s="143"/>
      <c r="T188" s="143"/>
      <c r="U188" s="143"/>
      <c r="V188" s="143"/>
      <c r="W188" s="143"/>
      <c r="X188" s="143"/>
      <c r="Y188" s="143"/>
      <c r="Z188" s="143"/>
      <c r="AA188" s="143"/>
      <c r="AB188" s="143"/>
      <c r="AC188" s="143"/>
      <c r="AD188" s="143"/>
    </row>
    <row r="189" spans="1:30" ht="21" customHeight="1" x14ac:dyDescent="0.4">
      <c r="A189" s="143"/>
      <c r="B189" s="205" t="s">
        <v>400</v>
      </c>
      <c r="C189" s="206"/>
      <c r="D189" s="207"/>
      <c r="E189" s="143"/>
      <c r="F189" s="143"/>
      <c r="G189" s="143"/>
      <c r="H189" s="143"/>
      <c r="I189" s="143"/>
      <c r="J189" s="143"/>
      <c r="K189" s="143"/>
      <c r="L189" s="143"/>
      <c r="M189" s="143"/>
      <c r="N189" s="143"/>
      <c r="O189" s="143"/>
      <c r="P189" s="143"/>
      <c r="Q189" s="143"/>
      <c r="R189" s="143"/>
      <c r="S189" s="143"/>
      <c r="T189" s="143"/>
      <c r="U189" s="143"/>
      <c r="V189" s="143"/>
      <c r="W189" s="143"/>
      <c r="X189" s="143"/>
      <c r="Y189" s="143"/>
      <c r="Z189" s="143"/>
      <c r="AA189" s="143"/>
      <c r="AB189" s="143"/>
      <c r="AC189" s="143"/>
      <c r="AD189" s="143"/>
    </row>
    <row r="190" spans="1:30" ht="12.75" customHeight="1" x14ac:dyDescent="0.25">
      <c r="A190" s="143"/>
      <c r="B190" s="143"/>
      <c r="C190" s="143"/>
      <c r="D190" s="143"/>
      <c r="E190" s="143"/>
      <c r="F190" s="143"/>
      <c r="G190" s="143"/>
      <c r="H190" s="143"/>
      <c r="I190" s="143"/>
      <c r="J190" s="143"/>
      <c r="K190" s="143"/>
      <c r="L190" s="143"/>
      <c r="M190" s="143"/>
      <c r="N190" s="143"/>
      <c r="O190" s="143"/>
      <c r="P190" s="143"/>
      <c r="Q190" s="143"/>
      <c r="R190" s="143"/>
      <c r="S190" s="143"/>
      <c r="T190" s="143"/>
      <c r="U190" s="143"/>
      <c r="V190" s="143"/>
      <c r="W190" s="143"/>
      <c r="X190" s="143"/>
      <c r="Y190" s="143"/>
      <c r="Z190" s="143"/>
      <c r="AA190" s="143"/>
      <c r="AB190" s="143"/>
      <c r="AC190" s="143"/>
      <c r="AD190" s="143"/>
    </row>
    <row r="191" spans="1:30" ht="12.75" customHeight="1" x14ac:dyDescent="0.25">
      <c r="A191" s="143"/>
      <c r="B191" s="143"/>
      <c r="C191" s="143"/>
      <c r="D191" s="143"/>
      <c r="E191" s="143"/>
      <c r="F191" s="143"/>
      <c r="G191" s="143"/>
      <c r="H191" s="143"/>
      <c r="I191" s="143"/>
      <c r="J191" s="143"/>
      <c r="K191" s="143"/>
      <c r="L191" s="143"/>
      <c r="M191" s="143"/>
      <c r="N191" s="143"/>
      <c r="O191" s="143"/>
      <c r="P191" s="143"/>
      <c r="Q191" s="143"/>
      <c r="R191" s="143"/>
      <c r="S191" s="143"/>
      <c r="T191" s="143"/>
      <c r="U191" s="143"/>
      <c r="V191" s="143"/>
      <c r="W191" s="143"/>
      <c r="X191" s="143"/>
      <c r="Y191" s="143"/>
      <c r="Z191" s="143"/>
      <c r="AA191" s="143"/>
      <c r="AB191" s="143"/>
      <c r="AC191" s="143"/>
      <c r="AD191" s="143"/>
    </row>
    <row r="192" spans="1:30" ht="12.75" customHeight="1" x14ac:dyDescent="0.35">
      <c r="A192" s="143"/>
      <c r="B192" s="144" t="s">
        <v>167</v>
      </c>
      <c r="C192" s="145" t="s">
        <v>168</v>
      </c>
      <c r="D192" s="145" t="s">
        <v>169</v>
      </c>
      <c r="E192" s="145" t="s">
        <v>170</v>
      </c>
      <c r="F192" s="145" t="s">
        <v>171</v>
      </c>
      <c r="G192" s="145" t="s">
        <v>171</v>
      </c>
      <c r="H192" s="145" t="s">
        <v>172</v>
      </c>
      <c r="I192" s="145" t="s">
        <v>173</v>
      </c>
      <c r="J192" s="146" t="s">
        <v>174</v>
      </c>
      <c r="K192" s="145" t="s">
        <v>401</v>
      </c>
      <c r="L192" s="145" t="s">
        <v>402</v>
      </c>
      <c r="M192" s="147" t="s">
        <v>403</v>
      </c>
      <c r="N192" s="143"/>
      <c r="O192" s="143"/>
      <c r="P192" s="143"/>
      <c r="Q192" s="143"/>
      <c r="R192" s="143"/>
      <c r="S192" s="143"/>
      <c r="T192" s="143"/>
      <c r="U192" s="143"/>
      <c r="V192" s="143"/>
      <c r="W192" s="143"/>
      <c r="X192" s="143"/>
      <c r="Y192" s="143"/>
      <c r="Z192" s="143"/>
      <c r="AA192" s="143"/>
      <c r="AB192" s="143"/>
      <c r="AC192" s="143"/>
      <c r="AD192" s="143"/>
    </row>
    <row r="193" spans="1:30" ht="12.75" customHeight="1" x14ac:dyDescent="0.25">
      <c r="A193" s="143"/>
      <c r="B193" s="148"/>
      <c r="C193" s="149"/>
      <c r="D193" s="149"/>
      <c r="E193" s="149"/>
      <c r="F193" s="149"/>
      <c r="G193" s="149" t="s">
        <v>178</v>
      </c>
      <c r="H193" s="149" t="s">
        <v>179</v>
      </c>
      <c r="I193" s="149" t="s">
        <v>180</v>
      </c>
      <c r="J193" s="149" t="s">
        <v>181</v>
      </c>
      <c r="K193" s="149" t="s">
        <v>182</v>
      </c>
      <c r="L193" s="149" t="s">
        <v>182</v>
      </c>
      <c r="M193" s="150" t="s">
        <v>182</v>
      </c>
      <c r="N193" s="143"/>
      <c r="O193" s="143"/>
      <c r="P193" s="143"/>
      <c r="Q193" s="143"/>
      <c r="R193" s="143"/>
      <c r="S193" s="143"/>
      <c r="T193" s="143"/>
      <c r="U193" s="143"/>
      <c r="V193" s="143"/>
      <c r="W193" s="143"/>
      <c r="X193" s="143"/>
      <c r="Y193" s="143"/>
      <c r="Z193" s="143"/>
      <c r="AA193" s="143"/>
      <c r="AB193" s="143"/>
      <c r="AC193" s="143"/>
      <c r="AD193" s="143"/>
    </row>
    <row r="194" spans="1:30" ht="12.75" customHeight="1" x14ac:dyDescent="0.25">
      <c r="A194" s="143"/>
      <c r="B194" s="151"/>
      <c r="C194" s="152"/>
      <c r="D194" s="152"/>
      <c r="E194" s="152"/>
      <c r="F194" s="152"/>
      <c r="G194" s="152"/>
      <c r="H194" s="152"/>
      <c r="I194" s="152"/>
      <c r="J194" s="152"/>
      <c r="K194" s="153"/>
      <c r="L194" s="152"/>
      <c r="M194" s="154"/>
      <c r="N194" s="143"/>
      <c r="O194" s="143"/>
      <c r="P194" s="143"/>
      <c r="Q194" s="143"/>
      <c r="R194" s="143"/>
      <c r="S194" s="143"/>
      <c r="T194" s="143"/>
      <c r="U194" s="143"/>
      <c r="V194" s="143"/>
      <c r="W194" s="143"/>
      <c r="X194" s="143"/>
      <c r="Y194" s="143"/>
      <c r="Z194" s="143"/>
      <c r="AA194" s="143"/>
      <c r="AB194" s="143"/>
      <c r="AC194" s="143"/>
      <c r="AD194" s="143"/>
    </row>
    <row r="195" spans="1:30" ht="12.75" customHeight="1" x14ac:dyDescent="0.25">
      <c r="A195" s="143"/>
      <c r="B195" s="155"/>
      <c r="C195" s="156"/>
      <c r="D195" s="190"/>
      <c r="E195" s="190"/>
      <c r="F195" s="158"/>
      <c r="G195" s="190"/>
      <c r="H195" s="158"/>
      <c r="I195" s="190"/>
      <c r="J195" s="158"/>
      <c r="K195" s="158"/>
      <c r="L195" s="238"/>
      <c r="M195" s="208"/>
      <c r="N195" s="143"/>
      <c r="O195" s="143"/>
      <c r="P195" s="143"/>
      <c r="Q195" s="143"/>
      <c r="R195" s="143"/>
      <c r="S195" s="143"/>
      <c r="T195" s="143"/>
      <c r="U195" s="143"/>
      <c r="V195" s="143"/>
      <c r="W195" s="143"/>
      <c r="X195" s="143"/>
      <c r="Y195" s="143"/>
      <c r="Z195" s="143"/>
      <c r="AA195" s="143"/>
      <c r="AB195" s="143"/>
      <c r="AC195" s="143"/>
      <c r="AD195" s="143"/>
    </row>
    <row r="196" spans="1:30" ht="12.75" customHeight="1" x14ac:dyDescent="0.25">
      <c r="A196" s="143"/>
      <c r="B196" s="151" t="s">
        <v>198</v>
      </c>
      <c r="C196" s="301" t="s">
        <v>199</v>
      </c>
      <c r="D196" s="152"/>
      <c r="E196" s="152"/>
      <c r="F196" s="174"/>
      <c r="G196" s="152"/>
      <c r="H196" s="174"/>
      <c r="I196" s="152"/>
      <c r="J196" s="174"/>
      <c r="K196" s="174"/>
      <c r="L196" s="221"/>
      <c r="M196" s="239"/>
      <c r="N196" s="143"/>
      <c r="O196" s="143"/>
      <c r="P196" s="143"/>
      <c r="Q196" s="143"/>
      <c r="R196" s="143"/>
      <c r="S196" s="143"/>
      <c r="T196" s="143"/>
      <c r="U196" s="143"/>
      <c r="V196" s="143"/>
      <c r="W196" s="143"/>
      <c r="X196" s="143"/>
      <c r="Y196" s="143"/>
      <c r="Z196" s="143"/>
      <c r="AA196" s="143"/>
      <c r="AB196" s="143"/>
      <c r="AC196" s="143"/>
      <c r="AD196" s="143"/>
    </row>
    <row r="197" spans="1:30" ht="12.75" customHeight="1" x14ac:dyDescent="0.25">
      <c r="A197" s="143"/>
      <c r="B197" s="151"/>
      <c r="C197" s="152" t="s">
        <v>200</v>
      </c>
      <c r="D197" s="222" t="s">
        <v>193</v>
      </c>
      <c r="E197" s="152" t="s">
        <v>404</v>
      </c>
      <c r="F197" s="161">
        <v>5060</v>
      </c>
      <c r="G197" s="152" t="s">
        <v>225</v>
      </c>
      <c r="H197" s="174">
        <v>136253</v>
      </c>
      <c r="I197" s="152" t="s">
        <v>226</v>
      </c>
      <c r="J197" s="174">
        <f>(F197*H197)/1000000</f>
        <v>689.44018000000005</v>
      </c>
      <c r="K197" s="278">
        <f>(J197/(J$48+J$49+$J197+J$51))*K$52</f>
        <v>0</v>
      </c>
      <c r="L197" s="278">
        <f>J197*Q212*0.001102</f>
        <v>0</v>
      </c>
      <c r="M197" s="241">
        <f>J197*R212*0.001102</f>
        <v>0</v>
      </c>
      <c r="N197" s="143"/>
      <c r="O197" s="143"/>
      <c r="P197" s="143"/>
      <c r="Q197" s="143"/>
      <c r="R197" s="143"/>
      <c r="S197" s="143"/>
      <c r="T197" s="143"/>
      <c r="U197" s="143"/>
      <c r="V197" s="143"/>
      <c r="W197" s="143"/>
      <c r="X197" s="143"/>
      <c r="Y197" s="143"/>
      <c r="Z197" s="143"/>
      <c r="AA197" s="143"/>
      <c r="AB197" s="143"/>
      <c r="AC197" s="143"/>
      <c r="AD197" s="143"/>
    </row>
    <row r="198" spans="1:30" ht="12.75" customHeight="1" x14ac:dyDescent="0.25">
      <c r="A198" s="143"/>
      <c r="B198" s="151"/>
      <c r="C198" s="152" t="s">
        <v>202</v>
      </c>
      <c r="D198" s="222" t="s">
        <v>197</v>
      </c>
      <c r="E198" s="152" t="s">
        <v>404</v>
      </c>
      <c r="F198" s="161">
        <v>935</v>
      </c>
      <c r="G198" s="152" t="s">
        <v>225</v>
      </c>
      <c r="H198" s="174">
        <v>140366</v>
      </c>
      <c r="I198" s="152" t="s">
        <v>226</v>
      </c>
      <c r="J198" s="174">
        <v>131.24221</v>
      </c>
      <c r="K198" s="174">
        <v>14.858894934759121</v>
      </c>
      <c r="L198" s="221">
        <v>4.3388674626E-4</v>
      </c>
      <c r="M198" s="241">
        <v>8.6777349251999987E-5</v>
      </c>
      <c r="N198" s="143"/>
      <c r="O198" s="143"/>
      <c r="P198" s="143"/>
      <c r="Q198" s="143"/>
      <c r="R198" s="143"/>
      <c r="S198" s="143"/>
      <c r="T198" s="143"/>
      <c r="U198" s="143"/>
      <c r="V198" s="143"/>
      <c r="W198" s="143"/>
      <c r="X198" s="143"/>
      <c r="Y198" s="143"/>
      <c r="Z198" s="143"/>
      <c r="AA198" s="143"/>
      <c r="AB198" s="143"/>
      <c r="AC198" s="143"/>
      <c r="AD198" s="143"/>
    </row>
    <row r="199" spans="1:30" ht="12.75" customHeight="1" x14ac:dyDescent="0.25">
      <c r="A199" s="143"/>
      <c r="B199" s="151"/>
      <c r="C199" s="152"/>
      <c r="D199" s="152"/>
      <c r="E199" s="152"/>
      <c r="F199" s="174"/>
      <c r="G199" s="152"/>
      <c r="H199" s="174"/>
      <c r="I199" s="152"/>
      <c r="J199" s="174"/>
      <c r="K199" s="174"/>
      <c r="L199" s="221"/>
      <c r="M199" s="154"/>
      <c r="N199" s="143"/>
      <c r="O199" s="143"/>
      <c r="P199" s="143"/>
      <c r="Q199" s="143"/>
      <c r="R199" s="143"/>
      <c r="S199" s="143"/>
      <c r="T199" s="143"/>
      <c r="U199" s="143"/>
      <c r="V199" s="143"/>
      <c r="W199" s="143"/>
      <c r="X199" s="143"/>
      <c r="Y199" s="143"/>
      <c r="Z199" s="143"/>
      <c r="AA199" s="143"/>
      <c r="AB199" s="143"/>
      <c r="AC199" s="143"/>
      <c r="AD199" s="143"/>
    </row>
    <row r="200" spans="1:30" ht="12.75" customHeight="1" x14ac:dyDescent="0.25">
      <c r="A200" s="143"/>
      <c r="B200" s="155"/>
      <c r="C200" s="190"/>
      <c r="D200" s="190"/>
      <c r="E200" s="190"/>
      <c r="F200" s="191"/>
      <c r="G200" s="190"/>
      <c r="H200" s="158"/>
      <c r="I200" s="190"/>
      <c r="J200" s="190"/>
      <c r="K200" s="190"/>
      <c r="L200" s="190"/>
      <c r="M200" s="208"/>
      <c r="N200" s="143"/>
      <c r="O200" s="143"/>
      <c r="P200" s="143"/>
      <c r="Q200" s="143"/>
      <c r="R200" s="143"/>
      <c r="S200" s="143"/>
      <c r="T200" s="143"/>
      <c r="U200" s="143"/>
      <c r="V200" s="143"/>
      <c r="W200" s="143"/>
      <c r="X200" s="143"/>
      <c r="Y200" s="143"/>
      <c r="Z200" s="143"/>
      <c r="AA200" s="143"/>
      <c r="AB200" s="143"/>
      <c r="AC200" s="143"/>
      <c r="AD200" s="143"/>
    </row>
    <row r="201" spans="1:30" ht="12.75" customHeight="1" x14ac:dyDescent="0.25">
      <c r="A201" s="143"/>
      <c r="B201" s="151" t="s">
        <v>203</v>
      </c>
      <c r="C201" s="301" t="s">
        <v>204</v>
      </c>
      <c r="D201" s="152"/>
      <c r="E201" s="152"/>
      <c r="F201" s="174"/>
      <c r="G201" s="152"/>
      <c r="H201" s="174"/>
      <c r="I201" s="152"/>
      <c r="J201" s="174"/>
      <c r="K201" s="174"/>
      <c r="L201" s="221"/>
      <c r="M201" s="154"/>
      <c r="N201" s="143"/>
      <c r="O201" s="143"/>
      <c r="P201" s="143"/>
      <c r="Q201" s="143"/>
      <c r="R201" s="143"/>
      <c r="S201" s="143"/>
      <c r="T201" s="143"/>
      <c r="U201" s="143"/>
      <c r="V201" s="143"/>
      <c r="W201" s="143"/>
      <c r="X201" s="143"/>
      <c r="Y201" s="143"/>
      <c r="Z201" s="143"/>
      <c r="AA201" s="143"/>
      <c r="AB201" s="143"/>
      <c r="AC201" s="143"/>
      <c r="AD201" s="143"/>
    </row>
    <row r="202" spans="1:30" ht="12.75" customHeight="1" x14ac:dyDescent="0.25">
      <c r="A202" s="143"/>
      <c r="B202" s="151"/>
      <c r="C202" s="152" t="s">
        <v>405</v>
      </c>
      <c r="D202" s="152" t="s">
        <v>193</v>
      </c>
      <c r="E202" s="152" t="s">
        <v>406</v>
      </c>
      <c r="F202" s="302">
        <v>0</v>
      </c>
      <c r="G202" s="152" t="s">
        <v>225</v>
      </c>
      <c r="H202" s="251">
        <v>0.152</v>
      </c>
      <c r="I202" s="152" t="s">
        <v>260</v>
      </c>
      <c r="J202" s="302">
        <v>0</v>
      </c>
      <c r="K202" s="213">
        <v>0</v>
      </c>
      <c r="L202" s="303">
        <v>0</v>
      </c>
      <c r="M202" s="227">
        <v>0</v>
      </c>
      <c r="N202" s="143"/>
      <c r="O202" s="143"/>
      <c r="P202" s="143"/>
      <c r="Q202" s="143"/>
      <c r="R202" s="143"/>
      <c r="S202" s="143"/>
      <c r="T202" s="143"/>
      <c r="U202" s="143"/>
      <c r="V202" s="143"/>
      <c r="W202" s="143"/>
      <c r="X202" s="143"/>
      <c r="Y202" s="143"/>
      <c r="Z202" s="143"/>
      <c r="AA202" s="143"/>
      <c r="AB202" s="143"/>
      <c r="AC202" s="143"/>
      <c r="AD202" s="143"/>
    </row>
    <row r="203" spans="1:30" ht="12.75" customHeight="1" x14ac:dyDescent="0.25">
      <c r="A203" s="143"/>
      <c r="B203" s="151"/>
      <c r="C203" s="152" t="s">
        <v>390</v>
      </c>
      <c r="D203" s="152" t="s">
        <v>407</v>
      </c>
      <c r="E203" s="152" t="s">
        <v>406</v>
      </c>
      <c r="F203" s="161">
        <v>604703</v>
      </c>
      <c r="G203" s="152" t="s">
        <v>225</v>
      </c>
      <c r="H203" s="251">
        <v>0.152</v>
      </c>
      <c r="I203" s="152" t="s">
        <v>408</v>
      </c>
      <c r="J203" s="153">
        <v>91914.856</v>
      </c>
      <c r="K203" s="174">
        <v>6371.0317410137031</v>
      </c>
      <c r="L203" s="230">
        <v>0.29199999999999998</v>
      </c>
      <c r="M203" s="227">
        <v>5.8000000000000003E-2</v>
      </c>
      <c r="N203" s="143"/>
      <c r="O203" s="143"/>
      <c r="P203" s="143"/>
      <c r="Q203" s="143"/>
      <c r="R203" s="143"/>
      <c r="S203" s="143"/>
      <c r="T203" s="143"/>
      <c r="U203" s="143"/>
      <c r="V203" s="143"/>
      <c r="W203" s="143"/>
      <c r="X203" s="143"/>
      <c r="Y203" s="143"/>
      <c r="Z203" s="143"/>
      <c r="AA203" s="143"/>
      <c r="AB203" s="143"/>
      <c r="AC203" s="143"/>
      <c r="AD203" s="143"/>
    </row>
    <row r="204" spans="1:30" ht="12.75" customHeight="1" x14ac:dyDescent="0.25">
      <c r="A204" s="143"/>
      <c r="B204" s="151"/>
      <c r="C204" s="152"/>
      <c r="D204" s="152"/>
      <c r="E204" s="152"/>
      <c r="F204" s="153"/>
      <c r="G204" s="152"/>
      <c r="H204" s="251"/>
      <c r="I204" s="152"/>
      <c r="J204" s="229"/>
      <c r="K204" s="254"/>
      <c r="L204" s="255"/>
      <c r="M204" s="154"/>
      <c r="N204" s="143"/>
      <c r="O204" s="143"/>
      <c r="P204" s="143"/>
      <c r="Q204" s="143"/>
      <c r="R204" s="143"/>
      <c r="S204" s="143"/>
      <c r="T204" s="143"/>
      <c r="U204" s="143"/>
      <c r="V204" s="143"/>
      <c r="W204" s="143"/>
      <c r="X204" s="143"/>
      <c r="Y204" s="143"/>
      <c r="Z204" s="143"/>
      <c r="AA204" s="143"/>
      <c r="AB204" s="143"/>
      <c r="AC204" s="143"/>
      <c r="AD204" s="143"/>
    </row>
    <row r="205" spans="1:30" ht="12.75" customHeight="1" x14ac:dyDescent="0.25">
      <c r="A205" s="143"/>
      <c r="B205" s="155"/>
      <c r="C205" s="190"/>
      <c r="D205" s="190"/>
      <c r="E205" s="190"/>
      <c r="F205" s="191"/>
      <c r="G205" s="190"/>
      <c r="H205" s="158"/>
      <c r="I205" s="267"/>
      <c r="J205" s="257"/>
      <c r="K205" s="190"/>
      <c r="L205" s="190"/>
      <c r="M205" s="208"/>
      <c r="N205" s="143"/>
      <c r="O205" s="143"/>
      <c r="P205" s="143"/>
      <c r="Q205" s="143"/>
      <c r="R205" s="143"/>
      <c r="S205" s="143"/>
      <c r="T205" s="143"/>
      <c r="U205" s="143"/>
      <c r="V205" s="143"/>
      <c r="W205" s="143"/>
      <c r="X205" s="143"/>
      <c r="Y205" s="143"/>
      <c r="Z205" s="143"/>
      <c r="AA205" s="143"/>
      <c r="AB205" s="143"/>
      <c r="AC205" s="143"/>
      <c r="AD205" s="143"/>
    </row>
    <row r="206" spans="1:30" ht="12.75" customHeight="1" x14ac:dyDescent="0.25">
      <c r="A206" s="143"/>
      <c r="B206" s="151" t="s">
        <v>278</v>
      </c>
      <c r="C206" s="301" t="s">
        <v>279</v>
      </c>
      <c r="D206" s="152"/>
      <c r="E206" s="152"/>
      <c r="F206" s="152"/>
      <c r="G206" s="152"/>
      <c r="H206" s="152"/>
      <c r="I206" s="152"/>
      <c r="J206" s="152"/>
      <c r="K206" s="152"/>
      <c r="L206" s="152"/>
      <c r="M206" s="154"/>
      <c r="N206" s="143"/>
      <c r="O206" s="143"/>
      <c r="P206" s="143"/>
      <c r="Q206" s="143"/>
      <c r="R206" s="143"/>
      <c r="S206" s="143"/>
      <c r="T206" s="143"/>
      <c r="U206" s="143"/>
      <c r="V206" s="143"/>
      <c r="W206" s="143"/>
      <c r="X206" s="143"/>
      <c r="Y206" s="143"/>
      <c r="Z206" s="143"/>
      <c r="AA206" s="143"/>
      <c r="AB206" s="143"/>
      <c r="AC206" s="143"/>
      <c r="AD206" s="143"/>
    </row>
    <row r="207" spans="1:30" ht="12.75" customHeight="1" x14ac:dyDescent="0.25">
      <c r="A207" s="143"/>
      <c r="B207" s="151"/>
      <c r="C207" s="152" t="s">
        <v>280</v>
      </c>
      <c r="D207" s="152" t="s">
        <v>281</v>
      </c>
      <c r="E207" s="152" t="s">
        <v>409</v>
      </c>
      <c r="F207" s="194">
        <v>166370</v>
      </c>
      <c r="G207" s="152" t="s">
        <v>225</v>
      </c>
      <c r="H207" s="194">
        <v>151319</v>
      </c>
      <c r="I207" s="152" t="s">
        <v>282</v>
      </c>
      <c r="J207" s="270">
        <v>25174.942029999998</v>
      </c>
      <c r="K207" s="270">
        <v>1824.2218335431073</v>
      </c>
      <c r="L207" s="272">
        <v>0.11</v>
      </c>
      <c r="M207" s="273">
        <v>0</v>
      </c>
      <c r="N207" s="143"/>
      <c r="O207" s="143"/>
      <c r="P207" s="143"/>
      <c r="Q207" s="143"/>
      <c r="R207" s="143"/>
      <c r="S207" s="143"/>
      <c r="T207" s="143"/>
      <c r="U207" s="143"/>
      <c r="V207" s="143"/>
      <c r="W207" s="143"/>
      <c r="X207" s="143"/>
      <c r="Y207" s="143"/>
      <c r="Z207" s="143"/>
      <c r="AA207" s="143"/>
      <c r="AB207" s="143"/>
      <c r="AC207" s="143"/>
      <c r="AD207" s="143"/>
    </row>
    <row r="208" spans="1:30" ht="12.75" customHeight="1" x14ac:dyDescent="0.25">
      <c r="A208" s="143"/>
      <c r="B208" s="155"/>
      <c r="C208" s="190"/>
      <c r="D208" s="190"/>
      <c r="E208" s="190"/>
      <c r="F208" s="190"/>
      <c r="G208" s="190"/>
      <c r="H208" s="190"/>
      <c r="I208" s="190"/>
      <c r="J208" s="190"/>
      <c r="K208" s="190"/>
      <c r="L208" s="190"/>
      <c r="M208" s="208"/>
      <c r="N208" s="143"/>
      <c r="O208" s="143"/>
      <c r="P208" s="143"/>
      <c r="Q208" s="143"/>
      <c r="R208" s="143"/>
      <c r="S208" s="143"/>
      <c r="T208" s="143"/>
      <c r="U208" s="143"/>
      <c r="V208" s="143"/>
      <c r="W208" s="143"/>
      <c r="X208" s="143"/>
      <c r="Y208" s="143"/>
      <c r="Z208" s="143"/>
      <c r="AA208" s="143"/>
      <c r="AB208" s="143"/>
      <c r="AC208" s="143"/>
      <c r="AD208" s="143"/>
    </row>
    <row r="209" spans="1:30" ht="12.75" customHeight="1" x14ac:dyDescent="0.25">
      <c r="A209" s="143"/>
      <c r="B209" s="151" t="s">
        <v>208</v>
      </c>
      <c r="C209" s="179" t="s">
        <v>209</v>
      </c>
      <c r="D209" s="152"/>
      <c r="E209" s="152"/>
      <c r="F209" s="152"/>
      <c r="G209" s="152"/>
      <c r="H209" s="152"/>
      <c r="I209" s="152"/>
      <c r="J209" s="152"/>
      <c r="K209" s="152"/>
      <c r="L209" s="152"/>
      <c r="M209" s="154"/>
      <c r="N209" s="143"/>
      <c r="O209" s="143"/>
      <c r="P209" s="143"/>
      <c r="Q209" s="143"/>
      <c r="R209" s="143"/>
      <c r="S209" s="143"/>
      <c r="T209" s="143"/>
      <c r="U209" s="143"/>
      <c r="V209" s="143"/>
      <c r="W209" s="143"/>
      <c r="X209" s="143"/>
      <c r="Y209" s="143"/>
      <c r="Z209" s="143"/>
      <c r="AA209" s="143"/>
      <c r="AB209" s="143"/>
      <c r="AC209" s="143"/>
      <c r="AD209" s="143"/>
    </row>
    <row r="210" spans="1:30" ht="12.75" customHeight="1" x14ac:dyDescent="0.25">
      <c r="A210" s="143"/>
      <c r="B210" s="151"/>
      <c r="C210" s="152" t="s">
        <v>210</v>
      </c>
      <c r="D210" s="152" t="s">
        <v>211</v>
      </c>
      <c r="E210" s="152" t="s">
        <v>404</v>
      </c>
      <c r="F210" s="194">
        <v>2000</v>
      </c>
      <c r="G210" s="152" t="s">
        <v>225</v>
      </c>
      <c r="H210" s="194">
        <v>137067</v>
      </c>
      <c r="I210" s="152" t="s">
        <v>282</v>
      </c>
      <c r="J210" s="153">
        <v>274.13400000000001</v>
      </c>
      <c r="K210" s="271">
        <v>26.118420052287593</v>
      </c>
      <c r="L210" s="278">
        <v>3.3239912445613331E-3</v>
      </c>
      <c r="M210" s="260">
        <v>4.8348963557255767E-4</v>
      </c>
      <c r="N210" s="143"/>
      <c r="O210" s="143"/>
      <c r="P210" s="143"/>
      <c r="Q210" s="143"/>
      <c r="R210" s="143"/>
      <c r="S210" s="143"/>
      <c r="T210" s="143"/>
      <c r="U210" s="143"/>
      <c r="V210" s="143"/>
      <c r="W210" s="143"/>
      <c r="X210" s="143"/>
      <c r="Y210" s="143"/>
      <c r="Z210" s="143"/>
      <c r="AA210" s="143"/>
      <c r="AB210" s="143"/>
      <c r="AC210" s="143"/>
      <c r="AD210" s="143"/>
    </row>
    <row r="211" spans="1:30" ht="12.75" customHeight="1" x14ac:dyDescent="0.25">
      <c r="A211" s="143"/>
      <c r="B211" s="151"/>
      <c r="C211" s="152" t="s">
        <v>212</v>
      </c>
      <c r="D211" s="152" t="s">
        <v>213</v>
      </c>
      <c r="E211" s="152" t="s">
        <v>404</v>
      </c>
      <c r="F211" s="194">
        <v>1700</v>
      </c>
      <c r="G211" s="152" t="s">
        <v>225</v>
      </c>
      <c r="H211" s="194">
        <v>137067</v>
      </c>
      <c r="I211" s="152" t="s">
        <v>282</v>
      </c>
      <c r="J211" s="153">
        <v>233.01390000000001</v>
      </c>
      <c r="K211" s="271">
        <v>21.580349337174507</v>
      </c>
      <c r="L211" s="278">
        <v>7.7056160669376371E-4</v>
      </c>
      <c r="M211" s="260">
        <v>1.5411232133875273E-4</v>
      </c>
      <c r="N211" s="143"/>
      <c r="O211" s="143"/>
      <c r="P211" s="143"/>
      <c r="Q211" s="143"/>
      <c r="R211" s="143"/>
      <c r="S211" s="143"/>
      <c r="T211" s="143"/>
      <c r="U211" s="143"/>
      <c r="V211" s="143"/>
      <c r="W211" s="143"/>
      <c r="X211" s="143"/>
      <c r="Y211" s="143"/>
      <c r="Z211" s="143"/>
      <c r="AA211" s="143"/>
      <c r="AB211" s="143"/>
      <c r="AC211" s="143"/>
      <c r="AD211" s="143"/>
    </row>
    <row r="212" spans="1:30" ht="12.75" customHeight="1" x14ac:dyDescent="0.25">
      <c r="A212" s="143"/>
      <c r="B212" s="151"/>
      <c r="C212" s="152"/>
      <c r="D212" s="152"/>
      <c r="E212" s="152"/>
      <c r="F212" s="152"/>
      <c r="G212" s="152"/>
      <c r="H212" s="152"/>
      <c r="I212" s="152"/>
      <c r="J212" s="152"/>
      <c r="K212" s="152"/>
      <c r="L212" s="152"/>
      <c r="M212" s="154"/>
      <c r="N212" s="143"/>
      <c r="O212" s="143"/>
      <c r="P212" s="143"/>
      <c r="Q212" s="143"/>
      <c r="R212" s="143"/>
      <c r="S212" s="143"/>
      <c r="T212" s="143"/>
      <c r="U212" s="143"/>
      <c r="V212" s="143"/>
      <c r="W212" s="143"/>
      <c r="X212" s="143"/>
      <c r="Y212" s="143"/>
      <c r="Z212" s="143"/>
      <c r="AA212" s="143"/>
      <c r="AB212" s="143"/>
      <c r="AC212" s="143"/>
      <c r="AD212" s="143"/>
    </row>
    <row r="213" spans="1:30" ht="12.75" customHeight="1" x14ac:dyDescent="0.25">
      <c r="A213" s="143"/>
      <c r="B213" s="155"/>
      <c r="C213" s="190"/>
      <c r="D213" s="190"/>
      <c r="E213" s="190"/>
      <c r="F213" s="190"/>
      <c r="G213" s="190"/>
      <c r="H213" s="190"/>
      <c r="I213" s="190"/>
      <c r="J213" s="190"/>
      <c r="K213" s="190"/>
      <c r="L213" s="190"/>
      <c r="M213" s="208"/>
      <c r="N213" s="143"/>
      <c r="O213" s="143"/>
      <c r="P213" s="143"/>
      <c r="Q213" s="143"/>
      <c r="R213" s="143"/>
      <c r="S213" s="143"/>
      <c r="T213" s="143"/>
      <c r="U213" s="143"/>
      <c r="V213" s="143"/>
      <c r="W213" s="143"/>
      <c r="X213" s="143"/>
      <c r="Y213" s="143"/>
      <c r="Z213" s="143"/>
      <c r="AA213" s="143"/>
      <c r="AB213" s="143"/>
      <c r="AC213" s="143"/>
      <c r="AD213" s="143"/>
    </row>
    <row r="214" spans="1:30" ht="12.75" customHeight="1" x14ac:dyDescent="0.25">
      <c r="A214" s="143"/>
      <c r="B214" s="151" t="s">
        <v>216</v>
      </c>
      <c r="C214" s="179" t="s">
        <v>217</v>
      </c>
      <c r="D214" s="152"/>
      <c r="E214" s="152"/>
      <c r="F214" s="152"/>
      <c r="G214" s="152"/>
      <c r="H214" s="152"/>
      <c r="I214" s="152"/>
      <c r="J214" s="152"/>
      <c r="K214" s="152"/>
      <c r="L214" s="152"/>
      <c r="M214" s="154"/>
      <c r="N214" s="143"/>
      <c r="O214" s="143"/>
      <c r="P214" s="143"/>
      <c r="Q214" s="143"/>
      <c r="R214" s="143"/>
      <c r="S214" s="143"/>
      <c r="T214" s="143"/>
      <c r="U214" s="143"/>
      <c r="V214" s="143"/>
      <c r="W214" s="143"/>
      <c r="X214" s="143"/>
      <c r="Y214" s="143"/>
      <c r="Z214" s="143"/>
      <c r="AA214" s="143"/>
      <c r="AB214" s="143"/>
      <c r="AC214" s="143"/>
      <c r="AD214" s="143"/>
    </row>
    <row r="215" spans="1:30" ht="12.75" customHeight="1" x14ac:dyDescent="0.25">
      <c r="A215" s="143"/>
      <c r="B215" s="151"/>
      <c r="C215" s="152" t="s">
        <v>218</v>
      </c>
      <c r="D215" s="152" t="s">
        <v>193</v>
      </c>
      <c r="E215" s="152" t="s">
        <v>404</v>
      </c>
      <c r="F215" s="194">
        <v>13298</v>
      </c>
      <c r="G215" s="152" t="s">
        <v>225</v>
      </c>
      <c r="H215" s="270">
        <v>137431</v>
      </c>
      <c r="I215" s="152" t="s">
        <v>282</v>
      </c>
      <c r="J215" s="153">
        <v>1827.557438</v>
      </c>
      <c r="K215" s="174">
        <v>203.91494398887752</v>
      </c>
      <c r="L215" s="278">
        <v>2.3775822746434264E-2</v>
      </c>
      <c r="M215" s="260">
        <v>3.4641955345025197E-3</v>
      </c>
      <c r="N215" s="143"/>
      <c r="O215" s="143"/>
      <c r="P215" s="143"/>
      <c r="Q215" s="143"/>
      <c r="R215" s="143"/>
      <c r="S215" s="143"/>
      <c r="T215" s="143"/>
      <c r="U215" s="143"/>
      <c r="V215" s="143"/>
      <c r="W215" s="143"/>
      <c r="X215" s="143"/>
      <c r="Y215" s="143"/>
      <c r="Z215" s="143"/>
      <c r="AA215" s="143"/>
      <c r="AB215" s="143"/>
      <c r="AC215" s="143"/>
      <c r="AD215" s="143"/>
    </row>
    <row r="216" spans="1:30" ht="12.75" customHeight="1" x14ac:dyDescent="0.25">
      <c r="A216" s="143"/>
      <c r="B216" s="151"/>
      <c r="C216" s="152" t="s">
        <v>219</v>
      </c>
      <c r="D216" s="152" t="s">
        <v>197</v>
      </c>
      <c r="E216" s="152" t="s">
        <v>404</v>
      </c>
      <c r="F216" s="194">
        <v>4154</v>
      </c>
      <c r="G216" s="152" t="s">
        <v>225</v>
      </c>
      <c r="H216" s="270">
        <v>137431</v>
      </c>
      <c r="I216" s="152" t="s">
        <v>282</v>
      </c>
      <c r="J216" s="153">
        <v>570.888374</v>
      </c>
      <c r="K216" s="174">
        <v>58.827355165348351</v>
      </c>
      <c r="L216" s="278">
        <v>6.8582151099176904E-3</v>
      </c>
      <c r="M216" s="260">
        <v>9.9986865476850754E-4</v>
      </c>
      <c r="N216" s="143"/>
      <c r="O216" s="143"/>
      <c r="P216" s="143"/>
      <c r="Q216" s="143"/>
      <c r="R216" s="143"/>
      <c r="S216" s="143"/>
      <c r="T216" s="143"/>
      <c r="U216" s="143"/>
      <c r="V216" s="143"/>
      <c r="W216" s="143"/>
      <c r="X216" s="143"/>
      <c r="Y216" s="143"/>
      <c r="Z216" s="143"/>
      <c r="AA216" s="143"/>
      <c r="AB216" s="143"/>
      <c r="AC216" s="143"/>
      <c r="AD216" s="143"/>
    </row>
    <row r="217" spans="1:30" ht="12.75" customHeight="1" x14ac:dyDescent="0.25">
      <c r="A217" s="143"/>
      <c r="B217" s="151"/>
      <c r="C217" s="152"/>
      <c r="D217" s="152"/>
      <c r="E217" s="152"/>
      <c r="F217" s="152"/>
      <c r="G217" s="152"/>
      <c r="H217" s="152"/>
      <c r="I217" s="152"/>
      <c r="J217" s="152"/>
      <c r="K217" s="152"/>
      <c r="L217" s="152"/>
      <c r="M217" s="219"/>
      <c r="N217" s="143"/>
      <c r="O217" s="143"/>
      <c r="P217" s="143"/>
      <c r="Q217" s="143"/>
      <c r="R217" s="143"/>
      <c r="S217" s="143"/>
      <c r="T217" s="143"/>
      <c r="U217" s="143"/>
      <c r="V217" s="143"/>
      <c r="W217" s="143"/>
      <c r="X217" s="143"/>
      <c r="Y217" s="143"/>
      <c r="Z217" s="143"/>
      <c r="AA217" s="143"/>
      <c r="AB217" s="143"/>
      <c r="AC217" s="143"/>
      <c r="AD217" s="143"/>
    </row>
    <row r="218" spans="1:30" ht="12.75" customHeight="1" x14ac:dyDescent="0.25">
      <c r="A218" s="143"/>
      <c r="B218" s="155"/>
      <c r="C218" s="190"/>
      <c r="D218" s="190"/>
      <c r="E218" s="190"/>
      <c r="F218" s="190"/>
      <c r="G218" s="190"/>
      <c r="H218" s="190"/>
      <c r="I218" s="190"/>
      <c r="J218" s="190"/>
      <c r="K218" s="190"/>
      <c r="L218" s="190"/>
      <c r="M218" s="208"/>
      <c r="N218" s="143"/>
      <c r="O218" s="143"/>
      <c r="P218" s="143"/>
      <c r="Q218" s="143"/>
      <c r="R218" s="143"/>
      <c r="S218" s="143"/>
      <c r="T218" s="143"/>
      <c r="U218" s="143"/>
      <c r="V218" s="143"/>
      <c r="W218" s="143"/>
      <c r="X218" s="143"/>
      <c r="Y218" s="143"/>
      <c r="Z218" s="143"/>
      <c r="AA218" s="143"/>
      <c r="AB218" s="143"/>
      <c r="AC218" s="143"/>
      <c r="AD218" s="143"/>
    </row>
    <row r="219" spans="1:30" ht="12.75" customHeight="1" x14ac:dyDescent="0.25">
      <c r="A219" s="143"/>
      <c r="B219" s="151" t="s">
        <v>410</v>
      </c>
      <c r="C219" s="179" t="s">
        <v>411</v>
      </c>
      <c r="D219" s="152"/>
      <c r="E219" s="152"/>
      <c r="F219" s="152"/>
      <c r="G219" s="152"/>
      <c r="H219" s="152"/>
      <c r="I219" s="152"/>
      <c r="J219" s="152"/>
      <c r="K219" s="152"/>
      <c r="L219" s="152"/>
      <c r="M219" s="154"/>
      <c r="N219" s="143"/>
      <c r="O219" s="143"/>
      <c r="P219" s="143"/>
      <c r="Q219" s="143"/>
      <c r="R219" s="143"/>
      <c r="S219" s="143"/>
      <c r="T219" s="143"/>
      <c r="U219" s="143"/>
      <c r="V219" s="143"/>
      <c r="W219" s="143"/>
      <c r="X219" s="143"/>
      <c r="Y219" s="143"/>
      <c r="Z219" s="143"/>
      <c r="AA219" s="143"/>
      <c r="AB219" s="143"/>
      <c r="AC219" s="143"/>
      <c r="AD219" s="143"/>
    </row>
    <row r="220" spans="1:30" ht="12.75" customHeight="1" x14ac:dyDescent="0.25">
      <c r="A220" s="143"/>
      <c r="B220" s="151"/>
      <c r="C220" s="152" t="s">
        <v>412</v>
      </c>
      <c r="D220" s="152" t="s">
        <v>413</v>
      </c>
      <c r="E220" s="152" t="s">
        <v>409</v>
      </c>
      <c r="F220" s="221">
        <v>3602.4</v>
      </c>
      <c r="G220" s="152" t="s">
        <v>225</v>
      </c>
      <c r="H220" s="174">
        <v>152802</v>
      </c>
      <c r="I220" s="152" t="s">
        <v>311</v>
      </c>
      <c r="J220" s="221">
        <v>550.4539248000001</v>
      </c>
      <c r="K220" s="272">
        <v>43</v>
      </c>
      <c r="L220" s="290">
        <v>2.5000000000000001E-3</v>
      </c>
      <c r="M220" s="236">
        <v>1E-4</v>
      </c>
      <c r="N220" s="143"/>
      <c r="O220" s="143"/>
      <c r="P220" s="143"/>
      <c r="Q220" s="143"/>
      <c r="R220" s="143"/>
      <c r="S220" s="143"/>
      <c r="T220" s="143"/>
      <c r="U220" s="143"/>
      <c r="V220" s="143"/>
      <c r="W220" s="143"/>
      <c r="X220" s="143"/>
      <c r="Y220" s="143"/>
      <c r="Z220" s="143"/>
      <c r="AA220" s="143"/>
      <c r="AB220" s="143"/>
      <c r="AC220" s="143"/>
      <c r="AD220" s="143"/>
    </row>
    <row r="221" spans="1:30" ht="12.75" customHeight="1" x14ac:dyDescent="0.25">
      <c r="A221" s="143"/>
      <c r="B221" s="151"/>
      <c r="C221" s="152" t="s">
        <v>414</v>
      </c>
      <c r="D221" s="152" t="s">
        <v>415</v>
      </c>
      <c r="E221" s="152" t="s">
        <v>409</v>
      </c>
      <c r="F221" s="221">
        <v>3602.4</v>
      </c>
      <c r="G221" s="152" t="s">
        <v>225</v>
      </c>
      <c r="H221" s="174">
        <v>152802</v>
      </c>
      <c r="I221" s="152" t="s">
        <v>311</v>
      </c>
      <c r="J221" s="221">
        <v>550.4539248000001</v>
      </c>
      <c r="K221" s="272">
        <v>43</v>
      </c>
      <c r="L221" s="290">
        <v>2.5000000000000001E-3</v>
      </c>
      <c r="M221" s="236">
        <v>1E-4</v>
      </c>
      <c r="N221" s="143"/>
      <c r="O221" s="143"/>
      <c r="P221" s="143"/>
      <c r="Q221" s="143"/>
      <c r="R221" s="143"/>
      <c r="S221" s="143"/>
      <c r="T221" s="143"/>
      <c r="U221" s="143"/>
      <c r="V221" s="143"/>
      <c r="W221" s="143"/>
      <c r="X221" s="143"/>
      <c r="Y221" s="143"/>
      <c r="Z221" s="143"/>
      <c r="AA221" s="143"/>
      <c r="AB221" s="143"/>
      <c r="AC221" s="143"/>
      <c r="AD221" s="143"/>
    </row>
    <row r="222" spans="1:30" ht="11.25" customHeight="1" x14ac:dyDescent="0.25">
      <c r="A222" s="140"/>
      <c r="B222" s="151"/>
      <c r="C222" s="152" t="s">
        <v>416</v>
      </c>
      <c r="D222" s="152" t="s">
        <v>417</v>
      </c>
      <c r="E222" s="152" t="s">
        <v>409</v>
      </c>
      <c r="F222" s="221">
        <v>3602.4</v>
      </c>
      <c r="G222" s="152" t="s">
        <v>225</v>
      </c>
      <c r="H222" s="174">
        <v>152802</v>
      </c>
      <c r="I222" s="152" t="s">
        <v>311</v>
      </c>
      <c r="J222" s="221">
        <v>550.4539248000001</v>
      </c>
      <c r="K222" s="272">
        <v>43</v>
      </c>
      <c r="L222" s="290">
        <v>2.5000000000000001E-3</v>
      </c>
      <c r="M222" s="236">
        <v>1E-4</v>
      </c>
      <c r="N222" s="140"/>
      <c r="O222" s="140"/>
      <c r="P222" s="140"/>
      <c r="Q222" s="140"/>
      <c r="R222" s="140"/>
      <c r="S222" s="140"/>
      <c r="T222" s="140"/>
      <c r="U222" s="140"/>
      <c r="V222" s="140"/>
      <c r="W222" s="140"/>
      <c r="X222" s="140"/>
      <c r="Y222" s="140"/>
      <c r="Z222" s="140"/>
      <c r="AA222" s="140"/>
      <c r="AB222" s="140"/>
      <c r="AC222" s="140"/>
      <c r="AD222" s="140"/>
    </row>
    <row r="223" spans="1:30" ht="11.25" customHeight="1" x14ac:dyDescent="0.25">
      <c r="A223" s="140"/>
      <c r="B223" s="151"/>
      <c r="C223" s="152" t="s">
        <v>418</v>
      </c>
      <c r="D223" s="152" t="s">
        <v>419</v>
      </c>
      <c r="E223" s="152" t="s">
        <v>409</v>
      </c>
      <c r="F223" s="221">
        <v>3602.4</v>
      </c>
      <c r="G223" s="152" t="s">
        <v>225</v>
      </c>
      <c r="H223" s="174">
        <v>152802</v>
      </c>
      <c r="I223" s="152" t="s">
        <v>311</v>
      </c>
      <c r="J223" s="221">
        <v>550.4539248000001</v>
      </c>
      <c r="K223" s="272">
        <v>43</v>
      </c>
      <c r="L223" s="290">
        <v>2.5000000000000001E-3</v>
      </c>
      <c r="M223" s="236">
        <v>1E-4</v>
      </c>
      <c r="N223" s="140"/>
      <c r="O223" s="140"/>
      <c r="P223" s="140"/>
      <c r="Q223" s="140"/>
      <c r="R223" s="140"/>
      <c r="S223" s="140"/>
      <c r="T223" s="140"/>
      <c r="U223" s="140"/>
      <c r="V223" s="140"/>
      <c r="W223" s="140"/>
      <c r="X223" s="140"/>
      <c r="Y223" s="140"/>
      <c r="Z223" s="140"/>
      <c r="AA223" s="140"/>
      <c r="AB223" s="140"/>
      <c r="AC223" s="140"/>
      <c r="AD223" s="140"/>
    </row>
    <row r="224" spans="1:30" ht="11.25" customHeight="1" x14ac:dyDescent="0.25">
      <c r="A224" s="140"/>
      <c r="B224" s="151"/>
      <c r="C224" s="152" t="s">
        <v>420</v>
      </c>
      <c r="D224" s="152" t="s">
        <v>421</v>
      </c>
      <c r="E224" s="152" t="s">
        <v>409</v>
      </c>
      <c r="F224" s="221">
        <v>3602.4</v>
      </c>
      <c r="G224" s="152" t="s">
        <v>225</v>
      </c>
      <c r="H224" s="174">
        <v>152802</v>
      </c>
      <c r="I224" s="152" t="s">
        <v>311</v>
      </c>
      <c r="J224" s="221">
        <v>550.4539248000001</v>
      </c>
      <c r="K224" s="272">
        <v>43</v>
      </c>
      <c r="L224" s="290">
        <v>2.5000000000000001E-3</v>
      </c>
      <c r="M224" s="236">
        <v>1E-4</v>
      </c>
      <c r="N224" s="140"/>
      <c r="O224" s="140"/>
      <c r="P224" s="140"/>
      <c r="Q224" s="140"/>
      <c r="R224" s="140"/>
      <c r="S224" s="140"/>
      <c r="T224" s="140"/>
      <c r="U224" s="140"/>
      <c r="V224" s="140"/>
      <c r="W224" s="140"/>
      <c r="X224" s="140"/>
      <c r="Y224" s="140"/>
      <c r="Z224" s="140"/>
      <c r="AA224" s="140"/>
      <c r="AB224" s="140"/>
      <c r="AC224" s="140"/>
      <c r="AD224" s="140"/>
    </row>
    <row r="225" spans="1:30" ht="11.25" customHeight="1" x14ac:dyDescent="0.25">
      <c r="A225" s="140"/>
      <c r="B225" s="151"/>
      <c r="C225" s="152"/>
      <c r="D225" s="152"/>
      <c r="E225" s="152"/>
      <c r="F225" s="152"/>
      <c r="G225" s="152"/>
      <c r="H225" s="152"/>
      <c r="I225" s="152"/>
      <c r="J225" s="152"/>
      <c r="K225" s="304"/>
      <c r="L225" s="304"/>
      <c r="M225" s="305"/>
      <c r="N225" s="140"/>
      <c r="O225" s="140"/>
      <c r="P225" s="140"/>
      <c r="Q225" s="140"/>
      <c r="R225" s="140"/>
      <c r="S225" s="140"/>
      <c r="T225" s="140"/>
      <c r="U225" s="140"/>
      <c r="V225" s="140"/>
      <c r="W225" s="140"/>
      <c r="X225" s="140"/>
      <c r="Y225" s="140"/>
      <c r="Z225" s="140"/>
      <c r="AA225" s="140"/>
      <c r="AB225" s="140"/>
      <c r="AC225" s="140"/>
      <c r="AD225" s="140"/>
    </row>
    <row r="226" spans="1:30" ht="11.25" customHeight="1" x14ac:dyDescent="0.25">
      <c r="A226" s="140"/>
      <c r="B226" s="166"/>
      <c r="C226" s="167"/>
      <c r="D226" s="167"/>
      <c r="E226" s="167"/>
      <c r="F226" s="167"/>
      <c r="G226" s="167"/>
      <c r="H226" s="167"/>
      <c r="I226" s="167"/>
      <c r="J226" s="167"/>
      <c r="K226" s="167"/>
      <c r="L226" s="167"/>
      <c r="M226" s="219"/>
      <c r="N226" s="140"/>
      <c r="O226" s="140"/>
      <c r="P226" s="140"/>
      <c r="Q226" s="140"/>
      <c r="R226" s="140"/>
      <c r="S226" s="140"/>
      <c r="T226" s="140"/>
      <c r="U226" s="140"/>
      <c r="V226" s="140"/>
      <c r="W226" s="140"/>
      <c r="X226" s="140"/>
      <c r="Y226" s="140"/>
      <c r="Z226" s="140"/>
      <c r="AA226" s="140"/>
      <c r="AB226" s="140"/>
      <c r="AC226" s="140"/>
      <c r="AD226" s="140"/>
    </row>
    <row r="227" spans="1:30" ht="11.25" customHeight="1" x14ac:dyDescent="0.25">
      <c r="A227" s="140"/>
      <c r="B227" s="151"/>
      <c r="C227" s="152"/>
      <c r="D227" s="152"/>
      <c r="E227" s="152"/>
      <c r="F227" s="152"/>
      <c r="G227" s="152"/>
      <c r="H227" s="152"/>
      <c r="I227" s="152"/>
      <c r="J227" s="152"/>
      <c r="K227" s="152"/>
      <c r="L227" s="152"/>
      <c r="M227" s="154"/>
      <c r="N227" s="140"/>
      <c r="O227" s="140"/>
      <c r="P227" s="140"/>
      <c r="Q227" s="140"/>
      <c r="R227" s="140"/>
      <c r="S227" s="140"/>
      <c r="T227" s="140"/>
      <c r="U227" s="140"/>
      <c r="V227" s="140"/>
      <c r="W227" s="140"/>
      <c r="X227" s="140"/>
      <c r="Y227" s="140"/>
      <c r="Z227" s="140"/>
      <c r="AA227" s="140"/>
      <c r="AB227" s="140"/>
      <c r="AC227" s="140"/>
      <c r="AD227" s="140"/>
    </row>
    <row r="228" spans="1:30" ht="11.25" customHeight="1" x14ac:dyDescent="0.25">
      <c r="A228" s="140"/>
      <c r="B228" s="151" t="s">
        <v>422</v>
      </c>
      <c r="C228" s="179" t="s">
        <v>423</v>
      </c>
      <c r="D228" s="152"/>
      <c r="E228" s="152"/>
      <c r="F228" s="152"/>
      <c r="G228" s="152"/>
      <c r="H228" s="152"/>
      <c r="I228" s="152"/>
      <c r="J228" s="152"/>
      <c r="K228" s="152"/>
      <c r="L228" s="152"/>
      <c r="M228" s="154"/>
      <c r="N228" s="140"/>
      <c r="O228" s="140"/>
      <c r="P228" s="140"/>
      <c r="Q228" s="140"/>
      <c r="R228" s="140"/>
      <c r="S228" s="140"/>
      <c r="T228" s="140"/>
      <c r="U228" s="140"/>
      <c r="V228" s="140"/>
      <c r="W228" s="140"/>
      <c r="X228" s="140"/>
      <c r="Y228" s="140"/>
      <c r="Z228" s="140"/>
      <c r="AA228" s="140"/>
      <c r="AB228" s="140"/>
      <c r="AC228" s="140"/>
      <c r="AD228" s="140"/>
    </row>
    <row r="229" spans="1:30" ht="11.25" customHeight="1" x14ac:dyDescent="0.25">
      <c r="A229" s="140"/>
      <c r="B229" s="151"/>
      <c r="C229" s="152" t="s">
        <v>424</v>
      </c>
      <c r="D229" s="152" t="s">
        <v>425</v>
      </c>
      <c r="E229" s="152" t="s">
        <v>409</v>
      </c>
      <c r="F229" s="161">
        <v>1830</v>
      </c>
      <c r="G229" s="152" t="s">
        <v>225</v>
      </c>
      <c r="H229" s="174">
        <v>137030</v>
      </c>
      <c r="I229" s="152" t="s">
        <v>311</v>
      </c>
      <c r="J229" s="306">
        <v>250.27</v>
      </c>
      <c r="K229" s="161">
        <v>20</v>
      </c>
      <c r="L229" s="272">
        <v>8.2899999999999998E-4</v>
      </c>
      <c r="M229" s="307">
        <v>1.66E-4</v>
      </c>
      <c r="N229" s="140"/>
      <c r="O229" s="140"/>
      <c r="P229" s="140"/>
      <c r="Q229" s="140"/>
      <c r="R229" s="140"/>
      <c r="S229" s="140"/>
      <c r="T229" s="140"/>
      <c r="U229" s="140"/>
      <c r="V229" s="140"/>
      <c r="W229" s="140"/>
      <c r="X229" s="140"/>
      <c r="Y229" s="140"/>
      <c r="Z229" s="140"/>
      <c r="AA229" s="140"/>
      <c r="AB229" s="140"/>
      <c r="AC229" s="140"/>
      <c r="AD229" s="140"/>
    </row>
    <row r="230" spans="1:30" ht="11.25" customHeight="1" x14ac:dyDescent="0.25">
      <c r="A230" s="140"/>
      <c r="B230" s="308"/>
      <c r="C230" s="309"/>
      <c r="D230" s="309"/>
      <c r="E230" s="309"/>
      <c r="F230" s="309"/>
      <c r="G230" s="309"/>
      <c r="H230" s="309"/>
      <c r="I230" s="309"/>
      <c r="J230" s="309"/>
      <c r="K230" s="309"/>
      <c r="L230" s="309"/>
      <c r="M230" s="310"/>
      <c r="N230" s="140"/>
      <c r="O230" s="140"/>
      <c r="P230" s="140"/>
      <c r="Q230" s="140"/>
      <c r="R230" s="140"/>
      <c r="S230" s="140"/>
      <c r="T230" s="140"/>
      <c r="U230" s="140"/>
      <c r="V230" s="140"/>
      <c r="W230" s="140"/>
      <c r="X230" s="140"/>
      <c r="Y230" s="140"/>
      <c r="Z230" s="140"/>
      <c r="AA230" s="140"/>
      <c r="AB230" s="140"/>
      <c r="AC230" s="140"/>
      <c r="AD230" s="140"/>
    </row>
    <row r="231" spans="1:30" ht="11.25" customHeight="1" x14ac:dyDescent="0.25">
      <c r="A231" s="140"/>
      <c r="B231" s="151"/>
      <c r="C231" s="152"/>
      <c r="D231" s="152"/>
      <c r="E231" s="152"/>
      <c r="F231" s="152"/>
      <c r="G231" s="152"/>
      <c r="H231" s="152"/>
      <c r="I231" s="152"/>
      <c r="J231" s="152"/>
      <c r="K231" s="152"/>
      <c r="L231" s="152"/>
      <c r="M231" s="154"/>
      <c r="N231" s="140"/>
      <c r="O231" s="140"/>
      <c r="P231" s="140"/>
      <c r="Q231" s="140"/>
      <c r="R231" s="140"/>
      <c r="S231" s="140"/>
      <c r="T231" s="140"/>
      <c r="U231" s="140"/>
      <c r="V231" s="140"/>
      <c r="W231" s="140"/>
      <c r="X231" s="140"/>
      <c r="Y231" s="140"/>
      <c r="Z231" s="140"/>
      <c r="AA231" s="140"/>
      <c r="AB231" s="140"/>
      <c r="AC231" s="140"/>
      <c r="AD231" s="140"/>
    </row>
    <row r="232" spans="1:30" ht="11.25" customHeight="1" x14ac:dyDescent="0.25">
      <c r="A232" s="140"/>
      <c r="B232" s="151" t="s">
        <v>426</v>
      </c>
      <c r="C232" s="179" t="s">
        <v>427</v>
      </c>
      <c r="D232" s="152"/>
      <c r="E232" s="152"/>
      <c r="F232" s="152"/>
      <c r="G232" s="152"/>
      <c r="H232" s="152"/>
      <c r="I232" s="152"/>
      <c r="J232" s="152"/>
      <c r="K232" s="152"/>
      <c r="L232" s="152"/>
      <c r="M232" s="154"/>
      <c r="N232" s="140"/>
      <c r="O232" s="140"/>
      <c r="P232" s="140"/>
      <c r="Q232" s="140"/>
      <c r="R232" s="140"/>
      <c r="S232" s="140"/>
      <c r="T232" s="140"/>
      <c r="U232" s="140"/>
      <c r="V232" s="140"/>
      <c r="W232" s="140"/>
      <c r="X232" s="140"/>
      <c r="Y232" s="140"/>
      <c r="Z232" s="140"/>
      <c r="AA232" s="140"/>
      <c r="AB232" s="140"/>
      <c r="AC232" s="140"/>
      <c r="AD232" s="140"/>
    </row>
    <row r="233" spans="1:30" ht="11.25" customHeight="1" x14ac:dyDescent="0.25">
      <c r="A233" s="140"/>
      <c r="B233" s="151"/>
      <c r="C233" s="232" t="s">
        <v>428</v>
      </c>
      <c r="D233" s="152" t="s">
        <v>429</v>
      </c>
      <c r="E233" s="152" t="s">
        <v>409</v>
      </c>
      <c r="F233" s="161">
        <v>1286.5185185185185</v>
      </c>
      <c r="G233" s="152" t="s">
        <v>225</v>
      </c>
      <c r="H233" s="174">
        <v>135000</v>
      </c>
      <c r="I233" s="152" t="s">
        <v>311</v>
      </c>
      <c r="J233" s="306">
        <v>173.68</v>
      </c>
      <c r="K233" s="161">
        <v>14.4</v>
      </c>
      <c r="L233" s="293">
        <v>1.44E-2</v>
      </c>
      <c r="M233" s="307">
        <v>3.4200000000000001E-2</v>
      </c>
      <c r="N233" s="140"/>
      <c r="O233" s="140"/>
      <c r="P233" s="140"/>
      <c r="Q233" s="140"/>
      <c r="R233" s="140"/>
      <c r="S233" s="140"/>
      <c r="T233" s="140"/>
      <c r="U233" s="140"/>
      <c r="V233" s="140"/>
      <c r="W233" s="140"/>
      <c r="X233" s="140"/>
      <c r="Y233" s="140"/>
      <c r="Z233" s="140"/>
      <c r="AA233" s="140"/>
      <c r="AB233" s="140"/>
      <c r="AC233" s="140"/>
      <c r="AD233" s="140"/>
    </row>
    <row r="234" spans="1:30" ht="11.25" customHeight="1" x14ac:dyDescent="0.25">
      <c r="A234" s="140"/>
      <c r="B234" s="151"/>
      <c r="C234" s="232"/>
      <c r="D234" s="152"/>
      <c r="E234" s="152"/>
      <c r="F234" s="161"/>
      <c r="G234" s="152"/>
      <c r="H234" s="174"/>
      <c r="I234" s="152"/>
      <c r="J234" s="306"/>
      <c r="K234" s="161"/>
      <c r="L234" s="293"/>
      <c r="M234" s="307"/>
      <c r="N234" s="140"/>
      <c r="O234" s="140"/>
      <c r="P234" s="140"/>
      <c r="Q234" s="140"/>
      <c r="R234" s="140"/>
      <c r="S234" s="140"/>
      <c r="T234" s="140"/>
      <c r="U234" s="140"/>
      <c r="V234" s="140"/>
      <c r="W234" s="140"/>
      <c r="X234" s="140"/>
      <c r="Y234" s="140"/>
      <c r="Z234" s="140"/>
      <c r="AA234" s="140"/>
      <c r="AB234" s="140"/>
      <c r="AC234" s="140"/>
      <c r="AD234" s="140"/>
    </row>
    <row r="235" spans="1:30" ht="11.25" customHeight="1" x14ac:dyDescent="0.25">
      <c r="A235" s="140"/>
      <c r="B235" s="151"/>
      <c r="C235" s="232"/>
      <c r="D235" s="152"/>
      <c r="E235" s="152"/>
      <c r="F235" s="161"/>
      <c r="G235" s="152"/>
      <c r="H235" s="174"/>
      <c r="I235" s="152"/>
      <c r="J235" s="306"/>
      <c r="K235" s="161"/>
      <c r="L235" s="293"/>
      <c r="M235" s="307"/>
      <c r="N235" s="140"/>
      <c r="O235" s="140"/>
      <c r="P235" s="140"/>
      <c r="Q235" s="140"/>
      <c r="R235" s="140"/>
      <c r="S235" s="140"/>
      <c r="T235" s="140"/>
      <c r="U235" s="140"/>
      <c r="V235" s="140"/>
      <c r="W235" s="140"/>
      <c r="X235" s="140"/>
      <c r="Y235" s="140"/>
      <c r="Z235" s="140"/>
      <c r="AA235" s="140"/>
      <c r="AB235" s="140"/>
      <c r="AC235" s="140"/>
      <c r="AD235" s="140"/>
    </row>
    <row r="236" spans="1:30" ht="11.25" customHeight="1" x14ac:dyDescent="0.25">
      <c r="A236" s="140"/>
      <c r="B236" s="151"/>
      <c r="C236" s="232"/>
      <c r="D236" s="152"/>
      <c r="E236" s="152"/>
      <c r="F236" s="311">
        <f>SUM(F195:F235)</f>
        <v>819348.51851851866</v>
      </c>
      <c r="G236" s="298"/>
      <c r="H236" s="298"/>
      <c r="I236" s="298"/>
      <c r="J236" s="311">
        <f t="shared" ref="J236:M236" si="4">SUM(J195:J235)</f>
        <v>123992.29375600004</v>
      </c>
      <c r="K236" s="311">
        <f t="shared" si="4"/>
        <v>8769.953538035259</v>
      </c>
      <c r="L236" s="311">
        <f t="shared" si="4"/>
        <v>0.46489147745386705</v>
      </c>
      <c r="M236" s="311">
        <f t="shared" si="4"/>
        <v>9.8054443495434351E-2</v>
      </c>
      <c r="N236" s="140"/>
      <c r="O236" s="140"/>
      <c r="P236" s="140"/>
      <c r="Q236" s="140"/>
      <c r="R236" s="140"/>
      <c r="S236" s="140"/>
      <c r="T236" s="140"/>
      <c r="U236" s="140"/>
      <c r="V236" s="140"/>
      <c r="W236" s="140"/>
      <c r="X236" s="140"/>
      <c r="Y236" s="140"/>
      <c r="Z236" s="140"/>
      <c r="AA236" s="140"/>
      <c r="AB236" s="140"/>
      <c r="AC236" s="140"/>
      <c r="AD236" s="140"/>
    </row>
    <row r="237" spans="1:30" ht="11.25" customHeight="1" x14ac:dyDescent="0.25">
      <c r="A237" s="140"/>
      <c r="B237" s="151"/>
      <c r="C237" s="232"/>
      <c r="D237" s="152"/>
      <c r="E237" s="152"/>
      <c r="F237" s="161"/>
      <c r="G237" s="152"/>
      <c r="H237" s="174"/>
      <c r="I237" s="152"/>
      <c r="J237" s="306"/>
      <c r="K237" s="161"/>
      <c r="L237" s="293"/>
      <c r="M237" s="307"/>
      <c r="N237" s="140"/>
      <c r="O237" s="140"/>
      <c r="P237" s="140"/>
      <c r="Q237" s="140"/>
      <c r="R237" s="140"/>
      <c r="S237" s="140"/>
      <c r="T237" s="140"/>
      <c r="U237" s="140"/>
      <c r="V237" s="140"/>
      <c r="W237" s="140"/>
      <c r="X237" s="140"/>
      <c r="Y237" s="140"/>
      <c r="Z237" s="140"/>
      <c r="AA237" s="140"/>
      <c r="AB237" s="140"/>
      <c r="AC237" s="140"/>
      <c r="AD237" s="140"/>
    </row>
    <row r="238" spans="1:30" ht="11.25" customHeight="1" x14ac:dyDescent="0.25">
      <c r="A238" s="140"/>
      <c r="B238" s="201"/>
      <c r="C238" s="202"/>
      <c r="D238" s="202"/>
      <c r="E238" s="202"/>
      <c r="F238" s="202"/>
      <c r="G238" s="202"/>
      <c r="H238" s="202"/>
      <c r="I238" s="202"/>
      <c r="J238" s="202"/>
      <c r="K238" s="202"/>
      <c r="L238" s="202"/>
      <c r="M238" s="300"/>
      <c r="N238" s="140"/>
      <c r="O238" s="140"/>
      <c r="P238" s="140"/>
      <c r="Q238" s="140"/>
      <c r="R238" s="140"/>
      <c r="S238" s="140"/>
      <c r="T238" s="140"/>
      <c r="U238" s="140"/>
      <c r="V238" s="140"/>
      <c r="W238" s="140"/>
      <c r="X238" s="140"/>
      <c r="Y238" s="140"/>
      <c r="Z238" s="140"/>
      <c r="AA238" s="140"/>
      <c r="AB238" s="140"/>
      <c r="AC238" s="140"/>
      <c r="AD238" s="140"/>
    </row>
    <row r="239" spans="1:30" ht="11.25" customHeight="1" x14ac:dyDescent="0.2">
      <c r="A239" s="140"/>
      <c r="B239" s="140"/>
      <c r="C239" s="140"/>
      <c r="D239" s="140"/>
      <c r="E239" s="140"/>
      <c r="F239" s="140"/>
      <c r="G239" s="140"/>
      <c r="H239" s="140"/>
      <c r="I239" s="140"/>
      <c r="J239" s="140"/>
      <c r="K239" s="140"/>
      <c r="L239" s="140"/>
      <c r="M239" s="140"/>
      <c r="N239" s="140"/>
      <c r="O239" s="140"/>
      <c r="P239" s="140"/>
      <c r="Q239" s="140"/>
      <c r="R239" s="140"/>
      <c r="S239" s="140"/>
      <c r="T239" s="140"/>
      <c r="U239" s="140"/>
      <c r="V239" s="140"/>
      <c r="W239" s="140"/>
      <c r="X239" s="140"/>
      <c r="Y239" s="140"/>
      <c r="Z239" s="140"/>
      <c r="AA239" s="140"/>
      <c r="AB239" s="140"/>
      <c r="AC239" s="140"/>
      <c r="AD239" s="140"/>
    </row>
    <row r="240" spans="1:30" ht="11.25" customHeight="1" x14ac:dyDescent="0.2">
      <c r="A240" s="140"/>
      <c r="B240" s="140"/>
      <c r="C240" s="140"/>
      <c r="D240" s="140"/>
      <c r="E240" s="140"/>
      <c r="F240" s="140"/>
      <c r="G240" s="140"/>
      <c r="H240" s="140"/>
      <c r="I240" s="140"/>
      <c r="J240" s="140"/>
      <c r="K240" s="140"/>
      <c r="L240" s="140"/>
      <c r="M240" s="140"/>
      <c r="N240" s="140"/>
      <c r="O240" s="140"/>
      <c r="P240" s="140"/>
      <c r="Q240" s="140"/>
      <c r="R240" s="140"/>
      <c r="S240" s="140"/>
      <c r="T240" s="140"/>
      <c r="U240" s="140"/>
      <c r="V240" s="140"/>
      <c r="W240" s="140"/>
      <c r="X240" s="140"/>
      <c r="Y240" s="140"/>
      <c r="Z240" s="140"/>
      <c r="AA240" s="140"/>
      <c r="AB240" s="140"/>
      <c r="AC240" s="140"/>
      <c r="AD240" s="140"/>
    </row>
    <row r="241" spans="1:30" ht="11.25" customHeight="1" x14ac:dyDescent="0.2">
      <c r="A241" s="140"/>
      <c r="B241" s="140"/>
      <c r="C241" s="140"/>
      <c r="D241" s="140"/>
      <c r="E241" s="140"/>
      <c r="F241" s="140"/>
      <c r="G241" s="140"/>
      <c r="H241" s="140"/>
      <c r="I241" s="140"/>
      <c r="J241" s="140"/>
      <c r="K241" s="140"/>
      <c r="L241" s="140"/>
      <c r="M241" s="140"/>
      <c r="N241" s="140"/>
      <c r="O241" s="140"/>
      <c r="P241" s="140"/>
      <c r="Q241" s="140"/>
      <c r="R241" s="140"/>
      <c r="S241" s="140"/>
      <c r="T241" s="140"/>
      <c r="U241" s="140"/>
      <c r="V241" s="140"/>
      <c r="W241" s="140"/>
      <c r="X241" s="140"/>
      <c r="Y241" s="140"/>
      <c r="Z241" s="140"/>
      <c r="AA241" s="140"/>
      <c r="AB241" s="140"/>
      <c r="AC241" s="140"/>
      <c r="AD241" s="140"/>
    </row>
    <row r="242" spans="1:30" ht="30.75" customHeight="1" x14ac:dyDescent="0.4">
      <c r="A242" s="140"/>
      <c r="B242" s="205" t="s">
        <v>430</v>
      </c>
      <c r="C242" s="206"/>
      <c r="D242" s="207"/>
      <c r="E242" s="140"/>
      <c r="F242" s="140"/>
      <c r="G242" s="140"/>
      <c r="H242" s="140"/>
      <c r="I242" s="140"/>
      <c r="J242" s="140"/>
      <c r="K242" s="140"/>
      <c r="L242" s="140"/>
      <c r="M242" s="140"/>
      <c r="N242" s="140"/>
      <c r="O242" s="140"/>
      <c r="P242" s="140"/>
      <c r="Q242" s="140"/>
      <c r="R242" s="140"/>
      <c r="S242" s="140"/>
      <c r="T242" s="140"/>
      <c r="U242" s="140"/>
      <c r="V242" s="140"/>
      <c r="W242" s="140"/>
      <c r="X242" s="140"/>
      <c r="Y242" s="140"/>
      <c r="Z242" s="140"/>
      <c r="AA242" s="140"/>
      <c r="AB242" s="140"/>
      <c r="AC242" s="140"/>
      <c r="AD242" s="140"/>
    </row>
    <row r="243" spans="1:30" ht="11.25" customHeight="1" x14ac:dyDescent="0.2">
      <c r="A243" s="140"/>
      <c r="B243" s="140"/>
      <c r="C243" s="140"/>
      <c r="D243" s="140"/>
      <c r="E243" s="140"/>
      <c r="F243" s="140"/>
      <c r="G243" s="140"/>
      <c r="H243" s="140"/>
      <c r="I243" s="140"/>
      <c r="J243" s="140"/>
      <c r="K243" s="140"/>
      <c r="L243" s="140"/>
      <c r="M243" s="140"/>
      <c r="N243" s="140"/>
      <c r="O243" s="140"/>
      <c r="P243" s="140"/>
      <c r="Q243" s="140"/>
      <c r="R243" s="140"/>
      <c r="S243" s="140"/>
      <c r="T243" s="140"/>
      <c r="U243" s="140"/>
      <c r="V243" s="140"/>
      <c r="W243" s="140"/>
      <c r="X243" s="140"/>
      <c r="Y243" s="140"/>
      <c r="Z243" s="140"/>
      <c r="AA243" s="140"/>
      <c r="AB243" s="140"/>
      <c r="AC243" s="140"/>
      <c r="AD243" s="140"/>
    </row>
    <row r="244" spans="1:30" ht="11.25" customHeight="1" x14ac:dyDescent="0.2">
      <c r="A244" s="140"/>
      <c r="B244" s="140"/>
      <c r="C244" s="140"/>
      <c r="D244" s="140"/>
      <c r="E244" s="140"/>
      <c r="F244" s="140"/>
      <c r="G244" s="140"/>
      <c r="H244" s="140"/>
      <c r="I244" s="140"/>
      <c r="J244" s="140"/>
      <c r="K244" s="140"/>
      <c r="L244" s="140"/>
      <c r="M244" s="140"/>
      <c r="N244" s="140"/>
      <c r="O244" s="140"/>
      <c r="P244" s="140"/>
      <c r="Q244" s="140"/>
      <c r="R244" s="140"/>
      <c r="S244" s="140"/>
      <c r="T244" s="140"/>
      <c r="U244" s="140"/>
      <c r="V244" s="140"/>
      <c r="W244" s="140"/>
      <c r="X244" s="140"/>
      <c r="Y244" s="140"/>
      <c r="Z244" s="140"/>
      <c r="AA244" s="140"/>
      <c r="AB244" s="140"/>
      <c r="AC244" s="140"/>
      <c r="AD244" s="140"/>
    </row>
    <row r="245" spans="1:30" ht="11.25" customHeight="1" x14ac:dyDescent="0.35">
      <c r="A245" s="140"/>
      <c r="B245" s="144" t="s">
        <v>167</v>
      </c>
      <c r="C245" s="145" t="s">
        <v>168</v>
      </c>
      <c r="D245" s="145" t="s">
        <v>169</v>
      </c>
      <c r="E245" s="145" t="s">
        <v>170</v>
      </c>
      <c r="F245" s="145" t="s">
        <v>171</v>
      </c>
      <c r="G245" s="145" t="s">
        <v>171</v>
      </c>
      <c r="H245" s="145" t="s">
        <v>172</v>
      </c>
      <c r="I245" s="145" t="s">
        <v>173</v>
      </c>
      <c r="J245" s="146" t="s">
        <v>174</v>
      </c>
      <c r="K245" s="145" t="s">
        <v>431</v>
      </c>
      <c r="L245" s="145" t="s">
        <v>432</v>
      </c>
      <c r="M245" s="147" t="s">
        <v>433</v>
      </c>
      <c r="N245" s="140"/>
      <c r="O245" s="140"/>
      <c r="P245" s="140"/>
      <c r="Q245" s="140"/>
      <c r="R245" s="140"/>
      <c r="S245" s="140"/>
      <c r="T245" s="140"/>
      <c r="U245" s="140"/>
      <c r="V245" s="140"/>
      <c r="W245" s="140"/>
      <c r="X245" s="140"/>
      <c r="Y245" s="140"/>
      <c r="Z245" s="140"/>
      <c r="AA245" s="140"/>
      <c r="AB245" s="140"/>
      <c r="AC245" s="140"/>
      <c r="AD245" s="140"/>
    </row>
    <row r="246" spans="1:30" ht="11.25" customHeight="1" x14ac:dyDescent="0.25">
      <c r="A246" s="140"/>
      <c r="B246" s="148"/>
      <c r="C246" s="149"/>
      <c r="D246" s="149"/>
      <c r="E246" s="149"/>
      <c r="F246" s="149"/>
      <c r="G246" s="149" t="s">
        <v>178</v>
      </c>
      <c r="H246" s="149" t="s">
        <v>179</v>
      </c>
      <c r="I246" s="149" t="s">
        <v>180</v>
      </c>
      <c r="J246" s="149" t="s">
        <v>181</v>
      </c>
      <c r="K246" s="149" t="s">
        <v>182</v>
      </c>
      <c r="L246" s="149" t="s">
        <v>182</v>
      </c>
      <c r="M246" s="150" t="s">
        <v>182</v>
      </c>
      <c r="N246" s="140"/>
      <c r="O246" s="140"/>
      <c r="P246" s="140"/>
      <c r="Q246" s="140"/>
      <c r="R246" s="140"/>
      <c r="S246" s="140"/>
      <c r="T246" s="140"/>
      <c r="U246" s="140"/>
      <c r="V246" s="140"/>
      <c r="W246" s="140"/>
      <c r="X246" s="140"/>
      <c r="Y246" s="140"/>
      <c r="Z246" s="140"/>
      <c r="AA246" s="140"/>
      <c r="AB246" s="140"/>
      <c r="AC246" s="140"/>
      <c r="AD246" s="140"/>
    </row>
    <row r="247" spans="1:30" ht="11.25" customHeight="1" x14ac:dyDescent="0.25">
      <c r="A247" s="140"/>
      <c r="B247" s="151"/>
      <c r="C247" s="152"/>
      <c r="D247" s="152"/>
      <c r="E247" s="152"/>
      <c r="F247" s="152"/>
      <c r="G247" s="152"/>
      <c r="H247" s="152"/>
      <c r="I247" s="152"/>
      <c r="J247" s="152"/>
      <c r="K247" s="153"/>
      <c r="L247" s="152"/>
      <c r="M247" s="154"/>
      <c r="N247" s="140"/>
      <c r="O247" s="140"/>
      <c r="P247" s="140"/>
      <c r="Q247" s="140"/>
      <c r="R247" s="140"/>
      <c r="S247" s="140"/>
      <c r="T247" s="140"/>
      <c r="U247" s="140"/>
      <c r="V247" s="140"/>
      <c r="W247" s="140"/>
      <c r="X247" s="140"/>
      <c r="Y247" s="140"/>
      <c r="Z247" s="140"/>
      <c r="AA247" s="140"/>
      <c r="AB247" s="140"/>
      <c r="AC247" s="140"/>
      <c r="AD247" s="140"/>
    </row>
    <row r="248" spans="1:30" ht="11.25" customHeight="1" x14ac:dyDescent="0.25">
      <c r="A248" s="140"/>
      <c r="B248" s="155" t="s">
        <v>183</v>
      </c>
      <c r="C248" s="156" t="s">
        <v>184</v>
      </c>
      <c r="D248" s="190"/>
      <c r="E248" s="190"/>
      <c r="F248" s="158"/>
      <c r="G248" s="190"/>
      <c r="H248" s="190"/>
      <c r="I248" s="190"/>
      <c r="J248" s="312"/>
      <c r="K248" s="190"/>
      <c r="L248" s="190"/>
      <c r="M248" s="208"/>
      <c r="N248" s="140"/>
      <c r="O248" s="140"/>
      <c r="P248" s="140"/>
      <c r="Q248" s="140"/>
      <c r="R248" s="140"/>
      <c r="S248" s="140"/>
      <c r="T248" s="140"/>
      <c r="U248" s="140"/>
      <c r="V248" s="140"/>
      <c r="W248" s="140"/>
      <c r="X248" s="140"/>
      <c r="Y248" s="140"/>
      <c r="Z248" s="140"/>
      <c r="AA248" s="140"/>
      <c r="AB248" s="140"/>
      <c r="AC248" s="140"/>
      <c r="AD248" s="140"/>
    </row>
    <row r="249" spans="1:30" ht="11.25" customHeight="1" x14ac:dyDescent="0.25">
      <c r="A249" s="140"/>
      <c r="B249" s="151"/>
      <c r="C249" s="152" t="s">
        <v>434</v>
      </c>
      <c r="D249" s="152" t="s">
        <v>435</v>
      </c>
      <c r="E249" s="152" t="s">
        <v>436</v>
      </c>
      <c r="F249" s="161">
        <v>2047300</v>
      </c>
      <c r="G249" s="152" t="s">
        <v>437</v>
      </c>
      <c r="H249" s="161">
        <v>1020</v>
      </c>
      <c r="I249" s="152" t="s">
        <v>438</v>
      </c>
      <c r="J249" s="313">
        <v>2088.2460000000001</v>
      </c>
      <c r="K249" s="213">
        <v>123</v>
      </c>
      <c r="L249" s="213">
        <v>0</v>
      </c>
      <c r="M249" s="214">
        <v>0</v>
      </c>
      <c r="N249" s="140"/>
      <c r="O249" s="140"/>
      <c r="P249" s="140"/>
      <c r="Q249" s="140"/>
      <c r="R249" s="140"/>
      <c r="S249" s="140"/>
      <c r="T249" s="140"/>
      <c r="U249" s="140"/>
      <c r="V249" s="140"/>
      <c r="W249" s="140"/>
      <c r="X249" s="140"/>
      <c r="Y249" s="140"/>
      <c r="Z249" s="140"/>
      <c r="AA249" s="140"/>
      <c r="AB249" s="140"/>
      <c r="AC249" s="140"/>
      <c r="AD249" s="140"/>
    </row>
    <row r="250" spans="1:30" ht="11.25" customHeight="1" x14ac:dyDescent="0.25">
      <c r="A250" s="140"/>
      <c r="B250" s="166"/>
      <c r="C250" s="167"/>
      <c r="D250" s="167"/>
      <c r="E250" s="167"/>
      <c r="F250" s="169"/>
      <c r="G250" s="167"/>
      <c r="H250" s="216"/>
      <c r="I250" s="167"/>
      <c r="J250" s="314"/>
      <c r="K250" s="167"/>
      <c r="L250" s="218"/>
      <c r="M250" s="219"/>
      <c r="N250" s="140"/>
      <c r="O250" s="140"/>
      <c r="P250" s="140"/>
      <c r="Q250" s="140"/>
      <c r="R250" s="140"/>
      <c r="S250" s="140"/>
      <c r="T250" s="140"/>
      <c r="U250" s="140"/>
      <c r="V250" s="140"/>
      <c r="W250" s="140"/>
      <c r="X250" s="140"/>
      <c r="Y250" s="140"/>
      <c r="Z250" s="140"/>
      <c r="AA250" s="140"/>
      <c r="AB250" s="140"/>
      <c r="AC250" s="140"/>
      <c r="AD250" s="140"/>
    </row>
    <row r="251" spans="1:30" ht="11.25" customHeight="1" x14ac:dyDescent="0.25">
      <c r="A251" s="140"/>
      <c r="B251" s="155"/>
      <c r="C251" s="156"/>
      <c r="D251" s="190"/>
      <c r="E251" s="190"/>
      <c r="F251" s="158"/>
      <c r="G251" s="190"/>
      <c r="H251" s="158"/>
      <c r="I251" s="190"/>
      <c r="J251" s="158"/>
      <c r="K251" s="158"/>
      <c r="L251" s="238"/>
      <c r="M251" s="208"/>
      <c r="N251" s="140"/>
      <c r="O251" s="140"/>
      <c r="P251" s="140"/>
      <c r="Q251" s="140"/>
      <c r="R251" s="140"/>
      <c r="S251" s="140"/>
      <c r="T251" s="140"/>
      <c r="U251" s="140"/>
      <c r="V251" s="140"/>
      <c r="W251" s="140"/>
      <c r="X251" s="140"/>
      <c r="Y251" s="140"/>
      <c r="Z251" s="140"/>
      <c r="AA251" s="140"/>
      <c r="AB251" s="140"/>
      <c r="AC251" s="140"/>
      <c r="AD251" s="140"/>
    </row>
    <row r="252" spans="1:30" ht="11.25" customHeight="1" x14ac:dyDescent="0.25">
      <c r="A252" s="140"/>
      <c r="B252" s="151" t="s">
        <v>198</v>
      </c>
      <c r="C252" s="301" t="s">
        <v>199</v>
      </c>
      <c r="D252" s="152"/>
      <c r="E252" s="152"/>
      <c r="F252" s="174"/>
      <c r="G252" s="152"/>
      <c r="H252" s="174"/>
      <c r="I252" s="152"/>
      <c r="J252" s="174"/>
      <c r="K252" s="174"/>
      <c r="L252" s="221"/>
      <c r="M252" s="239"/>
      <c r="N252" s="140"/>
      <c r="O252" s="140"/>
      <c r="P252" s="140"/>
      <c r="Q252" s="140"/>
      <c r="R252" s="140"/>
      <c r="S252" s="140"/>
      <c r="T252" s="140"/>
      <c r="U252" s="140"/>
      <c r="V252" s="140"/>
      <c r="W252" s="140"/>
      <c r="X252" s="140"/>
      <c r="Y252" s="140"/>
      <c r="Z252" s="140"/>
      <c r="AA252" s="140"/>
      <c r="AB252" s="140"/>
      <c r="AC252" s="140"/>
      <c r="AD252" s="140"/>
    </row>
    <row r="253" spans="1:30" ht="11.25" customHeight="1" x14ac:dyDescent="0.25">
      <c r="A253" s="140"/>
      <c r="B253" s="151"/>
      <c r="C253" s="152" t="s">
        <v>200</v>
      </c>
      <c r="D253" s="222" t="s">
        <v>193</v>
      </c>
      <c r="E253" s="152" t="s">
        <v>439</v>
      </c>
      <c r="F253" s="161">
        <v>134870000</v>
      </c>
      <c r="G253" s="152" t="s">
        <v>437</v>
      </c>
      <c r="H253" s="174">
        <v>1055</v>
      </c>
      <c r="I253" s="152" t="s">
        <v>440</v>
      </c>
      <c r="J253" s="174">
        <v>142287.85</v>
      </c>
      <c r="K253" s="174">
        <v>16504.435080538558</v>
      </c>
      <c r="L253" s="221">
        <v>0.1568012107</v>
      </c>
      <c r="M253" s="241">
        <v>1.5680121070000001E-2</v>
      </c>
      <c r="N253" s="140"/>
      <c r="O253" s="140"/>
      <c r="P253" s="140"/>
      <c r="Q253" s="140"/>
      <c r="R253" s="140"/>
      <c r="S253" s="140"/>
      <c r="T253" s="140"/>
      <c r="U253" s="140"/>
      <c r="V253" s="140"/>
      <c r="W253" s="140"/>
      <c r="X253" s="140"/>
      <c r="Y253" s="140"/>
      <c r="Z253" s="140"/>
      <c r="AA253" s="140"/>
      <c r="AB253" s="140"/>
      <c r="AC253" s="140"/>
      <c r="AD253" s="140"/>
    </row>
    <row r="254" spans="1:30" ht="11.25" customHeight="1" x14ac:dyDescent="0.25">
      <c r="A254" s="140"/>
      <c r="B254" s="151"/>
      <c r="C254" s="152" t="s">
        <v>202</v>
      </c>
      <c r="D254" s="222" t="s">
        <v>197</v>
      </c>
      <c r="E254" s="152" t="s">
        <v>439</v>
      </c>
      <c r="F254" s="161">
        <v>10350000</v>
      </c>
      <c r="G254" s="152" t="s">
        <v>437</v>
      </c>
      <c r="H254" s="174">
        <v>1055</v>
      </c>
      <c r="I254" s="152" t="s">
        <v>440</v>
      </c>
      <c r="J254" s="174">
        <v>10919.25</v>
      </c>
      <c r="K254" s="174">
        <v>1213.2671990903107</v>
      </c>
      <c r="L254" s="221">
        <v>1.2033013499999998E-2</v>
      </c>
      <c r="M254" s="241">
        <v>1.2036289275000002E-3</v>
      </c>
      <c r="N254" s="140"/>
      <c r="O254" s="140"/>
      <c r="P254" s="140"/>
      <c r="Q254" s="140"/>
      <c r="R254" s="140"/>
      <c r="S254" s="140"/>
      <c r="T254" s="140"/>
      <c r="U254" s="140"/>
      <c r="V254" s="140"/>
      <c r="W254" s="140"/>
      <c r="X254" s="140"/>
      <c r="Y254" s="140"/>
      <c r="Z254" s="140"/>
      <c r="AA254" s="140"/>
      <c r="AB254" s="140"/>
      <c r="AC254" s="140"/>
      <c r="AD254" s="140"/>
    </row>
    <row r="255" spans="1:30" ht="11.25" customHeight="1" x14ac:dyDescent="0.25">
      <c r="A255" s="140"/>
      <c r="B255" s="151"/>
      <c r="C255" s="152" t="s">
        <v>441</v>
      </c>
      <c r="D255" s="222" t="s">
        <v>206</v>
      </c>
      <c r="E255" s="152" t="s">
        <v>439</v>
      </c>
      <c r="F255" s="315">
        <v>992650000</v>
      </c>
      <c r="G255" s="152" t="s">
        <v>437</v>
      </c>
      <c r="H255" s="174">
        <v>1055</v>
      </c>
      <c r="I255" s="152" t="s">
        <v>440</v>
      </c>
      <c r="J255" s="174">
        <v>1047245.75</v>
      </c>
      <c r="K255" s="174">
        <v>59850</v>
      </c>
      <c r="L255" s="221">
        <v>1.1540648165</v>
      </c>
      <c r="M255" s="241">
        <v>0.11540648164999999</v>
      </c>
      <c r="N255" s="140"/>
      <c r="O255" s="140"/>
      <c r="P255" s="140"/>
      <c r="Q255" s="140"/>
      <c r="R255" s="140"/>
      <c r="S255" s="140"/>
      <c r="T255" s="140"/>
      <c r="U255" s="140"/>
      <c r="V255" s="140"/>
      <c r="W255" s="140"/>
      <c r="X255" s="140"/>
      <c r="Y255" s="140"/>
      <c r="Z255" s="140"/>
      <c r="AA255" s="140"/>
      <c r="AB255" s="140"/>
      <c r="AC255" s="140"/>
      <c r="AD255" s="140"/>
    </row>
    <row r="256" spans="1:30" ht="11.25" customHeight="1" x14ac:dyDescent="0.25">
      <c r="A256" s="140"/>
      <c r="B256" s="151"/>
      <c r="C256" s="152" t="s">
        <v>442</v>
      </c>
      <c r="D256" s="222" t="s">
        <v>381</v>
      </c>
      <c r="E256" s="152" t="s">
        <v>439</v>
      </c>
      <c r="F256" s="194">
        <v>1686700000</v>
      </c>
      <c r="G256" s="152" t="s">
        <v>437</v>
      </c>
      <c r="H256" s="174">
        <v>1055</v>
      </c>
      <c r="I256" s="152" t="s">
        <v>440</v>
      </c>
      <c r="J256" s="174">
        <v>1779468.5</v>
      </c>
      <c r="K256" s="174">
        <v>100042</v>
      </c>
      <c r="L256" s="221">
        <v>1.9609742869999998</v>
      </c>
      <c r="M256" s="241">
        <v>0.19609742869999999</v>
      </c>
      <c r="N256" s="140"/>
      <c r="O256" s="140"/>
      <c r="P256" s="140"/>
      <c r="Q256" s="140"/>
      <c r="R256" s="140"/>
      <c r="S256" s="140"/>
      <c r="T256" s="140"/>
      <c r="U256" s="140"/>
      <c r="V256" s="140"/>
      <c r="W256" s="140"/>
      <c r="X256" s="140"/>
      <c r="Y256" s="140"/>
      <c r="Z256" s="140"/>
      <c r="AA256" s="140"/>
      <c r="AB256" s="140"/>
      <c r="AC256" s="140"/>
      <c r="AD256" s="140"/>
    </row>
    <row r="257" spans="1:30" ht="11.25" customHeight="1" x14ac:dyDescent="0.25">
      <c r="A257" s="140"/>
      <c r="B257" s="151"/>
      <c r="C257" s="152" t="s">
        <v>240</v>
      </c>
      <c r="D257" s="242" t="s">
        <v>241</v>
      </c>
      <c r="E257" s="152" t="s">
        <v>439</v>
      </c>
      <c r="F257" s="161">
        <v>16700000</v>
      </c>
      <c r="G257" s="152" t="s">
        <v>437</v>
      </c>
      <c r="H257" s="174">
        <v>1055</v>
      </c>
      <c r="I257" s="152" t="s">
        <v>440</v>
      </c>
      <c r="J257" s="174">
        <v>17618.5</v>
      </c>
      <c r="K257" s="229">
        <v>1194.9676847353869</v>
      </c>
      <c r="L257" s="221">
        <v>1.9415586999999998E-2</v>
      </c>
      <c r="M257" s="241">
        <v>1.9415586999999999E-3</v>
      </c>
      <c r="N257" s="140"/>
      <c r="O257" s="140"/>
      <c r="P257" s="140"/>
      <c r="Q257" s="140"/>
      <c r="R257" s="140"/>
      <c r="S257" s="140"/>
      <c r="T257" s="140"/>
      <c r="U257" s="140"/>
      <c r="V257" s="140"/>
      <c r="W257" s="140"/>
      <c r="X257" s="140"/>
      <c r="Y257" s="140"/>
      <c r="Z257" s="140"/>
      <c r="AA257" s="140"/>
      <c r="AB257" s="140"/>
      <c r="AC257" s="140"/>
      <c r="AD257" s="140"/>
    </row>
    <row r="258" spans="1:30" ht="11.25" customHeight="1" x14ac:dyDescent="0.25">
      <c r="A258" s="140"/>
      <c r="B258" s="151"/>
      <c r="C258" s="152" t="s">
        <v>242</v>
      </c>
      <c r="D258" s="242" t="s">
        <v>243</v>
      </c>
      <c r="E258" s="152" t="s">
        <v>439</v>
      </c>
      <c r="F258" s="161">
        <v>19230000</v>
      </c>
      <c r="G258" s="152" t="s">
        <v>437</v>
      </c>
      <c r="H258" s="174">
        <v>1055</v>
      </c>
      <c r="I258" s="152" t="s">
        <v>440</v>
      </c>
      <c r="J258" s="174">
        <v>20287.650000000001</v>
      </c>
      <c r="K258" s="229">
        <v>1289.8146011875981</v>
      </c>
      <c r="L258" s="221">
        <v>2.2356990300000001E-2</v>
      </c>
      <c r="M258" s="241">
        <v>2.2356990300000002E-3</v>
      </c>
      <c r="N258" s="140"/>
      <c r="O258" s="140"/>
      <c r="P258" s="140"/>
      <c r="Q258" s="140"/>
      <c r="R258" s="140"/>
      <c r="S258" s="140"/>
      <c r="T258" s="140"/>
      <c r="U258" s="140"/>
      <c r="V258" s="140"/>
      <c r="W258" s="140"/>
      <c r="X258" s="140"/>
      <c r="Y258" s="140"/>
      <c r="Z258" s="140"/>
      <c r="AA258" s="140"/>
      <c r="AB258" s="140"/>
      <c r="AC258" s="140"/>
      <c r="AD258" s="140"/>
    </row>
    <row r="259" spans="1:30" ht="11.25" customHeight="1" x14ac:dyDescent="0.25">
      <c r="A259" s="140"/>
      <c r="B259" s="151"/>
      <c r="C259" s="152"/>
      <c r="D259" s="242" t="s">
        <v>244</v>
      </c>
      <c r="E259" s="152" t="s">
        <v>439</v>
      </c>
      <c r="F259" s="161">
        <v>20910000</v>
      </c>
      <c r="G259" s="152" t="s">
        <v>437</v>
      </c>
      <c r="H259" s="174">
        <v>1055</v>
      </c>
      <c r="I259" s="152" t="s">
        <v>440</v>
      </c>
      <c r="J259" s="174">
        <v>22060.05</v>
      </c>
      <c r="K259" s="229">
        <v>1402.4973120557813</v>
      </c>
      <c r="L259" s="221">
        <v>2.4310175099999998E-2</v>
      </c>
      <c r="M259" s="241">
        <v>2.4310175099999999E-3</v>
      </c>
      <c r="N259" s="140"/>
      <c r="O259" s="140"/>
      <c r="P259" s="140"/>
      <c r="Q259" s="140"/>
      <c r="R259" s="140"/>
      <c r="S259" s="140"/>
      <c r="T259" s="140"/>
      <c r="U259" s="140"/>
      <c r="V259" s="140"/>
      <c r="W259" s="140"/>
      <c r="X259" s="140"/>
      <c r="Y259" s="140"/>
      <c r="Z259" s="140"/>
      <c r="AA259" s="140"/>
      <c r="AB259" s="140"/>
      <c r="AC259" s="140"/>
      <c r="AD259" s="140"/>
    </row>
    <row r="260" spans="1:30" ht="11.25" customHeight="1" x14ac:dyDescent="0.25">
      <c r="A260" s="140"/>
      <c r="B260" s="151"/>
      <c r="C260" s="152" t="s">
        <v>245</v>
      </c>
      <c r="D260" s="242" t="s">
        <v>246</v>
      </c>
      <c r="E260" s="152" t="s">
        <v>439</v>
      </c>
      <c r="F260" s="161">
        <v>14970000</v>
      </c>
      <c r="G260" s="152" t="s">
        <v>437</v>
      </c>
      <c r="H260" s="174">
        <v>1055</v>
      </c>
      <c r="I260" s="152" t="s">
        <v>440</v>
      </c>
      <c r="J260" s="174">
        <v>15793.35</v>
      </c>
      <c r="K260" s="229">
        <v>1136.0491851404217</v>
      </c>
      <c r="L260" s="221">
        <v>1.7404271699999998E-2</v>
      </c>
      <c r="M260" s="241">
        <v>1.2519262020247446E-4</v>
      </c>
      <c r="N260" s="140"/>
      <c r="O260" s="140"/>
      <c r="P260" s="140"/>
      <c r="Q260" s="140"/>
      <c r="R260" s="140"/>
      <c r="S260" s="140"/>
      <c r="T260" s="140"/>
      <c r="U260" s="140"/>
      <c r="V260" s="140"/>
      <c r="W260" s="140"/>
      <c r="X260" s="140"/>
      <c r="Y260" s="140"/>
      <c r="Z260" s="140"/>
      <c r="AA260" s="140"/>
      <c r="AB260" s="140"/>
      <c r="AC260" s="140"/>
      <c r="AD260" s="140"/>
    </row>
    <row r="261" spans="1:30" ht="11.25" customHeight="1" x14ac:dyDescent="0.25">
      <c r="A261" s="140"/>
      <c r="B261" s="151"/>
      <c r="C261" s="152"/>
      <c r="D261" s="152"/>
      <c r="E261" s="152"/>
      <c r="F261" s="174"/>
      <c r="G261" s="152"/>
      <c r="H261" s="174"/>
      <c r="I261" s="152"/>
      <c r="J261" s="174"/>
      <c r="K261" s="174"/>
      <c r="L261" s="221"/>
      <c r="M261" s="154"/>
      <c r="N261" s="140"/>
      <c r="O261" s="140"/>
      <c r="P261" s="140"/>
      <c r="Q261" s="140"/>
      <c r="R261" s="140"/>
      <c r="S261" s="140"/>
      <c r="T261" s="140"/>
      <c r="U261" s="140"/>
      <c r="V261" s="140"/>
      <c r="W261" s="140"/>
      <c r="X261" s="140"/>
      <c r="Y261" s="140"/>
      <c r="Z261" s="140"/>
      <c r="AA261" s="140"/>
      <c r="AB261" s="140"/>
      <c r="AC261" s="140"/>
      <c r="AD261" s="140"/>
    </row>
    <row r="262" spans="1:30" ht="11.25" customHeight="1" x14ac:dyDescent="0.25">
      <c r="A262" s="140"/>
      <c r="B262" s="155"/>
      <c r="C262" s="190"/>
      <c r="D262" s="190"/>
      <c r="E262" s="190"/>
      <c r="F262" s="158"/>
      <c r="G262" s="190"/>
      <c r="H262" s="158"/>
      <c r="I262" s="190"/>
      <c r="J262" s="158"/>
      <c r="K262" s="158"/>
      <c r="L262" s="238"/>
      <c r="M262" s="208"/>
      <c r="N262" s="140"/>
      <c r="O262" s="140"/>
      <c r="P262" s="140"/>
      <c r="Q262" s="140"/>
      <c r="R262" s="140"/>
      <c r="S262" s="140"/>
      <c r="T262" s="140"/>
      <c r="U262" s="140"/>
      <c r="V262" s="140"/>
      <c r="W262" s="140"/>
      <c r="X262" s="140"/>
      <c r="Y262" s="140"/>
      <c r="Z262" s="140"/>
      <c r="AA262" s="140"/>
      <c r="AB262" s="140"/>
      <c r="AC262" s="140"/>
      <c r="AD262" s="140"/>
    </row>
    <row r="263" spans="1:30" ht="11.25" customHeight="1" x14ac:dyDescent="0.25">
      <c r="A263" s="140"/>
      <c r="B263" s="151" t="s">
        <v>253</v>
      </c>
      <c r="C263" s="301" t="s">
        <v>254</v>
      </c>
      <c r="D263" s="152"/>
      <c r="E263" s="152"/>
      <c r="F263" s="174"/>
      <c r="G263" s="152"/>
      <c r="H263" s="174"/>
      <c r="I263" s="152"/>
      <c r="J263" s="174"/>
      <c r="K263" s="174"/>
      <c r="L263" s="221"/>
      <c r="M263" s="154"/>
      <c r="N263" s="140"/>
      <c r="O263" s="140"/>
      <c r="P263" s="140"/>
      <c r="Q263" s="140"/>
      <c r="R263" s="140"/>
      <c r="S263" s="140"/>
      <c r="T263" s="140"/>
      <c r="U263" s="140"/>
      <c r="V263" s="140"/>
      <c r="W263" s="140"/>
      <c r="X263" s="140"/>
      <c r="Y263" s="140"/>
      <c r="Z263" s="140"/>
      <c r="AA263" s="140"/>
      <c r="AB263" s="140"/>
      <c r="AC263" s="140"/>
      <c r="AD263" s="140"/>
    </row>
    <row r="264" spans="1:30" ht="11.25" customHeight="1" x14ac:dyDescent="0.25">
      <c r="A264" s="140"/>
      <c r="B264" s="151"/>
      <c r="C264" s="152" t="s">
        <v>255</v>
      </c>
      <c r="D264" s="152" t="s">
        <v>256</v>
      </c>
      <c r="E264" s="152" t="s">
        <v>439</v>
      </c>
      <c r="F264" s="161">
        <v>3200000</v>
      </c>
      <c r="G264" s="152" t="s">
        <v>437</v>
      </c>
      <c r="H264" s="161">
        <v>1055</v>
      </c>
      <c r="I264" s="152" t="s">
        <v>438</v>
      </c>
      <c r="J264" s="174">
        <v>3376000</v>
      </c>
      <c r="K264" s="153">
        <v>386.74432899009236</v>
      </c>
      <c r="L264" s="224">
        <v>3.7203519999999997</v>
      </c>
      <c r="M264" s="248">
        <v>0.37203520000000001</v>
      </c>
      <c r="N264" s="140"/>
      <c r="O264" s="140"/>
      <c r="P264" s="140"/>
      <c r="Q264" s="140"/>
      <c r="R264" s="140"/>
      <c r="S264" s="140"/>
      <c r="T264" s="140"/>
      <c r="U264" s="140"/>
      <c r="V264" s="140"/>
      <c r="W264" s="140"/>
      <c r="X264" s="140"/>
      <c r="Y264" s="140"/>
      <c r="Z264" s="140"/>
      <c r="AA264" s="140"/>
      <c r="AB264" s="140"/>
      <c r="AC264" s="140"/>
      <c r="AD264" s="140"/>
    </row>
    <row r="265" spans="1:30" ht="11.25" customHeight="1" x14ac:dyDescent="0.25">
      <c r="A265" s="140"/>
      <c r="B265" s="151"/>
      <c r="C265" s="152"/>
      <c r="D265" s="152"/>
      <c r="E265" s="152"/>
      <c r="F265" s="153"/>
      <c r="G265" s="152"/>
      <c r="H265" s="174"/>
      <c r="I265" s="152"/>
      <c r="J265" s="152"/>
      <c r="K265" s="152"/>
      <c r="L265" s="152"/>
      <c r="M265" s="154"/>
      <c r="N265" s="140"/>
      <c r="O265" s="140"/>
      <c r="P265" s="140"/>
      <c r="Q265" s="140"/>
      <c r="R265" s="140"/>
      <c r="S265" s="140"/>
      <c r="T265" s="140"/>
      <c r="U265" s="140"/>
      <c r="V265" s="140"/>
      <c r="W265" s="140"/>
      <c r="X265" s="140"/>
      <c r="Y265" s="140"/>
      <c r="Z265" s="140"/>
      <c r="AA265" s="140"/>
      <c r="AB265" s="140"/>
      <c r="AC265" s="140"/>
      <c r="AD265" s="140"/>
    </row>
    <row r="266" spans="1:30" ht="11.25" customHeight="1" x14ac:dyDescent="0.25">
      <c r="A266" s="140"/>
      <c r="B266" s="155"/>
      <c r="C266" s="190"/>
      <c r="D266" s="190"/>
      <c r="E266" s="190"/>
      <c r="F266" s="191"/>
      <c r="G266" s="190"/>
      <c r="H266" s="158"/>
      <c r="I266" s="190"/>
      <c r="J266" s="190"/>
      <c r="K266" s="190"/>
      <c r="L266" s="190"/>
      <c r="M266" s="208"/>
      <c r="N266" s="140"/>
      <c r="O266" s="140"/>
      <c r="P266" s="140"/>
      <c r="Q266" s="140"/>
      <c r="R266" s="140"/>
      <c r="S266" s="140"/>
      <c r="T266" s="140"/>
      <c r="U266" s="140"/>
      <c r="V266" s="140"/>
      <c r="W266" s="140"/>
      <c r="X266" s="140"/>
      <c r="Y266" s="140"/>
      <c r="Z266" s="140"/>
      <c r="AA266" s="140"/>
      <c r="AB266" s="140"/>
      <c r="AC266" s="140"/>
      <c r="AD266" s="140"/>
    </row>
    <row r="267" spans="1:30" ht="11.25" customHeight="1" x14ac:dyDescent="0.25">
      <c r="A267" s="140"/>
      <c r="B267" s="151" t="s">
        <v>203</v>
      </c>
      <c r="C267" s="301" t="s">
        <v>204</v>
      </c>
      <c r="D267" s="152"/>
      <c r="E267" s="152"/>
      <c r="F267" s="174"/>
      <c r="G267" s="152"/>
      <c r="H267" s="174"/>
      <c r="I267" s="152"/>
      <c r="J267" s="174"/>
      <c r="K267" s="174"/>
      <c r="L267" s="221"/>
      <c r="M267" s="154"/>
      <c r="N267" s="140"/>
      <c r="O267" s="140"/>
      <c r="P267" s="140"/>
      <c r="Q267" s="140"/>
      <c r="R267" s="140"/>
      <c r="S267" s="140"/>
      <c r="T267" s="140"/>
      <c r="U267" s="140"/>
      <c r="V267" s="140"/>
      <c r="W267" s="140"/>
      <c r="X267" s="140"/>
      <c r="Y267" s="140"/>
      <c r="Z267" s="140"/>
      <c r="AA267" s="140"/>
      <c r="AB267" s="140"/>
      <c r="AC267" s="140"/>
      <c r="AD267" s="140"/>
    </row>
    <row r="268" spans="1:30" ht="11.25" customHeight="1" x14ac:dyDescent="0.25">
      <c r="A268" s="140"/>
      <c r="B268" s="151"/>
      <c r="C268" s="152" t="s">
        <v>405</v>
      </c>
      <c r="D268" s="152" t="s">
        <v>193</v>
      </c>
      <c r="E268" s="152" t="s">
        <v>439</v>
      </c>
      <c r="F268" s="161">
        <v>235570000</v>
      </c>
      <c r="G268" s="152" t="s">
        <v>437</v>
      </c>
      <c r="H268" s="251">
        <v>1.083</v>
      </c>
      <c r="I268" s="152" t="s">
        <v>443</v>
      </c>
      <c r="J268" s="153">
        <v>255122.31</v>
      </c>
      <c r="K268" s="225">
        <v>14453</v>
      </c>
      <c r="L268" s="316">
        <v>0.27400000000000002</v>
      </c>
      <c r="M268" s="227">
        <v>2.7E-2</v>
      </c>
      <c r="N268" s="140"/>
      <c r="O268" s="140"/>
      <c r="P268" s="140"/>
      <c r="Q268" s="140"/>
      <c r="R268" s="140"/>
      <c r="S268" s="140"/>
      <c r="T268" s="140"/>
      <c r="U268" s="140"/>
      <c r="V268" s="140"/>
      <c r="W268" s="140"/>
      <c r="X268" s="140"/>
      <c r="Y268" s="140"/>
      <c r="Z268" s="140"/>
      <c r="AA268" s="140"/>
      <c r="AB268" s="140"/>
      <c r="AC268" s="140"/>
      <c r="AD268" s="140"/>
    </row>
    <row r="269" spans="1:30" ht="11.25" customHeight="1" x14ac:dyDescent="0.25">
      <c r="A269" s="140"/>
      <c r="B269" s="151"/>
      <c r="C269" s="152" t="s">
        <v>444</v>
      </c>
      <c r="D269" s="152" t="s">
        <v>197</v>
      </c>
      <c r="E269" s="152" t="s">
        <v>445</v>
      </c>
      <c r="F269" s="161">
        <v>34250000</v>
      </c>
      <c r="G269" s="152" t="s">
        <v>437</v>
      </c>
      <c r="H269" s="152">
        <v>1.079</v>
      </c>
      <c r="I269" s="152" t="s">
        <v>443</v>
      </c>
      <c r="J269" s="153">
        <v>36955.75</v>
      </c>
      <c r="K269" s="229">
        <v>1874</v>
      </c>
      <c r="L269" s="230">
        <v>0.04</v>
      </c>
      <c r="M269" s="227">
        <v>4.0000000000000001E-3</v>
      </c>
      <c r="N269" s="140"/>
      <c r="O269" s="140"/>
      <c r="P269" s="140"/>
      <c r="Q269" s="140"/>
      <c r="R269" s="140"/>
      <c r="S269" s="140"/>
      <c r="T269" s="140"/>
      <c r="U269" s="140"/>
      <c r="V269" s="140"/>
      <c r="W269" s="140"/>
      <c r="X269" s="140"/>
      <c r="Y269" s="140"/>
      <c r="Z269" s="140"/>
      <c r="AA269" s="140"/>
      <c r="AB269" s="140"/>
      <c r="AC269" s="140"/>
      <c r="AD269" s="140"/>
    </row>
    <row r="270" spans="1:30" ht="11.25" customHeight="1" x14ac:dyDescent="0.25">
      <c r="A270" s="140"/>
      <c r="B270" s="151"/>
      <c r="C270" s="152" t="s">
        <v>205</v>
      </c>
      <c r="D270" s="152" t="s">
        <v>206</v>
      </c>
      <c r="E270" s="152" t="s">
        <v>445</v>
      </c>
      <c r="F270" s="161">
        <v>25690000</v>
      </c>
      <c r="G270" s="152" t="s">
        <v>437</v>
      </c>
      <c r="H270" s="251">
        <v>1.0780000000000001</v>
      </c>
      <c r="I270" s="152" t="s">
        <v>443</v>
      </c>
      <c r="J270" s="153">
        <v>27693.82</v>
      </c>
      <c r="K270" s="229">
        <v>2909.9081663132633</v>
      </c>
      <c r="L270" s="316">
        <v>0.03</v>
      </c>
      <c r="M270" s="227">
        <v>3.0000000000000001E-3</v>
      </c>
      <c r="N270" s="140"/>
      <c r="O270" s="140"/>
      <c r="P270" s="140"/>
      <c r="Q270" s="140"/>
      <c r="R270" s="140"/>
      <c r="S270" s="140"/>
      <c r="T270" s="140"/>
      <c r="U270" s="140"/>
      <c r="V270" s="140"/>
      <c r="W270" s="140"/>
      <c r="X270" s="140"/>
      <c r="Y270" s="140"/>
      <c r="Z270" s="140"/>
      <c r="AA270" s="140"/>
      <c r="AB270" s="140"/>
      <c r="AC270" s="140"/>
      <c r="AD270" s="140"/>
    </row>
    <row r="271" spans="1:30" ht="11.25" customHeight="1" x14ac:dyDescent="0.25">
      <c r="A271" s="140"/>
      <c r="B271" s="151"/>
      <c r="C271" s="152" t="s">
        <v>390</v>
      </c>
      <c r="D271" s="152" t="s">
        <v>407</v>
      </c>
      <c r="E271" s="152" t="s">
        <v>445</v>
      </c>
      <c r="F271" s="161">
        <v>49420000</v>
      </c>
      <c r="G271" s="152" t="s">
        <v>437</v>
      </c>
      <c r="H271" s="251">
        <v>1.0880000000000001</v>
      </c>
      <c r="I271" s="152" t="s">
        <v>443</v>
      </c>
      <c r="J271" s="153">
        <v>53768.960000000006</v>
      </c>
      <c r="K271" s="221">
        <v>3726.9682589862978</v>
      </c>
      <c r="L271" s="316">
        <v>5.8000000000000003E-2</v>
      </c>
      <c r="M271" s="227">
        <v>6.0000000000000001E-3</v>
      </c>
      <c r="N271" s="140"/>
      <c r="O271" s="140"/>
      <c r="P271" s="140"/>
      <c r="Q271" s="140"/>
      <c r="R271" s="140"/>
      <c r="S271" s="140"/>
      <c r="T271" s="140"/>
      <c r="U271" s="140"/>
      <c r="V271" s="140"/>
      <c r="W271" s="140"/>
      <c r="X271" s="140"/>
      <c r="Y271" s="140"/>
      <c r="Z271" s="140"/>
      <c r="AA271" s="140"/>
      <c r="AB271" s="140"/>
      <c r="AC271" s="140"/>
      <c r="AD271" s="140"/>
    </row>
    <row r="272" spans="1:30" ht="11.25" customHeight="1" x14ac:dyDescent="0.25">
      <c r="A272" s="140"/>
      <c r="B272" s="151"/>
      <c r="C272" s="152"/>
      <c r="D272" s="152"/>
      <c r="E272" s="152"/>
      <c r="F272" s="153"/>
      <c r="G272" s="152"/>
      <c r="H272" s="251"/>
      <c r="I272" s="152"/>
      <c r="J272" s="229"/>
      <c r="K272" s="254"/>
      <c r="L272" s="255"/>
      <c r="M272" s="154"/>
      <c r="N272" s="140"/>
      <c r="O272" s="140"/>
      <c r="P272" s="140"/>
      <c r="Q272" s="140"/>
      <c r="R272" s="140"/>
      <c r="S272" s="140"/>
      <c r="T272" s="140"/>
      <c r="U272" s="140"/>
      <c r="V272" s="140"/>
      <c r="W272" s="140"/>
      <c r="X272" s="140"/>
      <c r="Y272" s="140"/>
      <c r="Z272" s="140"/>
      <c r="AA272" s="140"/>
      <c r="AB272" s="140"/>
      <c r="AC272" s="140"/>
      <c r="AD272" s="140"/>
    </row>
    <row r="273" spans="1:30" ht="11.25" customHeight="1" x14ac:dyDescent="0.25">
      <c r="A273" s="140"/>
      <c r="B273" s="155"/>
      <c r="C273" s="190"/>
      <c r="D273" s="190"/>
      <c r="E273" s="190"/>
      <c r="F273" s="191"/>
      <c r="G273" s="190"/>
      <c r="H273" s="256"/>
      <c r="I273" s="190"/>
      <c r="J273" s="257"/>
      <c r="K273" s="258"/>
      <c r="L273" s="259"/>
      <c r="M273" s="208"/>
      <c r="N273" s="140"/>
      <c r="O273" s="140"/>
      <c r="P273" s="140"/>
      <c r="Q273" s="140"/>
      <c r="R273" s="140"/>
      <c r="S273" s="140"/>
      <c r="T273" s="140"/>
      <c r="U273" s="140"/>
      <c r="V273" s="140"/>
      <c r="W273" s="140"/>
      <c r="X273" s="140"/>
      <c r="Y273" s="140"/>
      <c r="Z273" s="140"/>
      <c r="AA273" s="140"/>
      <c r="AB273" s="140"/>
      <c r="AC273" s="140"/>
      <c r="AD273" s="140"/>
    </row>
    <row r="274" spans="1:30" ht="11.25" customHeight="1" x14ac:dyDescent="0.25">
      <c r="A274" s="140"/>
      <c r="B274" s="151" t="s">
        <v>261</v>
      </c>
      <c r="C274" s="179" t="s">
        <v>262</v>
      </c>
      <c r="D274" s="152"/>
      <c r="E274" s="152"/>
      <c r="F274" s="174"/>
      <c r="G274" s="152"/>
      <c r="H274" s="174"/>
      <c r="I274" s="152"/>
      <c r="J274" s="174"/>
      <c r="K274" s="174"/>
      <c r="L274" s="221"/>
      <c r="M274" s="154"/>
      <c r="N274" s="140"/>
      <c r="O274" s="140"/>
      <c r="P274" s="140"/>
      <c r="Q274" s="140"/>
      <c r="R274" s="140"/>
      <c r="S274" s="140"/>
      <c r="T274" s="140"/>
      <c r="U274" s="140"/>
      <c r="V274" s="140"/>
      <c r="W274" s="140"/>
      <c r="X274" s="140"/>
      <c r="Y274" s="140"/>
      <c r="Z274" s="140"/>
      <c r="AA274" s="140"/>
      <c r="AB274" s="140"/>
      <c r="AC274" s="140"/>
      <c r="AD274" s="140"/>
    </row>
    <row r="275" spans="1:30" ht="11.25" customHeight="1" x14ac:dyDescent="0.25">
      <c r="A275" s="140"/>
      <c r="B275" s="151"/>
      <c r="C275" s="152" t="s">
        <v>263</v>
      </c>
      <c r="D275" s="152" t="s">
        <v>264</v>
      </c>
      <c r="E275" s="152" t="s">
        <v>439</v>
      </c>
      <c r="F275" s="161">
        <v>959000000</v>
      </c>
      <c r="G275" s="152" t="s">
        <v>437</v>
      </c>
      <c r="H275" s="161">
        <v>1042</v>
      </c>
      <c r="I275" s="152" t="s">
        <v>446</v>
      </c>
      <c r="J275" s="174">
        <v>999278</v>
      </c>
      <c r="K275" s="174">
        <v>56980.261287520771</v>
      </c>
      <c r="L275" s="221">
        <v>1.2889186853737873</v>
      </c>
      <c r="M275" s="260">
        <v>0.15540154362662686</v>
      </c>
      <c r="N275" s="140"/>
      <c r="O275" s="140"/>
      <c r="P275" s="140"/>
      <c r="Q275" s="140"/>
      <c r="R275" s="140"/>
      <c r="S275" s="140"/>
      <c r="T275" s="140"/>
      <c r="U275" s="140"/>
      <c r="V275" s="140"/>
      <c r="W275" s="140"/>
      <c r="X275" s="140"/>
      <c r="Y275" s="140"/>
      <c r="Z275" s="140"/>
      <c r="AA275" s="140"/>
      <c r="AB275" s="140"/>
      <c r="AC275" s="140"/>
      <c r="AD275" s="140"/>
    </row>
    <row r="276" spans="1:30" ht="11.25" customHeight="1" x14ac:dyDescent="0.25">
      <c r="A276" s="140"/>
      <c r="B276" s="151"/>
      <c r="C276" s="152" t="s">
        <v>274</v>
      </c>
      <c r="D276" s="152" t="s">
        <v>447</v>
      </c>
      <c r="E276" s="152" t="s">
        <v>439</v>
      </c>
      <c r="F276" s="161">
        <v>511000000</v>
      </c>
      <c r="G276" s="152" t="s">
        <v>437</v>
      </c>
      <c r="H276" s="161">
        <v>1042</v>
      </c>
      <c r="I276" s="152" t="s">
        <v>446</v>
      </c>
      <c r="J276" s="174">
        <v>532462</v>
      </c>
      <c r="K276" s="174">
        <v>30361.745065613261</v>
      </c>
      <c r="L276" s="221">
        <v>0.58938898415426233</v>
      </c>
      <c r="M276" s="260">
        <v>5.9937862795348712E-2</v>
      </c>
      <c r="N276" s="140"/>
      <c r="O276" s="140"/>
      <c r="P276" s="140"/>
      <c r="Q276" s="140"/>
      <c r="R276" s="140"/>
      <c r="S276" s="140"/>
      <c r="T276" s="140"/>
      <c r="U276" s="140"/>
      <c r="V276" s="140"/>
      <c r="W276" s="140"/>
      <c r="X276" s="140"/>
      <c r="Y276" s="140"/>
      <c r="Z276" s="140"/>
      <c r="AA276" s="140"/>
      <c r="AB276" s="140"/>
      <c r="AC276" s="140"/>
      <c r="AD276" s="140"/>
    </row>
    <row r="277" spans="1:30" ht="11.25" customHeight="1" x14ac:dyDescent="0.25">
      <c r="A277" s="140"/>
      <c r="B277" s="151"/>
      <c r="C277" s="152" t="s">
        <v>276</v>
      </c>
      <c r="D277" s="152" t="s">
        <v>448</v>
      </c>
      <c r="E277" s="152" t="s">
        <v>439</v>
      </c>
      <c r="F277" s="161">
        <v>572000000</v>
      </c>
      <c r="G277" s="152" t="s">
        <v>437</v>
      </c>
      <c r="H277" s="161">
        <v>1042</v>
      </c>
      <c r="I277" s="152" t="s">
        <v>446</v>
      </c>
      <c r="J277" s="174">
        <v>596024</v>
      </c>
      <c r="K277" s="174">
        <v>33031.966552209669</v>
      </c>
      <c r="L277" s="221">
        <v>0.65924094116898646</v>
      </c>
      <c r="M277" s="260">
        <v>6.9919493760347048E-2</v>
      </c>
      <c r="N277" s="140"/>
      <c r="O277" s="140"/>
      <c r="P277" s="140"/>
      <c r="Q277" s="140"/>
      <c r="R277" s="140"/>
      <c r="S277" s="140"/>
      <c r="T277" s="140"/>
      <c r="U277" s="140"/>
      <c r="V277" s="140"/>
      <c r="W277" s="140"/>
      <c r="X277" s="140"/>
      <c r="Y277" s="140"/>
      <c r="Z277" s="140"/>
      <c r="AA277" s="140"/>
      <c r="AB277" s="140"/>
      <c r="AC277" s="140"/>
      <c r="AD277" s="140"/>
    </row>
    <row r="278" spans="1:30" ht="11.25" customHeight="1" x14ac:dyDescent="0.25">
      <c r="A278" s="140"/>
      <c r="B278" s="151"/>
      <c r="C278" s="152"/>
      <c r="D278" s="152"/>
      <c r="E278" s="152"/>
      <c r="F278" s="153"/>
      <c r="G278" s="152"/>
      <c r="H278" s="174"/>
      <c r="I278" s="152"/>
      <c r="J278" s="174"/>
      <c r="K278" s="229"/>
      <c r="L278" s="266"/>
      <c r="M278" s="154"/>
      <c r="N278" s="140"/>
      <c r="O278" s="140"/>
      <c r="P278" s="140"/>
      <c r="Q278" s="140"/>
      <c r="R278" s="140"/>
      <c r="S278" s="140"/>
      <c r="T278" s="140"/>
      <c r="U278" s="140"/>
      <c r="V278" s="140"/>
      <c r="W278" s="140"/>
      <c r="X278" s="140"/>
      <c r="Y278" s="140"/>
      <c r="Z278" s="140"/>
      <c r="AA278" s="140"/>
      <c r="AB278" s="140"/>
      <c r="AC278" s="140"/>
      <c r="AD278" s="140"/>
    </row>
    <row r="279" spans="1:30" ht="11.25" customHeight="1" x14ac:dyDescent="0.25">
      <c r="A279" s="140"/>
      <c r="B279" s="155"/>
      <c r="C279" s="190"/>
      <c r="D279" s="190"/>
      <c r="E279" s="190"/>
      <c r="F279" s="190"/>
      <c r="G279" s="190"/>
      <c r="H279" s="190"/>
      <c r="I279" s="190"/>
      <c r="J279" s="190"/>
      <c r="K279" s="190"/>
      <c r="L279" s="190"/>
      <c r="M279" s="208"/>
      <c r="N279" s="140"/>
      <c r="O279" s="140"/>
      <c r="P279" s="140"/>
      <c r="Q279" s="140"/>
      <c r="R279" s="140"/>
      <c r="S279" s="140"/>
      <c r="T279" s="140"/>
      <c r="U279" s="140"/>
      <c r="V279" s="140"/>
      <c r="W279" s="140"/>
      <c r="X279" s="140"/>
      <c r="Y279" s="140"/>
      <c r="Z279" s="140"/>
      <c r="AA279" s="140"/>
      <c r="AB279" s="140"/>
      <c r="AC279" s="140"/>
      <c r="AD279" s="140"/>
    </row>
    <row r="280" spans="1:30" ht="11.25" customHeight="1" x14ac:dyDescent="0.25">
      <c r="A280" s="140"/>
      <c r="B280" s="151" t="s">
        <v>449</v>
      </c>
      <c r="C280" s="301" t="s">
        <v>450</v>
      </c>
      <c r="D280" s="152"/>
      <c r="E280" s="152"/>
      <c r="F280" s="152"/>
      <c r="G280" s="152"/>
      <c r="H280" s="152"/>
      <c r="I280" s="152"/>
      <c r="J280" s="152"/>
      <c r="K280" s="152"/>
      <c r="L280" s="152"/>
      <c r="M280" s="154"/>
      <c r="N280" s="140"/>
      <c r="O280" s="140"/>
      <c r="P280" s="140"/>
      <c r="Q280" s="140"/>
      <c r="R280" s="140"/>
      <c r="S280" s="140"/>
      <c r="T280" s="140"/>
      <c r="U280" s="140"/>
      <c r="V280" s="140"/>
      <c r="W280" s="140"/>
      <c r="X280" s="140"/>
      <c r="Y280" s="140"/>
      <c r="Z280" s="140"/>
      <c r="AA280" s="140"/>
      <c r="AB280" s="140"/>
      <c r="AC280" s="140"/>
      <c r="AD280" s="140"/>
    </row>
    <row r="281" spans="1:30" ht="11.25" customHeight="1" x14ac:dyDescent="0.25">
      <c r="A281" s="140"/>
      <c r="B281" s="151"/>
      <c r="C281" s="152" t="s">
        <v>451</v>
      </c>
      <c r="D281" s="152" t="s">
        <v>452</v>
      </c>
      <c r="E281" s="152" t="s">
        <v>439</v>
      </c>
      <c r="F281" s="161">
        <v>59000000</v>
      </c>
      <c r="G281" s="152" t="s">
        <v>437</v>
      </c>
      <c r="H281" s="270">
        <v>1064</v>
      </c>
      <c r="I281" s="152" t="s">
        <v>453</v>
      </c>
      <c r="J281" s="229">
        <v>62776</v>
      </c>
      <c r="K281" s="243">
        <v>3191</v>
      </c>
      <c r="L281" s="279">
        <v>0.1</v>
      </c>
      <c r="M281" s="317">
        <v>0</v>
      </c>
      <c r="N281" s="140"/>
      <c r="O281" s="140"/>
      <c r="P281" s="140"/>
      <c r="Q281" s="140"/>
      <c r="R281" s="140"/>
      <c r="S281" s="140"/>
      <c r="T281" s="140"/>
      <c r="U281" s="140"/>
      <c r="V281" s="140"/>
      <c r="W281" s="140"/>
      <c r="X281" s="140"/>
      <c r="Y281" s="140"/>
      <c r="Z281" s="140"/>
      <c r="AA281" s="140"/>
      <c r="AB281" s="140"/>
      <c r="AC281" s="140"/>
      <c r="AD281" s="140"/>
    </row>
    <row r="282" spans="1:30" ht="11.25" customHeight="1" x14ac:dyDescent="0.25">
      <c r="A282" s="140"/>
      <c r="B282" s="151"/>
      <c r="C282" s="152"/>
      <c r="D282" s="152"/>
      <c r="E282" s="152"/>
      <c r="F282" s="152"/>
      <c r="G282" s="152"/>
      <c r="H282" s="152"/>
      <c r="I282" s="152"/>
      <c r="J282" s="152"/>
      <c r="K282" s="152"/>
      <c r="L282" s="152"/>
      <c r="M282" s="154"/>
      <c r="N282" s="140"/>
      <c r="O282" s="140"/>
      <c r="P282" s="140"/>
      <c r="Q282" s="140"/>
      <c r="R282" s="140"/>
      <c r="S282" s="140"/>
      <c r="T282" s="140"/>
      <c r="U282" s="140"/>
      <c r="V282" s="140"/>
      <c r="W282" s="140"/>
      <c r="X282" s="140"/>
      <c r="Y282" s="140"/>
      <c r="Z282" s="140"/>
      <c r="AA282" s="140"/>
      <c r="AB282" s="140"/>
      <c r="AC282" s="140"/>
      <c r="AD282" s="140"/>
    </row>
    <row r="283" spans="1:30" ht="11.25" customHeight="1" x14ac:dyDescent="0.25">
      <c r="A283" s="140"/>
      <c r="B283" s="155"/>
      <c r="C283" s="190"/>
      <c r="D283" s="190"/>
      <c r="E283" s="190"/>
      <c r="F283" s="190"/>
      <c r="G283" s="190"/>
      <c r="H283" s="190"/>
      <c r="I283" s="190"/>
      <c r="J283" s="190"/>
      <c r="K283" s="190"/>
      <c r="L283" s="190"/>
      <c r="M283" s="208"/>
      <c r="N283" s="140"/>
      <c r="O283" s="140"/>
      <c r="P283" s="140"/>
      <c r="Q283" s="140"/>
      <c r="R283" s="140"/>
      <c r="S283" s="140"/>
      <c r="T283" s="140"/>
      <c r="U283" s="140"/>
      <c r="V283" s="140"/>
      <c r="W283" s="140"/>
      <c r="X283" s="140"/>
      <c r="Y283" s="140"/>
      <c r="Z283" s="140"/>
      <c r="AA283" s="140"/>
      <c r="AB283" s="140"/>
      <c r="AC283" s="140"/>
      <c r="AD283" s="140"/>
    </row>
    <row r="284" spans="1:30" ht="11.25" customHeight="1" x14ac:dyDescent="0.25">
      <c r="A284" s="140"/>
      <c r="B284" s="151" t="s">
        <v>288</v>
      </c>
      <c r="C284" s="179" t="s">
        <v>289</v>
      </c>
      <c r="D284" s="152"/>
      <c r="E284" s="152"/>
      <c r="F284" s="152"/>
      <c r="G284" s="152"/>
      <c r="H284" s="152"/>
      <c r="I284" s="152"/>
      <c r="J284" s="152"/>
      <c r="K284" s="152"/>
      <c r="L284" s="152"/>
      <c r="M284" s="154"/>
      <c r="N284" s="140"/>
      <c r="O284" s="140"/>
      <c r="P284" s="140"/>
      <c r="Q284" s="140"/>
      <c r="R284" s="140"/>
      <c r="S284" s="140"/>
      <c r="T284" s="140"/>
      <c r="U284" s="140"/>
      <c r="V284" s="140"/>
      <c r="W284" s="140"/>
      <c r="X284" s="140"/>
      <c r="Y284" s="140"/>
      <c r="Z284" s="140"/>
      <c r="AA284" s="140"/>
      <c r="AB284" s="140"/>
      <c r="AC284" s="140"/>
      <c r="AD284" s="140"/>
    </row>
    <row r="285" spans="1:30" ht="11.25" customHeight="1" x14ac:dyDescent="0.25">
      <c r="A285" s="140"/>
      <c r="B285" s="151"/>
      <c r="C285" s="152" t="s">
        <v>290</v>
      </c>
      <c r="D285" s="152" t="s">
        <v>291</v>
      </c>
      <c r="E285" s="152" t="s">
        <v>439</v>
      </c>
      <c r="F285" s="194">
        <v>233933000</v>
      </c>
      <c r="G285" s="152" t="s">
        <v>437</v>
      </c>
      <c r="H285" s="194">
        <v>1049</v>
      </c>
      <c r="I285" s="152" t="s">
        <v>454</v>
      </c>
      <c r="J285" s="153">
        <v>245395.717</v>
      </c>
      <c r="K285" s="174">
        <v>19486.476319434783</v>
      </c>
      <c r="L285" s="278">
        <v>0.27050248642861813</v>
      </c>
      <c r="M285" s="239">
        <v>2.7050248642861815E-2</v>
      </c>
      <c r="N285" s="140"/>
      <c r="O285" s="140"/>
      <c r="P285" s="140"/>
      <c r="Q285" s="140"/>
      <c r="R285" s="140"/>
      <c r="S285" s="140"/>
      <c r="T285" s="140"/>
      <c r="U285" s="140"/>
      <c r="V285" s="140"/>
      <c r="W285" s="140"/>
      <c r="X285" s="140"/>
      <c r="Y285" s="140"/>
      <c r="Z285" s="140"/>
      <c r="AA285" s="140"/>
      <c r="AB285" s="140"/>
      <c r="AC285" s="140"/>
      <c r="AD285" s="140"/>
    </row>
    <row r="286" spans="1:30" ht="11.25" customHeight="1" x14ac:dyDescent="0.25">
      <c r="A286" s="140"/>
      <c r="B286" s="151"/>
      <c r="C286" s="152" t="s">
        <v>290</v>
      </c>
      <c r="D286" s="152" t="s">
        <v>292</v>
      </c>
      <c r="E286" s="152" t="s">
        <v>439</v>
      </c>
      <c r="F286" s="194">
        <v>144280000</v>
      </c>
      <c r="G286" s="152" t="s">
        <v>437</v>
      </c>
      <c r="H286" s="194">
        <v>1049</v>
      </c>
      <c r="I286" s="152" t="s">
        <v>454</v>
      </c>
      <c r="J286" s="153">
        <v>151349.72</v>
      </c>
      <c r="K286" s="174">
        <v>14099.681947505525</v>
      </c>
      <c r="L286" s="278">
        <v>0.16683451561738197</v>
      </c>
      <c r="M286" s="239">
        <v>1.66834515617382E-2</v>
      </c>
      <c r="N286" s="140"/>
      <c r="O286" s="140"/>
      <c r="P286" s="140"/>
      <c r="Q286" s="140"/>
      <c r="R286" s="140"/>
      <c r="S286" s="140"/>
      <c r="T286" s="140"/>
      <c r="U286" s="140"/>
      <c r="V286" s="140"/>
      <c r="W286" s="140"/>
      <c r="X286" s="140"/>
      <c r="Y286" s="140"/>
      <c r="Z286" s="140"/>
      <c r="AA286" s="140"/>
      <c r="AB286" s="140"/>
      <c r="AC286" s="140"/>
      <c r="AD286" s="140"/>
    </row>
    <row r="287" spans="1:30" ht="11.25" customHeight="1" x14ac:dyDescent="0.25">
      <c r="A287" s="140"/>
      <c r="B287" s="151"/>
      <c r="C287" s="152"/>
      <c r="D287" s="152"/>
      <c r="E287" s="152"/>
      <c r="F287" s="152"/>
      <c r="G287" s="152"/>
      <c r="H287" s="152"/>
      <c r="I287" s="152"/>
      <c r="J287" s="152"/>
      <c r="K287" s="152"/>
      <c r="L287" s="152"/>
      <c r="M287" s="154"/>
      <c r="N287" s="140"/>
      <c r="O287" s="140"/>
      <c r="P287" s="140"/>
      <c r="Q287" s="140"/>
      <c r="R287" s="140"/>
      <c r="S287" s="140"/>
      <c r="T287" s="140"/>
      <c r="U287" s="140"/>
      <c r="V287" s="140"/>
      <c r="W287" s="140"/>
      <c r="X287" s="140"/>
      <c r="Y287" s="140"/>
      <c r="Z287" s="140"/>
      <c r="AA287" s="140"/>
      <c r="AB287" s="140"/>
      <c r="AC287" s="140"/>
      <c r="AD287" s="140"/>
    </row>
    <row r="288" spans="1:30" ht="11.25" customHeight="1" x14ac:dyDescent="0.25">
      <c r="A288" s="140"/>
      <c r="B288" s="151"/>
      <c r="C288" s="152"/>
      <c r="D288" s="152"/>
      <c r="E288" s="152"/>
      <c r="F288" s="152"/>
      <c r="G288" s="152"/>
      <c r="H288" s="152"/>
      <c r="I288" s="152"/>
      <c r="J288" s="152"/>
      <c r="K288" s="152"/>
      <c r="L288" s="152"/>
      <c r="M288" s="219"/>
      <c r="N288" s="140"/>
      <c r="O288" s="140"/>
      <c r="P288" s="140"/>
      <c r="Q288" s="140"/>
      <c r="R288" s="140"/>
      <c r="S288" s="140"/>
      <c r="T288" s="140"/>
      <c r="U288" s="140"/>
      <c r="V288" s="140"/>
      <c r="W288" s="140"/>
      <c r="X288" s="140"/>
      <c r="Y288" s="140"/>
      <c r="Z288" s="140"/>
      <c r="AA288" s="140"/>
      <c r="AB288" s="140"/>
      <c r="AC288" s="140"/>
      <c r="AD288" s="140"/>
    </row>
    <row r="289" spans="1:30" ht="11.25" customHeight="1" x14ac:dyDescent="0.25">
      <c r="A289" s="140"/>
      <c r="B289" s="155"/>
      <c r="C289" s="190"/>
      <c r="D289" s="190"/>
      <c r="E289" s="190"/>
      <c r="F289" s="190"/>
      <c r="G289" s="190"/>
      <c r="H289" s="190"/>
      <c r="I289" s="190"/>
      <c r="J289" s="190"/>
      <c r="K289" s="190"/>
      <c r="L289" s="190"/>
      <c r="M289" s="208"/>
      <c r="N289" s="140"/>
      <c r="O289" s="140"/>
      <c r="P289" s="140"/>
      <c r="Q289" s="140"/>
      <c r="R289" s="140"/>
      <c r="S289" s="140"/>
      <c r="T289" s="140"/>
      <c r="U289" s="140"/>
      <c r="V289" s="140"/>
      <c r="W289" s="140"/>
      <c r="X289" s="140"/>
      <c r="Y289" s="140"/>
      <c r="Z289" s="140"/>
      <c r="AA289" s="140"/>
      <c r="AB289" s="140"/>
      <c r="AC289" s="140"/>
      <c r="AD289" s="140"/>
    </row>
    <row r="290" spans="1:30" ht="11.25" customHeight="1" x14ac:dyDescent="0.25">
      <c r="A290" s="140"/>
      <c r="B290" s="151" t="s">
        <v>307</v>
      </c>
      <c r="C290" s="179" t="s">
        <v>308</v>
      </c>
      <c r="D290" s="152"/>
      <c r="E290" s="152"/>
      <c r="F290" s="152"/>
      <c r="G290" s="152"/>
      <c r="H290" s="152"/>
      <c r="I290" s="152"/>
      <c r="J290" s="152"/>
      <c r="K290" s="152"/>
      <c r="L290" s="152"/>
      <c r="M290" s="154"/>
      <c r="N290" s="140"/>
      <c r="O290" s="140"/>
      <c r="P290" s="140"/>
      <c r="Q290" s="140"/>
      <c r="R290" s="140"/>
      <c r="S290" s="140"/>
      <c r="T290" s="140"/>
      <c r="U290" s="140"/>
      <c r="V290" s="140"/>
      <c r="W290" s="140"/>
      <c r="X290" s="140"/>
      <c r="Y290" s="140"/>
      <c r="Z290" s="140"/>
      <c r="AA290" s="140"/>
      <c r="AB290" s="140"/>
      <c r="AC290" s="140"/>
      <c r="AD290" s="140"/>
    </row>
    <row r="291" spans="1:30" ht="11.25" customHeight="1" x14ac:dyDescent="0.25">
      <c r="A291" s="140"/>
      <c r="B291" s="151"/>
      <c r="C291" s="152" t="s">
        <v>309</v>
      </c>
      <c r="D291" s="152" t="s">
        <v>193</v>
      </c>
      <c r="E291" s="152" t="s">
        <v>436</v>
      </c>
      <c r="F291" s="315">
        <v>2325286398.467433</v>
      </c>
      <c r="G291" s="152" t="s">
        <v>437</v>
      </c>
      <c r="H291" s="152">
        <v>1.044</v>
      </c>
      <c r="I291" s="152" t="s">
        <v>455</v>
      </c>
      <c r="J291" s="161">
        <v>2427599</v>
      </c>
      <c r="K291" s="221">
        <v>144366.32771896198</v>
      </c>
      <c r="L291" s="278">
        <v>10.380458594776925</v>
      </c>
      <c r="M291" s="260">
        <v>3.5932356674227819</v>
      </c>
      <c r="N291" s="140"/>
      <c r="O291" s="140"/>
      <c r="P291" s="140"/>
      <c r="Q291" s="140"/>
      <c r="R291" s="140"/>
      <c r="S291" s="140"/>
      <c r="T291" s="140"/>
      <c r="U291" s="140"/>
      <c r="V291" s="140"/>
      <c r="W291" s="140"/>
      <c r="X291" s="140"/>
      <c r="Y291" s="140"/>
      <c r="Z291" s="140"/>
      <c r="AA291" s="140"/>
      <c r="AB291" s="140"/>
      <c r="AC291" s="140"/>
      <c r="AD291" s="140"/>
    </row>
    <row r="292" spans="1:30" ht="11.25" customHeight="1" x14ac:dyDescent="0.25">
      <c r="A292" s="140"/>
      <c r="B292" s="151"/>
      <c r="C292" s="152" t="s">
        <v>312</v>
      </c>
      <c r="D292" s="152" t="s">
        <v>197</v>
      </c>
      <c r="E292" s="152" t="s">
        <v>436</v>
      </c>
      <c r="F292" s="153">
        <v>2337931034.4827585</v>
      </c>
      <c r="G292" s="152" t="s">
        <v>437</v>
      </c>
      <c r="H292" s="152">
        <v>1.044</v>
      </c>
      <c r="I292" s="152" t="s">
        <v>455</v>
      </c>
      <c r="J292" s="161">
        <v>2440800</v>
      </c>
      <c r="K292" s="221">
        <v>145151.59243983051</v>
      </c>
      <c r="L292" s="278">
        <v>10.480497206525712</v>
      </c>
      <c r="M292" s="260">
        <v>3.6931275870614422</v>
      </c>
      <c r="N292" s="140"/>
      <c r="O292" s="140"/>
      <c r="P292" s="140"/>
      <c r="Q292" s="140"/>
      <c r="R292" s="140"/>
      <c r="S292" s="140"/>
      <c r="T292" s="140"/>
      <c r="U292" s="140"/>
      <c r="V292" s="140"/>
      <c r="W292" s="140"/>
      <c r="X292" s="140"/>
      <c r="Y292" s="140"/>
      <c r="Z292" s="140"/>
      <c r="AA292" s="140"/>
      <c r="AB292" s="140"/>
      <c r="AC292" s="140"/>
      <c r="AD292" s="140"/>
    </row>
    <row r="293" spans="1:30" ht="11.25" customHeight="1" x14ac:dyDescent="0.25">
      <c r="A293" s="140"/>
      <c r="B293" s="151"/>
      <c r="C293" s="152"/>
      <c r="D293" s="152"/>
      <c r="E293" s="152"/>
      <c r="F293" s="152"/>
      <c r="G293" s="152"/>
      <c r="H293" s="152"/>
      <c r="I293" s="152"/>
      <c r="J293" s="152"/>
      <c r="K293" s="152"/>
      <c r="L293" s="152"/>
      <c r="M293" s="154"/>
      <c r="N293" s="140"/>
      <c r="O293" s="140"/>
      <c r="P293" s="140"/>
      <c r="Q293" s="140"/>
      <c r="R293" s="140"/>
      <c r="S293" s="140"/>
      <c r="T293" s="140"/>
      <c r="U293" s="140"/>
      <c r="V293" s="140"/>
      <c r="W293" s="140"/>
      <c r="X293" s="140"/>
      <c r="Y293" s="140"/>
      <c r="Z293" s="140"/>
      <c r="AA293" s="140"/>
      <c r="AB293" s="140"/>
      <c r="AC293" s="140"/>
      <c r="AD293" s="140"/>
    </row>
    <row r="294" spans="1:30" ht="11.25" customHeight="1" x14ac:dyDescent="0.25">
      <c r="A294" s="140"/>
      <c r="B294" s="155"/>
      <c r="C294" s="190"/>
      <c r="D294" s="190"/>
      <c r="E294" s="190"/>
      <c r="F294" s="190"/>
      <c r="G294" s="190"/>
      <c r="H294" s="190"/>
      <c r="I294" s="190"/>
      <c r="J294" s="190"/>
      <c r="K294" s="190"/>
      <c r="L294" s="190"/>
      <c r="M294" s="208"/>
      <c r="N294" s="140"/>
      <c r="O294" s="140"/>
      <c r="P294" s="140"/>
      <c r="Q294" s="140"/>
      <c r="R294" s="140"/>
      <c r="S294" s="140"/>
      <c r="T294" s="140"/>
      <c r="U294" s="140"/>
      <c r="V294" s="140"/>
      <c r="W294" s="140"/>
      <c r="X294" s="140"/>
      <c r="Y294" s="140"/>
      <c r="Z294" s="140"/>
      <c r="AA294" s="140"/>
      <c r="AB294" s="140"/>
      <c r="AC294" s="140"/>
      <c r="AD294" s="140"/>
    </row>
    <row r="295" spans="1:30" ht="11.25" customHeight="1" x14ac:dyDescent="0.25">
      <c r="A295" s="140"/>
      <c r="B295" s="151" t="s">
        <v>456</v>
      </c>
      <c r="C295" s="301" t="s">
        <v>457</v>
      </c>
      <c r="D295" s="152"/>
      <c r="E295" s="152"/>
      <c r="F295" s="152"/>
      <c r="G295" s="152"/>
      <c r="H295" s="152"/>
      <c r="I295" s="152"/>
      <c r="J295" s="152"/>
      <c r="K295" s="152"/>
      <c r="L295" s="152"/>
      <c r="M295" s="154"/>
      <c r="N295" s="140"/>
      <c r="O295" s="140"/>
      <c r="P295" s="140"/>
      <c r="Q295" s="140"/>
      <c r="R295" s="140"/>
      <c r="S295" s="140"/>
      <c r="T295" s="140"/>
      <c r="U295" s="140"/>
      <c r="V295" s="140"/>
      <c r="W295" s="140"/>
      <c r="X295" s="140"/>
      <c r="Y295" s="140"/>
      <c r="Z295" s="140"/>
      <c r="AA295" s="140"/>
      <c r="AB295" s="140"/>
      <c r="AC295" s="140"/>
      <c r="AD295" s="140"/>
    </row>
    <row r="296" spans="1:30" ht="11.25" customHeight="1" x14ac:dyDescent="0.25">
      <c r="A296" s="140"/>
      <c r="B296" s="151"/>
      <c r="C296" s="152" t="s">
        <v>451</v>
      </c>
      <c r="D296" s="152" t="s">
        <v>267</v>
      </c>
      <c r="E296" s="152" t="s">
        <v>439</v>
      </c>
      <c r="F296" s="209">
        <v>19140000</v>
      </c>
      <c r="G296" s="152" t="s">
        <v>437</v>
      </c>
      <c r="H296" s="194">
        <v>1049</v>
      </c>
      <c r="I296" s="152" t="s">
        <v>454</v>
      </c>
      <c r="J296" s="286">
        <v>20077.86</v>
      </c>
      <c r="K296" s="302">
        <v>1173</v>
      </c>
      <c r="L296" s="302">
        <v>0.02</v>
      </c>
      <c r="M296" s="318">
        <v>0</v>
      </c>
      <c r="N296" s="140"/>
      <c r="O296" s="140"/>
      <c r="P296" s="140"/>
      <c r="Q296" s="140"/>
      <c r="R296" s="140"/>
      <c r="S296" s="140"/>
      <c r="T296" s="140"/>
      <c r="U296" s="140"/>
      <c r="V296" s="140"/>
      <c r="W296" s="140"/>
      <c r="X296" s="140"/>
      <c r="Y296" s="140"/>
      <c r="Z296" s="140"/>
      <c r="AA296" s="140"/>
      <c r="AB296" s="140"/>
      <c r="AC296" s="140"/>
      <c r="AD296" s="140"/>
    </row>
    <row r="297" spans="1:30" ht="11.25" customHeight="1" x14ac:dyDescent="0.25">
      <c r="A297" s="140"/>
      <c r="B297" s="151"/>
      <c r="C297" s="152" t="s">
        <v>458</v>
      </c>
      <c r="D297" s="152" t="s">
        <v>269</v>
      </c>
      <c r="E297" s="152" t="s">
        <v>439</v>
      </c>
      <c r="F297" s="209">
        <v>20620000</v>
      </c>
      <c r="G297" s="152" t="s">
        <v>437</v>
      </c>
      <c r="H297" s="194">
        <v>1049</v>
      </c>
      <c r="I297" s="152" t="s">
        <v>454</v>
      </c>
      <c r="J297" s="286">
        <v>21630.38</v>
      </c>
      <c r="K297" s="302">
        <v>1264</v>
      </c>
      <c r="L297" s="302">
        <v>0.02</v>
      </c>
      <c r="M297" s="318">
        <v>0</v>
      </c>
      <c r="N297" s="140"/>
      <c r="O297" s="140"/>
      <c r="P297" s="140"/>
      <c r="Q297" s="140"/>
      <c r="R297" s="140"/>
      <c r="S297" s="140"/>
      <c r="T297" s="140"/>
      <c r="U297" s="140"/>
      <c r="V297" s="140"/>
      <c r="W297" s="140"/>
      <c r="X297" s="140"/>
      <c r="Y297" s="140"/>
      <c r="Z297" s="140"/>
      <c r="AA297" s="140"/>
      <c r="AB297" s="140"/>
      <c r="AC297" s="140"/>
      <c r="AD297" s="140"/>
    </row>
    <row r="298" spans="1:30" ht="11.25" customHeight="1" x14ac:dyDescent="0.25">
      <c r="A298" s="140"/>
      <c r="B298" s="151"/>
      <c r="C298" s="152" t="s">
        <v>459</v>
      </c>
      <c r="D298" s="152" t="s">
        <v>271</v>
      </c>
      <c r="E298" s="152" t="s">
        <v>439</v>
      </c>
      <c r="F298" s="209">
        <v>19020000</v>
      </c>
      <c r="G298" s="152" t="s">
        <v>437</v>
      </c>
      <c r="H298" s="194">
        <v>1049</v>
      </c>
      <c r="I298" s="152" t="s">
        <v>454</v>
      </c>
      <c r="J298" s="286">
        <v>19951.98</v>
      </c>
      <c r="K298" s="302">
        <v>1166</v>
      </c>
      <c r="L298" s="302">
        <v>0.02</v>
      </c>
      <c r="M298" s="318">
        <v>0</v>
      </c>
      <c r="N298" s="140"/>
      <c r="O298" s="140"/>
      <c r="P298" s="140"/>
      <c r="Q298" s="140"/>
      <c r="R298" s="140"/>
      <c r="S298" s="140"/>
      <c r="T298" s="140"/>
      <c r="U298" s="140"/>
      <c r="V298" s="140"/>
      <c r="W298" s="140"/>
      <c r="X298" s="140"/>
      <c r="Y298" s="140"/>
      <c r="Z298" s="140"/>
      <c r="AA298" s="140"/>
      <c r="AB298" s="140"/>
      <c r="AC298" s="140"/>
      <c r="AD298" s="140"/>
    </row>
    <row r="299" spans="1:30" ht="11.25" customHeight="1" x14ac:dyDescent="0.25">
      <c r="A299" s="140"/>
      <c r="B299" s="151"/>
      <c r="C299" s="152" t="s">
        <v>460</v>
      </c>
      <c r="D299" s="152" t="s">
        <v>273</v>
      </c>
      <c r="E299" s="152" t="s">
        <v>439</v>
      </c>
      <c r="F299" s="209">
        <v>18840000</v>
      </c>
      <c r="G299" s="152" t="s">
        <v>437</v>
      </c>
      <c r="H299" s="194">
        <v>1049</v>
      </c>
      <c r="I299" s="152" t="s">
        <v>454</v>
      </c>
      <c r="J299" s="286">
        <v>19763.16</v>
      </c>
      <c r="K299" s="302">
        <v>1155</v>
      </c>
      <c r="L299" s="302">
        <v>0.02</v>
      </c>
      <c r="M299" s="318">
        <v>0</v>
      </c>
      <c r="N299" s="140"/>
      <c r="O299" s="140"/>
      <c r="P299" s="140"/>
      <c r="Q299" s="140"/>
      <c r="R299" s="140"/>
      <c r="S299" s="140"/>
      <c r="T299" s="140"/>
      <c r="U299" s="140"/>
      <c r="V299" s="140"/>
      <c r="W299" s="140"/>
      <c r="X299" s="140"/>
      <c r="Y299" s="140"/>
      <c r="Z299" s="140"/>
      <c r="AA299" s="140"/>
      <c r="AB299" s="140"/>
      <c r="AC299" s="140"/>
      <c r="AD299" s="140"/>
    </row>
    <row r="300" spans="1:30" ht="11.25" customHeight="1" x14ac:dyDescent="0.25">
      <c r="A300" s="140"/>
      <c r="B300" s="151"/>
      <c r="C300" s="152" t="s">
        <v>461</v>
      </c>
      <c r="D300" s="152" t="s">
        <v>462</v>
      </c>
      <c r="E300" s="152" t="s">
        <v>439</v>
      </c>
      <c r="F300" s="263">
        <v>0</v>
      </c>
      <c r="G300" s="152" t="s">
        <v>437</v>
      </c>
      <c r="H300" s="270">
        <v>1049</v>
      </c>
      <c r="I300" s="152" t="s">
        <v>454</v>
      </c>
      <c r="J300" s="286">
        <v>0</v>
      </c>
      <c r="K300" s="302">
        <v>0</v>
      </c>
      <c r="L300" s="302">
        <v>0</v>
      </c>
      <c r="M300" s="318">
        <v>0</v>
      </c>
      <c r="N300" s="140"/>
      <c r="O300" s="140"/>
      <c r="P300" s="140"/>
      <c r="Q300" s="140"/>
      <c r="R300" s="140"/>
      <c r="S300" s="140"/>
      <c r="T300" s="140"/>
      <c r="U300" s="140"/>
      <c r="V300" s="140"/>
      <c r="W300" s="140"/>
      <c r="X300" s="140"/>
      <c r="Y300" s="140"/>
      <c r="Z300" s="140"/>
      <c r="AA300" s="140"/>
      <c r="AB300" s="140"/>
      <c r="AC300" s="140"/>
      <c r="AD300" s="140"/>
    </row>
    <row r="301" spans="1:30" ht="11.25" customHeight="1" x14ac:dyDescent="0.25">
      <c r="A301" s="140"/>
      <c r="B301" s="151"/>
      <c r="C301" s="152" t="s">
        <v>463</v>
      </c>
      <c r="D301" s="152" t="s">
        <v>464</v>
      </c>
      <c r="E301" s="152" t="s">
        <v>439</v>
      </c>
      <c r="F301" s="263">
        <v>0</v>
      </c>
      <c r="G301" s="152" t="s">
        <v>437</v>
      </c>
      <c r="H301" s="270">
        <v>1049</v>
      </c>
      <c r="I301" s="152" t="s">
        <v>454</v>
      </c>
      <c r="J301" s="286">
        <v>0</v>
      </c>
      <c r="K301" s="302">
        <v>0</v>
      </c>
      <c r="L301" s="302">
        <v>0</v>
      </c>
      <c r="M301" s="318">
        <v>0</v>
      </c>
      <c r="N301" s="140"/>
      <c r="O301" s="140"/>
      <c r="P301" s="140"/>
      <c r="Q301" s="140"/>
      <c r="R301" s="140"/>
      <c r="S301" s="140"/>
      <c r="T301" s="140"/>
      <c r="U301" s="140"/>
      <c r="V301" s="140"/>
      <c r="W301" s="140"/>
      <c r="X301" s="140"/>
      <c r="Y301" s="140"/>
      <c r="Z301" s="140"/>
      <c r="AA301" s="140"/>
      <c r="AB301" s="140"/>
      <c r="AC301" s="140"/>
      <c r="AD301" s="140"/>
    </row>
    <row r="302" spans="1:30" ht="11.25" customHeight="1" x14ac:dyDescent="0.25">
      <c r="A302" s="140"/>
      <c r="B302" s="151"/>
      <c r="C302" s="152" t="s">
        <v>465</v>
      </c>
      <c r="D302" s="152" t="s">
        <v>466</v>
      </c>
      <c r="E302" s="152" t="s">
        <v>439</v>
      </c>
      <c r="F302" s="263">
        <v>0</v>
      </c>
      <c r="G302" s="152" t="s">
        <v>437</v>
      </c>
      <c r="H302" s="270">
        <v>1049</v>
      </c>
      <c r="I302" s="152" t="s">
        <v>454</v>
      </c>
      <c r="J302" s="286">
        <v>0</v>
      </c>
      <c r="K302" s="302">
        <v>0</v>
      </c>
      <c r="L302" s="302">
        <v>0</v>
      </c>
      <c r="M302" s="318">
        <v>0</v>
      </c>
      <c r="N302" s="140"/>
      <c r="O302" s="140"/>
      <c r="P302" s="140"/>
      <c r="Q302" s="140"/>
      <c r="R302" s="140"/>
      <c r="S302" s="140"/>
      <c r="T302" s="140"/>
      <c r="U302" s="140"/>
      <c r="V302" s="140"/>
      <c r="W302" s="140"/>
      <c r="X302" s="140"/>
      <c r="Y302" s="140"/>
      <c r="Z302" s="140"/>
      <c r="AA302" s="140"/>
      <c r="AB302" s="140"/>
      <c r="AC302" s="140"/>
      <c r="AD302" s="140"/>
    </row>
    <row r="303" spans="1:30" ht="11.25" customHeight="1" x14ac:dyDescent="0.25">
      <c r="A303" s="140"/>
      <c r="B303" s="151"/>
      <c r="C303" s="152" t="s">
        <v>467</v>
      </c>
      <c r="D303" s="152" t="s">
        <v>468</v>
      </c>
      <c r="E303" s="152" t="s">
        <v>439</v>
      </c>
      <c r="F303" s="263">
        <v>0</v>
      </c>
      <c r="G303" s="152" t="s">
        <v>437</v>
      </c>
      <c r="H303" s="270">
        <v>1049</v>
      </c>
      <c r="I303" s="152" t="s">
        <v>454</v>
      </c>
      <c r="J303" s="286">
        <v>0</v>
      </c>
      <c r="K303" s="302">
        <v>0</v>
      </c>
      <c r="L303" s="302">
        <v>0</v>
      </c>
      <c r="M303" s="318">
        <v>0</v>
      </c>
      <c r="N303" s="140"/>
      <c r="O303" s="140"/>
      <c r="P303" s="140"/>
      <c r="Q303" s="140"/>
      <c r="R303" s="140"/>
      <c r="S303" s="140"/>
      <c r="T303" s="140"/>
      <c r="U303" s="140"/>
      <c r="V303" s="140"/>
      <c r="W303" s="140"/>
      <c r="X303" s="140"/>
      <c r="Y303" s="140"/>
      <c r="Z303" s="140"/>
      <c r="AA303" s="140"/>
      <c r="AB303" s="140"/>
      <c r="AC303" s="140"/>
      <c r="AD303" s="140"/>
    </row>
    <row r="304" spans="1:30" ht="11.25" customHeight="1" x14ac:dyDescent="0.25">
      <c r="A304" s="140"/>
      <c r="B304" s="151"/>
      <c r="C304" s="152"/>
      <c r="D304" s="152"/>
      <c r="E304" s="152"/>
      <c r="F304" s="152"/>
      <c r="G304" s="152"/>
      <c r="H304" s="270"/>
      <c r="I304" s="152"/>
      <c r="J304" s="152"/>
      <c r="K304" s="174"/>
      <c r="L304" s="152"/>
      <c r="M304" s="154"/>
      <c r="N304" s="140"/>
      <c r="O304" s="140"/>
      <c r="P304" s="140"/>
      <c r="Q304" s="140"/>
      <c r="R304" s="140"/>
      <c r="S304" s="140"/>
      <c r="T304" s="140"/>
      <c r="U304" s="140"/>
      <c r="V304" s="140"/>
      <c r="W304" s="140"/>
      <c r="X304" s="140"/>
      <c r="Y304" s="140"/>
      <c r="Z304" s="140"/>
      <c r="AA304" s="140"/>
      <c r="AB304" s="140"/>
      <c r="AC304" s="140"/>
      <c r="AD304" s="140"/>
    </row>
    <row r="305" spans="1:30" ht="11.25" customHeight="1" x14ac:dyDescent="0.25">
      <c r="A305" s="140"/>
      <c r="B305" s="155"/>
      <c r="C305" s="190"/>
      <c r="D305" s="190"/>
      <c r="E305" s="190"/>
      <c r="F305" s="190"/>
      <c r="G305" s="190"/>
      <c r="H305" s="190"/>
      <c r="I305" s="190"/>
      <c r="J305" s="190"/>
      <c r="K305" s="190"/>
      <c r="L305" s="190"/>
      <c r="M305" s="208"/>
      <c r="N305" s="140"/>
      <c r="O305" s="140"/>
      <c r="P305" s="140"/>
      <c r="Q305" s="140"/>
      <c r="R305" s="140"/>
      <c r="S305" s="140"/>
      <c r="T305" s="140"/>
      <c r="U305" s="140"/>
      <c r="V305" s="140"/>
      <c r="W305" s="140"/>
      <c r="X305" s="140"/>
      <c r="Y305" s="140"/>
      <c r="Z305" s="140"/>
      <c r="AA305" s="140"/>
      <c r="AB305" s="140"/>
      <c r="AC305" s="140"/>
      <c r="AD305" s="140"/>
    </row>
    <row r="306" spans="1:30" ht="11.25" customHeight="1" x14ac:dyDescent="0.25">
      <c r="A306" s="140"/>
      <c r="B306" s="151" t="s">
        <v>469</v>
      </c>
      <c r="C306" s="301" t="s">
        <v>470</v>
      </c>
      <c r="D306" s="152"/>
      <c r="E306" s="152"/>
      <c r="F306" s="152"/>
      <c r="G306" s="152"/>
      <c r="H306" s="152"/>
      <c r="I306" s="152"/>
      <c r="J306" s="152"/>
      <c r="K306" s="152"/>
      <c r="L306" s="152"/>
      <c r="M306" s="154"/>
      <c r="N306" s="140"/>
      <c r="O306" s="140"/>
      <c r="P306" s="140"/>
      <c r="Q306" s="140"/>
      <c r="R306" s="140"/>
      <c r="S306" s="140"/>
      <c r="T306" s="140"/>
      <c r="U306" s="140"/>
      <c r="V306" s="140"/>
      <c r="W306" s="140"/>
      <c r="X306" s="140"/>
      <c r="Y306" s="140"/>
      <c r="Z306" s="140"/>
      <c r="AA306" s="140"/>
      <c r="AB306" s="140"/>
      <c r="AC306" s="140"/>
      <c r="AD306" s="140"/>
    </row>
    <row r="307" spans="1:30" ht="11.25" customHeight="1" x14ac:dyDescent="0.25">
      <c r="A307" s="140"/>
      <c r="B307" s="151"/>
      <c r="C307" s="152" t="s">
        <v>471</v>
      </c>
      <c r="D307" s="152" t="s">
        <v>472</v>
      </c>
      <c r="E307" s="152" t="s">
        <v>436</v>
      </c>
      <c r="F307" s="161">
        <v>696907519.53125</v>
      </c>
      <c r="G307" s="152" t="s">
        <v>437</v>
      </c>
      <c r="H307" s="293">
        <v>1.024</v>
      </c>
      <c r="I307" s="152" t="s">
        <v>455</v>
      </c>
      <c r="J307" s="161">
        <v>713633.3</v>
      </c>
      <c r="K307" s="292">
        <v>39347.300000000003</v>
      </c>
      <c r="L307" s="287">
        <v>0.66</v>
      </c>
      <c r="M307" s="288">
        <v>7.0000000000000007E-2</v>
      </c>
      <c r="N307" s="140"/>
      <c r="O307" s="140"/>
      <c r="P307" s="140"/>
      <c r="Q307" s="140"/>
      <c r="R307" s="140"/>
      <c r="S307" s="140"/>
      <c r="T307" s="140"/>
      <c r="U307" s="140"/>
      <c r="V307" s="140"/>
      <c r="W307" s="140"/>
      <c r="X307" s="140"/>
      <c r="Y307" s="140"/>
      <c r="Z307" s="140"/>
      <c r="AA307" s="140"/>
      <c r="AB307" s="140"/>
      <c r="AC307" s="140"/>
      <c r="AD307" s="140"/>
    </row>
    <row r="308" spans="1:30" ht="11.25" customHeight="1" x14ac:dyDescent="0.25">
      <c r="A308" s="140"/>
      <c r="B308" s="151"/>
      <c r="C308" s="152" t="s">
        <v>473</v>
      </c>
      <c r="D308" s="152" t="s">
        <v>474</v>
      </c>
      <c r="E308" s="152" t="s">
        <v>436</v>
      </c>
      <c r="F308" s="161">
        <v>614216699.21875</v>
      </c>
      <c r="G308" s="152" t="s">
        <v>437</v>
      </c>
      <c r="H308" s="293">
        <v>1.024</v>
      </c>
      <c r="I308" s="152" t="s">
        <v>455</v>
      </c>
      <c r="J308" s="161">
        <v>628957.9</v>
      </c>
      <c r="K308" s="292">
        <v>34401.300000000003</v>
      </c>
      <c r="L308" s="287">
        <v>0.57999999999999996</v>
      </c>
      <c r="M308" s="288">
        <v>0.06</v>
      </c>
      <c r="N308" s="140"/>
      <c r="O308" s="140"/>
      <c r="P308" s="140"/>
      <c r="Q308" s="140"/>
      <c r="R308" s="140"/>
      <c r="S308" s="140"/>
      <c r="T308" s="140"/>
      <c r="U308" s="140"/>
      <c r="V308" s="140"/>
      <c r="W308" s="140"/>
      <c r="X308" s="140"/>
      <c r="Y308" s="140"/>
      <c r="Z308" s="140"/>
      <c r="AA308" s="140"/>
      <c r="AB308" s="140"/>
      <c r="AC308" s="140"/>
      <c r="AD308" s="140"/>
    </row>
    <row r="309" spans="1:30" ht="11.25" customHeight="1" x14ac:dyDescent="0.25">
      <c r="A309" s="140"/>
      <c r="B309" s="151"/>
      <c r="C309" s="152" t="s">
        <v>475</v>
      </c>
      <c r="D309" s="152" t="s">
        <v>476</v>
      </c>
      <c r="E309" s="152" t="s">
        <v>436</v>
      </c>
      <c r="F309" s="161">
        <v>849165527.34375</v>
      </c>
      <c r="G309" s="152" t="s">
        <v>437</v>
      </c>
      <c r="H309" s="293">
        <v>1.024</v>
      </c>
      <c r="I309" s="152" t="s">
        <v>455</v>
      </c>
      <c r="J309" s="161">
        <v>869545.5</v>
      </c>
      <c r="K309" s="292">
        <v>47759</v>
      </c>
      <c r="L309" s="287">
        <v>0.8</v>
      </c>
      <c r="M309" s="288">
        <v>0.08</v>
      </c>
      <c r="N309" s="140"/>
      <c r="O309" s="140"/>
      <c r="P309" s="140"/>
      <c r="Q309" s="140"/>
      <c r="R309" s="140"/>
      <c r="S309" s="140"/>
      <c r="T309" s="140"/>
      <c r="U309" s="140"/>
      <c r="V309" s="140"/>
      <c r="W309" s="140"/>
      <c r="X309" s="140"/>
      <c r="Y309" s="140"/>
      <c r="Z309" s="140"/>
      <c r="AA309" s="140"/>
      <c r="AB309" s="140"/>
      <c r="AC309" s="140"/>
      <c r="AD309" s="140"/>
    </row>
    <row r="310" spans="1:30" ht="11.25" customHeight="1" x14ac:dyDescent="0.25">
      <c r="A310" s="140"/>
      <c r="B310" s="151"/>
      <c r="C310" s="152" t="s">
        <v>477</v>
      </c>
      <c r="D310" s="152" t="s">
        <v>478</v>
      </c>
      <c r="E310" s="152" t="s">
        <v>436</v>
      </c>
      <c r="F310" s="161">
        <v>800467675.78125</v>
      </c>
      <c r="G310" s="152" t="s">
        <v>437</v>
      </c>
      <c r="H310" s="293">
        <v>1.024</v>
      </c>
      <c r="I310" s="152" t="s">
        <v>455</v>
      </c>
      <c r="J310" s="161">
        <v>819678.9</v>
      </c>
      <c r="K310" s="292">
        <v>45018.8</v>
      </c>
      <c r="L310" s="287">
        <v>0.76</v>
      </c>
      <c r="M310" s="288">
        <v>0.08</v>
      </c>
      <c r="N310" s="140"/>
      <c r="O310" s="140"/>
      <c r="P310" s="140"/>
      <c r="Q310" s="140"/>
      <c r="R310" s="140"/>
      <c r="S310" s="140"/>
      <c r="T310" s="140"/>
      <c r="U310" s="140"/>
      <c r="V310" s="140"/>
      <c r="W310" s="140"/>
      <c r="X310" s="140"/>
      <c r="Y310" s="140"/>
      <c r="Z310" s="140"/>
      <c r="AA310" s="140"/>
      <c r="AB310" s="140"/>
      <c r="AC310" s="140"/>
      <c r="AD310" s="140"/>
    </row>
    <row r="311" spans="1:30" ht="11.25" customHeight="1" x14ac:dyDescent="0.25">
      <c r="A311" s="140"/>
      <c r="B311" s="151"/>
      <c r="C311" s="152" t="s">
        <v>479</v>
      </c>
      <c r="D311" s="152" t="s">
        <v>480</v>
      </c>
      <c r="E311" s="152" t="s">
        <v>436</v>
      </c>
      <c r="F311" s="161">
        <v>5892578.125</v>
      </c>
      <c r="G311" s="152" t="s">
        <v>437</v>
      </c>
      <c r="H311" s="293">
        <v>1.024</v>
      </c>
      <c r="I311" s="152" t="s">
        <v>455</v>
      </c>
      <c r="J311" s="161">
        <v>6034</v>
      </c>
      <c r="K311" s="292">
        <v>350.8</v>
      </c>
      <c r="L311" s="287">
        <v>6.0000000000000001E-3</v>
      </c>
      <c r="M311" s="288">
        <v>1E-3</v>
      </c>
      <c r="N311" s="140"/>
      <c r="O311" s="140"/>
      <c r="P311" s="140"/>
      <c r="Q311" s="140"/>
      <c r="R311" s="140"/>
      <c r="S311" s="140"/>
      <c r="T311" s="140"/>
      <c r="U311" s="140"/>
      <c r="V311" s="140"/>
      <c r="W311" s="140"/>
      <c r="X311" s="140"/>
      <c r="Y311" s="140"/>
      <c r="Z311" s="140"/>
      <c r="AA311" s="140"/>
      <c r="AB311" s="140"/>
      <c r="AC311" s="140"/>
      <c r="AD311" s="140"/>
    </row>
    <row r="312" spans="1:30" ht="11.25" customHeight="1" x14ac:dyDescent="0.25">
      <c r="A312" s="140"/>
      <c r="B312" s="151"/>
      <c r="C312" s="152"/>
      <c r="D312" s="152"/>
      <c r="E312" s="152"/>
      <c r="F312" s="152"/>
      <c r="G312" s="152"/>
      <c r="H312" s="152"/>
      <c r="I312" s="152"/>
      <c r="J312" s="152"/>
      <c r="K312" s="152"/>
      <c r="L312" s="152"/>
      <c r="M312" s="154"/>
      <c r="N312" s="140"/>
      <c r="O312" s="140"/>
      <c r="P312" s="140"/>
      <c r="Q312" s="140"/>
      <c r="R312" s="140"/>
      <c r="S312" s="140"/>
      <c r="T312" s="140"/>
      <c r="U312" s="140"/>
      <c r="V312" s="140"/>
      <c r="W312" s="140"/>
      <c r="X312" s="140"/>
      <c r="Y312" s="140"/>
      <c r="Z312" s="140"/>
      <c r="AA312" s="140"/>
      <c r="AB312" s="140"/>
      <c r="AC312" s="140"/>
      <c r="AD312" s="140"/>
    </row>
    <row r="313" spans="1:30" ht="11.25" customHeight="1" x14ac:dyDescent="0.25">
      <c r="A313" s="140"/>
      <c r="B313" s="155"/>
      <c r="C313" s="190"/>
      <c r="D313" s="190"/>
      <c r="E313" s="190"/>
      <c r="F313" s="190"/>
      <c r="G313" s="190"/>
      <c r="H313" s="190"/>
      <c r="I313" s="190"/>
      <c r="J313" s="190"/>
      <c r="K313" s="190"/>
      <c r="L313" s="190"/>
      <c r="M313" s="208"/>
      <c r="N313" s="140"/>
      <c r="O313" s="140"/>
      <c r="P313" s="140"/>
      <c r="Q313" s="140"/>
      <c r="R313" s="140"/>
      <c r="S313" s="140"/>
      <c r="T313" s="140"/>
      <c r="U313" s="140"/>
      <c r="V313" s="140"/>
      <c r="W313" s="140"/>
      <c r="X313" s="140"/>
      <c r="Y313" s="140"/>
      <c r="Z313" s="140"/>
      <c r="AA313" s="140"/>
      <c r="AB313" s="140"/>
      <c r="AC313" s="140"/>
      <c r="AD313" s="140"/>
    </row>
    <row r="314" spans="1:30" ht="11.25" customHeight="1" x14ac:dyDescent="0.25">
      <c r="A314" s="140"/>
      <c r="B314" s="151" t="s">
        <v>360</v>
      </c>
      <c r="C314" s="179" t="s">
        <v>361</v>
      </c>
      <c r="D314" s="152"/>
      <c r="E314" s="152"/>
      <c r="F314" s="152"/>
      <c r="G314" s="152"/>
      <c r="H314" s="152"/>
      <c r="I314" s="152"/>
      <c r="J314" s="152"/>
      <c r="K314" s="152"/>
      <c r="L314" s="152"/>
      <c r="M314" s="154"/>
      <c r="N314" s="140"/>
      <c r="O314" s="140"/>
      <c r="P314" s="140"/>
      <c r="Q314" s="140"/>
      <c r="R314" s="140"/>
      <c r="S314" s="140"/>
      <c r="T314" s="140"/>
      <c r="U314" s="140"/>
      <c r="V314" s="140"/>
      <c r="W314" s="140"/>
      <c r="X314" s="140"/>
      <c r="Y314" s="140"/>
      <c r="Z314" s="140"/>
      <c r="AA314" s="140"/>
      <c r="AB314" s="140"/>
      <c r="AC314" s="140"/>
      <c r="AD314" s="140"/>
    </row>
    <row r="315" spans="1:30" ht="11.25" customHeight="1" x14ac:dyDescent="0.25">
      <c r="A315" s="140"/>
      <c r="B315" s="151"/>
      <c r="C315" s="232" t="s">
        <v>481</v>
      </c>
      <c r="D315" s="152" t="s">
        <v>482</v>
      </c>
      <c r="E315" s="152" t="s">
        <v>439</v>
      </c>
      <c r="F315" s="161">
        <v>217000</v>
      </c>
      <c r="G315" s="152" t="s">
        <v>437</v>
      </c>
      <c r="H315" s="293">
        <v>1.024</v>
      </c>
      <c r="I315" s="152" t="s">
        <v>455</v>
      </c>
      <c r="J315" s="286">
        <v>222.208</v>
      </c>
      <c r="K315" s="272">
        <v>13</v>
      </c>
      <c r="L315" s="272">
        <v>0</v>
      </c>
      <c r="M315" s="273">
        <v>0</v>
      </c>
      <c r="N315" s="140"/>
      <c r="O315" s="140"/>
      <c r="P315" s="140"/>
      <c r="Q315" s="140"/>
      <c r="R315" s="140"/>
      <c r="S315" s="140"/>
      <c r="T315" s="140"/>
      <c r="U315" s="140"/>
      <c r="V315" s="140"/>
      <c r="W315" s="140"/>
      <c r="X315" s="140"/>
      <c r="Y315" s="140"/>
      <c r="Z315" s="140"/>
      <c r="AA315" s="140"/>
      <c r="AB315" s="140"/>
      <c r="AC315" s="140"/>
      <c r="AD315" s="140"/>
    </row>
    <row r="316" spans="1:30" ht="11.25" customHeight="1" x14ac:dyDescent="0.25">
      <c r="A316" s="140"/>
      <c r="B316" s="166"/>
      <c r="C316" s="167"/>
      <c r="D316" s="167"/>
      <c r="E316" s="167"/>
      <c r="F316" s="167"/>
      <c r="G316" s="167"/>
      <c r="H316" s="167"/>
      <c r="I316" s="167"/>
      <c r="J316" s="167"/>
      <c r="K316" s="167"/>
      <c r="L316" s="167"/>
      <c r="M316" s="219"/>
      <c r="N316" s="140"/>
      <c r="O316" s="140"/>
      <c r="P316" s="140"/>
      <c r="Q316" s="140"/>
      <c r="R316" s="140"/>
      <c r="S316" s="140"/>
      <c r="T316" s="140"/>
      <c r="U316" s="140"/>
      <c r="V316" s="140"/>
      <c r="W316" s="140"/>
      <c r="X316" s="140"/>
      <c r="Y316" s="140"/>
      <c r="Z316" s="140"/>
      <c r="AA316" s="140"/>
      <c r="AB316" s="140"/>
      <c r="AC316" s="140"/>
      <c r="AD316" s="140"/>
    </row>
    <row r="317" spans="1:30" ht="11.25" customHeight="1" x14ac:dyDescent="0.25">
      <c r="A317" s="140"/>
      <c r="B317" s="151"/>
      <c r="C317" s="152"/>
      <c r="D317" s="152"/>
      <c r="E317" s="152"/>
      <c r="F317" s="152"/>
      <c r="G317" s="152"/>
      <c r="H317" s="152"/>
      <c r="I317" s="152"/>
      <c r="J317" s="152"/>
      <c r="K317" s="152"/>
      <c r="L317" s="152"/>
      <c r="M317" s="154"/>
      <c r="N317" s="140"/>
      <c r="O317" s="140"/>
      <c r="P317" s="140"/>
      <c r="Q317" s="140"/>
      <c r="R317" s="140"/>
      <c r="S317" s="140"/>
      <c r="T317" s="140"/>
      <c r="U317" s="140"/>
      <c r="V317" s="140"/>
      <c r="W317" s="140"/>
      <c r="X317" s="140"/>
      <c r="Y317" s="140"/>
      <c r="Z317" s="140"/>
      <c r="AA317" s="140"/>
      <c r="AB317" s="140"/>
      <c r="AC317" s="140"/>
      <c r="AD317" s="140"/>
    </row>
    <row r="318" spans="1:30" ht="11.25" customHeight="1" x14ac:dyDescent="0.25">
      <c r="A318" s="140"/>
      <c r="B318" s="151" t="s">
        <v>422</v>
      </c>
      <c r="C318" s="179" t="s">
        <v>423</v>
      </c>
      <c r="D318" s="152"/>
      <c r="E318" s="152"/>
      <c r="F318" s="152"/>
      <c r="G318" s="152"/>
      <c r="H318" s="152"/>
      <c r="I318" s="152"/>
      <c r="J318" s="152"/>
      <c r="K318" s="152"/>
      <c r="L318" s="152"/>
      <c r="M318" s="154"/>
      <c r="N318" s="140"/>
      <c r="O318" s="140"/>
      <c r="P318" s="140"/>
      <c r="Q318" s="140"/>
      <c r="R318" s="140"/>
      <c r="S318" s="140"/>
      <c r="T318" s="140"/>
      <c r="U318" s="140"/>
      <c r="V318" s="140"/>
      <c r="W318" s="140"/>
      <c r="X318" s="140"/>
      <c r="Y318" s="140"/>
      <c r="Z318" s="140"/>
      <c r="AA318" s="140"/>
      <c r="AB318" s="140"/>
      <c r="AC318" s="140"/>
      <c r="AD318" s="140"/>
    </row>
    <row r="319" spans="1:30" ht="11.25" customHeight="1" x14ac:dyDescent="0.25">
      <c r="A319" s="140"/>
      <c r="B319" s="151"/>
      <c r="C319" s="152" t="s">
        <v>467</v>
      </c>
      <c r="D319" s="152" t="s">
        <v>483</v>
      </c>
      <c r="E319" s="152" t="s">
        <v>439</v>
      </c>
      <c r="F319" s="161">
        <v>12714400000</v>
      </c>
      <c r="G319" s="152" t="s">
        <v>437</v>
      </c>
      <c r="H319" s="152">
        <v>1.0549999999999999</v>
      </c>
      <c r="I319" s="152" t="s">
        <v>484</v>
      </c>
      <c r="J319" s="243">
        <v>13413692</v>
      </c>
      <c r="K319" s="161">
        <v>829773</v>
      </c>
      <c r="L319" s="272">
        <v>14.8</v>
      </c>
      <c r="M319" s="307">
        <v>1.48</v>
      </c>
      <c r="N319" s="140"/>
      <c r="O319" s="140"/>
      <c r="P319" s="140"/>
      <c r="Q319" s="140"/>
      <c r="R319" s="140"/>
      <c r="S319" s="140"/>
      <c r="T319" s="140"/>
      <c r="U319" s="140"/>
      <c r="V319" s="140"/>
      <c r="W319" s="140"/>
      <c r="X319" s="140"/>
      <c r="Y319" s="140"/>
      <c r="Z319" s="140"/>
      <c r="AA319" s="140"/>
      <c r="AB319" s="140"/>
      <c r="AC319" s="140"/>
      <c r="AD319" s="140"/>
    </row>
    <row r="320" spans="1:30" ht="11.25" customHeight="1" x14ac:dyDescent="0.25">
      <c r="A320" s="140"/>
      <c r="B320" s="151"/>
      <c r="C320" s="152" t="s">
        <v>485</v>
      </c>
      <c r="D320" s="152" t="s">
        <v>486</v>
      </c>
      <c r="E320" s="152"/>
      <c r="F320" s="161">
        <v>11615600000</v>
      </c>
      <c r="G320" s="152" t="s">
        <v>437</v>
      </c>
      <c r="H320" s="152">
        <v>1.0549999999999999</v>
      </c>
      <c r="I320" s="152" t="s">
        <v>484</v>
      </c>
      <c r="J320" s="243">
        <v>12254458</v>
      </c>
      <c r="K320" s="161">
        <v>757235</v>
      </c>
      <c r="L320" s="272">
        <v>13.5</v>
      </c>
      <c r="M320" s="307">
        <v>1.35</v>
      </c>
      <c r="N320" s="140"/>
      <c r="O320" s="140"/>
      <c r="P320" s="140"/>
      <c r="Q320" s="140"/>
      <c r="R320" s="140"/>
      <c r="S320" s="140"/>
      <c r="T320" s="140"/>
      <c r="U320" s="140"/>
      <c r="V320" s="140"/>
      <c r="W320" s="140"/>
      <c r="X320" s="140"/>
      <c r="Y320" s="140"/>
      <c r="Z320" s="140"/>
      <c r="AA320" s="140"/>
      <c r="AB320" s="140"/>
      <c r="AC320" s="140"/>
      <c r="AD320" s="140"/>
    </row>
    <row r="321" spans="1:30" ht="11.25" customHeight="1" x14ac:dyDescent="0.25">
      <c r="A321" s="140"/>
      <c r="B321" s="151"/>
      <c r="C321" s="152" t="s">
        <v>487</v>
      </c>
      <c r="D321" s="152" t="s">
        <v>488</v>
      </c>
      <c r="E321" s="152"/>
      <c r="F321" s="161">
        <v>9023000</v>
      </c>
      <c r="G321" s="152" t="s">
        <v>437</v>
      </c>
      <c r="H321" s="152">
        <v>1.0549999999999999</v>
      </c>
      <c r="I321" s="152" t="s">
        <v>484</v>
      </c>
      <c r="J321" s="243">
        <v>9519</v>
      </c>
      <c r="K321" s="161">
        <v>565</v>
      </c>
      <c r="L321" s="272">
        <v>1.0500000000000001E-2</v>
      </c>
      <c r="M321" s="307">
        <v>1.0499999999999999E-3</v>
      </c>
      <c r="N321" s="140"/>
      <c r="O321" s="140"/>
      <c r="P321" s="140"/>
      <c r="Q321" s="140"/>
      <c r="R321" s="140"/>
      <c r="S321" s="140"/>
      <c r="T321" s="140"/>
      <c r="U321" s="140"/>
      <c r="V321" s="140"/>
      <c r="W321" s="140"/>
      <c r="X321" s="140"/>
      <c r="Y321" s="140"/>
      <c r="Z321" s="140"/>
      <c r="AA321" s="140"/>
      <c r="AB321" s="140"/>
      <c r="AC321" s="140"/>
      <c r="AD321" s="140"/>
    </row>
    <row r="322" spans="1:30" ht="11.25" customHeight="1" x14ac:dyDescent="0.25">
      <c r="A322" s="140"/>
      <c r="B322" s="151"/>
      <c r="C322" s="152" t="s">
        <v>489</v>
      </c>
      <c r="D322" s="152" t="s">
        <v>490</v>
      </c>
      <c r="E322" s="152"/>
      <c r="F322" s="161">
        <v>5154000</v>
      </c>
      <c r="G322" s="152" t="s">
        <v>437</v>
      </c>
      <c r="H322" s="152">
        <v>1.0549999999999999</v>
      </c>
      <c r="I322" s="152" t="s">
        <v>484</v>
      </c>
      <c r="J322" s="243">
        <v>5437</v>
      </c>
      <c r="K322" s="161">
        <v>318</v>
      </c>
      <c r="L322" s="272">
        <v>5.9899999999999997E-3</v>
      </c>
      <c r="M322" s="307">
        <v>5.9900000000000003E-4</v>
      </c>
      <c r="N322" s="140"/>
      <c r="O322" s="140"/>
      <c r="P322" s="140"/>
      <c r="Q322" s="140"/>
      <c r="R322" s="140"/>
      <c r="S322" s="140"/>
      <c r="T322" s="140"/>
      <c r="U322" s="140"/>
      <c r="V322" s="140"/>
      <c r="W322" s="140"/>
      <c r="X322" s="140"/>
      <c r="Y322" s="140"/>
      <c r="Z322" s="140"/>
      <c r="AA322" s="140"/>
      <c r="AB322" s="140"/>
      <c r="AC322" s="140"/>
      <c r="AD322" s="140"/>
    </row>
    <row r="323" spans="1:30" ht="11.25" customHeight="1" x14ac:dyDescent="0.25">
      <c r="A323" s="140"/>
      <c r="B323" s="151"/>
      <c r="C323" s="152"/>
      <c r="D323" s="152"/>
      <c r="E323" s="152"/>
      <c r="F323" s="152"/>
      <c r="G323" s="152"/>
      <c r="H323" s="152"/>
      <c r="I323" s="152"/>
      <c r="J323" s="152"/>
      <c r="K323" s="152"/>
      <c r="L323" s="152"/>
      <c r="M323" s="154"/>
      <c r="N323" s="140"/>
      <c r="O323" s="140"/>
      <c r="P323" s="140"/>
      <c r="Q323" s="140"/>
      <c r="R323" s="140"/>
      <c r="S323" s="140"/>
      <c r="T323" s="140"/>
      <c r="U323" s="140"/>
      <c r="V323" s="140"/>
      <c r="W323" s="140"/>
      <c r="X323" s="140"/>
      <c r="Y323" s="140"/>
      <c r="Z323" s="140"/>
      <c r="AA323" s="140"/>
      <c r="AB323" s="140"/>
      <c r="AC323" s="140"/>
      <c r="AD323" s="140"/>
    </row>
    <row r="324" spans="1:30" ht="11.25" customHeight="1" x14ac:dyDescent="0.25">
      <c r="A324" s="140"/>
      <c r="B324" s="155"/>
      <c r="C324" s="190"/>
      <c r="D324" s="190"/>
      <c r="E324" s="190"/>
      <c r="F324" s="190"/>
      <c r="G324" s="190"/>
      <c r="H324" s="190"/>
      <c r="I324" s="190"/>
      <c r="J324" s="158"/>
      <c r="K324" s="158"/>
      <c r="L324" s="158"/>
      <c r="M324" s="319"/>
      <c r="N324" s="140"/>
      <c r="O324" s="140"/>
      <c r="P324" s="140"/>
      <c r="Q324" s="140"/>
      <c r="R324" s="140"/>
      <c r="S324" s="140"/>
      <c r="T324" s="140"/>
      <c r="U324" s="140"/>
      <c r="V324" s="140"/>
      <c r="W324" s="140"/>
      <c r="X324" s="140"/>
      <c r="Y324" s="140"/>
      <c r="Z324" s="140"/>
      <c r="AA324" s="140"/>
      <c r="AB324" s="140"/>
      <c r="AC324" s="140"/>
      <c r="AD324" s="140"/>
    </row>
    <row r="325" spans="1:30" ht="11.25" customHeight="1" x14ac:dyDescent="0.25">
      <c r="A325" s="140"/>
      <c r="B325" s="151" t="s">
        <v>426</v>
      </c>
      <c r="C325" s="179" t="s">
        <v>427</v>
      </c>
      <c r="D325" s="152"/>
      <c r="E325" s="152"/>
      <c r="F325" s="152"/>
      <c r="G325" s="152"/>
      <c r="H325" s="152"/>
      <c r="I325" s="152"/>
      <c r="J325" s="152"/>
      <c r="K325" s="152"/>
      <c r="L325" s="152"/>
      <c r="M325" s="154"/>
      <c r="N325" s="140"/>
      <c r="O325" s="140"/>
      <c r="P325" s="140"/>
      <c r="Q325" s="140"/>
      <c r="R325" s="140"/>
      <c r="S325" s="140"/>
      <c r="T325" s="140"/>
      <c r="U325" s="140"/>
      <c r="V325" s="140"/>
      <c r="W325" s="140"/>
      <c r="X325" s="140"/>
      <c r="Y325" s="140"/>
      <c r="Z325" s="140"/>
      <c r="AA325" s="140"/>
      <c r="AB325" s="140"/>
      <c r="AC325" s="140"/>
      <c r="AD325" s="140"/>
    </row>
    <row r="326" spans="1:30" ht="11.25" customHeight="1" x14ac:dyDescent="0.25">
      <c r="A326" s="140"/>
      <c r="B326" s="151"/>
      <c r="C326" s="232" t="s">
        <v>491</v>
      </c>
      <c r="D326" s="152" t="s">
        <v>492</v>
      </c>
      <c r="E326" s="152" t="s">
        <v>439</v>
      </c>
      <c r="F326" s="161">
        <v>17013628568.627451</v>
      </c>
      <c r="G326" s="152" t="s">
        <v>437</v>
      </c>
      <c r="H326" s="320">
        <v>1.02</v>
      </c>
      <c r="I326" s="152" t="s">
        <v>484</v>
      </c>
      <c r="J326" s="243">
        <v>17353901.140000001</v>
      </c>
      <c r="K326" s="161">
        <v>1031320.21</v>
      </c>
      <c r="L326" s="293">
        <v>19.12</v>
      </c>
      <c r="M326" s="307">
        <v>1.91</v>
      </c>
      <c r="N326" s="140"/>
      <c r="O326" s="140"/>
      <c r="P326" s="140"/>
      <c r="Q326" s="140"/>
      <c r="R326" s="140"/>
      <c r="S326" s="140"/>
      <c r="T326" s="140"/>
      <c r="U326" s="140"/>
      <c r="V326" s="140"/>
      <c r="W326" s="140"/>
      <c r="X326" s="140"/>
      <c r="Y326" s="140"/>
      <c r="Z326" s="140"/>
      <c r="AA326" s="140"/>
      <c r="AB326" s="140"/>
      <c r="AC326" s="140"/>
      <c r="AD326" s="140"/>
    </row>
    <row r="327" spans="1:30" ht="11.25" customHeight="1" x14ac:dyDescent="0.25">
      <c r="A327" s="140"/>
      <c r="B327" s="151"/>
      <c r="C327" s="232" t="s">
        <v>493</v>
      </c>
      <c r="D327" s="152" t="s">
        <v>494</v>
      </c>
      <c r="E327" s="152"/>
      <c r="F327" s="161">
        <v>18422669039.215687</v>
      </c>
      <c r="G327" s="152" t="s">
        <v>437</v>
      </c>
      <c r="H327" s="320">
        <v>1.02</v>
      </c>
      <c r="I327" s="152" t="s">
        <v>484</v>
      </c>
      <c r="J327" s="243">
        <v>18791122.420000002</v>
      </c>
      <c r="K327" s="161">
        <v>1116731.74</v>
      </c>
      <c r="L327" s="293">
        <v>20.69</v>
      </c>
      <c r="M327" s="307">
        <v>2.0699999999999998</v>
      </c>
      <c r="N327" s="140"/>
      <c r="O327" s="140"/>
      <c r="P327" s="140"/>
      <c r="Q327" s="140"/>
      <c r="R327" s="140"/>
      <c r="S327" s="140"/>
      <c r="T327" s="140"/>
      <c r="U327" s="140"/>
      <c r="V327" s="140"/>
      <c r="W327" s="140"/>
      <c r="X327" s="140"/>
      <c r="Y327" s="140"/>
      <c r="Z327" s="140"/>
      <c r="AA327" s="140"/>
      <c r="AB327" s="140"/>
      <c r="AC327" s="140"/>
      <c r="AD327" s="140"/>
    </row>
    <row r="328" spans="1:30" ht="11.25" customHeight="1" x14ac:dyDescent="0.25">
      <c r="A328" s="140"/>
      <c r="B328" s="151"/>
      <c r="C328" s="232" t="s">
        <v>495</v>
      </c>
      <c r="D328" s="152" t="s">
        <v>496</v>
      </c>
      <c r="E328" s="152"/>
      <c r="F328" s="161">
        <v>2330647.0588235292</v>
      </c>
      <c r="G328" s="152" t="s">
        <v>437</v>
      </c>
      <c r="H328" s="320">
        <v>1.02</v>
      </c>
      <c r="I328" s="152" t="s">
        <v>484</v>
      </c>
      <c r="J328" s="243">
        <v>2377.2600000000002</v>
      </c>
      <c r="K328" s="161">
        <v>139.04</v>
      </c>
      <c r="L328" s="293">
        <v>2.5999999999999999E-3</v>
      </c>
      <c r="M328" s="307">
        <v>2.9999999999999997E-4</v>
      </c>
      <c r="N328" s="140"/>
      <c r="O328" s="140"/>
      <c r="P328" s="140"/>
      <c r="Q328" s="140"/>
      <c r="R328" s="140"/>
      <c r="S328" s="140"/>
      <c r="T328" s="140"/>
      <c r="U328" s="140"/>
      <c r="V328" s="140"/>
      <c r="W328" s="140"/>
      <c r="X328" s="140"/>
      <c r="Y328" s="140"/>
      <c r="Z328" s="140"/>
      <c r="AA328" s="140"/>
      <c r="AB328" s="140"/>
      <c r="AC328" s="140"/>
      <c r="AD328" s="140"/>
    </row>
    <row r="329" spans="1:30" ht="11.25" customHeight="1" x14ac:dyDescent="0.25">
      <c r="A329" s="140"/>
      <c r="B329" s="151"/>
      <c r="C329" s="152"/>
      <c r="D329" s="152"/>
      <c r="E329" s="152"/>
      <c r="F329" s="152"/>
      <c r="G329" s="152"/>
      <c r="H329" s="152"/>
      <c r="I329" s="152"/>
      <c r="J329" s="152"/>
      <c r="K329" s="152"/>
      <c r="L329" s="152"/>
      <c r="M329" s="154"/>
      <c r="N329" s="140"/>
      <c r="O329" s="140"/>
      <c r="P329" s="140"/>
      <c r="Q329" s="140"/>
      <c r="R329" s="140"/>
      <c r="S329" s="140"/>
      <c r="T329" s="140"/>
      <c r="U329" s="140"/>
      <c r="V329" s="140"/>
      <c r="W329" s="140"/>
      <c r="X329" s="140"/>
      <c r="Y329" s="140"/>
      <c r="Z329" s="140"/>
      <c r="AA329" s="140"/>
      <c r="AB329" s="140"/>
      <c r="AC329" s="140"/>
      <c r="AD329" s="140"/>
    </row>
    <row r="330" spans="1:30" ht="11.25" customHeight="1" x14ac:dyDescent="0.25">
      <c r="A330" s="140"/>
      <c r="B330" s="321"/>
      <c r="C330" s="322"/>
      <c r="D330" s="322"/>
      <c r="E330" s="322"/>
      <c r="F330" s="322"/>
      <c r="G330" s="322"/>
      <c r="H330" s="322"/>
      <c r="I330" s="322"/>
      <c r="J330" s="322"/>
      <c r="K330" s="322"/>
      <c r="L330" s="322"/>
      <c r="M330" s="323"/>
      <c r="N330" s="140"/>
      <c r="O330" s="140"/>
      <c r="P330" s="140"/>
      <c r="Q330" s="140"/>
      <c r="R330" s="140"/>
      <c r="S330" s="140"/>
      <c r="T330" s="140"/>
      <c r="U330" s="140"/>
      <c r="V330" s="140"/>
      <c r="W330" s="140"/>
      <c r="X330" s="140"/>
      <c r="Y330" s="140"/>
      <c r="Z330" s="140"/>
      <c r="AA330" s="140"/>
      <c r="AB330" s="140"/>
      <c r="AC330" s="140"/>
      <c r="AD330" s="140"/>
    </row>
    <row r="331" spans="1:30" ht="11.25" customHeight="1" x14ac:dyDescent="0.25">
      <c r="A331" s="140"/>
      <c r="B331" s="151" t="s">
        <v>497</v>
      </c>
      <c r="C331" s="179" t="s">
        <v>498</v>
      </c>
      <c r="D331" s="152"/>
      <c r="E331" s="152"/>
      <c r="F331" s="152"/>
      <c r="G331" s="152"/>
      <c r="H331" s="152"/>
      <c r="I331" s="152"/>
      <c r="J331" s="152"/>
      <c r="K331" s="152"/>
      <c r="L331" s="152"/>
      <c r="M331" s="154"/>
      <c r="N331" s="140"/>
      <c r="O331" s="140"/>
      <c r="P331" s="140"/>
      <c r="Q331" s="140"/>
      <c r="R331" s="140"/>
      <c r="S331" s="140"/>
      <c r="T331" s="140"/>
      <c r="U331" s="140"/>
      <c r="V331" s="140"/>
      <c r="W331" s="140"/>
      <c r="X331" s="140"/>
      <c r="Y331" s="140"/>
      <c r="Z331" s="140"/>
      <c r="AA331" s="140"/>
      <c r="AB331" s="140"/>
      <c r="AC331" s="140"/>
      <c r="AD331" s="140"/>
    </row>
    <row r="332" spans="1:30" ht="11.25" customHeight="1" x14ac:dyDescent="0.25">
      <c r="A332" s="140"/>
      <c r="B332" s="151"/>
      <c r="C332" s="232" t="s">
        <v>499</v>
      </c>
      <c r="D332" s="152" t="s">
        <v>500</v>
      </c>
      <c r="E332" s="152" t="s">
        <v>439</v>
      </c>
      <c r="F332" s="161">
        <v>9058457254.9019604</v>
      </c>
      <c r="G332" s="152" t="s">
        <v>437</v>
      </c>
      <c r="H332" s="320">
        <v>1.02</v>
      </c>
      <c r="I332" s="152" t="s">
        <v>484</v>
      </c>
      <c r="J332" s="243">
        <v>9239626.4000000004</v>
      </c>
      <c r="K332" s="161">
        <v>549113.1</v>
      </c>
      <c r="L332" s="293">
        <v>1.02</v>
      </c>
      <c r="M332" s="307">
        <v>10.18</v>
      </c>
      <c r="N332" s="140"/>
      <c r="O332" s="140"/>
      <c r="P332" s="140"/>
      <c r="Q332" s="140"/>
      <c r="R332" s="140"/>
      <c r="S332" s="140"/>
      <c r="T332" s="140"/>
      <c r="U332" s="140"/>
      <c r="V332" s="140"/>
      <c r="W332" s="140"/>
      <c r="X332" s="140"/>
      <c r="Y332" s="140"/>
      <c r="Z332" s="140"/>
      <c r="AA332" s="140"/>
      <c r="AB332" s="140"/>
      <c r="AC332" s="140"/>
      <c r="AD332" s="140"/>
    </row>
    <row r="333" spans="1:30" ht="11.25" customHeight="1" x14ac:dyDescent="0.25">
      <c r="A333" s="140"/>
      <c r="B333" s="151"/>
      <c r="C333" s="232" t="s">
        <v>501</v>
      </c>
      <c r="D333" s="152" t="s">
        <v>502</v>
      </c>
      <c r="E333" s="152" t="s">
        <v>439</v>
      </c>
      <c r="F333" s="161">
        <v>9623423039.2156868</v>
      </c>
      <c r="G333" s="152" t="s">
        <v>437</v>
      </c>
      <c r="H333" s="320">
        <v>1.02</v>
      </c>
      <c r="I333" s="152" t="s">
        <v>484</v>
      </c>
      <c r="J333" s="243">
        <v>9815891.5</v>
      </c>
      <c r="K333" s="161">
        <v>580383.17000000004</v>
      </c>
      <c r="L333" s="293">
        <v>1.08</v>
      </c>
      <c r="M333" s="307">
        <v>10.82</v>
      </c>
      <c r="N333" s="140"/>
      <c r="O333" s="140"/>
      <c r="P333" s="140"/>
      <c r="Q333" s="140"/>
      <c r="R333" s="140"/>
      <c r="S333" s="140"/>
      <c r="T333" s="140"/>
      <c r="U333" s="140"/>
      <c r="V333" s="140"/>
      <c r="W333" s="140"/>
      <c r="X333" s="140"/>
      <c r="Y333" s="140"/>
      <c r="Z333" s="140"/>
      <c r="AA333" s="140"/>
      <c r="AB333" s="140"/>
      <c r="AC333" s="140"/>
      <c r="AD333" s="140"/>
    </row>
    <row r="334" spans="1:30" ht="11.25" customHeight="1" x14ac:dyDescent="0.25">
      <c r="A334" s="140"/>
      <c r="B334" s="151"/>
      <c r="C334" s="232" t="s">
        <v>499</v>
      </c>
      <c r="D334" s="152" t="s">
        <v>503</v>
      </c>
      <c r="E334" s="152" t="s">
        <v>439</v>
      </c>
      <c r="F334" s="161">
        <v>829230784.31372547</v>
      </c>
      <c r="G334" s="152" t="s">
        <v>437</v>
      </c>
      <c r="H334" s="320">
        <v>1.02</v>
      </c>
      <c r="I334" s="152" t="s">
        <v>484</v>
      </c>
      <c r="J334" s="243">
        <v>845815.4</v>
      </c>
      <c r="K334" s="161">
        <v>50267</v>
      </c>
      <c r="L334" s="293">
        <v>0.09</v>
      </c>
      <c r="M334" s="307">
        <v>0.93</v>
      </c>
      <c r="N334" s="140"/>
      <c r="O334" s="140"/>
      <c r="P334" s="140"/>
      <c r="Q334" s="140"/>
      <c r="R334" s="140"/>
      <c r="S334" s="140"/>
      <c r="T334" s="140"/>
      <c r="U334" s="140"/>
      <c r="V334" s="140"/>
      <c r="W334" s="140"/>
      <c r="X334" s="140"/>
      <c r="Y334" s="140"/>
      <c r="Z334" s="140"/>
      <c r="AA334" s="140"/>
      <c r="AB334" s="140"/>
      <c r="AC334" s="140"/>
      <c r="AD334" s="140"/>
    </row>
    <row r="335" spans="1:30" ht="11.25" customHeight="1" x14ac:dyDescent="0.25">
      <c r="A335" s="140"/>
      <c r="B335" s="151"/>
      <c r="C335" s="232" t="s">
        <v>504</v>
      </c>
      <c r="D335" s="152" t="s">
        <v>505</v>
      </c>
      <c r="E335" s="152" t="s">
        <v>439</v>
      </c>
      <c r="F335" s="161">
        <v>905049607.84313726</v>
      </c>
      <c r="G335" s="152" t="s">
        <v>437</v>
      </c>
      <c r="H335" s="320">
        <v>1.02</v>
      </c>
      <c r="I335" s="152" t="s">
        <v>484</v>
      </c>
      <c r="J335" s="306">
        <v>923150.6</v>
      </c>
      <c r="K335" s="161">
        <v>54583.03</v>
      </c>
      <c r="L335" s="293">
        <v>0.1</v>
      </c>
      <c r="M335" s="307">
        <v>1.02</v>
      </c>
      <c r="N335" s="140"/>
      <c r="O335" s="140"/>
      <c r="P335" s="140"/>
      <c r="Q335" s="140"/>
      <c r="R335" s="140"/>
      <c r="S335" s="140"/>
      <c r="T335" s="140"/>
      <c r="U335" s="140"/>
      <c r="V335" s="140"/>
      <c r="W335" s="140"/>
      <c r="X335" s="140"/>
      <c r="Y335" s="140"/>
      <c r="Z335" s="140"/>
      <c r="AA335" s="140"/>
      <c r="AB335" s="140"/>
      <c r="AC335" s="140"/>
      <c r="AD335" s="140"/>
    </row>
    <row r="336" spans="1:30" ht="11.25" customHeight="1" x14ac:dyDescent="0.25">
      <c r="A336" s="140"/>
      <c r="B336" s="151"/>
      <c r="C336" s="232" t="s">
        <v>506</v>
      </c>
      <c r="D336" s="152" t="s">
        <v>496</v>
      </c>
      <c r="E336" s="152" t="s">
        <v>439</v>
      </c>
      <c r="F336" s="161">
        <v>6878490.1960784309</v>
      </c>
      <c r="G336" s="152" t="s">
        <v>437</v>
      </c>
      <c r="H336" s="320">
        <v>1.02</v>
      </c>
      <c r="I336" s="152" t="s">
        <v>484</v>
      </c>
      <c r="J336" s="290">
        <v>7016.06</v>
      </c>
      <c r="K336" s="161">
        <v>410</v>
      </c>
      <c r="L336" s="235">
        <v>7.7300000000000003E-4</v>
      </c>
      <c r="M336" s="307">
        <v>7.7299999999999999E-3</v>
      </c>
      <c r="N336" s="140"/>
      <c r="O336" s="140"/>
      <c r="P336" s="140"/>
      <c r="Q336" s="140"/>
      <c r="R336" s="140"/>
      <c r="S336" s="140"/>
      <c r="T336" s="140"/>
      <c r="U336" s="140"/>
      <c r="V336" s="140"/>
      <c r="W336" s="140"/>
      <c r="X336" s="140"/>
      <c r="Y336" s="140"/>
      <c r="Z336" s="140"/>
      <c r="AA336" s="140"/>
      <c r="AB336" s="140"/>
      <c r="AC336" s="140"/>
      <c r="AD336" s="140"/>
    </row>
    <row r="337" spans="1:30" ht="11.25" customHeight="1" x14ac:dyDescent="0.25">
      <c r="A337" s="140"/>
      <c r="B337" s="151"/>
      <c r="C337" s="324" t="s">
        <v>507</v>
      </c>
      <c r="D337" s="152" t="s">
        <v>508</v>
      </c>
      <c r="E337" s="152" t="s">
        <v>439</v>
      </c>
      <c r="F337" s="161">
        <v>2677215.6862745099</v>
      </c>
      <c r="G337" s="152" t="s">
        <v>437</v>
      </c>
      <c r="H337" s="320">
        <v>1.02</v>
      </c>
      <c r="I337" s="152" t="s">
        <v>484</v>
      </c>
      <c r="J337" s="290">
        <v>2730.76</v>
      </c>
      <c r="K337" s="161">
        <v>159.6</v>
      </c>
      <c r="L337" s="235">
        <v>3.01E-4</v>
      </c>
      <c r="M337" s="307">
        <v>3.0100000000000001E-3</v>
      </c>
      <c r="N337" s="140"/>
      <c r="O337" s="140"/>
      <c r="P337" s="140"/>
      <c r="Q337" s="140"/>
      <c r="R337" s="140"/>
      <c r="S337" s="140"/>
      <c r="T337" s="140"/>
      <c r="U337" s="140"/>
      <c r="V337" s="140"/>
      <c r="W337" s="140"/>
      <c r="X337" s="140"/>
      <c r="Y337" s="140"/>
      <c r="Z337" s="140"/>
      <c r="AA337" s="140"/>
      <c r="AB337" s="140"/>
      <c r="AC337" s="140"/>
      <c r="AD337" s="140"/>
    </row>
    <row r="338" spans="1:30" ht="11.25" customHeight="1" x14ac:dyDescent="0.25">
      <c r="A338" s="140"/>
      <c r="B338" s="151"/>
      <c r="C338" s="324" t="s">
        <v>507</v>
      </c>
      <c r="D338" s="152" t="s">
        <v>429</v>
      </c>
      <c r="E338" s="152" t="s">
        <v>439</v>
      </c>
      <c r="F338" s="161">
        <v>52911.76470588235</v>
      </c>
      <c r="G338" s="152" t="s">
        <v>437</v>
      </c>
      <c r="H338" s="320">
        <v>1.02</v>
      </c>
      <c r="I338" s="152" t="s">
        <v>484</v>
      </c>
      <c r="J338" s="290">
        <v>53.97</v>
      </c>
      <c r="K338" s="161">
        <v>4.4000000000000004</v>
      </c>
      <c r="L338" s="235">
        <v>1.7799999999999999E-4</v>
      </c>
      <c r="M338" s="307">
        <v>3.57E-5</v>
      </c>
      <c r="N338" s="140"/>
      <c r="O338" s="140"/>
      <c r="P338" s="140"/>
      <c r="Q338" s="140"/>
      <c r="R338" s="140"/>
      <c r="S338" s="140"/>
      <c r="T338" s="140"/>
      <c r="U338" s="140"/>
      <c r="V338" s="140"/>
      <c r="W338" s="140"/>
      <c r="X338" s="140"/>
      <c r="Y338" s="140"/>
      <c r="Z338" s="140"/>
      <c r="AA338" s="140"/>
      <c r="AB338" s="140"/>
      <c r="AC338" s="140"/>
      <c r="AD338" s="140"/>
    </row>
    <row r="339" spans="1:30" ht="11.25" customHeight="1" x14ac:dyDescent="0.25">
      <c r="A339" s="140"/>
      <c r="B339" s="151"/>
      <c r="C339" s="324"/>
      <c r="D339" s="152"/>
      <c r="E339" s="152"/>
      <c r="F339" s="161"/>
      <c r="G339" s="152"/>
      <c r="H339" s="320"/>
      <c r="I339" s="152"/>
      <c r="J339" s="290"/>
      <c r="K339" s="161"/>
      <c r="L339" s="235"/>
      <c r="M339" s="307"/>
      <c r="N339" s="140"/>
      <c r="O339" s="140"/>
      <c r="P339" s="140"/>
      <c r="Q339" s="140"/>
      <c r="R339" s="140"/>
      <c r="S339" s="140"/>
      <c r="T339" s="140"/>
      <c r="U339" s="140"/>
      <c r="V339" s="140"/>
      <c r="W339" s="140"/>
      <c r="X339" s="140"/>
      <c r="Y339" s="140"/>
      <c r="Z339" s="140"/>
      <c r="AA339" s="140"/>
      <c r="AB339" s="140"/>
      <c r="AC339" s="140"/>
      <c r="AD339" s="140"/>
    </row>
    <row r="340" spans="1:30" ht="11.25" customHeight="1" x14ac:dyDescent="0.25">
      <c r="A340" s="140"/>
      <c r="B340" s="151"/>
      <c r="C340" s="324"/>
      <c r="D340" s="152"/>
      <c r="E340" s="152"/>
      <c r="F340" s="161"/>
      <c r="G340" s="152"/>
      <c r="H340" s="320"/>
      <c r="I340" s="152"/>
      <c r="J340" s="290"/>
      <c r="K340" s="161"/>
      <c r="L340" s="235"/>
      <c r="M340" s="307"/>
      <c r="N340" s="140"/>
      <c r="O340" s="140"/>
      <c r="P340" s="140"/>
      <c r="Q340" s="140"/>
      <c r="R340" s="140"/>
      <c r="S340" s="140"/>
      <c r="T340" s="140"/>
      <c r="U340" s="140"/>
      <c r="V340" s="140"/>
      <c r="W340" s="140"/>
      <c r="X340" s="140"/>
      <c r="Y340" s="140"/>
      <c r="Z340" s="140"/>
      <c r="AA340" s="140"/>
      <c r="AB340" s="140"/>
      <c r="AC340" s="140"/>
      <c r="AD340" s="140"/>
    </row>
    <row r="341" spans="1:30" ht="11.25" customHeight="1" x14ac:dyDescent="0.25">
      <c r="A341" s="140"/>
      <c r="B341" s="151"/>
      <c r="C341" s="324"/>
      <c r="D341" s="152"/>
      <c r="E341" s="152"/>
      <c r="F341" s="311">
        <f>SUM(F249:F340)</f>
        <v>93642049291.773727</v>
      </c>
      <c r="G341" s="298"/>
      <c r="H341" s="298"/>
      <c r="I341" s="298"/>
      <c r="J341" s="311">
        <f t="shared" ref="J341:M341" si="5">SUM(J249:J340)</f>
        <v>100047281.12100002</v>
      </c>
      <c r="K341" s="311">
        <f t="shared" si="5"/>
        <v>5795426.1931481138</v>
      </c>
      <c r="L341" s="311">
        <f t="shared" si="5"/>
        <v>104.73189576584564</v>
      </c>
      <c r="M341" s="311">
        <f t="shared" si="5"/>
        <v>38.42623688307885</v>
      </c>
      <c r="N341" s="140"/>
      <c r="O341" s="140"/>
      <c r="P341" s="140"/>
      <c r="Q341" s="140"/>
      <c r="R341" s="140"/>
      <c r="S341" s="140"/>
      <c r="T341" s="140"/>
      <c r="U341" s="140"/>
      <c r="V341" s="140"/>
      <c r="W341" s="140"/>
      <c r="X341" s="140"/>
      <c r="Y341" s="140"/>
      <c r="Z341" s="140"/>
      <c r="AA341" s="140"/>
      <c r="AB341" s="140"/>
      <c r="AC341" s="140"/>
      <c r="AD341" s="140"/>
    </row>
    <row r="342" spans="1:30" ht="11.25" customHeight="1" x14ac:dyDescent="0.25">
      <c r="A342" s="140"/>
      <c r="B342" s="201"/>
      <c r="C342" s="202"/>
      <c r="D342" s="202"/>
      <c r="E342" s="202"/>
      <c r="F342" s="202"/>
      <c r="G342" s="202"/>
      <c r="H342" s="202"/>
      <c r="I342" s="202"/>
      <c r="J342" s="202"/>
      <c r="K342" s="202"/>
      <c r="L342" s="202"/>
      <c r="M342" s="300"/>
      <c r="N342" s="140"/>
      <c r="O342" s="140"/>
      <c r="P342" s="140"/>
      <c r="Q342" s="140"/>
      <c r="R342" s="140"/>
      <c r="S342" s="140"/>
      <c r="T342" s="140"/>
      <c r="U342" s="140"/>
      <c r="V342" s="140"/>
      <c r="W342" s="140"/>
      <c r="X342" s="140"/>
      <c r="Y342" s="140"/>
      <c r="Z342" s="140"/>
      <c r="AA342" s="140"/>
      <c r="AB342" s="140"/>
      <c r="AC342" s="140"/>
      <c r="AD342" s="140"/>
    </row>
    <row r="343" spans="1:30" ht="11.25" customHeight="1" x14ac:dyDescent="0.2">
      <c r="A343" s="140"/>
      <c r="B343" s="140"/>
      <c r="C343" s="140"/>
      <c r="D343" s="140"/>
      <c r="E343" s="140"/>
      <c r="F343" s="140"/>
      <c r="G343" s="140"/>
      <c r="H343" s="140"/>
      <c r="I343" s="140"/>
      <c r="J343" s="140"/>
      <c r="K343" s="140"/>
      <c r="L343" s="140"/>
      <c r="M343" s="140"/>
      <c r="N343" s="140"/>
      <c r="O343" s="140"/>
      <c r="P343" s="140"/>
      <c r="Q343" s="140"/>
      <c r="R343" s="140"/>
      <c r="S343" s="140"/>
      <c r="T343" s="140"/>
      <c r="U343" s="140"/>
      <c r="V343" s="140"/>
      <c r="W343" s="140"/>
      <c r="X343" s="140"/>
      <c r="Y343" s="140"/>
      <c r="Z343" s="140"/>
      <c r="AA343" s="140"/>
      <c r="AB343" s="140"/>
      <c r="AC343" s="140"/>
      <c r="AD343" s="140"/>
    </row>
    <row r="344" spans="1:30" ht="11.25" customHeight="1" x14ac:dyDescent="0.2">
      <c r="A344" s="140"/>
      <c r="B344" s="140"/>
      <c r="C344" s="140"/>
      <c r="D344" s="140"/>
      <c r="E344" s="140"/>
      <c r="F344" s="140"/>
      <c r="G344" s="140"/>
      <c r="H344" s="140"/>
      <c r="I344" s="140"/>
      <c r="J344" s="140"/>
      <c r="K344" s="140"/>
      <c r="L344" s="140"/>
      <c r="M344" s="140"/>
      <c r="N344" s="140"/>
      <c r="O344" s="140"/>
      <c r="P344" s="140"/>
      <c r="Q344" s="140"/>
      <c r="R344" s="140"/>
      <c r="S344" s="140"/>
      <c r="T344" s="140"/>
      <c r="U344" s="140"/>
      <c r="V344" s="140"/>
      <c r="W344" s="140"/>
      <c r="X344" s="140"/>
      <c r="Y344" s="140"/>
      <c r="Z344" s="140"/>
      <c r="AA344" s="140"/>
      <c r="AB344" s="140"/>
      <c r="AC344" s="140"/>
      <c r="AD344" s="140"/>
    </row>
    <row r="345" spans="1:30" ht="11.25" customHeight="1" x14ac:dyDescent="0.2">
      <c r="A345" s="140"/>
      <c r="B345" s="140"/>
      <c r="C345" s="140"/>
      <c r="D345" s="140"/>
      <c r="E345" s="140"/>
      <c r="F345" s="140"/>
      <c r="G345" s="140"/>
      <c r="H345" s="140"/>
      <c r="I345" s="140"/>
      <c r="J345" s="140"/>
      <c r="K345" s="140"/>
      <c r="L345" s="140"/>
      <c r="M345" s="140"/>
      <c r="N345" s="140"/>
      <c r="O345" s="140"/>
      <c r="P345" s="140"/>
      <c r="Q345" s="140"/>
      <c r="R345" s="140"/>
      <c r="S345" s="140"/>
      <c r="T345" s="140"/>
      <c r="U345" s="140"/>
      <c r="V345" s="140"/>
      <c r="W345" s="140"/>
      <c r="X345" s="140"/>
      <c r="Y345" s="140"/>
      <c r="Z345" s="140"/>
      <c r="AA345" s="140"/>
      <c r="AB345" s="140"/>
      <c r="AC345" s="140"/>
      <c r="AD345" s="140"/>
    </row>
    <row r="346" spans="1:30" ht="27" x14ac:dyDescent="0.6">
      <c r="A346" s="140"/>
      <c r="B346" s="325" t="s">
        <v>509</v>
      </c>
      <c r="C346" s="326"/>
      <c r="D346" s="327"/>
      <c r="E346" s="327"/>
      <c r="F346" s="327"/>
      <c r="G346" s="327"/>
      <c r="H346" s="140"/>
      <c r="I346" s="140"/>
      <c r="J346" s="140"/>
      <c r="K346" s="140"/>
      <c r="L346" s="140"/>
      <c r="M346" s="140"/>
      <c r="N346" s="140"/>
      <c r="O346" s="140"/>
      <c r="P346" s="140"/>
      <c r="Q346" s="140"/>
      <c r="R346" s="140"/>
      <c r="S346" s="140"/>
      <c r="T346" s="140"/>
      <c r="U346" s="140"/>
      <c r="V346" s="140"/>
      <c r="W346" s="140"/>
      <c r="X346" s="140"/>
      <c r="Y346" s="140"/>
      <c r="Z346" s="140"/>
      <c r="AA346" s="140"/>
      <c r="AB346" s="140"/>
      <c r="AC346" s="140"/>
      <c r="AD346" s="140"/>
    </row>
    <row r="347" spans="1:30" ht="21" x14ac:dyDescent="0.4">
      <c r="A347" s="140"/>
      <c r="B347" s="328" t="s">
        <v>510</v>
      </c>
      <c r="C347" s="327"/>
      <c r="D347" s="327"/>
      <c r="E347" s="327"/>
      <c r="F347" s="327"/>
      <c r="G347" s="327"/>
      <c r="H347" s="140"/>
      <c r="I347" s="140"/>
      <c r="J347" s="140"/>
      <c r="K347" s="140"/>
      <c r="L347" s="140"/>
      <c r="M347" s="140"/>
      <c r="N347" s="140"/>
      <c r="O347" s="140"/>
      <c r="P347" s="140"/>
      <c r="Q347" s="140"/>
      <c r="R347" s="140"/>
      <c r="S347" s="140"/>
      <c r="T347" s="140"/>
      <c r="U347" s="140"/>
      <c r="V347" s="140"/>
      <c r="W347" s="140"/>
      <c r="X347" s="140"/>
      <c r="Y347" s="140"/>
      <c r="Z347" s="140"/>
      <c r="AA347" s="140"/>
      <c r="AB347" s="140"/>
      <c r="AC347" s="140"/>
      <c r="AD347" s="140"/>
    </row>
    <row r="348" spans="1:30" ht="19.8" x14ac:dyDescent="0.45">
      <c r="A348" s="140"/>
      <c r="B348" s="329" t="s">
        <v>511</v>
      </c>
      <c r="C348" s="140"/>
      <c r="D348" s="327"/>
      <c r="E348" s="330">
        <v>2020</v>
      </c>
      <c r="F348" s="327"/>
      <c r="G348" s="327"/>
      <c r="H348" s="140"/>
      <c r="I348" s="140"/>
      <c r="J348" s="140"/>
      <c r="K348" s="140"/>
      <c r="L348" s="140"/>
      <c r="M348" s="140"/>
      <c r="N348" s="140"/>
      <c r="O348" s="140"/>
      <c r="P348" s="140"/>
      <c r="Q348" s="140"/>
      <c r="R348" s="140"/>
      <c r="S348" s="140"/>
      <c r="T348" s="140"/>
      <c r="U348" s="140"/>
      <c r="V348" s="140"/>
      <c r="W348" s="140"/>
      <c r="X348" s="140"/>
      <c r="Y348" s="140"/>
      <c r="Z348" s="140"/>
      <c r="AA348" s="140"/>
      <c r="AB348" s="140"/>
      <c r="AC348" s="140"/>
      <c r="AD348" s="140"/>
    </row>
    <row r="349" spans="1:30" ht="10.199999999999999" x14ac:dyDescent="0.2">
      <c r="A349" s="140"/>
      <c r="B349" s="327"/>
      <c r="C349" s="327"/>
      <c r="D349" s="327"/>
      <c r="E349" s="327"/>
      <c r="F349" s="327"/>
      <c r="G349" s="327"/>
      <c r="H349" s="140"/>
      <c r="I349" s="140"/>
      <c r="J349" s="140"/>
      <c r="K349" s="140"/>
      <c r="L349" s="140"/>
      <c r="M349" s="140"/>
      <c r="N349" s="140"/>
      <c r="O349" s="140"/>
      <c r="P349" s="140"/>
      <c r="Q349" s="140"/>
      <c r="R349" s="140"/>
      <c r="S349" s="140"/>
      <c r="T349" s="140"/>
      <c r="U349" s="140"/>
      <c r="V349" s="140"/>
      <c r="W349" s="140"/>
      <c r="X349" s="140"/>
      <c r="Y349" s="140"/>
      <c r="Z349" s="140"/>
      <c r="AA349" s="140"/>
      <c r="AB349" s="140"/>
      <c r="AC349" s="140"/>
      <c r="AD349" s="140"/>
    </row>
    <row r="350" spans="1:30" ht="15.6" x14ac:dyDescent="0.35">
      <c r="A350" s="140"/>
      <c r="B350" s="331"/>
      <c r="C350" s="332" t="s">
        <v>512</v>
      </c>
      <c r="D350" s="332" t="s">
        <v>513</v>
      </c>
      <c r="E350" s="332" t="s">
        <v>514</v>
      </c>
      <c r="F350" s="332" t="s">
        <v>515</v>
      </c>
      <c r="G350" s="333" t="s">
        <v>516</v>
      </c>
      <c r="H350" s="140"/>
      <c r="I350" s="2933" t="s">
        <v>1</v>
      </c>
      <c r="J350" s="2934"/>
      <c r="K350" s="140"/>
      <c r="L350" s="140"/>
      <c r="M350" s="140"/>
      <c r="N350" s="140"/>
      <c r="O350" s="140"/>
      <c r="P350" s="140"/>
      <c r="Q350" s="140"/>
      <c r="R350" s="140"/>
      <c r="S350" s="140"/>
      <c r="T350" s="140"/>
      <c r="U350" s="140"/>
      <c r="V350" s="140"/>
      <c r="W350" s="140"/>
      <c r="X350" s="140"/>
      <c r="Y350" s="140"/>
      <c r="Z350" s="140"/>
      <c r="AA350" s="140"/>
      <c r="AB350" s="140"/>
      <c r="AC350" s="140"/>
      <c r="AD350" s="140"/>
    </row>
    <row r="351" spans="1:30" ht="15.6" x14ac:dyDescent="0.35">
      <c r="A351" s="140"/>
      <c r="B351" s="334"/>
      <c r="C351" s="335" t="s">
        <v>181</v>
      </c>
      <c r="D351" s="335" t="s">
        <v>517</v>
      </c>
      <c r="E351" s="335" t="s">
        <v>518</v>
      </c>
      <c r="F351" s="335" t="s">
        <v>519</v>
      </c>
      <c r="G351" s="336" t="s">
        <v>520</v>
      </c>
      <c r="H351" s="140"/>
      <c r="I351" s="2641"/>
      <c r="J351" s="2641"/>
      <c r="K351" s="140"/>
      <c r="L351" s="140"/>
      <c r="M351" s="140"/>
      <c r="N351" s="140"/>
      <c r="O351" s="140"/>
      <c r="P351" s="140"/>
      <c r="Q351" s="140"/>
      <c r="R351" s="140"/>
      <c r="S351" s="140"/>
      <c r="T351" s="140"/>
      <c r="U351" s="140"/>
      <c r="V351" s="140"/>
      <c r="W351" s="140"/>
      <c r="X351" s="140"/>
      <c r="Y351" s="140"/>
      <c r="Z351" s="140"/>
      <c r="AA351" s="140"/>
      <c r="AB351" s="140"/>
      <c r="AC351" s="140"/>
      <c r="AD351" s="140"/>
    </row>
    <row r="352" spans="1:30" ht="14.4" x14ac:dyDescent="0.3">
      <c r="A352" s="140"/>
      <c r="B352" s="337" t="s">
        <v>187</v>
      </c>
      <c r="C352" s="338">
        <f t="shared" ref="C352:D352" si="6">J33</f>
        <v>41324469.717999995</v>
      </c>
      <c r="D352" s="338">
        <f t="shared" si="6"/>
        <v>4273706.6375432992</v>
      </c>
      <c r="E352" s="339">
        <f t="shared" ref="E352:E355" si="7">D352*0.907184</f>
        <v>3877038.2822730802</v>
      </c>
      <c r="F352" s="340">
        <f t="shared" ref="F352:F356" si="8">E352/1000000</f>
        <v>3.8770382822730802</v>
      </c>
      <c r="G352" s="341">
        <f t="shared" ref="G352:G355" si="9">F352*(12/44)</f>
        <v>1.0573740769835673</v>
      </c>
      <c r="H352" s="140"/>
      <c r="I352" s="2641" t="s">
        <v>521</v>
      </c>
      <c r="J352" s="2642">
        <f>Summary!E4</f>
        <v>1</v>
      </c>
      <c r="K352" s="140"/>
      <c r="L352" s="140"/>
      <c r="M352" s="140"/>
      <c r="N352" s="140"/>
      <c r="O352" s="140"/>
      <c r="P352" s="140"/>
      <c r="Q352" s="140"/>
      <c r="R352" s="140"/>
      <c r="S352" s="140"/>
      <c r="T352" s="140"/>
      <c r="U352" s="140"/>
      <c r="V352" s="140"/>
      <c r="W352" s="140"/>
      <c r="X352" s="140"/>
      <c r="Y352" s="140"/>
      <c r="Z352" s="140"/>
      <c r="AA352" s="140"/>
      <c r="AB352" s="140"/>
      <c r="AC352" s="140"/>
      <c r="AD352" s="140"/>
    </row>
    <row r="353" spans="1:30" ht="14.4" x14ac:dyDescent="0.3">
      <c r="A353" s="140"/>
      <c r="B353" s="342" t="s">
        <v>522</v>
      </c>
      <c r="C353" s="343">
        <f t="shared" ref="C353:D353" si="10">J183</f>
        <v>1372759.5156700006</v>
      </c>
      <c r="D353" s="343">
        <f t="shared" si="10"/>
        <v>117860.25655410749</v>
      </c>
      <c r="E353" s="344">
        <f t="shared" si="7"/>
        <v>106920.93898178145</v>
      </c>
      <c r="F353" s="345">
        <f t="shared" si="8"/>
        <v>0.10692093898178145</v>
      </c>
      <c r="G353" s="346">
        <f t="shared" si="9"/>
        <v>2.9160256085940396E-2</v>
      </c>
      <c r="H353" s="140"/>
      <c r="I353" s="2641" t="s">
        <v>523</v>
      </c>
      <c r="J353" s="2642">
        <f>Summary!E5</f>
        <v>28</v>
      </c>
      <c r="K353" s="140"/>
      <c r="L353" s="140"/>
      <c r="M353" s="140"/>
      <c r="N353" s="140"/>
      <c r="O353" s="140"/>
      <c r="P353" s="140"/>
      <c r="Q353" s="140"/>
      <c r="R353" s="140"/>
      <c r="S353" s="140"/>
      <c r="T353" s="140"/>
      <c r="U353" s="140"/>
      <c r="V353" s="140"/>
      <c r="W353" s="140"/>
      <c r="X353" s="140"/>
      <c r="Y353" s="140"/>
      <c r="Z353" s="140"/>
      <c r="AA353" s="140"/>
      <c r="AB353" s="140"/>
      <c r="AC353" s="140"/>
      <c r="AD353" s="140"/>
    </row>
    <row r="354" spans="1:30" ht="14.4" x14ac:dyDescent="0.3">
      <c r="A354" s="140"/>
      <c r="B354" s="342" t="s">
        <v>524</v>
      </c>
      <c r="C354" s="343">
        <f t="shared" ref="C354:D354" si="11">J236</f>
        <v>123992.29375600004</v>
      </c>
      <c r="D354" s="343">
        <f t="shared" si="11"/>
        <v>8769.953538035259</v>
      </c>
      <c r="E354" s="344">
        <f t="shared" si="7"/>
        <v>7955.961530448978</v>
      </c>
      <c r="F354" s="345">
        <f t="shared" si="8"/>
        <v>7.9559615304489774E-3</v>
      </c>
      <c r="G354" s="346">
        <f t="shared" si="9"/>
        <v>2.1698076901224481E-3</v>
      </c>
      <c r="H354" s="140"/>
      <c r="I354" s="2641" t="s">
        <v>525</v>
      </c>
      <c r="J354" s="2642">
        <f>Summary!E6</f>
        <v>265</v>
      </c>
      <c r="K354" s="140"/>
      <c r="L354" s="140"/>
      <c r="M354" s="140"/>
      <c r="N354" s="140"/>
      <c r="O354" s="140"/>
      <c r="P354" s="140"/>
      <c r="Q354" s="140"/>
      <c r="R354" s="140"/>
      <c r="S354" s="140"/>
      <c r="T354" s="140"/>
      <c r="U354" s="140"/>
      <c r="V354" s="140"/>
      <c r="W354" s="140"/>
      <c r="X354" s="140"/>
      <c r="Y354" s="140"/>
      <c r="Z354" s="140"/>
      <c r="AA354" s="140"/>
      <c r="AB354" s="140"/>
      <c r="AC354" s="140"/>
      <c r="AD354" s="140"/>
    </row>
    <row r="355" spans="1:30" ht="14.4" x14ac:dyDescent="0.3">
      <c r="A355" s="140"/>
      <c r="B355" s="342" t="s">
        <v>436</v>
      </c>
      <c r="C355" s="343">
        <f t="shared" ref="C355:D355" si="12">J341</f>
        <v>100047281.12100002</v>
      </c>
      <c r="D355" s="343">
        <f t="shared" si="12"/>
        <v>5795426.1931481138</v>
      </c>
      <c r="E355" s="344">
        <f t="shared" si="7"/>
        <v>5257517.9156048782</v>
      </c>
      <c r="F355" s="345">
        <f t="shared" si="8"/>
        <v>5.2575179156048781</v>
      </c>
      <c r="G355" s="346">
        <f t="shared" si="9"/>
        <v>1.4338685224376939</v>
      </c>
      <c r="H355" s="140"/>
      <c r="I355" s="2641" t="s">
        <v>526</v>
      </c>
      <c r="J355" s="2643">
        <f>Summary!E7</f>
        <v>23500</v>
      </c>
      <c r="K355" s="140"/>
      <c r="L355" s="140"/>
      <c r="M355" s="140"/>
      <c r="N355" s="140"/>
      <c r="O355" s="140"/>
      <c r="P355" s="140"/>
      <c r="Q355" s="140"/>
      <c r="R355" s="140"/>
      <c r="S355" s="140"/>
      <c r="T355" s="140"/>
      <c r="U355" s="140"/>
      <c r="V355" s="140"/>
      <c r="W355" s="140"/>
      <c r="X355" s="140"/>
      <c r="Y355" s="140"/>
      <c r="Z355" s="140"/>
      <c r="AA355" s="140"/>
      <c r="AB355" s="140"/>
      <c r="AC355" s="140"/>
      <c r="AD355" s="140"/>
    </row>
    <row r="356" spans="1:30" ht="14.4" x14ac:dyDescent="0.3">
      <c r="A356" s="140"/>
      <c r="B356" s="347" t="s">
        <v>86</v>
      </c>
      <c r="C356" s="348"/>
      <c r="D356" s="349">
        <f t="shared" ref="D356:E356" si="13">SUM(D352:D355)</f>
        <v>10195763.040783554</v>
      </c>
      <c r="E356" s="350">
        <f t="shared" si="13"/>
        <v>9249433.0983901881</v>
      </c>
      <c r="F356" s="351">
        <f t="shared" si="8"/>
        <v>9.2494330983901882</v>
      </c>
      <c r="G356" s="352">
        <f>SUM(G352:G355)</f>
        <v>2.522572663197324</v>
      </c>
      <c r="H356" s="140"/>
      <c r="K356" s="140"/>
      <c r="L356" s="140"/>
      <c r="M356" s="140"/>
      <c r="N356" s="140"/>
      <c r="O356" s="140"/>
      <c r="P356" s="140"/>
      <c r="Q356" s="140"/>
      <c r="R356" s="140"/>
      <c r="S356" s="140"/>
      <c r="T356" s="140"/>
      <c r="U356" s="140"/>
      <c r="V356" s="140"/>
      <c r="W356" s="140"/>
      <c r="X356" s="140"/>
      <c r="Y356" s="140"/>
      <c r="Z356" s="140"/>
      <c r="AA356" s="140"/>
      <c r="AB356" s="140"/>
      <c r="AC356" s="140"/>
      <c r="AD356" s="140"/>
    </row>
    <row r="357" spans="1:30" ht="10.199999999999999" x14ac:dyDescent="0.2">
      <c r="A357" s="140"/>
      <c r="B357" s="327"/>
      <c r="C357" s="327"/>
      <c r="D357" s="327"/>
      <c r="E357" s="327"/>
      <c r="F357" s="327"/>
      <c r="G357" s="327"/>
      <c r="H357" s="140"/>
      <c r="I357" s="140"/>
      <c r="J357" s="140"/>
      <c r="K357" s="140"/>
      <c r="L357" s="140"/>
      <c r="M357" s="140"/>
      <c r="N357" s="140"/>
      <c r="O357" s="140"/>
      <c r="P357" s="140"/>
      <c r="Q357" s="140"/>
      <c r="R357" s="140"/>
      <c r="S357" s="140"/>
      <c r="T357" s="140"/>
      <c r="U357" s="140"/>
      <c r="V357" s="140"/>
      <c r="W357" s="140"/>
      <c r="X357" s="140"/>
      <c r="Y357" s="140"/>
      <c r="Z357" s="140"/>
      <c r="AA357" s="140"/>
      <c r="AB357" s="140"/>
      <c r="AC357" s="140"/>
      <c r="AD357" s="140"/>
    </row>
    <row r="358" spans="1:30" ht="10.199999999999999" x14ac:dyDescent="0.2">
      <c r="A358" s="140"/>
      <c r="B358" s="327"/>
      <c r="C358" s="327"/>
      <c r="D358" s="327"/>
      <c r="E358" s="327"/>
      <c r="F358" s="327"/>
      <c r="G358" s="327"/>
      <c r="H358" s="140"/>
      <c r="I358" s="140"/>
      <c r="J358" s="140"/>
      <c r="K358" s="140"/>
      <c r="L358" s="140"/>
      <c r="M358" s="140"/>
      <c r="N358" s="140"/>
      <c r="O358" s="140"/>
      <c r="P358" s="140"/>
      <c r="Q358" s="140"/>
      <c r="R358" s="140"/>
      <c r="S358" s="140"/>
      <c r="T358" s="140"/>
      <c r="U358" s="140"/>
      <c r="V358" s="140"/>
      <c r="W358" s="140"/>
      <c r="X358" s="140"/>
      <c r="Y358" s="140"/>
      <c r="Z358" s="140"/>
      <c r="AA358" s="140"/>
      <c r="AB358" s="140"/>
      <c r="AC358" s="140"/>
      <c r="AD358" s="140"/>
    </row>
    <row r="359" spans="1:30" ht="27" x14ac:dyDescent="0.6">
      <c r="A359" s="140"/>
      <c r="B359" s="325" t="s">
        <v>527</v>
      </c>
      <c r="C359" s="353"/>
      <c r="D359" s="327"/>
      <c r="E359" s="327"/>
      <c r="F359" s="327"/>
      <c r="G359" s="327"/>
      <c r="H359" s="140"/>
      <c r="I359" s="140"/>
      <c r="J359" s="140"/>
      <c r="K359" s="140"/>
      <c r="L359" s="140"/>
      <c r="M359" s="140"/>
      <c r="N359" s="140"/>
      <c r="O359" s="140"/>
      <c r="P359" s="140"/>
      <c r="Q359" s="140"/>
      <c r="R359" s="140"/>
      <c r="S359" s="140"/>
      <c r="T359" s="140"/>
      <c r="U359" s="140"/>
      <c r="V359" s="140"/>
      <c r="W359" s="140"/>
      <c r="X359" s="140"/>
      <c r="Y359" s="140"/>
      <c r="Z359" s="140"/>
      <c r="AA359" s="140"/>
      <c r="AB359" s="140"/>
      <c r="AC359" s="140"/>
      <c r="AD359" s="140"/>
    </row>
    <row r="360" spans="1:30" ht="21" x14ac:dyDescent="0.4">
      <c r="A360" s="140"/>
      <c r="B360" s="328" t="s">
        <v>510</v>
      </c>
      <c r="C360" s="327"/>
      <c r="D360" s="327"/>
      <c r="E360" s="327"/>
      <c r="F360" s="327"/>
      <c r="G360" s="327"/>
      <c r="H360" s="140"/>
      <c r="I360" s="140"/>
      <c r="J360" s="140"/>
      <c r="K360" s="140"/>
      <c r="L360" s="140"/>
      <c r="M360" s="140"/>
      <c r="N360" s="140"/>
      <c r="O360" s="140"/>
      <c r="P360" s="140"/>
      <c r="Q360" s="140"/>
      <c r="R360" s="140"/>
      <c r="S360" s="140"/>
      <c r="T360" s="140"/>
      <c r="U360" s="140"/>
      <c r="V360" s="140"/>
      <c r="W360" s="140"/>
      <c r="X360" s="140"/>
      <c r="Y360" s="140"/>
      <c r="Z360" s="140"/>
      <c r="AA360" s="140"/>
      <c r="AB360" s="140"/>
      <c r="AC360" s="140"/>
      <c r="AD360" s="140"/>
    </row>
    <row r="361" spans="1:30" ht="19.8" x14ac:dyDescent="0.45">
      <c r="A361" s="140"/>
      <c r="B361" s="330" t="s">
        <v>528</v>
      </c>
      <c r="C361" s="140"/>
      <c r="D361" s="140"/>
      <c r="E361" s="330">
        <v>2020</v>
      </c>
      <c r="F361" s="140"/>
      <c r="G361" s="140"/>
      <c r="H361" s="140"/>
      <c r="I361" s="140"/>
      <c r="J361" s="140"/>
      <c r="K361" s="140"/>
      <c r="L361" s="140"/>
      <c r="M361" s="140"/>
      <c r="N361" s="140"/>
      <c r="O361" s="140"/>
      <c r="P361" s="140"/>
      <c r="Q361" s="140"/>
      <c r="R361" s="140"/>
      <c r="S361" s="140"/>
      <c r="T361" s="140"/>
      <c r="U361" s="140"/>
      <c r="V361" s="140"/>
      <c r="W361" s="140"/>
      <c r="X361" s="140"/>
      <c r="Y361" s="140"/>
      <c r="Z361" s="140"/>
      <c r="AA361" s="140"/>
      <c r="AB361" s="140"/>
      <c r="AC361" s="140"/>
      <c r="AD361" s="140"/>
    </row>
    <row r="362" spans="1:30" ht="12" x14ac:dyDescent="0.3">
      <c r="A362" s="140"/>
      <c r="B362" s="354"/>
      <c r="C362" s="140"/>
      <c r="D362" s="140"/>
      <c r="E362" s="354"/>
      <c r="F362" s="140"/>
      <c r="G362" s="140"/>
      <c r="H362" s="140"/>
      <c r="I362" s="140"/>
      <c r="J362" s="140"/>
      <c r="K362" s="140"/>
      <c r="L362" s="140"/>
      <c r="M362" s="140"/>
      <c r="N362" s="140"/>
      <c r="O362" s="140"/>
      <c r="P362" s="140"/>
      <c r="Q362" s="140"/>
      <c r="R362" s="140"/>
      <c r="S362" s="140"/>
      <c r="T362" s="140"/>
      <c r="U362" s="140"/>
      <c r="V362" s="140"/>
      <c r="W362" s="140"/>
      <c r="X362" s="140"/>
      <c r="Y362" s="140"/>
      <c r="Z362" s="140"/>
      <c r="AA362" s="140"/>
      <c r="AB362" s="140"/>
      <c r="AC362" s="140"/>
      <c r="AD362" s="140"/>
    </row>
    <row r="363" spans="1:30" ht="13.8" x14ac:dyDescent="0.25">
      <c r="A363" s="140"/>
      <c r="B363" s="355"/>
      <c r="C363" s="356" t="s">
        <v>512</v>
      </c>
      <c r="D363" s="356" t="s">
        <v>529</v>
      </c>
      <c r="E363" s="356" t="s">
        <v>529</v>
      </c>
      <c r="F363" s="357" t="s">
        <v>530</v>
      </c>
      <c r="G363" s="358" t="s">
        <v>529</v>
      </c>
      <c r="H363" s="140"/>
      <c r="I363" s="140"/>
      <c r="J363" s="140"/>
      <c r="K363" s="140"/>
      <c r="L363" s="140"/>
      <c r="M363" s="140"/>
      <c r="N363" s="140"/>
      <c r="O363" s="140"/>
      <c r="P363" s="140"/>
      <c r="Q363" s="140"/>
      <c r="R363" s="140"/>
      <c r="S363" s="140"/>
      <c r="T363" s="140"/>
      <c r="U363" s="140"/>
      <c r="V363" s="140"/>
      <c r="W363" s="140"/>
      <c r="X363" s="140"/>
      <c r="Y363" s="140"/>
      <c r="Z363" s="140"/>
      <c r="AA363" s="140"/>
      <c r="AB363" s="140"/>
      <c r="AC363" s="140"/>
      <c r="AD363" s="140"/>
    </row>
    <row r="364" spans="1:30" ht="16.2" x14ac:dyDescent="0.35">
      <c r="A364" s="140"/>
      <c r="B364" s="359" t="s">
        <v>170</v>
      </c>
      <c r="C364" s="360" t="s">
        <v>531</v>
      </c>
      <c r="D364" s="361" t="s">
        <v>532</v>
      </c>
      <c r="E364" s="362" t="s">
        <v>533</v>
      </c>
      <c r="F364" s="360"/>
      <c r="G364" s="363" t="s">
        <v>534</v>
      </c>
      <c r="H364" s="140"/>
      <c r="I364" s="140"/>
      <c r="J364" s="140"/>
      <c r="K364" s="140"/>
      <c r="L364" s="140"/>
      <c r="M364" s="140"/>
      <c r="N364" s="140"/>
      <c r="O364" s="140"/>
      <c r="P364" s="140"/>
      <c r="Q364" s="140"/>
      <c r="R364" s="140"/>
      <c r="S364" s="140"/>
      <c r="T364" s="140"/>
      <c r="U364" s="140"/>
      <c r="V364" s="140"/>
      <c r="W364" s="140"/>
      <c r="X364" s="140"/>
      <c r="Y364" s="140"/>
      <c r="Z364" s="140"/>
      <c r="AA364" s="140"/>
      <c r="AB364" s="140"/>
      <c r="AC364" s="140"/>
      <c r="AD364" s="140"/>
    </row>
    <row r="365" spans="1:30" ht="14.4" x14ac:dyDescent="0.3">
      <c r="A365" s="140"/>
      <c r="B365" s="364" t="s">
        <v>187</v>
      </c>
      <c r="C365" s="365">
        <f t="shared" ref="C365:C368" si="14">C352/1000</f>
        <v>41324.469717999993</v>
      </c>
      <c r="D365" s="366">
        <f>L33</f>
        <v>505.30527310061962</v>
      </c>
      <c r="E365" s="37">
        <f t="shared" ref="E365:E368" si="15">D365*0.907441</f>
        <v>458.5347223276994</v>
      </c>
      <c r="F365" s="367">
        <f>J353</f>
        <v>28</v>
      </c>
      <c r="G365" s="368">
        <f t="shared" ref="G365:G368" si="16">(E365*F365)/1000000</f>
        <v>1.2838972225175584E-2</v>
      </c>
      <c r="H365" s="140"/>
      <c r="I365" s="140"/>
      <c r="J365" s="140"/>
      <c r="K365" s="140"/>
      <c r="L365" s="140"/>
      <c r="M365" s="140"/>
      <c r="N365" s="140"/>
      <c r="O365" s="140"/>
      <c r="P365" s="140"/>
      <c r="Q365" s="140"/>
      <c r="R365" s="140"/>
      <c r="S365" s="140"/>
      <c r="T365" s="140"/>
      <c r="U365" s="140"/>
      <c r="V365" s="140"/>
      <c r="W365" s="140"/>
      <c r="X365" s="140"/>
      <c r="Y365" s="140"/>
      <c r="Z365" s="140"/>
      <c r="AA365" s="140"/>
      <c r="AB365" s="140"/>
      <c r="AC365" s="140"/>
      <c r="AD365" s="140"/>
    </row>
    <row r="366" spans="1:30" ht="14.4" x14ac:dyDescent="0.3">
      <c r="A366" s="140"/>
      <c r="B366" s="342" t="s">
        <v>522</v>
      </c>
      <c r="C366" s="369">
        <f t="shared" si="14"/>
        <v>1372.7595156700006</v>
      </c>
      <c r="D366" s="344">
        <f>L183</f>
        <v>6.4337043074974902</v>
      </c>
      <c r="E366" s="51">
        <f t="shared" si="15"/>
        <v>5.8382070704998306</v>
      </c>
      <c r="F366" s="370">
        <f>J353</f>
        <v>28</v>
      </c>
      <c r="G366" s="371">
        <f t="shared" si="16"/>
        <v>1.6346979797399525E-4</v>
      </c>
      <c r="H366" s="140"/>
      <c r="I366" s="140"/>
      <c r="J366" s="140"/>
      <c r="K366" s="140"/>
      <c r="L366" s="140"/>
      <c r="M366" s="140"/>
      <c r="N366" s="140"/>
      <c r="O366" s="140"/>
      <c r="P366" s="140"/>
      <c r="Q366" s="140"/>
      <c r="R366" s="140"/>
      <c r="S366" s="140"/>
      <c r="T366" s="140"/>
      <c r="U366" s="140"/>
      <c r="V366" s="140"/>
      <c r="W366" s="140"/>
      <c r="X366" s="140"/>
      <c r="Y366" s="140"/>
      <c r="Z366" s="140"/>
      <c r="AA366" s="140"/>
      <c r="AB366" s="140"/>
      <c r="AC366" s="140"/>
      <c r="AD366" s="140"/>
    </row>
    <row r="367" spans="1:30" ht="14.4" x14ac:dyDescent="0.3">
      <c r="A367" s="140"/>
      <c r="B367" s="342" t="s">
        <v>524</v>
      </c>
      <c r="C367" s="369">
        <f t="shared" si="14"/>
        <v>123.99229375600004</v>
      </c>
      <c r="D367" s="344">
        <f>L236</f>
        <v>0.46489147745386705</v>
      </c>
      <c r="E367" s="51">
        <f t="shared" si="15"/>
        <v>0.42186158719221462</v>
      </c>
      <c r="F367" s="370">
        <f>J353</f>
        <v>28</v>
      </c>
      <c r="G367" s="371">
        <f t="shared" si="16"/>
        <v>1.1812124441382008E-5</v>
      </c>
      <c r="H367" s="140"/>
      <c r="I367" s="140"/>
      <c r="J367" s="140"/>
      <c r="K367" s="140"/>
      <c r="L367" s="140"/>
      <c r="M367" s="140"/>
      <c r="N367" s="140"/>
      <c r="O367" s="140"/>
      <c r="P367" s="140"/>
      <c r="Q367" s="140"/>
      <c r="R367" s="140"/>
      <c r="S367" s="140"/>
      <c r="T367" s="140"/>
      <c r="U367" s="140"/>
      <c r="V367" s="140"/>
      <c r="W367" s="140"/>
      <c r="X367" s="140"/>
      <c r="Y367" s="140"/>
      <c r="Z367" s="140"/>
      <c r="AA367" s="140"/>
      <c r="AB367" s="140"/>
      <c r="AC367" s="140"/>
      <c r="AD367" s="140"/>
    </row>
    <row r="368" spans="1:30" ht="14.4" x14ac:dyDescent="0.3">
      <c r="A368" s="140"/>
      <c r="B368" s="342" t="s">
        <v>436</v>
      </c>
      <c r="C368" s="369">
        <f t="shared" si="14"/>
        <v>100047.28112100002</v>
      </c>
      <c r="D368" s="344">
        <f>L341</f>
        <v>104.73189576584564</v>
      </c>
      <c r="E368" s="51">
        <f t="shared" si="15"/>
        <v>95.038016225654729</v>
      </c>
      <c r="F368" s="370">
        <f>J353</f>
        <v>28</v>
      </c>
      <c r="G368" s="371">
        <f t="shared" si="16"/>
        <v>2.6610644543183324E-3</v>
      </c>
      <c r="H368" s="140"/>
      <c r="I368" s="140"/>
      <c r="J368" s="140"/>
      <c r="K368" s="140"/>
      <c r="L368" s="140"/>
      <c r="M368" s="140"/>
      <c r="N368" s="140"/>
      <c r="O368" s="140"/>
      <c r="P368" s="140"/>
      <c r="Q368" s="140"/>
      <c r="R368" s="140"/>
      <c r="S368" s="140"/>
      <c r="T368" s="140"/>
      <c r="U368" s="140"/>
      <c r="V368" s="140"/>
      <c r="W368" s="140"/>
      <c r="X368" s="140"/>
      <c r="Y368" s="140"/>
      <c r="Z368" s="140"/>
      <c r="AA368" s="140"/>
      <c r="AB368" s="140"/>
      <c r="AC368" s="140"/>
      <c r="AD368" s="140"/>
    </row>
    <row r="369" spans="1:30" ht="14.4" x14ac:dyDescent="0.3">
      <c r="A369" s="140"/>
      <c r="B369" s="347" t="s">
        <v>86</v>
      </c>
      <c r="C369" s="348"/>
      <c r="D369" s="372">
        <f>SUM(D365:D368)</f>
        <v>616.93576465141655</v>
      </c>
      <c r="E369" s="348"/>
      <c r="F369" s="348" t="s">
        <v>86</v>
      </c>
      <c r="G369" s="373">
        <f>SUM(G365:G368)</f>
        <v>1.5675318601909294E-2</v>
      </c>
      <c r="H369" s="140"/>
      <c r="I369" s="140"/>
      <c r="J369" s="140"/>
      <c r="K369" s="140"/>
      <c r="L369" s="140"/>
      <c r="M369" s="140"/>
      <c r="N369" s="140"/>
      <c r="O369" s="140"/>
      <c r="P369" s="140"/>
      <c r="Q369" s="140"/>
      <c r="R369" s="140"/>
      <c r="S369" s="140"/>
      <c r="T369" s="140"/>
      <c r="U369" s="140"/>
      <c r="V369" s="140"/>
      <c r="W369" s="140"/>
      <c r="X369" s="140"/>
      <c r="Y369" s="140"/>
      <c r="Z369" s="140"/>
      <c r="AA369" s="140"/>
      <c r="AB369" s="140"/>
      <c r="AC369" s="140"/>
      <c r="AD369" s="140"/>
    </row>
    <row r="370" spans="1:30" ht="10.199999999999999" x14ac:dyDescent="0.2">
      <c r="A370" s="140"/>
      <c r="B370" s="327"/>
      <c r="C370" s="327"/>
      <c r="D370" s="327"/>
      <c r="E370" s="327"/>
      <c r="F370" s="327"/>
      <c r="G370" s="327"/>
      <c r="H370" s="140"/>
      <c r="I370" s="140"/>
      <c r="J370" s="140"/>
      <c r="K370" s="140"/>
      <c r="L370" s="140"/>
      <c r="M370" s="140"/>
      <c r="N370" s="140"/>
      <c r="O370" s="140"/>
      <c r="P370" s="140"/>
      <c r="Q370" s="140"/>
      <c r="R370" s="140"/>
      <c r="S370" s="140"/>
      <c r="T370" s="140"/>
      <c r="U370" s="140"/>
      <c r="V370" s="140"/>
      <c r="W370" s="140"/>
      <c r="X370" s="140"/>
      <c r="Y370" s="140"/>
      <c r="Z370" s="140"/>
      <c r="AA370" s="140"/>
      <c r="AB370" s="140"/>
      <c r="AC370" s="140"/>
      <c r="AD370" s="140"/>
    </row>
    <row r="371" spans="1:30" ht="27" x14ac:dyDescent="0.6">
      <c r="A371" s="140"/>
      <c r="B371" s="374" t="s">
        <v>535</v>
      </c>
      <c r="C371" s="375"/>
      <c r="D371" s="327"/>
      <c r="E371" s="327"/>
      <c r="F371" s="327"/>
      <c r="G371" s="327"/>
      <c r="H371" s="140"/>
      <c r="I371" s="140"/>
      <c r="J371" s="140"/>
      <c r="K371" s="140"/>
      <c r="L371" s="140"/>
      <c r="M371" s="140"/>
      <c r="N371" s="140"/>
      <c r="O371" s="140"/>
      <c r="P371" s="140"/>
      <c r="Q371" s="140"/>
      <c r="R371" s="140"/>
      <c r="S371" s="140"/>
      <c r="T371" s="140"/>
      <c r="U371" s="140"/>
      <c r="V371" s="140"/>
      <c r="W371" s="140"/>
      <c r="X371" s="140"/>
      <c r="Y371" s="140"/>
      <c r="Z371" s="140"/>
      <c r="AA371" s="140"/>
      <c r="AB371" s="140"/>
      <c r="AC371" s="140"/>
      <c r="AD371" s="140"/>
    </row>
    <row r="372" spans="1:30" ht="21" x14ac:dyDescent="0.4">
      <c r="A372" s="140"/>
      <c r="B372" s="328" t="s">
        <v>536</v>
      </c>
      <c r="C372" s="327"/>
      <c r="D372" s="327"/>
      <c r="E372" s="327"/>
      <c r="F372" s="327"/>
      <c r="G372" s="327"/>
      <c r="H372" s="140"/>
      <c r="I372" s="140"/>
      <c r="J372" s="140"/>
      <c r="K372" s="140"/>
      <c r="L372" s="140"/>
      <c r="M372" s="140"/>
      <c r="N372" s="140"/>
      <c r="O372" s="140"/>
      <c r="P372" s="140"/>
      <c r="Q372" s="140"/>
      <c r="R372" s="140"/>
      <c r="S372" s="140"/>
      <c r="T372" s="140"/>
      <c r="U372" s="140"/>
      <c r="V372" s="140"/>
      <c r="W372" s="140"/>
      <c r="X372" s="140"/>
      <c r="Y372" s="140"/>
      <c r="Z372" s="140"/>
      <c r="AA372" s="140"/>
      <c r="AB372" s="140"/>
      <c r="AC372" s="140"/>
      <c r="AD372" s="140"/>
    </row>
    <row r="373" spans="1:30" ht="19.8" x14ac:dyDescent="0.45">
      <c r="A373" s="140"/>
      <c r="B373" s="329" t="s">
        <v>537</v>
      </c>
      <c r="C373" s="140"/>
      <c r="D373" s="140"/>
      <c r="E373" s="330">
        <v>2020</v>
      </c>
      <c r="F373" s="140"/>
      <c r="G373" s="140"/>
      <c r="H373" s="140"/>
      <c r="I373" s="140"/>
      <c r="J373" s="140"/>
      <c r="K373" s="140"/>
      <c r="L373" s="140"/>
      <c r="M373" s="140"/>
      <c r="N373" s="140"/>
      <c r="O373" s="140"/>
      <c r="P373" s="140"/>
      <c r="Q373" s="140"/>
      <c r="R373" s="140"/>
      <c r="S373" s="140"/>
      <c r="T373" s="140"/>
      <c r="U373" s="140"/>
      <c r="V373" s="140"/>
      <c r="W373" s="140"/>
      <c r="X373" s="140"/>
      <c r="Y373" s="140"/>
      <c r="Z373" s="140"/>
      <c r="AA373" s="140"/>
      <c r="AB373" s="140"/>
      <c r="AC373" s="140"/>
      <c r="AD373" s="140"/>
    </row>
    <row r="374" spans="1:30" ht="12" x14ac:dyDescent="0.3">
      <c r="A374" s="140"/>
      <c r="B374" s="376"/>
      <c r="C374" s="140"/>
      <c r="D374" s="140"/>
      <c r="E374" s="354"/>
      <c r="F374" s="140"/>
      <c r="G374" s="140"/>
      <c r="H374" s="140"/>
      <c r="I374" s="140"/>
      <c r="J374" s="140"/>
      <c r="K374" s="140"/>
      <c r="L374" s="140"/>
      <c r="M374" s="140"/>
      <c r="N374" s="140"/>
      <c r="O374" s="140"/>
      <c r="P374" s="140"/>
      <c r="Q374" s="140"/>
      <c r="R374" s="140"/>
      <c r="S374" s="140"/>
      <c r="T374" s="140"/>
      <c r="U374" s="140"/>
      <c r="V374" s="140"/>
      <c r="W374" s="140"/>
      <c r="X374" s="140"/>
      <c r="Y374" s="140"/>
      <c r="Z374" s="140"/>
      <c r="AA374" s="140"/>
      <c r="AB374" s="140"/>
      <c r="AC374" s="140"/>
      <c r="AD374" s="140"/>
    </row>
    <row r="375" spans="1:30" ht="16.2" x14ac:dyDescent="0.4">
      <c r="A375" s="140"/>
      <c r="B375" s="377"/>
      <c r="C375" s="378" t="s">
        <v>512</v>
      </c>
      <c r="D375" s="379" t="s">
        <v>538</v>
      </c>
      <c r="E375" s="379" t="s">
        <v>538</v>
      </c>
      <c r="F375" s="378" t="s">
        <v>530</v>
      </c>
      <c r="G375" s="380" t="s">
        <v>529</v>
      </c>
      <c r="H375" s="140"/>
      <c r="I375" s="140"/>
      <c r="J375" s="140"/>
      <c r="K375" s="140"/>
      <c r="L375" s="140"/>
      <c r="M375" s="140"/>
      <c r="N375" s="140"/>
      <c r="O375" s="140"/>
      <c r="P375" s="140"/>
      <c r="Q375" s="140"/>
      <c r="R375" s="140"/>
      <c r="S375" s="140"/>
      <c r="T375" s="140"/>
      <c r="U375" s="140"/>
      <c r="V375" s="140"/>
      <c r="W375" s="140"/>
      <c r="X375" s="140"/>
      <c r="Y375" s="140"/>
      <c r="Z375" s="140"/>
      <c r="AA375" s="140"/>
      <c r="AB375" s="140"/>
      <c r="AC375" s="140"/>
      <c r="AD375" s="140"/>
    </row>
    <row r="376" spans="1:30" ht="16.2" x14ac:dyDescent="0.4">
      <c r="A376" s="140"/>
      <c r="B376" s="359" t="s">
        <v>170</v>
      </c>
      <c r="C376" s="381" t="s">
        <v>531</v>
      </c>
      <c r="D376" s="361" t="s">
        <v>539</v>
      </c>
      <c r="E376" s="361" t="s">
        <v>540</v>
      </c>
      <c r="F376" s="381"/>
      <c r="G376" s="363" t="s">
        <v>541</v>
      </c>
      <c r="H376" s="140"/>
      <c r="I376" s="140"/>
      <c r="J376" s="140"/>
      <c r="K376" s="140"/>
      <c r="L376" s="140"/>
      <c r="M376" s="140"/>
      <c r="N376" s="140"/>
      <c r="O376" s="140"/>
      <c r="P376" s="140"/>
      <c r="Q376" s="140"/>
      <c r="R376" s="140"/>
      <c r="S376" s="140"/>
      <c r="T376" s="140"/>
      <c r="U376" s="140"/>
      <c r="V376" s="140"/>
      <c r="W376" s="140"/>
      <c r="X376" s="140"/>
      <c r="Y376" s="140"/>
      <c r="Z376" s="140"/>
      <c r="AA376" s="140"/>
      <c r="AB376" s="140"/>
      <c r="AC376" s="140"/>
      <c r="AD376" s="140"/>
    </row>
    <row r="377" spans="1:30" ht="14.4" x14ac:dyDescent="0.3">
      <c r="A377" s="140"/>
      <c r="B377" s="364" t="s">
        <v>187</v>
      </c>
      <c r="C377" s="382">
        <f t="shared" ref="C377:C380" si="17">C352/1000</f>
        <v>41324.469717999993</v>
      </c>
      <c r="D377" s="383">
        <f>M33</f>
        <v>73.538235282763736</v>
      </c>
      <c r="E377" s="384">
        <f t="shared" ref="E377:E380" si="18">D377*0.907441</f>
        <v>66.731609763226416</v>
      </c>
      <c r="F377" s="367">
        <f>J354</f>
        <v>265</v>
      </c>
      <c r="G377" s="368">
        <f t="shared" ref="G377:G380" si="19">E377*F377/1000000</f>
        <v>1.7683876587254999E-2</v>
      </c>
      <c r="H377" s="140"/>
      <c r="I377" s="140"/>
      <c r="J377" s="140"/>
      <c r="K377" s="140"/>
      <c r="L377" s="140"/>
      <c r="M377" s="140"/>
      <c r="N377" s="140"/>
      <c r="O377" s="140"/>
      <c r="P377" s="140"/>
      <c r="Q377" s="140"/>
      <c r="R377" s="140"/>
      <c r="S377" s="140"/>
      <c r="T377" s="140"/>
      <c r="U377" s="140"/>
      <c r="V377" s="140"/>
      <c r="W377" s="140"/>
      <c r="X377" s="140"/>
      <c r="Y377" s="140"/>
      <c r="Z377" s="140"/>
      <c r="AA377" s="140"/>
      <c r="AB377" s="140"/>
      <c r="AC377" s="140"/>
      <c r="AD377" s="140"/>
    </row>
    <row r="378" spans="1:30" ht="14.4" x14ac:dyDescent="0.3">
      <c r="A378" s="140"/>
      <c r="B378" s="342" t="s">
        <v>522</v>
      </c>
      <c r="C378" s="385">
        <f t="shared" si="17"/>
        <v>1372.7595156700006</v>
      </c>
      <c r="D378" s="345">
        <f>M183</f>
        <v>1.1204893182603775</v>
      </c>
      <c r="E378" s="386">
        <f t="shared" si="18"/>
        <v>1.0167779474515153</v>
      </c>
      <c r="F378" s="370">
        <f>J354</f>
        <v>265</v>
      </c>
      <c r="G378" s="371">
        <f t="shared" si="19"/>
        <v>2.6944615607465153E-4</v>
      </c>
      <c r="H378" s="140"/>
      <c r="I378" s="140"/>
      <c r="J378" s="140"/>
      <c r="K378" s="140"/>
      <c r="L378" s="140"/>
      <c r="M378" s="140"/>
      <c r="N378" s="140"/>
      <c r="O378" s="140"/>
      <c r="P378" s="140"/>
      <c r="Q378" s="140"/>
      <c r="R378" s="140"/>
      <c r="S378" s="140"/>
      <c r="T378" s="140"/>
      <c r="U378" s="140"/>
      <c r="V378" s="140"/>
      <c r="W378" s="140"/>
      <c r="X378" s="140"/>
      <c r="Y378" s="140"/>
      <c r="Z378" s="140"/>
      <c r="AA378" s="140"/>
      <c r="AB378" s="140"/>
      <c r="AC378" s="140"/>
      <c r="AD378" s="140"/>
    </row>
    <row r="379" spans="1:30" ht="14.4" x14ac:dyDescent="0.3">
      <c r="A379" s="140"/>
      <c r="B379" s="342" t="s">
        <v>524</v>
      </c>
      <c r="C379" s="385">
        <f t="shared" si="17"/>
        <v>123.99229375600004</v>
      </c>
      <c r="D379" s="345">
        <f>M236</f>
        <v>9.8054443495434351E-2</v>
      </c>
      <c r="E379" s="386">
        <f t="shared" si="18"/>
        <v>8.8978622259940451E-2</v>
      </c>
      <c r="F379" s="370">
        <f>J354</f>
        <v>265</v>
      </c>
      <c r="G379" s="371">
        <f t="shared" si="19"/>
        <v>2.3579334898884221E-5</v>
      </c>
      <c r="H379" s="140"/>
      <c r="I379" s="140"/>
      <c r="J379" s="140"/>
      <c r="K379" s="140"/>
      <c r="L379" s="140"/>
      <c r="M379" s="140"/>
      <c r="N379" s="140"/>
      <c r="O379" s="140"/>
      <c r="P379" s="140"/>
      <c r="Q379" s="140"/>
      <c r="R379" s="140"/>
      <c r="S379" s="140"/>
      <c r="T379" s="140"/>
      <c r="U379" s="140"/>
      <c r="V379" s="140"/>
      <c r="W379" s="140"/>
      <c r="X379" s="140"/>
      <c r="Y379" s="140"/>
      <c r="Z379" s="140"/>
      <c r="AA379" s="140"/>
      <c r="AB379" s="140"/>
      <c r="AC379" s="140"/>
      <c r="AD379" s="140"/>
    </row>
    <row r="380" spans="1:30" ht="14.4" x14ac:dyDescent="0.3">
      <c r="A380" s="140"/>
      <c r="B380" s="342" t="s">
        <v>436</v>
      </c>
      <c r="C380" s="385">
        <f t="shared" si="17"/>
        <v>100047.28112100002</v>
      </c>
      <c r="D380" s="345">
        <f>M341</f>
        <v>38.42623688307885</v>
      </c>
      <c r="E380" s="386">
        <f t="shared" si="18"/>
        <v>34.869542823417959</v>
      </c>
      <c r="F380" s="370">
        <f>J354</f>
        <v>265</v>
      </c>
      <c r="G380" s="371">
        <f t="shared" si="19"/>
        <v>9.2404288482057576E-3</v>
      </c>
      <c r="H380" s="140"/>
      <c r="I380" s="140"/>
      <c r="J380" s="140"/>
      <c r="K380" s="140"/>
      <c r="L380" s="140"/>
      <c r="M380" s="140"/>
      <c r="N380" s="140"/>
      <c r="O380" s="140"/>
      <c r="P380" s="140"/>
      <c r="Q380" s="140"/>
      <c r="R380" s="140"/>
      <c r="S380" s="140"/>
      <c r="T380" s="140"/>
      <c r="U380" s="140"/>
      <c r="V380" s="140"/>
      <c r="W380" s="140"/>
      <c r="X380" s="140"/>
      <c r="Y380" s="140"/>
      <c r="Z380" s="140"/>
      <c r="AA380" s="140"/>
      <c r="AB380" s="140"/>
      <c r="AC380" s="140"/>
      <c r="AD380" s="140"/>
    </row>
    <row r="381" spans="1:30" ht="14.4" x14ac:dyDescent="0.3">
      <c r="A381" s="140"/>
      <c r="B381" s="347" t="s">
        <v>86</v>
      </c>
      <c r="C381" s="348"/>
      <c r="D381" s="372">
        <f>SUM(D377:D380)</f>
        <v>113.1830159275984</v>
      </c>
      <c r="E381" s="348"/>
      <c r="F381" s="348"/>
      <c r="G381" s="373">
        <f>SUM(G377:G380)</f>
        <v>2.7217330926434295E-2</v>
      </c>
      <c r="H381" s="140"/>
      <c r="I381" s="140"/>
      <c r="J381" s="140"/>
      <c r="K381" s="140"/>
      <c r="L381" s="140"/>
      <c r="M381" s="140"/>
      <c r="N381" s="140"/>
      <c r="O381" s="140"/>
      <c r="P381" s="140"/>
      <c r="Q381" s="140"/>
      <c r="R381" s="140"/>
      <c r="S381" s="140"/>
      <c r="T381" s="140"/>
      <c r="U381" s="140"/>
      <c r="V381" s="140"/>
      <c r="W381" s="140"/>
      <c r="X381" s="140"/>
      <c r="Y381" s="140"/>
      <c r="Z381" s="140"/>
      <c r="AA381" s="140"/>
      <c r="AB381" s="140"/>
      <c r="AC381" s="140"/>
      <c r="AD381" s="140"/>
    </row>
    <row r="382" spans="1:30" ht="10.8" x14ac:dyDescent="0.25">
      <c r="A382" s="140"/>
      <c r="B382" s="327"/>
      <c r="C382" s="140"/>
      <c r="D382" s="140"/>
      <c r="E382" s="140"/>
      <c r="F382" s="387"/>
      <c r="G382" s="388"/>
      <c r="H382" s="140"/>
      <c r="I382" s="140"/>
      <c r="J382" s="140"/>
      <c r="K382" s="140"/>
      <c r="L382" s="140"/>
      <c r="M382" s="140"/>
      <c r="N382" s="140"/>
      <c r="O382" s="140"/>
      <c r="P382" s="140"/>
      <c r="Q382" s="140"/>
      <c r="R382" s="140"/>
      <c r="S382" s="140"/>
      <c r="T382" s="140"/>
      <c r="U382" s="140"/>
      <c r="V382" s="140"/>
      <c r="W382" s="140"/>
      <c r="X382" s="140"/>
      <c r="Y382" s="140"/>
      <c r="Z382" s="140"/>
      <c r="AA382" s="140"/>
      <c r="AB382" s="140"/>
      <c r="AC382" s="140"/>
      <c r="AD382" s="140"/>
    </row>
    <row r="383" spans="1:30" ht="10.199999999999999" x14ac:dyDescent="0.2">
      <c r="A383" s="140"/>
      <c r="B383" s="327"/>
      <c r="C383" s="327"/>
      <c r="D383" s="327"/>
      <c r="E383" s="327"/>
      <c r="F383" s="327"/>
      <c r="G383" s="327"/>
      <c r="H383" s="140"/>
      <c r="I383" s="140"/>
      <c r="J383" s="140"/>
      <c r="K383" s="140"/>
      <c r="L383" s="140"/>
      <c r="M383" s="140"/>
      <c r="N383" s="140"/>
      <c r="O383" s="140"/>
      <c r="P383" s="140"/>
      <c r="Q383" s="140"/>
      <c r="R383" s="140"/>
      <c r="S383" s="140"/>
      <c r="T383" s="140"/>
      <c r="U383" s="140"/>
      <c r="V383" s="140"/>
      <c r="W383" s="140"/>
      <c r="X383" s="140"/>
      <c r="Y383" s="140"/>
      <c r="Z383" s="140"/>
      <c r="AA383" s="140"/>
      <c r="AB383" s="140"/>
      <c r="AC383" s="140"/>
      <c r="AD383" s="140"/>
    </row>
    <row r="384" spans="1:30" ht="21" x14ac:dyDescent="0.4">
      <c r="A384" s="140"/>
      <c r="B384" s="389" t="s">
        <v>542</v>
      </c>
      <c r="C384" s="390"/>
      <c r="D384" s="140"/>
      <c r="E384" s="140"/>
      <c r="F384" s="387"/>
      <c r="G384" s="388"/>
      <c r="H384" s="140"/>
      <c r="I384" s="140"/>
      <c r="J384" s="140"/>
      <c r="K384" s="140"/>
      <c r="L384" s="140"/>
      <c r="M384" s="140"/>
      <c r="N384" s="140"/>
      <c r="O384" s="140"/>
      <c r="P384" s="140"/>
      <c r="Q384" s="140"/>
      <c r="R384" s="140"/>
      <c r="S384" s="140"/>
      <c r="T384" s="140"/>
      <c r="U384" s="140"/>
      <c r="V384" s="140"/>
      <c r="W384" s="140"/>
      <c r="X384" s="140"/>
      <c r="Y384" s="140"/>
      <c r="Z384" s="140"/>
      <c r="AA384" s="140"/>
      <c r="AB384" s="140"/>
      <c r="AC384" s="140"/>
      <c r="AD384" s="140"/>
    </row>
    <row r="385" spans="1:30" ht="21" x14ac:dyDescent="0.4">
      <c r="A385" s="140"/>
      <c r="B385" s="328" t="s">
        <v>536</v>
      </c>
      <c r="C385" s="327"/>
      <c r="D385" s="327"/>
      <c r="E385" s="327"/>
      <c r="F385" s="327"/>
      <c r="G385" s="327"/>
      <c r="H385" s="140"/>
      <c r="I385" s="140"/>
      <c r="J385" s="140"/>
      <c r="K385" s="140"/>
      <c r="L385" s="140"/>
      <c r="M385" s="140"/>
      <c r="N385" s="140"/>
      <c r="O385" s="140"/>
      <c r="P385" s="140"/>
      <c r="Q385" s="140"/>
      <c r="R385" s="140"/>
      <c r="S385" s="140"/>
      <c r="T385" s="140"/>
      <c r="U385" s="140"/>
      <c r="V385" s="140"/>
      <c r="W385" s="140"/>
      <c r="X385" s="140"/>
      <c r="Y385" s="140"/>
      <c r="Z385" s="140"/>
      <c r="AA385" s="140"/>
      <c r="AB385" s="140"/>
      <c r="AC385" s="140"/>
      <c r="AD385" s="140"/>
    </row>
    <row r="386" spans="1:30" ht="19.8" x14ac:dyDescent="0.45">
      <c r="A386" s="140"/>
      <c r="B386" s="329" t="s">
        <v>543</v>
      </c>
      <c r="C386" s="140"/>
      <c r="D386" s="140"/>
      <c r="E386" s="330">
        <v>2020</v>
      </c>
      <c r="F386" s="140"/>
      <c r="G386" s="140"/>
      <c r="H386" s="140"/>
      <c r="I386" s="140"/>
      <c r="J386" s="140"/>
      <c r="K386" s="140"/>
      <c r="L386" s="140"/>
      <c r="M386" s="140"/>
      <c r="N386" s="140"/>
      <c r="O386" s="140"/>
      <c r="P386" s="140"/>
      <c r="Q386" s="140"/>
      <c r="R386" s="140"/>
      <c r="S386" s="140"/>
      <c r="T386" s="140"/>
      <c r="U386" s="140"/>
      <c r="V386" s="140"/>
      <c r="W386" s="140"/>
      <c r="X386" s="140"/>
      <c r="Y386" s="140"/>
      <c r="Z386" s="140"/>
      <c r="AA386" s="140"/>
      <c r="AB386" s="140"/>
      <c r="AC386" s="140"/>
      <c r="AD386" s="140"/>
    </row>
    <row r="387" spans="1:30" ht="10.199999999999999" x14ac:dyDescent="0.2">
      <c r="A387" s="140"/>
      <c r="B387" s="327"/>
      <c r="C387" s="327"/>
      <c r="D387" s="327"/>
      <c r="E387" s="327"/>
      <c r="F387" s="327"/>
      <c r="G387" s="327"/>
      <c r="H387" s="140"/>
      <c r="I387" s="140"/>
      <c r="J387" s="140"/>
      <c r="K387" s="140"/>
      <c r="L387" s="140"/>
      <c r="M387" s="140"/>
      <c r="N387" s="140"/>
      <c r="O387" s="140"/>
      <c r="P387" s="140"/>
      <c r="Q387" s="140"/>
      <c r="R387" s="140"/>
      <c r="S387" s="140"/>
      <c r="T387" s="140"/>
      <c r="U387" s="140"/>
      <c r="V387" s="140"/>
      <c r="W387" s="140"/>
      <c r="X387" s="140"/>
      <c r="Y387" s="140"/>
      <c r="Z387" s="140"/>
      <c r="AA387" s="140"/>
      <c r="AB387" s="140"/>
      <c r="AC387" s="140"/>
      <c r="AD387" s="140"/>
    </row>
    <row r="388" spans="1:30" ht="13.8" x14ac:dyDescent="0.25">
      <c r="A388" s="140"/>
      <c r="B388" s="377"/>
      <c r="C388" s="391"/>
      <c r="D388" s="392" t="s">
        <v>529</v>
      </c>
      <c r="E388" s="392" t="s">
        <v>529</v>
      </c>
      <c r="F388" s="392" t="s">
        <v>529</v>
      </c>
      <c r="G388" s="393" t="s">
        <v>529</v>
      </c>
      <c r="H388" s="140"/>
      <c r="I388" s="140"/>
      <c r="J388" s="140"/>
      <c r="K388" s="140"/>
      <c r="L388" s="140"/>
      <c r="M388" s="140"/>
      <c r="N388" s="140"/>
      <c r="O388" s="140"/>
      <c r="P388" s="140"/>
      <c r="Q388" s="140"/>
      <c r="R388" s="140"/>
      <c r="S388" s="140"/>
      <c r="T388" s="140"/>
      <c r="U388" s="140"/>
      <c r="V388" s="140"/>
      <c r="W388" s="140"/>
      <c r="X388" s="140"/>
      <c r="Y388" s="140"/>
      <c r="Z388" s="140"/>
      <c r="AA388" s="140"/>
      <c r="AB388" s="140"/>
      <c r="AC388" s="140"/>
      <c r="AD388" s="140"/>
    </row>
    <row r="389" spans="1:30" ht="16.2" x14ac:dyDescent="0.35">
      <c r="A389" s="140"/>
      <c r="B389" s="394"/>
      <c r="C389" s="395" t="s">
        <v>512</v>
      </c>
      <c r="D389" s="396" t="s">
        <v>544</v>
      </c>
      <c r="E389" s="396" t="s">
        <v>545</v>
      </c>
      <c r="F389" s="396" t="s">
        <v>546</v>
      </c>
      <c r="G389" s="397" t="s">
        <v>86</v>
      </c>
      <c r="H389" s="140"/>
      <c r="I389" s="140"/>
      <c r="J389" s="140"/>
      <c r="K389" s="140"/>
      <c r="L389" s="140"/>
      <c r="M389" s="140"/>
      <c r="N389" s="140"/>
      <c r="O389" s="140"/>
      <c r="P389" s="140"/>
      <c r="Q389" s="140"/>
      <c r="R389" s="140"/>
      <c r="S389" s="140"/>
      <c r="T389" s="140"/>
      <c r="U389" s="140"/>
      <c r="V389" s="140"/>
      <c r="W389" s="140"/>
      <c r="X389" s="140"/>
      <c r="Y389" s="140"/>
      <c r="Z389" s="140"/>
      <c r="AA389" s="140"/>
      <c r="AB389" s="140"/>
      <c r="AC389" s="140"/>
      <c r="AD389" s="140"/>
    </row>
    <row r="390" spans="1:30" ht="16.2" x14ac:dyDescent="0.35">
      <c r="A390" s="140"/>
      <c r="B390" s="398" t="s">
        <v>170</v>
      </c>
      <c r="C390" s="360" t="s">
        <v>531</v>
      </c>
      <c r="D390" s="399" t="s">
        <v>547</v>
      </c>
      <c r="E390" s="399" t="s">
        <v>548</v>
      </c>
      <c r="F390" s="399" t="s">
        <v>549</v>
      </c>
      <c r="G390" s="400" t="s">
        <v>550</v>
      </c>
      <c r="H390" s="140"/>
      <c r="I390" s="140"/>
      <c r="J390" s="140"/>
      <c r="K390" s="140"/>
      <c r="L390" s="140"/>
      <c r="M390" s="140"/>
      <c r="N390" s="140"/>
      <c r="O390" s="140"/>
      <c r="P390" s="140"/>
      <c r="Q390" s="140"/>
      <c r="R390" s="140"/>
      <c r="S390" s="140"/>
      <c r="T390" s="140"/>
      <c r="U390" s="140"/>
      <c r="V390" s="140"/>
      <c r="W390" s="140"/>
      <c r="X390" s="140"/>
      <c r="Y390" s="140"/>
      <c r="Z390" s="140"/>
      <c r="AA390" s="140"/>
      <c r="AB390" s="140"/>
      <c r="AC390" s="140"/>
      <c r="AD390" s="140"/>
    </row>
    <row r="391" spans="1:30" ht="14.4" x14ac:dyDescent="0.3">
      <c r="A391" s="140"/>
      <c r="B391" s="364" t="s">
        <v>187</v>
      </c>
      <c r="C391" s="401">
        <f t="shared" ref="C391:C394" si="20">C377</f>
        <v>41324.469717999993</v>
      </c>
      <c r="D391" s="402">
        <f t="shared" ref="D391:D394" si="21">F352</f>
        <v>3.8770382822730802</v>
      </c>
      <c r="E391" s="403">
        <f t="shared" ref="E391:E394" si="22">G377</f>
        <v>1.7683876587254999E-2</v>
      </c>
      <c r="F391" s="403">
        <f t="shared" ref="F391:F394" si="23">G365</f>
        <v>1.2838972225175584E-2</v>
      </c>
      <c r="G391" s="404">
        <f t="shared" ref="G391:G394" si="24">D391+E391+F391</f>
        <v>3.9075611310855107</v>
      </c>
      <c r="H391" s="140"/>
      <c r="I391" s="140"/>
      <c r="J391" s="140"/>
      <c r="K391" s="140"/>
      <c r="L391" s="140"/>
      <c r="M391" s="140"/>
      <c r="N391" s="140"/>
      <c r="O391" s="140"/>
      <c r="P391" s="140"/>
      <c r="Q391" s="140"/>
      <c r="R391" s="140"/>
      <c r="S391" s="140"/>
      <c r="T391" s="140"/>
      <c r="U391" s="140"/>
      <c r="V391" s="140"/>
      <c r="W391" s="140"/>
      <c r="X391" s="140"/>
      <c r="Y391" s="140"/>
      <c r="Z391" s="140"/>
      <c r="AA391" s="140"/>
      <c r="AB391" s="140"/>
      <c r="AC391" s="140"/>
      <c r="AD391" s="140"/>
    </row>
    <row r="392" spans="1:30" ht="14.4" x14ac:dyDescent="0.3">
      <c r="A392" s="140"/>
      <c r="B392" s="342" t="s">
        <v>522</v>
      </c>
      <c r="C392" s="405">
        <f t="shared" si="20"/>
        <v>1372.7595156700006</v>
      </c>
      <c r="D392" s="406">
        <f t="shared" si="21"/>
        <v>0.10692093898178145</v>
      </c>
      <c r="E392" s="407">
        <f t="shared" si="22"/>
        <v>2.6944615607465153E-4</v>
      </c>
      <c r="F392" s="407">
        <f t="shared" si="23"/>
        <v>1.6346979797399525E-4</v>
      </c>
      <c r="G392" s="408">
        <f t="shared" si="24"/>
        <v>0.10735385493583009</v>
      </c>
      <c r="H392" s="140"/>
      <c r="I392" s="140"/>
      <c r="J392" s="140"/>
      <c r="K392" s="140"/>
      <c r="L392" s="140"/>
      <c r="M392" s="140"/>
      <c r="N392" s="140"/>
      <c r="O392" s="140"/>
      <c r="P392" s="140"/>
      <c r="Q392" s="140"/>
      <c r="R392" s="140"/>
      <c r="S392" s="140"/>
      <c r="T392" s="140"/>
      <c r="U392" s="140"/>
      <c r="V392" s="140"/>
      <c r="W392" s="140"/>
      <c r="X392" s="140"/>
      <c r="Y392" s="140"/>
      <c r="Z392" s="140"/>
      <c r="AA392" s="140"/>
      <c r="AB392" s="140"/>
      <c r="AC392" s="140"/>
      <c r="AD392" s="140"/>
    </row>
    <row r="393" spans="1:30" ht="14.4" x14ac:dyDescent="0.3">
      <c r="A393" s="140"/>
      <c r="B393" s="342" t="s">
        <v>524</v>
      </c>
      <c r="C393" s="405">
        <f t="shared" si="20"/>
        <v>123.99229375600004</v>
      </c>
      <c r="D393" s="406">
        <f t="shared" si="21"/>
        <v>7.9559615304489774E-3</v>
      </c>
      <c r="E393" s="407">
        <f t="shared" si="22"/>
        <v>2.3579334898884221E-5</v>
      </c>
      <c r="F393" s="407">
        <f t="shared" si="23"/>
        <v>1.1812124441382008E-5</v>
      </c>
      <c r="G393" s="408">
        <f t="shared" si="24"/>
        <v>7.9913529897892438E-3</v>
      </c>
      <c r="H393" s="140"/>
      <c r="I393" s="140"/>
      <c r="J393" s="140"/>
      <c r="K393" s="140"/>
      <c r="L393" s="140"/>
      <c r="M393" s="140"/>
      <c r="N393" s="140"/>
      <c r="O393" s="140"/>
      <c r="P393" s="140"/>
      <c r="Q393" s="140"/>
      <c r="R393" s="140"/>
      <c r="S393" s="140"/>
      <c r="T393" s="140"/>
      <c r="U393" s="140"/>
      <c r="V393" s="140"/>
      <c r="W393" s="140"/>
      <c r="X393" s="140"/>
      <c r="Y393" s="140"/>
      <c r="Z393" s="140"/>
      <c r="AA393" s="140"/>
      <c r="AB393" s="140"/>
      <c r="AC393" s="140"/>
      <c r="AD393" s="140"/>
    </row>
    <row r="394" spans="1:30" ht="14.4" x14ac:dyDescent="0.3">
      <c r="A394" s="140"/>
      <c r="B394" s="342" t="s">
        <v>436</v>
      </c>
      <c r="C394" s="405">
        <f t="shared" si="20"/>
        <v>100047.28112100002</v>
      </c>
      <c r="D394" s="406">
        <f t="shared" si="21"/>
        <v>5.2575179156048781</v>
      </c>
      <c r="E394" s="407">
        <f t="shared" si="22"/>
        <v>9.2404288482057576E-3</v>
      </c>
      <c r="F394" s="407">
        <f t="shared" si="23"/>
        <v>2.6610644543183324E-3</v>
      </c>
      <c r="G394" s="408">
        <f t="shared" si="24"/>
        <v>5.2694194089074022</v>
      </c>
      <c r="H394" s="140"/>
      <c r="I394" s="140"/>
      <c r="J394" s="140"/>
      <c r="K394" s="140"/>
      <c r="L394" s="140"/>
      <c r="M394" s="140"/>
      <c r="N394" s="140"/>
      <c r="O394" s="140"/>
      <c r="P394" s="140"/>
      <c r="Q394" s="140"/>
      <c r="R394" s="140"/>
      <c r="S394" s="140"/>
      <c r="T394" s="140"/>
      <c r="U394" s="140"/>
      <c r="V394" s="140"/>
      <c r="W394" s="140"/>
      <c r="X394" s="140"/>
      <c r="Y394" s="140"/>
      <c r="Z394" s="140"/>
      <c r="AA394" s="140"/>
      <c r="AB394" s="140"/>
      <c r="AC394" s="140"/>
      <c r="AD394" s="140"/>
    </row>
    <row r="395" spans="1:30" ht="14.4" x14ac:dyDescent="0.3">
      <c r="A395" s="140"/>
      <c r="B395" s="409" t="s">
        <v>86</v>
      </c>
      <c r="C395" s="410"/>
      <c r="D395" s="411">
        <f t="shared" ref="D395:F395" si="25">SUM(D391:D394)</f>
        <v>9.2494330983901882</v>
      </c>
      <c r="E395" s="411">
        <f t="shared" si="25"/>
        <v>2.7217330926434295E-2</v>
      </c>
      <c r="F395" s="411">
        <f t="shared" si="25"/>
        <v>1.5675318601909294E-2</v>
      </c>
      <c r="G395" s="412">
        <f>SUM(D395:F395)</f>
        <v>9.2923257479185324</v>
      </c>
      <c r="H395" s="140"/>
      <c r="I395" s="140"/>
      <c r="J395" s="140"/>
      <c r="K395" s="140"/>
      <c r="L395" s="140"/>
      <c r="M395" s="140"/>
      <c r="N395" s="140"/>
      <c r="O395" s="140"/>
      <c r="P395" s="140"/>
      <c r="Q395" s="140"/>
      <c r="R395" s="140"/>
      <c r="S395" s="140"/>
      <c r="T395" s="140"/>
      <c r="U395" s="140"/>
      <c r="V395" s="140"/>
      <c r="W395" s="140"/>
      <c r="X395" s="140"/>
      <c r="Y395" s="140"/>
      <c r="Z395" s="140"/>
      <c r="AA395" s="140"/>
      <c r="AB395" s="140"/>
      <c r="AC395" s="140"/>
      <c r="AD395" s="140"/>
    </row>
    <row r="396" spans="1:30" ht="11.25" customHeight="1" x14ac:dyDescent="0.2">
      <c r="A396" s="140"/>
      <c r="B396" s="140"/>
      <c r="C396" s="140"/>
      <c r="D396" s="140"/>
      <c r="E396" s="140"/>
      <c r="F396" s="140"/>
      <c r="G396" s="140"/>
      <c r="H396" s="140"/>
      <c r="I396" s="140"/>
      <c r="J396" s="140"/>
      <c r="K396" s="140"/>
      <c r="L396" s="140"/>
      <c r="M396" s="140"/>
      <c r="N396" s="140"/>
      <c r="O396" s="140"/>
      <c r="P396" s="140"/>
      <c r="Q396" s="140"/>
      <c r="R396" s="140"/>
      <c r="S396" s="140"/>
      <c r="T396" s="140"/>
      <c r="U396" s="140"/>
      <c r="V396" s="140"/>
      <c r="W396" s="140"/>
      <c r="X396" s="140"/>
      <c r="Y396" s="140"/>
      <c r="Z396" s="140"/>
      <c r="AA396" s="140"/>
      <c r="AB396" s="140"/>
      <c r="AC396" s="140"/>
      <c r="AD396" s="140"/>
    </row>
    <row r="397" spans="1:30" ht="11.25" customHeight="1" x14ac:dyDescent="0.2">
      <c r="A397" s="140"/>
      <c r="B397" s="140"/>
      <c r="C397" s="140"/>
      <c r="D397" s="140"/>
      <c r="E397" s="140"/>
      <c r="F397" s="140"/>
      <c r="G397" s="140"/>
      <c r="H397" s="140"/>
      <c r="I397" s="140"/>
      <c r="J397" s="140"/>
      <c r="K397" s="140"/>
      <c r="L397" s="140"/>
      <c r="M397" s="140"/>
      <c r="N397" s="140"/>
      <c r="O397" s="140"/>
      <c r="P397" s="140"/>
      <c r="Q397" s="140"/>
      <c r="R397" s="140"/>
      <c r="S397" s="140"/>
      <c r="T397" s="140"/>
      <c r="U397" s="140"/>
      <c r="V397" s="140"/>
      <c r="W397" s="140"/>
      <c r="X397" s="140"/>
      <c r="Y397" s="140"/>
      <c r="Z397" s="140"/>
      <c r="AA397" s="140"/>
      <c r="AB397" s="140"/>
      <c r="AC397" s="140"/>
      <c r="AD397" s="140"/>
    </row>
    <row r="398" spans="1:30" ht="11.25" customHeight="1" x14ac:dyDescent="0.2">
      <c r="A398" s="140"/>
      <c r="B398" s="140"/>
      <c r="C398" s="140"/>
      <c r="D398" s="140"/>
      <c r="E398" s="140"/>
      <c r="F398" s="140"/>
      <c r="G398" s="140"/>
      <c r="H398" s="140"/>
      <c r="I398" s="140"/>
      <c r="J398" s="140"/>
      <c r="K398" s="140"/>
      <c r="L398" s="140"/>
      <c r="M398" s="140"/>
      <c r="N398" s="140"/>
      <c r="O398" s="140"/>
      <c r="P398" s="140"/>
      <c r="Q398" s="140"/>
      <c r="R398" s="140"/>
      <c r="S398" s="140"/>
      <c r="T398" s="140"/>
      <c r="U398" s="140"/>
      <c r="V398" s="140"/>
      <c r="W398" s="140"/>
      <c r="X398" s="140"/>
      <c r="Y398" s="140"/>
      <c r="Z398" s="140"/>
      <c r="AA398" s="140"/>
      <c r="AB398" s="140"/>
      <c r="AC398" s="140"/>
      <c r="AD398" s="140"/>
    </row>
    <row r="399" spans="1:30" ht="11.25" customHeight="1" x14ac:dyDescent="0.2">
      <c r="A399" s="140"/>
      <c r="B399" s="140"/>
      <c r="C399" s="140"/>
      <c r="D399" s="140"/>
      <c r="E399" s="140"/>
      <c r="F399" s="140"/>
      <c r="G399" s="140"/>
      <c r="H399" s="140"/>
      <c r="I399" s="140"/>
      <c r="J399" s="140"/>
      <c r="K399" s="140"/>
      <c r="L399" s="140"/>
      <c r="M399" s="140"/>
      <c r="N399" s="140"/>
      <c r="O399" s="140"/>
      <c r="P399" s="140"/>
      <c r="Q399" s="140"/>
      <c r="R399" s="140"/>
      <c r="S399" s="140"/>
      <c r="T399" s="140"/>
      <c r="U399" s="140"/>
      <c r="V399" s="140"/>
      <c r="W399" s="140"/>
      <c r="X399" s="140"/>
      <c r="Y399" s="140"/>
      <c r="Z399" s="140"/>
      <c r="AA399" s="140"/>
      <c r="AB399" s="140"/>
      <c r="AC399" s="140"/>
      <c r="AD399" s="140"/>
    </row>
    <row r="400" spans="1:30" ht="11.25" customHeight="1" x14ac:dyDescent="0.2">
      <c r="A400" s="140"/>
      <c r="B400" s="140"/>
      <c r="C400" s="140"/>
      <c r="D400" s="140"/>
      <c r="E400" s="140"/>
      <c r="F400" s="140"/>
      <c r="G400" s="140"/>
      <c r="H400" s="140"/>
      <c r="I400" s="140"/>
      <c r="J400" s="140"/>
      <c r="K400" s="140"/>
      <c r="L400" s="140"/>
      <c r="M400" s="140"/>
      <c r="N400" s="140"/>
      <c r="O400" s="140"/>
      <c r="P400" s="140"/>
      <c r="Q400" s="140"/>
      <c r="R400" s="140"/>
      <c r="S400" s="140"/>
      <c r="T400" s="140"/>
      <c r="U400" s="140"/>
      <c r="V400" s="140"/>
      <c r="W400" s="140"/>
      <c r="X400" s="140"/>
      <c r="Y400" s="140"/>
      <c r="Z400" s="140"/>
      <c r="AA400" s="140"/>
      <c r="AB400" s="140"/>
      <c r="AC400" s="140"/>
      <c r="AD400" s="140"/>
    </row>
    <row r="401" spans="1:30" ht="11.25" customHeight="1" x14ac:dyDescent="0.2">
      <c r="A401" s="140"/>
      <c r="B401" s="140"/>
      <c r="C401" s="140"/>
      <c r="D401" s="140"/>
      <c r="E401" s="140"/>
      <c r="F401" s="140"/>
      <c r="G401" s="140"/>
      <c r="H401" s="140"/>
      <c r="I401" s="140"/>
      <c r="J401" s="140"/>
      <c r="K401" s="140"/>
      <c r="L401" s="140"/>
      <c r="M401" s="140"/>
      <c r="N401" s="140"/>
      <c r="O401" s="140"/>
      <c r="P401" s="140"/>
      <c r="Q401" s="140"/>
      <c r="R401" s="140"/>
      <c r="S401" s="140"/>
      <c r="T401" s="140"/>
      <c r="U401" s="140"/>
      <c r="V401" s="140"/>
      <c r="W401" s="140"/>
      <c r="X401" s="140"/>
      <c r="Y401" s="140"/>
      <c r="Z401" s="140"/>
      <c r="AA401" s="140"/>
      <c r="AB401" s="140"/>
      <c r="AC401" s="140"/>
      <c r="AD401" s="140"/>
    </row>
    <row r="402" spans="1:30" ht="11.25" customHeight="1" x14ac:dyDescent="0.2">
      <c r="A402" s="140"/>
      <c r="B402" s="140"/>
      <c r="C402" s="140"/>
      <c r="D402" s="140"/>
      <c r="E402" s="140"/>
      <c r="F402" s="140"/>
      <c r="G402" s="140"/>
      <c r="H402" s="140"/>
      <c r="I402" s="140"/>
      <c r="J402" s="140"/>
      <c r="K402" s="140"/>
      <c r="L402" s="140"/>
      <c r="M402" s="140"/>
      <c r="N402" s="140"/>
      <c r="O402" s="140"/>
      <c r="P402" s="140"/>
      <c r="Q402" s="140"/>
      <c r="R402" s="140"/>
      <c r="S402" s="140"/>
      <c r="T402" s="140"/>
      <c r="U402" s="140"/>
      <c r="V402" s="140"/>
      <c r="W402" s="140"/>
      <c r="X402" s="140"/>
      <c r="Y402" s="140"/>
      <c r="Z402" s="140"/>
      <c r="AA402" s="140"/>
      <c r="AB402" s="140"/>
      <c r="AC402" s="140"/>
      <c r="AD402" s="140"/>
    </row>
    <row r="403" spans="1:30" ht="11.25" customHeight="1" x14ac:dyDescent="0.2">
      <c r="A403" s="140"/>
      <c r="B403" s="140"/>
      <c r="C403" s="140"/>
      <c r="D403" s="140"/>
      <c r="E403" s="140"/>
      <c r="F403" s="140"/>
      <c r="G403" s="140"/>
      <c r="H403" s="140"/>
      <c r="I403" s="140"/>
      <c r="J403" s="140"/>
      <c r="K403" s="140"/>
      <c r="L403" s="140"/>
      <c r="M403" s="140"/>
      <c r="N403" s="140"/>
      <c r="O403" s="140"/>
      <c r="P403" s="140"/>
      <c r="Q403" s="140"/>
      <c r="R403" s="140"/>
      <c r="S403" s="140"/>
      <c r="T403" s="140"/>
      <c r="U403" s="140"/>
      <c r="V403" s="140"/>
      <c r="W403" s="140"/>
      <c r="X403" s="140"/>
      <c r="Y403" s="140"/>
      <c r="Z403" s="140"/>
      <c r="AA403" s="140"/>
      <c r="AB403" s="140"/>
      <c r="AC403" s="140"/>
      <c r="AD403" s="140"/>
    </row>
    <row r="404" spans="1:30" ht="11.25" customHeight="1" x14ac:dyDescent="0.2">
      <c r="A404" s="140"/>
      <c r="B404" s="140"/>
      <c r="C404" s="140"/>
      <c r="D404" s="140"/>
      <c r="E404" s="140"/>
      <c r="F404" s="140"/>
      <c r="G404" s="140"/>
      <c r="H404" s="140"/>
      <c r="I404" s="140"/>
      <c r="J404" s="140"/>
      <c r="K404" s="140"/>
      <c r="L404" s="140"/>
      <c r="M404" s="140"/>
      <c r="N404" s="140"/>
      <c r="O404" s="140"/>
      <c r="P404" s="140"/>
      <c r="Q404" s="140"/>
      <c r="R404" s="140"/>
      <c r="S404" s="140"/>
      <c r="T404" s="140"/>
      <c r="U404" s="140"/>
      <c r="V404" s="140"/>
      <c r="W404" s="140"/>
      <c r="X404" s="140"/>
      <c r="Y404" s="140"/>
      <c r="Z404" s="140"/>
      <c r="AA404" s="140"/>
      <c r="AB404" s="140"/>
      <c r="AC404" s="140"/>
      <c r="AD404" s="140"/>
    </row>
    <row r="405" spans="1:30" ht="11.25" customHeight="1" x14ac:dyDescent="0.2">
      <c r="A405" s="140"/>
      <c r="B405" s="140"/>
      <c r="C405" s="140"/>
      <c r="D405" s="140"/>
      <c r="E405" s="140"/>
      <c r="F405" s="140"/>
      <c r="G405" s="140"/>
      <c r="H405" s="140"/>
      <c r="I405" s="140"/>
      <c r="J405" s="140"/>
      <c r="K405" s="140"/>
      <c r="L405" s="140"/>
      <c r="M405" s="140"/>
      <c r="N405" s="140"/>
      <c r="O405" s="140"/>
      <c r="P405" s="140"/>
      <c r="Q405" s="140"/>
      <c r="R405" s="140"/>
      <c r="S405" s="140"/>
      <c r="T405" s="140"/>
      <c r="U405" s="140"/>
      <c r="V405" s="140"/>
      <c r="W405" s="140"/>
      <c r="X405" s="140"/>
      <c r="Y405" s="140"/>
      <c r="Z405" s="140"/>
      <c r="AA405" s="140"/>
      <c r="AB405" s="140"/>
      <c r="AC405" s="140"/>
      <c r="AD405" s="140"/>
    </row>
    <row r="406" spans="1:30" ht="11.25" customHeight="1" x14ac:dyDescent="0.2">
      <c r="A406" s="140"/>
      <c r="B406" s="140"/>
      <c r="C406" s="140"/>
      <c r="D406" s="140"/>
      <c r="E406" s="140"/>
      <c r="F406" s="140"/>
      <c r="G406" s="140"/>
      <c r="H406" s="140"/>
      <c r="I406" s="140"/>
      <c r="J406" s="140"/>
      <c r="K406" s="140"/>
      <c r="L406" s="140"/>
      <c r="M406" s="140"/>
      <c r="N406" s="140"/>
      <c r="O406" s="140"/>
      <c r="P406" s="140"/>
      <c r="Q406" s="140"/>
      <c r="R406" s="140"/>
      <c r="S406" s="140"/>
      <c r="T406" s="140"/>
      <c r="U406" s="140"/>
      <c r="V406" s="140"/>
      <c r="W406" s="140"/>
      <c r="X406" s="140"/>
      <c r="Y406" s="140"/>
      <c r="Z406" s="140"/>
      <c r="AA406" s="140"/>
      <c r="AB406" s="140"/>
      <c r="AC406" s="140"/>
      <c r="AD406" s="140"/>
    </row>
    <row r="407" spans="1:30" ht="11.25" customHeight="1" x14ac:dyDescent="0.2">
      <c r="A407" s="140"/>
      <c r="B407" s="140"/>
      <c r="C407" s="140"/>
      <c r="D407" s="140"/>
      <c r="E407" s="140"/>
      <c r="F407" s="140"/>
      <c r="G407" s="140"/>
      <c r="H407" s="140"/>
      <c r="I407" s="140"/>
      <c r="J407" s="140"/>
      <c r="K407" s="140"/>
      <c r="L407" s="140"/>
      <c r="M407" s="140"/>
      <c r="N407" s="140"/>
      <c r="O407" s="140"/>
      <c r="P407" s="140"/>
      <c r="Q407" s="140"/>
      <c r="R407" s="140"/>
      <c r="S407" s="140"/>
      <c r="T407" s="140"/>
      <c r="U407" s="140"/>
      <c r="V407" s="140"/>
      <c r="W407" s="140"/>
      <c r="X407" s="140"/>
      <c r="Y407" s="140"/>
      <c r="Z407" s="140"/>
      <c r="AA407" s="140"/>
      <c r="AB407" s="140"/>
      <c r="AC407" s="140"/>
      <c r="AD407" s="140"/>
    </row>
    <row r="408" spans="1:30" ht="11.25" customHeight="1" x14ac:dyDescent="0.2">
      <c r="A408" s="140"/>
      <c r="B408" s="140"/>
      <c r="C408" s="140"/>
      <c r="D408" s="140"/>
      <c r="E408" s="140"/>
      <c r="F408" s="140"/>
      <c r="G408" s="140"/>
      <c r="H408" s="140"/>
      <c r="I408" s="140"/>
      <c r="J408" s="140"/>
      <c r="K408" s="140"/>
      <c r="L408" s="140"/>
      <c r="M408" s="140"/>
      <c r="N408" s="140"/>
      <c r="O408" s="140"/>
      <c r="P408" s="140"/>
      <c r="Q408" s="140"/>
      <c r="R408" s="140"/>
      <c r="S408" s="140"/>
      <c r="T408" s="140"/>
      <c r="U408" s="140"/>
      <c r="V408" s="140"/>
      <c r="W408" s="140"/>
      <c r="X408" s="140"/>
      <c r="Y408" s="140"/>
      <c r="Z408" s="140"/>
      <c r="AA408" s="140"/>
      <c r="AB408" s="140"/>
      <c r="AC408" s="140"/>
      <c r="AD408" s="140"/>
    </row>
    <row r="409" spans="1:30" ht="11.25" customHeight="1" x14ac:dyDescent="0.2">
      <c r="A409" s="140"/>
      <c r="B409" s="140"/>
      <c r="C409" s="140"/>
      <c r="D409" s="140"/>
      <c r="E409" s="140"/>
      <c r="F409" s="140"/>
      <c r="G409" s="140"/>
      <c r="H409" s="140"/>
      <c r="I409" s="140"/>
      <c r="J409" s="140"/>
      <c r="K409" s="140"/>
      <c r="L409" s="140"/>
      <c r="M409" s="140"/>
      <c r="N409" s="140"/>
      <c r="O409" s="140"/>
      <c r="P409" s="140"/>
      <c r="Q409" s="140"/>
      <c r="R409" s="140"/>
      <c r="S409" s="140"/>
      <c r="T409" s="140"/>
      <c r="U409" s="140"/>
      <c r="V409" s="140"/>
      <c r="W409" s="140"/>
      <c r="X409" s="140"/>
      <c r="Y409" s="140"/>
      <c r="Z409" s="140"/>
      <c r="AA409" s="140"/>
      <c r="AB409" s="140"/>
      <c r="AC409" s="140"/>
      <c r="AD409" s="140"/>
    </row>
    <row r="410" spans="1:30" ht="11.25" customHeight="1" x14ac:dyDescent="0.2">
      <c r="A410" s="140"/>
      <c r="B410" s="140"/>
      <c r="C410" s="140"/>
      <c r="D410" s="140"/>
      <c r="E410" s="140"/>
      <c r="F410" s="140"/>
      <c r="G410" s="140"/>
      <c r="H410" s="140"/>
      <c r="I410" s="140"/>
      <c r="J410" s="140"/>
      <c r="K410" s="140"/>
      <c r="L410" s="140"/>
      <c r="M410" s="140"/>
      <c r="N410" s="140"/>
      <c r="O410" s="140"/>
      <c r="P410" s="140"/>
      <c r="Q410" s="140"/>
      <c r="R410" s="140"/>
      <c r="S410" s="140"/>
      <c r="T410" s="140"/>
      <c r="U410" s="140"/>
      <c r="V410" s="140"/>
      <c r="W410" s="140"/>
      <c r="X410" s="140"/>
      <c r="Y410" s="140"/>
      <c r="Z410" s="140"/>
      <c r="AA410" s="140"/>
      <c r="AB410" s="140"/>
      <c r="AC410" s="140"/>
      <c r="AD410" s="140"/>
    </row>
    <row r="411" spans="1:30" ht="11.25" customHeight="1" x14ac:dyDescent="0.2">
      <c r="A411" s="140"/>
      <c r="B411" s="140"/>
      <c r="C411" s="140"/>
      <c r="D411" s="140"/>
      <c r="E411" s="140"/>
      <c r="F411" s="140"/>
      <c r="G411" s="140"/>
      <c r="H411" s="140"/>
      <c r="I411" s="140"/>
      <c r="J411" s="140"/>
      <c r="K411" s="140"/>
      <c r="L411" s="140"/>
      <c r="M411" s="140"/>
      <c r="N411" s="140"/>
      <c r="O411" s="140"/>
      <c r="P411" s="140"/>
      <c r="Q411" s="140"/>
      <c r="R411" s="140"/>
      <c r="S411" s="140"/>
      <c r="T411" s="140"/>
      <c r="U411" s="140"/>
      <c r="V411" s="140"/>
      <c r="W411" s="140"/>
      <c r="X411" s="140"/>
      <c r="Y411" s="140"/>
      <c r="Z411" s="140"/>
      <c r="AA411" s="140"/>
      <c r="AB411" s="140"/>
      <c r="AC411" s="140"/>
      <c r="AD411" s="140"/>
    </row>
    <row r="412" spans="1:30" ht="11.25" customHeight="1" x14ac:dyDescent="0.2">
      <c r="A412" s="140"/>
      <c r="B412" s="140"/>
      <c r="C412" s="140"/>
      <c r="D412" s="140"/>
      <c r="E412" s="140"/>
      <c r="F412" s="140"/>
      <c r="G412" s="140"/>
      <c r="H412" s="140"/>
      <c r="I412" s="140"/>
      <c r="J412" s="140"/>
      <c r="K412" s="140"/>
      <c r="L412" s="140"/>
      <c r="M412" s="140"/>
      <c r="N412" s="140"/>
      <c r="O412" s="140"/>
      <c r="P412" s="140"/>
      <c r="Q412" s="140"/>
      <c r="R412" s="140"/>
      <c r="S412" s="140"/>
      <c r="T412" s="140"/>
      <c r="U412" s="140"/>
      <c r="V412" s="140"/>
      <c r="W412" s="140"/>
      <c r="X412" s="140"/>
      <c r="Y412" s="140"/>
      <c r="Z412" s="140"/>
      <c r="AA412" s="140"/>
      <c r="AB412" s="140"/>
      <c r="AC412" s="140"/>
      <c r="AD412" s="140"/>
    </row>
    <row r="413" spans="1:30" ht="11.25" customHeight="1" x14ac:dyDescent="0.2">
      <c r="A413" s="140"/>
      <c r="B413" s="140"/>
      <c r="C413" s="140"/>
      <c r="D413" s="140"/>
      <c r="E413" s="140"/>
      <c r="F413" s="140"/>
      <c r="G413" s="140"/>
      <c r="H413" s="140"/>
      <c r="I413" s="140"/>
      <c r="J413" s="140"/>
      <c r="K413" s="140"/>
      <c r="L413" s="140"/>
      <c r="M413" s="140"/>
      <c r="N413" s="140"/>
      <c r="O413" s="140"/>
      <c r="P413" s="140"/>
      <c r="Q413" s="140"/>
      <c r="R413" s="140"/>
      <c r="S413" s="140"/>
      <c r="T413" s="140"/>
      <c r="U413" s="140"/>
      <c r="V413" s="140"/>
      <c r="W413" s="140"/>
      <c r="X413" s="140"/>
      <c r="Y413" s="140"/>
      <c r="Z413" s="140"/>
      <c r="AA413" s="140"/>
      <c r="AB413" s="140"/>
      <c r="AC413" s="140"/>
      <c r="AD413" s="140"/>
    </row>
    <row r="414" spans="1:30" ht="11.25" customHeight="1" x14ac:dyDescent="0.2">
      <c r="A414" s="140"/>
      <c r="B414" s="140"/>
      <c r="C414" s="140"/>
      <c r="D414" s="140"/>
      <c r="E414" s="140"/>
      <c r="F414" s="140"/>
      <c r="G414" s="140"/>
      <c r="H414" s="140"/>
      <c r="I414" s="140"/>
      <c r="J414" s="140"/>
      <c r="K414" s="140"/>
      <c r="L414" s="140"/>
      <c r="M414" s="140"/>
      <c r="N414" s="140"/>
      <c r="O414" s="140"/>
      <c r="P414" s="140"/>
      <c r="Q414" s="140"/>
      <c r="R414" s="140"/>
      <c r="S414" s="140"/>
      <c r="T414" s="140"/>
      <c r="U414" s="140"/>
      <c r="V414" s="140"/>
      <c r="W414" s="140"/>
      <c r="X414" s="140"/>
      <c r="Y414" s="140"/>
      <c r="Z414" s="140"/>
      <c r="AA414" s="140"/>
      <c r="AB414" s="140"/>
      <c r="AC414" s="140"/>
      <c r="AD414" s="140"/>
    </row>
    <row r="415" spans="1:30" ht="11.25" customHeight="1" x14ac:dyDescent="0.2">
      <c r="A415" s="140"/>
      <c r="B415" s="140"/>
      <c r="C415" s="140"/>
      <c r="D415" s="140"/>
      <c r="E415" s="140"/>
      <c r="F415" s="140"/>
      <c r="G415" s="140"/>
      <c r="H415" s="140"/>
      <c r="I415" s="140"/>
      <c r="J415" s="140"/>
      <c r="K415" s="140"/>
      <c r="L415" s="140"/>
      <c r="M415" s="140"/>
      <c r="N415" s="140"/>
      <c r="O415" s="140"/>
      <c r="P415" s="140"/>
      <c r="Q415" s="140"/>
      <c r="R415" s="140"/>
      <c r="S415" s="140"/>
      <c r="T415" s="140"/>
      <c r="U415" s="140"/>
      <c r="V415" s="140"/>
      <c r="W415" s="140"/>
      <c r="X415" s="140"/>
      <c r="Y415" s="140"/>
      <c r="Z415" s="140"/>
      <c r="AA415" s="140"/>
      <c r="AB415" s="140"/>
      <c r="AC415" s="140"/>
      <c r="AD415" s="140"/>
    </row>
    <row r="416" spans="1:30" ht="11.25" customHeight="1" x14ac:dyDescent="0.2">
      <c r="A416" s="140"/>
      <c r="B416" s="140"/>
      <c r="C416" s="140"/>
      <c r="D416" s="140"/>
      <c r="E416" s="140"/>
      <c r="F416" s="140"/>
      <c r="G416" s="140"/>
      <c r="H416" s="140"/>
      <c r="I416" s="140"/>
      <c r="J416" s="140"/>
      <c r="K416" s="140"/>
      <c r="L416" s="140"/>
      <c r="M416" s="140"/>
      <c r="N416" s="140"/>
      <c r="O416" s="140"/>
      <c r="P416" s="140"/>
      <c r="Q416" s="140"/>
      <c r="R416" s="140"/>
      <c r="S416" s="140"/>
      <c r="T416" s="140"/>
      <c r="U416" s="140"/>
      <c r="V416" s="140"/>
      <c r="W416" s="140"/>
      <c r="X416" s="140"/>
      <c r="Y416" s="140"/>
      <c r="Z416" s="140"/>
      <c r="AA416" s="140"/>
      <c r="AB416" s="140"/>
      <c r="AC416" s="140"/>
      <c r="AD416" s="140"/>
    </row>
    <row r="417" spans="1:30" ht="11.25" customHeight="1" x14ac:dyDescent="0.2">
      <c r="A417" s="140"/>
      <c r="B417" s="140"/>
      <c r="C417" s="140"/>
      <c r="D417" s="140"/>
      <c r="E417" s="140"/>
      <c r="F417" s="140"/>
      <c r="G417" s="140"/>
      <c r="H417" s="140"/>
      <c r="I417" s="140"/>
      <c r="J417" s="140"/>
      <c r="K417" s="140"/>
      <c r="L417" s="140"/>
      <c r="M417" s="140"/>
      <c r="N417" s="140"/>
      <c r="O417" s="140"/>
      <c r="P417" s="140"/>
      <c r="Q417" s="140"/>
      <c r="R417" s="140"/>
      <c r="S417" s="140"/>
      <c r="T417" s="140"/>
      <c r="U417" s="140"/>
      <c r="V417" s="140"/>
      <c r="W417" s="140"/>
      <c r="X417" s="140"/>
      <c r="Y417" s="140"/>
      <c r="Z417" s="140"/>
      <c r="AA417" s="140"/>
      <c r="AB417" s="140"/>
      <c r="AC417" s="140"/>
      <c r="AD417" s="140"/>
    </row>
    <row r="418" spans="1:30" ht="11.25" customHeight="1" x14ac:dyDescent="0.2">
      <c r="A418" s="140"/>
      <c r="B418" s="140"/>
      <c r="C418" s="140"/>
      <c r="D418" s="140"/>
      <c r="E418" s="140"/>
      <c r="F418" s="140"/>
      <c r="G418" s="140"/>
      <c r="H418" s="140"/>
      <c r="I418" s="140"/>
      <c r="J418" s="140"/>
      <c r="K418" s="140"/>
      <c r="L418" s="140"/>
      <c r="M418" s="140"/>
      <c r="N418" s="140"/>
      <c r="O418" s="140"/>
      <c r="P418" s="140"/>
      <c r="Q418" s="140"/>
      <c r="R418" s="140"/>
      <c r="S418" s="140"/>
      <c r="T418" s="140"/>
      <c r="U418" s="140"/>
      <c r="V418" s="140"/>
      <c r="W418" s="140"/>
      <c r="X418" s="140"/>
      <c r="Y418" s="140"/>
      <c r="Z418" s="140"/>
      <c r="AA418" s="140"/>
      <c r="AB418" s="140"/>
      <c r="AC418" s="140"/>
      <c r="AD418" s="140"/>
    </row>
    <row r="419" spans="1:30" ht="11.25" customHeight="1" x14ac:dyDescent="0.2">
      <c r="A419" s="140"/>
      <c r="B419" s="140"/>
      <c r="C419" s="140"/>
      <c r="D419" s="140"/>
      <c r="E419" s="140"/>
      <c r="F419" s="140"/>
      <c r="G419" s="140"/>
      <c r="H419" s="140"/>
      <c r="I419" s="140"/>
      <c r="J419" s="140"/>
      <c r="K419" s="140"/>
      <c r="L419" s="140"/>
      <c r="M419" s="140"/>
      <c r="N419" s="140"/>
      <c r="O419" s="140"/>
      <c r="P419" s="140"/>
      <c r="Q419" s="140"/>
      <c r="R419" s="140"/>
      <c r="S419" s="140"/>
      <c r="T419" s="140"/>
      <c r="U419" s="140"/>
      <c r="V419" s="140"/>
      <c r="W419" s="140"/>
      <c r="X419" s="140"/>
      <c r="Y419" s="140"/>
      <c r="Z419" s="140"/>
      <c r="AA419" s="140"/>
      <c r="AB419" s="140"/>
      <c r="AC419" s="140"/>
      <c r="AD419" s="140"/>
    </row>
    <row r="420" spans="1:30" ht="11.25" customHeight="1" x14ac:dyDescent="0.2">
      <c r="A420" s="140"/>
      <c r="B420" s="140"/>
      <c r="C420" s="140"/>
      <c r="D420" s="140"/>
      <c r="E420" s="140"/>
      <c r="F420" s="140"/>
      <c r="G420" s="140"/>
      <c r="H420" s="140"/>
      <c r="I420" s="140"/>
      <c r="J420" s="140"/>
      <c r="K420" s="140"/>
      <c r="L420" s="140"/>
      <c r="M420" s="140"/>
      <c r="N420" s="140"/>
      <c r="O420" s="140"/>
      <c r="P420" s="140"/>
      <c r="Q420" s="140"/>
      <c r="R420" s="140"/>
      <c r="S420" s="140"/>
      <c r="T420" s="140"/>
      <c r="U420" s="140"/>
      <c r="V420" s="140"/>
      <c r="W420" s="140"/>
      <c r="X420" s="140"/>
      <c r="Y420" s="140"/>
      <c r="Z420" s="140"/>
      <c r="AA420" s="140"/>
      <c r="AB420" s="140"/>
      <c r="AC420" s="140"/>
      <c r="AD420" s="140"/>
    </row>
    <row r="421" spans="1:30" ht="11.25" customHeight="1" x14ac:dyDescent="0.2">
      <c r="A421" s="140"/>
      <c r="B421" s="140"/>
      <c r="C421" s="140"/>
      <c r="D421" s="140"/>
      <c r="E421" s="140"/>
      <c r="F421" s="140"/>
      <c r="G421" s="140"/>
      <c r="H421" s="140"/>
      <c r="I421" s="140"/>
      <c r="J421" s="140"/>
      <c r="K421" s="140"/>
      <c r="L421" s="140"/>
      <c r="M421" s="140"/>
      <c r="N421" s="140"/>
      <c r="O421" s="140"/>
      <c r="P421" s="140"/>
      <c r="Q421" s="140"/>
      <c r="R421" s="140"/>
      <c r="S421" s="140"/>
      <c r="T421" s="140"/>
      <c r="U421" s="140"/>
      <c r="V421" s="140"/>
      <c r="W421" s="140"/>
      <c r="X421" s="140"/>
      <c r="Y421" s="140"/>
      <c r="Z421" s="140"/>
      <c r="AA421" s="140"/>
      <c r="AB421" s="140"/>
      <c r="AC421" s="140"/>
      <c r="AD421" s="140"/>
    </row>
    <row r="422" spans="1:30" ht="11.25" customHeight="1" x14ac:dyDescent="0.2">
      <c r="A422" s="140"/>
      <c r="B422" s="140"/>
      <c r="C422" s="140"/>
      <c r="D422" s="140"/>
      <c r="E422" s="140"/>
      <c r="F422" s="140"/>
      <c r="G422" s="140"/>
      <c r="H422" s="140"/>
      <c r="I422" s="140"/>
      <c r="J422" s="140"/>
      <c r="K422" s="140"/>
      <c r="L422" s="140"/>
      <c r="M422" s="140"/>
      <c r="N422" s="140"/>
      <c r="O422" s="140"/>
      <c r="P422" s="140"/>
      <c r="Q422" s="140"/>
      <c r="R422" s="140"/>
      <c r="S422" s="140"/>
      <c r="T422" s="140"/>
      <c r="U422" s="140"/>
      <c r="V422" s="140"/>
      <c r="W422" s="140"/>
      <c r="X422" s="140"/>
      <c r="Y422" s="140"/>
      <c r="Z422" s="140"/>
      <c r="AA422" s="140"/>
      <c r="AB422" s="140"/>
      <c r="AC422" s="140"/>
      <c r="AD422" s="140"/>
    </row>
    <row r="423" spans="1:30" ht="11.25" customHeight="1" x14ac:dyDescent="0.2">
      <c r="A423" s="140"/>
      <c r="B423" s="140"/>
      <c r="C423" s="140"/>
      <c r="D423" s="140"/>
      <c r="E423" s="140"/>
      <c r="F423" s="140"/>
      <c r="G423" s="140"/>
      <c r="H423" s="140"/>
      <c r="I423" s="140"/>
      <c r="J423" s="140"/>
      <c r="K423" s="140"/>
      <c r="L423" s="140"/>
      <c r="M423" s="140"/>
      <c r="N423" s="140"/>
      <c r="O423" s="140"/>
      <c r="P423" s="140"/>
      <c r="Q423" s="140"/>
      <c r="R423" s="140"/>
      <c r="S423" s="140"/>
      <c r="T423" s="140"/>
      <c r="U423" s="140"/>
      <c r="V423" s="140"/>
      <c r="W423" s="140"/>
      <c r="X423" s="140"/>
      <c r="Y423" s="140"/>
      <c r="Z423" s="140"/>
      <c r="AA423" s="140"/>
      <c r="AB423" s="140"/>
      <c r="AC423" s="140"/>
      <c r="AD423" s="140"/>
    </row>
    <row r="424" spans="1:30" ht="11.25" customHeight="1" x14ac:dyDescent="0.2">
      <c r="A424" s="140"/>
      <c r="B424" s="140"/>
      <c r="C424" s="140"/>
      <c r="D424" s="140"/>
      <c r="E424" s="140"/>
      <c r="F424" s="140"/>
      <c r="G424" s="140"/>
      <c r="H424" s="140"/>
      <c r="I424" s="140"/>
      <c r="J424" s="140"/>
      <c r="K424" s="140"/>
      <c r="L424" s="140"/>
      <c r="M424" s="140"/>
      <c r="N424" s="140"/>
      <c r="O424" s="140"/>
      <c r="P424" s="140"/>
      <c r="Q424" s="140"/>
      <c r="R424" s="140"/>
      <c r="S424" s="140"/>
      <c r="T424" s="140"/>
      <c r="U424" s="140"/>
      <c r="V424" s="140"/>
      <c r="W424" s="140"/>
      <c r="X424" s="140"/>
      <c r="Y424" s="140"/>
      <c r="Z424" s="140"/>
      <c r="AA424" s="140"/>
      <c r="AB424" s="140"/>
      <c r="AC424" s="140"/>
      <c r="AD424" s="140"/>
    </row>
    <row r="425" spans="1:30" ht="11.25" customHeight="1" x14ac:dyDescent="0.2">
      <c r="A425" s="140"/>
      <c r="B425" s="140"/>
      <c r="C425" s="140"/>
      <c r="D425" s="140"/>
      <c r="E425" s="140"/>
      <c r="F425" s="140"/>
      <c r="G425" s="140"/>
      <c r="H425" s="140"/>
      <c r="I425" s="140"/>
      <c r="J425" s="140"/>
      <c r="K425" s="140"/>
      <c r="L425" s="140"/>
      <c r="M425" s="140"/>
      <c r="N425" s="140"/>
      <c r="O425" s="140"/>
      <c r="P425" s="140"/>
      <c r="Q425" s="140"/>
      <c r="R425" s="140"/>
      <c r="S425" s="140"/>
      <c r="T425" s="140"/>
      <c r="U425" s="140"/>
      <c r="V425" s="140"/>
      <c r="W425" s="140"/>
      <c r="X425" s="140"/>
      <c r="Y425" s="140"/>
      <c r="Z425" s="140"/>
      <c r="AA425" s="140"/>
      <c r="AB425" s="140"/>
      <c r="AC425" s="140"/>
      <c r="AD425" s="140"/>
    </row>
    <row r="426" spans="1:30" ht="11.25" customHeight="1" x14ac:dyDescent="0.2">
      <c r="A426" s="140"/>
      <c r="B426" s="140"/>
      <c r="C426" s="140"/>
      <c r="D426" s="140"/>
      <c r="E426" s="140"/>
      <c r="F426" s="140"/>
      <c r="G426" s="140"/>
      <c r="H426" s="140"/>
      <c r="I426" s="140"/>
      <c r="J426" s="140"/>
      <c r="K426" s="140"/>
      <c r="L426" s="140"/>
      <c r="M426" s="140"/>
      <c r="N426" s="140"/>
      <c r="O426" s="140"/>
      <c r="P426" s="140"/>
      <c r="Q426" s="140"/>
      <c r="R426" s="140"/>
      <c r="S426" s="140"/>
      <c r="T426" s="140"/>
      <c r="U426" s="140"/>
      <c r="V426" s="140"/>
      <c r="W426" s="140"/>
      <c r="X426" s="140"/>
      <c r="Y426" s="140"/>
      <c r="Z426" s="140"/>
      <c r="AA426" s="140"/>
      <c r="AB426" s="140"/>
      <c r="AC426" s="140"/>
      <c r="AD426" s="140"/>
    </row>
    <row r="427" spans="1:30" ht="11.25" customHeight="1" x14ac:dyDescent="0.2">
      <c r="A427" s="140"/>
      <c r="B427" s="140"/>
      <c r="C427" s="140"/>
      <c r="D427" s="140"/>
      <c r="E427" s="140"/>
      <c r="F427" s="140"/>
      <c r="G427" s="140"/>
      <c r="H427" s="140"/>
      <c r="I427" s="140"/>
      <c r="J427" s="140"/>
      <c r="K427" s="140"/>
      <c r="L427" s="140"/>
      <c r="M427" s="140"/>
      <c r="N427" s="140"/>
      <c r="O427" s="140"/>
      <c r="P427" s="140"/>
      <c r="Q427" s="140"/>
      <c r="R427" s="140"/>
      <c r="S427" s="140"/>
      <c r="T427" s="140"/>
      <c r="U427" s="140"/>
      <c r="V427" s="140"/>
      <c r="W427" s="140"/>
      <c r="X427" s="140"/>
      <c r="Y427" s="140"/>
      <c r="Z427" s="140"/>
      <c r="AA427" s="140"/>
      <c r="AB427" s="140"/>
      <c r="AC427" s="140"/>
      <c r="AD427" s="140"/>
    </row>
    <row r="428" spans="1:30" ht="11.25" customHeight="1" x14ac:dyDescent="0.2">
      <c r="A428" s="140"/>
      <c r="B428" s="140"/>
      <c r="C428" s="140"/>
      <c r="D428" s="140"/>
      <c r="E428" s="140"/>
      <c r="F428" s="140"/>
      <c r="G428" s="140"/>
      <c r="H428" s="140"/>
      <c r="I428" s="140"/>
      <c r="J428" s="140"/>
      <c r="K428" s="140"/>
      <c r="L428" s="140"/>
      <c r="M428" s="140"/>
      <c r="N428" s="140"/>
      <c r="O428" s="140"/>
      <c r="P428" s="140"/>
      <c r="Q428" s="140"/>
      <c r="R428" s="140"/>
      <c r="S428" s="140"/>
      <c r="T428" s="140"/>
      <c r="U428" s="140"/>
      <c r="V428" s="140"/>
      <c r="W428" s="140"/>
      <c r="X428" s="140"/>
      <c r="Y428" s="140"/>
      <c r="Z428" s="140"/>
      <c r="AA428" s="140"/>
      <c r="AB428" s="140"/>
      <c r="AC428" s="140"/>
      <c r="AD428" s="140"/>
    </row>
    <row r="429" spans="1:30" ht="11.25" customHeight="1" x14ac:dyDescent="0.2">
      <c r="A429" s="140"/>
      <c r="B429" s="140"/>
      <c r="C429" s="140"/>
      <c r="D429" s="140"/>
      <c r="E429" s="140"/>
      <c r="F429" s="140"/>
      <c r="G429" s="140"/>
      <c r="H429" s="140"/>
      <c r="I429" s="140"/>
      <c r="J429" s="140"/>
      <c r="K429" s="140"/>
      <c r="L429" s="140"/>
      <c r="M429" s="140"/>
      <c r="N429" s="140"/>
      <c r="O429" s="140"/>
      <c r="P429" s="140"/>
      <c r="Q429" s="140"/>
      <c r="R429" s="140"/>
      <c r="S429" s="140"/>
      <c r="T429" s="140"/>
      <c r="U429" s="140"/>
      <c r="V429" s="140"/>
      <c r="W429" s="140"/>
      <c r="X429" s="140"/>
      <c r="Y429" s="140"/>
      <c r="Z429" s="140"/>
      <c r="AA429" s="140"/>
      <c r="AB429" s="140"/>
      <c r="AC429" s="140"/>
      <c r="AD429" s="140"/>
    </row>
    <row r="430" spans="1:30" ht="11.25" customHeight="1" x14ac:dyDescent="0.2">
      <c r="A430" s="140"/>
      <c r="B430" s="140"/>
      <c r="C430" s="140"/>
      <c r="D430" s="140"/>
      <c r="E430" s="140"/>
      <c r="F430" s="140"/>
      <c r="G430" s="140"/>
      <c r="H430" s="140"/>
      <c r="I430" s="140"/>
      <c r="J430" s="140"/>
      <c r="K430" s="140"/>
      <c r="L430" s="140"/>
      <c r="M430" s="140"/>
      <c r="N430" s="140"/>
      <c r="O430" s="140"/>
      <c r="P430" s="140"/>
      <c r="Q430" s="140"/>
      <c r="R430" s="140"/>
      <c r="S430" s="140"/>
      <c r="T430" s="140"/>
      <c r="U430" s="140"/>
      <c r="V430" s="140"/>
      <c r="W430" s="140"/>
      <c r="X430" s="140"/>
      <c r="Y430" s="140"/>
      <c r="Z430" s="140"/>
      <c r="AA430" s="140"/>
      <c r="AB430" s="140"/>
      <c r="AC430" s="140"/>
      <c r="AD430" s="140"/>
    </row>
    <row r="431" spans="1:30" ht="11.25" customHeight="1" x14ac:dyDescent="0.2">
      <c r="A431" s="140"/>
      <c r="B431" s="140"/>
      <c r="C431" s="140"/>
      <c r="D431" s="140"/>
      <c r="E431" s="140"/>
      <c r="F431" s="140"/>
      <c r="G431" s="140"/>
      <c r="H431" s="140"/>
      <c r="I431" s="140"/>
      <c r="J431" s="140"/>
      <c r="K431" s="140"/>
      <c r="L431" s="140"/>
      <c r="M431" s="140"/>
      <c r="N431" s="140"/>
      <c r="O431" s="140"/>
      <c r="P431" s="140"/>
      <c r="Q431" s="140"/>
      <c r="R431" s="140"/>
      <c r="S431" s="140"/>
      <c r="T431" s="140"/>
      <c r="U431" s="140"/>
      <c r="V431" s="140"/>
      <c r="W431" s="140"/>
      <c r="X431" s="140"/>
      <c r="Y431" s="140"/>
      <c r="Z431" s="140"/>
      <c r="AA431" s="140"/>
      <c r="AB431" s="140"/>
      <c r="AC431" s="140"/>
      <c r="AD431" s="140"/>
    </row>
    <row r="432" spans="1:30" ht="11.25" customHeight="1" x14ac:dyDescent="0.2">
      <c r="A432" s="140"/>
      <c r="B432" s="140"/>
      <c r="C432" s="140"/>
      <c r="D432" s="140"/>
      <c r="E432" s="140"/>
      <c r="F432" s="140"/>
      <c r="G432" s="140"/>
      <c r="H432" s="140"/>
      <c r="I432" s="140"/>
      <c r="J432" s="140"/>
      <c r="K432" s="140"/>
      <c r="L432" s="140"/>
      <c r="M432" s="140"/>
      <c r="N432" s="140"/>
      <c r="O432" s="140"/>
      <c r="P432" s="140"/>
      <c r="Q432" s="140"/>
      <c r="R432" s="140"/>
      <c r="S432" s="140"/>
      <c r="T432" s="140"/>
      <c r="U432" s="140"/>
      <c r="V432" s="140"/>
      <c r="W432" s="140"/>
      <c r="X432" s="140"/>
      <c r="Y432" s="140"/>
      <c r="Z432" s="140"/>
      <c r="AA432" s="140"/>
      <c r="AB432" s="140"/>
      <c r="AC432" s="140"/>
      <c r="AD432" s="140"/>
    </row>
    <row r="433" spans="1:30" ht="11.25" customHeight="1" x14ac:dyDescent="0.2">
      <c r="A433" s="140"/>
      <c r="B433" s="140"/>
      <c r="C433" s="140"/>
      <c r="D433" s="140"/>
      <c r="E433" s="140"/>
      <c r="F433" s="140"/>
      <c r="G433" s="140"/>
      <c r="H433" s="140"/>
      <c r="I433" s="140"/>
      <c r="J433" s="140"/>
      <c r="K433" s="140"/>
      <c r="L433" s="140"/>
      <c r="M433" s="140"/>
      <c r="N433" s="140"/>
      <c r="O433" s="140"/>
      <c r="P433" s="140"/>
      <c r="Q433" s="140"/>
      <c r="R433" s="140"/>
      <c r="S433" s="140"/>
      <c r="T433" s="140"/>
      <c r="U433" s="140"/>
      <c r="V433" s="140"/>
      <c r="W433" s="140"/>
      <c r="X433" s="140"/>
      <c r="Y433" s="140"/>
      <c r="Z433" s="140"/>
      <c r="AA433" s="140"/>
      <c r="AB433" s="140"/>
      <c r="AC433" s="140"/>
      <c r="AD433" s="140"/>
    </row>
    <row r="434" spans="1:30" ht="11.25" customHeight="1" x14ac:dyDescent="0.2">
      <c r="A434" s="140"/>
      <c r="B434" s="140"/>
      <c r="C434" s="140"/>
      <c r="D434" s="140"/>
      <c r="E434" s="140"/>
      <c r="F434" s="140"/>
      <c r="G434" s="140"/>
      <c r="H434" s="140"/>
      <c r="I434" s="140"/>
      <c r="J434" s="140"/>
      <c r="K434" s="140"/>
      <c r="L434" s="140"/>
      <c r="M434" s="140"/>
      <c r="N434" s="140"/>
      <c r="O434" s="140"/>
      <c r="P434" s="140"/>
      <c r="Q434" s="140"/>
      <c r="R434" s="140"/>
      <c r="S434" s="140"/>
      <c r="T434" s="140"/>
      <c r="U434" s="140"/>
      <c r="V434" s="140"/>
      <c r="W434" s="140"/>
      <c r="X434" s="140"/>
      <c r="Y434" s="140"/>
      <c r="Z434" s="140"/>
      <c r="AA434" s="140"/>
      <c r="AB434" s="140"/>
      <c r="AC434" s="140"/>
      <c r="AD434" s="140"/>
    </row>
    <row r="435" spans="1:30" ht="11.25" customHeight="1" x14ac:dyDescent="0.2">
      <c r="A435" s="140"/>
      <c r="B435" s="140"/>
      <c r="C435" s="140"/>
      <c r="D435" s="140"/>
      <c r="E435" s="140"/>
      <c r="F435" s="140"/>
      <c r="G435" s="140"/>
      <c r="H435" s="140"/>
      <c r="I435" s="140"/>
      <c r="J435" s="140"/>
      <c r="K435" s="140"/>
      <c r="L435" s="140"/>
      <c r="M435" s="140"/>
      <c r="N435" s="140"/>
      <c r="O435" s="140"/>
      <c r="P435" s="140"/>
      <c r="Q435" s="140"/>
      <c r="R435" s="140"/>
      <c r="S435" s="140"/>
      <c r="T435" s="140"/>
      <c r="U435" s="140"/>
      <c r="V435" s="140"/>
      <c r="W435" s="140"/>
      <c r="X435" s="140"/>
      <c r="Y435" s="140"/>
      <c r="Z435" s="140"/>
      <c r="AA435" s="140"/>
      <c r="AB435" s="140"/>
      <c r="AC435" s="140"/>
      <c r="AD435" s="140"/>
    </row>
    <row r="436" spans="1:30" ht="11.25" customHeight="1" x14ac:dyDescent="0.2">
      <c r="A436" s="140"/>
      <c r="B436" s="140"/>
      <c r="C436" s="140"/>
      <c r="D436" s="140"/>
      <c r="E436" s="140"/>
      <c r="F436" s="140"/>
      <c r="G436" s="140"/>
      <c r="H436" s="140"/>
      <c r="I436" s="140"/>
      <c r="J436" s="140"/>
      <c r="K436" s="140"/>
      <c r="L436" s="140"/>
      <c r="M436" s="140"/>
      <c r="N436" s="140"/>
      <c r="O436" s="140"/>
      <c r="P436" s="140"/>
      <c r="Q436" s="140"/>
      <c r="R436" s="140"/>
      <c r="S436" s="140"/>
      <c r="T436" s="140"/>
      <c r="U436" s="140"/>
      <c r="V436" s="140"/>
      <c r="W436" s="140"/>
      <c r="X436" s="140"/>
      <c r="Y436" s="140"/>
      <c r="Z436" s="140"/>
      <c r="AA436" s="140"/>
      <c r="AB436" s="140"/>
      <c r="AC436" s="140"/>
      <c r="AD436" s="140"/>
    </row>
    <row r="437" spans="1:30" ht="11.25" customHeight="1" x14ac:dyDescent="0.2">
      <c r="A437" s="140"/>
      <c r="B437" s="140"/>
      <c r="C437" s="140"/>
      <c r="D437" s="140"/>
      <c r="E437" s="140"/>
      <c r="F437" s="140"/>
      <c r="G437" s="140"/>
      <c r="H437" s="140"/>
      <c r="I437" s="140"/>
      <c r="J437" s="140"/>
      <c r="K437" s="140"/>
      <c r="L437" s="140"/>
      <c r="M437" s="140"/>
      <c r="N437" s="140"/>
      <c r="O437" s="140"/>
      <c r="P437" s="140"/>
      <c r="Q437" s="140"/>
      <c r="R437" s="140"/>
      <c r="S437" s="140"/>
      <c r="T437" s="140"/>
      <c r="U437" s="140"/>
      <c r="V437" s="140"/>
      <c r="W437" s="140"/>
      <c r="X437" s="140"/>
      <c r="Y437" s="140"/>
      <c r="Z437" s="140"/>
      <c r="AA437" s="140"/>
      <c r="AB437" s="140"/>
      <c r="AC437" s="140"/>
      <c r="AD437" s="140"/>
    </row>
    <row r="438" spans="1:30" ht="11.25" customHeight="1" x14ac:dyDescent="0.2">
      <c r="A438" s="140"/>
      <c r="B438" s="140"/>
      <c r="C438" s="140"/>
      <c r="D438" s="140"/>
      <c r="E438" s="140"/>
      <c r="F438" s="140"/>
      <c r="G438" s="140"/>
      <c r="H438" s="140"/>
      <c r="I438" s="140"/>
      <c r="J438" s="140"/>
      <c r="K438" s="140"/>
      <c r="L438" s="140"/>
      <c r="M438" s="140"/>
      <c r="N438" s="140"/>
      <c r="O438" s="140"/>
      <c r="P438" s="140"/>
      <c r="Q438" s="140"/>
      <c r="R438" s="140"/>
      <c r="S438" s="140"/>
      <c r="T438" s="140"/>
      <c r="U438" s="140"/>
      <c r="V438" s="140"/>
      <c r="W438" s="140"/>
      <c r="X438" s="140"/>
      <c r="Y438" s="140"/>
      <c r="Z438" s="140"/>
      <c r="AA438" s="140"/>
      <c r="AB438" s="140"/>
      <c r="AC438" s="140"/>
      <c r="AD438" s="140"/>
    </row>
    <row r="439" spans="1:30" ht="11.25" customHeight="1" x14ac:dyDescent="0.2">
      <c r="A439" s="140"/>
      <c r="B439" s="140"/>
      <c r="C439" s="140"/>
      <c r="D439" s="140"/>
      <c r="E439" s="140"/>
      <c r="F439" s="140"/>
      <c r="G439" s="140"/>
      <c r="H439" s="140"/>
      <c r="I439" s="140"/>
      <c r="J439" s="140"/>
      <c r="K439" s="140"/>
      <c r="L439" s="140"/>
      <c r="M439" s="140"/>
      <c r="N439" s="140"/>
      <c r="O439" s="140"/>
      <c r="P439" s="140"/>
      <c r="Q439" s="140"/>
      <c r="R439" s="140"/>
      <c r="S439" s="140"/>
      <c r="T439" s="140"/>
      <c r="U439" s="140"/>
      <c r="V439" s="140"/>
      <c r="W439" s="140"/>
      <c r="X439" s="140"/>
      <c r="Y439" s="140"/>
      <c r="Z439" s="140"/>
      <c r="AA439" s="140"/>
      <c r="AB439" s="140"/>
      <c r="AC439" s="140"/>
      <c r="AD439" s="140"/>
    </row>
    <row r="440" spans="1:30" ht="11.25" customHeight="1" x14ac:dyDescent="0.2">
      <c r="A440" s="140"/>
      <c r="B440" s="140"/>
      <c r="C440" s="140"/>
      <c r="D440" s="140"/>
      <c r="E440" s="140"/>
      <c r="F440" s="140"/>
      <c r="G440" s="140"/>
      <c r="H440" s="140"/>
      <c r="I440" s="140"/>
      <c r="J440" s="140"/>
      <c r="K440" s="140"/>
      <c r="L440" s="140"/>
      <c r="M440" s="140"/>
      <c r="N440" s="140"/>
      <c r="O440" s="140"/>
      <c r="P440" s="140"/>
      <c r="Q440" s="140"/>
      <c r="R440" s="140"/>
      <c r="S440" s="140"/>
      <c r="T440" s="140"/>
      <c r="U440" s="140"/>
      <c r="V440" s="140"/>
      <c r="W440" s="140"/>
      <c r="X440" s="140"/>
      <c r="Y440" s="140"/>
      <c r="Z440" s="140"/>
      <c r="AA440" s="140"/>
      <c r="AB440" s="140"/>
      <c r="AC440" s="140"/>
      <c r="AD440" s="140"/>
    </row>
    <row r="441" spans="1:30" ht="11.25" customHeight="1" x14ac:dyDescent="0.2">
      <c r="A441" s="140"/>
      <c r="B441" s="140"/>
      <c r="C441" s="140"/>
      <c r="D441" s="140"/>
      <c r="E441" s="140"/>
      <c r="F441" s="140"/>
      <c r="G441" s="140"/>
      <c r="H441" s="140"/>
      <c r="I441" s="140"/>
      <c r="J441" s="140"/>
      <c r="K441" s="140"/>
      <c r="L441" s="140"/>
      <c r="M441" s="140"/>
      <c r="N441" s="140"/>
      <c r="O441" s="140"/>
      <c r="P441" s="140"/>
      <c r="Q441" s="140"/>
      <c r="R441" s="140"/>
      <c r="S441" s="140"/>
      <c r="T441" s="140"/>
      <c r="U441" s="140"/>
      <c r="V441" s="140"/>
      <c r="W441" s="140"/>
      <c r="X441" s="140"/>
      <c r="Y441" s="140"/>
      <c r="Z441" s="140"/>
      <c r="AA441" s="140"/>
      <c r="AB441" s="140"/>
      <c r="AC441" s="140"/>
      <c r="AD441" s="140"/>
    </row>
    <row r="442" spans="1:30" ht="11.25" customHeight="1" x14ac:dyDescent="0.2">
      <c r="A442" s="140"/>
      <c r="B442" s="140"/>
      <c r="C442" s="140"/>
      <c r="D442" s="140"/>
      <c r="E442" s="140"/>
      <c r="F442" s="140"/>
      <c r="G442" s="140"/>
      <c r="H442" s="140"/>
      <c r="I442" s="140"/>
      <c r="J442" s="140"/>
      <c r="K442" s="140"/>
      <c r="L442" s="140"/>
      <c r="M442" s="140"/>
      <c r="N442" s="140"/>
      <c r="O442" s="140"/>
      <c r="P442" s="140"/>
      <c r="Q442" s="140"/>
      <c r="R442" s="140"/>
      <c r="S442" s="140"/>
      <c r="T442" s="140"/>
      <c r="U442" s="140"/>
      <c r="V442" s="140"/>
      <c r="W442" s="140"/>
      <c r="X442" s="140"/>
      <c r="Y442" s="140"/>
      <c r="Z442" s="140"/>
      <c r="AA442" s="140"/>
      <c r="AB442" s="140"/>
      <c r="AC442" s="140"/>
      <c r="AD442" s="140"/>
    </row>
    <row r="443" spans="1:30" ht="11.25" customHeight="1" x14ac:dyDescent="0.2">
      <c r="A443" s="140"/>
      <c r="B443" s="140"/>
      <c r="C443" s="140"/>
      <c r="D443" s="140"/>
      <c r="E443" s="140"/>
      <c r="F443" s="140"/>
      <c r="G443" s="140"/>
      <c r="H443" s="140"/>
      <c r="I443" s="140"/>
      <c r="J443" s="140"/>
      <c r="K443" s="140"/>
      <c r="L443" s="140"/>
      <c r="M443" s="140"/>
      <c r="N443" s="140"/>
      <c r="O443" s="140"/>
      <c r="P443" s="140"/>
      <c r="Q443" s="140"/>
      <c r="R443" s="140"/>
      <c r="S443" s="140"/>
      <c r="T443" s="140"/>
      <c r="U443" s="140"/>
      <c r="V443" s="140"/>
      <c r="W443" s="140"/>
      <c r="X443" s="140"/>
      <c r="Y443" s="140"/>
      <c r="Z443" s="140"/>
      <c r="AA443" s="140"/>
      <c r="AB443" s="140"/>
      <c r="AC443" s="140"/>
      <c r="AD443" s="140"/>
    </row>
    <row r="444" spans="1:30" ht="11.25" customHeight="1" x14ac:dyDescent="0.2">
      <c r="A444" s="140"/>
      <c r="B444" s="140"/>
      <c r="C444" s="140"/>
      <c r="D444" s="140"/>
      <c r="E444" s="140"/>
      <c r="F444" s="140"/>
      <c r="G444" s="140"/>
      <c r="H444" s="140"/>
      <c r="I444" s="140"/>
      <c r="J444" s="140"/>
      <c r="K444" s="140"/>
      <c r="L444" s="140"/>
      <c r="M444" s="140"/>
      <c r="N444" s="140"/>
      <c r="O444" s="140"/>
      <c r="P444" s="140"/>
      <c r="Q444" s="140"/>
      <c r="R444" s="140"/>
      <c r="S444" s="140"/>
      <c r="T444" s="140"/>
      <c r="U444" s="140"/>
      <c r="V444" s="140"/>
      <c r="W444" s="140"/>
      <c r="X444" s="140"/>
      <c r="Y444" s="140"/>
      <c r="Z444" s="140"/>
      <c r="AA444" s="140"/>
      <c r="AB444" s="140"/>
      <c r="AC444" s="140"/>
      <c r="AD444" s="140"/>
    </row>
    <row r="445" spans="1:30" ht="11.25" customHeight="1" x14ac:dyDescent="0.2">
      <c r="A445" s="140"/>
      <c r="B445" s="140"/>
      <c r="C445" s="140"/>
      <c r="D445" s="140"/>
      <c r="E445" s="140"/>
      <c r="F445" s="140"/>
      <c r="G445" s="140"/>
      <c r="H445" s="140"/>
      <c r="I445" s="140"/>
      <c r="J445" s="140"/>
      <c r="K445" s="140"/>
      <c r="L445" s="140"/>
      <c r="M445" s="140"/>
      <c r="N445" s="140"/>
      <c r="O445" s="140"/>
      <c r="P445" s="140"/>
      <c r="Q445" s="140"/>
      <c r="R445" s="140"/>
      <c r="S445" s="140"/>
      <c r="T445" s="140"/>
      <c r="U445" s="140"/>
      <c r="V445" s="140"/>
      <c r="W445" s="140"/>
      <c r="X445" s="140"/>
      <c r="Y445" s="140"/>
      <c r="Z445" s="140"/>
      <c r="AA445" s="140"/>
      <c r="AB445" s="140"/>
      <c r="AC445" s="140"/>
      <c r="AD445" s="140"/>
    </row>
    <row r="446" spans="1:30" ht="11.25" customHeight="1" x14ac:dyDescent="0.2">
      <c r="A446" s="140"/>
      <c r="B446" s="140"/>
      <c r="C446" s="140"/>
      <c r="D446" s="140"/>
      <c r="E446" s="140"/>
      <c r="F446" s="140"/>
      <c r="G446" s="140"/>
      <c r="H446" s="140"/>
      <c r="I446" s="140"/>
      <c r="J446" s="140"/>
      <c r="K446" s="140"/>
      <c r="L446" s="140"/>
      <c r="M446" s="140"/>
      <c r="N446" s="140"/>
      <c r="O446" s="140"/>
      <c r="P446" s="140"/>
      <c r="Q446" s="140"/>
      <c r="R446" s="140"/>
      <c r="S446" s="140"/>
      <c r="T446" s="140"/>
      <c r="U446" s="140"/>
      <c r="V446" s="140"/>
      <c r="W446" s="140"/>
      <c r="X446" s="140"/>
      <c r="Y446" s="140"/>
      <c r="Z446" s="140"/>
      <c r="AA446" s="140"/>
      <c r="AB446" s="140"/>
      <c r="AC446" s="140"/>
      <c r="AD446" s="140"/>
    </row>
    <row r="447" spans="1:30" ht="11.25" customHeight="1" x14ac:dyDescent="0.2">
      <c r="A447" s="140"/>
      <c r="B447" s="140"/>
      <c r="C447" s="140"/>
      <c r="D447" s="140"/>
      <c r="E447" s="140"/>
      <c r="F447" s="140"/>
      <c r="G447" s="140"/>
      <c r="H447" s="140"/>
      <c r="I447" s="140"/>
      <c r="J447" s="140"/>
      <c r="K447" s="140"/>
      <c r="L447" s="140"/>
      <c r="M447" s="140"/>
      <c r="N447" s="140"/>
      <c r="O447" s="140"/>
      <c r="P447" s="140"/>
      <c r="Q447" s="140"/>
      <c r="R447" s="140"/>
      <c r="S447" s="140"/>
      <c r="T447" s="140"/>
      <c r="U447" s="140"/>
      <c r="V447" s="140"/>
      <c r="W447" s="140"/>
      <c r="X447" s="140"/>
      <c r="Y447" s="140"/>
      <c r="Z447" s="140"/>
      <c r="AA447" s="140"/>
      <c r="AB447" s="140"/>
      <c r="AC447" s="140"/>
      <c r="AD447" s="140"/>
    </row>
    <row r="448" spans="1:30" ht="11.25" customHeight="1" x14ac:dyDescent="0.2">
      <c r="A448" s="140"/>
      <c r="B448" s="140"/>
      <c r="C448" s="140"/>
      <c r="D448" s="140"/>
      <c r="E448" s="140"/>
      <c r="F448" s="140"/>
      <c r="G448" s="140"/>
      <c r="H448" s="140"/>
      <c r="I448" s="140"/>
      <c r="J448" s="140"/>
      <c r="K448" s="140"/>
      <c r="L448" s="140"/>
      <c r="M448" s="140"/>
      <c r="N448" s="140"/>
      <c r="O448" s="140"/>
      <c r="P448" s="140"/>
      <c r="Q448" s="140"/>
      <c r="R448" s="140"/>
      <c r="S448" s="140"/>
      <c r="T448" s="140"/>
      <c r="U448" s="140"/>
      <c r="V448" s="140"/>
      <c r="W448" s="140"/>
      <c r="X448" s="140"/>
      <c r="Y448" s="140"/>
      <c r="Z448" s="140"/>
      <c r="AA448" s="140"/>
      <c r="AB448" s="140"/>
      <c r="AC448" s="140"/>
      <c r="AD448" s="140"/>
    </row>
    <row r="449" spans="1:30" ht="11.25" customHeight="1" x14ac:dyDescent="0.2">
      <c r="A449" s="140"/>
      <c r="B449" s="140"/>
      <c r="C449" s="140"/>
      <c r="D449" s="140"/>
      <c r="E449" s="140"/>
      <c r="F449" s="140"/>
      <c r="G449" s="140"/>
      <c r="H449" s="140"/>
      <c r="I449" s="140"/>
      <c r="J449" s="140"/>
      <c r="K449" s="140"/>
      <c r="L449" s="140"/>
      <c r="M449" s="140"/>
      <c r="N449" s="140"/>
      <c r="O449" s="140"/>
      <c r="P449" s="140"/>
      <c r="Q449" s="140"/>
      <c r="R449" s="140"/>
      <c r="S449" s="140"/>
      <c r="T449" s="140"/>
      <c r="U449" s="140"/>
      <c r="V449" s="140"/>
      <c r="W449" s="140"/>
      <c r="X449" s="140"/>
      <c r="Y449" s="140"/>
      <c r="Z449" s="140"/>
      <c r="AA449" s="140"/>
      <c r="AB449" s="140"/>
      <c r="AC449" s="140"/>
      <c r="AD449" s="140"/>
    </row>
    <row r="450" spans="1:30" ht="11.25" customHeight="1" x14ac:dyDescent="0.2">
      <c r="A450" s="140"/>
      <c r="B450" s="140"/>
      <c r="C450" s="140"/>
      <c r="D450" s="140"/>
      <c r="E450" s="140"/>
      <c r="F450" s="140"/>
      <c r="G450" s="140"/>
      <c r="H450" s="140"/>
      <c r="I450" s="140"/>
      <c r="J450" s="140"/>
      <c r="K450" s="140"/>
      <c r="L450" s="140"/>
      <c r="M450" s="140"/>
      <c r="N450" s="140"/>
      <c r="O450" s="140"/>
      <c r="P450" s="140"/>
      <c r="Q450" s="140"/>
      <c r="R450" s="140"/>
      <c r="S450" s="140"/>
      <c r="T450" s="140"/>
      <c r="U450" s="140"/>
      <c r="V450" s="140"/>
      <c r="W450" s="140"/>
      <c r="X450" s="140"/>
      <c r="Y450" s="140"/>
      <c r="Z450" s="140"/>
      <c r="AA450" s="140"/>
      <c r="AB450" s="140"/>
      <c r="AC450" s="140"/>
      <c r="AD450" s="140"/>
    </row>
    <row r="451" spans="1:30" ht="11.25" customHeight="1" x14ac:dyDescent="0.2">
      <c r="A451" s="140"/>
      <c r="B451" s="140"/>
      <c r="C451" s="140"/>
      <c r="D451" s="140"/>
      <c r="E451" s="140"/>
      <c r="F451" s="140"/>
      <c r="G451" s="140"/>
      <c r="H451" s="140"/>
      <c r="I451" s="140"/>
      <c r="J451" s="140"/>
      <c r="K451" s="140"/>
      <c r="L451" s="140"/>
      <c r="M451" s="140"/>
      <c r="N451" s="140"/>
      <c r="O451" s="140"/>
      <c r="P451" s="140"/>
      <c r="Q451" s="140"/>
      <c r="R451" s="140"/>
      <c r="S451" s="140"/>
      <c r="T451" s="140"/>
      <c r="U451" s="140"/>
      <c r="V451" s="140"/>
      <c r="W451" s="140"/>
      <c r="X451" s="140"/>
      <c r="Y451" s="140"/>
      <c r="Z451" s="140"/>
      <c r="AA451" s="140"/>
      <c r="AB451" s="140"/>
      <c r="AC451" s="140"/>
      <c r="AD451" s="140"/>
    </row>
    <row r="452" spans="1:30" ht="11.25" customHeight="1" x14ac:dyDescent="0.2">
      <c r="A452" s="140"/>
      <c r="B452" s="140"/>
      <c r="C452" s="140"/>
      <c r="D452" s="140"/>
      <c r="E452" s="140"/>
      <c r="F452" s="140"/>
      <c r="G452" s="140"/>
      <c r="H452" s="140"/>
      <c r="I452" s="140"/>
      <c r="J452" s="140"/>
      <c r="K452" s="140"/>
      <c r="L452" s="140"/>
      <c r="M452" s="140"/>
      <c r="N452" s="140"/>
      <c r="O452" s="140"/>
      <c r="P452" s="140"/>
      <c r="Q452" s="140"/>
      <c r="R452" s="140"/>
      <c r="S452" s="140"/>
      <c r="T452" s="140"/>
      <c r="U452" s="140"/>
      <c r="V452" s="140"/>
      <c r="W452" s="140"/>
      <c r="X452" s="140"/>
      <c r="Y452" s="140"/>
      <c r="Z452" s="140"/>
      <c r="AA452" s="140"/>
      <c r="AB452" s="140"/>
      <c r="AC452" s="140"/>
      <c r="AD452" s="140"/>
    </row>
    <row r="453" spans="1:30" ht="11.25" customHeight="1" x14ac:dyDescent="0.2">
      <c r="A453" s="140"/>
      <c r="B453" s="140"/>
      <c r="C453" s="140"/>
      <c r="D453" s="140"/>
      <c r="E453" s="140"/>
      <c r="F453" s="140"/>
      <c r="G453" s="140"/>
      <c r="H453" s="140"/>
      <c r="I453" s="140"/>
      <c r="J453" s="140"/>
      <c r="K453" s="140"/>
      <c r="L453" s="140"/>
      <c r="M453" s="140"/>
      <c r="N453" s="140"/>
      <c r="O453" s="140"/>
      <c r="P453" s="140"/>
      <c r="Q453" s="140"/>
      <c r="R453" s="140"/>
      <c r="S453" s="140"/>
      <c r="T453" s="140"/>
      <c r="U453" s="140"/>
      <c r="V453" s="140"/>
      <c r="W453" s="140"/>
      <c r="X453" s="140"/>
      <c r="Y453" s="140"/>
      <c r="Z453" s="140"/>
      <c r="AA453" s="140"/>
      <c r="AB453" s="140"/>
      <c r="AC453" s="140"/>
      <c r="AD453" s="140"/>
    </row>
    <row r="454" spans="1:30" ht="11.25" customHeight="1" x14ac:dyDescent="0.2">
      <c r="A454" s="140"/>
      <c r="B454" s="140"/>
      <c r="C454" s="140"/>
      <c r="D454" s="140"/>
      <c r="E454" s="140"/>
      <c r="F454" s="140"/>
      <c r="G454" s="140"/>
      <c r="H454" s="140"/>
      <c r="I454" s="140"/>
      <c r="J454" s="140"/>
      <c r="K454" s="140"/>
      <c r="L454" s="140"/>
      <c r="M454" s="140"/>
      <c r="N454" s="140"/>
      <c r="O454" s="140"/>
      <c r="P454" s="140"/>
      <c r="Q454" s="140"/>
      <c r="R454" s="140"/>
      <c r="S454" s="140"/>
      <c r="T454" s="140"/>
      <c r="U454" s="140"/>
      <c r="V454" s="140"/>
      <c r="W454" s="140"/>
      <c r="X454" s="140"/>
      <c r="Y454" s="140"/>
      <c r="Z454" s="140"/>
      <c r="AA454" s="140"/>
      <c r="AB454" s="140"/>
      <c r="AC454" s="140"/>
      <c r="AD454" s="140"/>
    </row>
    <row r="455" spans="1:30" ht="11.25" customHeight="1" x14ac:dyDescent="0.2">
      <c r="A455" s="140"/>
      <c r="B455" s="140"/>
      <c r="C455" s="140"/>
      <c r="D455" s="140"/>
      <c r="E455" s="140"/>
      <c r="F455" s="140"/>
      <c r="G455" s="140"/>
      <c r="H455" s="140"/>
      <c r="I455" s="140"/>
      <c r="J455" s="140"/>
      <c r="K455" s="140"/>
      <c r="L455" s="140"/>
      <c r="M455" s="140"/>
      <c r="N455" s="140"/>
      <c r="O455" s="140"/>
      <c r="P455" s="140"/>
      <c r="Q455" s="140"/>
      <c r="R455" s="140"/>
      <c r="S455" s="140"/>
      <c r="T455" s="140"/>
      <c r="U455" s="140"/>
      <c r="V455" s="140"/>
      <c r="W455" s="140"/>
      <c r="X455" s="140"/>
      <c r="Y455" s="140"/>
      <c r="Z455" s="140"/>
      <c r="AA455" s="140"/>
      <c r="AB455" s="140"/>
      <c r="AC455" s="140"/>
      <c r="AD455" s="140"/>
    </row>
    <row r="456" spans="1:30" ht="11.25" customHeight="1" x14ac:dyDescent="0.2">
      <c r="A456" s="140"/>
      <c r="B456" s="140"/>
      <c r="C456" s="140"/>
      <c r="D456" s="140"/>
      <c r="E456" s="140"/>
      <c r="F456" s="140"/>
      <c r="G456" s="140"/>
      <c r="H456" s="140"/>
      <c r="I456" s="140"/>
      <c r="J456" s="140"/>
      <c r="K456" s="140"/>
      <c r="L456" s="140"/>
      <c r="M456" s="140"/>
      <c r="N456" s="140"/>
      <c r="O456" s="140"/>
      <c r="P456" s="140"/>
      <c r="Q456" s="140"/>
      <c r="R456" s="140"/>
      <c r="S456" s="140"/>
      <c r="T456" s="140"/>
      <c r="U456" s="140"/>
      <c r="V456" s="140"/>
      <c r="W456" s="140"/>
      <c r="X456" s="140"/>
      <c r="Y456" s="140"/>
      <c r="Z456" s="140"/>
      <c r="AA456" s="140"/>
      <c r="AB456" s="140"/>
      <c r="AC456" s="140"/>
      <c r="AD456" s="140"/>
    </row>
    <row r="457" spans="1:30" ht="11.25" customHeight="1" x14ac:dyDescent="0.2">
      <c r="A457" s="140"/>
      <c r="B457" s="140"/>
      <c r="C457" s="140"/>
      <c r="D457" s="140"/>
      <c r="E457" s="140"/>
      <c r="F457" s="140"/>
      <c r="G457" s="140"/>
      <c r="H457" s="140"/>
      <c r="I457" s="140"/>
      <c r="J457" s="140"/>
      <c r="K457" s="140"/>
      <c r="L457" s="140"/>
      <c r="M457" s="140"/>
      <c r="N457" s="140"/>
      <c r="O457" s="140"/>
      <c r="P457" s="140"/>
      <c r="Q457" s="140"/>
      <c r="R457" s="140"/>
      <c r="S457" s="140"/>
      <c r="T457" s="140"/>
      <c r="U457" s="140"/>
      <c r="V457" s="140"/>
      <c r="W457" s="140"/>
      <c r="X457" s="140"/>
      <c r="Y457" s="140"/>
      <c r="Z457" s="140"/>
      <c r="AA457" s="140"/>
      <c r="AB457" s="140"/>
      <c r="AC457" s="140"/>
      <c r="AD457" s="140"/>
    </row>
    <row r="458" spans="1:30" ht="11.25" customHeight="1" x14ac:dyDescent="0.2">
      <c r="A458" s="140"/>
      <c r="B458" s="140"/>
      <c r="C458" s="140"/>
      <c r="D458" s="140"/>
      <c r="E458" s="140"/>
      <c r="F458" s="140"/>
      <c r="G458" s="140"/>
      <c r="H458" s="140"/>
      <c r="I458" s="140"/>
      <c r="J458" s="140"/>
      <c r="K458" s="140"/>
      <c r="L458" s="140"/>
      <c r="M458" s="140"/>
      <c r="N458" s="140"/>
      <c r="O458" s="140"/>
      <c r="P458" s="140"/>
      <c r="Q458" s="140"/>
      <c r="R458" s="140"/>
      <c r="S458" s="140"/>
      <c r="T458" s="140"/>
      <c r="U458" s="140"/>
      <c r="V458" s="140"/>
      <c r="W458" s="140"/>
      <c r="X458" s="140"/>
      <c r="Y458" s="140"/>
      <c r="Z458" s="140"/>
      <c r="AA458" s="140"/>
      <c r="AB458" s="140"/>
      <c r="AC458" s="140"/>
      <c r="AD458" s="140"/>
    </row>
    <row r="459" spans="1:30" ht="11.25" customHeight="1" x14ac:dyDescent="0.2">
      <c r="A459" s="140"/>
      <c r="B459" s="140"/>
      <c r="C459" s="140"/>
      <c r="D459" s="140"/>
      <c r="E459" s="140"/>
      <c r="F459" s="140"/>
      <c r="G459" s="140"/>
      <c r="H459" s="140"/>
      <c r="I459" s="140"/>
      <c r="J459" s="140"/>
      <c r="K459" s="140"/>
      <c r="L459" s="140"/>
      <c r="M459" s="140"/>
      <c r="N459" s="140"/>
      <c r="O459" s="140"/>
      <c r="P459" s="140"/>
      <c r="Q459" s="140"/>
      <c r="R459" s="140"/>
      <c r="S459" s="140"/>
      <c r="T459" s="140"/>
      <c r="U459" s="140"/>
      <c r="V459" s="140"/>
      <c r="W459" s="140"/>
      <c r="X459" s="140"/>
      <c r="Y459" s="140"/>
      <c r="Z459" s="140"/>
      <c r="AA459" s="140"/>
      <c r="AB459" s="140"/>
      <c r="AC459" s="140"/>
      <c r="AD459" s="140"/>
    </row>
    <row r="460" spans="1:30" ht="11.25" customHeight="1" x14ac:dyDescent="0.2">
      <c r="A460" s="140"/>
      <c r="B460" s="140"/>
      <c r="C460" s="140"/>
      <c r="D460" s="140"/>
      <c r="E460" s="140"/>
      <c r="F460" s="140"/>
      <c r="G460" s="140"/>
      <c r="H460" s="140"/>
      <c r="I460" s="140"/>
      <c r="J460" s="140"/>
      <c r="K460" s="140"/>
      <c r="L460" s="140"/>
      <c r="M460" s="140"/>
      <c r="N460" s="140"/>
      <c r="O460" s="140"/>
      <c r="P460" s="140"/>
      <c r="Q460" s="140"/>
      <c r="R460" s="140"/>
      <c r="S460" s="140"/>
      <c r="T460" s="140"/>
      <c r="U460" s="140"/>
      <c r="V460" s="140"/>
      <c r="W460" s="140"/>
      <c r="X460" s="140"/>
      <c r="Y460" s="140"/>
      <c r="Z460" s="140"/>
      <c r="AA460" s="140"/>
      <c r="AB460" s="140"/>
      <c r="AC460" s="140"/>
      <c r="AD460" s="140"/>
    </row>
    <row r="461" spans="1:30" ht="11.25" customHeight="1" x14ac:dyDescent="0.2">
      <c r="A461" s="140"/>
      <c r="B461" s="140"/>
      <c r="C461" s="140"/>
      <c r="D461" s="140"/>
      <c r="E461" s="140"/>
      <c r="F461" s="140"/>
      <c r="G461" s="140"/>
      <c r="H461" s="140"/>
      <c r="I461" s="140"/>
      <c r="J461" s="140"/>
      <c r="K461" s="140"/>
      <c r="L461" s="140"/>
      <c r="M461" s="140"/>
      <c r="N461" s="140"/>
      <c r="O461" s="140"/>
      <c r="P461" s="140"/>
      <c r="Q461" s="140"/>
      <c r="R461" s="140"/>
      <c r="S461" s="140"/>
      <c r="T461" s="140"/>
      <c r="U461" s="140"/>
      <c r="V461" s="140"/>
      <c r="W461" s="140"/>
      <c r="X461" s="140"/>
      <c r="Y461" s="140"/>
      <c r="Z461" s="140"/>
      <c r="AA461" s="140"/>
      <c r="AB461" s="140"/>
      <c r="AC461" s="140"/>
      <c r="AD461" s="140"/>
    </row>
    <row r="462" spans="1:30" ht="11.25" customHeight="1" x14ac:dyDescent="0.2">
      <c r="A462" s="140"/>
      <c r="B462" s="140"/>
      <c r="C462" s="140"/>
      <c r="D462" s="140"/>
      <c r="E462" s="140"/>
      <c r="F462" s="140"/>
      <c r="G462" s="140"/>
      <c r="H462" s="140"/>
      <c r="I462" s="140"/>
      <c r="J462" s="140"/>
      <c r="K462" s="140"/>
      <c r="L462" s="140"/>
      <c r="M462" s="140"/>
      <c r="N462" s="140"/>
      <c r="O462" s="140"/>
      <c r="P462" s="140"/>
      <c r="Q462" s="140"/>
      <c r="R462" s="140"/>
      <c r="S462" s="140"/>
      <c r="T462" s="140"/>
      <c r="U462" s="140"/>
      <c r="V462" s="140"/>
      <c r="W462" s="140"/>
      <c r="X462" s="140"/>
      <c r="Y462" s="140"/>
      <c r="Z462" s="140"/>
      <c r="AA462" s="140"/>
      <c r="AB462" s="140"/>
      <c r="AC462" s="140"/>
      <c r="AD462" s="140"/>
    </row>
    <row r="463" spans="1:30" ht="11.25" customHeight="1" x14ac:dyDescent="0.2">
      <c r="A463" s="140"/>
      <c r="B463" s="140"/>
      <c r="C463" s="140"/>
      <c r="D463" s="140"/>
      <c r="E463" s="140"/>
      <c r="F463" s="140"/>
      <c r="G463" s="140"/>
      <c r="H463" s="140"/>
      <c r="I463" s="140"/>
      <c r="J463" s="140"/>
      <c r="K463" s="140"/>
      <c r="L463" s="140"/>
      <c r="M463" s="140"/>
      <c r="N463" s="140"/>
      <c r="O463" s="140"/>
      <c r="P463" s="140"/>
      <c r="Q463" s="140"/>
      <c r="R463" s="140"/>
      <c r="S463" s="140"/>
      <c r="T463" s="140"/>
      <c r="U463" s="140"/>
      <c r="V463" s="140"/>
      <c r="W463" s="140"/>
      <c r="X463" s="140"/>
      <c r="Y463" s="140"/>
      <c r="Z463" s="140"/>
      <c r="AA463" s="140"/>
      <c r="AB463" s="140"/>
      <c r="AC463" s="140"/>
      <c r="AD463" s="140"/>
    </row>
    <row r="464" spans="1:30" ht="11.25" customHeight="1" x14ac:dyDescent="0.2">
      <c r="A464" s="140"/>
      <c r="B464" s="140"/>
      <c r="C464" s="140"/>
      <c r="D464" s="140"/>
      <c r="E464" s="140"/>
      <c r="F464" s="140"/>
      <c r="G464" s="140"/>
      <c r="H464" s="140"/>
      <c r="I464" s="140"/>
      <c r="J464" s="140"/>
      <c r="K464" s="140"/>
      <c r="L464" s="140"/>
      <c r="M464" s="140"/>
      <c r="N464" s="140"/>
      <c r="O464" s="140"/>
      <c r="P464" s="140"/>
      <c r="Q464" s="140"/>
      <c r="R464" s="140"/>
      <c r="S464" s="140"/>
      <c r="T464" s="140"/>
      <c r="U464" s="140"/>
      <c r="V464" s="140"/>
      <c r="W464" s="140"/>
      <c r="X464" s="140"/>
      <c r="Y464" s="140"/>
      <c r="Z464" s="140"/>
      <c r="AA464" s="140"/>
      <c r="AB464" s="140"/>
      <c r="AC464" s="140"/>
      <c r="AD464" s="140"/>
    </row>
    <row r="465" spans="1:30" ht="11.25" customHeight="1" x14ac:dyDescent="0.2">
      <c r="A465" s="140"/>
      <c r="B465" s="140"/>
      <c r="C465" s="140"/>
      <c r="D465" s="140"/>
      <c r="E465" s="140"/>
      <c r="F465" s="140"/>
      <c r="G465" s="140"/>
      <c r="H465" s="140"/>
      <c r="I465" s="140"/>
      <c r="J465" s="140"/>
      <c r="K465" s="140"/>
      <c r="L465" s="140"/>
      <c r="M465" s="140"/>
      <c r="N465" s="140"/>
      <c r="O465" s="140"/>
      <c r="P465" s="140"/>
      <c r="Q465" s="140"/>
      <c r="R465" s="140"/>
      <c r="S465" s="140"/>
      <c r="T465" s="140"/>
      <c r="U465" s="140"/>
      <c r="V465" s="140"/>
      <c r="W465" s="140"/>
      <c r="X465" s="140"/>
      <c r="Y465" s="140"/>
      <c r="Z465" s="140"/>
      <c r="AA465" s="140"/>
      <c r="AB465" s="140"/>
      <c r="AC465" s="140"/>
      <c r="AD465" s="140"/>
    </row>
    <row r="466" spans="1:30" ht="11.25" customHeight="1" x14ac:dyDescent="0.2">
      <c r="A466" s="140"/>
      <c r="B466" s="140"/>
      <c r="C466" s="140"/>
      <c r="D466" s="140"/>
      <c r="E466" s="140"/>
      <c r="F466" s="140"/>
      <c r="G466" s="140"/>
      <c r="H466" s="140"/>
      <c r="I466" s="140"/>
      <c r="J466" s="140"/>
      <c r="K466" s="140"/>
      <c r="L466" s="140"/>
      <c r="M466" s="140"/>
      <c r="N466" s="140"/>
      <c r="O466" s="140"/>
      <c r="P466" s="140"/>
      <c r="Q466" s="140"/>
      <c r="R466" s="140"/>
      <c r="S466" s="140"/>
      <c r="T466" s="140"/>
      <c r="U466" s="140"/>
      <c r="V466" s="140"/>
      <c r="W466" s="140"/>
      <c r="X466" s="140"/>
      <c r="Y466" s="140"/>
      <c r="Z466" s="140"/>
      <c r="AA466" s="140"/>
      <c r="AB466" s="140"/>
      <c r="AC466" s="140"/>
      <c r="AD466" s="140"/>
    </row>
    <row r="467" spans="1:30" ht="11.25" customHeight="1" x14ac:dyDescent="0.2">
      <c r="A467" s="140"/>
      <c r="B467" s="140"/>
      <c r="C467" s="140"/>
      <c r="D467" s="140"/>
      <c r="E467" s="140"/>
      <c r="F467" s="140"/>
      <c r="G467" s="140"/>
      <c r="H467" s="140"/>
      <c r="I467" s="140"/>
      <c r="J467" s="140"/>
      <c r="K467" s="140"/>
      <c r="L467" s="140"/>
      <c r="M467" s="140"/>
      <c r="N467" s="140"/>
      <c r="O467" s="140"/>
      <c r="P467" s="140"/>
      <c r="Q467" s="140"/>
      <c r="R467" s="140"/>
      <c r="S467" s="140"/>
      <c r="T467" s="140"/>
      <c r="U467" s="140"/>
      <c r="V467" s="140"/>
      <c r="W467" s="140"/>
      <c r="X467" s="140"/>
      <c r="Y467" s="140"/>
      <c r="Z467" s="140"/>
      <c r="AA467" s="140"/>
      <c r="AB467" s="140"/>
      <c r="AC467" s="140"/>
      <c r="AD467" s="140"/>
    </row>
    <row r="468" spans="1:30" ht="11.25" customHeight="1" x14ac:dyDescent="0.2">
      <c r="A468" s="140"/>
      <c r="B468" s="140"/>
      <c r="C468" s="140"/>
      <c r="D468" s="140"/>
      <c r="E468" s="140"/>
      <c r="F468" s="140"/>
      <c r="G468" s="140"/>
      <c r="H468" s="140"/>
      <c r="I468" s="140"/>
      <c r="J468" s="140"/>
      <c r="K468" s="140"/>
      <c r="L468" s="140"/>
      <c r="M468" s="140"/>
      <c r="N468" s="140"/>
      <c r="O468" s="140"/>
      <c r="P468" s="140"/>
      <c r="Q468" s="140"/>
      <c r="R468" s="140"/>
      <c r="S468" s="140"/>
      <c r="T468" s="140"/>
      <c r="U468" s="140"/>
      <c r="V468" s="140"/>
      <c r="W468" s="140"/>
      <c r="X468" s="140"/>
      <c r="Y468" s="140"/>
      <c r="Z468" s="140"/>
      <c r="AA468" s="140"/>
      <c r="AB468" s="140"/>
      <c r="AC468" s="140"/>
      <c r="AD468" s="140"/>
    </row>
    <row r="469" spans="1:30" ht="11.25" customHeight="1" x14ac:dyDescent="0.2">
      <c r="A469" s="140"/>
      <c r="B469" s="140"/>
      <c r="C469" s="140"/>
      <c r="D469" s="140"/>
      <c r="E469" s="140"/>
      <c r="F469" s="140"/>
      <c r="G469" s="140"/>
      <c r="H469" s="140"/>
      <c r="I469" s="140"/>
      <c r="J469" s="140"/>
      <c r="K469" s="140"/>
      <c r="L469" s="140"/>
      <c r="M469" s="140"/>
      <c r="N469" s="140"/>
      <c r="O469" s="140"/>
      <c r="P469" s="140"/>
      <c r="Q469" s="140"/>
      <c r="R469" s="140"/>
      <c r="S469" s="140"/>
      <c r="T469" s="140"/>
      <c r="U469" s="140"/>
      <c r="V469" s="140"/>
      <c r="W469" s="140"/>
      <c r="X469" s="140"/>
      <c r="Y469" s="140"/>
      <c r="Z469" s="140"/>
      <c r="AA469" s="140"/>
      <c r="AB469" s="140"/>
      <c r="AC469" s="140"/>
      <c r="AD469" s="140"/>
    </row>
    <row r="470" spans="1:30" ht="11.25" customHeight="1" x14ac:dyDescent="0.2">
      <c r="A470" s="140"/>
      <c r="B470" s="140"/>
      <c r="C470" s="140"/>
      <c r="D470" s="140"/>
      <c r="E470" s="140"/>
      <c r="F470" s="140"/>
      <c r="G470" s="140"/>
      <c r="H470" s="140"/>
      <c r="I470" s="140"/>
      <c r="J470" s="140"/>
      <c r="K470" s="140"/>
      <c r="L470" s="140"/>
      <c r="M470" s="140"/>
      <c r="N470" s="140"/>
      <c r="O470" s="140"/>
      <c r="P470" s="140"/>
      <c r="Q470" s="140"/>
      <c r="R470" s="140"/>
      <c r="S470" s="140"/>
      <c r="T470" s="140"/>
      <c r="U470" s="140"/>
      <c r="V470" s="140"/>
      <c r="W470" s="140"/>
      <c r="X470" s="140"/>
      <c r="Y470" s="140"/>
      <c r="Z470" s="140"/>
      <c r="AA470" s="140"/>
      <c r="AB470" s="140"/>
      <c r="AC470" s="140"/>
      <c r="AD470" s="140"/>
    </row>
    <row r="471" spans="1:30" ht="11.25" customHeight="1" x14ac:dyDescent="0.2">
      <c r="A471" s="140"/>
      <c r="B471" s="140"/>
      <c r="C471" s="140"/>
      <c r="D471" s="140"/>
      <c r="E471" s="140"/>
      <c r="F471" s="140"/>
      <c r="G471" s="140"/>
      <c r="H471" s="140"/>
      <c r="I471" s="140"/>
      <c r="J471" s="140"/>
      <c r="K471" s="140"/>
      <c r="L471" s="140"/>
      <c r="M471" s="140"/>
      <c r="N471" s="140"/>
      <c r="O471" s="140"/>
      <c r="P471" s="140"/>
      <c r="Q471" s="140"/>
      <c r="R471" s="140"/>
      <c r="S471" s="140"/>
      <c r="T471" s="140"/>
      <c r="U471" s="140"/>
      <c r="V471" s="140"/>
      <c r="W471" s="140"/>
      <c r="X471" s="140"/>
      <c r="Y471" s="140"/>
      <c r="Z471" s="140"/>
      <c r="AA471" s="140"/>
      <c r="AB471" s="140"/>
      <c r="AC471" s="140"/>
      <c r="AD471" s="140"/>
    </row>
    <row r="472" spans="1:30" ht="11.25" customHeight="1" x14ac:dyDescent="0.2">
      <c r="A472" s="140"/>
      <c r="B472" s="140"/>
      <c r="C472" s="140"/>
      <c r="D472" s="140"/>
      <c r="E472" s="140"/>
      <c r="F472" s="140"/>
      <c r="G472" s="140"/>
      <c r="H472" s="140"/>
      <c r="I472" s="140"/>
      <c r="J472" s="140"/>
      <c r="K472" s="140"/>
      <c r="L472" s="140"/>
      <c r="M472" s="140"/>
      <c r="N472" s="140"/>
      <c r="O472" s="140"/>
      <c r="P472" s="140"/>
      <c r="Q472" s="140"/>
      <c r="R472" s="140"/>
      <c r="S472" s="140"/>
      <c r="T472" s="140"/>
      <c r="U472" s="140"/>
      <c r="V472" s="140"/>
      <c r="W472" s="140"/>
      <c r="X472" s="140"/>
      <c r="Y472" s="140"/>
      <c r="Z472" s="140"/>
      <c r="AA472" s="140"/>
      <c r="AB472" s="140"/>
      <c r="AC472" s="140"/>
      <c r="AD472" s="140"/>
    </row>
    <row r="473" spans="1:30" ht="11.25" customHeight="1" x14ac:dyDescent="0.2">
      <c r="A473" s="140"/>
      <c r="B473" s="140"/>
      <c r="C473" s="140"/>
      <c r="D473" s="140"/>
      <c r="E473" s="140"/>
      <c r="F473" s="140"/>
      <c r="G473" s="140"/>
      <c r="H473" s="140"/>
      <c r="I473" s="140"/>
      <c r="J473" s="140"/>
      <c r="K473" s="140"/>
      <c r="L473" s="140"/>
      <c r="M473" s="140"/>
      <c r="N473" s="140"/>
      <c r="O473" s="140"/>
      <c r="P473" s="140"/>
      <c r="Q473" s="140"/>
      <c r="R473" s="140"/>
      <c r="S473" s="140"/>
      <c r="T473" s="140"/>
      <c r="U473" s="140"/>
      <c r="V473" s="140"/>
      <c r="W473" s="140"/>
      <c r="X473" s="140"/>
      <c r="Y473" s="140"/>
      <c r="Z473" s="140"/>
      <c r="AA473" s="140"/>
      <c r="AB473" s="140"/>
      <c r="AC473" s="140"/>
      <c r="AD473" s="140"/>
    </row>
    <row r="474" spans="1:30" ht="11.25" customHeight="1" x14ac:dyDescent="0.2">
      <c r="A474" s="140"/>
      <c r="B474" s="140"/>
      <c r="C474" s="140"/>
      <c r="D474" s="140"/>
      <c r="E474" s="140"/>
      <c r="F474" s="140"/>
      <c r="G474" s="140"/>
      <c r="H474" s="140"/>
      <c r="I474" s="140"/>
      <c r="J474" s="140"/>
      <c r="K474" s="140"/>
      <c r="L474" s="140"/>
      <c r="M474" s="140"/>
      <c r="N474" s="140"/>
      <c r="O474" s="140"/>
      <c r="P474" s="140"/>
      <c r="Q474" s="140"/>
      <c r="R474" s="140"/>
      <c r="S474" s="140"/>
      <c r="T474" s="140"/>
      <c r="U474" s="140"/>
      <c r="V474" s="140"/>
      <c r="W474" s="140"/>
      <c r="X474" s="140"/>
      <c r="Y474" s="140"/>
      <c r="Z474" s="140"/>
      <c r="AA474" s="140"/>
      <c r="AB474" s="140"/>
      <c r="AC474" s="140"/>
      <c r="AD474" s="140"/>
    </row>
    <row r="475" spans="1:30" ht="11.25" customHeight="1" x14ac:dyDescent="0.2">
      <c r="A475" s="140"/>
      <c r="B475" s="140"/>
      <c r="C475" s="140"/>
      <c r="D475" s="140"/>
      <c r="E475" s="140"/>
      <c r="F475" s="140"/>
      <c r="G475" s="140"/>
      <c r="H475" s="140"/>
      <c r="I475" s="140"/>
      <c r="J475" s="140"/>
      <c r="K475" s="140"/>
      <c r="L475" s="140"/>
      <c r="M475" s="140"/>
      <c r="N475" s="140"/>
      <c r="O475" s="140"/>
      <c r="P475" s="140"/>
      <c r="Q475" s="140"/>
      <c r="R475" s="140"/>
      <c r="S475" s="140"/>
      <c r="T475" s="140"/>
      <c r="U475" s="140"/>
      <c r="V475" s="140"/>
      <c r="W475" s="140"/>
      <c r="X475" s="140"/>
      <c r="Y475" s="140"/>
      <c r="Z475" s="140"/>
      <c r="AA475" s="140"/>
      <c r="AB475" s="140"/>
      <c r="AC475" s="140"/>
      <c r="AD475" s="140"/>
    </row>
    <row r="476" spans="1:30" ht="11.25" customHeight="1" x14ac:dyDescent="0.2">
      <c r="A476" s="140"/>
      <c r="B476" s="140"/>
      <c r="C476" s="140"/>
      <c r="D476" s="140"/>
      <c r="E476" s="140"/>
      <c r="F476" s="140"/>
      <c r="G476" s="140"/>
      <c r="H476" s="140"/>
      <c r="I476" s="140"/>
      <c r="J476" s="140"/>
      <c r="K476" s="140"/>
      <c r="L476" s="140"/>
      <c r="M476" s="140"/>
      <c r="N476" s="140"/>
      <c r="O476" s="140"/>
      <c r="P476" s="140"/>
      <c r="Q476" s="140"/>
      <c r="R476" s="140"/>
      <c r="S476" s="140"/>
      <c r="T476" s="140"/>
      <c r="U476" s="140"/>
      <c r="V476" s="140"/>
      <c r="W476" s="140"/>
      <c r="X476" s="140"/>
      <c r="Y476" s="140"/>
      <c r="Z476" s="140"/>
      <c r="AA476" s="140"/>
      <c r="AB476" s="140"/>
      <c r="AC476" s="140"/>
      <c r="AD476" s="140"/>
    </row>
    <row r="477" spans="1:30" ht="11.25" customHeight="1" x14ac:dyDescent="0.2">
      <c r="A477" s="140"/>
      <c r="B477" s="140"/>
      <c r="C477" s="140"/>
      <c r="D477" s="140"/>
      <c r="E477" s="140"/>
      <c r="F477" s="140"/>
      <c r="G477" s="140"/>
      <c r="H477" s="140"/>
      <c r="I477" s="140"/>
      <c r="J477" s="140"/>
      <c r="K477" s="140"/>
      <c r="L477" s="140"/>
      <c r="M477" s="140"/>
      <c r="N477" s="140"/>
      <c r="O477" s="140"/>
      <c r="P477" s="140"/>
      <c r="Q477" s="140"/>
      <c r="R477" s="140"/>
      <c r="S477" s="140"/>
      <c r="T477" s="140"/>
      <c r="U477" s="140"/>
      <c r="V477" s="140"/>
      <c r="W477" s="140"/>
      <c r="X477" s="140"/>
      <c r="Y477" s="140"/>
      <c r="Z477" s="140"/>
      <c r="AA477" s="140"/>
      <c r="AB477" s="140"/>
      <c r="AC477" s="140"/>
      <c r="AD477" s="140"/>
    </row>
    <row r="478" spans="1:30" ht="11.25" customHeight="1" x14ac:dyDescent="0.2">
      <c r="A478" s="140"/>
      <c r="B478" s="140"/>
      <c r="C478" s="140"/>
      <c r="D478" s="140"/>
      <c r="E478" s="140"/>
      <c r="F478" s="140"/>
      <c r="G478" s="140"/>
      <c r="H478" s="140"/>
      <c r="I478" s="140"/>
      <c r="J478" s="140"/>
      <c r="K478" s="140"/>
      <c r="L478" s="140"/>
      <c r="M478" s="140"/>
      <c r="N478" s="140"/>
      <c r="O478" s="140"/>
      <c r="P478" s="140"/>
      <c r="Q478" s="140"/>
      <c r="R478" s="140"/>
      <c r="S478" s="140"/>
      <c r="T478" s="140"/>
      <c r="U478" s="140"/>
      <c r="V478" s="140"/>
      <c r="W478" s="140"/>
      <c r="X478" s="140"/>
      <c r="Y478" s="140"/>
      <c r="Z478" s="140"/>
      <c r="AA478" s="140"/>
      <c r="AB478" s="140"/>
      <c r="AC478" s="140"/>
      <c r="AD478" s="140"/>
    </row>
    <row r="479" spans="1:30" ht="11.25" customHeight="1" x14ac:dyDescent="0.2">
      <c r="A479" s="140"/>
      <c r="B479" s="140"/>
      <c r="C479" s="140"/>
      <c r="D479" s="140"/>
      <c r="E479" s="140"/>
      <c r="F479" s="140"/>
      <c r="G479" s="140"/>
      <c r="H479" s="140"/>
      <c r="I479" s="140"/>
      <c r="J479" s="140"/>
      <c r="K479" s="140"/>
      <c r="L479" s="140"/>
      <c r="M479" s="140"/>
      <c r="N479" s="140"/>
      <c r="O479" s="140"/>
      <c r="P479" s="140"/>
      <c r="Q479" s="140"/>
      <c r="R479" s="140"/>
      <c r="S479" s="140"/>
      <c r="T479" s="140"/>
      <c r="U479" s="140"/>
      <c r="V479" s="140"/>
      <c r="W479" s="140"/>
      <c r="X479" s="140"/>
      <c r="Y479" s="140"/>
      <c r="Z479" s="140"/>
      <c r="AA479" s="140"/>
      <c r="AB479" s="140"/>
      <c r="AC479" s="140"/>
      <c r="AD479" s="140"/>
    </row>
    <row r="480" spans="1:30" ht="11.25" customHeight="1" x14ac:dyDescent="0.2">
      <c r="A480" s="140"/>
      <c r="B480" s="140"/>
      <c r="C480" s="140"/>
      <c r="D480" s="140"/>
      <c r="E480" s="140"/>
      <c r="F480" s="140"/>
      <c r="G480" s="140"/>
      <c r="H480" s="140"/>
      <c r="I480" s="140"/>
      <c r="J480" s="140"/>
      <c r="K480" s="140"/>
      <c r="L480" s="140"/>
      <c r="M480" s="140"/>
      <c r="N480" s="140"/>
      <c r="O480" s="140"/>
      <c r="P480" s="140"/>
      <c r="Q480" s="140"/>
      <c r="R480" s="140"/>
      <c r="S480" s="140"/>
      <c r="T480" s="140"/>
      <c r="U480" s="140"/>
      <c r="V480" s="140"/>
      <c r="W480" s="140"/>
      <c r="X480" s="140"/>
      <c r="Y480" s="140"/>
      <c r="Z480" s="140"/>
      <c r="AA480" s="140"/>
      <c r="AB480" s="140"/>
      <c r="AC480" s="140"/>
      <c r="AD480" s="140"/>
    </row>
    <row r="481" spans="1:30" ht="11.25" customHeight="1" x14ac:dyDescent="0.2">
      <c r="A481" s="140"/>
      <c r="B481" s="140"/>
      <c r="C481" s="140"/>
      <c r="D481" s="140"/>
      <c r="E481" s="140"/>
      <c r="F481" s="140"/>
      <c r="G481" s="140"/>
      <c r="H481" s="140"/>
      <c r="I481" s="140"/>
      <c r="J481" s="140"/>
      <c r="K481" s="140"/>
      <c r="L481" s="140"/>
      <c r="M481" s="140"/>
      <c r="N481" s="140"/>
      <c r="O481" s="140"/>
      <c r="P481" s="140"/>
      <c r="Q481" s="140"/>
      <c r="R481" s="140"/>
      <c r="S481" s="140"/>
      <c r="T481" s="140"/>
      <c r="U481" s="140"/>
      <c r="V481" s="140"/>
      <c r="W481" s="140"/>
      <c r="X481" s="140"/>
      <c r="Y481" s="140"/>
      <c r="Z481" s="140"/>
      <c r="AA481" s="140"/>
      <c r="AB481" s="140"/>
      <c r="AC481" s="140"/>
      <c r="AD481" s="140"/>
    </row>
    <row r="482" spans="1:30" ht="11.25" customHeight="1" x14ac:dyDescent="0.2">
      <c r="A482" s="140"/>
      <c r="B482" s="140"/>
      <c r="C482" s="140"/>
      <c r="D482" s="140"/>
      <c r="E482" s="140"/>
      <c r="F482" s="140"/>
      <c r="G482" s="140"/>
      <c r="H482" s="140"/>
      <c r="I482" s="140"/>
      <c r="J482" s="140"/>
      <c r="K482" s="140"/>
      <c r="L482" s="140"/>
      <c r="M482" s="140"/>
      <c r="N482" s="140"/>
      <c r="O482" s="140"/>
      <c r="P482" s="140"/>
      <c r="Q482" s="140"/>
      <c r="R482" s="140"/>
      <c r="S482" s="140"/>
      <c r="T482" s="140"/>
      <c r="U482" s="140"/>
      <c r="V482" s="140"/>
      <c r="W482" s="140"/>
      <c r="X482" s="140"/>
      <c r="Y482" s="140"/>
      <c r="Z482" s="140"/>
      <c r="AA482" s="140"/>
      <c r="AB482" s="140"/>
      <c r="AC482" s="140"/>
      <c r="AD482" s="140"/>
    </row>
    <row r="483" spans="1:30" ht="11.25" customHeight="1" x14ac:dyDescent="0.2">
      <c r="A483" s="140"/>
      <c r="B483" s="140"/>
      <c r="C483" s="140"/>
      <c r="D483" s="140"/>
      <c r="E483" s="140"/>
      <c r="F483" s="140"/>
      <c r="G483" s="140"/>
      <c r="H483" s="140"/>
      <c r="I483" s="140"/>
      <c r="J483" s="140"/>
      <c r="K483" s="140"/>
      <c r="L483" s="140"/>
      <c r="M483" s="140"/>
      <c r="N483" s="140"/>
      <c r="O483" s="140"/>
      <c r="P483" s="140"/>
      <c r="Q483" s="140"/>
      <c r="R483" s="140"/>
      <c r="S483" s="140"/>
      <c r="T483" s="140"/>
      <c r="U483" s="140"/>
      <c r="V483" s="140"/>
      <c r="W483" s="140"/>
      <c r="X483" s="140"/>
      <c r="Y483" s="140"/>
      <c r="Z483" s="140"/>
      <c r="AA483" s="140"/>
      <c r="AB483" s="140"/>
      <c r="AC483" s="140"/>
      <c r="AD483" s="140"/>
    </row>
    <row r="484" spans="1:30" ht="11.25" customHeight="1" x14ac:dyDescent="0.2">
      <c r="A484" s="140"/>
      <c r="B484" s="140"/>
      <c r="C484" s="140"/>
      <c r="D484" s="140"/>
      <c r="E484" s="140"/>
      <c r="F484" s="140"/>
      <c r="G484" s="140"/>
      <c r="H484" s="140"/>
      <c r="I484" s="140"/>
      <c r="J484" s="140"/>
      <c r="K484" s="140"/>
      <c r="L484" s="140"/>
      <c r="M484" s="140"/>
      <c r="N484" s="140"/>
      <c r="O484" s="140"/>
      <c r="P484" s="140"/>
      <c r="Q484" s="140"/>
      <c r="R484" s="140"/>
      <c r="S484" s="140"/>
      <c r="T484" s="140"/>
      <c r="U484" s="140"/>
      <c r="V484" s="140"/>
      <c r="W484" s="140"/>
      <c r="X484" s="140"/>
      <c r="Y484" s="140"/>
      <c r="Z484" s="140"/>
      <c r="AA484" s="140"/>
      <c r="AB484" s="140"/>
      <c r="AC484" s="140"/>
      <c r="AD484" s="140"/>
    </row>
    <row r="485" spans="1:30" ht="11.25" customHeight="1" x14ac:dyDescent="0.2">
      <c r="A485" s="140"/>
      <c r="B485" s="140"/>
      <c r="C485" s="140"/>
      <c r="D485" s="140"/>
      <c r="E485" s="140"/>
      <c r="F485" s="140"/>
      <c r="G485" s="140"/>
      <c r="H485" s="140"/>
      <c r="I485" s="140"/>
      <c r="J485" s="140"/>
      <c r="K485" s="140"/>
      <c r="L485" s="140"/>
      <c r="M485" s="140"/>
      <c r="N485" s="140"/>
      <c r="O485" s="140"/>
      <c r="P485" s="140"/>
      <c r="Q485" s="140"/>
      <c r="R485" s="140"/>
      <c r="S485" s="140"/>
      <c r="T485" s="140"/>
      <c r="U485" s="140"/>
      <c r="V485" s="140"/>
      <c r="W485" s="140"/>
      <c r="X485" s="140"/>
      <c r="Y485" s="140"/>
      <c r="Z485" s="140"/>
      <c r="AA485" s="140"/>
      <c r="AB485" s="140"/>
      <c r="AC485" s="140"/>
      <c r="AD485" s="140"/>
    </row>
    <row r="486" spans="1:30" ht="11.25" customHeight="1" x14ac:dyDescent="0.2">
      <c r="A486" s="140"/>
      <c r="B486" s="140"/>
      <c r="C486" s="140"/>
      <c r="D486" s="140"/>
      <c r="E486" s="140"/>
      <c r="F486" s="140"/>
      <c r="G486" s="140"/>
      <c r="H486" s="140"/>
      <c r="I486" s="140"/>
      <c r="J486" s="140"/>
      <c r="K486" s="140"/>
      <c r="L486" s="140"/>
      <c r="M486" s="140"/>
      <c r="N486" s="140"/>
      <c r="O486" s="140"/>
      <c r="P486" s="140"/>
      <c r="Q486" s="140"/>
      <c r="R486" s="140"/>
      <c r="S486" s="140"/>
      <c r="T486" s="140"/>
      <c r="U486" s="140"/>
      <c r="V486" s="140"/>
      <c r="W486" s="140"/>
      <c r="X486" s="140"/>
      <c r="Y486" s="140"/>
      <c r="Z486" s="140"/>
      <c r="AA486" s="140"/>
      <c r="AB486" s="140"/>
      <c r="AC486" s="140"/>
      <c r="AD486" s="140"/>
    </row>
    <row r="487" spans="1:30" ht="11.25" customHeight="1" x14ac:dyDescent="0.2">
      <c r="A487" s="140"/>
      <c r="B487" s="140"/>
      <c r="C487" s="140"/>
      <c r="D487" s="140"/>
      <c r="E487" s="140"/>
      <c r="F487" s="140"/>
      <c r="G487" s="140"/>
      <c r="H487" s="140"/>
      <c r="I487" s="140"/>
      <c r="J487" s="140"/>
      <c r="K487" s="140"/>
      <c r="L487" s="140"/>
      <c r="M487" s="140"/>
      <c r="N487" s="140"/>
      <c r="O487" s="140"/>
      <c r="P487" s="140"/>
      <c r="Q487" s="140"/>
      <c r="R487" s="140"/>
      <c r="S487" s="140"/>
      <c r="T487" s="140"/>
      <c r="U487" s="140"/>
      <c r="V487" s="140"/>
      <c r="W487" s="140"/>
      <c r="X487" s="140"/>
      <c r="Y487" s="140"/>
      <c r="Z487" s="140"/>
      <c r="AA487" s="140"/>
      <c r="AB487" s="140"/>
      <c r="AC487" s="140"/>
      <c r="AD487" s="140"/>
    </row>
    <row r="488" spans="1:30" ht="11.25" customHeight="1" x14ac:dyDescent="0.2">
      <c r="A488" s="140"/>
      <c r="B488" s="140"/>
      <c r="C488" s="140"/>
      <c r="D488" s="140"/>
      <c r="E488" s="140"/>
      <c r="F488" s="140"/>
      <c r="G488" s="140"/>
      <c r="H488" s="140"/>
      <c r="I488" s="140"/>
      <c r="J488" s="140"/>
      <c r="K488" s="140"/>
      <c r="L488" s="140"/>
      <c r="M488" s="140"/>
      <c r="N488" s="140"/>
      <c r="O488" s="140"/>
      <c r="P488" s="140"/>
      <c r="Q488" s="140"/>
      <c r="R488" s="140"/>
      <c r="S488" s="140"/>
      <c r="T488" s="140"/>
      <c r="U488" s="140"/>
      <c r="V488" s="140"/>
      <c r="W488" s="140"/>
      <c r="X488" s="140"/>
      <c r="Y488" s="140"/>
      <c r="Z488" s="140"/>
      <c r="AA488" s="140"/>
      <c r="AB488" s="140"/>
      <c r="AC488" s="140"/>
      <c r="AD488" s="140"/>
    </row>
    <row r="489" spans="1:30" ht="11.25" customHeight="1" x14ac:dyDescent="0.2">
      <c r="A489" s="140"/>
      <c r="B489" s="140"/>
      <c r="C489" s="140"/>
      <c r="D489" s="140"/>
      <c r="E489" s="140"/>
      <c r="F489" s="140"/>
      <c r="G489" s="140"/>
      <c r="H489" s="140"/>
      <c r="I489" s="140"/>
      <c r="J489" s="140"/>
      <c r="K489" s="140"/>
      <c r="L489" s="140"/>
      <c r="M489" s="140"/>
      <c r="N489" s="140"/>
      <c r="O489" s="140"/>
      <c r="P489" s="140"/>
      <c r="Q489" s="140"/>
      <c r="R489" s="140"/>
      <c r="S489" s="140"/>
      <c r="T489" s="140"/>
      <c r="U489" s="140"/>
      <c r="V489" s="140"/>
      <c r="W489" s="140"/>
      <c r="X489" s="140"/>
      <c r="Y489" s="140"/>
      <c r="Z489" s="140"/>
      <c r="AA489" s="140"/>
      <c r="AB489" s="140"/>
      <c r="AC489" s="140"/>
      <c r="AD489" s="140"/>
    </row>
    <row r="490" spans="1:30" ht="11.25" customHeight="1" x14ac:dyDescent="0.2">
      <c r="A490" s="140"/>
      <c r="B490" s="140"/>
      <c r="C490" s="140"/>
      <c r="D490" s="140"/>
      <c r="E490" s="140"/>
      <c r="F490" s="140"/>
      <c r="G490" s="140"/>
      <c r="H490" s="140"/>
      <c r="I490" s="140"/>
      <c r="J490" s="140"/>
      <c r="K490" s="140"/>
      <c r="L490" s="140"/>
      <c r="M490" s="140"/>
      <c r="N490" s="140"/>
      <c r="O490" s="140"/>
      <c r="P490" s="140"/>
      <c r="Q490" s="140"/>
      <c r="R490" s="140"/>
      <c r="S490" s="140"/>
      <c r="T490" s="140"/>
      <c r="U490" s="140"/>
      <c r="V490" s="140"/>
      <c r="W490" s="140"/>
      <c r="X490" s="140"/>
      <c r="Y490" s="140"/>
      <c r="Z490" s="140"/>
      <c r="AA490" s="140"/>
      <c r="AB490" s="140"/>
      <c r="AC490" s="140"/>
      <c r="AD490" s="140"/>
    </row>
    <row r="491" spans="1:30" ht="11.25" customHeight="1" x14ac:dyDescent="0.2">
      <c r="A491" s="140"/>
      <c r="B491" s="140"/>
      <c r="C491" s="140"/>
      <c r="D491" s="140"/>
      <c r="E491" s="140"/>
      <c r="F491" s="140"/>
      <c r="G491" s="140"/>
      <c r="H491" s="140"/>
      <c r="I491" s="140"/>
      <c r="J491" s="140"/>
      <c r="K491" s="140"/>
      <c r="L491" s="140"/>
      <c r="M491" s="140"/>
      <c r="N491" s="140"/>
      <c r="O491" s="140"/>
      <c r="P491" s="140"/>
      <c r="Q491" s="140"/>
      <c r="R491" s="140"/>
      <c r="S491" s="140"/>
      <c r="T491" s="140"/>
      <c r="U491" s="140"/>
      <c r="V491" s="140"/>
      <c r="W491" s="140"/>
      <c r="X491" s="140"/>
      <c r="Y491" s="140"/>
      <c r="Z491" s="140"/>
      <c r="AA491" s="140"/>
      <c r="AB491" s="140"/>
      <c r="AC491" s="140"/>
      <c r="AD491" s="140"/>
    </row>
    <row r="492" spans="1:30" ht="11.25" customHeight="1" x14ac:dyDescent="0.2">
      <c r="A492" s="140"/>
      <c r="B492" s="140"/>
      <c r="C492" s="140"/>
      <c r="D492" s="140"/>
      <c r="E492" s="140"/>
      <c r="F492" s="140"/>
      <c r="G492" s="140"/>
      <c r="H492" s="140"/>
      <c r="I492" s="140"/>
      <c r="J492" s="140"/>
      <c r="K492" s="140"/>
      <c r="L492" s="140"/>
      <c r="M492" s="140"/>
      <c r="N492" s="140"/>
      <c r="O492" s="140"/>
      <c r="P492" s="140"/>
      <c r="Q492" s="140"/>
      <c r="R492" s="140"/>
      <c r="S492" s="140"/>
      <c r="T492" s="140"/>
      <c r="U492" s="140"/>
      <c r="V492" s="140"/>
      <c r="W492" s="140"/>
      <c r="X492" s="140"/>
      <c r="Y492" s="140"/>
      <c r="Z492" s="140"/>
      <c r="AA492" s="140"/>
      <c r="AB492" s="140"/>
      <c r="AC492" s="140"/>
      <c r="AD492" s="140"/>
    </row>
    <row r="493" spans="1:30" ht="11.25" customHeight="1" x14ac:dyDescent="0.2">
      <c r="A493" s="140"/>
      <c r="B493" s="140"/>
      <c r="C493" s="140"/>
      <c r="D493" s="140"/>
      <c r="E493" s="140"/>
      <c r="F493" s="140"/>
      <c r="G493" s="140"/>
      <c r="H493" s="140"/>
      <c r="I493" s="140"/>
      <c r="J493" s="140"/>
      <c r="K493" s="140"/>
      <c r="L493" s="140"/>
      <c r="M493" s="140"/>
      <c r="N493" s="140"/>
      <c r="O493" s="140"/>
      <c r="P493" s="140"/>
      <c r="Q493" s="140"/>
      <c r="R493" s="140"/>
      <c r="S493" s="140"/>
      <c r="T493" s="140"/>
      <c r="U493" s="140"/>
      <c r="V493" s="140"/>
      <c r="W493" s="140"/>
      <c r="X493" s="140"/>
      <c r="Y493" s="140"/>
      <c r="Z493" s="140"/>
      <c r="AA493" s="140"/>
      <c r="AB493" s="140"/>
      <c r="AC493" s="140"/>
      <c r="AD493" s="140"/>
    </row>
    <row r="494" spans="1:30" ht="11.25" customHeight="1" x14ac:dyDescent="0.2">
      <c r="A494" s="140"/>
      <c r="B494" s="140"/>
      <c r="C494" s="140"/>
      <c r="D494" s="140"/>
      <c r="E494" s="140"/>
      <c r="F494" s="140"/>
      <c r="G494" s="140"/>
      <c r="H494" s="140"/>
      <c r="I494" s="140"/>
      <c r="J494" s="140"/>
      <c r="K494" s="140"/>
      <c r="L494" s="140"/>
      <c r="M494" s="140"/>
      <c r="N494" s="140"/>
      <c r="O494" s="140"/>
      <c r="P494" s="140"/>
      <c r="Q494" s="140"/>
      <c r="R494" s="140"/>
      <c r="S494" s="140"/>
      <c r="T494" s="140"/>
      <c r="U494" s="140"/>
      <c r="V494" s="140"/>
      <c r="W494" s="140"/>
      <c r="X494" s="140"/>
      <c r="Y494" s="140"/>
      <c r="Z494" s="140"/>
      <c r="AA494" s="140"/>
      <c r="AB494" s="140"/>
      <c r="AC494" s="140"/>
      <c r="AD494" s="140"/>
    </row>
    <row r="495" spans="1:30" ht="11.25" customHeight="1" x14ac:dyDescent="0.2">
      <c r="A495" s="140"/>
      <c r="B495" s="140"/>
      <c r="C495" s="140"/>
      <c r="D495" s="140"/>
      <c r="E495" s="140"/>
      <c r="F495" s="140"/>
      <c r="G495" s="140"/>
      <c r="H495" s="140"/>
      <c r="I495" s="140"/>
      <c r="J495" s="140"/>
      <c r="K495" s="140"/>
      <c r="L495" s="140"/>
      <c r="M495" s="140"/>
      <c r="N495" s="140"/>
      <c r="O495" s="140"/>
      <c r="P495" s="140"/>
      <c r="Q495" s="140"/>
      <c r="R495" s="140"/>
      <c r="S495" s="140"/>
      <c r="T495" s="140"/>
      <c r="U495" s="140"/>
      <c r="V495" s="140"/>
      <c r="W495" s="140"/>
      <c r="X495" s="140"/>
      <c r="Y495" s="140"/>
      <c r="Z495" s="140"/>
      <c r="AA495" s="140"/>
      <c r="AB495" s="140"/>
      <c r="AC495" s="140"/>
      <c r="AD495" s="140"/>
    </row>
    <row r="496" spans="1:30" ht="11.25" customHeight="1" x14ac:dyDescent="0.2">
      <c r="A496" s="140"/>
      <c r="B496" s="140"/>
      <c r="C496" s="140"/>
      <c r="D496" s="140"/>
      <c r="E496" s="140"/>
      <c r="F496" s="140"/>
      <c r="G496" s="140"/>
      <c r="H496" s="140"/>
      <c r="I496" s="140"/>
      <c r="J496" s="140"/>
      <c r="K496" s="140"/>
      <c r="L496" s="140"/>
      <c r="M496" s="140"/>
      <c r="N496" s="140"/>
      <c r="O496" s="140"/>
      <c r="P496" s="140"/>
      <c r="Q496" s="140"/>
      <c r="R496" s="140"/>
      <c r="S496" s="140"/>
      <c r="T496" s="140"/>
      <c r="U496" s="140"/>
      <c r="V496" s="140"/>
      <c r="W496" s="140"/>
      <c r="X496" s="140"/>
      <c r="Y496" s="140"/>
      <c r="Z496" s="140"/>
      <c r="AA496" s="140"/>
      <c r="AB496" s="140"/>
      <c r="AC496" s="140"/>
      <c r="AD496" s="140"/>
    </row>
    <row r="497" spans="1:30" ht="11.25" customHeight="1" x14ac:dyDescent="0.2">
      <c r="A497" s="140"/>
      <c r="B497" s="140"/>
      <c r="C497" s="140"/>
      <c r="D497" s="140"/>
      <c r="E497" s="140"/>
      <c r="F497" s="140"/>
      <c r="G497" s="140"/>
      <c r="H497" s="140"/>
      <c r="I497" s="140"/>
      <c r="J497" s="140"/>
      <c r="K497" s="140"/>
      <c r="L497" s="140"/>
      <c r="M497" s="140"/>
      <c r="N497" s="140"/>
      <c r="O497" s="140"/>
      <c r="P497" s="140"/>
      <c r="Q497" s="140"/>
      <c r="R497" s="140"/>
      <c r="S497" s="140"/>
      <c r="T497" s="140"/>
      <c r="U497" s="140"/>
      <c r="V497" s="140"/>
      <c r="W497" s="140"/>
      <c r="X497" s="140"/>
      <c r="Y497" s="140"/>
      <c r="Z497" s="140"/>
      <c r="AA497" s="140"/>
      <c r="AB497" s="140"/>
      <c r="AC497" s="140"/>
      <c r="AD497" s="140"/>
    </row>
    <row r="498" spans="1:30" ht="11.25" customHeight="1" x14ac:dyDescent="0.2">
      <c r="A498" s="140"/>
      <c r="B498" s="140"/>
      <c r="C498" s="140"/>
      <c r="D498" s="140"/>
      <c r="E498" s="140"/>
      <c r="F498" s="140"/>
      <c r="G498" s="140"/>
      <c r="H498" s="140"/>
      <c r="I498" s="140"/>
      <c r="J498" s="140"/>
      <c r="K498" s="140"/>
      <c r="L498" s="140"/>
      <c r="M498" s="140"/>
      <c r="N498" s="140"/>
      <c r="O498" s="140"/>
      <c r="P498" s="140"/>
      <c r="Q498" s="140"/>
      <c r="R498" s="140"/>
      <c r="S498" s="140"/>
      <c r="T498" s="140"/>
      <c r="U498" s="140"/>
      <c r="V498" s="140"/>
      <c r="W498" s="140"/>
      <c r="X498" s="140"/>
      <c r="Y498" s="140"/>
      <c r="Z498" s="140"/>
      <c r="AA498" s="140"/>
      <c r="AB498" s="140"/>
      <c r="AC498" s="140"/>
      <c r="AD498" s="140"/>
    </row>
    <row r="499" spans="1:30" ht="11.25" customHeight="1" x14ac:dyDescent="0.2">
      <c r="A499" s="140"/>
      <c r="B499" s="140"/>
      <c r="C499" s="140"/>
      <c r="D499" s="140"/>
      <c r="E499" s="140"/>
      <c r="F499" s="140"/>
      <c r="G499" s="140"/>
      <c r="H499" s="140"/>
      <c r="I499" s="140"/>
      <c r="J499" s="140"/>
      <c r="K499" s="140"/>
      <c r="L499" s="140"/>
      <c r="M499" s="140"/>
      <c r="N499" s="140"/>
      <c r="O499" s="140"/>
      <c r="P499" s="140"/>
      <c r="Q499" s="140"/>
      <c r="R499" s="140"/>
      <c r="S499" s="140"/>
      <c r="T499" s="140"/>
      <c r="U499" s="140"/>
      <c r="V499" s="140"/>
      <c r="W499" s="140"/>
      <c r="X499" s="140"/>
      <c r="Y499" s="140"/>
      <c r="Z499" s="140"/>
      <c r="AA499" s="140"/>
      <c r="AB499" s="140"/>
      <c r="AC499" s="140"/>
      <c r="AD499" s="140"/>
    </row>
    <row r="500" spans="1:30" ht="11.25" customHeight="1" x14ac:dyDescent="0.2">
      <c r="A500" s="140"/>
      <c r="B500" s="140"/>
      <c r="C500" s="140"/>
      <c r="D500" s="140"/>
      <c r="E500" s="140"/>
      <c r="F500" s="140"/>
      <c r="G500" s="140"/>
      <c r="H500" s="140"/>
      <c r="I500" s="140"/>
      <c r="J500" s="140"/>
      <c r="K500" s="140"/>
      <c r="L500" s="140"/>
      <c r="M500" s="140"/>
      <c r="N500" s="140"/>
      <c r="O500" s="140"/>
      <c r="P500" s="140"/>
      <c r="Q500" s="140"/>
      <c r="R500" s="140"/>
      <c r="S500" s="140"/>
      <c r="T500" s="140"/>
      <c r="U500" s="140"/>
      <c r="V500" s="140"/>
      <c r="W500" s="140"/>
      <c r="X500" s="140"/>
      <c r="Y500" s="140"/>
      <c r="Z500" s="140"/>
      <c r="AA500" s="140"/>
      <c r="AB500" s="140"/>
      <c r="AC500" s="140"/>
      <c r="AD500" s="140"/>
    </row>
    <row r="501" spans="1:30" ht="11.25" customHeight="1" x14ac:dyDescent="0.2">
      <c r="A501" s="140"/>
      <c r="B501" s="140"/>
      <c r="C501" s="140"/>
      <c r="D501" s="140"/>
      <c r="E501" s="140"/>
      <c r="F501" s="140"/>
      <c r="G501" s="140"/>
      <c r="H501" s="140"/>
      <c r="I501" s="140"/>
      <c r="J501" s="140"/>
      <c r="K501" s="140"/>
      <c r="L501" s="140"/>
      <c r="M501" s="140"/>
      <c r="N501" s="140"/>
      <c r="O501" s="140"/>
      <c r="P501" s="140"/>
      <c r="Q501" s="140"/>
      <c r="R501" s="140"/>
      <c r="S501" s="140"/>
      <c r="T501" s="140"/>
      <c r="U501" s="140"/>
      <c r="V501" s="140"/>
      <c r="W501" s="140"/>
      <c r="X501" s="140"/>
      <c r="Y501" s="140"/>
      <c r="Z501" s="140"/>
      <c r="AA501" s="140"/>
      <c r="AB501" s="140"/>
      <c r="AC501" s="140"/>
      <c r="AD501" s="140"/>
    </row>
    <row r="502" spans="1:30" ht="11.25" customHeight="1" x14ac:dyDescent="0.2">
      <c r="A502" s="140"/>
      <c r="B502" s="140"/>
      <c r="C502" s="140"/>
      <c r="D502" s="140"/>
      <c r="E502" s="140"/>
      <c r="F502" s="140"/>
      <c r="G502" s="140"/>
      <c r="H502" s="140"/>
      <c r="I502" s="140"/>
      <c r="J502" s="140"/>
      <c r="K502" s="140"/>
      <c r="L502" s="140"/>
      <c r="M502" s="140"/>
      <c r="N502" s="140"/>
      <c r="O502" s="140"/>
      <c r="P502" s="140"/>
      <c r="Q502" s="140"/>
      <c r="R502" s="140"/>
      <c r="S502" s="140"/>
      <c r="T502" s="140"/>
      <c r="U502" s="140"/>
      <c r="V502" s="140"/>
      <c r="W502" s="140"/>
      <c r="X502" s="140"/>
      <c r="Y502" s="140"/>
      <c r="Z502" s="140"/>
      <c r="AA502" s="140"/>
      <c r="AB502" s="140"/>
      <c r="AC502" s="140"/>
      <c r="AD502" s="140"/>
    </row>
    <row r="503" spans="1:30" ht="11.25" customHeight="1" x14ac:dyDescent="0.2">
      <c r="A503" s="140"/>
      <c r="B503" s="140"/>
      <c r="C503" s="140"/>
      <c r="D503" s="140"/>
      <c r="E503" s="140"/>
      <c r="F503" s="140"/>
      <c r="G503" s="140"/>
      <c r="H503" s="140"/>
      <c r="I503" s="140"/>
      <c r="J503" s="140"/>
      <c r="K503" s="140"/>
      <c r="L503" s="140"/>
      <c r="M503" s="140"/>
      <c r="N503" s="140"/>
      <c r="O503" s="140"/>
      <c r="P503" s="140"/>
      <c r="Q503" s="140"/>
      <c r="R503" s="140"/>
      <c r="S503" s="140"/>
      <c r="T503" s="140"/>
      <c r="U503" s="140"/>
      <c r="V503" s="140"/>
      <c r="W503" s="140"/>
      <c r="X503" s="140"/>
      <c r="Y503" s="140"/>
      <c r="Z503" s="140"/>
      <c r="AA503" s="140"/>
      <c r="AB503" s="140"/>
      <c r="AC503" s="140"/>
      <c r="AD503" s="140"/>
    </row>
    <row r="504" spans="1:30" ht="11.25" customHeight="1" x14ac:dyDescent="0.2">
      <c r="A504" s="140"/>
      <c r="B504" s="140"/>
      <c r="C504" s="140"/>
      <c r="D504" s="140"/>
      <c r="E504" s="140"/>
      <c r="F504" s="140"/>
      <c r="G504" s="140"/>
      <c r="H504" s="140"/>
      <c r="I504" s="140"/>
      <c r="J504" s="140"/>
      <c r="K504" s="140"/>
      <c r="L504" s="140"/>
      <c r="M504" s="140"/>
      <c r="N504" s="140"/>
      <c r="O504" s="140"/>
      <c r="P504" s="140"/>
      <c r="Q504" s="140"/>
      <c r="R504" s="140"/>
      <c r="S504" s="140"/>
      <c r="T504" s="140"/>
      <c r="U504" s="140"/>
      <c r="V504" s="140"/>
      <c r="W504" s="140"/>
      <c r="X504" s="140"/>
      <c r="Y504" s="140"/>
      <c r="Z504" s="140"/>
      <c r="AA504" s="140"/>
      <c r="AB504" s="140"/>
      <c r="AC504" s="140"/>
      <c r="AD504" s="140"/>
    </row>
    <row r="505" spans="1:30" ht="11.25" customHeight="1" x14ac:dyDescent="0.2">
      <c r="A505" s="140"/>
      <c r="B505" s="140"/>
      <c r="C505" s="140"/>
      <c r="D505" s="140"/>
      <c r="E505" s="140"/>
      <c r="F505" s="140"/>
      <c r="G505" s="140"/>
      <c r="H505" s="140"/>
      <c r="I505" s="140"/>
      <c r="J505" s="140"/>
      <c r="K505" s="140"/>
      <c r="L505" s="140"/>
      <c r="M505" s="140"/>
      <c r="N505" s="140"/>
      <c r="O505" s="140"/>
      <c r="P505" s="140"/>
      <c r="Q505" s="140"/>
      <c r="R505" s="140"/>
      <c r="S505" s="140"/>
      <c r="T505" s="140"/>
      <c r="U505" s="140"/>
      <c r="V505" s="140"/>
      <c r="W505" s="140"/>
      <c r="X505" s="140"/>
      <c r="Y505" s="140"/>
      <c r="Z505" s="140"/>
      <c r="AA505" s="140"/>
      <c r="AB505" s="140"/>
      <c r="AC505" s="140"/>
      <c r="AD505" s="140"/>
    </row>
    <row r="506" spans="1:30" ht="11.25" customHeight="1" x14ac:dyDescent="0.2">
      <c r="A506" s="140"/>
      <c r="B506" s="140"/>
      <c r="C506" s="140"/>
      <c r="D506" s="140"/>
      <c r="E506" s="140"/>
      <c r="F506" s="140"/>
      <c r="G506" s="140"/>
      <c r="H506" s="140"/>
      <c r="I506" s="140"/>
      <c r="J506" s="140"/>
      <c r="K506" s="140"/>
      <c r="L506" s="140"/>
      <c r="M506" s="140"/>
      <c r="N506" s="140"/>
      <c r="O506" s="140"/>
      <c r="P506" s="140"/>
      <c r="Q506" s="140"/>
      <c r="R506" s="140"/>
      <c r="S506" s="140"/>
      <c r="T506" s="140"/>
      <c r="U506" s="140"/>
      <c r="V506" s="140"/>
      <c r="W506" s="140"/>
      <c r="X506" s="140"/>
      <c r="Y506" s="140"/>
      <c r="Z506" s="140"/>
      <c r="AA506" s="140"/>
      <c r="AB506" s="140"/>
      <c r="AC506" s="140"/>
      <c r="AD506" s="140"/>
    </row>
    <row r="507" spans="1:30" ht="11.25" customHeight="1" x14ac:dyDescent="0.2">
      <c r="A507" s="140"/>
      <c r="B507" s="140"/>
      <c r="C507" s="140"/>
      <c r="D507" s="140"/>
      <c r="E507" s="140"/>
      <c r="F507" s="140"/>
      <c r="G507" s="140"/>
      <c r="H507" s="140"/>
      <c r="I507" s="140"/>
      <c r="J507" s="140"/>
      <c r="K507" s="140"/>
      <c r="L507" s="140"/>
      <c r="M507" s="140"/>
      <c r="N507" s="140"/>
      <c r="O507" s="140"/>
      <c r="P507" s="140"/>
      <c r="Q507" s="140"/>
      <c r="R507" s="140"/>
      <c r="S507" s="140"/>
      <c r="T507" s="140"/>
      <c r="U507" s="140"/>
      <c r="V507" s="140"/>
      <c r="W507" s="140"/>
      <c r="X507" s="140"/>
      <c r="Y507" s="140"/>
      <c r="Z507" s="140"/>
      <c r="AA507" s="140"/>
      <c r="AB507" s="140"/>
      <c r="AC507" s="140"/>
      <c r="AD507" s="140"/>
    </row>
    <row r="508" spans="1:30" ht="11.25" customHeight="1" x14ac:dyDescent="0.2">
      <c r="A508" s="140"/>
      <c r="B508" s="140"/>
      <c r="C508" s="140"/>
      <c r="D508" s="140"/>
      <c r="E508" s="140"/>
      <c r="F508" s="140"/>
      <c r="G508" s="140"/>
      <c r="H508" s="140"/>
      <c r="I508" s="140"/>
      <c r="J508" s="140"/>
      <c r="K508" s="140"/>
      <c r="L508" s="140"/>
      <c r="M508" s="140"/>
      <c r="N508" s="140"/>
      <c r="O508" s="140"/>
      <c r="P508" s="140"/>
      <c r="Q508" s="140"/>
      <c r="R508" s="140"/>
      <c r="S508" s="140"/>
      <c r="T508" s="140"/>
      <c r="U508" s="140"/>
      <c r="V508" s="140"/>
      <c r="W508" s="140"/>
      <c r="X508" s="140"/>
      <c r="Y508" s="140"/>
      <c r="Z508" s="140"/>
      <c r="AA508" s="140"/>
      <c r="AB508" s="140"/>
      <c r="AC508" s="140"/>
      <c r="AD508" s="140"/>
    </row>
    <row r="509" spans="1:30" ht="11.25" customHeight="1" x14ac:dyDescent="0.2">
      <c r="A509" s="140"/>
      <c r="B509" s="140"/>
      <c r="C509" s="140"/>
      <c r="D509" s="140"/>
      <c r="E509" s="140"/>
      <c r="F509" s="140"/>
      <c r="G509" s="140"/>
      <c r="H509" s="140"/>
      <c r="I509" s="140"/>
      <c r="J509" s="140"/>
      <c r="K509" s="140"/>
      <c r="L509" s="140"/>
      <c r="M509" s="140"/>
      <c r="N509" s="140"/>
      <c r="O509" s="140"/>
      <c r="P509" s="140"/>
      <c r="Q509" s="140"/>
      <c r="R509" s="140"/>
      <c r="S509" s="140"/>
      <c r="T509" s="140"/>
      <c r="U509" s="140"/>
      <c r="V509" s="140"/>
      <c r="W509" s="140"/>
      <c r="X509" s="140"/>
      <c r="Y509" s="140"/>
      <c r="Z509" s="140"/>
      <c r="AA509" s="140"/>
      <c r="AB509" s="140"/>
      <c r="AC509" s="140"/>
      <c r="AD509" s="140"/>
    </row>
    <row r="510" spans="1:30" ht="11.25" customHeight="1" x14ac:dyDescent="0.2">
      <c r="A510" s="140"/>
      <c r="B510" s="140"/>
      <c r="C510" s="140"/>
      <c r="D510" s="140"/>
      <c r="E510" s="140"/>
      <c r="F510" s="140"/>
      <c r="G510" s="140"/>
      <c r="H510" s="140"/>
      <c r="I510" s="140"/>
      <c r="J510" s="140"/>
      <c r="K510" s="140"/>
      <c r="L510" s="140"/>
      <c r="M510" s="140"/>
      <c r="N510" s="140"/>
      <c r="O510" s="140"/>
      <c r="P510" s="140"/>
      <c r="Q510" s="140"/>
      <c r="R510" s="140"/>
      <c r="S510" s="140"/>
      <c r="T510" s="140"/>
      <c r="U510" s="140"/>
      <c r="V510" s="140"/>
      <c r="W510" s="140"/>
      <c r="X510" s="140"/>
      <c r="Y510" s="140"/>
      <c r="Z510" s="140"/>
      <c r="AA510" s="140"/>
      <c r="AB510" s="140"/>
      <c r="AC510" s="140"/>
      <c r="AD510" s="140"/>
    </row>
    <row r="511" spans="1:30" ht="11.25" customHeight="1" x14ac:dyDescent="0.2">
      <c r="A511" s="140"/>
      <c r="B511" s="140"/>
      <c r="C511" s="140"/>
      <c r="D511" s="140"/>
      <c r="E511" s="140"/>
      <c r="F511" s="140"/>
      <c r="G511" s="140"/>
      <c r="H511" s="140"/>
      <c r="I511" s="140"/>
      <c r="J511" s="140"/>
      <c r="K511" s="140"/>
      <c r="L511" s="140"/>
      <c r="M511" s="140"/>
      <c r="N511" s="140"/>
      <c r="O511" s="140"/>
      <c r="P511" s="140"/>
      <c r="Q511" s="140"/>
      <c r="R511" s="140"/>
      <c r="S511" s="140"/>
      <c r="T511" s="140"/>
      <c r="U511" s="140"/>
      <c r="V511" s="140"/>
      <c r="W511" s="140"/>
      <c r="X511" s="140"/>
      <c r="Y511" s="140"/>
      <c r="Z511" s="140"/>
      <c r="AA511" s="140"/>
      <c r="AB511" s="140"/>
      <c r="AC511" s="140"/>
      <c r="AD511" s="140"/>
    </row>
    <row r="512" spans="1:30" ht="11.25" customHeight="1" x14ac:dyDescent="0.2">
      <c r="A512" s="140"/>
      <c r="B512" s="140"/>
      <c r="C512" s="140"/>
      <c r="D512" s="140"/>
      <c r="E512" s="140"/>
      <c r="F512" s="140"/>
      <c r="G512" s="140"/>
      <c r="H512" s="140"/>
      <c r="I512" s="140"/>
      <c r="J512" s="140"/>
      <c r="K512" s="140"/>
      <c r="L512" s="140"/>
      <c r="M512" s="140"/>
      <c r="N512" s="140"/>
      <c r="O512" s="140"/>
      <c r="P512" s="140"/>
      <c r="Q512" s="140"/>
      <c r="R512" s="140"/>
      <c r="S512" s="140"/>
      <c r="T512" s="140"/>
      <c r="U512" s="140"/>
      <c r="V512" s="140"/>
      <c r="W512" s="140"/>
      <c r="X512" s="140"/>
      <c r="Y512" s="140"/>
      <c r="Z512" s="140"/>
      <c r="AA512" s="140"/>
      <c r="AB512" s="140"/>
      <c r="AC512" s="140"/>
      <c r="AD512" s="140"/>
    </row>
    <row r="513" spans="1:30" ht="11.25" customHeight="1" x14ac:dyDescent="0.2">
      <c r="A513" s="140"/>
      <c r="B513" s="140"/>
      <c r="C513" s="140"/>
      <c r="D513" s="140"/>
      <c r="E513" s="140"/>
      <c r="F513" s="140"/>
      <c r="G513" s="140"/>
      <c r="H513" s="140"/>
      <c r="I513" s="140"/>
      <c r="J513" s="140"/>
      <c r="K513" s="140"/>
      <c r="L513" s="140"/>
      <c r="M513" s="140"/>
      <c r="N513" s="140"/>
      <c r="O513" s="140"/>
      <c r="P513" s="140"/>
      <c r="Q513" s="140"/>
      <c r="R513" s="140"/>
      <c r="S513" s="140"/>
      <c r="T513" s="140"/>
      <c r="U513" s="140"/>
      <c r="V513" s="140"/>
      <c r="W513" s="140"/>
      <c r="X513" s="140"/>
      <c r="Y513" s="140"/>
      <c r="Z513" s="140"/>
      <c r="AA513" s="140"/>
      <c r="AB513" s="140"/>
      <c r="AC513" s="140"/>
      <c r="AD513" s="140"/>
    </row>
    <row r="514" spans="1:30" ht="11.25" customHeight="1" x14ac:dyDescent="0.2">
      <c r="A514" s="140"/>
      <c r="B514" s="140"/>
      <c r="C514" s="140"/>
      <c r="D514" s="140"/>
      <c r="E514" s="140"/>
      <c r="F514" s="140"/>
      <c r="G514" s="140"/>
      <c r="H514" s="140"/>
      <c r="I514" s="140"/>
      <c r="J514" s="140"/>
      <c r="K514" s="140"/>
      <c r="L514" s="140"/>
      <c r="M514" s="140"/>
      <c r="N514" s="140"/>
      <c r="O514" s="140"/>
      <c r="P514" s="140"/>
      <c r="Q514" s="140"/>
      <c r="R514" s="140"/>
      <c r="S514" s="140"/>
      <c r="T514" s="140"/>
      <c r="U514" s="140"/>
      <c r="V514" s="140"/>
      <c r="W514" s="140"/>
      <c r="X514" s="140"/>
      <c r="Y514" s="140"/>
      <c r="Z514" s="140"/>
      <c r="AA514" s="140"/>
      <c r="AB514" s="140"/>
      <c r="AC514" s="140"/>
      <c r="AD514" s="140"/>
    </row>
    <row r="515" spans="1:30" ht="11.25" customHeight="1" x14ac:dyDescent="0.2">
      <c r="A515" s="140"/>
      <c r="B515" s="140"/>
      <c r="C515" s="140"/>
      <c r="D515" s="140"/>
      <c r="E515" s="140"/>
      <c r="F515" s="140"/>
      <c r="G515" s="140"/>
      <c r="H515" s="140"/>
      <c r="I515" s="140"/>
      <c r="J515" s="140"/>
      <c r="K515" s="140"/>
      <c r="L515" s="140"/>
      <c r="M515" s="140"/>
      <c r="N515" s="140"/>
      <c r="O515" s="140"/>
      <c r="P515" s="140"/>
      <c r="Q515" s="140"/>
      <c r="R515" s="140"/>
      <c r="S515" s="140"/>
      <c r="T515" s="140"/>
      <c r="U515" s="140"/>
      <c r="V515" s="140"/>
      <c r="W515" s="140"/>
      <c r="X515" s="140"/>
      <c r="Y515" s="140"/>
      <c r="Z515" s="140"/>
      <c r="AA515" s="140"/>
      <c r="AB515" s="140"/>
      <c r="AC515" s="140"/>
      <c r="AD515" s="140"/>
    </row>
    <row r="516" spans="1:30" ht="11.25" customHeight="1" x14ac:dyDescent="0.2">
      <c r="A516" s="140"/>
      <c r="B516" s="140"/>
      <c r="C516" s="140"/>
      <c r="D516" s="140"/>
      <c r="E516" s="140"/>
      <c r="F516" s="140"/>
      <c r="G516" s="140"/>
      <c r="H516" s="140"/>
      <c r="I516" s="140"/>
      <c r="J516" s="140"/>
      <c r="K516" s="140"/>
      <c r="L516" s="140"/>
      <c r="M516" s="140"/>
      <c r="N516" s="140"/>
      <c r="O516" s="140"/>
      <c r="P516" s="140"/>
      <c r="Q516" s="140"/>
      <c r="R516" s="140"/>
      <c r="S516" s="140"/>
      <c r="T516" s="140"/>
      <c r="U516" s="140"/>
      <c r="V516" s="140"/>
      <c r="W516" s="140"/>
      <c r="X516" s="140"/>
      <c r="Y516" s="140"/>
      <c r="Z516" s="140"/>
      <c r="AA516" s="140"/>
      <c r="AB516" s="140"/>
      <c r="AC516" s="140"/>
      <c r="AD516" s="140"/>
    </row>
    <row r="517" spans="1:30" ht="11.25" customHeight="1" x14ac:dyDescent="0.2">
      <c r="A517" s="140"/>
      <c r="B517" s="140"/>
      <c r="C517" s="140"/>
      <c r="D517" s="140"/>
      <c r="E517" s="140"/>
      <c r="F517" s="140"/>
      <c r="G517" s="140"/>
      <c r="H517" s="140"/>
      <c r="I517" s="140"/>
      <c r="J517" s="140"/>
      <c r="K517" s="140"/>
      <c r="L517" s="140"/>
      <c r="M517" s="140"/>
      <c r="N517" s="140"/>
      <c r="O517" s="140"/>
      <c r="P517" s="140"/>
      <c r="Q517" s="140"/>
      <c r="R517" s="140"/>
      <c r="S517" s="140"/>
      <c r="T517" s="140"/>
      <c r="U517" s="140"/>
      <c r="V517" s="140"/>
      <c r="W517" s="140"/>
      <c r="X517" s="140"/>
      <c r="Y517" s="140"/>
      <c r="Z517" s="140"/>
      <c r="AA517" s="140"/>
      <c r="AB517" s="140"/>
      <c r="AC517" s="140"/>
      <c r="AD517" s="140"/>
    </row>
    <row r="518" spans="1:30" ht="11.25" customHeight="1" x14ac:dyDescent="0.2">
      <c r="A518" s="140"/>
      <c r="B518" s="140"/>
      <c r="C518" s="140"/>
      <c r="D518" s="140"/>
      <c r="E518" s="140"/>
      <c r="F518" s="140"/>
      <c r="G518" s="140"/>
      <c r="H518" s="140"/>
      <c r="I518" s="140"/>
      <c r="J518" s="140"/>
      <c r="K518" s="140"/>
      <c r="L518" s="140"/>
      <c r="M518" s="140"/>
      <c r="N518" s="140"/>
      <c r="O518" s="140"/>
      <c r="P518" s="140"/>
      <c r="Q518" s="140"/>
      <c r="R518" s="140"/>
      <c r="S518" s="140"/>
      <c r="T518" s="140"/>
      <c r="U518" s="140"/>
      <c r="V518" s="140"/>
      <c r="W518" s="140"/>
      <c r="X518" s="140"/>
      <c r="Y518" s="140"/>
      <c r="Z518" s="140"/>
      <c r="AA518" s="140"/>
      <c r="AB518" s="140"/>
      <c r="AC518" s="140"/>
      <c r="AD518" s="140"/>
    </row>
    <row r="519" spans="1:30" ht="11.25" customHeight="1" x14ac:dyDescent="0.2">
      <c r="A519" s="140"/>
      <c r="B519" s="140"/>
      <c r="C519" s="140"/>
      <c r="D519" s="140"/>
      <c r="E519" s="140"/>
      <c r="F519" s="140"/>
      <c r="G519" s="140"/>
      <c r="H519" s="140"/>
      <c r="I519" s="140"/>
      <c r="J519" s="140"/>
      <c r="K519" s="140"/>
      <c r="L519" s="140"/>
      <c r="M519" s="140"/>
      <c r="N519" s="140"/>
      <c r="O519" s="140"/>
      <c r="P519" s="140"/>
      <c r="Q519" s="140"/>
      <c r="R519" s="140"/>
      <c r="S519" s="140"/>
      <c r="T519" s="140"/>
      <c r="U519" s="140"/>
      <c r="V519" s="140"/>
      <c r="W519" s="140"/>
      <c r="X519" s="140"/>
      <c r="Y519" s="140"/>
      <c r="Z519" s="140"/>
      <c r="AA519" s="140"/>
      <c r="AB519" s="140"/>
      <c r="AC519" s="140"/>
      <c r="AD519" s="140"/>
    </row>
    <row r="520" spans="1:30" ht="11.25" customHeight="1" x14ac:dyDescent="0.2">
      <c r="A520" s="140"/>
      <c r="B520" s="140"/>
      <c r="C520" s="140"/>
      <c r="D520" s="140"/>
      <c r="E520" s="140"/>
      <c r="F520" s="140"/>
      <c r="G520" s="140"/>
      <c r="H520" s="140"/>
      <c r="I520" s="140"/>
      <c r="J520" s="140"/>
      <c r="K520" s="140"/>
      <c r="L520" s="140"/>
      <c r="M520" s="140"/>
      <c r="N520" s="140"/>
      <c r="O520" s="140"/>
      <c r="P520" s="140"/>
      <c r="Q520" s="140"/>
      <c r="R520" s="140"/>
      <c r="S520" s="140"/>
      <c r="T520" s="140"/>
      <c r="U520" s="140"/>
      <c r="V520" s="140"/>
      <c r="W520" s="140"/>
      <c r="X520" s="140"/>
      <c r="Y520" s="140"/>
      <c r="Z520" s="140"/>
      <c r="AA520" s="140"/>
      <c r="AB520" s="140"/>
      <c r="AC520" s="140"/>
      <c r="AD520" s="140"/>
    </row>
    <row r="521" spans="1:30" ht="11.25" customHeight="1" x14ac:dyDescent="0.2">
      <c r="A521" s="140"/>
      <c r="B521" s="140"/>
      <c r="C521" s="140"/>
      <c r="D521" s="140"/>
      <c r="E521" s="140"/>
      <c r="F521" s="140"/>
      <c r="G521" s="140"/>
      <c r="H521" s="140"/>
      <c r="I521" s="140"/>
      <c r="J521" s="140"/>
      <c r="K521" s="140"/>
      <c r="L521" s="140"/>
      <c r="M521" s="140"/>
      <c r="N521" s="140"/>
      <c r="O521" s="140"/>
      <c r="P521" s="140"/>
      <c r="Q521" s="140"/>
      <c r="R521" s="140"/>
      <c r="S521" s="140"/>
      <c r="T521" s="140"/>
      <c r="U521" s="140"/>
      <c r="V521" s="140"/>
      <c r="W521" s="140"/>
      <c r="X521" s="140"/>
      <c r="Y521" s="140"/>
      <c r="Z521" s="140"/>
      <c r="AA521" s="140"/>
      <c r="AB521" s="140"/>
      <c r="AC521" s="140"/>
      <c r="AD521" s="140"/>
    </row>
    <row r="522" spans="1:30" ht="11.25" customHeight="1" x14ac:dyDescent="0.2">
      <c r="A522" s="140"/>
      <c r="B522" s="140"/>
      <c r="C522" s="140"/>
      <c r="D522" s="140"/>
      <c r="E522" s="140"/>
      <c r="F522" s="140"/>
      <c r="G522" s="140"/>
      <c r="H522" s="140"/>
      <c r="I522" s="140"/>
      <c r="J522" s="140"/>
      <c r="K522" s="140"/>
      <c r="L522" s="140"/>
      <c r="M522" s="140"/>
      <c r="N522" s="140"/>
      <c r="O522" s="140"/>
      <c r="P522" s="140"/>
      <c r="Q522" s="140"/>
      <c r="R522" s="140"/>
      <c r="S522" s="140"/>
      <c r="T522" s="140"/>
      <c r="U522" s="140"/>
      <c r="V522" s="140"/>
      <c r="W522" s="140"/>
      <c r="X522" s="140"/>
      <c r="Y522" s="140"/>
      <c r="Z522" s="140"/>
      <c r="AA522" s="140"/>
      <c r="AB522" s="140"/>
      <c r="AC522" s="140"/>
      <c r="AD522" s="140"/>
    </row>
    <row r="523" spans="1:30" ht="11.25" customHeight="1" x14ac:dyDescent="0.2">
      <c r="A523" s="140"/>
      <c r="B523" s="140"/>
      <c r="C523" s="140"/>
      <c r="D523" s="140"/>
      <c r="E523" s="140"/>
      <c r="F523" s="140"/>
      <c r="G523" s="140"/>
      <c r="H523" s="140"/>
      <c r="I523" s="140"/>
      <c r="J523" s="140"/>
      <c r="K523" s="140"/>
      <c r="L523" s="140"/>
      <c r="M523" s="140"/>
      <c r="N523" s="140"/>
      <c r="O523" s="140"/>
      <c r="P523" s="140"/>
      <c r="Q523" s="140"/>
      <c r="R523" s="140"/>
      <c r="S523" s="140"/>
      <c r="T523" s="140"/>
      <c r="U523" s="140"/>
      <c r="V523" s="140"/>
      <c r="W523" s="140"/>
      <c r="X523" s="140"/>
      <c r="Y523" s="140"/>
      <c r="Z523" s="140"/>
      <c r="AA523" s="140"/>
      <c r="AB523" s="140"/>
      <c r="AC523" s="140"/>
      <c r="AD523" s="140"/>
    </row>
    <row r="524" spans="1:30" ht="11.25" customHeight="1" x14ac:dyDescent="0.2">
      <c r="A524" s="140"/>
      <c r="B524" s="140"/>
      <c r="C524" s="140"/>
      <c r="D524" s="140"/>
      <c r="E524" s="140"/>
      <c r="F524" s="140"/>
      <c r="G524" s="140"/>
      <c r="H524" s="140"/>
      <c r="I524" s="140"/>
      <c r="J524" s="140"/>
      <c r="K524" s="140"/>
      <c r="L524" s="140"/>
      <c r="M524" s="140"/>
      <c r="N524" s="140"/>
      <c r="O524" s="140"/>
      <c r="P524" s="140"/>
      <c r="Q524" s="140"/>
      <c r="R524" s="140"/>
      <c r="S524" s="140"/>
      <c r="T524" s="140"/>
      <c r="U524" s="140"/>
      <c r="V524" s="140"/>
      <c r="W524" s="140"/>
      <c r="X524" s="140"/>
      <c r="Y524" s="140"/>
      <c r="Z524" s="140"/>
      <c r="AA524" s="140"/>
      <c r="AB524" s="140"/>
      <c r="AC524" s="140"/>
      <c r="AD524" s="140"/>
    </row>
    <row r="525" spans="1:30" ht="11.25" customHeight="1" x14ac:dyDescent="0.2">
      <c r="A525" s="140"/>
      <c r="B525" s="140"/>
      <c r="C525" s="140"/>
      <c r="D525" s="140"/>
      <c r="E525" s="140"/>
      <c r="F525" s="140"/>
      <c r="G525" s="140"/>
      <c r="H525" s="140"/>
      <c r="I525" s="140"/>
      <c r="J525" s="140"/>
      <c r="K525" s="140"/>
      <c r="L525" s="140"/>
      <c r="M525" s="140"/>
      <c r="N525" s="140"/>
      <c r="O525" s="140"/>
      <c r="P525" s="140"/>
      <c r="Q525" s="140"/>
      <c r="R525" s="140"/>
      <c r="S525" s="140"/>
      <c r="T525" s="140"/>
      <c r="U525" s="140"/>
      <c r="V525" s="140"/>
      <c r="W525" s="140"/>
      <c r="X525" s="140"/>
      <c r="Y525" s="140"/>
      <c r="Z525" s="140"/>
      <c r="AA525" s="140"/>
      <c r="AB525" s="140"/>
      <c r="AC525" s="140"/>
      <c r="AD525" s="140"/>
    </row>
    <row r="526" spans="1:30" ht="11.25" customHeight="1" x14ac:dyDescent="0.2">
      <c r="A526" s="140"/>
      <c r="B526" s="140"/>
      <c r="C526" s="140"/>
      <c r="D526" s="140"/>
      <c r="E526" s="140"/>
      <c r="F526" s="140"/>
      <c r="G526" s="140"/>
      <c r="H526" s="140"/>
      <c r="I526" s="140"/>
      <c r="J526" s="140"/>
      <c r="K526" s="140"/>
      <c r="L526" s="140"/>
      <c r="M526" s="140"/>
      <c r="N526" s="140"/>
      <c r="O526" s="140"/>
      <c r="P526" s="140"/>
      <c r="Q526" s="140"/>
      <c r="R526" s="140"/>
      <c r="S526" s="140"/>
      <c r="T526" s="140"/>
      <c r="U526" s="140"/>
      <c r="V526" s="140"/>
      <c r="W526" s="140"/>
      <c r="X526" s="140"/>
      <c r="Y526" s="140"/>
      <c r="Z526" s="140"/>
      <c r="AA526" s="140"/>
      <c r="AB526" s="140"/>
      <c r="AC526" s="140"/>
      <c r="AD526" s="140"/>
    </row>
    <row r="527" spans="1:30" ht="11.25" customHeight="1" x14ac:dyDescent="0.2">
      <c r="A527" s="140"/>
      <c r="B527" s="140"/>
      <c r="C527" s="140"/>
      <c r="D527" s="140"/>
      <c r="E527" s="140"/>
      <c r="F527" s="140"/>
      <c r="G527" s="140"/>
      <c r="H527" s="140"/>
      <c r="I527" s="140"/>
      <c r="J527" s="140"/>
      <c r="K527" s="140"/>
      <c r="L527" s="140"/>
      <c r="M527" s="140"/>
      <c r="N527" s="140"/>
      <c r="O527" s="140"/>
      <c r="P527" s="140"/>
      <c r="Q527" s="140"/>
      <c r="R527" s="140"/>
      <c r="S527" s="140"/>
      <c r="T527" s="140"/>
      <c r="U527" s="140"/>
      <c r="V527" s="140"/>
      <c r="W527" s="140"/>
      <c r="X527" s="140"/>
      <c r="Y527" s="140"/>
      <c r="Z527" s="140"/>
      <c r="AA527" s="140"/>
      <c r="AB527" s="140"/>
      <c r="AC527" s="140"/>
      <c r="AD527" s="140"/>
    </row>
    <row r="528" spans="1:30" ht="11.25" customHeight="1" x14ac:dyDescent="0.2">
      <c r="A528" s="140"/>
      <c r="B528" s="140"/>
      <c r="C528" s="140"/>
      <c r="D528" s="140"/>
      <c r="E528" s="140"/>
      <c r="F528" s="140"/>
      <c r="G528" s="140"/>
      <c r="H528" s="140"/>
      <c r="I528" s="140"/>
      <c r="J528" s="140"/>
      <c r="K528" s="140"/>
      <c r="L528" s="140"/>
      <c r="M528" s="140"/>
      <c r="N528" s="140"/>
      <c r="O528" s="140"/>
      <c r="P528" s="140"/>
      <c r="Q528" s="140"/>
      <c r="R528" s="140"/>
      <c r="S528" s="140"/>
      <c r="T528" s="140"/>
      <c r="U528" s="140"/>
      <c r="V528" s="140"/>
      <c r="W528" s="140"/>
      <c r="X528" s="140"/>
      <c r="Y528" s="140"/>
      <c r="Z528" s="140"/>
      <c r="AA528" s="140"/>
      <c r="AB528" s="140"/>
      <c r="AC528" s="140"/>
      <c r="AD528" s="140"/>
    </row>
    <row r="529" spans="1:30" ht="11.25" customHeight="1" x14ac:dyDescent="0.2">
      <c r="A529" s="140"/>
      <c r="B529" s="140"/>
      <c r="C529" s="140"/>
      <c r="D529" s="140"/>
      <c r="E529" s="140"/>
      <c r="F529" s="140"/>
      <c r="G529" s="140"/>
      <c r="H529" s="140"/>
      <c r="I529" s="140"/>
      <c r="J529" s="140"/>
      <c r="K529" s="140"/>
      <c r="L529" s="140"/>
      <c r="M529" s="140"/>
      <c r="N529" s="140"/>
      <c r="O529" s="140"/>
      <c r="P529" s="140"/>
      <c r="Q529" s="140"/>
      <c r="R529" s="140"/>
      <c r="S529" s="140"/>
      <c r="T529" s="140"/>
      <c r="U529" s="140"/>
      <c r="V529" s="140"/>
      <c r="W529" s="140"/>
      <c r="X529" s="140"/>
      <c r="Y529" s="140"/>
      <c r="Z529" s="140"/>
      <c r="AA529" s="140"/>
      <c r="AB529" s="140"/>
      <c r="AC529" s="140"/>
      <c r="AD529" s="140"/>
    </row>
    <row r="530" spans="1:30" ht="11.25" customHeight="1" x14ac:dyDescent="0.2">
      <c r="A530" s="140"/>
      <c r="B530" s="140"/>
      <c r="C530" s="140"/>
      <c r="D530" s="140"/>
      <c r="E530" s="140"/>
      <c r="F530" s="140"/>
      <c r="G530" s="140"/>
      <c r="H530" s="140"/>
      <c r="I530" s="140"/>
      <c r="J530" s="140"/>
      <c r="K530" s="140"/>
      <c r="L530" s="140"/>
      <c r="M530" s="140"/>
      <c r="N530" s="140"/>
      <c r="O530" s="140"/>
      <c r="P530" s="140"/>
      <c r="Q530" s="140"/>
      <c r="R530" s="140"/>
      <c r="S530" s="140"/>
      <c r="T530" s="140"/>
      <c r="U530" s="140"/>
      <c r="V530" s="140"/>
      <c r="W530" s="140"/>
      <c r="X530" s="140"/>
      <c r="Y530" s="140"/>
      <c r="Z530" s="140"/>
      <c r="AA530" s="140"/>
      <c r="AB530" s="140"/>
      <c r="AC530" s="140"/>
      <c r="AD530" s="140"/>
    </row>
    <row r="531" spans="1:30" ht="11.25" customHeight="1" x14ac:dyDescent="0.2">
      <c r="A531" s="140"/>
      <c r="B531" s="140"/>
      <c r="C531" s="140"/>
      <c r="D531" s="140"/>
      <c r="E531" s="140"/>
      <c r="F531" s="140"/>
      <c r="G531" s="140"/>
      <c r="H531" s="140"/>
      <c r="I531" s="140"/>
      <c r="J531" s="140"/>
      <c r="K531" s="140"/>
      <c r="L531" s="140"/>
      <c r="M531" s="140"/>
      <c r="N531" s="140"/>
      <c r="O531" s="140"/>
      <c r="P531" s="140"/>
      <c r="Q531" s="140"/>
      <c r="R531" s="140"/>
      <c r="S531" s="140"/>
      <c r="T531" s="140"/>
      <c r="U531" s="140"/>
      <c r="V531" s="140"/>
      <c r="W531" s="140"/>
      <c r="X531" s="140"/>
      <c r="Y531" s="140"/>
      <c r="Z531" s="140"/>
      <c r="AA531" s="140"/>
      <c r="AB531" s="140"/>
      <c r="AC531" s="140"/>
      <c r="AD531" s="140"/>
    </row>
    <row r="532" spans="1:30" ht="11.25" customHeight="1" x14ac:dyDescent="0.2">
      <c r="A532" s="140"/>
      <c r="B532" s="140"/>
      <c r="C532" s="140"/>
      <c r="D532" s="140"/>
      <c r="E532" s="140"/>
      <c r="F532" s="140"/>
      <c r="G532" s="140"/>
      <c r="H532" s="140"/>
      <c r="I532" s="140"/>
      <c r="J532" s="140"/>
      <c r="K532" s="140"/>
      <c r="L532" s="140"/>
      <c r="M532" s="140"/>
      <c r="N532" s="140"/>
      <c r="O532" s="140"/>
      <c r="P532" s="140"/>
      <c r="Q532" s="140"/>
      <c r="R532" s="140"/>
      <c r="S532" s="140"/>
      <c r="T532" s="140"/>
      <c r="U532" s="140"/>
      <c r="V532" s="140"/>
      <c r="W532" s="140"/>
      <c r="X532" s="140"/>
      <c r="Y532" s="140"/>
      <c r="Z532" s="140"/>
      <c r="AA532" s="140"/>
      <c r="AB532" s="140"/>
      <c r="AC532" s="140"/>
      <c r="AD532" s="140"/>
    </row>
    <row r="533" spans="1:30" ht="11.25" customHeight="1" x14ac:dyDescent="0.2">
      <c r="A533" s="140"/>
      <c r="B533" s="140"/>
      <c r="C533" s="140"/>
      <c r="D533" s="140"/>
      <c r="E533" s="140"/>
      <c r="F533" s="140"/>
      <c r="G533" s="140"/>
      <c r="H533" s="140"/>
      <c r="I533" s="140"/>
      <c r="J533" s="140"/>
      <c r="K533" s="140"/>
      <c r="L533" s="140"/>
      <c r="M533" s="140"/>
      <c r="N533" s="140"/>
      <c r="O533" s="140"/>
      <c r="P533" s="140"/>
      <c r="Q533" s="140"/>
      <c r="R533" s="140"/>
      <c r="S533" s="140"/>
      <c r="T533" s="140"/>
      <c r="U533" s="140"/>
      <c r="V533" s="140"/>
      <c r="W533" s="140"/>
      <c r="X533" s="140"/>
      <c r="Y533" s="140"/>
      <c r="Z533" s="140"/>
      <c r="AA533" s="140"/>
      <c r="AB533" s="140"/>
      <c r="AC533" s="140"/>
      <c r="AD533" s="140"/>
    </row>
    <row r="534" spans="1:30" ht="11.25" customHeight="1" x14ac:dyDescent="0.2">
      <c r="A534" s="140"/>
      <c r="B534" s="140"/>
      <c r="C534" s="140"/>
      <c r="D534" s="140"/>
      <c r="E534" s="140"/>
      <c r="F534" s="140"/>
      <c r="G534" s="140"/>
      <c r="H534" s="140"/>
      <c r="I534" s="140"/>
      <c r="J534" s="140"/>
      <c r="K534" s="140"/>
      <c r="L534" s="140"/>
      <c r="M534" s="140"/>
      <c r="N534" s="140"/>
      <c r="O534" s="140"/>
      <c r="P534" s="140"/>
      <c r="Q534" s="140"/>
      <c r="R534" s="140"/>
      <c r="S534" s="140"/>
      <c r="T534" s="140"/>
      <c r="U534" s="140"/>
      <c r="V534" s="140"/>
      <c r="W534" s="140"/>
      <c r="X534" s="140"/>
      <c r="Y534" s="140"/>
      <c r="Z534" s="140"/>
      <c r="AA534" s="140"/>
      <c r="AB534" s="140"/>
      <c r="AC534" s="140"/>
      <c r="AD534" s="140"/>
    </row>
    <row r="535" spans="1:30" ht="11.25" customHeight="1" x14ac:dyDescent="0.2">
      <c r="A535" s="140"/>
      <c r="B535" s="140"/>
      <c r="C535" s="140"/>
      <c r="D535" s="140"/>
      <c r="E535" s="140"/>
      <c r="F535" s="140"/>
      <c r="G535" s="140"/>
      <c r="H535" s="140"/>
      <c r="I535" s="140"/>
      <c r="J535" s="140"/>
      <c r="K535" s="140"/>
      <c r="L535" s="140"/>
      <c r="M535" s="140"/>
      <c r="N535" s="140"/>
      <c r="O535" s="140"/>
      <c r="P535" s="140"/>
      <c r="Q535" s="140"/>
      <c r="R535" s="140"/>
      <c r="S535" s="140"/>
      <c r="T535" s="140"/>
      <c r="U535" s="140"/>
      <c r="V535" s="140"/>
      <c r="W535" s="140"/>
      <c r="X535" s="140"/>
      <c r="Y535" s="140"/>
      <c r="Z535" s="140"/>
      <c r="AA535" s="140"/>
      <c r="AB535" s="140"/>
      <c r="AC535" s="140"/>
      <c r="AD535" s="140"/>
    </row>
    <row r="536" spans="1:30" ht="11.25" customHeight="1" x14ac:dyDescent="0.2">
      <c r="A536" s="140"/>
      <c r="B536" s="140"/>
      <c r="C536" s="140"/>
      <c r="D536" s="140"/>
      <c r="E536" s="140"/>
      <c r="F536" s="140"/>
      <c r="G536" s="140"/>
      <c r="H536" s="140"/>
      <c r="I536" s="140"/>
      <c r="J536" s="140"/>
      <c r="K536" s="140"/>
      <c r="L536" s="140"/>
      <c r="M536" s="140"/>
      <c r="N536" s="140"/>
      <c r="O536" s="140"/>
      <c r="P536" s="140"/>
      <c r="Q536" s="140"/>
      <c r="R536" s="140"/>
      <c r="S536" s="140"/>
      <c r="T536" s="140"/>
      <c r="U536" s="140"/>
      <c r="V536" s="140"/>
      <c r="W536" s="140"/>
      <c r="X536" s="140"/>
      <c r="Y536" s="140"/>
      <c r="Z536" s="140"/>
      <c r="AA536" s="140"/>
      <c r="AB536" s="140"/>
      <c r="AC536" s="140"/>
      <c r="AD536" s="140"/>
    </row>
    <row r="537" spans="1:30" ht="11.25" customHeight="1" x14ac:dyDescent="0.2">
      <c r="A537" s="140"/>
      <c r="B537" s="140"/>
      <c r="C537" s="140"/>
      <c r="D537" s="140"/>
      <c r="E537" s="140"/>
      <c r="F537" s="140"/>
      <c r="G537" s="140"/>
      <c r="H537" s="140"/>
      <c r="I537" s="140"/>
      <c r="J537" s="140"/>
      <c r="K537" s="140"/>
      <c r="L537" s="140"/>
      <c r="M537" s="140"/>
      <c r="N537" s="140"/>
      <c r="O537" s="140"/>
      <c r="P537" s="140"/>
      <c r="Q537" s="140"/>
      <c r="R537" s="140"/>
      <c r="S537" s="140"/>
      <c r="T537" s="140"/>
      <c r="U537" s="140"/>
      <c r="V537" s="140"/>
      <c r="W537" s="140"/>
      <c r="X537" s="140"/>
      <c r="Y537" s="140"/>
      <c r="Z537" s="140"/>
      <c r="AA537" s="140"/>
      <c r="AB537" s="140"/>
      <c r="AC537" s="140"/>
      <c r="AD537" s="140"/>
    </row>
    <row r="538" spans="1:30" ht="11.25" customHeight="1" x14ac:dyDescent="0.2">
      <c r="A538" s="140"/>
      <c r="B538" s="140"/>
      <c r="C538" s="140"/>
      <c r="D538" s="140"/>
      <c r="E538" s="140"/>
      <c r="F538" s="140"/>
      <c r="G538" s="140"/>
      <c r="H538" s="140"/>
      <c r="I538" s="140"/>
      <c r="J538" s="140"/>
      <c r="K538" s="140"/>
      <c r="L538" s="140"/>
      <c r="M538" s="140"/>
      <c r="N538" s="140"/>
      <c r="O538" s="140"/>
      <c r="P538" s="140"/>
      <c r="Q538" s="140"/>
      <c r="R538" s="140"/>
      <c r="S538" s="140"/>
      <c r="T538" s="140"/>
      <c r="U538" s="140"/>
      <c r="V538" s="140"/>
      <c r="W538" s="140"/>
      <c r="X538" s="140"/>
      <c r="Y538" s="140"/>
      <c r="Z538" s="140"/>
      <c r="AA538" s="140"/>
      <c r="AB538" s="140"/>
      <c r="AC538" s="140"/>
      <c r="AD538" s="140"/>
    </row>
    <row r="539" spans="1:30" ht="11.25" customHeight="1" x14ac:dyDescent="0.2">
      <c r="A539" s="140"/>
      <c r="B539" s="140"/>
      <c r="C539" s="140"/>
      <c r="D539" s="140"/>
      <c r="E539" s="140"/>
      <c r="F539" s="140"/>
      <c r="G539" s="140"/>
      <c r="H539" s="140"/>
      <c r="I539" s="140"/>
      <c r="J539" s="140"/>
      <c r="K539" s="140"/>
      <c r="L539" s="140"/>
      <c r="M539" s="140"/>
      <c r="N539" s="140"/>
      <c r="O539" s="140"/>
      <c r="P539" s="140"/>
      <c r="Q539" s="140"/>
      <c r="R539" s="140"/>
      <c r="S539" s="140"/>
      <c r="T539" s="140"/>
      <c r="U539" s="140"/>
      <c r="V539" s="140"/>
      <c r="W539" s="140"/>
      <c r="X539" s="140"/>
      <c r="Y539" s="140"/>
      <c r="Z539" s="140"/>
      <c r="AA539" s="140"/>
      <c r="AB539" s="140"/>
      <c r="AC539" s="140"/>
      <c r="AD539" s="140"/>
    </row>
    <row r="540" spans="1:30" ht="11.25" customHeight="1" x14ac:dyDescent="0.2">
      <c r="A540" s="140"/>
      <c r="B540" s="140"/>
      <c r="C540" s="140"/>
      <c r="D540" s="140"/>
      <c r="E540" s="140"/>
      <c r="F540" s="140"/>
      <c r="G540" s="140"/>
      <c r="H540" s="140"/>
      <c r="I540" s="140"/>
      <c r="J540" s="140"/>
      <c r="K540" s="140"/>
      <c r="L540" s="140"/>
      <c r="M540" s="140"/>
      <c r="N540" s="140"/>
      <c r="O540" s="140"/>
      <c r="P540" s="140"/>
      <c r="Q540" s="140"/>
      <c r="R540" s="140"/>
      <c r="S540" s="140"/>
      <c r="T540" s="140"/>
      <c r="U540" s="140"/>
      <c r="V540" s="140"/>
      <c r="W540" s="140"/>
      <c r="X540" s="140"/>
      <c r="Y540" s="140"/>
      <c r="Z540" s="140"/>
      <c r="AA540" s="140"/>
      <c r="AB540" s="140"/>
      <c r="AC540" s="140"/>
      <c r="AD540" s="140"/>
    </row>
    <row r="541" spans="1:30" ht="11.25" customHeight="1" x14ac:dyDescent="0.2">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row>
    <row r="542" spans="1:30" ht="11.25" customHeight="1" x14ac:dyDescent="0.2">
      <c r="A542" s="140"/>
      <c r="B542" s="140"/>
      <c r="C542" s="140"/>
      <c r="D542" s="140"/>
      <c r="E542" s="140"/>
      <c r="F542" s="140"/>
      <c r="G542" s="140"/>
      <c r="H542" s="140"/>
      <c r="I542" s="140"/>
      <c r="J542" s="140"/>
      <c r="K542" s="140"/>
      <c r="L542" s="140"/>
      <c r="M542" s="140"/>
      <c r="N542" s="140"/>
      <c r="O542" s="140"/>
      <c r="P542" s="140"/>
      <c r="Q542" s="140"/>
      <c r="R542" s="140"/>
      <c r="S542" s="140"/>
      <c r="T542" s="140"/>
      <c r="U542" s="140"/>
      <c r="V542" s="140"/>
      <c r="W542" s="140"/>
      <c r="X542" s="140"/>
      <c r="Y542" s="140"/>
      <c r="Z542" s="140"/>
      <c r="AA542" s="140"/>
      <c r="AB542" s="140"/>
      <c r="AC542" s="140"/>
      <c r="AD542" s="140"/>
    </row>
    <row r="543" spans="1:30" ht="11.25" customHeight="1" x14ac:dyDescent="0.2">
      <c r="A543" s="140"/>
      <c r="B543" s="140"/>
      <c r="C543" s="140"/>
      <c r="D543" s="140"/>
      <c r="E543" s="140"/>
      <c r="F543" s="140"/>
      <c r="G543" s="140"/>
      <c r="H543" s="140"/>
      <c r="I543" s="140"/>
      <c r="J543" s="140"/>
      <c r="K543" s="140"/>
      <c r="L543" s="140"/>
      <c r="M543" s="140"/>
      <c r="N543" s="140"/>
      <c r="O543" s="140"/>
      <c r="P543" s="140"/>
      <c r="Q543" s="140"/>
      <c r="R543" s="140"/>
      <c r="S543" s="140"/>
      <c r="T543" s="140"/>
      <c r="U543" s="140"/>
      <c r="V543" s="140"/>
      <c r="W543" s="140"/>
      <c r="X543" s="140"/>
      <c r="Y543" s="140"/>
      <c r="Z543" s="140"/>
      <c r="AA543" s="140"/>
      <c r="AB543" s="140"/>
      <c r="AC543" s="140"/>
      <c r="AD543" s="140"/>
    </row>
    <row r="544" spans="1:30" ht="11.25" customHeight="1" x14ac:dyDescent="0.2">
      <c r="A544" s="140"/>
      <c r="B544" s="140"/>
      <c r="C544" s="140"/>
      <c r="D544" s="140"/>
      <c r="E544" s="140"/>
      <c r="F544" s="140"/>
      <c r="G544" s="140"/>
      <c r="H544" s="140"/>
      <c r="I544" s="140"/>
      <c r="J544" s="140"/>
      <c r="K544" s="140"/>
      <c r="L544" s="140"/>
      <c r="M544" s="140"/>
      <c r="N544" s="140"/>
      <c r="O544" s="140"/>
      <c r="P544" s="140"/>
      <c r="Q544" s="140"/>
      <c r="R544" s="140"/>
      <c r="S544" s="140"/>
      <c r="T544" s="140"/>
      <c r="U544" s="140"/>
      <c r="V544" s="140"/>
      <c r="W544" s="140"/>
      <c r="X544" s="140"/>
      <c r="Y544" s="140"/>
      <c r="Z544" s="140"/>
      <c r="AA544" s="140"/>
      <c r="AB544" s="140"/>
      <c r="AC544" s="140"/>
      <c r="AD544" s="140"/>
    </row>
    <row r="545" spans="1:30" ht="11.25" customHeight="1" x14ac:dyDescent="0.2">
      <c r="A545" s="140"/>
      <c r="B545" s="140"/>
      <c r="C545" s="140"/>
      <c r="D545" s="140"/>
      <c r="E545" s="140"/>
      <c r="F545" s="140"/>
      <c r="G545" s="140"/>
      <c r="H545" s="140"/>
      <c r="I545" s="140"/>
      <c r="J545" s="140"/>
      <c r="K545" s="140"/>
      <c r="L545" s="140"/>
      <c r="M545" s="140"/>
      <c r="N545" s="140"/>
      <c r="O545" s="140"/>
      <c r="P545" s="140"/>
      <c r="Q545" s="140"/>
      <c r="R545" s="140"/>
      <c r="S545" s="140"/>
      <c r="T545" s="140"/>
      <c r="U545" s="140"/>
      <c r="V545" s="140"/>
      <c r="W545" s="140"/>
      <c r="X545" s="140"/>
      <c r="Y545" s="140"/>
      <c r="Z545" s="140"/>
      <c r="AA545" s="140"/>
      <c r="AB545" s="140"/>
      <c r="AC545" s="140"/>
      <c r="AD545" s="140"/>
    </row>
    <row r="546" spans="1:30" ht="11.25" customHeight="1" x14ac:dyDescent="0.2">
      <c r="A546" s="140"/>
      <c r="B546" s="140"/>
      <c r="C546" s="140"/>
      <c r="D546" s="140"/>
      <c r="E546" s="140"/>
      <c r="F546" s="140"/>
      <c r="G546" s="140"/>
      <c r="H546" s="140"/>
      <c r="I546" s="140"/>
      <c r="J546" s="140"/>
      <c r="K546" s="140"/>
      <c r="L546" s="140"/>
      <c r="M546" s="140"/>
      <c r="N546" s="140"/>
      <c r="O546" s="140"/>
      <c r="P546" s="140"/>
      <c r="Q546" s="140"/>
      <c r="R546" s="140"/>
      <c r="S546" s="140"/>
      <c r="T546" s="140"/>
      <c r="U546" s="140"/>
      <c r="V546" s="140"/>
      <c r="W546" s="140"/>
      <c r="X546" s="140"/>
      <c r="Y546" s="140"/>
      <c r="Z546" s="140"/>
      <c r="AA546" s="140"/>
      <c r="AB546" s="140"/>
      <c r="AC546" s="140"/>
      <c r="AD546" s="140"/>
    </row>
    <row r="547" spans="1:30" ht="11.25" customHeight="1" x14ac:dyDescent="0.2">
      <c r="A547" s="140"/>
      <c r="B547" s="140"/>
      <c r="C547" s="140"/>
      <c r="D547" s="140"/>
      <c r="E547" s="140"/>
      <c r="F547" s="140"/>
      <c r="G547" s="140"/>
      <c r="H547" s="140"/>
      <c r="I547" s="140"/>
      <c r="J547" s="140"/>
      <c r="K547" s="140"/>
      <c r="L547" s="140"/>
      <c r="M547" s="140"/>
      <c r="N547" s="140"/>
      <c r="O547" s="140"/>
      <c r="P547" s="140"/>
      <c r="Q547" s="140"/>
      <c r="R547" s="140"/>
      <c r="S547" s="140"/>
      <c r="T547" s="140"/>
      <c r="U547" s="140"/>
      <c r="V547" s="140"/>
      <c r="W547" s="140"/>
      <c r="X547" s="140"/>
      <c r="Y547" s="140"/>
      <c r="Z547" s="140"/>
      <c r="AA547" s="140"/>
      <c r="AB547" s="140"/>
      <c r="AC547" s="140"/>
      <c r="AD547" s="140"/>
    </row>
    <row r="548" spans="1:30" ht="11.25" customHeight="1" x14ac:dyDescent="0.2">
      <c r="A548" s="140"/>
      <c r="B548" s="140"/>
      <c r="C548" s="140"/>
      <c r="D548" s="140"/>
      <c r="E548" s="140"/>
      <c r="F548" s="140"/>
      <c r="G548" s="140"/>
      <c r="H548" s="140"/>
      <c r="I548" s="140"/>
      <c r="J548" s="140"/>
      <c r="K548" s="140"/>
      <c r="L548" s="140"/>
      <c r="M548" s="140"/>
      <c r="N548" s="140"/>
      <c r="O548" s="140"/>
      <c r="P548" s="140"/>
      <c r="Q548" s="140"/>
      <c r="R548" s="140"/>
      <c r="S548" s="140"/>
      <c r="T548" s="140"/>
      <c r="U548" s="140"/>
      <c r="V548" s="140"/>
      <c r="W548" s="140"/>
      <c r="X548" s="140"/>
      <c r="Y548" s="140"/>
      <c r="Z548" s="140"/>
      <c r="AA548" s="140"/>
      <c r="AB548" s="140"/>
      <c r="AC548" s="140"/>
      <c r="AD548" s="140"/>
    </row>
    <row r="549" spans="1:30" ht="11.25" customHeight="1" x14ac:dyDescent="0.2">
      <c r="A549" s="140"/>
      <c r="B549" s="140"/>
      <c r="C549" s="140"/>
      <c r="D549" s="140"/>
      <c r="E549" s="140"/>
      <c r="F549" s="140"/>
      <c r="G549" s="140"/>
      <c r="H549" s="140"/>
      <c r="I549" s="140"/>
      <c r="J549" s="140"/>
      <c r="K549" s="140"/>
      <c r="L549" s="140"/>
      <c r="M549" s="140"/>
      <c r="N549" s="140"/>
      <c r="O549" s="140"/>
      <c r="P549" s="140"/>
      <c r="Q549" s="140"/>
      <c r="R549" s="140"/>
      <c r="S549" s="140"/>
      <c r="T549" s="140"/>
      <c r="U549" s="140"/>
      <c r="V549" s="140"/>
      <c r="W549" s="140"/>
      <c r="X549" s="140"/>
      <c r="Y549" s="140"/>
      <c r="Z549" s="140"/>
      <c r="AA549" s="140"/>
      <c r="AB549" s="140"/>
      <c r="AC549" s="140"/>
      <c r="AD549" s="140"/>
    </row>
    <row r="550" spans="1:30" ht="11.25" customHeight="1" x14ac:dyDescent="0.2">
      <c r="A550" s="140"/>
      <c r="B550" s="140"/>
      <c r="C550" s="140"/>
      <c r="D550" s="140"/>
      <c r="E550" s="140"/>
      <c r="F550" s="140"/>
      <c r="G550" s="140"/>
      <c r="H550" s="140"/>
      <c r="I550" s="140"/>
      <c r="J550" s="140"/>
      <c r="K550" s="140"/>
      <c r="L550" s="140"/>
      <c r="M550" s="140"/>
      <c r="N550" s="140"/>
      <c r="O550" s="140"/>
      <c r="P550" s="140"/>
      <c r="Q550" s="140"/>
      <c r="R550" s="140"/>
      <c r="S550" s="140"/>
      <c r="T550" s="140"/>
      <c r="U550" s="140"/>
      <c r="V550" s="140"/>
      <c r="W550" s="140"/>
      <c r="X550" s="140"/>
      <c r="Y550" s="140"/>
      <c r="Z550" s="140"/>
      <c r="AA550" s="140"/>
      <c r="AB550" s="140"/>
      <c r="AC550" s="140"/>
      <c r="AD550" s="140"/>
    </row>
    <row r="551" spans="1:30" ht="11.25" customHeight="1" x14ac:dyDescent="0.2">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row>
    <row r="552" spans="1:30" ht="11.25" customHeight="1" x14ac:dyDescent="0.2">
      <c r="A552" s="140"/>
      <c r="B552" s="140"/>
      <c r="C552" s="140"/>
      <c r="D552" s="140"/>
      <c r="E552" s="140"/>
      <c r="F552" s="140"/>
      <c r="G552" s="140"/>
      <c r="H552" s="140"/>
      <c r="I552" s="140"/>
      <c r="J552" s="140"/>
      <c r="K552" s="140"/>
      <c r="L552" s="140"/>
      <c r="M552" s="140"/>
      <c r="N552" s="140"/>
      <c r="O552" s="140"/>
      <c r="P552" s="140"/>
      <c r="Q552" s="140"/>
      <c r="R552" s="140"/>
      <c r="S552" s="140"/>
      <c r="T552" s="140"/>
      <c r="U552" s="140"/>
      <c r="V552" s="140"/>
      <c r="W552" s="140"/>
      <c r="X552" s="140"/>
      <c r="Y552" s="140"/>
      <c r="Z552" s="140"/>
      <c r="AA552" s="140"/>
      <c r="AB552" s="140"/>
      <c r="AC552" s="140"/>
      <c r="AD552" s="140"/>
    </row>
    <row r="553" spans="1:30" ht="11.25" customHeight="1" x14ac:dyDescent="0.2">
      <c r="A553" s="140"/>
      <c r="B553" s="140"/>
      <c r="C553" s="140"/>
      <c r="D553" s="140"/>
      <c r="E553" s="140"/>
      <c r="F553" s="140"/>
      <c r="G553" s="140"/>
      <c r="H553" s="140"/>
      <c r="I553" s="140"/>
      <c r="J553" s="140"/>
      <c r="K553" s="140"/>
      <c r="L553" s="140"/>
      <c r="M553" s="140"/>
      <c r="N553" s="140"/>
      <c r="O553" s="140"/>
      <c r="P553" s="140"/>
      <c r="Q553" s="140"/>
      <c r="R553" s="140"/>
      <c r="S553" s="140"/>
      <c r="T553" s="140"/>
      <c r="U553" s="140"/>
      <c r="V553" s="140"/>
      <c r="W553" s="140"/>
      <c r="X553" s="140"/>
      <c r="Y553" s="140"/>
      <c r="Z553" s="140"/>
      <c r="AA553" s="140"/>
      <c r="AB553" s="140"/>
      <c r="AC553" s="140"/>
      <c r="AD553" s="140"/>
    </row>
    <row r="554" spans="1:30" ht="11.25" customHeight="1" x14ac:dyDescent="0.2">
      <c r="A554" s="140"/>
      <c r="B554" s="140"/>
      <c r="C554" s="140"/>
      <c r="D554" s="140"/>
      <c r="E554" s="140"/>
      <c r="F554" s="140"/>
      <c r="G554" s="140"/>
      <c r="H554" s="140"/>
      <c r="I554" s="140"/>
      <c r="J554" s="140"/>
      <c r="K554" s="140"/>
      <c r="L554" s="140"/>
      <c r="M554" s="140"/>
      <c r="N554" s="140"/>
      <c r="O554" s="140"/>
      <c r="P554" s="140"/>
      <c r="Q554" s="140"/>
      <c r="R554" s="140"/>
      <c r="S554" s="140"/>
      <c r="T554" s="140"/>
      <c r="U554" s="140"/>
      <c r="V554" s="140"/>
      <c r="W554" s="140"/>
      <c r="X554" s="140"/>
      <c r="Y554" s="140"/>
      <c r="Z554" s="140"/>
      <c r="AA554" s="140"/>
      <c r="AB554" s="140"/>
      <c r="AC554" s="140"/>
      <c r="AD554" s="140"/>
    </row>
    <row r="555" spans="1:30" ht="11.25" customHeight="1" x14ac:dyDescent="0.2">
      <c r="A555" s="140"/>
      <c r="B555" s="140"/>
      <c r="C555" s="140"/>
      <c r="D555" s="140"/>
      <c r="E555" s="140"/>
      <c r="F555" s="140"/>
      <c r="G555" s="140"/>
      <c r="H555" s="140"/>
      <c r="I555" s="140"/>
      <c r="J555" s="140"/>
      <c r="K555" s="140"/>
      <c r="L555" s="140"/>
      <c r="M555" s="140"/>
      <c r="N555" s="140"/>
      <c r="O555" s="140"/>
      <c r="P555" s="140"/>
      <c r="Q555" s="140"/>
      <c r="R555" s="140"/>
      <c r="S555" s="140"/>
      <c r="T555" s="140"/>
      <c r="U555" s="140"/>
      <c r="V555" s="140"/>
      <c r="W555" s="140"/>
      <c r="X555" s="140"/>
      <c r="Y555" s="140"/>
      <c r="Z555" s="140"/>
      <c r="AA555" s="140"/>
      <c r="AB555" s="140"/>
      <c r="AC555" s="140"/>
      <c r="AD555" s="140"/>
    </row>
    <row r="556" spans="1:30" ht="11.25" customHeight="1" x14ac:dyDescent="0.2">
      <c r="A556" s="140"/>
      <c r="B556" s="140"/>
      <c r="C556" s="140"/>
      <c r="D556" s="140"/>
      <c r="E556" s="140"/>
      <c r="F556" s="140"/>
      <c r="G556" s="140"/>
      <c r="H556" s="140"/>
      <c r="I556" s="140"/>
      <c r="J556" s="140"/>
      <c r="K556" s="140"/>
      <c r="L556" s="140"/>
      <c r="M556" s="140"/>
      <c r="N556" s="140"/>
      <c r="O556" s="140"/>
      <c r="P556" s="140"/>
      <c r="Q556" s="140"/>
      <c r="R556" s="140"/>
      <c r="S556" s="140"/>
      <c r="T556" s="140"/>
      <c r="U556" s="140"/>
      <c r="V556" s="140"/>
      <c r="W556" s="140"/>
      <c r="X556" s="140"/>
      <c r="Y556" s="140"/>
      <c r="Z556" s="140"/>
      <c r="AA556" s="140"/>
      <c r="AB556" s="140"/>
      <c r="AC556" s="140"/>
      <c r="AD556" s="140"/>
    </row>
    <row r="557" spans="1:30" ht="11.25" customHeight="1" x14ac:dyDescent="0.2">
      <c r="A557" s="140"/>
      <c r="B557" s="140"/>
      <c r="C557" s="140"/>
      <c r="D557" s="140"/>
      <c r="E557" s="140"/>
      <c r="F557" s="140"/>
      <c r="G557" s="140"/>
      <c r="H557" s="140"/>
      <c r="I557" s="140"/>
      <c r="J557" s="140"/>
      <c r="K557" s="140"/>
      <c r="L557" s="140"/>
      <c r="M557" s="140"/>
      <c r="N557" s="140"/>
      <c r="O557" s="140"/>
      <c r="P557" s="140"/>
      <c r="Q557" s="140"/>
      <c r="R557" s="140"/>
      <c r="S557" s="140"/>
      <c r="T557" s="140"/>
      <c r="U557" s="140"/>
      <c r="V557" s="140"/>
      <c r="W557" s="140"/>
      <c r="X557" s="140"/>
      <c r="Y557" s="140"/>
      <c r="Z557" s="140"/>
      <c r="AA557" s="140"/>
      <c r="AB557" s="140"/>
      <c r="AC557" s="140"/>
      <c r="AD557" s="140"/>
    </row>
    <row r="558" spans="1:30" ht="11.25" customHeight="1" x14ac:dyDescent="0.2">
      <c r="A558" s="140"/>
      <c r="B558" s="140"/>
      <c r="C558" s="140"/>
      <c r="D558" s="140"/>
      <c r="E558" s="140"/>
      <c r="F558" s="140"/>
      <c r="G558" s="140"/>
      <c r="H558" s="140"/>
      <c r="I558" s="140"/>
      <c r="J558" s="140"/>
      <c r="K558" s="140"/>
      <c r="L558" s="140"/>
      <c r="M558" s="140"/>
      <c r="N558" s="140"/>
      <c r="O558" s="140"/>
      <c r="P558" s="140"/>
      <c r="Q558" s="140"/>
      <c r="R558" s="140"/>
      <c r="S558" s="140"/>
      <c r="T558" s="140"/>
      <c r="U558" s="140"/>
      <c r="V558" s="140"/>
      <c r="W558" s="140"/>
      <c r="X558" s="140"/>
      <c r="Y558" s="140"/>
      <c r="Z558" s="140"/>
      <c r="AA558" s="140"/>
      <c r="AB558" s="140"/>
      <c r="AC558" s="140"/>
      <c r="AD558" s="140"/>
    </row>
    <row r="559" spans="1:30" ht="11.25" customHeight="1" x14ac:dyDescent="0.2">
      <c r="A559" s="140"/>
      <c r="B559" s="140"/>
      <c r="C559" s="140"/>
      <c r="D559" s="140"/>
      <c r="E559" s="140"/>
      <c r="F559" s="140"/>
      <c r="G559" s="140"/>
      <c r="H559" s="140"/>
      <c r="I559" s="140"/>
      <c r="J559" s="140"/>
      <c r="K559" s="140"/>
      <c r="L559" s="140"/>
      <c r="M559" s="140"/>
      <c r="N559" s="140"/>
      <c r="O559" s="140"/>
      <c r="P559" s="140"/>
      <c r="Q559" s="140"/>
      <c r="R559" s="140"/>
      <c r="S559" s="140"/>
      <c r="T559" s="140"/>
      <c r="U559" s="140"/>
      <c r="V559" s="140"/>
      <c r="W559" s="140"/>
      <c r="X559" s="140"/>
      <c r="Y559" s="140"/>
      <c r="Z559" s="140"/>
      <c r="AA559" s="140"/>
      <c r="AB559" s="140"/>
      <c r="AC559" s="140"/>
      <c r="AD559" s="140"/>
    </row>
    <row r="560" spans="1:30" ht="11.25" customHeight="1" x14ac:dyDescent="0.2">
      <c r="A560" s="140"/>
      <c r="B560" s="140"/>
      <c r="C560" s="140"/>
      <c r="D560" s="140"/>
      <c r="E560" s="140"/>
      <c r="F560" s="140"/>
      <c r="G560" s="140"/>
      <c r="H560" s="140"/>
      <c r="I560" s="140"/>
      <c r="J560" s="140"/>
      <c r="K560" s="140"/>
      <c r="L560" s="140"/>
      <c r="M560" s="140"/>
      <c r="N560" s="140"/>
      <c r="O560" s="140"/>
      <c r="P560" s="140"/>
      <c r="Q560" s="140"/>
      <c r="R560" s="140"/>
      <c r="S560" s="140"/>
      <c r="T560" s="140"/>
      <c r="U560" s="140"/>
      <c r="V560" s="140"/>
      <c r="W560" s="140"/>
      <c r="X560" s="140"/>
      <c r="Y560" s="140"/>
      <c r="Z560" s="140"/>
      <c r="AA560" s="140"/>
      <c r="AB560" s="140"/>
      <c r="AC560" s="140"/>
      <c r="AD560" s="140"/>
    </row>
    <row r="561" spans="1:30" ht="11.25" customHeight="1" x14ac:dyDescent="0.2">
      <c r="A561" s="140"/>
      <c r="B561" s="140"/>
      <c r="C561" s="140"/>
      <c r="D561" s="140"/>
      <c r="E561" s="140"/>
      <c r="F561" s="140"/>
      <c r="G561" s="140"/>
      <c r="H561" s="140"/>
      <c r="I561" s="140"/>
      <c r="J561" s="140"/>
      <c r="K561" s="140"/>
      <c r="L561" s="140"/>
      <c r="M561" s="140"/>
      <c r="N561" s="140"/>
      <c r="O561" s="140"/>
      <c r="P561" s="140"/>
      <c r="Q561" s="140"/>
      <c r="R561" s="140"/>
      <c r="S561" s="140"/>
      <c r="T561" s="140"/>
      <c r="U561" s="140"/>
      <c r="V561" s="140"/>
      <c r="W561" s="140"/>
      <c r="X561" s="140"/>
      <c r="Y561" s="140"/>
      <c r="Z561" s="140"/>
      <c r="AA561" s="140"/>
      <c r="AB561" s="140"/>
      <c r="AC561" s="140"/>
      <c r="AD561" s="140"/>
    </row>
    <row r="562" spans="1:30" ht="11.25" customHeight="1" x14ac:dyDescent="0.2">
      <c r="A562" s="140"/>
      <c r="B562" s="140"/>
      <c r="C562" s="140"/>
      <c r="D562" s="140"/>
      <c r="E562" s="140"/>
      <c r="F562" s="140"/>
      <c r="G562" s="140"/>
      <c r="H562" s="140"/>
      <c r="I562" s="140"/>
      <c r="J562" s="140"/>
      <c r="K562" s="140"/>
      <c r="L562" s="140"/>
      <c r="M562" s="140"/>
      <c r="N562" s="140"/>
      <c r="O562" s="140"/>
      <c r="P562" s="140"/>
      <c r="Q562" s="140"/>
      <c r="R562" s="140"/>
      <c r="S562" s="140"/>
      <c r="T562" s="140"/>
      <c r="U562" s="140"/>
      <c r="V562" s="140"/>
      <c r="W562" s="140"/>
      <c r="X562" s="140"/>
      <c r="Y562" s="140"/>
      <c r="Z562" s="140"/>
      <c r="AA562" s="140"/>
      <c r="AB562" s="140"/>
      <c r="AC562" s="140"/>
      <c r="AD562" s="140"/>
    </row>
    <row r="563" spans="1:30" ht="11.25" customHeight="1" x14ac:dyDescent="0.2">
      <c r="A563" s="140"/>
      <c r="B563" s="140"/>
      <c r="C563" s="140"/>
      <c r="D563" s="140"/>
      <c r="E563" s="140"/>
      <c r="F563" s="140"/>
      <c r="G563" s="140"/>
      <c r="H563" s="140"/>
      <c r="I563" s="140"/>
      <c r="J563" s="140"/>
      <c r="K563" s="140"/>
      <c r="L563" s="140"/>
      <c r="M563" s="140"/>
      <c r="N563" s="140"/>
      <c r="O563" s="140"/>
      <c r="P563" s="140"/>
      <c r="Q563" s="140"/>
      <c r="R563" s="140"/>
      <c r="S563" s="140"/>
      <c r="T563" s="140"/>
      <c r="U563" s="140"/>
      <c r="V563" s="140"/>
      <c r="W563" s="140"/>
      <c r="X563" s="140"/>
      <c r="Y563" s="140"/>
      <c r="Z563" s="140"/>
      <c r="AA563" s="140"/>
      <c r="AB563" s="140"/>
      <c r="AC563" s="140"/>
      <c r="AD563" s="140"/>
    </row>
    <row r="564" spans="1:30" ht="11.25" customHeight="1" x14ac:dyDescent="0.2">
      <c r="A564" s="140"/>
      <c r="B564" s="140"/>
      <c r="C564" s="140"/>
      <c r="D564" s="140"/>
      <c r="E564" s="140"/>
      <c r="F564" s="140"/>
      <c r="G564" s="140"/>
      <c r="H564" s="140"/>
      <c r="I564" s="140"/>
      <c r="J564" s="140"/>
      <c r="K564" s="140"/>
      <c r="L564" s="140"/>
      <c r="M564" s="140"/>
      <c r="N564" s="140"/>
      <c r="O564" s="140"/>
      <c r="P564" s="140"/>
      <c r="Q564" s="140"/>
      <c r="R564" s="140"/>
      <c r="S564" s="140"/>
      <c r="T564" s="140"/>
      <c r="U564" s="140"/>
      <c r="V564" s="140"/>
      <c r="W564" s="140"/>
      <c r="X564" s="140"/>
      <c r="Y564" s="140"/>
      <c r="Z564" s="140"/>
      <c r="AA564" s="140"/>
      <c r="AB564" s="140"/>
      <c r="AC564" s="140"/>
      <c r="AD564" s="140"/>
    </row>
    <row r="565" spans="1:30" ht="11.25" customHeight="1" x14ac:dyDescent="0.2">
      <c r="A565" s="140"/>
      <c r="B565" s="140"/>
      <c r="C565" s="140"/>
      <c r="D565" s="140"/>
      <c r="E565" s="140"/>
      <c r="F565" s="140"/>
      <c r="G565" s="140"/>
      <c r="H565" s="140"/>
      <c r="I565" s="140"/>
      <c r="J565" s="140"/>
      <c r="K565" s="140"/>
      <c r="L565" s="140"/>
      <c r="M565" s="140"/>
      <c r="N565" s="140"/>
      <c r="O565" s="140"/>
      <c r="P565" s="140"/>
      <c r="Q565" s="140"/>
      <c r="R565" s="140"/>
      <c r="S565" s="140"/>
      <c r="T565" s="140"/>
      <c r="U565" s="140"/>
      <c r="V565" s="140"/>
      <c r="W565" s="140"/>
      <c r="X565" s="140"/>
      <c r="Y565" s="140"/>
      <c r="Z565" s="140"/>
      <c r="AA565" s="140"/>
      <c r="AB565" s="140"/>
      <c r="AC565" s="140"/>
      <c r="AD565" s="140"/>
    </row>
    <row r="566" spans="1:30" ht="11.25" customHeight="1" x14ac:dyDescent="0.2">
      <c r="A566" s="140"/>
      <c r="B566" s="140"/>
      <c r="C566" s="140"/>
      <c r="D566" s="140"/>
      <c r="E566" s="140"/>
      <c r="F566" s="140"/>
      <c r="G566" s="140"/>
      <c r="H566" s="140"/>
      <c r="I566" s="140"/>
      <c r="J566" s="140"/>
      <c r="K566" s="140"/>
      <c r="L566" s="140"/>
      <c r="M566" s="140"/>
      <c r="N566" s="140"/>
      <c r="O566" s="140"/>
      <c r="P566" s="140"/>
      <c r="Q566" s="140"/>
      <c r="R566" s="140"/>
      <c r="S566" s="140"/>
      <c r="T566" s="140"/>
      <c r="U566" s="140"/>
      <c r="V566" s="140"/>
      <c r="W566" s="140"/>
      <c r="X566" s="140"/>
      <c r="Y566" s="140"/>
      <c r="Z566" s="140"/>
      <c r="AA566" s="140"/>
      <c r="AB566" s="140"/>
      <c r="AC566" s="140"/>
      <c r="AD566" s="140"/>
    </row>
    <row r="567" spans="1:30" ht="11.25" customHeight="1" x14ac:dyDescent="0.2">
      <c r="A567" s="140"/>
      <c r="B567" s="140"/>
      <c r="C567" s="140"/>
      <c r="D567" s="140"/>
      <c r="E567" s="140"/>
      <c r="F567" s="140"/>
      <c r="G567" s="140"/>
      <c r="H567" s="140"/>
      <c r="I567" s="140"/>
      <c r="J567" s="140"/>
      <c r="K567" s="140"/>
      <c r="L567" s="140"/>
      <c r="M567" s="140"/>
      <c r="N567" s="140"/>
      <c r="O567" s="140"/>
      <c r="P567" s="140"/>
      <c r="Q567" s="140"/>
      <c r="R567" s="140"/>
      <c r="S567" s="140"/>
      <c r="T567" s="140"/>
      <c r="U567" s="140"/>
      <c r="V567" s="140"/>
      <c r="W567" s="140"/>
      <c r="X567" s="140"/>
      <c r="Y567" s="140"/>
      <c r="Z567" s="140"/>
      <c r="AA567" s="140"/>
      <c r="AB567" s="140"/>
      <c r="AC567" s="140"/>
      <c r="AD567" s="140"/>
    </row>
    <row r="568" spans="1:30" ht="11.25" customHeight="1" x14ac:dyDescent="0.2">
      <c r="A568" s="140"/>
      <c r="B568" s="140"/>
      <c r="C568" s="140"/>
      <c r="D568" s="140"/>
      <c r="E568" s="140"/>
      <c r="F568" s="140"/>
      <c r="G568" s="140"/>
      <c r="H568" s="140"/>
      <c r="I568" s="140"/>
      <c r="J568" s="140"/>
      <c r="K568" s="140"/>
      <c r="L568" s="140"/>
      <c r="M568" s="140"/>
      <c r="N568" s="140"/>
      <c r="O568" s="140"/>
      <c r="P568" s="140"/>
      <c r="Q568" s="140"/>
      <c r="R568" s="140"/>
      <c r="S568" s="140"/>
      <c r="T568" s="140"/>
      <c r="U568" s="140"/>
      <c r="V568" s="140"/>
      <c r="W568" s="140"/>
      <c r="X568" s="140"/>
      <c r="Y568" s="140"/>
      <c r="Z568" s="140"/>
      <c r="AA568" s="140"/>
      <c r="AB568" s="140"/>
      <c r="AC568" s="140"/>
      <c r="AD568" s="140"/>
    </row>
    <row r="569" spans="1:30" ht="11.25" customHeight="1" x14ac:dyDescent="0.2">
      <c r="A569" s="140"/>
      <c r="B569" s="140"/>
      <c r="C569" s="140"/>
      <c r="D569" s="140"/>
      <c r="E569" s="140"/>
      <c r="F569" s="140"/>
      <c r="G569" s="140"/>
      <c r="H569" s="140"/>
      <c r="I569" s="140"/>
      <c r="J569" s="140"/>
      <c r="K569" s="140"/>
      <c r="L569" s="140"/>
      <c r="M569" s="140"/>
      <c r="N569" s="140"/>
      <c r="O569" s="140"/>
      <c r="P569" s="140"/>
      <c r="Q569" s="140"/>
      <c r="R569" s="140"/>
      <c r="S569" s="140"/>
      <c r="T569" s="140"/>
      <c r="U569" s="140"/>
      <c r="V569" s="140"/>
      <c r="W569" s="140"/>
      <c r="X569" s="140"/>
      <c r="Y569" s="140"/>
      <c r="Z569" s="140"/>
      <c r="AA569" s="140"/>
      <c r="AB569" s="140"/>
      <c r="AC569" s="140"/>
      <c r="AD569" s="140"/>
    </row>
    <row r="570" spans="1:30" ht="11.25" customHeight="1" x14ac:dyDescent="0.2">
      <c r="A570" s="140"/>
      <c r="B570" s="140"/>
      <c r="C570" s="140"/>
      <c r="D570" s="140"/>
      <c r="E570" s="140"/>
      <c r="F570" s="140"/>
      <c r="G570" s="140"/>
      <c r="H570" s="140"/>
      <c r="I570" s="140"/>
      <c r="J570" s="140"/>
      <c r="K570" s="140"/>
      <c r="L570" s="140"/>
      <c r="M570" s="140"/>
      <c r="N570" s="140"/>
      <c r="O570" s="140"/>
      <c r="P570" s="140"/>
      <c r="Q570" s="140"/>
      <c r="R570" s="140"/>
      <c r="S570" s="140"/>
      <c r="T570" s="140"/>
      <c r="U570" s="140"/>
      <c r="V570" s="140"/>
      <c r="W570" s="140"/>
      <c r="X570" s="140"/>
      <c r="Y570" s="140"/>
      <c r="Z570" s="140"/>
      <c r="AA570" s="140"/>
      <c r="AB570" s="140"/>
      <c r="AC570" s="140"/>
      <c r="AD570" s="140"/>
    </row>
    <row r="571" spans="1:30" ht="11.25" customHeight="1" x14ac:dyDescent="0.2">
      <c r="A571" s="140"/>
      <c r="B571" s="140"/>
      <c r="C571" s="140"/>
      <c r="D571" s="140"/>
      <c r="E571" s="140"/>
      <c r="F571" s="140"/>
      <c r="G571" s="140"/>
      <c r="H571" s="140"/>
      <c r="I571" s="140"/>
      <c r="J571" s="140"/>
      <c r="K571" s="140"/>
      <c r="L571" s="140"/>
      <c r="M571" s="140"/>
      <c r="N571" s="140"/>
      <c r="O571" s="140"/>
      <c r="P571" s="140"/>
      <c r="Q571" s="140"/>
      <c r="R571" s="140"/>
      <c r="S571" s="140"/>
      <c r="T571" s="140"/>
      <c r="U571" s="140"/>
      <c r="V571" s="140"/>
      <c r="W571" s="140"/>
      <c r="X571" s="140"/>
      <c r="Y571" s="140"/>
      <c r="Z571" s="140"/>
      <c r="AA571" s="140"/>
      <c r="AB571" s="140"/>
      <c r="AC571" s="140"/>
      <c r="AD571" s="140"/>
    </row>
    <row r="572" spans="1:30" ht="11.25" customHeight="1" x14ac:dyDescent="0.2">
      <c r="A572" s="140"/>
      <c r="B572" s="140"/>
      <c r="C572" s="140"/>
      <c r="D572" s="140"/>
      <c r="E572" s="140"/>
      <c r="F572" s="140"/>
      <c r="G572" s="140"/>
      <c r="H572" s="140"/>
      <c r="I572" s="140"/>
      <c r="J572" s="140"/>
      <c r="K572" s="140"/>
      <c r="L572" s="140"/>
      <c r="M572" s="140"/>
      <c r="N572" s="140"/>
      <c r="O572" s="140"/>
      <c r="P572" s="140"/>
      <c r="Q572" s="140"/>
      <c r="R572" s="140"/>
      <c r="S572" s="140"/>
      <c r="T572" s="140"/>
      <c r="U572" s="140"/>
      <c r="V572" s="140"/>
      <c r="W572" s="140"/>
      <c r="X572" s="140"/>
      <c r="Y572" s="140"/>
      <c r="Z572" s="140"/>
      <c r="AA572" s="140"/>
      <c r="AB572" s="140"/>
      <c r="AC572" s="140"/>
      <c r="AD572" s="140"/>
    </row>
    <row r="573" spans="1:30" ht="11.25" customHeight="1" x14ac:dyDescent="0.2">
      <c r="A573" s="140"/>
      <c r="B573" s="140"/>
      <c r="C573" s="140"/>
      <c r="D573" s="140"/>
      <c r="E573" s="140"/>
      <c r="F573" s="140"/>
      <c r="G573" s="140"/>
      <c r="H573" s="140"/>
      <c r="I573" s="140"/>
      <c r="J573" s="140"/>
      <c r="K573" s="140"/>
      <c r="L573" s="140"/>
      <c r="M573" s="140"/>
      <c r="N573" s="140"/>
      <c r="O573" s="140"/>
      <c r="P573" s="140"/>
      <c r="Q573" s="140"/>
      <c r="R573" s="140"/>
      <c r="S573" s="140"/>
      <c r="T573" s="140"/>
      <c r="U573" s="140"/>
      <c r="V573" s="140"/>
      <c r="W573" s="140"/>
      <c r="X573" s="140"/>
      <c r="Y573" s="140"/>
      <c r="Z573" s="140"/>
      <c r="AA573" s="140"/>
      <c r="AB573" s="140"/>
      <c r="AC573" s="140"/>
      <c r="AD573" s="140"/>
    </row>
    <row r="574" spans="1:30" ht="11.25" customHeight="1" x14ac:dyDescent="0.2">
      <c r="A574" s="140"/>
      <c r="B574" s="140"/>
      <c r="C574" s="140"/>
      <c r="D574" s="140"/>
      <c r="E574" s="140"/>
      <c r="F574" s="140"/>
      <c r="G574" s="140"/>
      <c r="H574" s="140"/>
      <c r="I574" s="140"/>
      <c r="J574" s="140"/>
      <c r="K574" s="140"/>
      <c r="L574" s="140"/>
      <c r="M574" s="140"/>
      <c r="N574" s="140"/>
      <c r="O574" s="140"/>
      <c r="P574" s="140"/>
      <c r="Q574" s="140"/>
      <c r="R574" s="140"/>
      <c r="S574" s="140"/>
      <c r="T574" s="140"/>
      <c r="U574" s="140"/>
      <c r="V574" s="140"/>
      <c r="W574" s="140"/>
      <c r="X574" s="140"/>
      <c r="Y574" s="140"/>
      <c r="Z574" s="140"/>
      <c r="AA574" s="140"/>
      <c r="AB574" s="140"/>
      <c r="AC574" s="140"/>
      <c r="AD574" s="140"/>
    </row>
    <row r="575" spans="1:30" ht="11.25" customHeight="1" x14ac:dyDescent="0.2">
      <c r="A575" s="140"/>
      <c r="B575" s="140"/>
      <c r="C575" s="140"/>
      <c r="D575" s="140"/>
      <c r="E575" s="140"/>
      <c r="F575" s="140"/>
      <c r="G575" s="140"/>
      <c r="H575" s="140"/>
      <c r="I575" s="140"/>
      <c r="J575" s="140"/>
      <c r="K575" s="140"/>
      <c r="L575" s="140"/>
      <c r="M575" s="140"/>
      <c r="N575" s="140"/>
      <c r="O575" s="140"/>
      <c r="P575" s="140"/>
      <c r="Q575" s="140"/>
      <c r="R575" s="140"/>
      <c r="S575" s="140"/>
      <c r="T575" s="140"/>
      <c r="U575" s="140"/>
      <c r="V575" s="140"/>
      <c r="W575" s="140"/>
      <c r="X575" s="140"/>
      <c r="Y575" s="140"/>
      <c r="Z575" s="140"/>
      <c r="AA575" s="140"/>
      <c r="AB575" s="140"/>
      <c r="AC575" s="140"/>
      <c r="AD575" s="140"/>
    </row>
    <row r="576" spans="1:30" ht="11.25" customHeight="1" x14ac:dyDescent="0.2">
      <c r="A576" s="140"/>
      <c r="B576" s="140"/>
      <c r="C576" s="140"/>
      <c r="D576" s="140"/>
      <c r="E576" s="140"/>
      <c r="F576" s="140"/>
      <c r="G576" s="140"/>
      <c r="H576" s="140"/>
      <c r="I576" s="140"/>
      <c r="J576" s="140"/>
      <c r="K576" s="140"/>
      <c r="L576" s="140"/>
      <c r="M576" s="140"/>
      <c r="N576" s="140"/>
      <c r="O576" s="140"/>
      <c r="P576" s="140"/>
      <c r="Q576" s="140"/>
      <c r="R576" s="140"/>
      <c r="S576" s="140"/>
      <c r="T576" s="140"/>
      <c r="U576" s="140"/>
      <c r="V576" s="140"/>
      <c r="W576" s="140"/>
      <c r="X576" s="140"/>
      <c r="Y576" s="140"/>
      <c r="Z576" s="140"/>
      <c r="AA576" s="140"/>
      <c r="AB576" s="140"/>
      <c r="AC576" s="140"/>
      <c r="AD576" s="140"/>
    </row>
    <row r="577" spans="1:30" ht="11.25" customHeight="1" x14ac:dyDescent="0.2">
      <c r="A577" s="140"/>
      <c r="B577" s="140"/>
      <c r="C577" s="140"/>
      <c r="D577" s="140"/>
      <c r="E577" s="140"/>
      <c r="F577" s="140"/>
      <c r="G577" s="140"/>
      <c r="H577" s="140"/>
      <c r="I577" s="140"/>
      <c r="J577" s="140"/>
      <c r="K577" s="140"/>
      <c r="L577" s="140"/>
      <c r="M577" s="140"/>
      <c r="N577" s="140"/>
      <c r="O577" s="140"/>
      <c r="P577" s="140"/>
      <c r="Q577" s="140"/>
      <c r="R577" s="140"/>
      <c r="S577" s="140"/>
      <c r="T577" s="140"/>
      <c r="U577" s="140"/>
      <c r="V577" s="140"/>
      <c r="W577" s="140"/>
      <c r="X577" s="140"/>
      <c r="Y577" s="140"/>
      <c r="Z577" s="140"/>
      <c r="AA577" s="140"/>
      <c r="AB577" s="140"/>
      <c r="AC577" s="140"/>
      <c r="AD577" s="140"/>
    </row>
    <row r="578" spans="1:30" ht="11.25" customHeight="1" x14ac:dyDescent="0.2">
      <c r="A578" s="140"/>
      <c r="B578" s="140"/>
      <c r="C578" s="140"/>
      <c r="D578" s="140"/>
      <c r="E578" s="140"/>
      <c r="F578" s="140"/>
      <c r="G578" s="140"/>
      <c r="H578" s="140"/>
      <c r="I578" s="140"/>
      <c r="J578" s="140"/>
      <c r="K578" s="140"/>
      <c r="L578" s="140"/>
      <c r="M578" s="140"/>
      <c r="N578" s="140"/>
      <c r="O578" s="140"/>
      <c r="P578" s="140"/>
      <c r="Q578" s="140"/>
      <c r="R578" s="140"/>
      <c r="S578" s="140"/>
      <c r="T578" s="140"/>
      <c r="U578" s="140"/>
      <c r="V578" s="140"/>
      <c r="W578" s="140"/>
      <c r="X578" s="140"/>
      <c r="Y578" s="140"/>
      <c r="Z578" s="140"/>
      <c r="AA578" s="140"/>
      <c r="AB578" s="140"/>
      <c r="AC578" s="140"/>
      <c r="AD578" s="140"/>
    </row>
    <row r="579" spans="1:30" ht="11.25" customHeight="1" x14ac:dyDescent="0.2">
      <c r="A579" s="140"/>
      <c r="B579" s="140"/>
      <c r="C579" s="140"/>
      <c r="D579" s="140"/>
      <c r="E579" s="140"/>
      <c r="F579" s="140"/>
      <c r="G579" s="140"/>
      <c r="H579" s="140"/>
      <c r="I579" s="140"/>
      <c r="J579" s="140"/>
      <c r="K579" s="140"/>
      <c r="L579" s="140"/>
      <c r="M579" s="140"/>
      <c r="N579" s="140"/>
      <c r="O579" s="140"/>
      <c r="P579" s="140"/>
      <c r="Q579" s="140"/>
      <c r="R579" s="140"/>
      <c r="S579" s="140"/>
      <c r="T579" s="140"/>
      <c r="U579" s="140"/>
      <c r="V579" s="140"/>
      <c r="W579" s="140"/>
      <c r="X579" s="140"/>
      <c r="Y579" s="140"/>
      <c r="Z579" s="140"/>
      <c r="AA579" s="140"/>
      <c r="AB579" s="140"/>
      <c r="AC579" s="140"/>
      <c r="AD579" s="140"/>
    </row>
    <row r="580" spans="1:30" ht="11.25" customHeight="1" x14ac:dyDescent="0.2">
      <c r="A580" s="140"/>
      <c r="B580" s="140"/>
      <c r="C580" s="140"/>
      <c r="D580" s="140"/>
      <c r="E580" s="140"/>
      <c r="F580" s="140"/>
      <c r="G580" s="140"/>
      <c r="H580" s="140"/>
      <c r="I580" s="140"/>
      <c r="J580" s="140"/>
      <c r="K580" s="140"/>
      <c r="L580" s="140"/>
      <c r="M580" s="140"/>
      <c r="N580" s="140"/>
      <c r="O580" s="140"/>
      <c r="P580" s="140"/>
      <c r="Q580" s="140"/>
      <c r="R580" s="140"/>
      <c r="S580" s="140"/>
      <c r="T580" s="140"/>
      <c r="U580" s="140"/>
      <c r="V580" s="140"/>
      <c r="W580" s="140"/>
      <c r="X580" s="140"/>
      <c r="Y580" s="140"/>
      <c r="Z580" s="140"/>
      <c r="AA580" s="140"/>
      <c r="AB580" s="140"/>
      <c r="AC580" s="140"/>
      <c r="AD580" s="140"/>
    </row>
    <row r="581" spans="1:30" ht="11.25" customHeight="1" x14ac:dyDescent="0.2">
      <c r="A581" s="140"/>
      <c r="B581" s="140"/>
      <c r="C581" s="140"/>
      <c r="D581" s="140"/>
      <c r="E581" s="140"/>
      <c r="F581" s="140"/>
      <c r="G581" s="140"/>
      <c r="H581" s="140"/>
      <c r="I581" s="140"/>
      <c r="J581" s="140"/>
      <c r="K581" s="140"/>
      <c r="L581" s="140"/>
      <c r="M581" s="140"/>
      <c r="N581" s="140"/>
      <c r="O581" s="140"/>
      <c r="P581" s="140"/>
      <c r="Q581" s="140"/>
      <c r="R581" s="140"/>
      <c r="S581" s="140"/>
      <c r="T581" s="140"/>
      <c r="U581" s="140"/>
      <c r="V581" s="140"/>
      <c r="W581" s="140"/>
      <c r="X581" s="140"/>
      <c r="Y581" s="140"/>
      <c r="Z581" s="140"/>
      <c r="AA581" s="140"/>
      <c r="AB581" s="140"/>
      <c r="AC581" s="140"/>
      <c r="AD581" s="140"/>
    </row>
    <row r="582" spans="1:30" ht="11.25" customHeight="1" x14ac:dyDescent="0.2">
      <c r="A582" s="140"/>
      <c r="B582" s="140"/>
      <c r="C582" s="140"/>
      <c r="D582" s="140"/>
      <c r="E582" s="140"/>
      <c r="F582" s="140"/>
      <c r="G582" s="140"/>
      <c r="H582" s="140"/>
      <c r="I582" s="140"/>
      <c r="J582" s="140"/>
      <c r="K582" s="140"/>
      <c r="L582" s="140"/>
      <c r="M582" s="140"/>
      <c r="N582" s="140"/>
      <c r="O582" s="140"/>
      <c r="P582" s="140"/>
      <c r="Q582" s="140"/>
      <c r="R582" s="140"/>
      <c r="S582" s="140"/>
      <c r="T582" s="140"/>
      <c r="U582" s="140"/>
      <c r="V582" s="140"/>
      <c r="W582" s="140"/>
      <c r="X582" s="140"/>
      <c r="Y582" s="140"/>
      <c r="Z582" s="140"/>
      <c r="AA582" s="140"/>
      <c r="AB582" s="140"/>
      <c r="AC582" s="140"/>
      <c r="AD582" s="140"/>
    </row>
    <row r="583" spans="1:30" ht="11.25" customHeight="1" x14ac:dyDescent="0.2">
      <c r="A583" s="140"/>
      <c r="B583" s="140"/>
      <c r="C583" s="140"/>
      <c r="D583" s="140"/>
      <c r="E583" s="140"/>
      <c r="F583" s="140"/>
      <c r="G583" s="140"/>
      <c r="H583" s="140"/>
      <c r="I583" s="140"/>
      <c r="J583" s="140"/>
      <c r="K583" s="140"/>
      <c r="L583" s="140"/>
      <c r="M583" s="140"/>
      <c r="N583" s="140"/>
      <c r="O583" s="140"/>
      <c r="P583" s="140"/>
      <c r="Q583" s="140"/>
      <c r="R583" s="140"/>
      <c r="S583" s="140"/>
      <c r="T583" s="140"/>
      <c r="U583" s="140"/>
      <c r="V583" s="140"/>
      <c r="W583" s="140"/>
      <c r="X583" s="140"/>
      <c r="Y583" s="140"/>
      <c r="Z583" s="140"/>
      <c r="AA583" s="140"/>
      <c r="AB583" s="140"/>
      <c r="AC583" s="140"/>
      <c r="AD583" s="140"/>
    </row>
    <row r="584" spans="1:30" ht="11.25" customHeight="1" x14ac:dyDescent="0.2">
      <c r="A584" s="140"/>
      <c r="B584" s="140"/>
      <c r="C584" s="140"/>
      <c r="D584" s="140"/>
      <c r="E584" s="140"/>
      <c r="F584" s="140"/>
      <c r="G584" s="140"/>
      <c r="H584" s="140"/>
      <c r="I584" s="140"/>
      <c r="J584" s="140"/>
      <c r="K584" s="140"/>
      <c r="L584" s="140"/>
      <c r="M584" s="140"/>
      <c r="N584" s="140"/>
      <c r="O584" s="140"/>
      <c r="P584" s="140"/>
      <c r="Q584" s="140"/>
      <c r="R584" s="140"/>
      <c r="S584" s="140"/>
      <c r="T584" s="140"/>
      <c r="U584" s="140"/>
      <c r="V584" s="140"/>
      <c r="W584" s="140"/>
      <c r="X584" s="140"/>
      <c r="Y584" s="140"/>
      <c r="Z584" s="140"/>
      <c r="AA584" s="140"/>
      <c r="AB584" s="140"/>
      <c r="AC584" s="140"/>
      <c r="AD584" s="140"/>
    </row>
    <row r="585" spans="1:30" ht="11.25" customHeight="1" x14ac:dyDescent="0.2">
      <c r="A585" s="140"/>
      <c r="B585" s="140"/>
      <c r="C585" s="140"/>
      <c r="D585" s="140"/>
      <c r="E585" s="140"/>
      <c r="F585" s="140"/>
      <c r="G585" s="140"/>
      <c r="H585" s="140"/>
      <c r="I585" s="140"/>
      <c r="J585" s="140"/>
      <c r="K585" s="140"/>
      <c r="L585" s="140"/>
      <c r="M585" s="140"/>
      <c r="N585" s="140"/>
      <c r="O585" s="140"/>
      <c r="P585" s="140"/>
      <c r="Q585" s="140"/>
      <c r="R585" s="140"/>
      <c r="S585" s="140"/>
      <c r="T585" s="140"/>
      <c r="U585" s="140"/>
      <c r="V585" s="140"/>
      <c r="W585" s="140"/>
      <c r="X585" s="140"/>
      <c r="Y585" s="140"/>
      <c r="Z585" s="140"/>
      <c r="AA585" s="140"/>
      <c r="AB585" s="140"/>
      <c r="AC585" s="140"/>
      <c r="AD585" s="140"/>
    </row>
    <row r="586" spans="1:30" ht="11.25" customHeight="1" x14ac:dyDescent="0.2">
      <c r="A586" s="140"/>
      <c r="B586" s="140"/>
      <c r="C586" s="140"/>
      <c r="D586" s="140"/>
      <c r="E586" s="140"/>
      <c r="F586" s="140"/>
      <c r="G586" s="140"/>
      <c r="H586" s="140"/>
      <c r="I586" s="140"/>
      <c r="J586" s="140"/>
      <c r="K586" s="140"/>
      <c r="L586" s="140"/>
      <c r="M586" s="140"/>
      <c r="N586" s="140"/>
      <c r="O586" s="140"/>
      <c r="P586" s="140"/>
      <c r="Q586" s="140"/>
      <c r="R586" s="140"/>
      <c r="S586" s="140"/>
      <c r="T586" s="140"/>
      <c r="U586" s="140"/>
      <c r="V586" s="140"/>
      <c r="W586" s="140"/>
      <c r="X586" s="140"/>
      <c r="Y586" s="140"/>
      <c r="Z586" s="140"/>
      <c r="AA586" s="140"/>
      <c r="AB586" s="140"/>
      <c r="AC586" s="140"/>
      <c r="AD586" s="140"/>
    </row>
    <row r="587" spans="1:30" ht="11.25" customHeight="1" x14ac:dyDescent="0.2">
      <c r="A587" s="140"/>
      <c r="B587" s="140"/>
      <c r="C587" s="140"/>
      <c r="D587" s="140"/>
      <c r="E587" s="140"/>
      <c r="F587" s="140"/>
      <c r="G587" s="140"/>
      <c r="H587" s="140"/>
      <c r="I587" s="140"/>
      <c r="J587" s="140"/>
      <c r="K587" s="140"/>
      <c r="L587" s="140"/>
      <c r="M587" s="140"/>
      <c r="N587" s="140"/>
      <c r="O587" s="140"/>
      <c r="P587" s="140"/>
      <c r="Q587" s="140"/>
      <c r="R587" s="140"/>
      <c r="S587" s="140"/>
      <c r="T587" s="140"/>
      <c r="U587" s="140"/>
      <c r="V587" s="140"/>
      <c r="W587" s="140"/>
      <c r="X587" s="140"/>
      <c r="Y587" s="140"/>
      <c r="Z587" s="140"/>
      <c r="AA587" s="140"/>
      <c r="AB587" s="140"/>
      <c r="AC587" s="140"/>
      <c r="AD587" s="140"/>
    </row>
    <row r="588" spans="1:30" ht="11.25" customHeight="1" x14ac:dyDescent="0.2">
      <c r="A588" s="140"/>
      <c r="B588" s="140"/>
      <c r="C588" s="140"/>
      <c r="D588" s="140"/>
      <c r="E588" s="140"/>
      <c r="F588" s="140"/>
      <c r="G588" s="140"/>
      <c r="H588" s="140"/>
      <c r="I588" s="140"/>
      <c r="J588" s="140"/>
      <c r="K588" s="140"/>
      <c r="L588" s="140"/>
      <c r="M588" s="140"/>
      <c r="N588" s="140"/>
      <c r="O588" s="140"/>
      <c r="P588" s="140"/>
      <c r="Q588" s="140"/>
      <c r="R588" s="140"/>
      <c r="S588" s="140"/>
      <c r="T588" s="140"/>
      <c r="U588" s="140"/>
      <c r="V588" s="140"/>
      <c r="W588" s="140"/>
      <c r="X588" s="140"/>
      <c r="Y588" s="140"/>
      <c r="Z588" s="140"/>
      <c r="AA588" s="140"/>
      <c r="AB588" s="140"/>
      <c r="AC588" s="140"/>
      <c r="AD588" s="140"/>
    </row>
    <row r="589" spans="1:30" ht="11.25" customHeight="1" x14ac:dyDescent="0.2">
      <c r="A589" s="140"/>
      <c r="B589" s="140"/>
      <c r="C589" s="140"/>
      <c r="D589" s="140"/>
      <c r="E589" s="140"/>
      <c r="F589" s="140"/>
      <c r="G589" s="140"/>
      <c r="H589" s="140"/>
      <c r="I589" s="140"/>
      <c r="J589" s="140"/>
      <c r="K589" s="140"/>
      <c r="L589" s="140"/>
      <c r="M589" s="140"/>
      <c r="N589" s="140"/>
      <c r="O589" s="140"/>
      <c r="P589" s="140"/>
      <c r="Q589" s="140"/>
      <c r="R589" s="140"/>
      <c r="S589" s="140"/>
      <c r="T589" s="140"/>
      <c r="U589" s="140"/>
      <c r="V589" s="140"/>
      <c r="W589" s="140"/>
      <c r="X589" s="140"/>
      <c r="Y589" s="140"/>
      <c r="Z589" s="140"/>
      <c r="AA589" s="140"/>
      <c r="AB589" s="140"/>
      <c r="AC589" s="140"/>
      <c r="AD589" s="140"/>
    </row>
    <row r="590" spans="1:30" ht="11.25" customHeight="1" x14ac:dyDescent="0.2">
      <c r="A590" s="140"/>
      <c r="B590" s="140"/>
      <c r="C590" s="140"/>
      <c r="D590" s="140"/>
      <c r="E590" s="140"/>
      <c r="F590" s="140"/>
      <c r="G590" s="140"/>
      <c r="H590" s="140"/>
      <c r="I590" s="140"/>
      <c r="J590" s="140"/>
      <c r="K590" s="140"/>
      <c r="L590" s="140"/>
      <c r="M590" s="140"/>
      <c r="N590" s="140"/>
      <c r="O590" s="140"/>
      <c r="P590" s="140"/>
      <c r="Q590" s="140"/>
      <c r="R590" s="140"/>
      <c r="S590" s="140"/>
      <c r="T590" s="140"/>
      <c r="U590" s="140"/>
      <c r="V590" s="140"/>
      <c r="W590" s="140"/>
      <c r="X590" s="140"/>
      <c r="Y590" s="140"/>
      <c r="Z590" s="140"/>
      <c r="AA590" s="140"/>
      <c r="AB590" s="140"/>
      <c r="AC590" s="140"/>
      <c r="AD590" s="140"/>
    </row>
    <row r="591" spans="1:30" ht="11.25" customHeight="1" x14ac:dyDescent="0.2">
      <c r="A591" s="140"/>
      <c r="B591" s="140"/>
      <c r="C591" s="140"/>
      <c r="D591" s="140"/>
      <c r="E591" s="140"/>
      <c r="F591" s="140"/>
      <c r="G591" s="140"/>
      <c r="H591" s="140"/>
      <c r="I591" s="140"/>
      <c r="J591" s="140"/>
      <c r="K591" s="140"/>
      <c r="L591" s="140"/>
      <c r="M591" s="140"/>
      <c r="N591" s="140"/>
      <c r="O591" s="140"/>
      <c r="P591" s="140"/>
      <c r="Q591" s="140"/>
      <c r="R591" s="140"/>
      <c r="S591" s="140"/>
      <c r="T591" s="140"/>
      <c r="U591" s="140"/>
      <c r="V591" s="140"/>
      <c r="W591" s="140"/>
      <c r="X591" s="140"/>
      <c r="Y591" s="140"/>
      <c r="Z591" s="140"/>
      <c r="AA591" s="140"/>
      <c r="AB591" s="140"/>
      <c r="AC591" s="140"/>
      <c r="AD591" s="140"/>
    </row>
    <row r="592" spans="1:30" ht="11.25" customHeight="1" x14ac:dyDescent="0.2">
      <c r="A592" s="140"/>
      <c r="B592" s="140"/>
      <c r="C592" s="140"/>
      <c r="D592" s="140"/>
      <c r="E592" s="140"/>
      <c r="F592" s="140"/>
      <c r="G592" s="140"/>
      <c r="H592" s="140"/>
      <c r="I592" s="140"/>
      <c r="J592" s="140"/>
      <c r="K592" s="140"/>
      <c r="L592" s="140"/>
      <c r="M592" s="140"/>
      <c r="N592" s="140"/>
      <c r="O592" s="140"/>
      <c r="P592" s="140"/>
      <c r="Q592" s="140"/>
      <c r="R592" s="140"/>
      <c r="S592" s="140"/>
      <c r="T592" s="140"/>
      <c r="U592" s="140"/>
      <c r="V592" s="140"/>
      <c r="W592" s="140"/>
      <c r="X592" s="140"/>
      <c r="Y592" s="140"/>
      <c r="Z592" s="140"/>
      <c r="AA592" s="140"/>
      <c r="AB592" s="140"/>
      <c r="AC592" s="140"/>
      <c r="AD592" s="140"/>
    </row>
    <row r="593" spans="1:30" ht="11.25" customHeight="1" x14ac:dyDescent="0.2">
      <c r="A593" s="140"/>
      <c r="B593" s="140"/>
      <c r="C593" s="140"/>
      <c r="D593" s="140"/>
      <c r="E593" s="140"/>
      <c r="F593" s="140"/>
      <c r="G593" s="140"/>
      <c r="H593" s="140"/>
      <c r="I593" s="140"/>
      <c r="J593" s="140"/>
      <c r="K593" s="140"/>
      <c r="L593" s="140"/>
      <c r="M593" s="140"/>
      <c r="N593" s="140"/>
      <c r="O593" s="140"/>
      <c r="P593" s="140"/>
      <c r="Q593" s="140"/>
      <c r="R593" s="140"/>
      <c r="S593" s="140"/>
      <c r="T593" s="140"/>
      <c r="U593" s="140"/>
      <c r="V593" s="140"/>
      <c r="W593" s="140"/>
      <c r="X593" s="140"/>
      <c r="Y593" s="140"/>
      <c r="Z593" s="140"/>
      <c r="AA593" s="140"/>
      <c r="AB593" s="140"/>
      <c r="AC593" s="140"/>
      <c r="AD593" s="140"/>
    </row>
    <row r="594" spans="1:30" ht="11.25" customHeight="1" x14ac:dyDescent="0.2">
      <c r="A594" s="140"/>
      <c r="B594" s="140"/>
      <c r="C594" s="140"/>
      <c r="D594" s="140"/>
      <c r="E594" s="140"/>
      <c r="F594" s="140"/>
      <c r="G594" s="140"/>
      <c r="H594" s="140"/>
      <c r="I594" s="140"/>
      <c r="J594" s="140"/>
      <c r="K594" s="140"/>
      <c r="L594" s="140"/>
      <c r="M594" s="140"/>
      <c r="N594" s="140"/>
      <c r="O594" s="140"/>
      <c r="P594" s="140"/>
      <c r="Q594" s="140"/>
      <c r="R594" s="140"/>
      <c r="S594" s="140"/>
      <c r="T594" s="140"/>
      <c r="U594" s="140"/>
      <c r="V594" s="140"/>
      <c r="W594" s="140"/>
      <c r="X594" s="140"/>
      <c r="Y594" s="140"/>
      <c r="Z594" s="140"/>
      <c r="AA594" s="140"/>
      <c r="AB594" s="140"/>
      <c r="AC594" s="140"/>
      <c r="AD594" s="140"/>
    </row>
    <row r="595" spans="1:30" ht="11.25" customHeight="1" x14ac:dyDescent="0.2">
      <c r="A595" s="140"/>
      <c r="B595" s="140"/>
      <c r="C595" s="140"/>
      <c r="D595" s="140"/>
      <c r="E595" s="140"/>
      <c r="F595" s="140"/>
      <c r="G595" s="140"/>
      <c r="H595" s="140"/>
      <c r="I595" s="140"/>
      <c r="J595" s="140"/>
      <c r="K595" s="140"/>
      <c r="L595" s="140"/>
      <c r="M595" s="140"/>
      <c r="N595" s="140"/>
      <c r="O595" s="140"/>
      <c r="P595" s="140"/>
      <c r="Q595" s="140"/>
      <c r="R595" s="140"/>
      <c r="S595" s="140"/>
      <c r="T595" s="140"/>
      <c r="U595" s="140"/>
      <c r="V595" s="140"/>
      <c r="W595" s="140"/>
      <c r="X595" s="140"/>
      <c r="Y595" s="140"/>
      <c r="Z595" s="140"/>
      <c r="AA595" s="140"/>
      <c r="AB595" s="140"/>
      <c r="AC595" s="140"/>
      <c r="AD595" s="140"/>
    </row>
    <row r="596" spans="1:30" ht="11.25" customHeight="1" x14ac:dyDescent="0.2">
      <c r="A596" s="140"/>
      <c r="B596" s="140"/>
      <c r="C596" s="140"/>
      <c r="D596" s="140"/>
      <c r="E596" s="140"/>
      <c r="F596" s="140"/>
      <c r="G596" s="140"/>
      <c r="H596" s="140"/>
      <c r="I596" s="140"/>
      <c r="J596" s="140"/>
      <c r="K596" s="140"/>
      <c r="L596" s="140"/>
      <c r="M596" s="140"/>
      <c r="N596" s="140"/>
      <c r="O596" s="140"/>
      <c r="P596" s="140"/>
      <c r="Q596" s="140"/>
      <c r="R596" s="140"/>
      <c r="S596" s="140"/>
      <c r="T596" s="140"/>
      <c r="U596" s="140"/>
      <c r="V596" s="140"/>
      <c r="W596" s="140"/>
      <c r="X596" s="140"/>
      <c r="Y596" s="140"/>
      <c r="Z596" s="140"/>
      <c r="AA596" s="140"/>
      <c r="AB596" s="140"/>
      <c r="AC596" s="140"/>
      <c r="AD596" s="140"/>
    </row>
    <row r="597" spans="1:30" ht="11.25" customHeight="1" x14ac:dyDescent="0.2">
      <c r="A597" s="140"/>
      <c r="B597" s="140"/>
      <c r="C597" s="140"/>
      <c r="D597" s="140"/>
      <c r="E597" s="140"/>
      <c r="F597" s="140"/>
      <c r="G597" s="140"/>
      <c r="H597" s="140"/>
      <c r="I597" s="140"/>
      <c r="J597" s="140"/>
      <c r="K597" s="140"/>
      <c r="L597" s="140"/>
      <c r="M597" s="140"/>
      <c r="N597" s="140"/>
      <c r="O597" s="140"/>
      <c r="P597" s="140"/>
      <c r="Q597" s="140"/>
      <c r="R597" s="140"/>
      <c r="S597" s="140"/>
      <c r="T597" s="140"/>
      <c r="U597" s="140"/>
      <c r="V597" s="140"/>
      <c r="W597" s="140"/>
      <c r="X597" s="140"/>
      <c r="Y597" s="140"/>
      <c r="Z597" s="140"/>
      <c r="AA597" s="140"/>
      <c r="AB597" s="140"/>
      <c r="AC597" s="140"/>
      <c r="AD597" s="140"/>
    </row>
    <row r="598" spans="1:30" ht="11.25" customHeight="1" x14ac:dyDescent="0.2">
      <c r="A598" s="140"/>
      <c r="B598" s="140"/>
      <c r="C598" s="140"/>
      <c r="D598" s="140"/>
      <c r="E598" s="140"/>
      <c r="F598" s="140"/>
      <c r="G598" s="140"/>
      <c r="H598" s="140"/>
      <c r="I598" s="140"/>
      <c r="J598" s="140"/>
      <c r="K598" s="140"/>
      <c r="L598" s="140"/>
      <c r="M598" s="140"/>
      <c r="N598" s="140"/>
      <c r="O598" s="140"/>
      <c r="P598" s="140"/>
      <c r="Q598" s="140"/>
      <c r="R598" s="140"/>
      <c r="S598" s="140"/>
      <c r="T598" s="140"/>
      <c r="U598" s="140"/>
      <c r="V598" s="140"/>
      <c r="W598" s="140"/>
      <c r="X598" s="140"/>
      <c r="Y598" s="140"/>
      <c r="Z598" s="140"/>
      <c r="AA598" s="140"/>
      <c r="AB598" s="140"/>
      <c r="AC598" s="140"/>
      <c r="AD598" s="140"/>
    </row>
    <row r="599" spans="1:30" ht="11.25" customHeight="1" x14ac:dyDescent="0.2">
      <c r="A599" s="140"/>
      <c r="B599" s="140"/>
      <c r="C599" s="140"/>
      <c r="D599" s="140"/>
      <c r="E599" s="140"/>
      <c r="F599" s="140"/>
      <c r="G599" s="140"/>
      <c r="H599" s="140"/>
      <c r="I599" s="140"/>
      <c r="J599" s="140"/>
      <c r="K599" s="140"/>
      <c r="L599" s="140"/>
      <c r="M599" s="140"/>
      <c r="N599" s="140"/>
      <c r="O599" s="140"/>
      <c r="P599" s="140"/>
      <c r="Q599" s="140"/>
      <c r="R599" s="140"/>
      <c r="S599" s="140"/>
      <c r="T599" s="140"/>
      <c r="U599" s="140"/>
      <c r="V599" s="140"/>
      <c r="W599" s="140"/>
      <c r="X599" s="140"/>
      <c r="Y599" s="140"/>
      <c r="Z599" s="140"/>
      <c r="AA599" s="140"/>
      <c r="AB599" s="140"/>
      <c r="AC599" s="140"/>
      <c r="AD599" s="140"/>
    </row>
    <row r="600" spans="1:30" ht="11.25" customHeight="1" x14ac:dyDescent="0.2">
      <c r="A600" s="140"/>
      <c r="B600" s="140"/>
      <c r="C600" s="140"/>
      <c r="D600" s="140"/>
      <c r="E600" s="140"/>
      <c r="F600" s="140"/>
      <c r="G600" s="140"/>
      <c r="H600" s="140"/>
      <c r="I600" s="140"/>
      <c r="J600" s="140"/>
      <c r="K600" s="140"/>
      <c r="L600" s="140"/>
      <c r="M600" s="140"/>
      <c r="N600" s="140"/>
      <c r="O600" s="140"/>
      <c r="P600" s="140"/>
      <c r="Q600" s="140"/>
      <c r="R600" s="140"/>
      <c r="S600" s="140"/>
      <c r="T600" s="140"/>
      <c r="U600" s="140"/>
      <c r="V600" s="140"/>
      <c r="W600" s="140"/>
      <c r="X600" s="140"/>
      <c r="Y600" s="140"/>
      <c r="Z600" s="140"/>
      <c r="AA600" s="140"/>
      <c r="AB600" s="140"/>
      <c r="AC600" s="140"/>
      <c r="AD600" s="140"/>
    </row>
    <row r="601" spans="1:30" ht="11.25" customHeight="1" x14ac:dyDescent="0.2">
      <c r="A601" s="140"/>
      <c r="B601" s="140"/>
      <c r="C601" s="140"/>
      <c r="D601" s="140"/>
      <c r="E601" s="140"/>
      <c r="F601" s="140"/>
      <c r="G601" s="140"/>
      <c r="H601" s="140"/>
      <c r="I601" s="140"/>
      <c r="J601" s="140"/>
      <c r="K601" s="140"/>
      <c r="L601" s="140"/>
      <c r="M601" s="140"/>
      <c r="N601" s="140"/>
      <c r="O601" s="140"/>
      <c r="P601" s="140"/>
      <c r="Q601" s="140"/>
      <c r="R601" s="140"/>
      <c r="S601" s="140"/>
      <c r="T601" s="140"/>
      <c r="U601" s="140"/>
      <c r="V601" s="140"/>
      <c r="W601" s="140"/>
      <c r="X601" s="140"/>
      <c r="Y601" s="140"/>
      <c r="Z601" s="140"/>
      <c r="AA601" s="140"/>
      <c r="AB601" s="140"/>
      <c r="AC601" s="140"/>
      <c r="AD601" s="140"/>
    </row>
    <row r="602" spans="1:30" ht="11.25" customHeight="1" x14ac:dyDescent="0.2">
      <c r="A602" s="140"/>
      <c r="B602" s="140"/>
      <c r="C602" s="140"/>
      <c r="D602" s="140"/>
      <c r="E602" s="140"/>
      <c r="F602" s="140"/>
      <c r="G602" s="140"/>
      <c r="H602" s="140"/>
      <c r="I602" s="140"/>
      <c r="J602" s="140"/>
      <c r="K602" s="140"/>
      <c r="L602" s="140"/>
      <c r="M602" s="140"/>
      <c r="N602" s="140"/>
      <c r="O602" s="140"/>
      <c r="P602" s="140"/>
      <c r="Q602" s="140"/>
      <c r="R602" s="140"/>
      <c r="S602" s="140"/>
      <c r="T602" s="140"/>
      <c r="U602" s="140"/>
      <c r="V602" s="140"/>
      <c r="W602" s="140"/>
      <c r="X602" s="140"/>
      <c r="Y602" s="140"/>
      <c r="Z602" s="140"/>
      <c r="AA602" s="140"/>
      <c r="AB602" s="140"/>
      <c r="AC602" s="140"/>
      <c r="AD602" s="140"/>
    </row>
    <row r="603" spans="1:30" ht="11.25" customHeight="1" x14ac:dyDescent="0.2">
      <c r="A603" s="140"/>
      <c r="B603" s="140"/>
      <c r="C603" s="140"/>
      <c r="D603" s="140"/>
      <c r="E603" s="140"/>
      <c r="F603" s="140"/>
      <c r="G603" s="140"/>
      <c r="H603" s="140"/>
      <c r="I603" s="140"/>
      <c r="J603" s="140"/>
      <c r="K603" s="140"/>
      <c r="L603" s="140"/>
      <c r="M603" s="140"/>
      <c r="N603" s="140"/>
      <c r="O603" s="140"/>
      <c r="P603" s="140"/>
      <c r="Q603" s="140"/>
      <c r="R603" s="140"/>
      <c r="S603" s="140"/>
      <c r="T603" s="140"/>
      <c r="U603" s="140"/>
      <c r="V603" s="140"/>
      <c r="W603" s="140"/>
      <c r="X603" s="140"/>
      <c r="Y603" s="140"/>
      <c r="Z603" s="140"/>
      <c r="AA603" s="140"/>
      <c r="AB603" s="140"/>
      <c r="AC603" s="140"/>
      <c r="AD603" s="140"/>
    </row>
    <row r="604" spans="1:30" ht="11.25" customHeight="1" x14ac:dyDescent="0.2">
      <c r="A604" s="140"/>
      <c r="B604" s="140"/>
      <c r="C604" s="140"/>
      <c r="D604" s="140"/>
      <c r="E604" s="140"/>
      <c r="F604" s="140"/>
      <c r="G604" s="140"/>
      <c r="H604" s="140"/>
      <c r="I604" s="140"/>
      <c r="J604" s="140"/>
      <c r="K604" s="140"/>
      <c r="L604" s="140"/>
      <c r="M604" s="140"/>
      <c r="N604" s="140"/>
      <c r="O604" s="140"/>
      <c r="P604" s="140"/>
      <c r="Q604" s="140"/>
      <c r="R604" s="140"/>
      <c r="S604" s="140"/>
      <c r="T604" s="140"/>
      <c r="U604" s="140"/>
      <c r="V604" s="140"/>
      <c r="W604" s="140"/>
      <c r="X604" s="140"/>
      <c r="Y604" s="140"/>
      <c r="Z604" s="140"/>
      <c r="AA604" s="140"/>
      <c r="AB604" s="140"/>
      <c r="AC604" s="140"/>
      <c r="AD604" s="140"/>
    </row>
    <row r="605" spans="1:30" ht="11.25" customHeight="1" x14ac:dyDescent="0.2">
      <c r="A605" s="140"/>
      <c r="B605" s="140"/>
      <c r="C605" s="140"/>
      <c r="D605" s="140"/>
      <c r="E605" s="140"/>
      <c r="F605" s="140"/>
      <c r="G605" s="140"/>
      <c r="H605" s="140"/>
      <c r="I605" s="140"/>
      <c r="J605" s="140"/>
      <c r="K605" s="140"/>
      <c r="L605" s="140"/>
      <c r="M605" s="140"/>
      <c r="N605" s="140"/>
      <c r="O605" s="140"/>
      <c r="P605" s="140"/>
      <c r="Q605" s="140"/>
      <c r="R605" s="140"/>
      <c r="S605" s="140"/>
      <c r="T605" s="140"/>
      <c r="U605" s="140"/>
      <c r="V605" s="140"/>
      <c r="W605" s="140"/>
      <c r="X605" s="140"/>
      <c r="Y605" s="140"/>
      <c r="Z605" s="140"/>
      <c r="AA605" s="140"/>
      <c r="AB605" s="140"/>
      <c r="AC605" s="140"/>
      <c r="AD605" s="140"/>
    </row>
    <row r="606" spans="1:30" ht="11.25" customHeight="1" x14ac:dyDescent="0.2">
      <c r="A606" s="140"/>
      <c r="B606" s="140"/>
      <c r="C606" s="140"/>
      <c r="D606" s="140"/>
      <c r="E606" s="140"/>
      <c r="F606" s="140"/>
      <c r="G606" s="140"/>
      <c r="H606" s="140"/>
      <c r="I606" s="140"/>
      <c r="J606" s="140"/>
      <c r="K606" s="140"/>
      <c r="L606" s="140"/>
      <c r="M606" s="140"/>
      <c r="N606" s="140"/>
      <c r="O606" s="140"/>
      <c r="P606" s="140"/>
      <c r="Q606" s="140"/>
      <c r="R606" s="140"/>
      <c r="S606" s="140"/>
      <c r="T606" s="140"/>
      <c r="U606" s="140"/>
      <c r="V606" s="140"/>
      <c r="W606" s="140"/>
      <c r="X606" s="140"/>
      <c r="Y606" s="140"/>
      <c r="Z606" s="140"/>
      <c r="AA606" s="140"/>
      <c r="AB606" s="140"/>
      <c r="AC606" s="140"/>
      <c r="AD606" s="140"/>
    </row>
    <row r="607" spans="1:30" ht="11.25" customHeight="1" x14ac:dyDescent="0.2">
      <c r="A607" s="140"/>
      <c r="B607" s="140"/>
      <c r="C607" s="140"/>
      <c r="D607" s="140"/>
      <c r="E607" s="140"/>
      <c r="F607" s="140"/>
      <c r="G607" s="140"/>
      <c r="H607" s="140"/>
      <c r="I607" s="140"/>
      <c r="J607" s="140"/>
      <c r="K607" s="140"/>
      <c r="L607" s="140"/>
      <c r="M607" s="140"/>
      <c r="N607" s="140"/>
      <c r="O607" s="140"/>
      <c r="P607" s="140"/>
      <c r="Q607" s="140"/>
      <c r="R607" s="140"/>
      <c r="S607" s="140"/>
      <c r="T607" s="140"/>
      <c r="U607" s="140"/>
      <c r="V607" s="140"/>
      <c r="W607" s="140"/>
      <c r="X607" s="140"/>
      <c r="Y607" s="140"/>
      <c r="Z607" s="140"/>
      <c r="AA607" s="140"/>
      <c r="AB607" s="140"/>
      <c r="AC607" s="140"/>
      <c r="AD607" s="140"/>
    </row>
    <row r="608" spans="1:30" ht="11.25" customHeight="1" x14ac:dyDescent="0.2">
      <c r="A608" s="140"/>
      <c r="B608" s="140"/>
      <c r="C608" s="140"/>
      <c r="D608" s="140"/>
      <c r="E608" s="140"/>
      <c r="F608" s="140"/>
      <c r="G608" s="140"/>
      <c r="H608" s="140"/>
      <c r="I608" s="140"/>
      <c r="J608" s="140"/>
      <c r="K608" s="140"/>
      <c r="L608" s="140"/>
      <c r="M608" s="140"/>
      <c r="N608" s="140"/>
      <c r="O608" s="140"/>
      <c r="P608" s="140"/>
      <c r="Q608" s="140"/>
      <c r="R608" s="140"/>
      <c r="S608" s="140"/>
      <c r="T608" s="140"/>
      <c r="U608" s="140"/>
      <c r="V608" s="140"/>
      <c r="W608" s="140"/>
      <c r="X608" s="140"/>
      <c r="Y608" s="140"/>
      <c r="Z608" s="140"/>
      <c r="AA608" s="140"/>
      <c r="AB608" s="140"/>
      <c r="AC608" s="140"/>
      <c r="AD608" s="140"/>
    </row>
    <row r="609" spans="1:30" ht="11.25" customHeight="1" x14ac:dyDescent="0.2">
      <c r="A609" s="140"/>
      <c r="B609" s="140"/>
      <c r="C609" s="140"/>
      <c r="D609" s="140"/>
      <c r="E609" s="140"/>
      <c r="F609" s="140"/>
      <c r="G609" s="140"/>
      <c r="H609" s="140"/>
      <c r="I609" s="140"/>
      <c r="J609" s="140"/>
      <c r="K609" s="140"/>
      <c r="L609" s="140"/>
      <c r="M609" s="140"/>
      <c r="N609" s="140"/>
      <c r="O609" s="140"/>
      <c r="P609" s="140"/>
      <c r="Q609" s="140"/>
      <c r="R609" s="140"/>
      <c r="S609" s="140"/>
      <c r="T609" s="140"/>
      <c r="U609" s="140"/>
      <c r="V609" s="140"/>
      <c r="W609" s="140"/>
      <c r="X609" s="140"/>
      <c r="Y609" s="140"/>
      <c r="Z609" s="140"/>
      <c r="AA609" s="140"/>
      <c r="AB609" s="140"/>
      <c r="AC609" s="140"/>
      <c r="AD609" s="140"/>
    </row>
    <row r="610" spans="1:30" ht="11.25" customHeight="1" x14ac:dyDescent="0.2">
      <c r="A610" s="140"/>
      <c r="B610" s="140"/>
      <c r="C610" s="140"/>
      <c r="D610" s="140"/>
      <c r="E610" s="140"/>
      <c r="F610" s="140"/>
      <c r="G610" s="140"/>
      <c r="H610" s="140"/>
      <c r="I610" s="140"/>
      <c r="J610" s="140"/>
      <c r="K610" s="140"/>
      <c r="L610" s="140"/>
      <c r="M610" s="140"/>
      <c r="N610" s="140"/>
      <c r="O610" s="140"/>
      <c r="P610" s="140"/>
      <c r="Q610" s="140"/>
      <c r="R610" s="140"/>
      <c r="S610" s="140"/>
      <c r="T610" s="140"/>
      <c r="U610" s="140"/>
      <c r="V610" s="140"/>
      <c r="W610" s="140"/>
      <c r="X610" s="140"/>
      <c r="Y610" s="140"/>
      <c r="Z610" s="140"/>
      <c r="AA610" s="140"/>
      <c r="AB610" s="140"/>
      <c r="AC610" s="140"/>
      <c r="AD610" s="140"/>
    </row>
    <row r="611" spans="1:30" ht="11.25" customHeight="1" x14ac:dyDescent="0.2">
      <c r="A611" s="140"/>
      <c r="B611" s="140"/>
      <c r="C611" s="140"/>
      <c r="D611" s="140"/>
      <c r="E611" s="140"/>
      <c r="F611" s="140"/>
      <c r="G611" s="140"/>
      <c r="H611" s="140"/>
      <c r="I611" s="140"/>
      <c r="J611" s="140"/>
      <c r="K611" s="140"/>
      <c r="L611" s="140"/>
      <c r="M611" s="140"/>
      <c r="N611" s="140"/>
      <c r="O611" s="140"/>
      <c r="P611" s="140"/>
      <c r="Q611" s="140"/>
      <c r="R611" s="140"/>
      <c r="S611" s="140"/>
      <c r="T611" s="140"/>
      <c r="U611" s="140"/>
      <c r="V611" s="140"/>
      <c r="W611" s="140"/>
      <c r="X611" s="140"/>
      <c r="Y611" s="140"/>
      <c r="Z611" s="140"/>
      <c r="AA611" s="140"/>
      <c r="AB611" s="140"/>
      <c r="AC611" s="140"/>
      <c r="AD611" s="140"/>
    </row>
    <row r="612" spans="1:30" ht="11.25" customHeight="1" x14ac:dyDescent="0.2">
      <c r="A612" s="140"/>
      <c r="B612" s="140"/>
      <c r="C612" s="140"/>
      <c r="D612" s="140"/>
      <c r="E612" s="140"/>
      <c r="F612" s="140"/>
      <c r="G612" s="140"/>
      <c r="H612" s="140"/>
      <c r="I612" s="140"/>
      <c r="J612" s="140"/>
      <c r="K612" s="140"/>
      <c r="L612" s="140"/>
      <c r="M612" s="140"/>
      <c r="N612" s="140"/>
      <c r="O612" s="140"/>
      <c r="P612" s="140"/>
      <c r="Q612" s="140"/>
      <c r="R612" s="140"/>
      <c r="S612" s="140"/>
      <c r="T612" s="140"/>
      <c r="U612" s="140"/>
      <c r="V612" s="140"/>
      <c r="W612" s="140"/>
      <c r="X612" s="140"/>
      <c r="Y612" s="140"/>
      <c r="Z612" s="140"/>
      <c r="AA612" s="140"/>
      <c r="AB612" s="140"/>
      <c r="AC612" s="140"/>
      <c r="AD612" s="140"/>
    </row>
    <row r="613" spans="1:30" ht="11.25" customHeight="1" x14ac:dyDescent="0.2">
      <c r="A613" s="140"/>
      <c r="B613" s="140"/>
      <c r="C613" s="140"/>
      <c r="D613" s="140"/>
      <c r="E613" s="140"/>
      <c r="F613" s="140"/>
      <c r="G613" s="140"/>
      <c r="H613" s="140"/>
      <c r="I613" s="140"/>
      <c r="J613" s="140"/>
      <c r="K613" s="140"/>
      <c r="L613" s="140"/>
      <c r="M613" s="140"/>
      <c r="N613" s="140"/>
      <c r="O613" s="140"/>
      <c r="P613" s="140"/>
      <c r="Q613" s="140"/>
      <c r="R613" s="140"/>
      <c r="S613" s="140"/>
      <c r="T613" s="140"/>
      <c r="U613" s="140"/>
      <c r="V613" s="140"/>
      <c r="W613" s="140"/>
      <c r="X613" s="140"/>
      <c r="Y613" s="140"/>
      <c r="Z613" s="140"/>
      <c r="AA613" s="140"/>
      <c r="AB613" s="140"/>
      <c r="AC613" s="140"/>
      <c r="AD613" s="140"/>
    </row>
    <row r="614" spans="1:30" ht="11.25" customHeight="1" x14ac:dyDescent="0.2">
      <c r="A614" s="140"/>
      <c r="B614" s="140"/>
      <c r="C614" s="140"/>
      <c r="D614" s="140"/>
      <c r="E614" s="140"/>
      <c r="F614" s="140"/>
      <c r="G614" s="140"/>
      <c r="H614" s="140"/>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row>
    <row r="615" spans="1:30" ht="11.25" customHeight="1" x14ac:dyDescent="0.2">
      <c r="A615" s="140"/>
      <c r="B615" s="140"/>
      <c r="C615" s="140"/>
      <c r="D615" s="140"/>
      <c r="E615" s="140"/>
      <c r="F615" s="140"/>
      <c r="G615" s="140"/>
      <c r="H615" s="140"/>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row>
    <row r="616" spans="1:30" ht="11.25" customHeight="1" x14ac:dyDescent="0.2">
      <c r="A616" s="140"/>
      <c r="B616" s="140"/>
      <c r="C616" s="140"/>
      <c r="D616" s="140"/>
      <c r="E616" s="140"/>
      <c r="F616" s="140"/>
      <c r="G616" s="140"/>
      <c r="H616" s="140"/>
      <c r="I616" s="140"/>
      <c r="J616" s="140"/>
      <c r="K616" s="140"/>
      <c r="L616" s="140"/>
      <c r="M616" s="140"/>
      <c r="N616" s="140"/>
      <c r="O616" s="140"/>
      <c r="P616" s="140"/>
      <c r="Q616" s="140"/>
      <c r="R616" s="140"/>
      <c r="S616" s="140"/>
      <c r="T616" s="140"/>
      <c r="U616" s="140"/>
      <c r="V616" s="140"/>
      <c r="W616" s="140"/>
      <c r="X616" s="140"/>
      <c r="Y616" s="140"/>
      <c r="Z616" s="140"/>
      <c r="AA616" s="140"/>
      <c r="AB616" s="140"/>
      <c r="AC616" s="140"/>
      <c r="AD616" s="140"/>
    </row>
    <row r="617" spans="1:30" ht="11.25" customHeight="1" x14ac:dyDescent="0.2">
      <c r="A617" s="140"/>
      <c r="B617" s="140"/>
      <c r="C617" s="140"/>
      <c r="D617" s="140"/>
      <c r="E617" s="140"/>
      <c r="F617" s="140"/>
      <c r="G617" s="140"/>
      <c r="H617" s="140"/>
      <c r="I617" s="140"/>
      <c r="J617" s="140"/>
      <c r="K617" s="140"/>
      <c r="L617" s="140"/>
      <c r="M617" s="140"/>
      <c r="N617" s="140"/>
      <c r="O617" s="140"/>
      <c r="P617" s="140"/>
      <c r="Q617" s="140"/>
      <c r="R617" s="140"/>
      <c r="S617" s="140"/>
      <c r="T617" s="140"/>
      <c r="U617" s="140"/>
      <c r="V617" s="140"/>
      <c r="W617" s="140"/>
      <c r="X617" s="140"/>
      <c r="Y617" s="140"/>
      <c r="Z617" s="140"/>
      <c r="AA617" s="140"/>
      <c r="AB617" s="140"/>
      <c r="AC617" s="140"/>
      <c r="AD617" s="140"/>
    </row>
    <row r="618" spans="1:30" ht="11.25" customHeight="1" x14ac:dyDescent="0.2">
      <c r="A618" s="140"/>
      <c r="B618" s="140"/>
      <c r="C618" s="140"/>
      <c r="D618" s="140"/>
      <c r="E618" s="140"/>
      <c r="F618" s="140"/>
      <c r="G618" s="140"/>
      <c r="H618" s="140"/>
      <c r="I618" s="140"/>
      <c r="J618" s="140"/>
      <c r="K618" s="140"/>
      <c r="L618" s="140"/>
      <c r="M618" s="140"/>
      <c r="N618" s="140"/>
      <c r="O618" s="140"/>
      <c r="P618" s="140"/>
      <c r="Q618" s="140"/>
      <c r="R618" s="140"/>
      <c r="S618" s="140"/>
      <c r="T618" s="140"/>
      <c r="U618" s="140"/>
      <c r="V618" s="140"/>
      <c r="W618" s="140"/>
      <c r="X618" s="140"/>
      <c r="Y618" s="140"/>
      <c r="Z618" s="140"/>
      <c r="AA618" s="140"/>
      <c r="AB618" s="140"/>
      <c r="AC618" s="140"/>
      <c r="AD618" s="140"/>
    </row>
    <row r="619" spans="1:30" ht="11.25" customHeight="1" x14ac:dyDescent="0.2">
      <c r="A619" s="140"/>
      <c r="B619" s="140"/>
      <c r="C619" s="140"/>
      <c r="D619" s="140"/>
      <c r="E619" s="140"/>
      <c r="F619" s="140"/>
      <c r="G619" s="140"/>
      <c r="H619" s="140"/>
      <c r="I619" s="140"/>
      <c r="J619" s="140"/>
      <c r="K619" s="140"/>
      <c r="L619" s="140"/>
      <c r="M619" s="140"/>
      <c r="N619" s="140"/>
      <c r="O619" s="140"/>
      <c r="P619" s="140"/>
      <c r="Q619" s="140"/>
      <c r="R619" s="140"/>
      <c r="S619" s="140"/>
      <c r="T619" s="140"/>
      <c r="U619" s="140"/>
      <c r="V619" s="140"/>
      <c r="W619" s="140"/>
      <c r="X619" s="140"/>
      <c r="Y619" s="140"/>
      <c r="Z619" s="140"/>
      <c r="AA619" s="140"/>
      <c r="AB619" s="140"/>
      <c r="AC619" s="140"/>
      <c r="AD619" s="140"/>
    </row>
    <row r="620" spans="1:30" ht="11.25" customHeight="1" x14ac:dyDescent="0.2">
      <c r="A620" s="140"/>
      <c r="B620" s="140"/>
      <c r="C620" s="140"/>
      <c r="D620" s="140"/>
      <c r="E620" s="140"/>
      <c r="F620" s="140"/>
      <c r="G620" s="140"/>
      <c r="H620" s="140"/>
      <c r="I620" s="140"/>
      <c r="J620" s="140"/>
      <c r="K620" s="140"/>
      <c r="L620" s="140"/>
      <c r="M620" s="140"/>
      <c r="N620" s="140"/>
      <c r="O620" s="140"/>
      <c r="P620" s="140"/>
      <c r="Q620" s="140"/>
      <c r="R620" s="140"/>
      <c r="S620" s="140"/>
      <c r="T620" s="140"/>
      <c r="U620" s="140"/>
      <c r="V620" s="140"/>
      <c r="W620" s="140"/>
      <c r="X620" s="140"/>
      <c r="Y620" s="140"/>
      <c r="Z620" s="140"/>
      <c r="AA620" s="140"/>
      <c r="AB620" s="140"/>
      <c r="AC620" s="140"/>
      <c r="AD620" s="140"/>
    </row>
    <row r="621" spans="1:30" ht="11.25" customHeight="1" x14ac:dyDescent="0.2">
      <c r="A621" s="140"/>
      <c r="B621" s="140"/>
      <c r="C621" s="140"/>
      <c r="D621" s="140"/>
      <c r="E621" s="140"/>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c r="AC621" s="140"/>
      <c r="AD621" s="140"/>
    </row>
    <row r="622" spans="1:30" ht="11.25" customHeight="1" x14ac:dyDescent="0.2">
      <c r="A622" s="140"/>
      <c r="B622" s="140"/>
      <c r="C622" s="140"/>
      <c r="D622" s="140"/>
      <c r="E622" s="140"/>
      <c r="F622" s="140"/>
      <c r="G622" s="140"/>
      <c r="H622" s="140"/>
      <c r="I622" s="140"/>
      <c r="J622" s="140"/>
      <c r="K622" s="140"/>
      <c r="L622" s="140"/>
      <c r="M622" s="140"/>
      <c r="N622" s="140"/>
      <c r="O622" s="140"/>
      <c r="P622" s="140"/>
      <c r="Q622" s="140"/>
      <c r="R622" s="140"/>
      <c r="S622" s="140"/>
      <c r="T622" s="140"/>
      <c r="U622" s="140"/>
      <c r="V622" s="140"/>
      <c r="W622" s="140"/>
      <c r="X622" s="140"/>
      <c r="Y622" s="140"/>
      <c r="Z622" s="140"/>
      <c r="AA622" s="140"/>
      <c r="AB622" s="140"/>
      <c r="AC622" s="140"/>
      <c r="AD622" s="140"/>
    </row>
    <row r="623" spans="1:30" ht="11.25" customHeight="1" x14ac:dyDescent="0.2">
      <c r="A623" s="140"/>
      <c r="B623" s="140"/>
      <c r="C623" s="140"/>
      <c r="D623" s="140"/>
      <c r="E623" s="140"/>
      <c r="F623" s="140"/>
      <c r="G623" s="140"/>
      <c r="H623" s="140"/>
      <c r="I623" s="140"/>
      <c r="J623" s="140"/>
      <c r="K623" s="140"/>
      <c r="L623" s="140"/>
      <c r="M623" s="140"/>
      <c r="N623" s="140"/>
      <c r="O623" s="140"/>
      <c r="P623" s="140"/>
      <c r="Q623" s="140"/>
      <c r="R623" s="140"/>
      <c r="S623" s="140"/>
      <c r="T623" s="140"/>
      <c r="U623" s="140"/>
      <c r="V623" s="140"/>
      <c r="W623" s="140"/>
      <c r="X623" s="140"/>
      <c r="Y623" s="140"/>
      <c r="Z623" s="140"/>
      <c r="AA623" s="140"/>
      <c r="AB623" s="140"/>
      <c r="AC623" s="140"/>
      <c r="AD623" s="140"/>
    </row>
    <row r="624" spans="1:30" ht="11.25" customHeight="1" x14ac:dyDescent="0.2">
      <c r="A624" s="140"/>
      <c r="B624" s="140"/>
      <c r="C624" s="140"/>
      <c r="D624" s="140"/>
      <c r="E624" s="140"/>
      <c r="F624" s="140"/>
      <c r="G624" s="140"/>
      <c r="H624" s="140"/>
      <c r="I624" s="140"/>
      <c r="J624" s="140"/>
      <c r="K624" s="140"/>
      <c r="L624" s="140"/>
      <c r="M624" s="140"/>
      <c r="N624" s="140"/>
      <c r="O624" s="140"/>
      <c r="P624" s="140"/>
      <c r="Q624" s="140"/>
      <c r="R624" s="140"/>
      <c r="S624" s="140"/>
      <c r="T624" s="140"/>
      <c r="U624" s="140"/>
      <c r="V624" s="140"/>
      <c r="W624" s="140"/>
      <c r="X624" s="140"/>
      <c r="Y624" s="140"/>
      <c r="Z624" s="140"/>
      <c r="AA624" s="140"/>
      <c r="AB624" s="140"/>
      <c r="AC624" s="140"/>
      <c r="AD624" s="140"/>
    </row>
    <row r="625" spans="1:30" ht="11.25" customHeight="1" x14ac:dyDescent="0.2">
      <c r="A625" s="140"/>
      <c r="B625" s="140"/>
      <c r="C625" s="140"/>
      <c r="D625" s="140"/>
      <c r="E625" s="140"/>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140"/>
      <c r="AD625" s="140"/>
    </row>
    <row r="626" spans="1:30" ht="11.25" customHeight="1" x14ac:dyDescent="0.2">
      <c r="A626" s="140"/>
      <c r="B626" s="140"/>
      <c r="C626" s="140"/>
      <c r="D626" s="140"/>
      <c r="E626" s="140"/>
      <c r="F626" s="140"/>
      <c r="G626" s="140"/>
      <c r="H626" s="140"/>
      <c r="I626" s="140"/>
      <c r="J626" s="140"/>
      <c r="K626" s="140"/>
      <c r="L626" s="140"/>
      <c r="M626" s="140"/>
      <c r="N626" s="140"/>
      <c r="O626" s="140"/>
      <c r="P626" s="140"/>
      <c r="Q626" s="140"/>
      <c r="R626" s="140"/>
      <c r="S626" s="140"/>
      <c r="T626" s="140"/>
      <c r="U626" s="140"/>
      <c r="V626" s="140"/>
      <c r="W626" s="140"/>
      <c r="X626" s="140"/>
      <c r="Y626" s="140"/>
      <c r="Z626" s="140"/>
      <c r="AA626" s="140"/>
      <c r="AB626" s="140"/>
      <c r="AC626" s="140"/>
      <c r="AD626" s="140"/>
    </row>
    <row r="627" spans="1:30" ht="11.25" customHeight="1" x14ac:dyDescent="0.2">
      <c r="A627" s="140"/>
      <c r="B627" s="140"/>
      <c r="C627" s="140"/>
      <c r="D627" s="140"/>
      <c r="E627" s="140"/>
      <c r="F627" s="140"/>
      <c r="G627" s="140"/>
      <c r="H627" s="140"/>
      <c r="I627" s="140"/>
      <c r="J627" s="140"/>
      <c r="K627" s="140"/>
      <c r="L627" s="140"/>
      <c r="M627" s="140"/>
      <c r="N627" s="140"/>
      <c r="O627" s="140"/>
      <c r="P627" s="140"/>
      <c r="Q627" s="140"/>
      <c r="R627" s="140"/>
      <c r="S627" s="140"/>
      <c r="T627" s="140"/>
      <c r="U627" s="140"/>
      <c r="V627" s="140"/>
      <c r="W627" s="140"/>
      <c r="X627" s="140"/>
      <c r="Y627" s="140"/>
      <c r="Z627" s="140"/>
      <c r="AA627" s="140"/>
      <c r="AB627" s="140"/>
      <c r="AC627" s="140"/>
      <c r="AD627" s="140"/>
    </row>
    <row r="628" spans="1:30" ht="11.25" customHeight="1" x14ac:dyDescent="0.2">
      <c r="A628" s="140"/>
      <c r="B628" s="140"/>
      <c r="C628" s="140"/>
      <c r="D628" s="140"/>
      <c r="E628" s="140"/>
      <c r="F628" s="140"/>
      <c r="G628" s="140"/>
      <c r="H628" s="140"/>
      <c r="I628" s="140"/>
      <c r="J628" s="140"/>
      <c r="K628" s="140"/>
      <c r="L628" s="140"/>
      <c r="M628" s="140"/>
      <c r="N628" s="140"/>
      <c r="O628" s="140"/>
      <c r="P628" s="140"/>
      <c r="Q628" s="140"/>
      <c r="R628" s="140"/>
      <c r="S628" s="140"/>
      <c r="T628" s="140"/>
      <c r="U628" s="140"/>
      <c r="V628" s="140"/>
      <c r="W628" s="140"/>
      <c r="X628" s="140"/>
      <c r="Y628" s="140"/>
      <c r="Z628" s="140"/>
      <c r="AA628" s="140"/>
      <c r="AB628" s="140"/>
      <c r="AC628" s="140"/>
      <c r="AD628" s="140"/>
    </row>
    <row r="629" spans="1:30" ht="11.25" customHeight="1" x14ac:dyDescent="0.2">
      <c r="A629" s="140"/>
      <c r="B629" s="140"/>
      <c r="C629" s="140"/>
      <c r="D629" s="140"/>
      <c r="E629" s="140"/>
      <c r="F629" s="140"/>
      <c r="G629" s="140"/>
      <c r="H629" s="140"/>
      <c r="I629" s="140"/>
      <c r="J629" s="140"/>
      <c r="K629" s="140"/>
      <c r="L629" s="140"/>
      <c r="M629" s="140"/>
      <c r="N629" s="140"/>
      <c r="O629" s="140"/>
      <c r="P629" s="140"/>
      <c r="Q629" s="140"/>
      <c r="R629" s="140"/>
      <c r="S629" s="140"/>
      <c r="T629" s="140"/>
      <c r="U629" s="140"/>
      <c r="V629" s="140"/>
      <c r="W629" s="140"/>
      <c r="X629" s="140"/>
      <c r="Y629" s="140"/>
      <c r="Z629" s="140"/>
      <c r="AA629" s="140"/>
      <c r="AB629" s="140"/>
      <c r="AC629" s="140"/>
      <c r="AD629" s="140"/>
    </row>
    <row r="630" spans="1:30" ht="11.25" customHeight="1" x14ac:dyDescent="0.2">
      <c r="A630" s="140"/>
      <c r="B630" s="140"/>
      <c r="C630" s="140"/>
      <c r="D630" s="140"/>
      <c r="E630" s="140"/>
      <c r="F630" s="140"/>
      <c r="G630" s="140"/>
      <c r="H630" s="140"/>
      <c r="I630" s="140"/>
      <c r="J630" s="140"/>
      <c r="K630" s="140"/>
      <c r="L630" s="140"/>
      <c r="M630" s="140"/>
      <c r="N630" s="140"/>
      <c r="O630" s="140"/>
      <c r="P630" s="140"/>
      <c r="Q630" s="140"/>
      <c r="R630" s="140"/>
      <c r="S630" s="140"/>
      <c r="T630" s="140"/>
      <c r="U630" s="140"/>
      <c r="V630" s="140"/>
      <c r="W630" s="140"/>
      <c r="X630" s="140"/>
      <c r="Y630" s="140"/>
      <c r="Z630" s="140"/>
      <c r="AA630" s="140"/>
      <c r="AB630" s="140"/>
      <c r="AC630" s="140"/>
      <c r="AD630" s="140"/>
    </row>
    <row r="631" spans="1:30" ht="11.25" customHeight="1" x14ac:dyDescent="0.2">
      <c r="A631" s="140"/>
      <c r="B631" s="140"/>
      <c r="C631" s="140"/>
      <c r="D631" s="140"/>
      <c r="E631" s="140"/>
      <c r="F631" s="140"/>
      <c r="G631" s="140"/>
      <c r="H631" s="140"/>
      <c r="I631" s="140"/>
      <c r="J631" s="140"/>
      <c r="K631" s="140"/>
      <c r="L631" s="140"/>
      <c r="M631" s="140"/>
      <c r="N631" s="140"/>
      <c r="O631" s="140"/>
      <c r="P631" s="140"/>
      <c r="Q631" s="140"/>
      <c r="R631" s="140"/>
      <c r="S631" s="140"/>
      <c r="T631" s="140"/>
      <c r="U631" s="140"/>
      <c r="V631" s="140"/>
      <c r="W631" s="140"/>
      <c r="X631" s="140"/>
      <c r="Y631" s="140"/>
      <c r="Z631" s="140"/>
      <c r="AA631" s="140"/>
      <c r="AB631" s="140"/>
      <c r="AC631" s="140"/>
      <c r="AD631" s="140"/>
    </row>
    <row r="632" spans="1:30" ht="11.25" customHeight="1" x14ac:dyDescent="0.2">
      <c r="A632" s="140"/>
      <c r="B632" s="140"/>
      <c r="C632" s="140"/>
      <c r="D632" s="140"/>
      <c r="E632" s="140"/>
      <c r="F632" s="140"/>
      <c r="G632" s="140"/>
      <c r="H632" s="140"/>
      <c r="I632" s="140"/>
      <c r="J632" s="140"/>
      <c r="K632" s="140"/>
      <c r="L632" s="140"/>
      <c r="M632" s="140"/>
      <c r="N632" s="140"/>
      <c r="O632" s="140"/>
      <c r="P632" s="140"/>
      <c r="Q632" s="140"/>
      <c r="R632" s="140"/>
      <c r="S632" s="140"/>
      <c r="T632" s="140"/>
      <c r="U632" s="140"/>
      <c r="V632" s="140"/>
      <c r="W632" s="140"/>
      <c r="X632" s="140"/>
      <c r="Y632" s="140"/>
      <c r="Z632" s="140"/>
      <c r="AA632" s="140"/>
      <c r="AB632" s="140"/>
      <c r="AC632" s="140"/>
      <c r="AD632" s="140"/>
    </row>
    <row r="633" spans="1:30" ht="11.25" customHeight="1" x14ac:dyDescent="0.2">
      <c r="A633" s="140"/>
      <c r="B633" s="140"/>
      <c r="C633" s="140"/>
      <c r="D633" s="140"/>
      <c r="E633" s="140"/>
      <c r="F633" s="140"/>
      <c r="G633" s="140"/>
      <c r="H633" s="140"/>
      <c r="I633" s="140"/>
      <c r="J633" s="140"/>
      <c r="K633" s="140"/>
      <c r="L633" s="140"/>
      <c r="M633" s="140"/>
      <c r="N633" s="140"/>
      <c r="O633" s="140"/>
      <c r="P633" s="140"/>
      <c r="Q633" s="140"/>
      <c r="R633" s="140"/>
      <c r="S633" s="140"/>
      <c r="T633" s="140"/>
      <c r="U633" s="140"/>
      <c r="V633" s="140"/>
      <c r="W633" s="140"/>
      <c r="X633" s="140"/>
      <c r="Y633" s="140"/>
      <c r="Z633" s="140"/>
      <c r="AA633" s="140"/>
      <c r="AB633" s="140"/>
      <c r="AC633" s="140"/>
      <c r="AD633" s="140"/>
    </row>
    <row r="634" spans="1:30" ht="11.25" customHeight="1" x14ac:dyDescent="0.2">
      <c r="A634" s="140"/>
      <c r="B634" s="140"/>
      <c r="C634" s="140"/>
      <c r="D634" s="140"/>
      <c r="E634" s="140"/>
      <c r="F634" s="140"/>
      <c r="G634" s="140"/>
      <c r="H634" s="140"/>
      <c r="I634" s="140"/>
      <c r="J634" s="140"/>
      <c r="K634" s="140"/>
      <c r="L634" s="140"/>
      <c r="M634" s="140"/>
      <c r="N634" s="140"/>
      <c r="O634" s="140"/>
      <c r="P634" s="140"/>
      <c r="Q634" s="140"/>
      <c r="R634" s="140"/>
      <c r="S634" s="140"/>
      <c r="T634" s="140"/>
      <c r="U634" s="140"/>
      <c r="V634" s="140"/>
      <c r="W634" s="140"/>
      <c r="X634" s="140"/>
      <c r="Y634" s="140"/>
      <c r="Z634" s="140"/>
      <c r="AA634" s="140"/>
      <c r="AB634" s="140"/>
      <c r="AC634" s="140"/>
      <c r="AD634" s="140"/>
    </row>
    <row r="635" spans="1:30" ht="11.25" customHeight="1" x14ac:dyDescent="0.2">
      <c r="A635" s="140"/>
      <c r="B635" s="140"/>
      <c r="C635" s="140"/>
      <c r="D635" s="140"/>
      <c r="E635" s="140"/>
      <c r="F635" s="140"/>
      <c r="G635" s="140"/>
      <c r="H635" s="140"/>
      <c r="I635" s="140"/>
      <c r="J635" s="140"/>
      <c r="K635" s="140"/>
      <c r="L635" s="140"/>
      <c r="M635" s="140"/>
      <c r="N635" s="140"/>
      <c r="O635" s="140"/>
      <c r="P635" s="140"/>
      <c r="Q635" s="140"/>
      <c r="R635" s="140"/>
      <c r="S635" s="140"/>
      <c r="T635" s="140"/>
      <c r="U635" s="140"/>
      <c r="V635" s="140"/>
      <c r="W635" s="140"/>
      <c r="X635" s="140"/>
      <c r="Y635" s="140"/>
      <c r="Z635" s="140"/>
      <c r="AA635" s="140"/>
      <c r="AB635" s="140"/>
      <c r="AC635" s="140"/>
      <c r="AD635" s="140"/>
    </row>
    <row r="636" spans="1:30" ht="11.25" customHeight="1" x14ac:dyDescent="0.2">
      <c r="A636" s="140"/>
      <c r="B636" s="140"/>
      <c r="C636" s="140"/>
      <c r="D636" s="140"/>
      <c r="E636" s="140"/>
      <c r="F636" s="140"/>
      <c r="G636" s="140"/>
      <c r="H636" s="140"/>
      <c r="I636" s="140"/>
      <c r="J636" s="140"/>
      <c r="K636" s="140"/>
      <c r="L636" s="140"/>
      <c r="M636" s="140"/>
      <c r="N636" s="140"/>
      <c r="O636" s="140"/>
      <c r="P636" s="140"/>
      <c r="Q636" s="140"/>
      <c r="R636" s="140"/>
      <c r="S636" s="140"/>
      <c r="T636" s="140"/>
      <c r="U636" s="140"/>
      <c r="V636" s="140"/>
      <c r="W636" s="140"/>
      <c r="X636" s="140"/>
      <c r="Y636" s="140"/>
      <c r="Z636" s="140"/>
      <c r="AA636" s="140"/>
      <c r="AB636" s="140"/>
      <c r="AC636" s="140"/>
      <c r="AD636" s="140"/>
    </row>
    <row r="637" spans="1:30" ht="11.25" customHeight="1" x14ac:dyDescent="0.2">
      <c r="A637" s="140"/>
      <c r="B637" s="140"/>
      <c r="C637" s="140"/>
      <c r="D637" s="140"/>
      <c r="E637" s="140"/>
      <c r="F637" s="140"/>
      <c r="G637" s="140"/>
      <c r="H637" s="140"/>
      <c r="I637" s="140"/>
      <c r="J637" s="140"/>
      <c r="K637" s="140"/>
      <c r="L637" s="140"/>
      <c r="M637" s="140"/>
      <c r="N637" s="140"/>
      <c r="O637" s="140"/>
      <c r="P637" s="140"/>
      <c r="Q637" s="140"/>
      <c r="R637" s="140"/>
      <c r="S637" s="140"/>
      <c r="T637" s="140"/>
      <c r="U637" s="140"/>
      <c r="V637" s="140"/>
      <c r="W637" s="140"/>
      <c r="X637" s="140"/>
      <c r="Y637" s="140"/>
      <c r="Z637" s="140"/>
      <c r="AA637" s="140"/>
      <c r="AB637" s="140"/>
      <c r="AC637" s="140"/>
      <c r="AD637" s="140"/>
    </row>
    <row r="638" spans="1:30" ht="11.25" customHeight="1" x14ac:dyDescent="0.2">
      <c r="A638" s="140"/>
      <c r="B638" s="140"/>
      <c r="C638" s="140"/>
      <c r="D638" s="140"/>
      <c r="E638" s="140"/>
      <c r="F638" s="140"/>
      <c r="G638" s="140"/>
      <c r="H638" s="140"/>
      <c r="I638" s="140"/>
      <c r="J638" s="140"/>
      <c r="K638" s="140"/>
      <c r="L638" s="140"/>
      <c r="M638" s="140"/>
      <c r="N638" s="140"/>
      <c r="O638" s="140"/>
      <c r="P638" s="140"/>
      <c r="Q638" s="140"/>
      <c r="R638" s="140"/>
      <c r="S638" s="140"/>
      <c r="T638" s="140"/>
      <c r="U638" s="140"/>
      <c r="V638" s="140"/>
      <c r="W638" s="140"/>
      <c r="X638" s="140"/>
      <c r="Y638" s="140"/>
      <c r="Z638" s="140"/>
      <c r="AA638" s="140"/>
      <c r="AB638" s="140"/>
      <c r="AC638" s="140"/>
      <c r="AD638" s="140"/>
    </row>
    <row r="639" spans="1:30" ht="11.25" customHeight="1" x14ac:dyDescent="0.2">
      <c r="A639" s="140"/>
      <c r="B639" s="140"/>
      <c r="C639" s="140"/>
      <c r="D639" s="140"/>
      <c r="E639" s="140"/>
      <c r="F639" s="140"/>
      <c r="G639" s="140"/>
      <c r="H639" s="140"/>
      <c r="I639" s="140"/>
      <c r="J639" s="140"/>
      <c r="K639" s="140"/>
      <c r="L639" s="140"/>
      <c r="M639" s="140"/>
      <c r="N639" s="140"/>
      <c r="O639" s="140"/>
      <c r="P639" s="140"/>
      <c r="Q639" s="140"/>
      <c r="R639" s="140"/>
      <c r="S639" s="140"/>
      <c r="T639" s="140"/>
      <c r="U639" s="140"/>
      <c r="V639" s="140"/>
      <c r="W639" s="140"/>
      <c r="X639" s="140"/>
      <c r="Y639" s="140"/>
      <c r="Z639" s="140"/>
      <c r="AA639" s="140"/>
      <c r="AB639" s="140"/>
      <c r="AC639" s="140"/>
      <c r="AD639" s="140"/>
    </row>
    <row r="640" spans="1:30" ht="11.25" customHeight="1" x14ac:dyDescent="0.2">
      <c r="A640" s="140"/>
      <c r="B640" s="140"/>
      <c r="C640" s="140"/>
      <c r="D640" s="140"/>
      <c r="E640" s="140"/>
      <c r="F640" s="140"/>
      <c r="G640" s="140"/>
      <c r="H640" s="140"/>
      <c r="I640" s="140"/>
      <c r="J640" s="140"/>
      <c r="K640" s="140"/>
      <c r="L640" s="140"/>
      <c r="M640" s="140"/>
      <c r="N640" s="140"/>
      <c r="O640" s="140"/>
      <c r="P640" s="140"/>
      <c r="Q640" s="140"/>
      <c r="R640" s="140"/>
      <c r="S640" s="140"/>
      <c r="T640" s="140"/>
      <c r="U640" s="140"/>
      <c r="V640" s="140"/>
      <c r="W640" s="140"/>
      <c r="X640" s="140"/>
      <c r="Y640" s="140"/>
      <c r="Z640" s="140"/>
      <c r="AA640" s="140"/>
      <c r="AB640" s="140"/>
      <c r="AC640" s="140"/>
      <c r="AD640" s="140"/>
    </row>
    <row r="641" spans="1:30" ht="11.25" customHeight="1" x14ac:dyDescent="0.2">
      <c r="A641" s="140"/>
      <c r="B641" s="140"/>
      <c r="C641" s="140"/>
      <c r="D641" s="140"/>
      <c r="E641" s="140"/>
      <c r="F641" s="140"/>
      <c r="G641" s="140"/>
      <c r="H641" s="140"/>
      <c r="I641" s="140"/>
      <c r="J641" s="140"/>
      <c r="K641" s="140"/>
      <c r="L641" s="140"/>
      <c r="M641" s="140"/>
      <c r="N641" s="140"/>
      <c r="O641" s="140"/>
      <c r="P641" s="140"/>
      <c r="Q641" s="140"/>
      <c r="R641" s="140"/>
      <c r="S641" s="140"/>
      <c r="T641" s="140"/>
      <c r="U641" s="140"/>
      <c r="V641" s="140"/>
      <c r="W641" s="140"/>
      <c r="X641" s="140"/>
      <c r="Y641" s="140"/>
      <c r="Z641" s="140"/>
      <c r="AA641" s="140"/>
      <c r="AB641" s="140"/>
      <c r="AC641" s="140"/>
      <c r="AD641" s="140"/>
    </row>
    <row r="642" spans="1:30" ht="11.25" customHeight="1" x14ac:dyDescent="0.2">
      <c r="A642" s="140"/>
      <c r="B642" s="140"/>
      <c r="C642" s="140"/>
      <c r="D642" s="140"/>
      <c r="E642" s="140"/>
      <c r="F642" s="140"/>
      <c r="G642" s="140"/>
      <c r="H642" s="140"/>
      <c r="I642" s="140"/>
      <c r="J642" s="140"/>
      <c r="K642" s="140"/>
      <c r="L642" s="140"/>
      <c r="M642" s="140"/>
      <c r="N642" s="140"/>
      <c r="O642" s="140"/>
      <c r="P642" s="140"/>
      <c r="Q642" s="140"/>
      <c r="R642" s="140"/>
      <c r="S642" s="140"/>
      <c r="T642" s="140"/>
      <c r="U642" s="140"/>
      <c r="V642" s="140"/>
      <c r="W642" s="140"/>
      <c r="X642" s="140"/>
      <c r="Y642" s="140"/>
      <c r="Z642" s="140"/>
      <c r="AA642" s="140"/>
      <c r="AB642" s="140"/>
      <c r="AC642" s="140"/>
      <c r="AD642" s="140"/>
    </row>
    <row r="643" spans="1:30" ht="11.25" customHeight="1" x14ac:dyDescent="0.2">
      <c r="A643" s="140"/>
      <c r="B643" s="140"/>
      <c r="C643" s="140"/>
      <c r="D643" s="140"/>
      <c r="E643" s="140"/>
      <c r="F643" s="140"/>
      <c r="G643" s="140"/>
      <c r="H643" s="140"/>
      <c r="I643" s="140"/>
      <c r="J643" s="140"/>
      <c r="K643" s="140"/>
      <c r="L643" s="140"/>
      <c r="M643" s="140"/>
      <c r="N643" s="140"/>
      <c r="O643" s="140"/>
      <c r="P643" s="140"/>
      <c r="Q643" s="140"/>
      <c r="R643" s="140"/>
      <c r="S643" s="140"/>
      <c r="T643" s="140"/>
      <c r="U643" s="140"/>
      <c r="V643" s="140"/>
      <c r="W643" s="140"/>
      <c r="X643" s="140"/>
      <c r="Y643" s="140"/>
      <c r="Z643" s="140"/>
      <c r="AA643" s="140"/>
      <c r="AB643" s="140"/>
      <c r="AC643" s="140"/>
      <c r="AD643" s="140"/>
    </row>
    <row r="644" spans="1:30" ht="11.25" customHeight="1" x14ac:dyDescent="0.2">
      <c r="A644" s="140"/>
      <c r="B644" s="140"/>
      <c r="C644" s="140"/>
      <c r="D644" s="140"/>
      <c r="E644" s="140"/>
      <c r="F644" s="140"/>
      <c r="G644" s="140"/>
      <c r="H644" s="140"/>
      <c r="I644" s="140"/>
      <c r="J644" s="140"/>
      <c r="K644" s="140"/>
      <c r="L644" s="140"/>
      <c r="M644" s="140"/>
      <c r="N644" s="140"/>
      <c r="O644" s="140"/>
      <c r="P644" s="140"/>
      <c r="Q644" s="140"/>
      <c r="R644" s="140"/>
      <c r="S644" s="140"/>
      <c r="T644" s="140"/>
      <c r="U644" s="140"/>
      <c r="V644" s="140"/>
      <c r="W644" s="140"/>
      <c r="X644" s="140"/>
      <c r="Y644" s="140"/>
      <c r="Z644" s="140"/>
      <c r="AA644" s="140"/>
      <c r="AB644" s="140"/>
      <c r="AC644" s="140"/>
      <c r="AD644" s="140"/>
    </row>
    <row r="645" spans="1:30" ht="11.25" customHeight="1" x14ac:dyDescent="0.2">
      <c r="A645" s="140"/>
      <c r="B645" s="140"/>
      <c r="C645" s="140"/>
      <c r="D645" s="140"/>
      <c r="E645" s="140"/>
      <c r="F645" s="140"/>
      <c r="G645" s="140"/>
      <c r="H645" s="140"/>
      <c r="I645" s="140"/>
      <c r="J645" s="140"/>
      <c r="K645" s="140"/>
      <c r="L645" s="140"/>
      <c r="M645" s="140"/>
      <c r="N645" s="140"/>
      <c r="O645" s="140"/>
      <c r="P645" s="140"/>
      <c r="Q645" s="140"/>
      <c r="R645" s="140"/>
      <c r="S645" s="140"/>
      <c r="T645" s="140"/>
      <c r="U645" s="140"/>
      <c r="V645" s="140"/>
      <c r="W645" s="140"/>
      <c r="X645" s="140"/>
      <c r="Y645" s="140"/>
      <c r="Z645" s="140"/>
      <c r="AA645" s="140"/>
      <c r="AB645" s="140"/>
      <c r="AC645" s="140"/>
      <c r="AD645" s="140"/>
    </row>
    <row r="646" spans="1:30" ht="11.25" customHeight="1" x14ac:dyDescent="0.2">
      <c r="A646" s="140"/>
      <c r="B646" s="140"/>
      <c r="C646" s="140"/>
      <c r="D646" s="140"/>
      <c r="E646" s="140"/>
      <c r="F646" s="140"/>
      <c r="G646" s="140"/>
      <c r="H646" s="140"/>
      <c r="I646" s="140"/>
      <c r="J646" s="140"/>
      <c r="K646" s="140"/>
      <c r="L646" s="140"/>
      <c r="M646" s="140"/>
      <c r="N646" s="140"/>
      <c r="O646" s="140"/>
      <c r="P646" s="140"/>
      <c r="Q646" s="140"/>
      <c r="R646" s="140"/>
      <c r="S646" s="140"/>
      <c r="T646" s="140"/>
      <c r="U646" s="140"/>
      <c r="V646" s="140"/>
      <c r="W646" s="140"/>
      <c r="X646" s="140"/>
      <c r="Y646" s="140"/>
      <c r="Z646" s="140"/>
      <c r="AA646" s="140"/>
      <c r="AB646" s="140"/>
      <c r="AC646" s="140"/>
      <c r="AD646" s="140"/>
    </row>
    <row r="647" spans="1:30" ht="11.25" customHeight="1" x14ac:dyDescent="0.2">
      <c r="A647" s="140"/>
      <c r="B647" s="140"/>
      <c r="C647" s="140"/>
      <c r="D647" s="140"/>
      <c r="E647" s="140"/>
      <c r="F647" s="140"/>
      <c r="G647" s="140"/>
      <c r="H647" s="140"/>
      <c r="I647" s="140"/>
      <c r="J647" s="140"/>
      <c r="K647" s="140"/>
      <c r="L647" s="140"/>
      <c r="M647" s="140"/>
      <c r="N647" s="140"/>
      <c r="O647" s="140"/>
      <c r="P647" s="140"/>
      <c r="Q647" s="140"/>
      <c r="R647" s="140"/>
      <c r="S647" s="140"/>
      <c r="T647" s="140"/>
      <c r="U647" s="140"/>
      <c r="V647" s="140"/>
      <c r="W647" s="140"/>
      <c r="X647" s="140"/>
      <c r="Y647" s="140"/>
      <c r="Z647" s="140"/>
      <c r="AA647" s="140"/>
      <c r="AB647" s="140"/>
      <c r="AC647" s="140"/>
      <c r="AD647" s="140"/>
    </row>
    <row r="648" spans="1:30" ht="11.25" customHeight="1" x14ac:dyDescent="0.2">
      <c r="A648" s="140"/>
      <c r="B648" s="140"/>
      <c r="C648" s="140"/>
      <c r="D648" s="140"/>
      <c r="E648" s="140"/>
      <c r="F648" s="140"/>
      <c r="G648" s="140"/>
      <c r="H648" s="140"/>
      <c r="I648" s="140"/>
      <c r="J648" s="140"/>
      <c r="K648" s="140"/>
      <c r="L648" s="140"/>
      <c r="M648" s="140"/>
      <c r="N648" s="140"/>
      <c r="O648" s="140"/>
      <c r="P648" s="140"/>
      <c r="Q648" s="140"/>
      <c r="R648" s="140"/>
      <c r="S648" s="140"/>
      <c r="T648" s="140"/>
      <c r="U648" s="140"/>
      <c r="V648" s="140"/>
      <c r="W648" s="140"/>
      <c r="X648" s="140"/>
      <c r="Y648" s="140"/>
      <c r="Z648" s="140"/>
      <c r="AA648" s="140"/>
      <c r="AB648" s="140"/>
      <c r="AC648" s="140"/>
      <c r="AD648" s="140"/>
    </row>
    <row r="649" spans="1:30" ht="11.25" customHeight="1" x14ac:dyDescent="0.2">
      <c r="A649" s="140"/>
      <c r="B649" s="140"/>
      <c r="C649" s="140"/>
      <c r="D649" s="140"/>
      <c r="E649" s="140"/>
      <c r="F649" s="140"/>
      <c r="G649" s="140"/>
      <c r="H649" s="140"/>
      <c r="I649" s="140"/>
      <c r="J649" s="140"/>
      <c r="K649" s="140"/>
      <c r="L649" s="140"/>
      <c r="M649" s="140"/>
      <c r="N649" s="140"/>
      <c r="O649" s="140"/>
      <c r="P649" s="140"/>
      <c r="Q649" s="140"/>
      <c r="R649" s="140"/>
      <c r="S649" s="140"/>
      <c r="T649" s="140"/>
      <c r="U649" s="140"/>
      <c r="V649" s="140"/>
      <c r="W649" s="140"/>
      <c r="X649" s="140"/>
      <c r="Y649" s="140"/>
      <c r="Z649" s="140"/>
      <c r="AA649" s="140"/>
      <c r="AB649" s="140"/>
      <c r="AC649" s="140"/>
      <c r="AD649" s="140"/>
    </row>
    <row r="650" spans="1:30" ht="11.25" customHeight="1" x14ac:dyDescent="0.2">
      <c r="A650" s="140"/>
      <c r="B650" s="140"/>
      <c r="C650" s="140"/>
      <c r="D650" s="140"/>
      <c r="E650" s="140"/>
      <c r="F650" s="140"/>
      <c r="G650" s="140"/>
      <c r="H650" s="140"/>
      <c r="I650" s="140"/>
      <c r="J650" s="140"/>
      <c r="K650" s="140"/>
      <c r="L650" s="140"/>
      <c r="M650" s="140"/>
      <c r="N650" s="140"/>
      <c r="O650" s="140"/>
      <c r="P650" s="140"/>
      <c r="Q650" s="140"/>
      <c r="R650" s="140"/>
      <c r="S650" s="140"/>
      <c r="T650" s="140"/>
      <c r="U650" s="140"/>
      <c r="V650" s="140"/>
      <c r="W650" s="140"/>
      <c r="X650" s="140"/>
      <c r="Y650" s="140"/>
      <c r="Z650" s="140"/>
      <c r="AA650" s="140"/>
      <c r="AB650" s="140"/>
      <c r="AC650" s="140"/>
      <c r="AD650" s="140"/>
    </row>
    <row r="651" spans="1:30" ht="11.25" customHeight="1" x14ac:dyDescent="0.2">
      <c r="A651" s="140"/>
      <c r="B651" s="140"/>
      <c r="C651" s="140"/>
      <c r="D651" s="140"/>
      <c r="E651" s="140"/>
      <c r="F651" s="140"/>
      <c r="G651" s="140"/>
      <c r="H651" s="140"/>
      <c r="I651" s="140"/>
      <c r="J651" s="140"/>
      <c r="K651" s="140"/>
      <c r="L651" s="140"/>
      <c r="M651" s="140"/>
      <c r="N651" s="140"/>
      <c r="O651" s="140"/>
      <c r="P651" s="140"/>
      <c r="Q651" s="140"/>
      <c r="R651" s="140"/>
      <c r="S651" s="140"/>
      <c r="T651" s="140"/>
      <c r="U651" s="140"/>
      <c r="V651" s="140"/>
      <c r="W651" s="140"/>
      <c r="X651" s="140"/>
      <c r="Y651" s="140"/>
      <c r="Z651" s="140"/>
      <c r="AA651" s="140"/>
      <c r="AB651" s="140"/>
      <c r="AC651" s="140"/>
      <c r="AD651" s="140"/>
    </row>
    <row r="652" spans="1:30" ht="11.25" customHeight="1" x14ac:dyDescent="0.2">
      <c r="A652" s="140"/>
      <c r="B652" s="140"/>
      <c r="C652" s="140"/>
      <c r="D652" s="140"/>
      <c r="E652" s="140"/>
      <c r="F652" s="140"/>
      <c r="G652" s="140"/>
      <c r="H652" s="140"/>
      <c r="I652" s="140"/>
      <c r="J652" s="140"/>
      <c r="K652" s="140"/>
      <c r="L652" s="140"/>
      <c r="M652" s="140"/>
      <c r="N652" s="140"/>
      <c r="O652" s="140"/>
      <c r="P652" s="140"/>
      <c r="Q652" s="140"/>
      <c r="R652" s="140"/>
      <c r="S652" s="140"/>
      <c r="T652" s="140"/>
      <c r="U652" s="140"/>
      <c r="V652" s="140"/>
      <c r="W652" s="140"/>
      <c r="X652" s="140"/>
      <c r="Y652" s="140"/>
      <c r="Z652" s="140"/>
      <c r="AA652" s="140"/>
      <c r="AB652" s="140"/>
      <c r="AC652" s="140"/>
      <c r="AD652" s="140"/>
    </row>
    <row r="653" spans="1:30" ht="11.25" customHeight="1" x14ac:dyDescent="0.2">
      <c r="A653" s="140"/>
      <c r="B653" s="140"/>
      <c r="C653" s="140"/>
      <c r="D653" s="140"/>
      <c r="E653" s="140"/>
      <c r="F653" s="140"/>
      <c r="G653" s="140"/>
      <c r="H653" s="140"/>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row>
    <row r="654" spans="1:30" ht="11.25" customHeight="1" x14ac:dyDescent="0.2">
      <c r="A654" s="140"/>
      <c r="B654" s="140"/>
      <c r="C654" s="140"/>
      <c r="D654" s="140"/>
      <c r="E654" s="140"/>
      <c r="F654" s="140"/>
      <c r="G654" s="140"/>
      <c r="H654" s="140"/>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row>
    <row r="655" spans="1:30" ht="11.25" customHeight="1" x14ac:dyDescent="0.2">
      <c r="A655" s="140"/>
      <c r="B655" s="140"/>
      <c r="C655" s="140"/>
      <c r="D655" s="140"/>
      <c r="E655" s="140"/>
      <c r="F655" s="140"/>
      <c r="G655" s="140"/>
      <c r="H655" s="140"/>
      <c r="I655" s="140"/>
      <c r="J655" s="140"/>
      <c r="K655" s="140"/>
      <c r="L655" s="140"/>
      <c r="M655" s="140"/>
      <c r="N655" s="140"/>
      <c r="O655" s="140"/>
      <c r="P655" s="140"/>
      <c r="Q655" s="140"/>
      <c r="R655" s="140"/>
      <c r="S655" s="140"/>
      <c r="T655" s="140"/>
      <c r="U655" s="140"/>
      <c r="V655" s="140"/>
      <c r="W655" s="140"/>
      <c r="X655" s="140"/>
      <c r="Y655" s="140"/>
      <c r="Z655" s="140"/>
      <c r="AA655" s="140"/>
      <c r="AB655" s="140"/>
      <c r="AC655" s="140"/>
      <c r="AD655" s="140"/>
    </row>
    <row r="656" spans="1:30" ht="11.25" customHeight="1" x14ac:dyDescent="0.2">
      <c r="A656" s="140"/>
      <c r="B656" s="140"/>
      <c r="C656" s="140"/>
      <c r="D656" s="140"/>
      <c r="E656" s="140"/>
      <c r="F656" s="140"/>
      <c r="G656" s="140"/>
      <c r="H656" s="140"/>
      <c r="I656" s="140"/>
      <c r="J656" s="140"/>
      <c r="K656" s="140"/>
      <c r="L656" s="140"/>
      <c r="M656" s="140"/>
      <c r="N656" s="140"/>
      <c r="O656" s="140"/>
      <c r="P656" s="140"/>
      <c r="Q656" s="140"/>
      <c r="R656" s="140"/>
      <c r="S656" s="140"/>
      <c r="T656" s="140"/>
      <c r="U656" s="140"/>
      <c r="V656" s="140"/>
      <c r="W656" s="140"/>
      <c r="X656" s="140"/>
      <c r="Y656" s="140"/>
      <c r="Z656" s="140"/>
      <c r="AA656" s="140"/>
      <c r="AB656" s="140"/>
      <c r="AC656" s="140"/>
      <c r="AD656" s="140"/>
    </row>
    <row r="657" spans="1:30" ht="11.25" customHeight="1" x14ac:dyDescent="0.2">
      <c r="A657" s="140"/>
      <c r="B657" s="140"/>
      <c r="C657" s="140"/>
      <c r="D657" s="140"/>
      <c r="E657" s="140"/>
      <c r="F657" s="140"/>
      <c r="G657" s="140"/>
      <c r="H657" s="140"/>
      <c r="I657" s="140"/>
      <c r="J657" s="140"/>
      <c r="K657" s="140"/>
      <c r="L657" s="140"/>
      <c r="M657" s="140"/>
      <c r="N657" s="140"/>
      <c r="O657" s="140"/>
      <c r="P657" s="140"/>
      <c r="Q657" s="140"/>
      <c r="R657" s="140"/>
      <c r="S657" s="140"/>
      <c r="T657" s="140"/>
      <c r="U657" s="140"/>
      <c r="V657" s="140"/>
      <c r="W657" s="140"/>
      <c r="X657" s="140"/>
      <c r="Y657" s="140"/>
      <c r="Z657" s="140"/>
      <c r="AA657" s="140"/>
      <c r="AB657" s="140"/>
      <c r="AC657" s="140"/>
      <c r="AD657" s="140"/>
    </row>
    <row r="658" spans="1:30" ht="11.25" customHeight="1" x14ac:dyDescent="0.2">
      <c r="A658" s="140"/>
      <c r="B658" s="140"/>
      <c r="C658" s="140"/>
      <c r="D658" s="140"/>
      <c r="E658" s="140"/>
      <c r="F658" s="140"/>
      <c r="G658" s="140"/>
      <c r="H658" s="140"/>
      <c r="I658" s="140"/>
      <c r="J658" s="140"/>
      <c r="K658" s="140"/>
      <c r="L658" s="140"/>
      <c r="M658" s="140"/>
      <c r="N658" s="140"/>
      <c r="O658" s="140"/>
      <c r="P658" s="140"/>
      <c r="Q658" s="140"/>
      <c r="R658" s="140"/>
      <c r="S658" s="140"/>
      <c r="T658" s="140"/>
      <c r="U658" s="140"/>
      <c r="V658" s="140"/>
      <c r="W658" s="140"/>
      <c r="X658" s="140"/>
      <c r="Y658" s="140"/>
      <c r="Z658" s="140"/>
      <c r="AA658" s="140"/>
      <c r="AB658" s="140"/>
      <c r="AC658" s="140"/>
      <c r="AD658" s="140"/>
    </row>
    <row r="659" spans="1:30" ht="11.25" customHeight="1" x14ac:dyDescent="0.2">
      <c r="A659" s="140"/>
      <c r="B659" s="140"/>
      <c r="C659" s="140"/>
      <c r="D659" s="140"/>
      <c r="E659" s="140"/>
      <c r="F659" s="140"/>
      <c r="G659" s="140"/>
      <c r="H659" s="140"/>
      <c r="I659" s="140"/>
      <c r="J659" s="140"/>
      <c r="K659" s="140"/>
      <c r="L659" s="140"/>
      <c r="M659" s="140"/>
      <c r="N659" s="140"/>
      <c r="O659" s="140"/>
      <c r="P659" s="140"/>
      <c r="Q659" s="140"/>
      <c r="R659" s="140"/>
      <c r="S659" s="140"/>
      <c r="T659" s="140"/>
      <c r="U659" s="140"/>
      <c r="V659" s="140"/>
      <c r="W659" s="140"/>
      <c r="X659" s="140"/>
      <c r="Y659" s="140"/>
      <c r="Z659" s="140"/>
      <c r="AA659" s="140"/>
      <c r="AB659" s="140"/>
      <c r="AC659" s="140"/>
      <c r="AD659" s="140"/>
    </row>
    <row r="660" spans="1:30" ht="11.25" customHeight="1" x14ac:dyDescent="0.2">
      <c r="A660" s="140"/>
      <c r="B660" s="140"/>
      <c r="C660" s="140"/>
      <c r="D660" s="140"/>
      <c r="E660" s="140"/>
      <c r="F660" s="140"/>
      <c r="G660" s="140"/>
      <c r="H660" s="140"/>
      <c r="I660" s="140"/>
      <c r="J660" s="140"/>
      <c r="K660" s="140"/>
      <c r="L660" s="140"/>
      <c r="M660" s="140"/>
      <c r="N660" s="140"/>
      <c r="O660" s="140"/>
      <c r="P660" s="140"/>
      <c r="Q660" s="140"/>
      <c r="R660" s="140"/>
      <c r="S660" s="140"/>
      <c r="T660" s="140"/>
      <c r="U660" s="140"/>
      <c r="V660" s="140"/>
      <c r="W660" s="140"/>
      <c r="X660" s="140"/>
      <c r="Y660" s="140"/>
      <c r="Z660" s="140"/>
      <c r="AA660" s="140"/>
      <c r="AB660" s="140"/>
      <c r="AC660" s="140"/>
      <c r="AD660" s="140"/>
    </row>
    <row r="661" spans="1:30" ht="11.25" customHeight="1" x14ac:dyDescent="0.2">
      <c r="A661" s="140"/>
      <c r="B661" s="140"/>
      <c r="C661" s="140"/>
      <c r="D661" s="140"/>
      <c r="E661" s="140"/>
      <c r="F661" s="140"/>
      <c r="G661" s="140"/>
      <c r="H661" s="140"/>
      <c r="I661" s="140"/>
      <c r="J661" s="140"/>
      <c r="K661" s="140"/>
      <c r="L661" s="140"/>
      <c r="M661" s="140"/>
      <c r="N661" s="140"/>
      <c r="O661" s="140"/>
      <c r="P661" s="140"/>
      <c r="Q661" s="140"/>
      <c r="R661" s="140"/>
      <c r="S661" s="140"/>
      <c r="T661" s="140"/>
      <c r="U661" s="140"/>
      <c r="V661" s="140"/>
      <c r="W661" s="140"/>
      <c r="X661" s="140"/>
      <c r="Y661" s="140"/>
      <c r="Z661" s="140"/>
      <c r="AA661" s="140"/>
      <c r="AB661" s="140"/>
      <c r="AC661" s="140"/>
      <c r="AD661" s="140"/>
    </row>
    <row r="662" spans="1:30" ht="11.25" customHeight="1" x14ac:dyDescent="0.2">
      <c r="A662" s="140"/>
      <c r="B662" s="140"/>
      <c r="C662" s="140"/>
      <c r="D662" s="140"/>
      <c r="E662" s="140"/>
      <c r="F662" s="140"/>
      <c r="G662" s="140"/>
      <c r="H662" s="140"/>
      <c r="I662" s="140"/>
      <c r="J662" s="140"/>
      <c r="K662" s="140"/>
      <c r="L662" s="140"/>
      <c r="M662" s="140"/>
      <c r="N662" s="140"/>
      <c r="O662" s="140"/>
      <c r="P662" s="140"/>
      <c r="Q662" s="140"/>
      <c r="R662" s="140"/>
      <c r="S662" s="140"/>
      <c r="T662" s="140"/>
      <c r="U662" s="140"/>
      <c r="V662" s="140"/>
      <c r="W662" s="140"/>
      <c r="X662" s="140"/>
      <c r="Y662" s="140"/>
      <c r="Z662" s="140"/>
      <c r="AA662" s="140"/>
      <c r="AB662" s="140"/>
      <c r="AC662" s="140"/>
      <c r="AD662" s="140"/>
    </row>
    <row r="663" spans="1:30" ht="11.25" customHeight="1" x14ac:dyDescent="0.2">
      <c r="A663" s="140"/>
      <c r="B663" s="140"/>
      <c r="C663" s="140"/>
      <c r="D663" s="140"/>
      <c r="E663" s="140"/>
      <c r="F663" s="140"/>
      <c r="G663" s="140"/>
      <c r="H663" s="140"/>
      <c r="I663" s="140"/>
      <c r="J663" s="140"/>
      <c r="K663" s="140"/>
      <c r="L663" s="140"/>
      <c r="M663" s="140"/>
      <c r="N663" s="140"/>
      <c r="O663" s="140"/>
      <c r="P663" s="140"/>
      <c r="Q663" s="140"/>
      <c r="R663" s="140"/>
      <c r="S663" s="140"/>
      <c r="T663" s="140"/>
      <c r="U663" s="140"/>
      <c r="V663" s="140"/>
      <c r="W663" s="140"/>
      <c r="X663" s="140"/>
      <c r="Y663" s="140"/>
      <c r="Z663" s="140"/>
      <c r="AA663" s="140"/>
      <c r="AB663" s="140"/>
      <c r="AC663" s="140"/>
      <c r="AD663" s="140"/>
    </row>
    <row r="664" spans="1:30" ht="11.25" customHeight="1" x14ac:dyDescent="0.2">
      <c r="A664" s="140"/>
      <c r="B664" s="140"/>
      <c r="C664" s="140"/>
      <c r="D664" s="140"/>
      <c r="E664" s="140"/>
      <c r="F664" s="140"/>
      <c r="G664" s="140"/>
      <c r="H664" s="140"/>
      <c r="I664" s="140"/>
      <c r="J664" s="140"/>
      <c r="K664" s="140"/>
      <c r="L664" s="140"/>
      <c r="M664" s="140"/>
      <c r="N664" s="140"/>
      <c r="O664" s="140"/>
      <c r="P664" s="140"/>
      <c r="Q664" s="140"/>
      <c r="R664" s="140"/>
      <c r="S664" s="140"/>
      <c r="T664" s="140"/>
      <c r="U664" s="140"/>
      <c r="V664" s="140"/>
      <c r="W664" s="140"/>
      <c r="X664" s="140"/>
      <c r="Y664" s="140"/>
      <c r="Z664" s="140"/>
      <c r="AA664" s="140"/>
      <c r="AB664" s="140"/>
      <c r="AC664" s="140"/>
      <c r="AD664" s="140"/>
    </row>
    <row r="665" spans="1:30" ht="11.25" customHeight="1" x14ac:dyDescent="0.2">
      <c r="A665" s="140"/>
      <c r="B665" s="140"/>
      <c r="C665" s="140"/>
      <c r="D665" s="140"/>
      <c r="E665" s="140"/>
      <c r="F665" s="140"/>
      <c r="G665" s="140"/>
      <c r="H665" s="140"/>
      <c r="I665" s="140"/>
      <c r="J665" s="140"/>
      <c r="K665" s="140"/>
      <c r="L665" s="140"/>
      <c r="M665" s="140"/>
      <c r="N665" s="140"/>
      <c r="O665" s="140"/>
      <c r="P665" s="140"/>
      <c r="Q665" s="140"/>
      <c r="R665" s="140"/>
      <c r="S665" s="140"/>
      <c r="T665" s="140"/>
      <c r="U665" s="140"/>
      <c r="V665" s="140"/>
      <c r="W665" s="140"/>
      <c r="X665" s="140"/>
      <c r="Y665" s="140"/>
      <c r="Z665" s="140"/>
      <c r="AA665" s="140"/>
      <c r="AB665" s="140"/>
      <c r="AC665" s="140"/>
      <c r="AD665" s="140"/>
    </row>
    <row r="666" spans="1:30" ht="11.25" customHeight="1" x14ac:dyDescent="0.2">
      <c r="A666" s="140"/>
      <c r="B666" s="140"/>
      <c r="C666" s="140"/>
      <c r="D666" s="140"/>
      <c r="E666" s="140"/>
      <c r="F666" s="140"/>
      <c r="G666" s="140"/>
      <c r="H666" s="140"/>
      <c r="I666" s="140"/>
      <c r="J666" s="140"/>
      <c r="K666" s="140"/>
      <c r="L666" s="140"/>
      <c r="M666" s="140"/>
      <c r="N666" s="140"/>
      <c r="O666" s="140"/>
      <c r="P666" s="140"/>
      <c r="Q666" s="140"/>
      <c r="R666" s="140"/>
      <c r="S666" s="140"/>
      <c r="T666" s="140"/>
      <c r="U666" s="140"/>
      <c r="V666" s="140"/>
      <c r="W666" s="140"/>
      <c r="X666" s="140"/>
      <c r="Y666" s="140"/>
      <c r="Z666" s="140"/>
      <c r="AA666" s="140"/>
      <c r="AB666" s="140"/>
      <c r="AC666" s="140"/>
      <c r="AD666" s="140"/>
    </row>
    <row r="667" spans="1:30" ht="11.25" customHeight="1" x14ac:dyDescent="0.2">
      <c r="A667" s="140"/>
      <c r="B667" s="140"/>
      <c r="C667" s="140"/>
      <c r="D667" s="140"/>
      <c r="E667" s="140"/>
      <c r="F667" s="140"/>
      <c r="G667" s="140"/>
      <c r="H667" s="140"/>
      <c r="I667" s="140"/>
      <c r="J667" s="140"/>
      <c r="K667" s="140"/>
      <c r="L667" s="140"/>
      <c r="M667" s="140"/>
      <c r="N667" s="140"/>
      <c r="O667" s="140"/>
      <c r="P667" s="140"/>
      <c r="Q667" s="140"/>
      <c r="R667" s="140"/>
      <c r="S667" s="140"/>
      <c r="T667" s="140"/>
      <c r="U667" s="140"/>
      <c r="V667" s="140"/>
      <c r="W667" s="140"/>
      <c r="X667" s="140"/>
      <c r="Y667" s="140"/>
      <c r="Z667" s="140"/>
      <c r="AA667" s="140"/>
      <c r="AB667" s="140"/>
      <c r="AC667" s="140"/>
      <c r="AD667" s="140"/>
    </row>
    <row r="668" spans="1:30" ht="11.25" customHeight="1" x14ac:dyDescent="0.2">
      <c r="A668" s="140"/>
      <c r="B668" s="140"/>
      <c r="C668" s="140"/>
      <c r="D668" s="140"/>
      <c r="E668" s="140"/>
      <c r="F668" s="140"/>
      <c r="G668" s="140"/>
      <c r="H668" s="140"/>
      <c r="I668" s="140"/>
      <c r="J668" s="140"/>
      <c r="K668" s="140"/>
      <c r="L668" s="140"/>
      <c r="M668" s="140"/>
      <c r="N668" s="140"/>
      <c r="O668" s="140"/>
      <c r="P668" s="140"/>
      <c r="Q668" s="140"/>
      <c r="R668" s="140"/>
      <c r="S668" s="140"/>
      <c r="T668" s="140"/>
      <c r="U668" s="140"/>
      <c r="V668" s="140"/>
      <c r="W668" s="140"/>
      <c r="X668" s="140"/>
      <c r="Y668" s="140"/>
      <c r="Z668" s="140"/>
      <c r="AA668" s="140"/>
      <c r="AB668" s="140"/>
      <c r="AC668" s="140"/>
      <c r="AD668" s="140"/>
    </row>
    <row r="669" spans="1:30" ht="11.25" customHeight="1" x14ac:dyDescent="0.2">
      <c r="A669" s="140"/>
      <c r="B669" s="140"/>
      <c r="C669" s="140"/>
      <c r="D669" s="140"/>
      <c r="E669" s="140"/>
      <c r="F669" s="140"/>
      <c r="G669" s="140"/>
      <c r="H669" s="140"/>
      <c r="I669" s="140"/>
      <c r="J669" s="140"/>
      <c r="K669" s="140"/>
      <c r="L669" s="140"/>
      <c r="M669" s="140"/>
      <c r="N669" s="140"/>
      <c r="O669" s="140"/>
      <c r="P669" s="140"/>
      <c r="Q669" s="140"/>
      <c r="R669" s="140"/>
      <c r="S669" s="140"/>
      <c r="T669" s="140"/>
      <c r="U669" s="140"/>
      <c r="V669" s="140"/>
      <c r="W669" s="140"/>
      <c r="X669" s="140"/>
      <c r="Y669" s="140"/>
      <c r="Z669" s="140"/>
      <c r="AA669" s="140"/>
      <c r="AB669" s="140"/>
      <c r="AC669" s="140"/>
      <c r="AD669" s="140"/>
    </row>
    <row r="670" spans="1:30" ht="11.25" customHeight="1" x14ac:dyDescent="0.2">
      <c r="A670" s="140"/>
      <c r="B670" s="140"/>
      <c r="C670" s="140"/>
      <c r="D670" s="140"/>
      <c r="E670" s="140"/>
      <c r="F670" s="140"/>
      <c r="G670" s="140"/>
      <c r="H670" s="140"/>
      <c r="I670" s="140"/>
      <c r="J670" s="140"/>
      <c r="K670" s="140"/>
      <c r="L670" s="140"/>
      <c r="M670" s="140"/>
      <c r="N670" s="140"/>
      <c r="O670" s="140"/>
      <c r="P670" s="140"/>
      <c r="Q670" s="140"/>
      <c r="R670" s="140"/>
      <c r="S670" s="140"/>
      <c r="T670" s="140"/>
      <c r="U670" s="140"/>
      <c r="V670" s="140"/>
      <c r="W670" s="140"/>
      <c r="X670" s="140"/>
      <c r="Y670" s="140"/>
      <c r="Z670" s="140"/>
      <c r="AA670" s="140"/>
      <c r="AB670" s="140"/>
      <c r="AC670" s="140"/>
      <c r="AD670" s="140"/>
    </row>
    <row r="671" spans="1:30" ht="11.25" customHeight="1" x14ac:dyDescent="0.2">
      <c r="A671" s="140"/>
      <c r="B671" s="140"/>
      <c r="C671" s="140"/>
      <c r="D671" s="140"/>
      <c r="E671" s="140"/>
      <c r="F671" s="140"/>
      <c r="G671" s="140"/>
      <c r="H671" s="140"/>
      <c r="I671" s="140"/>
      <c r="J671" s="140"/>
      <c r="K671" s="140"/>
      <c r="L671" s="140"/>
      <c r="M671" s="140"/>
      <c r="N671" s="140"/>
      <c r="O671" s="140"/>
      <c r="P671" s="140"/>
      <c r="Q671" s="140"/>
      <c r="R671" s="140"/>
      <c r="S671" s="140"/>
      <c r="T671" s="140"/>
      <c r="U671" s="140"/>
      <c r="V671" s="140"/>
      <c r="W671" s="140"/>
      <c r="X671" s="140"/>
      <c r="Y671" s="140"/>
      <c r="Z671" s="140"/>
      <c r="AA671" s="140"/>
      <c r="AB671" s="140"/>
      <c r="AC671" s="140"/>
      <c r="AD671" s="140"/>
    </row>
    <row r="672" spans="1:30" ht="11.25" customHeight="1" x14ac:dyDescent="0.2">
      <c r="A672" s="140"/>
      <c r="B672" s="140"/>
      <c r="C672" s="140"/>
      <c r="D672" s="140"/>
      <c r="E672" s="140"/>
      <c r="F672" s="140"/>
      <c r="G672" s="140"/>
      <c r="H672" s="140"/>
      <c r="I672" s="140"/>
      <c r="J672" s="140"/>
      <c r="K672" s="140"/>
      <c r="L672" s="140"/>
      <c r="M672" s="140"/>
      <c r="N672" s="140"/>
      <c r="O672" s="140"/>
      <c r="P672" s="140"/>
      <c r="Q672" s="140"/>
      <c r="R672" s="140"/>
      <c r="S672" s="140"/>
      <c r="T672" s="140"/>
      <c r="U672" s="140"/>
      <c r="V672" s="140"/>
      <c r="W672" s="140"/>
      <c r="X672" s="140"/>
      <c r="Y672" s="140"/>
      <c r="Z672" s="140"/>
      <c r="AA672" s="140"/>
      <c r="AB672" s="140"/>
      <c r="AC672" s="140"/>
      <c r="AD672" s="140"/>
    </row>
    <row r="673" spans="1:30" ht="11.25" customHeight="1" x14ac:dyDescent="0.2">
      <c r="A673" s="140"/>
      <c r="B673" s="140"/>
      <c r="C673" s="140"/>
      <c r="D673" s="140"/>
      <c r="E673" s="140"/>
      <c r="F673" s="140"/>
      <c r="G673" s="140"/>
      <c r="H673" s="140"/>
      <c r="I673" s="140"/>
      <c r="J673" s="140"/>
      <c r="K673" s="140"/>
      <c r="L673" s="140"/>
      <c r="M673" s="140"/>
      <c r="N673" s="140"/>
      <c r="O673" s="140"/>
      <c r="P673" s="140"/>
      <c r="Q673" s="140"/>
      <c r="R673" s="140"/>
      <c r="S673" s="140"/>
      <c r="T673" s="140"/>
      <c r="U673" s="140"/>
      <c r="V673" s="140"/>
      <c r="W673" s="140"/>
      <c r="X673" s="140"/>
      <c r="Y673" s="140"/>
      <c r="Z673" s="140"/>
      <c r="AA673" s="140"/>
      <c r="AB673" s="140"/>
      <c r="AC673" s="140"/>
      <c r="AD673" s="140"/>
    </row>
    <row r="674" spans="1:30" ht="11.25" customHeight="1" x14ac:dyDescent="0.2">
      <c r="A674" s="140"/>
      <c r="B674" s="140"/>
      <c r="C674" s="140"/>
      <c r="D674" s="140"/>
      <c r="E674" s="140"/>
      <c r="F674" s="140"/>
      <c r="G674" s="140"/>
      <c r="H674" s="140"/>
      <c r="I674" s="140"/>
      <c r="J674" s="140"/>
      <c r="K674" s="140"/>
      <c r="L674" s="140"/>
      <c r="M674" s="140"/>
      <c r="N674" s="140"/>
      <c r="O674" s="140"/>
      <c r="P674" s="140"/>
      <c r="Q674" s="140"/>
      <c r="R674" s="140"/>
      <c r="S674" s="140"/>
      <c r="T674" s="140"/>
      <c r="U674" s="140"/>
      <c r="V674" s="140"/>
      <c r="W674" s="140"/>
      <c r="X674" s="140"/>
      <c r="Y674" s="140"/>
      <c r="Z674" s="140"/>
      <c r="AA674" s="140"/>
      <c r="AB674" s="140"/>
      <c r="AC674" s="140"/>
      <c r="AD674" s="140"/>
    </row>
    <row r="675" spans="1:30" ht="11.25" customHeight="1" x14ac:dyDescent="0.2">
      <c r="A675" s="140"/>
      <c r="B675" s="140"/>
      <c r="C675" s="140"/>
      <c r="D675" s="140"/>
      <c r="E675" s="140"/>
      <c r="F675" s="140"/>
      <c r="G675" s="140"/>
      <c r="H675" s="140"/>
      <c r="I675" s="140"/>
      <c r="J675" s="140"/>
      <c r="K675" s="140"/>
      <c r="L675" s="140"/>
      <c r="M675" s="140"/>
      <c r="N675" s="140"/>
      <c r="O675" s="140"/>
      <c r="P675" s="140"/>
      <c r="Q675" s="140"/>
      <c r="R675" s="140"/>
      <c r="S675" s="140"/>
      <c r="T675" s="140"/>
      <c r="U675" s="140"/>
      <c r="V675" s="140"/>
      <c r="W675" s="140"/>
      <c r="X675" s="140"/>
      <c r="Y675" s="140"/>
      <c r="Z675" s="140"/>
      <c r="AA675" s="140"/>
      <c r="AB675" s="140"/>
      <c r="AC675" s="140"/>
      <c r="AD675" s="140"/>
    </row>
    <row r="676" spans="1:30" ht="11.25" customHeight="1" x14ac:dyDescent="0.2">
      <c r="A676" s="140"/>
      <c r="B676" s="140"/>
      <c r="C676" s="140"/>
      <c r="D676" s="140"/>
      <c r="E676" s="140"/>
      <c r="F676" s="140"/>
      <c r="G676" s="140"/>
      <c r="H676" s="140"/>
      <c r="I676" s="140"/>
      <c r="J676" s="140"/>
      <c r="K676" s="140"/>
      <c r="L676" s="140"/>
      <c r="M676" s="140"/>
      <c r="N676" s="140"/>
      <c r="O676" s="140"/>
      <c r="P676" s="140"/>
      <c r="Q676" s="140"/>
      <c r="R676" s="140"/>
      <c r="S676" s="140"/>
      <c r="T676" s="140"/>
      <c r="U676" s="140"/>
      <c r="V676" s="140"/>
      <c r="W676" s="140"/>
      <c r="X676" s="140"/>
      <c r="Y676" s="140"/>
      <c r="Z676" s="140"/>
      <c r="AA676" s="140"/>
      <c r="AB676" s="140"/>
      <c r="AC676" s="140"/>
      <c r="AD676" s="140"/>
    </row>
    <row r="677" spans="1:30" ht="11.25" customHeight="1" x14ac:dyDescent="0.2">
      <c r="A677" s="140"/>
      <c r="B677" s="140"/>
      <c r="C677" s="140"/>
      <c r="D677" s="140"/>
      <c r="E677" s="140"/>
      <c r="F677" s="140"/>
      <c r="G677" s="140"/>
      <c r="H677" s="140"/>
      <c r="I677" s="140"/>
      <c r="J677" s="140"/>
      <c r="K677" s="140"/>
      <c r="L677" s="140"/>
      <c r="M677" s="140"/>
      <c r="N677" s="140"/>
      <c r="O677" s="140"/>
      <c r="P677" s="140"/>
      <c r="Q677" s="140"/>
      <c r="R677" s="140"/>
      <c r="S677" s="140"/>
      <c r="T677" s="140"/>
      <c r="U677" s="140"/>
      <c r="V677" s="140"/>
      <c r="W677" s="140"/>
      <c r="X677" s="140"/>
      <c r="Y677" s="140"/>
      <c r="Z677" s="140"/>
      <c r="AA677" s="140"/>
      <c r="AB677" s="140"/>
      <c r="AC677" s="140"/>
      <c r="AD677" s="140"/>
    </row>
    <row r="678" spans="1:30" ht="11.25" customHeight="1" x14ac:dyDescent="0.2">
      <c r="A678" s="140"/>
      <c r="B678" s="140"/>
      <c r="C678" s="140"/>
      <c r="D678" s="140"/>
      <c r="E678" s="140"/>
      <c r="F678" s="140"/>
      <c r="G678" s="140"/>
      <c r="H678" s="140"/>
      <c r="I678" s="140"/>
      <c r="J678" s="140"/>
      <c r="K678" s="140"/>
      <c r="L678" s="140"/>
      <c r="M678" s="140"/>
      <c r="N678" s="140"/>
      <c r="O678" s="140"/>
      <c r="P678" s="140"/>
      <c r="Q678" s="140"/>
      <c r="R678" s="140"/>
      <c r="S678" s="140"/>
      <c r="T678" s="140"/>
      <c r="U678" s="140"/>
      <c r="V678" s="140"/>
      <c r="W678" s="140"/>
      <c r="X678" s="140"/>
      <c r="Y678" s="140"/>
      <c r="Z678" s="140"/>
      <c r="AA678" s="140"/>
      <c r="AB678" s="140"/>
      <c r="AC678" s="140"/>
      <c r="AD678" s="140"/>
    </row>
    <row r="679" spans="1:30" ht="11.25" customHeight="1" x14ac:dyDescent="0.2">
      <c r="A679" s="140"/>
      <c r="B679" s="140"/>
      <c r="C679" s="140"/>
      <c r="D679" s="140"/>
      <c r="E679" s="140"/>
      <c r="F679" s="140"/>
      <c r="G679" s="140"/>
      <c r="H679" s="140"/>
      <c r="I679" s="140"/>
      <c r="J679" s="140"/>
      <c r="K679" s="140"/>
      <c r="L679" s="140"/>
      <c r="M679" s="140"/>
      <c r="N679" s="140"/>
      <c r="O679" s="140"/>
      <c r="P679" s="140"/>
      <c r="Q679" s="140"/>
      <c r="R679" s="140"/>
      <c r="S679" s="140"/>
      <c r="T679" s="140"/>
      <c r="U679" s="140"/>
      <c r="V679" s="140"/>
      <c r="W679" s="140"/>
      <c r="X679" s="140"/>
      <c r="Y679" s="140"/>
      <c r="Z679" s="140"/>
      <c r="AA679" s="140"/>
      <c r="AB679" s="140"/>
      <c r="AC679" s="140"/>
      <c r="AD679" s="140"/>
    </row>
    <row r="680" spans="1:30" ht="11.25" customHeight="1" x14ac:dyDescent="0.2">
      <c r="A680" s="140"/>
      <c r="B680" s="140"/>
      <c r="C680" s="140"/>
      <c r="D680" s="140"/>
      <c r="E680" s="140"/>
      <c r="F680" s="140"/>
      <c r="G680" s="140"/>
      <c r="H680" s="140"/>
      <c r="I680" s="140"/>
      <c r="J680" s="140"/>
      <c r="K680" s="140"/>
      <c r="L680" s="140"/>
      <c r="M680" s="140"/>
      <c r="N680" s="140"/>
      <c r="O680" s="140"/>
      <c r="P680" s="140"/>
      <c r="Q680" s="140"/>
      <c r="R680" s="140"/>
      <c r="S680" s="140"/>
      <c r="T680" s="140"/>
      <c r="U680" s="140"/>
      <c r="V680" s="140"/>
      <c r="W680" s="140"/>
      <c r="X680" s="140"/>
      <c r="Y680" s="140"/>
      <c r="Z680" s="140"/>
      <c r="AA680" s="140"/>
      <c r="AB680" s="140"/>
      <c r="AC680" s="140"/>
      <c r="AD680" s="140"/>
    </row>
    <row r="681" spans="1:30" ht="11.25" customHeight="1" x14ac:dyDescent="0.2">
      <c r="A681" s="140"/>
      <c r="B681" s="140"/>
      <c r="C681" s="140"/>
      <c r="D681" s="140"/>
      <c r="E681" s="140"/>
      <c r="F681" s="140"/>
      <c r="G681" s="140"/>
      <c r="H681" s="140"/>
      <c r="I681" s="140"/>
      <c r="J681" s="140"/>
      <c r="K681" s="140"/>
      <c r="L681" s="140"/>
      <c r="M681" s="140"/>
      <c r="N681" s="140"/>
      <c r="O681" s="140"/>
      <c r="P681" s="140"/>
      <c r="Q681" s="140"/>
      <c r="R681" s="140"/>
      <c r="S681" s="140"/>
      <c r="T681" s="140"/>
      <c r="U681" s="140"/>
      <c r="V681" s="140"/>
      <c r="W681" s="140"/>
      <c r="X681" s="140"/>
      <c r="Y681" s="140"/>
      <c r="Z681" s="140"/>
      <c r="AA681" s="140"/>
      <c r="AB681" s="140"/>
      <c r="AC681" s="140"/>
      <c r="AD681" s="140"/>
    </row>
    <row r="682" spans="1:30" ht="11.25" customHeight="1" x14ac:dyDescent="0.2">
      <c r="A682" s="140"/>
      <c r="B682" s="140"/>
      <c r="C682" s="140"/>
      <c r="D682" s="140"/>
      <c r="E682" s="140"/>
      <c r="F682" s="140"/>
      <c r="G682" s="140"/>
      <c r="H682" s="140"/>
      <c r="I682" s="140"/>
      <c r="J682" s="140"/>
      <c r="K682" s="140"/>
      <c r="L682" s="140"/>
      <c r="M682" s="140"/>
      <c r="N682" s="140"/>
      <c r="O682" s="140"/>
      <c r="P682" s="140"/>
      <c r="Q682" s="140"/>
      <c r="R682" s="140"/>
      <c r="S682" s="140"/>
      <c r="T682" s="140"/>
      <c r="U682" s="140"/>
      <c r="V682" s="140"/>
      <c r="W682" s="140"/>
      <c r="X682" s="140"/>
      <c r="Y682" s="140"/>
      <c r="Z682" s="140"/>
      <c r="AA682" s="140"/>
      <c r="AB682" s="140"/>
      <c r="AC682" s="140"/>
      <c r="AD682" s="140"/>
    </row>
    <row r="683" spans="1:30" ht="11.25" customHeight="1" x14ac:dyDescent="0.2">
      <c r="A683" s="140"/>
      <c r="B683" s="140"/>
      <c r="C683" s="140"/>
      <c r="D683" s="140"/>
      <c r="E683" s="140"/>
      <c r="F683" s="140"/>
      <c r="G683" s="140"/>
      <c r="H683" s="140"/>
      <c r="I683" s="140"/>
      <c r="J683" s="140"/>
      <c r="K683" s="140"/>
      <c r="L683" s="140"/>
      <c r="M683" s="140"/>
      <c r="N683" s="140"/>
      <c r="O683" s="140"/>
      <c r="P683" s="140"/>
      <c r="Q683" s="140"/>
      <c r="R683" s="140"/>
      <c r="S683" s="140"/>
      <c r="T683" s="140"/>
      <c r="U683" s="140"/>
      <c r="V683" s="140"/>
      <c r="W683" s="140"/>
      <c r="X683" s="140"/>
      <c r="Y683" s="140"/>
      <c r="Z683" s="140"/>
      <c r="AA683" s="140"/>
      <c r="AB683" s="140"/>
      <c r="AC683" s="140"/>
      <c r="AD683" s="140"/>
    </row>
    <row r="684" spans="1:30" ht="11.25" customHeight="1" x14ac:dyDescent="0.2">
      <c r="A684" s="140"/>
      <c r="B684" s="140"/>
      <c r="C684" s="140"/>
      <c r="D684" s="140"/>
      <c r="E684" s="140"/>
      <c r="F684" s="140"/>
      <c r="G684" s="140"/>
      <c r="H684" s="140"/>
      <c r="I684" s="140"/>
      <c r="J684" s="140"/>
      <c r="K684" s="140"/>
      <c r="L684" s="140"/>
      <c r="M684" s="140"/>
      <c r="N684" s="140"/>
      <c r="O684" s="140"/>
      <c r="P684" s="140"/>
      <c r="Q684" s="140"/>
      <c r="R684" s="140"/>
      <c r="S684" s="140"/>
      <c r="T684" s="140"/>
      <c r="U684" s="140"/>
      <c r="V684" s="140"/>
      <c r="W684" s="140"/>
      <c r="X684" s="140"/>
      <c r="Y684" s="140"/>
      <c r="Z684" s="140"/>
      <c r="AA684" s="140"/>
      <c r="AB684" s="140"/>
      <c r="AC684" s="140"/>
      <c r="AD684" s="140"/>
    </row>
    <row r="685" spans="1:30" ht="11.25" customHeight="1" x14ac:dyDescent="0.2">
      <c r="A685" s="140"/>
      <c r="B685" s="140"/>
      <c r="C685" s="140"/>
      <c r="D685" s="140"/>
      <c r="E685" s="140"/>
      <c r="F685" s="140"/>
      <c r="G685" s="140"/>
      <c r="H685" s="140"/>
      <c r="I685" s="140"/>
      <c r="J685" s="140"/>
      <c r="K685" s="140"/>
      <c r="L685" s="140"/>
      <c r="M685" s="140"/>
      <c r="N685" s="140"/>
      <c r="O685" s="140"/>
      <c r="P685" s="140"/>
      <c r="Q685" s="140"/>
      <c r="R685" s="140"/>
      <c r="S685" s="140"/>
      <c r="T685" s="140"/>
      <c r="U685" s="140"/>
      <c r="V685" s="140"/>
      <c r="W685" s="140"/>
      <c r="X685" s="140"/>
      <c r="Y685" s="140"/>
      <c r="Z685" s="140"/>
      <c r="AA685" s="140"/>
      <c r="AB685" s="140"/>
      <c r="AC685" s="140"/>
      <c r="AD685" s="140"/>
    </row>
    <row r="686" spans="1:30" ht="11.25" customHeight="1" x14ac:dyDescent="0.2">
      <c r="A686" s="140"/>
      <c r="B686" s="140"/>
      <c r="C686" s="140"/>
      <c r="D686" s="140"/>
      <c r="E686" s="140"/>
      <c r="F686" s="140"/>
      <c r="G686" s="140"/>
      <c r="H686" s="140"/>
      <c r="I686" s="140"/>
      <c r="J686" s="140"/>
      <c r="K686" s="140"/>
      <c r="L686" s="140"/>
      <c r="M686" s="140"/>
      <c r="N686" s="140"/>
      <c r="O686" s="140"/>
      <c r="P686" s="140"/>
      <c r="Q686" s="140"/>
      <c r="R686" s="140"/>
      <c r="S686" s="140"/>
      <c r="T686" s="140"/>
      <c r="U686" s="140"/>
      <c r="V686" s="140"/>
      <c r="W686" s="140"/>
      <c r="X686" s="140"/>
      <c r="Y686" s="140"/>
      <c r="Z686" s="140"/>
      <c r="AA686" s="140"/>
      <c r="AB686" s="140"/>
      <c r="AC686" s="140"/>
      <c r="AD686" s="140"/>
    </row>
    <row r="687" spans="1:30" ht="11.25" customHeight="1" x14ac:dyDescent="0.2">
      <c r="A687" s="140"/>
      <c r="B687" s="140"/>
      <c r="C687" s="140"/>
      <c r="D687" s="140"/>
      <c r="E687" s="140"/>
      <c r="F687" s="140"/>
      <c r="G687" s="140"/>
      <c r="H687" s="140"/>
      <c r="I687" s="140"/>
      <c r="J687" s="140"/>
      <c r="K687" s="140"/>
      <c r="L687" s="140"/>
      <c r="M687" s="140"/>
      <c r="N687" s="140"/>
      <c r="O687" s="140"/>
      <c r="P687" s="140"/>
      <c r="Q687" s="140"/>
      <c r="R687" s="140"/>
      <c r="S687" s="140"/>
      <c r="T687" s="140"/>
      <c r="U687" s="140"/>
      <c r="V687" s="140"/>
      <c r="W687" s="140"/>
      <c r="X687" s="140"/>
      <c r="Y687" s="140"/>
      <c r="Z687" s="140"/>
      <c r="AA687" s="140"/>
      <c r="AB687" s="140"/>
      <c r="AC687" s="140"/>
      <c r="AD687" s="140"/>
    </row>
    <row r="688" spans="1:30" ht="11.25" customHeight="1" x14ac:dyDescent="0.2">
      <c r="A688" s="140"/>
      <c r="B688" s="140"/>
      <c r="C688" s="140"/>
      <c r="D688" s="140"/>
      <c r="E688" s="140"/>
      <c r="F688" s="140"/>
      <c r="G688" s="140"/>
      <c r="H688" s="140"/>
      <c r="I688" s="140"/>
      <c r="J688" s="140"/>
      <c r="K688" s="140"/>
      <c r="L688" s="140"/>
      <c r="M688" s="140"/>
      <c r="N688" s="140"/>
      <c r="O688" s="140"/>
      <c r="P688" s="140"/>
      <c r="Q688" s="140"/>
      <c r="R688" s="140"/>
      <c r="S688" s="140"/>
      <c r="T688" s="140"/>
      <c r="U688" s="140"/>
      <c r="V688" s="140"/>
      <c r="W688" s="140"/>
      <c r="X688" s="140"/>
      <c r="Y688" s="140"/>
      <c r="Z688" s="140"/>
      <c r="AA688" s="140"/>
      <c r="AB688" s="140"/>
      <c r="AC688" s="140"/>
      <c r="AD688" s="140"/>
    </row>
    <row r="689" spans="1:30" ht="11.25" customHeight="1" x14ac:dyDescent="0.2">
      <c r="A689" s="140"/>
      <c r="B689" s="140"/>
      <c r="C689" s="140"/>
      <c r="D689" s="140"/>
      <c r="E689" s="140"/>
      <c r="F689" s="140"/>
      <c r="G689" s="140"/>
      <c r="H689" s="140"/>
      <c r="I689" s="140"/>
      <c r="J689" s="140"/>
      <c r="K689" s="140"/>
      <c r="L689" s="140"/>
      <c r="M689" s="140"/>
      <c r="N689" s="140"/>
      <c r="O689" s="140"/>
      <c r="P689" s="140"/>
      <c r="Q689" s="140"/>
      <c r="R689" s="140"/>
      <c r="S689" s="140"/>
      <c r="T689" s="140"/>
      <c r="U689" s="140"/>
      <c r="V689" s="140"/>
      <c r="W689" s="140"/>
      <c r="X689" s="140"/>
      <c r="Y689" s="140"/>
      <c r="Z689" s="140"/>
      <c r="AA689" s="140"/>
      <c r="AB689" s="140"/>
      <c r="AC689" s="140"/>
      <c r="AD689" s="140"/>
    </row>
    <row r="690" spans="1:30" ht="11.25" customHeight="1" x14ac:dyDescent="0.2">
      <c r="A690" s="140"/>
      <c r="B690" s="140"/>
      <c r="C690" s="140"/>
      <c r="D690" s="140"/>
      <c r="E690" s="140"/>
      <c r="F690" s="140"/>
      <c r="G690" s="140"/>
      <c r="H690" s="140"/>
      <c r="I690" s="140"/>
      <c r="J690" s="140"/>
      <c r="K690" s="140"/>
      <c r="L690" s="140"/>
      <c r="M690" s="140"/>
      <c r="N690" s="140"/>
      <c r="O690" s="140"/>
      <c r="P690" s="140"/>
      <c r="Q690" s="140"/>
      <c r="R690" s="140"/>
      <c r="S690" s="140"/>
      <c r="T690" s="140"/>
      <c r="U690" s="140"/>
      <c r="V690" s="140"/>
      <c r="W690" s="140"/>
      <c r="X690" s="140"/>
      <c r="Y690" s="140"/>
      <c r="Z690" s="140"/>
      <c r="AA690" s="140"/>
      <c r="AB690" s="140"/>
      <c r="AC690" s="140"/>
      <c r="AD690" s="140"/>
    </row>
    <row r="691" spans="1:30" ht="11.25" customHeight="1" x14ac:dyDescent="0.2">
      <c r="A691" s="140"/>
      <c r="B691" s="140"/>
      <c r="C691" s="140"/>
      <c r="D691" s="140"/>
      <c r="E691" s="140"/>
      <c r="F691" s="140"/>
      <c r="G691" s="140"/>
      <c r="H691" s="140"/>
      <c r="I691" s="140"/>
      <c r="J691" s="140"/>
      <c r="K691" s="140"/>
      <c r="L691" s="140"/>
      <c r="M691" s="140"/>
      <c r="N691" s="140"/>
      <c r="O691" s="140"/>
      <c r="P691" s="140"/>
      <c r="Q691" s="140"/>
      <c r="R691" s="140"/>
      <c r="S691" s="140"/>
      <c r="T691" s="140"/>
      <c r="U691" s="140"/>
      <c r="V691" s="140"/>
      <c r="W691" s="140"/>
      <c r="X691" s="140"/>
      <c r="Y691" s="140"/>
      <c r="Z691" s="140"/>
      <c r="AA691" s="140"/>
      <c r="AB691" s="140"/>
      <c r="AC691" s="140"/>
      <c r="AD691" s="140"/>
    </row>
    <row r="692" spans="1:30" ht="11.25" customHeight="1" x14ac:dyDescent="0.2">
      <c r="A692" s="140"/>
      <c r="B692" s="140"/>
      <c r="C692" s="140"/>
      <c r="D692" s="140"/>
      <c r="E692" s="140"/>
      <c r="F692" s="140"/>
      <c r="G692" s="140"/>
      <c r="H692" s="140"/>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row>
    <row r="693" spans="1:30" ht="11.25" customHeight="1" x14ac:dyDescent="0.2">
      <c r="A693" s="140"/>
      <c r="B693" s="140"/>
      <c r="C693" s="140"/>
      <c r="D693" s="140"/>
      <c r="E693" s="140"/>
      <c r="F693" s="140"/>
      <c r="G693" s="140"/>
      <c r="H693" s="140"/>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row>
    <row r="694" spans="1:30" ht="11.25" customHeight="1" x14ac:dyDescent="0.2">
      <c r="A694" s="140"/>
      <c r="B694" s="140"/>
      <c r="C694" s="140"/>
      <c r="D694" s="140"/>
      <c r="E694" s="140"/>
      <c r="F694" s="140"/>
      <c r="G694" s="140"/>
      <c r="H694" s="140"/>
      <c r="I694" s="140"/>
      <c r="J694" s="140"/>
      <c r="K694" s="140"/>
      <c r="L694" s="140"/>
      <c r="M694" s="140"/>
      <c r="N694" s="140"/>
      <c r="O694" s="140"/>
      <c r="P694" s="140"/>
      <c r="Q694" s="140"/>
      <c r="R694" s="140"/>
      <c r="S694" s="140"/>
      <c r="T694" s="140"/>
      <c r="U694" s="140"/>
      <c r="V694" s="140"/>
      <c r="W694" s="140"/>
      <c r="X694" s="140"/>
      <c r="Y694" s="140"/>
      <c r="Z694" s="140"/>
      <c r="AA694" s="140"/>
      <c r="AB694" s="140"/>
      <c r="AC694" s="140"/>
      <c r="AD694" s="140"/>
    </row>
    <row r="695" spans="1:30" ht="11.25" customHeight="1" x14ac:dyDescent="0.2">
      <c r="A695" s="140"/>
      <c r="B695" s="140"/>
      <c r="C695" s="140"/>
      <c r="D695" s="140"/>
      <c r="E695" s="140"/>
      <c r="F695" s="140"/>
      <c r="G695" s="140"/>
      <c r="H695" s="140"/>
      <c r="I695" s="140"/>
      <c r="J695" s="140"/>
      <c r="K695" s="140"/>
      <c r="L695" s="140"/>
      <c r="M695" s="140"/>
      <c r="N695" s="140"/>
      <c r="O695" s="140"/>
      <c r="P695" s="140"/>
      <c r="Q695" s="140"/>
      <c r="R695" s="140"/>
      <c r="S695" s="140"/>
      <c r="T695" s="140"/>
      <c r="U695" s="140"/>
      <c r="V695" s="140"/>
      <c r="W695" s="140"/>
      <c r="X695" s="140"/>
      <c r="Y695" s="140"/>
      <c r="Z695" s="140"/>
      <c r="AA695" s="140"/>
      <c r="AB695" s="140"/>
      <c r="AC695" s="140"/>
      <c r="AD695" s="140"/>
    </row>
    <row r="696" spans="1:30" ht="11.25" customHeight="1" x14ac:dyDescent="0.2">
      <c r="A696" s="140"/>
      <c r="B696" s="140"/>
      <c r="C696" s="140"/>
      <c r="D696" s="140"/>
      <c r="E696" s="140"/>
      <c r="F696" s="140"/>
      <c r="G696" s="140"/>
      <c r="H696" s="140"/>
      <c r="I696" s="140"/>
      <c r="J696" s="140"/>
      <c r="K696" s="140"/>
      <c r="L696" s="140"/>
      <c r="M696" s="140"/>
      <c r="N696" s="140"/>
      <c r="O696" s="140"/>
      <c r="P696" s="140"/>
      <c r="Q696" s="140"/>
      <c r="R696" s="140"/>
      <c r="S696" s="140"/>
      <c r="T696" s="140"/>
      <c r="U696" s="140"/>
      <c r="V696" s="140"/>
      <c r="W696" s="140"/>
      <c r="X696" s="140"/>
      <c r="Y696" s="140"/>
      <c r="Z696" s="140"/>
      <c r="AA696" s="140"/>
      <c r="AB696" s="140"/>
      <c r="AC696" s="140"/>
      <c r="AD696" s="140"/>
    </row>
    <row r="697" spans="1:30" ht="11.25" customHeight="1" x14ac:dyDescent="0.2">
      <c r="A697" s="140"/>
      <c r="B697" s="140"/>
      <c r="C697" s="140"/>
      <c r="D697" s="140"/>
      <c r="E697" s="140"/>
      <c r="F697" s="140"/>
      <c r="G697" s="140"/>
      <c r="H697" s="140"/>
      <c r="I697" s="140"/>
      <c r="J697" s="140"/>
      <c r="K697" s="140"/>
      <c r="L697" s="140"/>
      <c r="M697" s="140"/>
      <c r="N697" s="140"/>
      <c r="O697" s="140"/>
      <c r="P697" s="140"/>
      <c r="Q697" s="140"/>
      <c r="R697" s="140"/>
      <c r="S697" s="140"/>
      <c r="T697" s="140"/>
      <c r="U697" s="140"/>
      <c r="V697" s="140"/>
      <c r="W697" s="140"/>
      <c r="X697" s="140"/>
      <c r="Y697" s="140"/>
      <c r="Z697" s="140"/>
      <c r="AA697" s="140"/>
      <c r="AB697" s="140"/>
      <c r="AC697" s="140"/>
      <c r="AD697" s="140"/>
    </row>
    <row r="698" spans="1:30" ht="11.25" customHeight="1" x14ac:dyDescent="0.2">
      <c r="A698" s="140"/>
      <c r="B698" s="140"/>
      <c r="C698" s="140"/>
      <c r="D698" s="140"/>
      <c r="E698" s="140"/>
      <c r="F698" s="140"/>
      <c r="G698" s="140"/>
      <c r="H698" s="140"/>
      <c r="I698" s="140"/>
      <c r="J698" s="140"/>
      <c r="K698" s="140"/>
      <c r="L698" s="140"/>
      <c r="M698" s="140"/>
      <c r="N698" s="140"/>
      <c r="O698" s="140"/>
      <c r="P698" s="140"/>
      <c r="Q698" s="140"/>
      <c r="R698" s="140"/>
      <c r="S698" s="140"/>
      <c r="T698" s="140"/>
      <c r="U698" s="140"/>
      <c r="V698" s="140"/>
      <c r="W698" s="140"/>
      <c r="X698" s="140"/>
      <c r="Y698" s="140"/>
      <c r="Z698" s="140"/>
      <c r="AA698" s="140"/>
      <c r="AB698" s="140"/>
      <c r="AC698" s="140"/>
      <c r="AD698" s="140"/>
    </row>
    <row r="699" spans="1:30" ht="11.25" customHeight="1" x14ac:dyDescent="0.2">
      <c r="A699" s="140"/>
      <c r="B699" s="140"/>
      <c r="C699" s="140"/>
      <c r="D699" s="140"/>
      <c r="E699" s="140"/>
      <c r="F699" s="140"/>
      <c r="G699" s="140"/>
      <c r="H699" s="140"/>
      <c r="I699" s="140"/>
      <c r="J699" s="140"/>
      <c r="K699" s="140"/>
      <c r="L699" s="140"/>
      <c r="M699" s="140"/>
      <c r="N699" s="140"/>
      <c r="O699" s="140"/>
      <c r="P699" s="140"/>
      <c r="Q699" s="140"/>
      <c r="R699" s="140"/>
      <c r="S699" s="140"/>
      <c r="T699" s="140"/>
      <c r="U699" s="140"/>
      <c r="V699" s="140"/>
      <c r="W699" s="140"/>
      <c r="X699" s="140"/>
      <c r="Y699" s="140"/>
      <c r="Z699" s="140"/>
      <c r="AA699" s="140"/>
      <c r="AB699" s="140"/>
      <c r="AC699" s="140"/>
      <c r="AD699" s="140"/>
    </row>
    <row r="700" spans="1:30" ht="11.25" customHeight="1" x14ac:dyDescent="0.2">
      <c r="A700" s="140"/>
      <c r="B700" s="140"/>
      <c r="C700" s="140"/>
      <c r="D700" s="140"/>
      <c r="E700" s="140"/>
      <c r="F700" s="140"/>
      <c r="G700" s="140"/>
      <c r="H700" s="140"/>
      <c r="I700" s="140"/>
      <c r="J700" s="140"/>
      <c r="K700" s="140"/>
      <c r="L700" s="140"/>
      <c r="M700" s="140"/>
      <c r="N700" s="140"/>
      <c r="O700" s="140"/>
      <c r="P700" s="140"/>
      <c r="Q700" s="140"/>
      <c r="R700" s="140"/>
      <c r="S700" s="140"/>
      <c r="T700" s="140"/>
      <c r="U700" s="140"/>
      <c r="V700" s="140"/>
      <c r="W700" s="140"/>
      <c r="X700" s="140"/>
      <c r="Y700" s="140"/>
      <c r="Z700" s="140"/>
      <c r="AA700" s="140"/>
      <c r="AB700" s="140"/>
      <c r="AC700" s="140"/>
      <c r="AD700" s="140"/>
    </row>
    <row r="701" spans="1:30" ht="11.25" customHeight="1" x14ac:dyDescent="0.2">
      <c r="A701" s="140"/>
      <c r="B701" s="140"/>
      <c r="C701" s="140"/>
      <c r="D701" s="140"/>
      <c r="E701" s="140"/>
      <c r="F701" s="140"/>
      <c r="G701" s="140"/>
      <c r="H701" s="140"/>
      <c r="I701" s="140"/>
      <c r="J701" s="140"/>
      <c r="K701" s="140"/>
      <c r="L701" s="140"/>
      <c r="M701" s="140"/>
      <c r="N701" s="140"/>
      <c r="O701" s="140"/>
      <c r="P701" s="140"/>
      <c r="Q701" s="140"/>
      <c r="R701" s="140"/>
      <c r="S701" s="140"/>
      <c r="T701" s="140"/>
      <c r="U701" s="140"/>
      <c r="V701" s="140"/>
      <c r="W701" s="140"/>
      <c r="X701" s="140"/>
      <c r="Y701" s="140"/>
      <c r="Z701" s="140"/>
      <c r="AA701" s="140"/>
      <c r="AB701" s="140"/>
      <c r="AC701" s="140"/>
      <c r="AD701" s="140"/>
    </row>
    <row r="702" spans="1:30" ht="11.25" customHeight="1" x14ac:dyDescent="0.2">
      <c r="A702" s="140"/>
      <c r="B702" s="140"/>
      <c r="C702" s="140"/>
      <c r="D702" s="140"/>
      <c r="E702" s="140"/>
      <c r="F702" s="140"/>
      <c r="G702" s="140"/>
      <c r="H702" s="140"/>
      <c r="I702" s="140"/>
      <c r="J702" s="140"/>
      <c r="K702" s="140"/>
      <c r="L702" s="140"/>
      <c r="M702" s="140"/>
      <c r="N702" s="140"/>
      <c r="O702" s="140"/>
      <c r="P702" s="140"/>
      <c r="Q702" s="140"/>
      <c r="R702" s="140"/>
      <c r="S702" s="140"/>
      <c r="T702" s="140"/>
      <c r="U702" s="140"/>
      <c r="V702" s="140"/>
      <c r="W702" s="140"/>
      <c r="X702" s="140"/>
      <c r="Y702" s="140"/>
      <c r="Z702" s="140"/>
      <c r="AA702" s="140"/>
      <c r="AB702" s="140"/>
      <c r="AC702" s="140"/>
      <c r="AD702" s="140"/>
    </row>
    <row r="703" spans="1:30" ht="11.25" customHeight="1" x14ac:dyDescent="0.2">
      <c r="A703" s="140"/>
      <c r="B703" s="140"/>
      <c r="C703" s="140"/>
      <c r="D703" s="140"/>
      <c r="E703" s="140"/>
      <c r="F703" s="140"/>
      <c r="G703" s="140"/>
      <c r="H703" s="140"/>
      <c r="I703" s="140"/>
      <c r="J703" s="140"/>
      <c r="K703" s="140"/>
      <c r="L703" s="140"/>
      <c r="M703" s="140"/>
      <c r="N703" s="140"/>
      <c r="O703" s="140"/>
      <c r="P703" s="140"/>
      <c r="Q703" s="140"/>
      <c r="R703" s="140"/>
      <c r="S703" s="140"/>
      <c r="T703" s="140"/>
      <c r="U703" s="140"/>
      <c r="V703" s="140"/>
      <c r="W703" s="140"/>
      <c r="X703" s="140"/>
      <c r="Y703" s="140"/>
      <c r="Z703" s="140"/>
      <c r="AA703" s="140"/>
      <c r="AB703" s="140"/>
      <c r="AC703" s="140"/>
      <c r="AD703" s="140"/>
    </row>
    <row r="704" spans="1:30" ht="11.25" customHeight="1" x14ac:dyDescent="0.2">
      <c r="A704" s="140"/>
      <c r="B704" s="140"/>
      <c r="C704" s="140"/>
      <c r="D704" s="140"/>
      <c r="E704" s="140"/>
      <c r="F704" s="140"/>
      <c r="G704" s="140"/>
      <c r="H704" s="140"/>
      <c r="I704" s="140"/>
      <c r="J704" s="140"/>
      <c r="K704" s="140"/>
      <c r="L704" s="140"/>
      <c r="M704" s="140"/>
      <c r="N704" s="140"/>
      <c r="O704" s="140"/>
      <c r="P704" s="140"/>
      <c r="Q704" s="140"/>
      <c r="R704" s="140"/>
      <c r="S704" s="140"/>
      <c r="T704" s="140"/>
      <c r="U704" s="140"/>
      <c r="V704" s="140"/>
      <c r="W704" s="140"/>
      <c r="X704" s="140"/>
      <c r="Y704" s="140"/>
      <c r="Z704" s="140"/>
      <c r="AA704" s="140"/>
      <c r="AB704" s="140"/>
      <c r="AC704" s="140"/>
      <c r="AD704" s="140"/>
    </row>
    <row r="705" spans="1:30" ht="11.25" customHeight="1" x14ac:dyDescent="0.2">
      <c r="A705" s="140"/>
      <c r="B705" s="140"/>
      <c r="C705" s="140"/>
      <c r="D705" s="140"/>
      <c r="E705" s="140"/>
      <c r="F705" s="140"/>
      <c r="G705" s="140"/>
      <c r="H705" s="140"/>
      <c r="I705" s="140"/>
      <c r="J705" s="140"/>
      <c r="K705" s="140"/>
      <c r="L705" s="140"/>
      <c r="M705" s="140"/>
      <c r="N705" s="140"/>
      <c r="O705" s="140"/>
      <c r="P705" s="140"/>
      <c r="Q705" s="140"/>
      <c r="R705" s="140"/>
      <c r="S705" s="140"/>
      <c r="T705" s="140"/>
      <c r="U705" s="140"/>
      <c r="V705" s="140"/>
      <c r="W705" s="140"/>
      <c r="X705" s="140"/>
      <c r="Y705" s="140"/>
      <c r="Z705" s="140"/>
      <c r="AA705" s="140"/>
      <c r="AB705" s="140"/>
      <c r="AC705" s="140"/>
      <c r="AD705" s="140"/>
    </row>
    <row r="706" spans="1:30" ht="11.25" customHeight="1" x14ac:dyDescent="0.2">
      <c r="A706" s="140"/>
      <c r="B706" s="140"/>
      <c r="C706" s="140"/>
      <c r="D706" s="140"/>
      <c r="E706" s="140"/>
      <c r="F706" s="140"/>
      <c r="G706" s="140"/>
      <c r="H706" s="140"/>
      <c r="I706" s="140"/>
      <c r="J706" s="140"/>
      <c r="K706" s="140"/>
      <c r="L706" s="140"/>
      <c r="M706" s="140"/>
      <c r="N706" s="140"/>
      <c r="O706" s="140"/>
      <c r="P706" s="140"/>
      <c r="Q706" s="140"/>
      <c r="R706" s="140"/>
      <c r="S706" s="140"/>
      <c r="T706" s="140"/>
      <c r="U706" s="140"/>
      <c r="V706" s="140"/>
      <c r="W706" s="140"/>
      <c r="X706" s="140"/>
      <c r="Y706" s="140"/>
      <c r="Z706" s="140"/>
      <c r="AA706" s="140"/>
      <c r="AB706" s="140"/>
      <c r="AC706" s="140"/>
      <c r="AD706" s="140"/>
    </row>
    <row r="707" spans="1:30" ht="11.25" customHeight="1" x14ac:dyDescent="0.2">
      <c r="A707" s="140"/>
      <c r="B707" s="140"/>
      <c r="C707" s="140"/>
      <c r="D707" s="140"/>
      <c r="E707" s="140"/>
      <c r="F707" s="140"/>
      <c r="G707" s="140"/>
      <c r="H707" s="140"/>
      <c r="I707" s="140"/>
      <c r="J707" s="140"/>
      <c r="K707" s="140"/>
      <c r="L707" s="140"/>
      <c r="M707" s="140"/>
      <c r="N707" s="140"/>
      <c r="O707" s="140"/>
      <c r="P707" s="140"/>
      <c r="Q707" s="140"/>
      <c r="R707" s="140"/>
      <c r="S707" s="140"/>
      <c r="T707" s="140"/>
      <c r="U707" s="140"/>
      <c r="V707" s="140"/>
      <c r="W707" s="140"/>
      <c r="X707" s="140"/>
      <c r="Y707" s="140"/>
      <c r="Z707" s="140"/>
      <c r="AA707" s="140"/>
      <c r="AB707" s="140"/>
      <c r="AC707" s="140"/>
      <c r="AD707" s="140"/>
    </row>
    <row r="708" spans="1:30" ht="11.25" customHeight="1" x14ac:dyDescent="0.2">
      <c r="A708" s="140"/>
      <c r="B708" s="140"/>
      <c r="C708" s="140"/>
      <c r="D708" s="140"/>
      <c r="E708" s="140"/>
      <c r="F708" s="140"/>
      <c r="G708" s="140"/>
      <c r="H708" s="140"/>
      <c r="I708" s="140"/>
      <c r="J708" s="140"/>
      <c r="K708" s="140"/>
      <c r="L708" s="140"/>
      <c r="M708" s="140"/>
      <c r="N708" s="140"/>
      <c r="O708" s="140"/>
      <c r="P708" s="140"/>
      <c r="Q708" s="140"/>
      <c r="R708" s="140"/>
      <c r="S708" s="140"/>
      <c r="T708" s="140"/>
      <c r="U708" s="140"/>
      <c r="V708" s="140"/>
      <c r="W708" s="140"/>
      <c r="X708" s="140"/>
      <c r="Y708" s="140"/>
      <c r="Z708" s="140"/>
      <c r="AA708" s="140"/>
      <c r="AB708" s="140"/>
      <c r="AC708" s="140"/>
      <c r="AD708" s="140"/>
    </row>
    <row r="709" spans="1:30" ht="11.25" customHeight="1" x14ac:dyDescent="0.2">
      <c r="A709" s="140"/>
      <c r="B709" s="140"/>
      <c r="C709" s="140"/>
      <c r="D709" s="140"/>
      <c r="E709" s="140"/>
      <c r="F709" s="140"/>
      <c r="G709" s="140"/>
      <c r="H709" s="140"/>
      <c r="I709" s="140"/>
      <c r="J709" s="140"/>
      <c r="K709" s="140"/>
      <c r="L709" s="140"/>
      <c r="M709" s="140"/>
      <c r="N709" s="140"/>
      <c r="O709" s="140"/>
      <c r="P709" s="140"/>
      <c r="Q709" s="140"/>
      <c r="R709" s="140"/>
      <c r="S709" s="140"/>
      <c r="T709" s="140"/>
      <c r="U709" s="140"/>
      <c r="V709" s="140"/>
      <c r="W709" s="140"/>
      <c r="X709" s="140"/>
      <c r="Y709" s="140"/>
      <c r="Z709" s="140"/>
      <c r="AA709" s="140"/>
      <c r="AB709" s="140"/>
      <c r="AC709" s="140"/>
      <c r="AD709" s="140"/>
    </row>
    <row r="710" spans="1:30" ht="11.25" customHeight="1" x14ac:dyDescent="0.2">
      <c r="A710" s="140"/>
      <c r="B710" s="140"/>
      <c r="C710" s="140"/>
      <c r="D710" s="140"/>
      <c r="E710" s="140"/>
      <c r="F710" s="140"/>
      <c r="G710" s="140"/>
      <c r="H710" s="140"/>
      <c r="I710" s="140"/>
      <c r="J710" s="140"/>
      <c r="K710" s="140"/>
      <c r="L710" s="140"/>
      <c r="M710" s="140"/>
      <c r="N710" s="140"/>
      <c r="O710" s="140"/>
      <c r="P710" s="140"/>
      <c r="Q710" s="140"/>
      <c r="R710" s="140"/>
      <c r="S710" s="140"/>
      <c r="T710" s="140"/>
      <c r="U710" s="140"/>
      <c r="V710" s="140"/>
      <c r="W710" s="140"/>
      <c r="X710" s="140"/>
      <c r="Y710" s="140"/>
      <c r="Z710" s="140"/>
      <c r="AA710" s="140"/>
      <c r="AB710" s="140"/>
      <c r="AC710" s="140"/>
      <c r="AD710" s="140"/>
    </row>
    <row r="711" spans="1:30" ht="11.25" customHeight="1" x14ac:dyDescent="0.2">
      <c r="A711" s="140"/>
      <c r="B711" s="140"/>
      <c r="C711" s="140"/>
      <c r="D711" s="140"/>
      <c r="E711" s="140"/>
      <c r="F711" s="140"/>
      <c r="G711" s="140"/>
      <c r="H711" s="140"/>
      <c r="I711" s="140"/>
      <c r="J711" s="140"/>
      <c r="K711" s="140"/>
      <c r="L711" s="140"/>
      <c r="M711" s="140"/>
      <c r="N711" s="140"/>
      <c r="O711" s="140"/>
      <c r="P711" s="140"/>
      <c r="Q711" s="140"/>
      <c r="R711" s="140"/>
      <c r="S711" s="140"/>
      <c r="T711" s="140"/>
      <c r="U711" s="140"/>
      <c r="V711" s="140"/>
      <c r="W711" s="140"/>
      <c r="X711" s="140"/>
      <c r="Y711" s="140"/>
      <c r="Z711" s="140"/>
      <c r="AA711" s="140"/>
      <c r="AB711" s="140"/>
      <c r="AC711" s="140"/>
      <c r="AD711" s="140"/>
    </row>
    <row r="712" spans="1:30" ht="11.25" customHeight="1" x14ac:dyDescent="0.2">
      <c r="A712" s="140"/>
      <c r="B712" s="140"/>
      <c r="C712" s="140"/>
      <c r="D712" s="140"/>
      <c r="E712" s="140"/>
      <c r="F712" s="140"/>
      <c r="G712" s="140"/>
      <c r="H712" s="140"/>
      <c r="I712" s="140"/>
      <c r="J712" s="140"/>
      <c r="K712" s="140"/>
      <c r="L712" s="140"/>
      <c r="M712" s="140"/>
      <c r="N712" s="140"/>
      <c r="O712" s="140"/>
      <c r="P712" s="140"/>
      <c r="Q712" s="140"/>
      <c r="R712" s="140"/>
      <c r="S712" s="140"/>
      <c r="T712" s="140"/>
      <c r="U712" s="140"/>
      <c r="V712" s="140"/>
      <c r="W712" s="140"/>
      <c r="X712" s="140"/>
      <c r="Y712" s="140"/>
      <c r="Z712" s="140"/>
      <c r="AA712" s="140"/>
      <c r="AB712" s="140"/>
      <c r="AC712" s="140"/>
      <c r="AD712" s="140"/>
    </row>
    <row r="713" spans="1:30" ht="11.25" customHeight="1" x14ac:dyDescent="0.2">
      <c r="A713" s="140"/>
      <c r="B713" s="140"/>
      <c r="C713" s="140"/>
      <c r="D713" s="140"/>
      <c r="E713" s="140"/>
      <c r="F713" s="140"/>
      <c r="G713" s="140"/>
      <c r="H713" s="140"/>
      <c r="I713" s="140"/>
      <c r="J713" s="140"/>
      <c r="K713" s="140"/>
      <c r="L713" s="140"/>
      <c r="M713" s="140"/>
      <c r="N713" s="140"/>
      <c r="O713" s="140"/>
      <c r="P713" s="140"/>
      <c r="Q713" s="140"/>
      <c r="R713" s="140"/>
      <c r="S713" s="140"/>
      <c r="T713" s="140"/>
      <c r="U713" s="140"/>
      <c r="V713" s="140"/>
      <c r="W713" s="140"/>
      <c r="X713" s="140"/>
      <c r="Y713" s="140"/>
      <c r="Z713" s="140"/>
      <c r="AA713" s="140"/>
      <c r="AB713" s="140"/>
      <c r="AC713" s="140"/>
      <c r="AD713" s="140"/>
    </row>
    <row r="714" spans="1:30" ht="11.25" customHeight="1" x14ac:dyDescent="0.2">
      <c r="A714" s="140"/>
      <c r="B714" s="140"/>
      <c r="C714" s="140"/>
      <c r="D714" s="140"/>
      <c r="E714" s="140"/>
      <c r="F714" s="140"/>
      <c r="G714" s="140"/>
      <c r="H714" s="140"/>
      <c r="I714" s="140"/>
      <c r="J714" s="140"/>
      <c r="K714" s="140"/>
      <c r="L714" s="140"/>
      <c r="M714" s="140"/>
      <c r="N714" s="140"/>
      <c r="O714" s="140"/>
      <c r="P714" s="140"/>
      <c r="Q714" s="140"/>
      <c r="R714" s="140"/>
      <c r="S714" s="140"/>
      <c r="T714" s="140"/>
      <c r="U714" s="140"/>
      <c r="V714" s="140"/>
      <c r="W714" s="140"/>
      <c r="X714" s="140"/>
      <c r="Y714" s="140"/>
      <c r="Z714" s="140"/>
      <c r="AA714" s="140"/>
      <c r="AB714" s="140"/>
      <c r="AC714" s="140"/>
      <c r="AD714" s="140"/>
    </row>
    <row r="715" spans="1:30" ht="11.25" customHeight="1" x14ac:dyDescent="0.2">
      <c r="A715" s="140"/>
      <c r="B715" s="140"/>
      <c r="C715" s="140"/>
      <c r="D715" s="140"/>
      <c r="E715" s="140"/>
      <c r="F715" s="140"/>
      <c r="G715" s="140"/>
      <c r="H715" s="140"/>
      <c r="I715" s="140"/>
      <c r="J715" s="140"/>
      <c r="K715" s="140"/>
      <c r="L715" s="140"/>
      <c r="M715" s="140"/>
      <c r="N715" s="140"/>
      <c r="O715" s="140"/>
      <c r="P715" s="140"/>
      <c r="Q715" s="140"/>
      <c r="R715" s="140"/>
      <c r="S715" s="140"/>
      <c r="T715" s="140"/>
      <c r="U715" s="140"/>
      <c r="V715" s="140"/>
      <c r="W715" s="140"/>
      <c r="X715" s="140"/>
      <c r="Y715" s="140"/>
      <c r="Z715" s="140"/>
      <c r="AA715" s="140"/>
      <c r="AB715" s="140"/>
      <c r="AC715" s="140"/>
      <c r="AD715" s="140"/>
    </row>
    <row r="716" spans="1:30" ht="11.25" customHeight="1" x14ac:dyDescent="0.2">
      <c r="A716" s="140"/>
      <c r="B716" s="140"/>
      <c r="C716" s="140"/>
      <c r="D716" s="140"/>
      <c r="E716" s="140"/>
      <c r="F716" s="140"/>
      <c r="G716" s="140"/>
      <c r="H716" s="140"/>
      <c r="I716" s="140"/>
      <c r="J716" s="140"/>
      <c r="K716" s="140"/>
      <c r="L716" s="140"/>
      <c r="M716" s="140"/>
      <c r="N716" s="140"/>
      <c r="O716" s="140"/>
      <c r="P716" s="140"/>
      <c r="Q716" s="140"/>
      <c r="R716" s="140"/>
      <c r="S716" s="140"/>
      <c r="T716" s="140"/>
      <c r="U716" s="140"/>
      <c r="V716" s="140"/>
      <c r="W716" s="140"/>
      <c r="X716" s="140"/>
      <c r="Y716" s="140"/>
      <c r="Z716" s="140"/>
      <c r="AA716" s="140"/>
      <c r="AB716" s="140"/>
      <c r="AC716" s="140"/>
      <c r="AD716" s="140"/>
    </row>
    <row r="717" spans="1:30" ht="11.25" customHeight="1" x14ac:dyDescent="0.2">
      <c r="A717" s="140"/>
      <c r="B717" s="140"/>
      <c r="C717" s="140"/>
      <c r="D717" s="140"/>
      <c r="E717" s="140"/>
      <c r="F717" s="140"/>
      <c r="G717" s="140"/>
      <c r="H717" s="140"/>
      <c r="I717" s="140"/>
      <c r="J717" s="140"/>
      <c r="K717" s="140"/>
      <c r="L717" s="140"/>
      <c r="M717" s="140"/>
      <c r="N717" s="140"/>
      <c r="O717" s="140"/>
      <c r="P717" s="140"/>
      <c r="Q717" s="140"/>
      <c r="R717" s="140"/>
      <c r="S717" s="140"/>
      <c r="T717" s="140"/>
      <c r="U717" s="140"/>
      <c r="V717" s="140"/>
      <c r="W717" s="140"/>
      <c r="X717" s="140"/>
      <c r="Y717" s="140"/>
      <c r="Z717" s="140"/>
      <c r="AA717" s="140"/>
      <c r="AB717" s="140"/>
      <c r="AC717" s="140"/>
      <c r="AD717" s="140"/>
    </row>
    <row r="718" spans="1:30" ht="11.25" customHeight="1" x14ac:dyDescent="0.2">
      <c r="A718" s="140"/>
      <c r="B718" s="140"/>
      <c r="C718" s="140"/>
      <c r="D718" s="140"/>
      <c r="E718" s="140"/>
      <c r="F718" s="140"/>
      <c r="G718" s="140"/>
      <c r="H718" s="140"/>
      <c r="I718" s="140"/>
      <c r="J718" s="140"/>
      <c r="K718" s="140"/>
      <c r="L718" s="140"/>
      <c r="M718" s="140"/>
      <c r="N718" s="140"/>
      <c r="O718" s="140"/>
      <c r="P718" s="140"/>
      <c r="Q718" s="140"/>
      <c r="R718" s="140"/>
      <c r="S718" s="140"/>
      <c r="T718" s="140"/>
      <c r="U718" s="140"/>
      <c r="V718" s="140"/>
      <c r="W718" s="140"/>
      <c r="X718" s="140"/>
      <c r="Y718" s="140"/>
      <c r="Z718" s="140"/>
      <c r="AA718" s="140"/>
      <c r="AB718" s="140"/>
      <c r="AC718" s="140"/>
      <c r="AD718" s="140"/>
    </row>
    <row r="719" spans="1:30" ht="11.25" customHeight="1" x14ac:dyDescent="0.2">
      <c r="A719" s="140"/>
      <c r="B719" s="140"/>
      <c r="C719" s="140"/>
      <c r="D719" s="140"/>
      <c r="E719" s="140"/>
      <c r="F719" s="140"/>
      <c r="G719" s="140"/>
      <c r="H719" s="140"/>
      <c r="I719" s="140"/>
      <c r="J719" s="140"/>
      <c r="K719" s="140"/>
      <c r="L719" s="140"/>
      <c r="M719" s="140"/>
      <c r="N719" s="140"/>
      <c r="O719" s="140"/>
      <c r="P719" s="140"/>
      <c r="Q719" s="140"/>
      <c r="R719" s="140"/>
      <c r="S719" s="140"/>
      <c r="T719" s="140"/>
      <c r="U719" s="140"/>
      <c r="V719" s="140"/>
      <c r="W719" s="140"/>
      <c r="X719" s="140"/>
      <c r="Y719" s="140"/>
      <c r="Z719" s="140"/>
      <c r="AA719" s="140"/>
      <c r="AB719" s="140"/>
      <c r="AC719" s="140"/>
      <c r="AD719" s="140"/>
    </row>
    <row r="720" spans="1:30" ht="11.25" customHeight="1" x14ac:dyDescent="0.2">
      <c r="A720" s="140"/>
      <c r="B720" s="140"/>
      <c r="C720" s="140"/>
      <c r="D720" s="140"/>
      <c r="E720" s="140"/>
      <c r="F720" s="140"/>
      <c r="G720" s="140"/>
      <c r="H720" s="140"/>
      <c r="I720" s="140"/>
      <c r="J720" s="140"/>
      <c r="K720" s="140"/>
      <c r="L720" s="140"/>
      <c r="M720" s="140"/>
      <c r="N720" s="140"/>
      <c r="O720" s="140"/>
      <c r="P720" s="140"/>
      <c r="Q720" s="140"/>
      <c r="R720" s="140"/>
      <c r="S720" s="140"/>
      <c r="T720" s="140"/>
      <c r="U720" s="140"/>
      <c r="V720" s="140"/>
      <c r="W720" s="140"/>
      <c r="X720" s="140"/>
      <c r="Y720" s="140"/>
      <c r="Z720" s="140"/>
      <c r="AA720" s="140"/>
      <c r="AB720" s="140"/>
      <c r="AC720" s="140"/>
      <c r="AD720" s="140"/>
    </row>
    <row r="721" spans="1:30" ht="11.25" customHeight="1" x14ac:dyDescent="0.2">
      <c r="A721" s="140"/>
      <c r="B721" s="140"/>
      <c r="C721" s="140"/>
      <c r="D721" s="140"/>
      <c r="E721" s="140"/>
      <c r="F721" s="140"/>
      <c r="G721" s="140"/>
      <c r="H721" s="140"/>
      <c r="I721" s="140"/>
      <c r="J721" s="140"/>
      <c r="K721" s="140"/>
      <c r="L721" s="140"/>
      <c r="M721" s="140"/>
      <c r="N721" s="140"/>
      <c r="O721" s="140"/>
      <c r="P721" s="140"/>
      <c r="Q721" s="140"/>
      <c r="R721" s="140"/>
      <c r="S721" s="140"/>
      <c r="T721" s="140"/>
      <c r="U721" s="140"/>
      <c r="V721" s="140"/>
      <c r="W721" s="140"/>
      <c r="X721" s="140"/>
      <c r="Y721" s="140"/>
      <c r="Z721" s="140"/>
      <c r="AA721" s="140"/>
      <c r="AB721" s="140"/>
      <c r="AC721" s="140"/>
      <c r="AD721" s="140"/>
    </row>
    <row r="722" spans="1:30" ht="11.25" customHeight="1" x14ac:dyDescent="0.2">
      <c r="A722" s="140"/>
      <c r="B722" s="140"/>
      <c r="C722" s="140"/>
      <c r="D722" s="140"/>
      <c r="E722" s="140"/>
      <c r="F722" s="140"/>
      <c r="G722" s="140"/>
      <c r="H722" s="140"/>
      <c r="I722" s="140"/>
      <c r="J722" s="140"/>
      <c r="K722" s="140"/>
      <c r="L722" s="140"/>
      <c r="M722" s="140"/>
      <c r="N722" s="140"/>
      <c r="O722" s="140"/>
      <c r="P722" s="140"/>
      <c r="Q722" s="140"/>
      <c r="R722" s="140"/>
      <c r="S722" s="140"/>
      <c r="T722" s="140"/>
      <c r="U722" s="140"/>
      <c r="V722" s="140"/>
      <c r="W722" s="140"/>
      <c r="X722" s="140"/>
      <c r="Y722" s="140"/>
      <c r="Z722" s="140"/>
      <c r="AA722" s="140"/>
      <c r="AB722" s="140"/>
      <c r="AC722" s="140"/>
      <c r="AD722" s="140"/>
    </row>
    <row r="723" spans="1:30" ht="11.25" customHeight="1" x14ac:dyDescent="0.2">
      <c r="A723" s="140"/>
      <c r="B723" s="140"/>
      <c r="C723" s="140"/>
      <c r="D723" s="140"/>
      <c r="E723" s="140"/>
      <c r="F723" s="140"/>
      <c r="G723" s="140"/>
      <c r="H723" s="140"/>
      <c r="I723" s="140"/>
      <c r="J723" s="140"/>
      <c r="K723" s="140"/>
      <c r="L723" s="140"/>
      <c r="M723" s="140"/>
      <c r="N723" s="140"/>
      <c r="O723" s="140"/>
      <c r="P723" s="140"/>
      <c r="Q723" s="140"/>
      <c r="R723" s="140"/>
      <c r="S723" s="140"/>
      <c r="T723" s="140"/>
      <c r="U723" s="140"/>
      <c r="V723" s="140"/>
      <c r="W723" s="140"/>
      <c r="X723" s="140"/>
      <c r="Y723" s="140"/>
      <c r="Z723" s="140"/>
      <c r="AA723" s="140"/>
      <c r="AB723" s="140"/>
      <c r="AC723" s="140"/>
      <c r="AD723" s="140"/>
    </row>
    <row r="724" spans="1:30" ht="11.25" customHeight="1" x14ac:dyDescent="0.2">
      <c r="A724" s="140"/>
      <c r="B724" s="140"/>
      <c r="C724" s="140"/>
      <c r="D724" s="140"/>
      <c r="E724" s="140"/>
      <c r="F724" s="140"/>
      <c r="G724" s="140"/>
      <c r="H724" s="140"/>
      <c r="I724" s="140"/>
      <c r="J724" s="140"/>
      <c r="K724" s="140"/>
      <c r="L724" s="140"/>
      <c r="M724" s="140"/>
      <c r="N724" s="140"/>
      <c r="O724" s="140"/>
      <c r="P724" s="140"/>
      <c r="Q724" s="140"/>
      <c r="R724" s="140"/>
      <c r="S724" s="140"/>
      <c r="T724" s="140"/>
      <c r="U724" s="140"/>
      <c r="V724" s="140"/>
      <c r="W724" s="140"/>
      <c r="X724" s="140"/>
      <c r="Y724" s="140"/>
      <c r="Z724" s="140"/>
      <c r="AA724" s="140"/>
      <c r="AB724" s="140"/>
      <c r="AC724" s="140"/>
      <c r="AD724" s="140"/>
    </row>
    <row r="725" spans="1:30" ht="11.25" customHeight="1" x14ac:dyDescent="0.2">
      <c r="A725" s="140"/>
      <c r="B725" s="140"/>
      <c r="C725" s="140"/>
      <c r="D725" s="140"/>
      <c r="E725" s="140"/>
      <c r="F725" s="140"/>
      <c r="G725" s="140"/>
      <c r="H725" s="140"/>
      <c r="I725" s="140"/>
      <c r="J725" s="140"/>
      <c r="K725" s="140"/>
      <c r="L725" s="140"/>
      <c r="M725" s="140"/>
      <c r="N725" s="140"/>
      <c r="O725" s="140"/>
      <c r="P725" s="140"/>
      <c r="Q725" s="140"/>
      <c r="R725" s="140"/>
      <c r="S725" s="140"/>
      <c r="T725" s="140"/>
      <c r="U725" s="140"/>
      <c r="V725" s="140"/>
      <c r="W725" s="140"/>
      <c r="X725" s="140"/>
      <c r="Y725" s="140"/>
      <c r="Z725" s="140"/>
      <c r="AA725" s="140"/>
      <c r="AB725" s="140"/>
      <c r="AC725" s="140"/>
      <c r="AD725" s="140"/>
    </row>
    <row r="726" spans="1:30" ht="11.25" customHeight="1" x14ac:dyDescent="0.2">
      <c r="A726" s="140"/>
      <c r="B726" s="140"/>
      <c r="C726" s="140"/>
      <c r="D726" s="140"/>
      <c r="E726" s="140"/>
      <c r="F726" s="140"/>
      <c r="G726" s="140"/>
      <c r="H726" s="140"/>
      <c r="I726" s="140"/>
      <c r="J726" s="140"/>
      <c r="K726" s="140"/>
      <c r="L726" s="140"/>
      <c r="M726" s="140"/>
      <c r="N726" s="140"/>
      <c r="O726" s="140"/>
      <c r="P726" s="140"/>
      <c r="Q726" s="140"/>
      <c r="R726" s="140"/>
      <c r="S726" s="140"/>
      <c r="T726" s="140"/>
      <c r="U726" s="140"/>
      <c r="V726" s="140"/>
      <c r="W726" s="140"/>
      <c r="X726" s="140"/>
      <c r="Y726" s="140"/>
      <c r="Z726" s="140"/>
      <c r="AA726" s="140"/>
      <c r="AB726" s="140"/>
      <c r="AC726" s="140"/>
      <c r="AD726" s="140"/>
    </row>
    <row r="727" spans="1:30" ht="11.25" customHeight="1" x14ac:dyDescent="0.2">
      <c r="A727" s="140"/>
      <c r="B727" s="140"/>
      <c r="C727" s="140"/>
      <c r="D727" s="140"/>
      <c r="E727" s="140"/>
      <c r="F727" s="140"/>
      <c r="G727" s="140"/>
      <c r="H727" s="140"/>
      <c r="I727" s="140"/>
      <c r="J727" s="140"/>
      <c r="K727" s="140"/>
      <c r="L727" s="140"/>
      <c r="M727" s="140"/>
      <c r="N727" s="140"/>
      <c r="O727" s="140"/>
      <c r="P727" s="140"/>
      <c r="Q727" s="140"/>
      <c r="R727" s="140"/>
      <c r="S727" s="140"/>
      <c r="T727" s="140"/>
      <c r="U727" s="140"/>
      <c r="V727" s="140"/>
      <c r="W727" s="140"/>
      <c r="X727" s="140"/>
      <c r="Y727" s="140"/>
      <c r="Z727" s="140"/>
      <c r="AA727" s="140"/>
      <c r="AB727" s="140"/>
      <c r="AC727" s="140"/>
      <c r="AD727" s="140"/>
    </row>
    <row r="728" spans="1:30" ht="11.25" customHeight="1" x14ac:dyDescent="0.2">
      <c r="A728" s="140"/>
      <c r="B728" s="140"/>
      <c r="C728" s="140"/>
      <c r="D728" s="140"/>
      <c r="E728" s="140"/>
      <c r="F728" s="140"/>
      <c r="G728" s="140"/>
      <c r="H728" s="140"/>
      <c r="I728" s="140"/>
      <c r="J728" s="140"/>
      <c r="K728" s="140"/>
      <c r="L728" s="140"/>
      <c r="M728" s="140"/>
      <c r="N728" s="140"/>
      <c r="O728" s="140"/>
      <c r="P728" s="140"/>
      <c r="Q728" s="140"/>
      <c r="R728" s="140"/>
      <c r="S728" s="140"/>
      <c r="T728" s="140"/>
      <c r="U728" s="140"/>
      <c r="V728" s="140"/>
      <c r="W728" s="140"/>
      <c r="X728" s="140"/>
      <c r="Y728" s="140"/>
      <c r="Z728" s="140"/>
      <c r="AA728" s="140"/>
      <c r="AB728" s="140"/>
      <c r="AC728" s="140"/>
      <c r="AD728" s="140"/>
    </row>
    <row r="729" spans="1:30" ht="11.25" customHeight="1" x14ac:dyDescent="0.2">
      <c r="A729" s="140"/>
      <c r="B729" s="140"/>
      <c r="C729" s="140"/>
      <c r="D729" s="140"/>
      <c r="E729" s="140"/>
      <c r="F729" s="140"/>
      <c r="G729" s="140"/>
      <c r="H729" s="140"/>
      <c r="I729" s="140"/>
      <c r="J729" s="140"/>
      <c r="K729" s="140"/>
      <c r="L729" s="140"/>
      <c r="M729" s="140"/>
      <c r="N729" s="140"/>
      <c r="O729" s="140"/>
      <c r="P729" s="140"/>
      <c r="Q729" s="140"/>
      <c r="R729" s="140"/>
      <c r="S729" s="140"/>
      <c r="T729" s="140"/>
      <c r="U729" s="140"/>
      <c r="V729" s="140"/>
      <c r="W729" s="140"/>
      <c r="X729" s="140"/>
      <c r="Y729" s="140"/>
      <c r="Z729" s="140"/>
      <c r="AA729" s="140"/>
      <c r="AB729" s="140"/>
      <c r="AC729" s="140"/>
      <c r="AD729" s="140"/>
    </row>
    <row r="730" spans="1:30" ht="11.25" customHeight="1" x14ac:dyDescent="0.2">
      <c r="A730" s="140"/>
      <c r="B730" s="140"/>
      <c r="C730" s="140"/>
      <c r="D730" s="140"/>
      <c r="E730" s="140"/>
      <c r="F730" s="140"/>
      <c r="G730" s="140"/>
      <c r="H730" s="140"/>
      <c r="I730" s="140"/>
      <c r="J730" s="140"/>
      <c r="K730" s="140"/>
      <c r="L730" s="140"/>
      <c r="M730" s="140"/>
      <c r="N730" s="140"/>
      <c r="O730" s="140"/>
      <c r="P730" s="140"/>
      <c r="Q730" s="140"/>
      <c r="R730" s="140"/>
      <c r="S730" s="140"/>
      <c r="T730" s="140"/>
      <c r="U730" s="140"/>
      <c r="V730" s="140"/>
      <c r="W730" s="140"/>
      <c r="X730" s="140"/>
      <c r="Y730" s="140"/>
      <c r="Z730" s="140"/>
      <c r="AA730" s="140"/>
      <c r="AB730" s="140"/>
      <c r="AC730" s="140"/>
      <c r="AD730" s="140"/>
    </row>
    <row r="731" spans="1:30" ht="11.25" customHeight="1" x14ac:dyDescent="0.2">
      <c r="A731" s="140"/>
      <c r="B731" s="140"/>
      <c r="C731" s="140"/>
      <c r="D731" s="140"/>
      <c r="E731" s="140"/>
      <c r="F731" s="140"/>
      <c r="G731" s="140"/>
      <c r="H731" s="140"/>
      <c r="I731" s="140"/>
      <c r="J731" s="140"/>
      <c r="K731" s="140"/>
      <c r="L731" s="140"/>
      <c r="M731" s="140"/>
      <c r="N731" s="140"/>
      <c r="O731" s="140"/>
      <c r="P731" s="140"/>
      <c r="Q731" s="140"/>
      <c r="R731" s="140"/>
      <c r="S731" s="140"/>
      <c r="T731" s="140"/>
      <c r="U731" s="140"/>
      <c r="V731" s="140"/>
      <c r="W731" s="140"/>
      <c r="X731" s="140"/>
      <c r="Y731" s="140"/>
      <c r="Z731" s="140"/>
      <c r="AA731" s="140"/>
      <c r="AB731" s="140"/>
      <c r="AC731" s="140"/>
      <c r="AD731" s="140"/>
    </row>
    <row r="732" spans="1:30" ht="11.25" customHeight="1" x14ac:dyDescent="0.2">
      <c r="A732" s="140"/>
      <c r="B732" s="140"/>
      <c r="C732" s="140"/>
      <c r="D732" s="140"/>
      <c r="E732" s="140"/>
      <c r="F732" s="140"/>
      <c r="G732" s="140"/>
      <c r="H732" s="140"/>
      <c r="I732" s="140"/>
      <c r="J732" s="140"/>
      <c r="K732" s="140"/>
      <c r="L732" s="140"/>
      <c r="M732" s="140"/>
      <c r="N732" s="140"/>
      <c r="O732" s="140"/>
      <c r="P732" s="140"/>
      <c r="Q732" s="140"/>
      <c r="R732" s="140"/>
      <c r="S732" s="140"/>
      <c r="T732" s="140"/>
      <c r="U732" s="140"/>
      <c r="V732" s="140"/>
      <c r="W732" s="140"/>
      <c r="X732" s="140"/>
      <c r="Y732" s="140"/>
      <c r="Z732" s="140"/>
      <c r="AA732" s="140"/>
      <c r="AB732" s="140"/>
      <c r="AC732" s="140"/>
      <c r="AD732" s="140"/>
    </row>
    <row r="733" spans="1:30" ht="11.25" customHeight="1" x14ac:dyDescent="0.2">
      <c r="A733" s="140"/>
      <c r="B733" s="140"/>
      <c r="C733" s="140"/>
      <c r="D733" s="140"/>
      <c r="E733" s="140"/>
      <c r="F733" s="140"/>
      <c r="G733" s="140"/>
      <c r="H733" s="140"/>
      <c r="I733" s="140"/>
      <c r="J733" s="140"/>
      <c r="K733" s="140"/>
      <c r="L733" s="140"/>
      <c r="M733" s="140"/>
      <c r="N733" s="140"/>
      <c r="O733" s="140"/>
      <c r="P733" s="140"/>
      <c r="Q733" s="140"/>
      <c r="R733" s="140"/>
      <c r="S733" s="140"/>
      <c r="T733" s="140"/>
      <c r="U733" s="140"/>
      <c r="V733" s="140"/>
      <c r="W733" s="140"/>
      <c r="X733" s="140"/>
      <c r="Y733" s="140"/>
      <c r="Z733" s="140"/>
      <c r="AA733" s="140"/>
      <c r="AB733" s="140"/>
      <c r="AC733" s="140"/>
      <c r="AD733" s="140"/>
    </row>
    <row r="734" spans="1:30" ht="11.25" customHeight="1" x14ac:dyDescent="0.2">
      <c r="A734" s="140"/>
      <c r="B734" s="140"/>
      <c r="C734" s="140"/>
      <c r="D734" s="140"/>
      <c r="E734" s="140"/>
      <c r="F734" s="140"/>
      <c r="G734" s="140"/>
      <c r="H734" s="140"/>
      <c r="I734" s="140"/>
      <c r="J734" s="140"/>
      <c r="K734" s="140"/>
      <c r="L734" s="140"/>
      <c r="M734" s="140"/>
      <c r="N734" s="140"/>
      <c r="O734" s="140"/>
      <c r="P734" s="140"/>
      <c r="Q734" s="140"/>
      <c r="R734" s="140"/>
      <c r="S734" s="140"/>
      <c r="T734" s="140"/>
      <c r="U734" s="140"/>
      <c r="V734" s="140"/>
      <c r="W734" s="140"/>
      <c r="X734" s="140"/>
      <c r="Y734" s="140"/>
      <c r="Z734" s="140"/>
      <c r="AA734" s="140"/>
      <c r="AB734" s="140"/>
      <c r="AC734" s="140"/>
      <c r="AD734" s="140"/>
    </row>
    <row r="735" spans="1:30" ht="11.25" customHeight="1" x14ac:dyDescent="0.2">
      <c r="A735" s="140"/>
      <c r="B735" s="140"/>
      <c r="C735" s="140"/>
      <c r="D735" s="140"/>
      <c r="E735" s="140"/>
      <c r="F735" s="140"/>
      <c r="G735" s="140"/>
      <c r="H735" s="140"/>
      <c r="I735" s="140"/>
      <c r="J735" s="140"/>
      <c r="K735" s="140"/>
      <c r="L735" s="140"/>
      <c r="M735" s="140"/>
      <c r="N735" s="140"/>
      <c r="O735" s="140"/>
      <c r="P735" s="140"/>
      <c r="Q735" s="140"/>
      <c r="R735" s="140"/>
      <c r="S735" s="140"/>
      <c r="T735" s="140"/>
      <c r="U735" s="140"/>
      <c r="V735" s="140"/>
      <c r="W735" s="140"/>
      <c r="X735" s="140"/>
      <c r="Y735" s="140"/>
      <c r="Z735" s="140"/>
      <c r="AA735" s="140"/>
      <c r="AB735" s="140"/>
      <c r="AC735" s="140"/>
      <c r="AD735" s="140"/>
    </row>
    <row r="736" spans="1:30" ht="11.25" customHeight="1" x14ac:dyDescent="0.2">
      <c r="A736" s="140"/>
      <c r="B736" s="140"/>
      <c r="C736" s="140"/>
      <c r="D736" s="140"/>
      <c r="E736" s="140"/>
      <c r="F736" s="140"/>
      <c r="G736" s="140"/>
      <c r="H736" s="140"/>
      <c r="I736" s="140"/>
      <c r="J736" s="140"/>
      <c r="K736" s="140"/>
      <c r="L736" s="140"/>
      <c r="M736" s="140"/>
      <c r="N736" s="140"/>
      <c r="O736" s="140"/>
      <c r="P736" s="140"/>
      <c r="Q736" s="140"/>
      <c r="R736" s="140"/>
      <c r="S736" s="140"/>
      <c r="T736" s="140"/>
      <c r="U736" s="140"/>
      <c r="V736" s="140"/>
      <c r="W736" s="140"/>
      <c r="X736" s="140"/>
      <c r="Y736" s="140"/>
      <c r="Z736" s="140"/>
      <c r="AA736" s="140"/>
      <c r="AB736" s="140"/>
      <c r="AC736" s="140"/>
      <c r="AD736" s="140"/>
    </row>
    <row r="737" spans="1:30" ht="11.25" customHeight="1" x14ac:dyDescent="0.2">
      <c r="A737" s="140"/>
      <c r="B737" s="140"/>
      <c r="C737" s="140"/>
      <c r="D737" s="140"/>
      <c r="E737" s="140"/>
      <c r="F737" s="140"/>
      <c r="G737" s="140"/>
      <c r="H737" s="140"/>
      <c r="I737" s="140"/>
      <c r="J737" s="140"/>
      <c r="K737" s="140"/>
      <c r="L737" s="140"/>
      <c r="M737" s="140"/>
      <c r="N737" s="140"/>
      <c r="O737" s="140"/>
      <c r="P737" s="140"/>
      <c r="Q737" s="140"/>
      <c r="R737" s="140"/>
      <c r="S737" s="140"/>
      <c r="T737" s="140"/>
      <c r="U737" s="140"/>
      <c r="V737" s="140"/>
      <c r="W737" s="140"/>
      <c r="X737" s="140"/>
      <c r="Y737" s="140"/>
      <c r="Z737" s="140"/>
      <c r="AA737" s="140"/>
      <c r="AB737" s="140"/>
      <c r="AC737" s="140"/>
      <c r="AD737" s="140"/>
    </row>
    <row r="738" spans="1:30" ht="11.25" customHeight="1" x14ac:dyDescent="0.2">
      <c r="A738" s="140"/>
      <c r="B738" s="140"/>
      <c r="C738" s="140"/>
      <c r="D738" s="140"/>
      <c r="E738" s="140"/>
      <c r="F738" s="140"/>
      <c r="G738" s="140"/>
      <c r="H738" s="140"/>
      <c r="I738" s="140"/>
      <c r="J738" s="140"/>
      <c r="K738" s="140"/>
      <c r="L738" s="140"/>
      <c r="M738" s="140"/>
      <c r="N738" s="140"/>
      <c r="O738" s="140"/>
      <c r="P738" s="140"/>
      <c r="Q738" s="140"/>
      <c r="R738" s="140"/>
      <c r="S738" s="140"/>
      <c r="T738" s="140"/>
      <c r="U738" s="140"/>
      <c r="V738" s="140"/>
      <c r="W738" s="140"/>
      <c r="X738" s="140"/>
      <c r="Y738" s="140"/>
      <c r="Z738" s="140"/>
      <c r="AA738" s="140"/>
      <c r="AB738" s="140"/>
      <c r="AC738" s="140"/>
      <c r="AD738" s="140"/>
    </row>
    <row r="739" spans="1:30" ht="11.25" customHeight="1" x14ac:dyDescent="0.2">
      <c r="A739" s="140"/>
      <c r="B739" s="140"/>
      <c r="C739" s="140"/>
      <c r="D739" s="140"/>
      <c r="E739" s="140"/>
      <c r="F739" s="140"/>
      <c r="G739" s="140"/>
      <c r="H739" s="140"/>
      <c r="I739" s="140"/>
      <c r="J739" s="140"/>
      <c r="K739" s="140"/>
      <c r="L739" s="140"/>
      <c r="M739" s="140"/>
      <c r="N739" s="140"/>
      <c r="O739" s="140"/>
      <c r="P739" s="140"/>
      <c r="Q739" s="140"/>
      <c r="R739" s="140"/>
      <c r="S739" s="140"/>
      <c r="T739" s="140"/>
      <c r="U739" s="140"/>
      <c r="V739" s="140"/>
      <c r="W739" s="140"/>
      <c r="X739" s="140"/>
      <c r="Y739" s="140"/>
      <c r="Z739" s="140"/>
      <c r="AA739" s="140"/>
      <c r="AB739" s="140"/>
      <c r="AC739" s="140"/>
      <c r="AD739" s="140"/>
    </row>
    <row r="740" spans="1:30" ht="11.25" customHeight="1" x14ac:dyDescent="0.2">
      <c r="A740" s="140"/>
      <c r="B740" s="140"/>
      <c r="C740" s="140"/>
      <c r="D740" s="140"/>
      <c r="E740" s="140"/>
      <c r="F740" s="140"/>
      <c r="G740" s="140"/>
      <c r="H740" s="140"/>
      <c r="I740" s="140"/>
      <c r="J740" s="140"/>
      <c r="K740" s="140"/>
      <c r="L740" s="140"/>
      <c r="M740" s="140"/>
      <c r="N740" s="140"/>
      <c r="O740" s="140"/>
      <c r="P740" s="140"/>
      <c r="Q740" s="140"/>
      <c r="R740" s="140"/>
      <c r="S740" s="140"/>
      <c r="T740" s="140"/>
      <c r="U740" s="140"/>
      <c r="V740" s="140"/>
      <c r="W740" s="140"/>
      <c r="X740" s="140"/>
      <c r="Y740" s="140"/>
      <c r="Z740" s="140"/>
      <c r="AA740" s="140"/>
      <c r="AB740" s="140"/>
      <c r="AC740" s="140"/>
      <c r="AD740" s="140"/>
    </row>
    <row r="741" spans="1:30" ht="11.25" customHeight="1" x14ac:dyDescent="0.2">
      <c r="A741" s="140"/>
      <c r="B741" s="140"/>
      <c r="C741" s="140"/>
      <c r="D741" s="140"/>
      <c r="E741" s="140"/>
      <c r="F741" s="140"/>
      <c r="G741" s="140"/>
      <c r="H741" s="140"/>
      <c r="I741" s="140"/>
      <c r="J741" s="140"/>
      <c r="K741" s="140"/>
      <c r="L741" s="140"/>
      <c r="M741" s="140"/>
      <c r="N741" s="140"/>
      <c r="O741" s="140"/>
      <c r="P741" s="140"/>
      <c r="Q741" s="140"/>
      <c r="R741" s="140"/>
      <c r="S741" s="140"/>
      <c r="T741" s="140"/>
      <c r="U741" s="140"/>
      <c r="V741" s="140"/>
      <c r="W741" s="140"/>
      <c r="X741" s="140"/>
      <c r="Y741" s="140"/>
      <c r="Z741" s="140"/>
      <c r="AA741" s="140"/>
      <c r="AB741" s="140"/>
      <c r="AC741" s="140"/>
      <c r="AD741" s="140"/>
    </row>
    <row r="742" spans="1:30" ht="11.25" customHeight="1" x14ac:dyDescent="0.2">
      <c r="A742" s="140"/>
      <c r="B742" s="140"/>
      <c r="C742" s="140"/>
      <c r="D742" s="140"/>
      <c r="E742" s="140"/>
      <c r="F742" s="140"/>
      <c r="G742" s="140"/>
      <c r="H742" s="140"/>
      <c r="I742" s="140"/>
      <c r="J742" s="140"/>
      <c r="K742" s="140"/>
      <c r="L742" s="140"/>
      <c r="M742" s="140"/>
      <c r="N742" s="140"/>
      <c r="O742" s="140"/>
      <c r="P742" s="140"/>
      <c r="Q742" s="140"/>
      <c r="R742" s="140"/>
      <c r="S742" s="140"/>
      <c r="T742" s="140"/>
      <c r="U742" s="140"/>
      <c r="V742" s="140"/>
      <c r="W742" s="140"/>
      <c r="X742" s="140"/>
      <c r="Y742" s="140"/>
      <c r="Z742" s="140"/>
      <c r="AA742" s="140"/>
      <c r="AB742" s="140"/>
      <c r="AC742" s="140"/>
      <c r="AD742" s="140"/>
    </row>
    <row r="743" spans="1:30" ht="11.25" customHeight="1" x14ac:dyDescent="0.2">
      <c r="A743" s="140"/>
      <c r="B743" s="140"/>
      <c r="C743" s="140"/>
      <c r="D743" s="140"/>
      <c r="E743" s="140"/>
      <c r="F743" s="140"/>
      <c r="G743" s="140"/>
      <c r="H743" s="140"/>
      <c r="I743" s="140"/>
      <c r="J743" s="140"/>
      <c r="K743" s="140"/>
      <c r="L743" s="140"/>
      <c r="M743" s="140"/>
      <c r="N743" s="140"/>
      <c r="O743" s="140"/>
      <c r="P743" s="140"/>
      <c r="Q743" s="140"/>
      <c r="R743" s="140"/>
      <c r="S743" s="140"/>
      <c r="T743" s="140"/>
      <c r="U743" s="140"/>
      <c r="V743" s="140"/>
      <c r="W743" s="140"/>
      <c r="X743" s="140"/>
      <c r="Y743" s="140"/>
      <c r="Z743" s="140"/>
      <c r="AA743" s="140"/>
      <c r="AB743" s="140"/>
      <c r="AC743" s="140"/>
      <c r="AD743" s="140"/>
    </row>
    <row r="744" spans="1:30" ht="11.25" customHeight="1" x14ac:dyDescent="0.2">
      <c r="A744" s="140"/>
      <c r="B744" s="140"/>
      <c r="C744" s="140"/>
      <c r="D744" s="140"/>
      <c r="E744" s="140"/>
      <c r="F744" s="140"/>
      <c r="G744" s="140"/>
      <c r="H744" s="140"/>
      <c r="I744" s="140"/>
      <c r="J744" s="140"/>
      <c r="K744" s="140"/>
      <c r="L744" s="140"/>
      <c r="M744" s="140"/>
      <c r="N744" s="140"/>
      <c r="O744" s="140"/>
      <c r="P744" s="140"/>
      <c r="Q744" s="140"/>
      <c r="R744" s="140"/>
      <c r="S744" s="140"/>
      <c r="T744" s="140"/>
      <c r="U744" s="140"/>
      <c r="V744" s="140"/>
      <c r="W744" s="140"/>
      <c r="X744" s="140"/>
      <c r="Y744" s="140"/>
      <c r="Z744" s="140"/>
      <c r="AA744" s="140"/>
      <c r="AB744" s="140"/>
      <c r="AC744" s="140"/>
      <c r="AD744" s="140"/>
    </row>
    <row r="745" spans="1:30" ht="11.25" customHeight="1" x14ac:dyDescent="0.2">
      <c r="A745" s="140"/>
      <c r="B745" s="140"/>
      <c r="C745" s="140"/>
      <c r="D745" s="140"/>
      <c r="E745" s="140"/>
      <c r="F745" s="140"/>
      <c r="G745" s="140"/>
      <c r="H745" s="140"/>
      <c r="I745" s="140"/>
      <c r="J745" s="140"/>
      <c r="K745" s="140"/>
      <c r="L745" s="140"/>
      <c r="M745" s="140"/>
      <c r="N745" s="140"/>
      <c r="O745" s="140"/>
      <c r="P745" s="140"/>
      <c r="Q745" s="140"/>
      <c r="R745" s="140"/>
      <c r="S745" s="140"/>
      <c r="T745" s="140"/>
      <c r="U745" s="140"/>
      <c r="V745" s="140"/>
      <c r="W745" s="140"/>
      <c r="X745" s="140"/>
      <c r="Y745" s="140"/>
      <c r="Z745" s="140"/>
      <c r="AA745" s="140"/>
      <c r="AB745" s="140"/>
      <c r="AC745" s="140"/>
      <c r="AD745" s="140"/>
    </row>
    <row r="746" spans="1:30" ht="11.25" customHeight="1" x14ac:dyDescent="0.2">
      <c r="A746" s="140"/>
      <c r="B746" s="140"/>
      <c r="C746" s="140"/>
      <c r="D746" s="140"/>
      <c r="E746" s="140"/>
      <c r="F746" s="140"/>
      <c r="G746" s="140"/>
      <c r="H746" s="140"/>
      <c r="I746" s="140"/>
      <c r="J746" s="140"/>
      <c r="K746" s="140"/>
      <c r="L746" s="140"/>
      <c r="M746" s="140"/>
      <c r="N746" s="140"/>
      <c r="O746" s="140"/>
      <c r="P746" s="140"/>
      <c r="Q746" s="140"/>
      <c r="R746" s="140"/>
      <c r="S746" s="140"/>
      <c r="T746" s="140"/>
      <c r="U746" s="140"/>
      <c r="V746" s="140"/>
      <c r="W746" s="140"/>
      <c r="X746" s="140"/>
      <c r="Y746" s="140"/>
      <c r="Z746" s="140"/>
      <c r="AA746" s="140"/>
      <c r="AB746" s="140"/>
      <c r="AC746" s="140"/>
      <c r="AD746" s="140"/>
    </row>
    <row r="747" spans="1:30" ht="11.25" customHeight="1" x14ac:dyDescent="0.2">
      <c r="A747" s="140"/>
      <c r="B747" s="140"/>
      <c r="C747" s="140"/>
      <c r="D747" s="140"/>
      <c r="E747" s="140"/>
      <c r="F747" s="140"/>
      <c r="G747" s="140"/>
      <c r="H747" s="140"/>
      <c r="I747" s="140"/>
      <c r="J747" s="140"/>
      <c r="K747" s="140"/>
      <c r="L747" s="140"/>
      <c r="M747" s="140"/>
      <c r="N747" s="140"/>
      <c r="O747" s="140"/>
      <c r="P747" s="140"/>
      <c r="Q747" s="140"/>
      <c r="R747" s="140"/>
      <c r="S747" s="140"/>
      <c r="T747" s="140"/>
      <c r="U747" s="140"/>
      <c r="V747" s="140"/>
      <c r="W747" s="140"/>
      <c r="X747" s="140"/>
      <c r="Y747" s="140"/>
      <c r="Z747" s="140"/>
      <c r="AA747" s="140"/>
      <c r="AB747" s="140"/>
      <c r="AC747" s="140"/>
      <c r="AD747" s="140"/>
    </row>
    <row r="748" spans="1:30" ht="11.25" customHeight="1" x14ac:dyDescent="0.2">
      <c r="A748" s="140"/>
      <c r="B748" s="140"/>
      <c r="C748" s="140"/>
      <c r="D748" s="140"/>
      <c r="E748" s="140"/>
      <c r="F748" s="140"/>
      <c r="G748" s="140"/>
      <c r="H748" s="140"/>
      <c r="I748" s="140"/>
      <c r="J748" s="140"/>
      <c r="K748" s="140"/>
      <c r="L748" s="140"/>
      <c r="M748" s="140"/>
      <c r="N748" s="140"/>
      <c r="O748" s="140"/>
      <c r="P748" s="140"/>
      <c r="Q748" s="140"/>
      <c r="R748" s="140"/>
      <c r="S748" s="140"/>
      <c r="T748" s="140"/>
      <c r="U748" s="140"/>
      <c r="V748" s="140"/>
      <c r="W748" s="140"/>
      <c r="X748" s="140"/>
      <c r="Y748" s="140"/>
      <c r="Z748" s="140"/>
      <c r="AA748" s="140"/>
      <c r="AB748" s="140"/>
      <c r="AC748" s="140"/>
      <c r="AD748" s="140"/>
    </row>
    <row r="749" spans="1:30" ht="11.25" customHeight="1" x14ac:dyDescent="0.2">
      <c r="A749" s="140"/>
      <c r="B749" s="140"/>
      <c r="C749" s="140"/>
      <c r="D749" s="140"/>
      <c r="E749" s="140"/>
      <c r="F749" s="140"/>
      <c r="G749" s="140"/>
      <c r="H749" s="140"/>
      <c r="I749" s="140"/>
      <c r="J749" s="140"/>
      <c r="K749" s="140"/>
      <c r="L749" s="140"/>
      <c r="M749" s="140"/>
      <c r="N749" s="140"/>
      <c r="O749" s="140"/>
      <c r="P749" s="140"/>
      <c r="Q749" s="140"/>
      <c r="R749" s="140"/>
      <c r="S749" s="140"/>
      <c r="T749" s="140"/>
      <c r="U749" s="140"/>
      <c r="V749" s="140"/>
      <c r="W749" s="140"/>
      <c r="X749" s="140"/>
      <c r="Y749" s="140"/>
      <c r="Z749" s="140"/>
      <c r="AA749" s="140"/>
      <c r="AB749" s="140"/>
      <c r="AC749" s="140"/>
      <c r="AD749" s="140"/>
    </row>
    <row r="750" spans="1:30" ht="11.25" customHeight="1" x14ac:dyDescent="0.2">
      <c r="A750" s="140"/>
      <c r="B750" s="140"/>
      <c r="C750" s="140"/>
      <c r="D750" s="140"/>
      <c r="E750" s="140"/>
      <c r="F750" s="140"/>
      <c r="G750" s="140"/>
      <c r="H750" s="140"/>
      <c r="I750" s="140"/>
      <c r="J750" s="140"/>
      <c r="K750" s="140"/>
      <c r="L750" s="140"/>
      <c r="M750" s="140"/>
      <c r="N750" s="140"/>
      <c r="O750" s="140"/>
      <c r="P750" s="140"/>
      <c r="Q750" s="140"/>
      <c r="R750" s="140"/>
      <c r="S750" s="140"/>
      <c r="T750" s="140"/>
      <c r="U750" s="140"/>
      <c r="V750" s="140"/>
      <c r="W750" s="140"/>
      <c r="X750" s="140"/>
      <c r="Y750" s="140"/>
      <c r="Z750" s="140"/>
      <c r="AA750" s="140"/>
      <c r="AB750" s="140"/>
      <c r="AC750" s="140"/>
      <c r="AD750" s="140"/>
    </row>
    <row r="751" spans="1:30" ht="11.25" customHeight="1" x14ac:dyDescent="0.2">
      <c r="A751" s="140"/>
      <c r="B751" s="140"/>
      <c r="C751" s="140"/>
      <c r="D751" s="140"/>
      <c r="E751" s="140"/>
      <c r="F751" s="140"/>
      <c r="G751" s="140"/>
      <c r="H751" s="140"/>
      <c r="I751" s="140"/>
      <c r="J751" s="140"/>
      <c r="K751" s="140"/>
      <c r="L751" s="140"/>
      <c r="M751" s="140"/>
      <c r="N751" s="140"/>
      <c r="O751" s="140"/>
      <c r="P751" s="140"/>
      <c r="Q751" s="140"/>
      <c r="R751" s="140"/>
      <c r="S751" s="140"/>
      <c r="T751" s="140"/>
      <c r="U751" s="140"/>
      <c r="V751" s="140"/>
      <c r="W751" s="140"/>
      <c r="X751" s="140"/>
      <c r="Y751" s="140"/>
      <c r="Z751" s="140"/>
      <c r="AA751" s="140"/>
      <c r="AB751" s="140"/>
      <c r="AC751" s="140"/>
      <c r="AD751" s="140"/>
    </row>
    <row r="752" spans="1:30" ht="11.25" customHeight="1" x14ac:dyDescent="0.2">
      <c r="A752" s="140"/>
      <c r="B752" s="140"/>
      <c r="C752" s="140"/>
      <c r="D752" s="140"/>
      <c r="E752" s="140"/>
      <c r="F752" s="140"/>
      <c r="G752" s="140"/>
      <c r="H752" s="140"/>
      <c r="I752" s="140"/>
      <c r="J752" s="140"/>
      <c r="K752" s="140"/>
      <c r="L752" s="140"/>
      <c r="M752" s="140"/>
      <c r="N752" s="140"/>
      <c r="O752" s="140"/>
      <c r="P752" s="140"/>
      <c r="Q752" s="140"/>
      <c r="R752" s="140"/>
      <c r="S752" s="140"/>
      <c r="T752" s="140"/>
      <c r="U752" s="140"/>
      <c r="V752" s="140"/>
      <c r="W752" s="140"/>
      <c r="X752" s="140"/>
      <c r="Y752" s="140"/>
      <c r="Z752" s="140"/>
      <c r="AA752" s="140"/>
      <c r="AB752" s="140"/>
      <c r="AC752" s="140"/>
      <c r="AD752" s="140"/>
    </row>
    <row r="753" spans="1:30" ht="11.25" customHeight="1" x14ac:dyDescent="0.2">
      <c r="A753" s="140"/>
      <c r="B753" s="140"/>
      <c r="C753" s="140"/>
      <c r="D753" s="140"/>
      <c r="E753" s="140"/>
      <c r="F753" s="140"/>
      <c r="G753" s="140"/>
      <c r="H753" s="140"/>
      <c r="I753" s="140"/>
      <c r="J753" s="140"/>
      <c r="K753" s="140"/>
      <c r="L753" s="140"/>
      <c r="M753" s="140"/>
      <c r="N753" s="140"/>
      <c r="O753" s="140"/>
      <c r="P753" s="140"/>
      <c r="Q753" s="140"/>
      <c r="R753" s="140"/>
      <c r="S753" s="140"/>
      <c r="T753" s="140"/>
      <c r="U753" s="140"/>
      <c r="V753" s="140"/>
      <c r="W753" s="140"/>
      <c r="X753" s="140"/>
      <c r="Y753" s="140"/>
      <c r="Z753" s="140"/>
      <c r="AA753" s="140"/>
      <c r="AB753" s="140"/>
      <c r="AC753" s="140"/>
      <c r="AD753" s="140"/>
    </row>
    <row r="754" spans="1:30" ht="11.25" customHeight="1" x14ac:dyDescent="0.2">
      <c r="A754" s="140"/>
      <c r="B754" s="140"/>
      <c r="C754" s="140"/>
      <c r="D754" s="140"/>
      <c r="E754" s="140"/>
      <c r="F754" s="140"/>
      <c r="G754" s="140"/>
      <c r="H754" s="140"/>
      <c r="I754" s="140"/>
      <c r="J754" s="140"/>
      <c r="K754" s="140"/>
      <c r="L754" s="140"/>
      <c r="M754" s="140"/>
      <c r="N754" s="140"/>
      <c r="O754" s="140"/>
      <c r="P754" s="140"/>
      <c r="Q754" s="140"/>
      <c r="R754" s="140"/>
      <c r="S754" s="140"/>
      <c r="T754" s="140"/>
      <c r="U754" s="140"/>
      <c r="V754" s="140"/>
      <c r="W754" s="140"/>
      <c r="X754" s="140"/>
      <c r="Y754" s="140"/>
      <c r="Z754" s="140"/>
      <c r="AA754" s="140"/>
      <c r="AB754" s="140"/>
      <c r="AC754" s="140"/>
      <c r="AD754" s="140"/>
    </row>
    <row r="755" spans="1:30" ht="11.25" customHeight="1" x14ac:dyDescent="0.2">
      <c r="A755" s="140"/>
      <c r="B755" s="140"/>
      <c r="C755" s="140"/>
      <c r="D755" s="140"/>
      <c r="E755" s="140"/>
      <c r="F755" s="140"/>
      <c r="G755" s="140"/>
      <c r="H755" s="140"/>
      <c r="I755" s="140"/>
      <c r="J755" s="140"/>
      <c r="K755" s="140"/>
      <c r="L755" s="140"/>
      <c r="M755" s="140"/>
      <c r="N755" s="140"/>
      <c r="O755" s="140"/>
      <c r="P755" s="140"/>
      <c r="Q755" s="140"/>
      <c r="R755" s="140"/>
      <c r="S755" s="140"/>
      <c r="T755" s="140"/>
      <c r="U755" s="140"/>
      <c r="V755" s="140"/>
      <c r="W755" s="140"/>
      <c r="X755" s="140"/>
      <c r="Y755" s="140"/>
      <c r="Z755" s="140"/>
      <c r="AA755" s="140"/>
      <c r="AB755" s="140"/>
      <c r="AC755" s="140"/>
      <c r="AD755" s="140"/>
    </row>
    <row r="756" spans="1:30" ht="11.25" customHeight="1" x14ac:dyDescent="0.2">
      <c r="A756" s="140"/>
      <c r="B756" s="140"/>
      <c r="C756" s="140"/>
      <c r="D756" s="140"/>
      <c r="E756" s="140"/>
      <c r="F756" s="140"/>
      <c r="G756" s="140"/>
      <c r="H756" s="140"/>
      <c r="I756" s="140"/>
      <c r="J756" s="140"/>
      <c r="K756" s="140"/>
      <c r="L756" s="140"/>
      <c r="M756" s="140"/>
      <c r="N756" s="140"/>
      <c r="O756" s="140"/>
      <c r="P756" s="140"/>
      <c r="Q756" s="140"/>
      <c r="R756" s="140"/>
      <c r="S756" s="140"/>
      <c r="T756" s="140"/>
      <c r="U756" s="140"/>
      <c r="V756" s="140"/>
      <c r="W756" s="140"/>
      <c r="X756" s="140"/>
      <c r="Y756" s="140"/>
      <c r="Z756" s="140"/>
      <c r="AA756" s="140"/>
      <c r="AB756" s="140"/>
      <c r="AC756" s="140"/>
      <c r="AD756" s="140"/>
    </row>
    <row r="757" spans="1:30" ht="11.25" customHeight="1" x14ac:dyDescent="0.2">
      <c r="A757" s="140"/>
      <c r="B757" s="140"/>
      <c r="C757" s="140"/>
      <c r="D757" s="140"/>
      <c r="E757" s="140"/>
      <c r="F757" s="140"/>
      <c r="G757" s="140"/>
      <c r="H757" s="140"/>
      <c r="I757" s="140"/>
      <c r="J757" s="140"/>
      <c r="K757" s="140"/>
      <c r="L757" s="140"/>
      <c r="M757" s="140"/>
      <c r="N757" s="140"/>
      <c r="O757" s="140"/>
      <c r="P757" s="140"/>
      <c r="Q757" s="140"/>
      <c r="R757" s="140"/>
      <c r="S757" s="140"/>
      <c r="T757" s="140"/>
      <c r="U757" s="140"/>
      <c r="V757" s="140"/>
      <c r="W757" s="140"/>
      <c r="X757" s="140"/>
      <c r="Y757" s="140"/>
      <c r="Z757" s="140"/>
      <c r="AA757" s="140"/>
      <c r="AB757" s="140"/>
      <c r="AC757" s="140"/>
      <c r="AD757" s="140"/>
    </row>
    <row r="758" spans="1:30" ht="11.25" customHeight="1" x14ac:dyDescent="0.2">
      <c r="A758" s="140"/>
      <c r="B758" s="140"/>
      <c r="C758" s="140"/>
      <c r="D758" s="140"/>
      <c r="E758" s="140"/>
      <c r="F758" s="140"/>
      <c r="G758" s="140"/>
      <c r="H758" s="140"/>
      <c r="I758" s="140"/>
      <c r="J758" s="140"/>
      <c r="K758" s="140"/>
      <c r="L758" s="140"/>
      <c r="M758" s="140"/>
      <c r="N758" s="140"/>
      <c r="O758" s="140"/>
      <c r="P758" s="140"/>
      <c r="Q758" s="140"/>
      <c r="R758" s="140"/>
      <c r="S758" s="140"/>
      <c r="T758" s="140"/>
      <c r="U758" s="140"/>
      <c r="V758" s="140"/>
      <c r="W758" s="140"/>
      <c r="X758" s="140"/>
      <c r="Y758" s="140"/>
      <c r="Z758" s="140"/>
      <c r="AA758" s="140"/>
      <c r="AB758" s="140"/>
      <c r="AC758" s="140"/>
      <c r="AD758" s="140"/>
    </row>
    <row r="759" spans="1:30" ht="11.25" customHeight="1" x14ac:dyDescent="0.2">
      <c r="A759" s="140"/>
      <c r="B759" s="140"/>
      <c r="C759" s="140"/>
      <c r="D759" s="140"/>
      <c r="E759" s="140"/>
      <c r="F759" s="140"/>
      <c r="G759" s="140"/>
      <c r="H759" s="140"/>
      <c r="I759" s="140"/>
      <c r="J759" s="140"/>
      <c r="K759" s="140"/>
      <c r="L759" s="140"/>
      <c r="M759" s="140"/>
      <c r="N759" s="140"/>
      <c r="O759" s="140"/>
      <c r="P759" s="140"/>
      <c r="Q759" s="140"/>
      <c r="R759" s="140"/>
      <c r="S759" s="140"/>
      <c r="T759" s="140"/>
      <c r="U759" s="140"/>
      <c r="V759" s="140"/>
      <c r="W759" s="140"/>
      <c r="X759" s="140"/>
      <c r="Y759" s="140"/>
      <c r="Z759" s="140"/>
      <c r="AA759" s="140"/>
      <c r="AB759" s="140"/>
      <c r="AC759" s="140"/>
      <c r="AD759" s="140"/>
    </row>
    <row r="760" spans="1:30" ht="11.25" customHeight="1" x14ac:dyDescent="0.2">
      <c r="A760" s="140"/>
      <c r="B760" s="140"/>
      <c r="C760" s="140"/>
      <c r="D760" s="140"/>
      <c r="E760" s="140"/>
      <c r="F760" s="140"/>
      <c r="G760" s="140"/>
      <c r="H760" s="140"/>
      <c r="I760" s="140"/>
      <c r="J760" s="140"/>
      <c r="K760" s="140"/>
      <c r="L760" s="140"/>
      <c r="M760" s="140"/>
      <c r="N760" s="140"/>
      <c r="O760" s="140"/>
      <c r="P760" s="140"/>
      <c r="Q760" s="140"/>
      <c r="R760" s="140"/>
      <c r="S760" s="140"/>
      <c r="T760" s="140"/>
      <c r="U760" s="140"/>
      <c r="V760" s="140"/>
      <c r="W760" s="140"/>
      <c r="X760" s="140"/>
      <c r="Y760" s="140"/>
      <c r="Z760" s="140"/>
      <c r="AA760" s="140"/>
      <c r="AB760" s="140"/>
      <c r="AC760" s="140"/>
      <c r="AD760" s="140"/>
    </row>
    <row r="761" spans="1:30" ht="11.25" customHeight="1" x14ac:dyDescent="0.2">
      <c r="A761" s="140"/>
      <c r="B761" s="140"/>
      <c r="C761" s="140"/>
      <c r="D761" s="140"/>
      <c r="E761" s="140"/>
      <c r="F761" s="140"/>
      <c r="G761" s="140"/>
      <c r="H761" s="140"/>
      <c r="I761" s="140"/>
      <c r="J761" s="140"/>
      <c r="K761" s="140"/>
      <c r="L761" s="140"/>
      <c r="M761" s="140"/>
      <c r="N761" s="140"/>
      <c r="O761" s="140"/>
      <c r="P761" s="140"/>
      <c r="Q761" s="140"/>
      <c r="R761" s="140"/>
      <c r="S761" s="140"/>
      <c r="T761" s="140"/>
      <c r="U761" s="140"/>
      <c r="V761" s="140"/>
      <c r="W761" s="140"/>
      <c r="X761" s="140"/>
      <c r="Y761" s="140"/>
      <c r="Z761" s="140"/>
      <c r="AA761" s="140"/>
      <c r="AB761" s="140"/>
      <c r="AC761" s="140"/>
      <c r="AD761" s="140"/>
    </row>
    <row r="762" spans="1:30" ht="11.25" customHeight="1" x14ac:dyDescent="0.2">
      <c r="A762" s="140"/>
      <c r="B762" s="140"/>
      <c r="C762" s="140"/>
      <c r="D762" s="140"/>
      <c r="E762" s="140"/>
      <c r="F762" s="140"/>
      <c r="G762" s="140"/>
      <c r="H762" s="140"/>
      <c r="I762" s="140"/>
      <c r="J762" s="140"/>
      <c r="K762" s="140"/>
      <c r="L762" s="140"/>
      <c r="M762" s="140"/>
      <c r="N762" s="140"/>
      <c r="O762" s="140"/>
      <c r="P762" s="140"/>
      <c r="Q762" s="140"/>
      <c r="R762" s="140"/>
      <c r="S762" s="140"/>
      <c r="T762" s="140"/>
      <c r="U762" s="140"/>
      <c r="V762" s="140"/>
      <c r="W762" s="140"/>
      <c r="X762" s="140"/>
      <c r="Y762" s="140"/>
      <c r="Z762" s="140"/>
      <c r="AA762" s="140"/>
      <c r="AB762" s="140"/>
      <c r="AC762" s="140"/>
      <c r="AD762" s="140"/>
    </row>
    <row r="763" spans="1:30" ht="11.25" customHeight="1" x14ac:dyDescent="0.2">
      <c r="A763" s="140"/>
      <c r="B763" s="140"/>
      <c r="C763" s="140"/>
      <c r="D763" s="140"/>
      <c r="E763" s="140"/>
      <c r="F763" s="140"/>
      <c r="G763" s="140"/>
      <c r="H763" s="140"/>
      <c r="I763" s="140"/>
      <c r="J763" s="140"/>
      <c r="K763" s="140"/>
      <c r="L763" s="140"/>
      <c r="M763" s="140"/>
      <c r="N763" s="140"/>
      <c r="O763" s="140"/>
      <c r="P763" s="140"/>
      <c r="Q763" s="140"/>
      <c r="R763" s="140"/>
      <c r="S763" s="140"/>
      <c r="T763" s="140"/>
      <c r="U763" s="140"/>
      <c r="V763" s="140"/>
      <c r="W763" s="140"/>
      <c r="X763" s="140"/>
      <c r="Y763" s="140"/>
      <c r="Z763" s="140"/>
      <c r="AA763" s="140"/>
      <c r="AB763" s="140"/>
      <c r="AC763" s="140"/>
      <c r="AD763" s="140"/>
    </row>
    <row r="764" spans="1:30" ht="11.25" customHeight="1" x14ac:dyDescent="0.2">
      <c r="A764" s="140"/>
      <c r="B764" s="140"/>
      <c r="C764" s="140"/>
      <c r="D764" s="140"/>
      <c r="E764" s="140"/>
      <c r="F764" s="140"/>
      <c r="G764" s="140"/>
      <c r="H764" s="140"/>
      <c r="I764" s="140"/>
      <c r="J764" s="140"/>
      <c r="K764" s="140"/>
      <c r="L764" s="140"/>
      <c r="M764" s="140"/>
      <c r="N764" s="140"/>
      <c r="O764" s="140"/>
      <c r="P764" s="140"/>
      <c r="Q764" s="140"/>
      <c r="R764" s="140"/>
      <c r="S764" s="140"/>
      <c r="T764" s="140"/>
      <c r="U764" s="140"/>
      <c r="V764" s="140"/>
      <c r="W764" s="140"/>
      <c r="X764" s="140"/>
      <c r="Y764" s="140"/>
      <c r="Z764" s="140"/>
      <c r="AA764" s="140"/>
      <c r="AB764" s="140"/>
      <c r="AC764" s="140"/>
      <c r="AD764" s="140"/>
    </row>
    <row r="765" spans="1:30" ht="11.25" customHeight="1" x14ac:dyDescent="0.2">
      <c r="A765" s="140"/>
      <c r="B765" s="140"/>
      <c r="C765" s="140"/>
      <c r="D765" s="140"/>
      <c r="E765" s="140"/>
      <c r="F765" s="140"/>
      <c r="G765" s="140"/>
      <c r="H765" s="140"/>
      <c r="I765" s="140"/>
      <c r="J765" s="140"/>
      <c r="K765" s="140"/>
      <c r="L765" s="140"/>
      <c r="M765" s="140"/>
      <c r="N765" s="140"/>
      <c r="O765" s="140"/>
      <c r="P765" s="140"/>
      <c r="Q765" s="140"/>
      <c r="R765" s="140"/>
      <c r="S765" s="140"/>
      <c r="T765" s="140"/>
      <c r="U765" s="140"/>
      <c r="V765" s="140"/>
      <c r="W765" s="140"/>
      <c r="X765" s="140"/>
      <c r="Y765" s="140"/>
      <c r="Z765" s="140"/>
      <c r="AA765" s="140"/>
      <c r="AB765" s="140"/>
      <c r="AC765" s="140"/>
      <c r="AD765" s="140"/>
    </row>
    <row r="766" spans="1:30" ht="11.25" customHeight="1" x14ac:dyDescent="0.2">
      <c r="A766" s="140"/>
      <c r="B766" s="140"/>
      <c r="C766" s="140"/>
      <c r="D766" s="140"/>
      <c r="E766" s="140"/>
      <c r="F766" s="140"/>
      <c r="G766" s="140"/>
      <c r="H766" s="140"/>
      <c r="I766" s="140"/>
      <c r="J766" s="140"/>
      <c r="K766" s="140"/>
      <c r="L766" s="140"/>
      <c r="M766" s="140"/>
      <c r="N766" s="140"/>
      <c r="O766" s="140"/>
      <c r="P766" s="140"/>
      <c r="Q766" s="140"/>
      <c r="R766" s="140"/>
      <c r="S766" s="140"/>
      <c r="T766" s="140"/>
      <c r="U766" s="140"/>
      <c r="V766" s="140"/>
      <c r="W766" s="140"/>
      <c r="X766" s="140"/>
      <c r="Y766" s="140"/>
      <c r="Z766" s="140"/>
      <c r="AA766" s="140"/>
      <c r="AB766" s="140"/>
      <c r="AC766" s="140"/>
      <c r="AD766" s="140"/>
    </row>
    <row r="767" spans="1:30" ht="11.25" customHeight="1" x14ac:dyDescent="0.2">
      <c r="A767" s="140"/>
      <c r="B767" s="140"/>
      <c r="C767" s="140"/>
      <c r="D767" s="140"/>
      <c r="E767" s="140"/>
      <c r="F767" s="140"/>
      <c r="G767" s="140"/>
      <c r="H767" s="140"/>
      <c r="I767" s="140"/>
      <c r="J767" s="140"/>
      <c r="K767" s="140"/>
      <c r="L767" s="140"/>
      <c r="M767" s="140"/>
      <c r="N767" s="140"/>
      <c r="O767" s="140"/>
      <c r="P767" s="140"/>
      <c r="Q767" s="140"/>
      <c r="R767" s="140"/>
      <c r="S767" s="140"/>
      <c r="T767" s="140"/>
      <c r="U767" s="140"/>
      <c r="V767" s="140"/>
      <c r="W767" s="140"/>
      <c r="X767" s="140"/>
      <c r="Y767" s="140"/>
      <c r="Z767" s="140"/>
      <c r="AA767" s="140"/>
      <c r="AB767" s="140"/>
      <c r="AC767" s="140"/>
      <c r="AD767" s="140"/>
    </row>
    <row r="768" spans="1:30" ht="11.25" customHeight="1" x14ac:dyDescent="0.2">
      <c r="A768" s="140"/>
      <c r="B768" s="140"/>
      <c r="C768" s="140"/>
      <c r="D768" s="140"/>
      <c r="E768" s="140"/>
      <c r="F768" s="140"/>
      <c r="G768" s="140"/>
      <c r="H768" s="140"/>
      <c r="I768" s="140"/>
      <c r="J768" s="140"/>
      <c r="K768" s="140"/>
      <c r="L768" s="140"/>
      <c r="M768" s="140"/>
      <c r="N768" s="140"/>
      <c r="O768" s="140"/>
      <c r="P768" s="140"/>
      <c r="Q768" s="140"/>
      <c r="R768" s="140"/>
      <c r="S768" s="140"/>
      <c r="T768" s="140"/>
      <c r="U768" s="140"/>
      <c r="V768" s="140"/>
      <c r="W768" s="140"/>
      <c r="X768" s="140"/>
      <c r="Y768" s="140"/>
      <c r="Z768" s="140"/>
      <c r="AA768" s="140"/>
      <c r="AB768" s="140"/>
      <c r="AC768" s="140"/>
      <c r="AD768" s="140"/>
    </row>
    <row r="769" spans="1:30" ht="11.25" customHeight="1" x14ac:dyDescent="0.2">
      <c r="A769" s="140"/>
      <c r="B769" s="140"/>
      <c r="C769" s="140"/>
      <c r="D769" s="140"/>
      <c r="E769" s="140"/>
      <c r="F769" s="140"/>
      <c r="G769" s="140"/>
      <c r="H769" s="140"/>
      <c r="I769" s="140"/>
      <c r="J769" s="140"/>
      <c r="K769" s="140"/>
      <c r="L769" s="140"/>
      <c r="M769" s="140"/>
      <c r="N769" s="140"/>
      <c r="O769" s="140"/>
      <c r="P769" s="140"/>
      <c r="Q769" s="140"/>
      <c r="R769" s="140"/>
      <c r="S769" s="140"/>
      <c r="T769" s="140"/>
      <c r="U769" s="140"/>
      <c r="V769" s="140"/>
      <c r="W769" s="140"/>
      <c r="X769" s="140"/>
      <c r="Y769" s="140"/>
      <c r="Z769" s="140"/>
      <c r="AA769" s="140"/>
      <c r="AB769" s="140"/>
      <c r="AC769" s="140"/>
      <c r="AD769" s="140"/>
    </row>
    <row r="770" spans="1:30" ht="11.25" customHeight="1" x14ac:dyDescent="0.2">
      <c r="A770" s="140"/>
      <c r="B770" s="140"/>
      <c r="C770" s="140"/>
      <c r="D770" s="140"/>
      <c r="E770" s="140"/>
      <c r="F770" s="140"/>
      <c r="G770" s="140"/>
      <c r="H770" s="140"/>
      <c r="I770" s="140"/>
      <c r="J770" s="140"/>
      <c r="K770" s="140"/>
      <c r="L770" s="140"/>
      <c r="M770" s="140"/>
      <c r="N770" s="140"/>
      <c r="O770" s="140"/>
      <c r="P770" s="140"/>
      <c r="Q770" s="140"/>
      <c r="R770" s="140"/>
      <c r="S770" s="140"/>
      <c r="T770" s="140"/>
      <c r="U770" s="140"/>
      <c r="V770" s="140"/>
      <c r="W770" s="140"/>
      <c r="X770" s="140"/>
      <c r="Y770" s="140"/>
      <c r="Z770" s="140"/>
      <c r="AA770" s="140"/>
      <c r="AB770" s="140"/>
      <c r="AC770" s="140"/>
      <c r="AD770" s="140"/>
    </row>
    <row r="771" spans="1:30" ht="11.25" customHeight="1" x14ac:dyDescent="0.2">
      <c r="A771" s="140"/>
      <c r="B771" s="140"/>
      <c r="C771" s="140"/>
      <c r="D771" s="140"/>
      <c r="E771" s="140"/>
      <c r="F771" s="140"/>
      <c r="G771" s="140"/>
      <c r="H771" s="140"/>
      <c r="I771" s="140"/>
      <c r="J771" s="140"/>
      <c r="K771" s="140"/>
      <c r="L771" s="140"/>
      <c r="M771" s="140"/>
      <c r="N771" s="140"/>
      <c r="O771" s="140"/>
      <c r="P771" s="140"/>
      <c r="Q771" s="140"/>
      <c r="R771" s="140"/>
      <c r="S771" s="140"/>
      <c r="T771" s="140"/>
      <c r="U771" s="140"/>
      <c r="V771" s="140"/>
      <c r="W771" s="140"/>
      <c r="X771" s="140"/>
      <c r="Y771" s="140"/>
      <c r="Z771" s="140"/>
      <c r="AA771" s="140"/>
      <c r="AB771" s="140"/>
      <c r="AC771" s="140"/>
      <c r="AD771" s="140"/>
    </row>
    <row r="772" spans="1:30" ht="11.25" customHeight="1" x14ac:dyDescent="0.2">
      <c r="A772" s="140"/>
      <c r="B772" s="140"/>
      <c r="C772" s="140"/>
      <c r="D772" s="140"/>
      <c r="E772" s="140"/>
      <c r="F772" s="140"/>
      <c r="G772" s="140"/>
      <c r="H772" s="140"/>
      <c r="I772" s="140"/>
      <c r="J772" s="140"/>
      <c r="K772" s="140"/>
      <c r="L772" s="140"/>
      <c r="M772" s="140"/>
      <c r="N772" s="140"/>
      <c r="O772" s="140"/>
      <c r="P772" s="140"/>
      <c r="Q772" s="140"/>
      <c r="R772" s="140"/>
      <c r="S772" s="140"/>
      <c r="T772" s="140"/>
      <c r="U772" s="140"/>
      <c r="V772" s="140"/>
      <c r="W772" s="140"/>
      <c r="X772" s="140"/>
      <c r="Y772" s="140"/>
      <c r="Z772" s="140"/>
      <c r="AA772" s="140"/>
      <c r="AB772" s="140"/>
      <c r="AC772" s="140"/>
      <c r="AD772" s="140"/>
    </row>
    <row r="773" spans="1:30" ht="11.25" customHeight="1" x14ac:dyDescent="0.2">
      <c r="A773" s="140"/>
      <c r="B773" s="140"/>
      <c r="C773" s="140"/>
      <c r="D773" s="140"/>
      <c r="E773" s="140"/>
      <c r="F773" s="140"/>
      <c r="G773" s="140"/>
      <c r="H773" s="140"/>
      <c r="I773" s="140"/>
      <c r="J773" s="140"/>
      <c r="K773" s="140"/>
      <c r="L773" s="140"/>
      <c r="M773" s="140"/>
      <c r="N773" s="140"/>
      <c r="O773" s="140"/>
      <c r="P773" s="140"/>
      <c r="Q773" s="140"/>
      <c r="R773" s="140"/>
      <c r="S773" s="140"/>
      <c r="T773" s="140"/>
      <c r="U773" s="140"/>
      <c r="V773" s="140"/>
      <c r="W773" s="140"/>
      <c r="X773" s="140"/>
      <c r="Y773" s="140"/>
      <c r="Z773" s="140"/>
      <c r="AA773" s="140"/>
      <c r="AB773" s="140"/>
      <c r="AC773" s="140"/>
      <c r="AD773" s="140"/>
    </row>
    <row r="774" spans="1:30" ht="11.25" customHeight="1" x14ac:dyDescent="0.2">
      <c r="A774" s="140"/>
      <c r="B774" s="140"/>
      <c r="C774" s="140"/>
      <c r="D774" s="140"/>
      <c r="E774" s="140"/>
      <c r="F774" s="140"/>
      <c r="G774" s="140"/>
      <c r="H774" s="140"/>
      <c r="I774" s="140"/>
      <c r="J774" s="140"/>
      <c r="K774" s="140"/>
      <c r="L774" s="140"/>
      <c r="M774" s="140"/>
      <c r="N774" s="140"/>
      <c r="O774" s="140"/>
      <c r="P774" s="140"/>
      <c r="Q774" s="140"/>
      <c r="R774" s="140"/>
      <c r="S774" s="140"/>
      <c r="T774" s="140"/>
      <c r="U774" s="140"/>
      <c r="V774" s="140"/>
      <c r="W774" s="140"/>
      <c r="X774" s="140"/>
      <c r="Y774" s="140"/>
      <c r="Z774" s="140"/>
      <c r="AA774" s="140"/>
      <c r="AB774" s="140"/>
      <c r="AC774" s="140"/>
      <c r="AD774" s="140"/>
    </row>
    <row r="775" spans="1:30" ht="11.25" customHeight="1" x14ac:dyDescent="0.2">
      <c r="A775" s="140"/>
      <c r="B775" s="140"/>
      <c r="C775" s="140"/>
      <c r="D775" s="140"/>
      <c r="E775" s="140"/>
      <c r="F775" s="140"/>
      <c r="G775" s="140"/>
      <c r="H775" s="140"/>
      <c r="I775" s="140"/>
      <c r="J775" s="140"/>
      <c r="K775" s="140"/>
      <c r="L775" s="140"/>
      <c r="M775" s="140"/>
      <c r="N775" s="140"/>
      <c r="O775" s="140"/>
      <c r="P775" s="140"/>
      <c r="Q775" s="140"/>
      <c r="R775" s="140"/>
      <c r="S775" s="140"/>
      <c r="T775" s="140"/>
      <c r="U775" s="140"/>
      <c r="V775" s="140"/>
      <c r="W775" s="140"/>
      <c r="X775" s="140"/>
      <c r="Y775" s="140"/>
      <c r="Z775" s="140"/>
      <c r="AA775" s="140"/>
      <c r="AB775" s="140"/>
      <c r="AC775" s="140"/>
      <c r="AD775" s="140"/>
    </row>
    <row r="776" spans="1:30" ht="11.25" customHeight="1" x14ac:dyDescent="0.2">
      <c r="A776" s="140"/>
      <c r="B776" s="140"/>
      <c r="C776" s="140"/>
      <c r="D776" s="140"/>
      <c r="E776" s="140"/>
      <c r="F776" s="140"/>
      <c r="G776" s="140"/>
      <c r="H776" s="140"/>
      <c r="I776" s="140"/>
      <c r="J776" s="140"/>
      <c r="K776" s="140"/>
      <c r="L776" s="140"/>
      <c r="M776" s="140"/>
      <c r="N776" s="140"/>
      <c r="O776" s="140"/>
      <c r="P776" s="140"/>
      <c r="Q776" s="140"/>
      <c r="R776" s="140"/>
      <c r="S776" s="140"/>
      <c r="T776" s="140"/>
      <c r="U776" s="140"/>
      <c r="V776" s="140"/>
      <c r="W776" s="140"/>
      <c r="X776" s="140"/>
      <c r="Y776" s="140"/>
      <c r="Z776" s="140"/>
      <c r="AA776" s="140"/>
      <c r="AB776" s="140"/>
      <c r="AC776" s="140"/>
      <c r="AD776" s="140"/>
    </row>
    <row r="777" spans="1:30" ht="11.25" customHeight="1" x14ac:dyDescent="0.2">
      <c r="A777" s="140"/>
      <c r="B777" s="140"/>
      <c r="C777" s="140"/>
      <c r="D777" s="140"/>
      <c r="E777" s="140"/>
      <c r="F777" s="140"/>
      <c r="G777" s="140"/>
      <c r="H777" s="140"/>
      <c r="I777" s="140"/>
      <c r="J777" s="140"/>
      <c r="K777" s="140"/>
      <c r="L777" s="140"/>
      <c r="M777" s="140"/>
      <c r="N777" s="140"/>
      <c r="O777" s="140"/>
      <c r="P777" s="140"/>
      <c r="Q777" s="140"/>
      <c r="R777" s="140"/>
      <c r="S777" s="140"/>
      <c r="T777" s="140"/>
      <c r="U777" s="140"/>
      <c r="V777" s="140"/>
      <c r="W777" s="140"/>
      <c r="X777" s="140"/>
      <c r="Y777" s="140"/>
      <c r="Z777" s="140"/>
      <c r="AA777" s="140"/>
      <c r="AB777" s="140"/>
      <c r="AC777" s="140"/>
      <c r="AD777" s="140"/>
    </row>
    <row r="778" spans="1:30" ht="11.25" customHeight="1" x14ac:dyDescent="0.2">
      <c r="A778" s="140"/>
      <c r="B778" s="140"/>
      <c r="C778" s="140"/>
      <c r="D778" s="140"/>
      <c r="E778" s="140"/>
      <c r="F778" s="140"/>
      <c r="G778" s="140"/>
      <c r="H778" s="140"/>
      <c r="I778" s="140"/>
      <c r="J778" s="140"/>
      <c r="K778" s="140"/>
      <c r="L778" s="140"/>
      <c r="M778" s="140"/>
      <c r="N778" s="140"/>
      <c r="O778" s="140"/>
      <c r="P778" s="140"/>
      <c r="Q778" s="140"/>
      <c r="R778" s="140"/>
      <c r="S778" s="140"/>
      <c r="T778" s="140"/>
      <c r="U778" s="140"/>
      <c r="V778" s="140"/>
      <c r="W778" s="140"/>
      <c r="X778" s="140"/>
      <c r="Y778" s="140"/>
      <c r="Z778" s="140"/>
      <c r="AA778" s="140"/>
      <c r="AB778" s="140"/>
      <c r="AC778" s="140"/>
      <c r="AD778" s="140"/>
    </row>
    <row r="779" spans="1:30" ht="11.25" customHeight="1" x14ac:dyDescent="0.2">
      <c r="A779" s="140"/>
      <c r="B779" s="140"/>
      <c r="C779" s="140"/>
      <c r="D779" s="140"/>
      <c r="E779" s="140"/>
      <c r="F779" s="140"/>
      <c r="G779" s="140"/>
      <c r="H779" s="140"/>
      <c r="I779" s="140"/>
      <c r="J779" s="140"/>
      <c r="K779" s="140"/>
      <c r="L779" s="140"/>
      <c r="M779" s="140"/>
      <c r="N779" s="140"/>
      <c r="O779" s="140"/>
      <c r="P779" s="140"/>
      <c r="Q779" s="140"/>
      <c r="R779" s="140"/>
      <c r="S779" s="140"/>
      <c r="T779" s="140"/>
      <c r="U779" s="140"/>
      <c r="V779" s="140"/>
      <c r="W779" s="140"/>
      <c r="X779" s="140"/>
      <c r="Y779" s="140"/>
      <c r="Z779" s="140"/>
      <c r="AA779" s="140"/>
      <c r="AB779" s="140"/>
      <c r="AC779" s="140"/>
      <c r="AD779" s="140"/>
    </row>
    <row r="780" spans="1:30" ht="11.25" customHeight="1" x14ac:dyDescent="0.2">
      <c r="A780" s="140"/>
      <c r="B780" s="140"/>
      <c r="C780" s="140"/>
      <c r="D780" s="140"/>
      <c r="E780" s="140"/>
      <c r="F780" s="140"/>
      <c r="G780" s="140"/>
      <c r="H780" s="140"/>
      <c r="I780" s="140"/>
      <c r="J780" s="140"/>
      <c r="K780" s="140"/>
      <c r="L780" s="140"/>
      <c r="M780" s="140"/>
      <c r="N780" s="140"/>
      <c r="O780" s="140"/>
      <c r="P780" s="140"/>
      <c r="Q780" s="140"/>
      <c r="R780" s="140"/>
      <c r="S780" s="140"/>
      <c r="T780" s="140"/>
      <c r="U780" s="140"/>
      <c r="V780" s="140"/>
      <c r="W780" s="140"/>
      <c r="X780" s="140"/>
      <c r="Y780" s="140"/>
      <c r="Z780" s="140"/>
      <c r="AA780" s="140"/>
      <c r="AB780" s="140"/>
      <c r="AC780" s="140"/>
      <c r="AD780" s="140"/>
    </row>
    <row r="781" spans="1:30" ht="11.25" customHeight="1" x14ac:dyDescent="0.2">
      <c r="A781" s="140"/>
      <c r="B781" s="140"/>
      <c r="C781" s="140"/>
      <c r="D781" s="140"/>
      <c r="E781" s="140"/>
      <c r="F781" s="140"/>
      <c r="G781" s="140"/>
      <c r="H781" s="140"/>
      <c r="I781" s="140"/>
      <c r="J781" s="140"/>
      <c r="K781" s="140"/>
      <c r="L781" s="140"/>
      <c r="M781" s="140"/>
      <c r="N781" s="140"/>
      <c r="O781" s="140"/>
      <c r="P781" s="140"/>
      <c r="Q781" s="140"/>
      <c r="R781" s="140"/>
      <c r="S781" s="140"/>
      <c r="T781" s="140"/>
      <c r="U781" s="140"/>
      <c r="V781" s="140"/>
      <c r="W781" s="140"/>
      <c r="X781" s="140"/>
      <c r="Y781" s="140"/>
      <c r="Z781" s="140"/>
      <c r="AA781" s="140"/>
      <c r="AB781" s="140"/>
      <c r="AC781" s="140"/>
      <c r="AD781" s="140"/>
    </row>
    <row r="782" spans="1:30" ht="11.25" customHeight="1" x14ac:dyDescent="0.2">
      <c r="A782" s="140"/>
      <c r="B782" s="140"/>
      <c r="C782" s="140"/>
      <c r="D782" s="140"/>
      <c r="E782" s="140"/>
      <c r="F782" s="140"/>
      <c r="G782" s="140"/>
      <c r="H782" s="140"/>
      <c r="I782" s="140"/>
      <c r="J782" s="140"/>
      <c r="K782" s="140"/>
      <c r="L782" s="140"/>
      <c r="M782" s="140"/>
      <c r="N782" s="140"/>
      <c r="O782" s="140"/>
      <c r="P782" s="140"/>
      <c r="Q782" s="140"/>
      <c r="R782" s="140"/>
      <c r="S782" s="140"/>
      <c r="T782" s="140"/>
      <c r="U782" s="140"/>
      <c r="V782" s="140"/>
      <c r="W782" s="140"/>
      <c r="X782" s="140"/>
      <c r="Y782" s="140"/>
      <c r="Z782" s="140"/>
      <c r="AA782" s="140"/>
      <c r="AB782" s="140"/>
      <c r="AC782" s="140"/>
      <c r="AD782" s="140"/>
    </row>
    <row r="783" spans="1:30" ht="11.25" customHeight="1" x14ac:dyDescent="0.2">
      <c r="A783" s="140"/>
      <c r="B783" s="140"/>
      <c r="C783" s="140"/>
      <c r="D783" s="140"/>
      <c r="E783" s="140"/>
      <c r="F783" s="140"/>
      <c r="G783" s="140"/>
      <c r="H783" s="140"/>
      <c r="I783" s="140"/>
      <c r="J783" s="140"/>
      <c r="K783" s="140"/>
      <c r="L783" s="140"/>
      <c r="M783" s="140"/>
      <c r="N783" s="140"/>
      <c r="O783" s="140"/>
      <c r="P783" s="140"/>
      <c r="Q783" s="140"/>
      <c r="R783" s="140"/>
      <c r="S783" s="140"/>
      <c r="T783" s="140"/>
      <c r="U783" s="140"/>
      <c r="V783" s="140"/>
      <c r="W783" s="140"/>
      <c r="X783" s="140"/>
      <c r="Y783" s="140"/>
      <c r="Z783" s="140"/>
      <c r="AA783" s="140"/>
      <c r="AB783" s="140"/>
      <c r="AC783" s="140"/>
      <c r="AD783" s="140"/>
    </row>
    <row r="784" spans="1:30" ht="11.25" customHeight="1" x14ac:dyDescent="0.2">
      <c r="A784" s="140"/>
      <c r="B784" s="140"/>
      <c r="C784" s="140"/>
      <c r="D784" s="140"/>
      <c r="E784" s="140"/>
      <c r="F784" s="140"/>
      <c r="G784" s="140"/>
      <c r="H784" s="140"/>
      <c r="I784" s="140"/>
      <c r="J784" s="140"/>
      <c r="K784" s="140"/>
      <c r="L784" s="140"/>
      <c r="M784" s="140"/>
      <c r="N784" s="140"/>
      <c r="O784" s="140"/>
      <c r="P784" s="140"/>
      <c r="Q784" s="140"/>
      <c r="R784" s="140"/>
      <c r="S784" s="140"/>
      <c r="T784" s="140"/>
      <c r="U784" s="140"/>
      <c r="V784" s="140"/>
      <c r="W784" s="140"/>
      <c r="X784" s="140"/>
      <c r="Y784" s="140"/>
      <c r="Z784" s="140"/>
      <c r="AA784" s="140"/>
      <c r="AB784" s="140"/>
      <c r="AC784" s="140"/>
      <c r="AD784" s="140"/>
    </row>
    <row r="785" spans="1:30" ht="11.25" customHeight="1" x14ac:dyDescent="0.2">
      <c r="A785" s="140"/>
      <c r="B785" s="140"/>
      <c r="C785" s="140"/>
      <c r="D785" s="140"/>
      <c r="E785" s="140"/>
      <c r="F785" s="140"/>
      <c r="G785" s="140"/>
      <c r="H785" s="140"/>
      <c r="I785" s="140"/>
      <c r="J785" s="140"/>
      <c r="K785" s="140"/>
      <c r="L785" s="140"/>
      <c r="M785" s="140"/>
      <c r="N785" s="140"/>
      <c r="O785" s="140"/>
      <c r="P785" s="140"/>
      <c r="Q785" s="140"/>
      <c r="R785" s="140"/>
      <c r="S785" s="140"/>
      <c r="T785" s="140"/>
      <c r="U785" s="140"/>
      <c r="V785" s="140"/>
      <c r="W785" s="140"/>
      <c r="X785" s="140"/>
      <c r="Y785" s="140"/>
      <c r="Z785" s="140"/>
      <c r="AA785" s="140"/>
      <c r="AB785" s="140"/>
      <c r="AC785" s="140"/>
      <c r="AD785" s="140"/>
    </row>
    <row r="786" spans="1:30" ht="11.25" customHeight="1" x14ac:dyDescent="0.2">
      <c r="A786" s="140"/>
      <c r="B786" s="140"/>
      <c r="C786" s="140"/>
      <c r="D786" s="140"/>
      <c r="E786" s="140"/>
      <c r="F786" s="140"/>
      <c r="G786" s="140"/>
      <c r="H786" s="140"/>
      <c r="I786" s="140"/>
      <c r="J786" s="140"/>
      <c r="K786" s="140"/>
      <c r="L786" s="140"/>
      <c r="M786" s="140"/>
      <c r="N786" s="140"/>
      <c r="O786" s="140"/>
      <c r="P786" s="140"/>
      <c r="Q786" s="140"/>
      <c r="R786" s="140"/>
      <c r="S786" s="140"/>
      <c r="T786" s="140"/>
      <c r="U786" s="140"/>
      <c r="V786" s="140"/>
      <c r="W786" s="140"/>
      <c r="X786" s="140"/>
      <c r="Y786" s="140"/>
      <c r="Z786" s="140"/>
      <c r="AA786" s="140"/>
      <c r="AB786" s="140"/>
      <c r="AC786" s="140"/>
      <c r="AD786" s="140"/>
    </row>
    <row r="787" spans="1:30" ht="11.25" customHeight="1" x14ac:dyDescent="0.2">
      <c r="A787" s="140"/>
      <c r="B787" s="140"/>
      <c r="C787" s="140"/>
      <c r="D787" s="140"/>
      <c r="E787" s="140"/>
      <c r="F787" s="140"/>
      <c r="G787" s="140"/>
      <c r="H787" s="140"/>
      <c r="I787" s="140"/>
      <c r="J787" s="140"/>
      <c r="K787" s="140"/>
      <c r="L787" s="140"/>
      <c r="M787" s="140"/>
      <c r="N787" s="140"/>
      <c r="O787" s="140"/>
      <c r="P787" s="140"/>
      <c r="Q787" s="140"/>
      <c r="R787" s="140"/>
      <c r="S787" s="140"/>
      <c r="T787" s="140"/>
      <c r="U787" s="140"/>
      <c r="V787" s="140"/>
      <c r="W787" s="140"/>
      <c r="X787" s="140"/>
      <c r="Y787" s="140"/>
      <c r="Z787" s="140"/>
      <c r="AA787" s="140"/>
      <c r="AB787" s="140"/>
      <c r="AC787" s="140"/>
      <c r="AD787" s="140"/>
    </row>
    <row r="788" spans="1:30" ht="11.25" customHeight="1" x14ac:dyDescent="0.2">
      <c r="A788" s="140"/>
      <c r="B788" s="140"/>
      <c r="C788" s="140"/>
      <c r="D788" s="140"/>
      <c r="E788" s="140"/>
      <c r="F788" s="140"/>
      <c r="G788" s="140"/>
      <c r="H788" s="140"/>
      <c r="I788" s="140"/>
      <c r="J788" s="140"/>
      <c r="K788" s="140"/>
      <c r="L788" s="140"/>
      <c r="M788" s="140"/>
      <c r="N788" s="140"/>
      <c r="O788" s="140"/>
      <c r="P788" s="140"/>
      <c r="Q788" s="140"/>
      <c r="R788" s="140"/>
      <c r="S788" s="140"/>
      <c r="T788" s="140"/>
      <c r="U788" s="140"/>
      <c r="V788" s="140"/>
      <c r="W788" s="140"/>
      <c r="X788" s="140"/>
      <c r="Y788" s="140"/>
      <c r="Z788" s="140"/>
      <c r="AA788" s="140"/>
      <c r="AB788" s="140"/>
      <c r="AC788" s="140"/>
      <c r="AD788" s="140"/>
    </row>
    <row r="789" spans="1:30" ht="11.25" customHeight="1" x14ac:dyDescent="0.2">
      <c r="A789" s="140"/>
      <c r="B789" s="140"/>
      <c r="C789" s="140"/>
      <c r="D789" s="140"/>
      <c r="E789" s="140"/>
      <c r="F789" s="140"/>
      <c r="G789" s="140"/>
      <c r="H789" s="140"/>
      <c r="I789" s="140"/>
      <c r="J789" s="140"/>
      <c r="K789" s="140"/>
      <c r="L789" s="140"/>
      <c r="M789" s="140"/>
      <c r="N789" s="140"/>
      <c r="O789" s="140"/>
      <c r="P789" s="140"/>
      <c r="Q789" s="140"/>
      <c r="R789" s="140"/>
      <c r="S789" s="140"/>
      <c r="T789" s="140"/>
      <c r="U789" s="140"/>
      <c r="V789" s="140"/>
      <c r="W789" s="140"/>
      <c r="X789" s="140"/>
      <c r="Y789" s="140"/>
      <c r="Z789" s="140"/>
      <c r="AA789" s="140"/>
      <c r="AB789" s="140"/>
      <c r="AC789" s="140"/>
      <c r="AD789" s="140"/>
    </row>
    <row r="790" spans="1:30" ht="11.25" customHeight="1" x14ac:dyDescent="0.2">
      <c r="A790" s="140"/>
      <c r="B790" s="140"/>
      <c r="C790" s="140"/>
      <c r="D790" s="140"/>
      <c r="E790" s="140"/>
      <c r="F790" s="140"/>
      <c r="G790" s="140"/>
      <c r="H790" s="140"/>
      <c r="I790" s="140"/>
      <c r="J790" s="140"/>
      <c r="K790" s="140"/>
      <c r="L790" s="140"/>
      <c r="M790" s="140"/>
      <c r="N790" s="140"/>
      <c r="O790" s="140"/>
      <c r="P790" s="140"/>
      <c r="Q790" s="140"/>
      <c r="R790" s="140"/>
      <c r="S790" s="140"/>
      <c r="T790" s="140"/>
      <c r="U790" s="140"/>
      <c r="V790" s="140"/>
      <c r="W790" s="140"/>
      <c r="X790" s="140"/>
      <c r="Y790" s="140"/>
      <c r="Z790" s="140"/>
      <c r="AA790" s="140"/>
      <c r="AB790" s="140"/>
      <c r="AC790" s="140"/>
      <c r="AD790" s="140"/>
    </row>
    <row r="791" spans="1:30" ht="11.25" customHeight="1" x14ac:dyDescent="0.2">
      <c r="A791" s="140"/>
      <c r="B791" s="140"/>
      <c r="C791" s="140"/>
      <c r="D791" s="140"/>
      <c r="E791" s="140"/>
      <c r="F791" s="140"/>
      <c r="G791" s="140"/>
      <c r="H791" s="140"/>
      <c r="I791" s="140"/>
      <c r="J791" s="140"/>
      <c r="K791" s="140"/>
      <c r="L791" s="140"/>
      <c r="M791" s="140"/>
      <c r="N791" s="140"/>
      <c r="O791" s="140"/>
      <c r="P791" s="140"/>
      <c r="Q791" s="140"/>
      <c r="R791" s="140"/>
      <c r="S791" s="140"/>
      <c r="T791" s="140"/>
      <c r="U791" s="140"/>
      <c r="V791" s="140"/>
      <c r="W791" s="140"/>
      <c r="X791" s="140"/>
      <c r="Y791" s="140"/>
      <c r="Z791" s="140"/>
      <c r="AA791" s="140"/>
      <c r="AB791" s="140"/>
      <c r="AC791" s="140"/>
      <c r="AD791" s="140"/>
    </row>
    <row r="792" spans="1:30" ht="11.25" customHeight="1" x14ac:dyDescent="0.2">
      <c r="A792" s="140"/>
      <c r="B792" s="140"/>
      <c r="C792" s="140"/>
      <c r="D792" s="140"/>
      <c r="E792" s="140"/>
      <c r="F792" s="140"/>
      <c r="G792" s="140"/>
      <c r="H792" s="140"/>
      <c r="I792" s="140"/>
      <c r="J792" s="140"/>
      <c r="K792" s="140"/>
      <c r="L792" s="140"/>
      <c r="M792" s="140"/>
      <c r="N792" s="140"/>
      <c r="O792" s="140"/>
      <c r="P792" s="140"/>
      <c r="Q792" s="140"/>
      <c r="R792" s="140"/>
      <c r="S792" s="140"/>
      <c r="T792" s="140"/>
      <c r="U792" s="140"/>
      <c r="V792" s="140"/>
      <c r="W792" s="140"/>
      <c r="X792" s="140"/>
      <c r="Y792" s="140"/>
      <c r="Z792" s="140"/>
      <c r="AA792" s="140"/>
      <c r="AB792" s="140"/>
      <c r="AC792" s="140"/>
      <c r="AD792" s="140"/>
    </row>
    <row r="793" spans="1:30" ht="11.25" customHeight="1" x14ac:dyDescent="0.2">
      <c r="A793" s="140"/>
      <c r="B793" s="140"/>
      <c r="C793" s="140"/>
      <c r="D793" s="140"/>
      <c r="E793" s="140"/>
      <c r="F793" s="140"/>
      <c r="G793" s="140"/>
      <c r="H793" s="140"/>
      <c r="I793" s="140"/>
      <c r="J793" s="140"/>
      <c r="K793" s="140"/>
      <c r="L793" s="140"/>
      <c r="M793" s="140"/>
      <c r="N793" s="140"/>
      <c r="O793" s="140"/>
      <c r="P793" s="140"/>
      <c r="Q793" s="140"/>
      <c r="R793" s="140"/>
      <c r="S793" s="140"/>
      <c r="T793" s="140"/>
      <c r="U793" s="140"/>
      <c r="V793" s="140"/>
      <c r="W793" s="140"/>
      <c r="X793" s="140"/>
      <c r="Y793" s="140"/>
      <c r="Z793" s="140"/>
      <c r="AA793" s="140"/>
      <c r="AB793" s="140"/>
      <c r="AC793" s="140"/>
      <c r="AD793" s="140"/>
    </row>
    <row r="794" spans="1:30" ht="11.25" customHeight="1" x14ac:dyDescent="0.2">
      <c r="A794" s="140"/>
      <c r="B794" s="140"/>
      <c r="C794" s="140"/>
      <c r="D794" s="140"/>
      <c r="E794" s="140"/>
      <c r="F794" s="140"/>
      <c r="G794" s="140"/>
      <c r="H794" s="140"/>
      <c r="I794" s="140"/>
      <c r="J794" s="140"/>
      <c r="K794" s="140"/>
      <c r="L794" s="140"/>
      <c r="M794" s="140"/>
      <c r="N794" s="140"/>
      <c r="O794" s="140"/>
      <c r="P794" s="140"/>
      <c r="Q794" s="140"/>
      <c r="R794" s="140"/>
      <c r="S794" s="140"/>
      <c r="T794" s="140"/>
      <c r="U794" s="140"/>
      <c r="V794" s="140"/>
      <c r="W794" s="140"/>
      <c r="X794" s="140"/>
      <c r="Y794" s="140"/>
      <c r="Z794" s="140"/>
      <c r="AA794" s="140"/>
      <c r="AB794" s="140"/>
      <c r="AC794" s="140"/>
      <c r="AD794" s="140"/>
    </row>
    <row r="795" spans="1:30" ht="11.25" customHeight="1" x14ac:dyDescent="0.2">
      <c r="A795" s="140"/>
      <c r="B795" s="140"/>
      <c r="C795" s="140"/>
      <c r="D795" s="140"/>
      <c r="E795" s="140"/>
      <c r="F795" s="140"/>
      <c r="G795" s="140"/>
      <c r="H795" s="140"/>
      <c r="I795" s="140"/>
      <c r="J795" s="140"/>
      <c r="K795" s="140"/>
      <c r="L795" s="140"/>
      <c r="M795" s="140"/>
      <c r="N795" s="140"/>
      <c r="O795" s="140"/>
      <c r="P795" s="140"/>
      <c r="Q795" s="140"/>
      <c r="R795" s="140"/>
      <c r="S795" s="140"/>
      <c r="T795" s="140"/>
      <c r="U795" s="140"/>
      <c r="V795" s="140"/>
      <c r="W795" s="140"/>
      <c r="X795" s="140"/>
      <c r="Y795" s="140"/>
      <c r="Z795" s="140"/>
      <c r="AA795" s="140"/>
      <c r="AB795" s="140"/>
      <c r="AC795" s="140"/>
      <c r="AD795" s="140"/>
    </row>
    <row r="796" spans="1:30" ht="11.25" customHeight="1" x14ac:dyDescent="0.2">
      <c r="A796" s="140"/>
      <c r="B796" s="140"/>
      <c r="C796" s="140"/>
      <c r="D796" s="140"/>
      <c r="E796" s="140"/>
      <c r="F796" s="140"/>
      <c r="G796" s="140"/>
      <c r="H796" s="140"/>
      <c r="I796" s="140"/>
      <c r="J796" s="140"/>
      <c r="K796" s="140"/>
      <c r="L796" s="140"/>
      <c r="M796" s="140"/>
      <c r="N796" s="140"/>
      <c r="O796" s="140"/>
      <c r="P796" s="140"/>
      <c r="Q796" s="140"/>
      <c r="R796" s="140"/>
      <c r="S796" s="140"/>
      <c r="T796" s="140"/>
      <c r="U796" s="140"/>
      <c r="V796" s="140"/>
      <c r="W796" s="140"/>
      <c r="X796" s="140"/>
      <c r="Y796" s="140"/>
      <c r="Z796" s="140"/>
      <c r="AA796" s="140"/>
      <c r="AB796" s="140"/>
      <c r="AC796" s="140"/>
      <c r="AD796" s="140"/>
    </row>
    <row r="797" spans="1:30" ht="11.25" customHeight="1" x14ac:dyDescent="0.2">
      <c r="A797" s="140"/>
      <c r="B797" s="140"/>
      <c r="C797" s="140"/>
      <c r="D797" s="140"/>
      <c r="E797" s="140"/>
      <c r="F797" s="140"/>
      <c r="G797" s="140"/>
      <c r="H797" s="140"/>
      <c r="I797" s="140"/>
      <c r="J797" s="140"/>
      <c r="K797" s="140"/>
      <c r="L797" s="140"/>
      <c r="M797" s="140"/>
      <c r="N797" s="140"/>
      <c r="O797" s="140"/>
      <c r="P797" s="140"/>
      <c r="Q797" s="140"/>
      <c r="R797" s="140"/>
      <c r="S797" s="140"/>
      <c r="T797" s="140"/>
      <c r="U797" s="140"/>
      <c r="V797" s="140"/>
      <c r="W797" s="140"/>
      <c r="X797" s="140"/>
      <c r="Y797" s="140"/>
      <c r="Z797" s="140"/>
      <c r="AA797" s="140"/>
      <c r="AB797" s="140"/>
      <c r="AC797" s="140"/>
      <c r="AD797" s="140"/>
    </row>
    <row r="798" spans="1:30" ht="11.25" customHeight="1" x14ac:dyDescent="0.2">
      <c r="A798" s="140"/>
      <c r="B798" s="140"/>
      <c r="C798" s="140"/>
      <c r="D798" s="140"/>
      <c r="E798" s="140"/>
      <c r="F798" s="140"/>
      <c r="G798" s="140"/>
      <c r="H798" s="140"/>
      <c r="I798" s="140"/>
      <c r="J798" s="140"/>
      <c r="K798" s="140"/>
      <c r="L798" s="140"/>
      <c r="M798" s="140"/>
      <c r="N798" s="140"/>
      <c r="O798" s="140"/>
      <c r="P798" s="140"/>
      <c r="Q798" s="140"/>
      <c r="R798" s="140"/>
      <c r="S798" s="140"/>
      <c r="T798" s="140"/>
      <c r="U798" s="140"/>
      <c r="V798" s="140"/>
      <c r="W798" s="140"/>
      <c r="X798" s="140"/>
      <c r="Y798" s="140"/>
      <c r="Z798" s="140"/>
      <c r="AA798" s="140"/>
      <c r="AB798" s="140"/>
      <c r="AC798" s="140"/>
      <c r="AD798" s="140"/>
    </row>
    <row r="799" spans="1:30" ht="11.25" customHeight="1" x14ac:dyDescent="0.2">
      <c r="A799" s="140"/>
      <c r="B799" s="140"/>
      <c r="C799" s="140"/>
      <c r="D799" s="140"/>
      <c r="E799" s="140"/>
      <c r="F799" s="140"/>
      <c r="G799" s="140"/>
      <c r="H799" s="140"/>
      <c r="I799" s="140"/>
      <c r="J799" s="140"/>
      <c r="K799" s="140"/>
      <c r="L799" s="140"/>
      <c r="M799" s="140"/>
      <c r="N799" s="140"/>
      <c r="O799" s="140"/>
      <c r="P799" s="140"/>
      <c r="Q799" s="140"/>
      <c r="R799" s="140"/>
      <c r="S799" s="140"/>
      <c r="T799" s="140"/>
      <c r="U799" s="140"/>
      <c r="V799" s="140"/>
      <c r="W799" s="140"/>
      <c r="X799" s="140"/>
      <c r="Y799" s="140"/>
      <c r="Z799" s="140"/>
      <c r="AA799" s="140"/>
      <c r="AB799" s="140"/>
      <c r="AC799" s="140"/>
      <c r="AD799" s="140"/>
    </row>
    <row r="800" spans="1:30" ht="11.25" customHeight="1" x14ac:dyDescent="0.2">
      <c r="A800" s="140"/>
      <c r="B800" s="140"/>
      <c r="C800" s="140"/>
      <c r="D800" s="140"/>
      <c r="E800" s="140"/>
      <c r="F800" s="140"/>
      <c r="G800" s="140"/>
      <c r="H800" s="140"/>
      <c r="I800" s="140"/>
      <c r="J800" s="140"/>
      <c r="K800" s="140"/>
      <c r="L800" s="140"/>
      <c r="M800" s="140"/>
      <c r="N800" s="140"/>
      <c r="O800" s="140"/>
      <c r="P800" s="140"/>
      <c r="Q800" s="140"/>
      <c r="R800" s="140"/>
      <c r="S800" s="140"/>
      <c r="T800" s="140"/>
      <c r="U800" s="140"/>
      <c r="V800" s="140"/>
      <c r="W800" s="140"/>
      <c r="X800" s="140"/>
      <c r="Y800" s="140"/>
      <c r="Z800" s="140"/>
      <c r="AA800" s="140"/>
      <c r="AB800" s="140"/>
      <c r="AC800" s="140"/>
      <c r="AD800" s="140"/>
    </row>
    <row r="801" spans="1:30" ht="11.25" customHeight="1" x14ac:dyDescent="0.2">
      <c r="A801" s="140"/>
      <c r="B801" s="140"/>
      <c r="C801" s="140"/>
      <c r="D801" s="140"/>
      <c r="E801" s="140"/>
      <c r="F801" s="140"/>
      <c r="G801" s="140"/>
      <c r="H801" s="140"/>
      <c r="I801" s="140"/>
      <c r="J801" s="140"/>
      <c r="K801" s="140"/>
      <c r="L801" s="140"/>
      <c r="M801" s="140"/>
      <c r="N801" s="140"/>
      <c r="O801" s="140"/>
      <c r="P801" s="140"/>
      <c r="Q801" s="140"/>
      <c r="R801" s="140"/>
      <c r="S801" s="140"/>
      <c r="T801" s="140"/>
      <c r="U801" s="140"/>
      <c r="V801" s="140"/>
      <c r="W801" s="140"/>
      <c r="X801" s="140"/>
      <c r="Y801" s="140"/>
      <c r="Z801" s="140"/>
      <c r="AA801" s="140"/>
      <c r="AB801" s="140"/>
      <c r="AC801" s="140"/>
      <c r="AD801" s="140"/>
    </row>
    <row r="802" spans="1:30" ht="11.25" customHeight="1" x14ac:dyDescent="0.2">
      <c r="A802" s="140"/>
      <c r="B802" s="140"/>
      <c r="C802" s="140"/>
      <c r="D802" s="140"/>
      <c r="E802" s="140"/>
      <c r="F802" s="140"/>
      <c r="G802" s="140"/>
      <c r="H802" s="140"/>
      <c r="I802" s="140"/>
      <c r="J802" s="140"/>
      <c r="K802" s="140"/>
      <c r="L802" s="140"/>
      <c r="M802" s="140"/>
      <c r="N802" s="140"/>
      <c r="O802" s="140"/>
      <c r="P802" s="140"/>
      <c r="Q802" s="140"/>
      <c r="R802" s="140"/>
      <c r="S802" s="140"/>
      <c r="T802" s="140"/>
      <c r="U802" s="140"/>
      <c r="V802" s="140"/>
      <c r="W802" s="140"/>
      <c r="X802" s="140"/>
      <c r="Y802" s="140"/>
      <c r="Z802" s="140"/>
      <c r="AA802" s="140"/>
      <c r="AB802" s="140"/>
      <c r="AC802" s="140"/>
      <c r="AD802" s="140"/>
    </row>
    <row r="803" spans="1:30" ht="11.25" customHeight="1" x14ac:dyDescent="0.2">
      <c r="A803" s="140"/>
      <c r="B803" s="140"/>
      <c r="C803" s="140"/>
      <c r="D803" s="140"/>
      <c r="E803" s="140"/>
      <c r="F803" s="140"/>
      <c r="G803" s="140"/>
      <c r="H803" s="140"/>
      <c r="I803" s="140"/>
      <c r="J803" s="140"/>
      <c r="K803" s="140"/>
      <c r="L803" s="140"/>
      <c r="M803" s="140"/>
      <c r="N803" s="140"/>
      <c r="O803" s="140"/>
      <c r="P803" s="140"/>
      <c r="Q803" s="140"/>
      <c r="R803" s="140"/>
      <c r="S803" s="140"/>
      <c r="T803" s="140"/>
      <c r="U803" s="140"/>
      <c r="V803" s="140"/>
      <c r="W803" s="140"/>
      <c r="X803" s="140"/>
      <c r="Y803" s="140"/>
      <c r="Z803" s="140"/>
      <c r="AA803" s="140"/>
      <c r="AB803" s="140"/>
      <c r="AC803" s="140"/>
      <c r="AD803" s="140"/>
    </row>
    <row r="804" spans="1:30" ht="11.25" customHeight="1" x14ac:dyDescent="0.2">
      <c r="A804" s="140"/>
      <c r="B804" s="140"/>
      <c r="C804" s="140"/>
      <c r="D804" s="140"/>
      <c r="E804" s="140"/>
      <c r="F804" s="140"/>
      <c r="G804" s="140"/>
      <c r="H804" s="140"/>
      <c r="I804" s="140"/>
      <c r="J804" s="140"/>
      <c r="K804" s="140"/>
      <c r="L804" s="140"/>
      <c r="M804" s="140"/>
      <c r="N804" s="140"/>
      <c r="O804" s="140"/>
      <c r="P804" s="140"/>
      <c r="Q804" s="140"/>
      <c r="R804" s="140"/>
      <c r="S804" s="140"/>
      <c r="T804" s="140"/>
      <c r="U804" s="140"/>
      <c r="V804" s="140"/>
      <c r="W804" s="140"/>
      <c r="X804" s="140"/>
      <c r="Y804" s="140"/>
      <c r="Z804" s="140"/>
      <c r="AA804" s="140"/>
      <c r="AB804" s="140"/>
      <c r="AC804" s="140"/>
      <c r="AD804" s="140"/>
    </row>
    <row r="805" spans="1:30" ht="11.25" customHeight="1" x14ac:dyDescent="0.2">
      <c r="A805" s="140"/>
      <c r="B805" s="140"/>
      <c r="C805" s="140"/>
      <c r="D805" s="140"/>
      <c r="E805" s="140"/>
      <c r="F805" s="140"/>
      <c r="G805" s="140"/>
      <c r="H805" s="140"/>
      <c r="I805" s="140"/>
      <c r="J805" s="140"/>
      <c r="K805" s="140"/>
      <c r="L805" s="140"/>
      <c r="M805" s="140"/>
      <c r="N805" s="140"/>
      <c r="O805" s="140"/>
      <c r="P805" s="140"/>
      <c r="Q805" s="140"/>
      <c r="R805" s="140"/>
      <c r="S805" s="140"/>
      <c r="T805" s="140"/>
      <c r="U805" s="140"/>
      <c r="V805" s="140"/>
      <c r="W805" s="140"/>
      <c r="X805" s="140"/>
      <c r="Y805" s="140"/>
      <c r="Z805" s="140"/>
      <c r="AA805" s="140"/>
      <c r="AB805" s="140"/>
      <c r="AC805" s="140"/>
      <c r="AD805" s="140"/>
    </row>
    <row r="806" spans="1:30" ht="11.25" customHeight="1" x14ac:dyDescent="0.2">
      <c r="A806" s="140"/>
      <c r="B806" s="140"/>
      <c r="C806" s="140"/>
      <c r="D806" s="140"/>
      <c r="E806" s="140"/>
      <c r="F806" s="140"/>
      <c r="G806" s="140"/>
      <c r="H806" s="140"/>
      <c r="I806" s="140"/>
      <c r="J806" s="140"/>
      <c r="K806" s="140"/>
      <c r="L806" s="140"/>
      <c r="M806" s="140"/>
      <c r="N806" s="140"/>
      <c r="O806" s="140"/>
      <c r="P806" s="140"/>
      <c r="Q806" s="140"/>
      <c r="R806" s="140"/>
      <c r="S806" s="140"/>
      <c r="T806" s="140"/>
      <c r="U806" s="140"/>
      <c r="V806" s="140"/>
      <c r="W806" s="140"/>
      <c r="X806" s="140"/>
      <c r="Y806" s="140"/>
      <c r="Z806" s="140"/>
      <c r="AA806" s="140"/>
      <c r="AB806" s="140"/>
      <c r="AC806" s="140"/>
      <c r="AD806" s="140"/>
    </row>
    <row r="807" spans="1:30" ht="11.25" customHeight="1" x14ac:dyDescent="0.2">
      <c r="A807" s="140"/>
      <c r="B807" s="140"/>
      <c r="C807" s="140"/>
      <c r="D807" s="140"/>
      <c r="E807" s="140"/>
      <c r="F807" s="140"/>
      <c r="G807" s="140"/>
      <c r="H807" s="140"/>
      <c r="I807" s="140"/>
      <c r="J807" s="140"/>
      <c r="K807" s="140"/>
      <c r="L807" s="140"/>
      <c r="M807" s="140"/>
      <c r="N807" s="140"/>
      <c r="O807" s="140"/>
      <c r="P807" s="140"/>
      <c r="Q807" s="140"/>
      <c r="R807" s="140"/>
      <c r="S807" s="140"/>
      <c r="T807" s="140"/>
      <c r="U807" s="140"/>
      <c r="V807" s="140"/>
      <c r="W807" s="140"/>
      <c r="X807" s="140"/>
      <c r="Y807" s="140"/>
      <c r="Z807" s="140"/>
      <c r="AA807" s="140"/>
      <c r="AB807" s="140"/>
      <c r="AC807" s="140"/>
      <c r="AD807" s="140"/>
    </row>
    <row r="808" spans="1:30" ht="11.25" customHeight="1" x14ac:dyDescent="0.2">
      <c r="A808" s="140"/>
      <c r="B808" s="140"/>
      <c r="C808" s="140"/>
      <c r="D808" s="140"/>
      <c r="E808" s="140"/>
      <c r="F808" s="140"/>
      <c r="G808" s="140"/>
      <c r="H808" s="140"/>
      <c r="I808" s="140"/>
      <c r="J808" s="140"/>
      <c r="K808" s="140"/>
      <c r="L808" s="140"/>
      <c r="M808" s="140"/>
      <c r="N808" s="140"/>
      <c r="O808" s="140"/>
      <c r="P808" s="140"/>
      <c r="Q808" s="140"/>
      <c r="R808" s="140"/>
      <c r="S808" s="140"/>
      <c r="T808" s="140"/>
      <c r="U808" s="140"/>
      <c r="V808" s="140"/>
      <c r="W808" s="140"/>
      <c r="X808" s="140"/>
      <c r="Y808" s="140"/>
      <c r="Z808" s="140"/>
      <c r="AA808" s="140"/>
      <c r="AB808" s="140"/>
      <c r="AC808" s="140"/>
      <c r="AD808" s="140"/>
    </row>
    <row r="809" spans="1:30" ht="11.25" customHeight="1" x14ac:dyDescent="0.2">
      <c r="A809" s="140"/>
      <c r="B809" s="140"/>
      <c r="C809" s="140"/>
      <c r="D809" s="140"/>
      <c r="E809" s="140"/>
      <c r="F809" s="140"/>
      <c r="G809" s="140"/>
      <c r="H809" s="140"/>
      <c r="I809" s="140"/>
      <c r="J809" s="140"/>
      <c r="K809" s="140"/>
      <c r="L809" s="140"/>
      <c r="M809" s="140"/>
      <c r="N809" s="140"/>
      <c r="O809" s="140"/>
      <c r="P809" s="140"/>
      <c r="Q809" s="140"/>
      <c r="R809" s="140"/>
      <c r="S809" s="140"/>
      <c r="T809" s="140"/>
      <c r="U809" s="140"/>
      <c r="V809" s="140"/>
      <c r="W809" s="140"/>
      <c r="X809" s="140"/>
      <c r="Y809" s="140"/>
      <c r="Z809" s="140"/>
      <c r="AA809" s="140"/>
      <c r="AB809" s="140"/>
      <c r="AC809" s="140"/>
      <c r="AD809" s="140"/>
    </row>
    <row r="810" spans="1:30" ht="11.25" customHeight="1" x14ac:dyDescent="0.2">
      <c r="A810" s="140"/>
      <c r="B810" s="140"/>
      <c r="C810" s="140"/>
      <c r="D810" s="140"/>
      <c r="E810" s="140"/>
      <c r="F810" s="140"/>
      <c r="G810" s="140"/>
      <c r="H810" s="140"/>
      <c r="I810" s="140"/>
      <c r="J810" s="140"/>
      <c r="K810" s="140"/>
      <c r="L810" s="140"/>
      <c r="M810" s="140"/>
      <c r="N810" s="140"/>
      <c r="O810" s="140"/>
      <c r="P810" s="140"/>
      <c r="Q810" s="140"/>
      <c r="R810" s="140"/>
      <c r="S810" s="140"/>
      <c r="T810" s="140"/>
      <c r="U810" s="140"/>
      <c r="V810" s="140"/>
      <c r="W810" s="140"/>
      <c r="X810" s="140"/>
      <c r="Y810" s="140"/>
      <c r="Z810" s="140"/>
      <c r="AA810" s="140"/>
      <c r="AB810" s="140"/>
      <c r="AC810" s="140"/>
      <c r="AD810" s="140"/>
    </row>
    <row r="811" spans="1:30" ht="11.25" customHeight="1" x14ac:dyDescent="0.2">
      <c r="A811" s="140"/>
      <c r="B811" s="140"/>
      <c r="C811" s="140"/>
      <c r="D811" s="140"/>
      <c r="E811" s="140"/>
      <c r="F811" s="140"/>
      <c r="G811" s="140"/>
      <c r="H811" s="140"/>
      <c r="I811" s="140"/>
      <c r="J811" s="140"/>
      <c r="K811" s="140"/>
      <c r="L811" s="140"/>
      <c r="M811" s="140"/>
      <c r="N811" s="140"/>
      <c r="O811" s="140"/>
      <c r="P811" s="140"/>
      <c r="Q811" s="140"/>
      <c r="R811" s="140"/>
      <c r="S811" s="140"/>
      <c r="T811" s="140"/>
      <c r="U811" s="140"/>
      <c r="V811" s="140"/>
      <c r="W811" s="140"/>
      <c r="X811" s="140"/>
      <c r="Y811" s="140"/>
      <c r="Z811" s="140"/>
      <c r="AA811" s="140"/>
      <c r="AB811" s="140"/>
      <c r="AC811" s="140"/>
      <c r="AD811" s="140"/>
    </row>
    <row r="812" spans="1:30" ht="11.25" customHeight="1" x14ac:dyDescent="0.2">
      <c r="A812" s="140"/>
      <c r="B812" s="140"/>
      <c r="C812" s="140"/>
      <c r="D812" s="140"/>
      <c r="E812" s="140"/>
      <c r="F812" s="140"/>
      <c r="G812" s="140"/>
      <c r="H812" s="140"/>
      <c r="I812" s="140"/>
      <c r="J812" s="140"/>
      <c r="K812" s="140"/>
      <c r="L812" s="140"/>
      <c r="M812" s="140"/>
      <c r="N812" s="140"/>
      <c r="O812" s="140"/>
      <c r="P812" s="140"/>
      <c r="Q812" s="140"/>
      <c r="R812" s="140"/>
      <c r="S812" s="140"/>
      <c r="T812" s="140"/>
      <c r="U812" s="140"/>
      <c r="V812" s="140"/>
      <c r="W812" s="140"/>
      <c r="X812" s="140"/>
      <c r="Y812" s="140"/>
      <c r="Z812" s="140"/>
      <c r="AA812" s="140"/>
      <c r="AB812" s="140"/>
      <c r="AC812" s="140"/>
      <c r="AD812" s="140"/>
    </row>
    <row r="813" spans="1:30" ht="11.25" customHeight="1" x14ac:dyDescent="0.2">
      <c r="A813" s="140"/>
      <c r="B813" s="140"/>
      <c r="C813" s="140"/>
      <c r="D813" s="140"/>
      <c r="E813" s="140"/>
      <c r="F813" s="140"/>
      <c r="G813" s="140"/>
      <c r="H813" s="140"/>
      <c r="I813" s="140"/>
      <c r="J813" s="140"/>
      <c r="K813" s="140"/>
      <c r="L813" s="140"/>
      <c r="M813" s="140"/>
      <c r="N813" s="140"/>
      <c r="O813" s="140"/>
      <c r="P813" s="140"/>
      <c r="Q813" s="140"/>
      <c r="R813" s="140"/>
      <c r="S813" s="140"/>
      <c r="T813" s="140"/>
      <c r="U813" s="140"/>
      <c r="V813" s="140"/>
      <c r="W813" s="140"/>
      <c r="X813" s="140"/>
      <c r="Y813" s="140"/>
      <c r="Z813" s="140"/>
      <c r="AA813" s="140"/>
      <c r="AB813" s="140"/>
      <c r="AC813" s="140"/>
      <c r="AD813" s="140"/>
    </row>
    <row r="814" spans="1:30" ht="11.25" customHeight="1" x14ac:dyDescent="0.2">
      <c r="A814" s="140"/>
      <c r="B814" s="140"/>
      <c r="C814" s="140"/>
      <c r="D814" s="140"/>
      <c r="E814" s="140"/>
      <c r="F814" s="140"/>
      <c r="G814" s="140"/>
      <c r="H814" s="140"/>
      <c r="I814" s="140"/>
      <c r="J814" s="140"/>
      <c r="K814" s="140"/>
      <c r="L814" s="140"/>
      <c r="M814" s="140"/>
      <c r="N814" s="140"/>
      <c r="O814" s="140"/>
      <c r="P814" s="140"/>
      <c r="Q814" s="140"/>
      <c r="R814" s="140"/>
      <c r="S814" s="140"/>
      <c r="T814" s="140"/>
      <c r="U814" s="140"/>
      <c r="V814" s="140"/>
      <c r="W814" s="140"/>
      <c r="X814" s="140"/>
      <c r="Y814" s="140"/>
      <c r="Z814" s="140"/>
      <c r="AA814" s="140"/>
      <c r="AB814" s="140"/>
      <c r="AC814" s="140"/>
      <c r="AD814" s="140"/>
    </row>
    <row r="815" spans="1:30" ht="11.25" customHeight="1" x14ac:dyDescent="0.2">
      <c r="A815" s="140"/>
      <c r="B815" s="140"/>
      <c r="C815" s="140"/>
      <c r="D815" s="140"/>
      <c r="E815" s="140"/>
      <c r="F815" s="140"/>
      <c r="G815" s="140"/>
      <c r="H815" s="140"/>
      <c r="I815" s="140"/>
      <c r="J815" s="140"/>
      <c r="K815" s="140"/>
      <c r="L815" s="140"/>
      <c r="M815" s="140"/>
      <c r="N815" s="140"/>
      <c r="O815" s="140"/>
      <c r="P815" s="140"/>
      <c r="Q815" s="140"/>
      <c r="R815" s="140"/>
      <c r="S815" s="140"/>
      <c r="T815" s="140"/>
      <c r="U815" s="140"/>
      <c r="V815" s="140"/>
      <c r="W815" s="140"/>
      <c r="X815" s="140"/>
      <c r="Y815" s="140"/>
      <c r="Z815" s="140"/>
      <c r="AA815" s="140"/>
      <c r="AB815" s="140"/>
      <c r="AC815" s="140"/>
      <c r="AD815" s="140"/>
    </row>
    <row r="816" spans="1:30" ht="11.25" customHeight="1" x14ac:dyDescent="0.2">
      <c r="A816" s="140"/>
      <c r="B816" s="140"/>
      <c r="C816" s="140"/>
      <c r="D816" s="140"/>
      <c r="E816" s="140"/>
      <c r="F816" s="140"/>
      <c r="G816" s="140"/>
      <c r="H816" s="140"/>
      <c r="I816" s="140"/>
      <c r="J816" s="140"/>
      <c r="K816" s="140"/>
      <c r="L816" s="140"/>
      <c r="M816" s="140"/>
      <c r="N816" s="140"/>
      <c r="O816" s="140"/>
      <c r="P816" s="140"/>
      <c r="Q816" s="140"/>
      <c r="R816" s="140"/>
      <c r="S816" s="140"/>
      <c r="T816" s="140"/>
      <c r="U816" s="140"/>
      <c r="V816" s="140"/>
      <c r="W816" s="140"/>
      <c r="X816" s="140"/>
      <c r="Y816" s="140"/>
      <c r="Z816" s="140"/>
      <c r="AA816" s="140"/>
      <c r="AB816" s="140"/>
      <c r="AC816" s="140"/>
      <c r="AD816" s="140"/>
    </row>
    <row r="817" spans="1:30" ht="11.25" customHeight="1" x14ac:dyDescent="0.2">
      <c r="A817" s="140"/>
      <c r="B817" s="140"/>
      <c r="C817" s="140"/>
      <c r="D817" s="140"/>
      <c r="E817" s="140"/>
      <c r="F817" s="140"/>
      <c r="G817" s="140"/>
      <c r="H817" s="140"/>
      <c r="I817" s="140"/>
      <c r="J817" s="140"/>
      <c r="K817" s="140"/>
      <c r="L817" s="140"/>
      <c r="M817" s="140"/>
      <c r="N817" s="140"/>
      <c r="O817" s="140"/>
      <c r="P817" s="140"/>
      <c r="Q817" s="140"/>
      <c r="R817" s="140"/>
      <c r="S817" s="140"/>
      <c r="T817" s="140"/>
      <c r="U817" s="140"/>
      <c r="V817" s="140"/>
      <c r="W817" s="140"/>
      <c r="X817" s="140"/>
      <c r="Y817" s="140"/>
      <c r="Z817" s="140"/>
      <c r="AA817" s="140"/>
      <c r="AB817" s="140"/>
      <c r="AC817" s="140"/>
      <c r="AD817" s="140"/>
    </row>
    <row r="818" spans="1:30" ht="11.25" customHeight="1" x14ac:dyDescent="0.2">
      <c r="A818" s="140"/>
      <c r="B818" s="140"/>
      <c r="C818" s="140"/>
      <c r="D818" s="140"/>
      <c r="E818" s="140"/>
      <c r="F818" s="140"/>
      <c r="G818" s="140"/>
      <c r="H818" s="140"/>
      <c r="I818" s="140"/>
      <c r="J818" s="140"/>
      <c r="K818" s="140"/>
      <c r="L818" s="140"/>
      <c r="M818" s="140"/>
      <c r="N818" s="140"/>
      <c r="O818" s="140"/>
      <c r="P818" s="140"/>
      <c r="Q818" s="140"/>
      <c r="R818" s="140"/>
      <c r="S818" s="140"/>
      <c r="T818" s="140"/>
      <c r="U818" s="140"/>
      <c r="V818" s="140"/>
      <c r="W818" s="140"/>
      <c r="X818" s="140"/>
      <c r="Y818" s="140"/>
      <c r="Z818" s="140"/>
      <c r="AA818" s="140"/>
      <c r="AB818" s="140"/>
      <c r="AC818" s="140"/>
      <c r="AD818" s="140"/>
    </row>
    <row r="819" spans="1:30" ht="11.25" customHeight="1" x14ac:dyDescent="0.2">
      <c r="A819" s="140"/>
      <c r="B819" s="140"/>
      <c r="C819" s="140"/>
      <c r="D819" s="140"/>
      <c r="E819" s="140"/>
      <c r="F819" s="140"/>
      <c r="G819" s="140"/>
      <c r="H819" s="140"/>
      <c r="I819" s="140"/>
      <c r="J819" s="140"/>
      <c r="K819" s="140"/>
      <c r="L819" s="140"/>
      <c r="M819" s="140"/>
      <c r="N819" s="140"/>
      <c r="O819" s="140"/>
      <c r="P819" s="140"/>
      <c r="Q819" s="140"/>
      <c r="R819" s="140"/>
      <c r="S819" s="140"/>
      <c r="T819" s="140"/>
      <c r="U819" s="140"/>
      <c r="V819" s="140"/>
      <c r="W819" s="140"/>
      <c r="X819" s="140"/>
      <c r="Y819" s="140"/>
      <c r="Z819" s="140"/>
      <c r="AA819" s="140"/>
      <c r="AB819" s="140"/>
      <c r="AC819" s="140"/>
      <c r="AD819" s="140"/>
    </row>
    <row r="820" spans="1:30" ht="11.25" customHeight="1" x14ac:dyDescent="0.2">
      <c r="A820" s="140"/>
      <c r="B820" s="140"/>
      <c r="C820" s="140"/>
      <c r="D820" s="140"/>
      <c r="E820" s="140"/>
      <c r="F820" s="140"/>
      <c r="G820" s="140"/>
      <c r="H820" s="140"/>
      <c r="I820" s="140"/>
      <c r="J820" s="140"/>
      <c r="K820" s="140"/>
      <c r="L820" s="140"/>
      <c r="M820" s="140"/>
      <c r="N820" s="140"/>
      <c r="O820" s="140"/>
      <c r="P820" s="140"/>
      <c r="Q820" s="140"/>
      <c r="R820" s="140"/>
      <c r="S820" s="140"/>
      <c r="T820" s="140"/>
      <c r="U820" s="140"/>
      <c r="V820" s="140"/>
      <c r="W820" s="140"/>
      <c r="X820" s="140"/>
      <c r="Y820" s="140"/>
      <c r="Z820" s="140"/>
      <c r="AA820" s="140"/>
      <c r="AB820" s="140"/>
      <c r="AC820" s="140"/>
      <c r="AD820" s="140"/>
    </row>
    <row r="821" spans="1:30" ht="11.25" customHeight="1" x14ac:dyDescent="0.2">
      <c r="A821" s="140"/>
      <c r="B821" s="140"/>
      <c r="C821" s="140"/>
      <c r="D821" s="140"/>
      <c r="E821" s="140"/>
      <c r="F821" s="140"/>
      <c r="G821" s="140"/>
      <c r="H821" s="140"/>
      <c r="I821" s="140"/>
      <c r="J821" s="140"/>
      <c r="K821" s="140"/>
      <c r="L821" s="140"/>
      <c r="M821" s="140"/>
      <c r="N821" s="140"/>
      <c r="O821" s="140"/>
      <c r="P821" s="140"/>
      <c r="Q821" s="140"/>
      <c r="R821" s="140"/>
      <c r="S821" s="140"/>
      <c r="T821" s="140"/>
      <c r="U821" s="140"/>
      <c r="V821" s="140"/>
      <c r="W821" s="140"/>
      <c r="X821" s="140"/>
      <c r="Y821" s="140"/>
      <c r="Z821" s="140"/>
      <c r="AA821" s="140"/>
      <c r="AB821" s="140"/>
      <c r="AC821" s="140"/>
      <c r="AD821" s="140"/>
    </row>
    <row r="822" spans="1:30" ht="11.25" customHeight="1" x14ac:dyDescent="0.2">
      <c r="A822" s="140"/>
      <c r="B822" s="140"/>
      <c r="C822" s="140"/>
      <c r="D822" s="140"/>
      <c r="E822" s="140"/>
      <c r="F822" s="140"/>
      <c r="G822" s="140"/>
      <c r="H822" s="140"/>
      <c r="I822" s="140"/>
      <c r="J822" s="140"/>
      <c r="K822" s="140"/>
      <c r="L822" s="140"/>
      <c r="M822" s="140"/>
      <c r="N822" s="140"/>
      <c r="O822" s="140"/>
      <c r="P822" s="140"/>
      <c r="Q822" s="140"/>
      <c r="R822" s="140"/>
      <c r="S822" s="140"/>
      <c r="T822" s="140"/>
      <c r="U822" s="140"/>
      <c r="V822" s="140"/>
      <c r="W822" s="140"/>
      <c r="X822" s="140"/>
      <c r="Y822" s="140"/>
      <c r="Z822" s="140"/>
      <c r="AA822" s="140"/>
      <c r="AB822" s="140"/>
      <c r="AC822" s="140"/>
      <c r="AD822" s="140"/>
    </row>
    <row r="823" spans="1:30" ht="11.25" customHeight="1" x14ac:dyDescent="0.2">
      <c r="A823" s="140"/>
      <c r="B823" s="140"/>
      <c r="C823" s="140"/>
      <c r="D823" s="140"/>
      <c r="E823" s="140"/>
      <c r="F823" s="140"/>
      <c r="G823" s="140"/>
      <c r="H823" s="140"/>
      <c r="I823" s="140"/>
      <c r="J823" s="140"/>
      <c r="K823" s="140"/>
      <c r="L823" s="140"/>
      <c r="M823" s="140"/>
      <c r="N823" s="140"/>
      <c r="O823" s="140"/>
      <c r="P823" s="140"/>
      <c r="Q823" s="140"/>
      <c r="R823" s="140"/>
      <c r="S823" s="140"/>
      <c r="T823" s="140"/>
      <c r="U823" s="140"/>
      <c r="V823" s="140"/>
      <c r="W823" s="140"/>
      <c r="X823" s="140"/>
      <c r="Y823" s="140"/>
      <c r="Z823" s="140"/>
      <c r="AA823" s="140"/>
      <c r="AB823" s="140"/>
      <c r="AC823" s="140"/>
      <c r="AD823" s="140"/>
    </row>
    <row r="824" spans="1:30" ht="11.25" customHeight="1" x14ac:dyDescent="0.2">
      <c r="A824" s="140"/>
      <c r="B824" s="140"/>
      <c r="C824" s="140"/>
      <c r="D824" s="140"/>
      <c r="E824" s="140"/>
      <c r="F824" s="140"/>
      <c r="G824" s="140"/>
      <c r="H824" s="140"/>
      <c r="I824" s="140"/>
      <c r="J824" s="140"/>
      <c r="K824" s="140"/>
      <c r="L824" s="140"/>
      <c r="M824" s="140"/>
      <c r="N824" s="140"/>
      <c r="O824" s="140"/>
      <c r="P824" s="140"/>
      <c r="Q824" s="140"/>
      <c r="R824" s="140"/>
      <c r="S824" s="140"/>
      <c r="T824" s="140"/>
      <c r="U824" s="140"/>
      <c r="V824" s="140"/>
      <c r="W824" s="140"/>
      <c r="X824" s="140"/>
      <c r="Y824" s="140"/>
      <c r="Z824" s="140"/>
      <c r="AA824" s="140"/>
      <c r="AB824" s="140"/>
      <c r="AC824" s="140"/>
      <c r="AD824" s="140"/>
    </row>
    <row r="825" spans="1:30" ht="11.25" customHeight="1" x14ac:dyDescent="0.2">
      <c r="A825" s="140"/>
      <c r="B825" s="140"/>
      <c r="C825" s="140"/>
      <c r="D825" s="140"/>
      <c r="E825" s="140"/>
      <c r="F825" s="140"/>
      <c r="G825" s="140"/>
      <c r="H825" s="140"/>
      <c r="I825" s="140"/>
      <c r="J825" s="140"/>
      <c r="K825" s="140"/>
      <c r="L825" s="140"/>
      <c r="M825" s="140"/>
      <c r="N825" s="140"/>
      <c r="O825" s="140"/>
      <c r="P825" s="140"/>
      <c r="Q825" s="140"/>
      <c r="R825" s="140"/>
      <c r="S825" s="140"/>
      <c r="T825" s="140"/>
      <c r="U825" s="140"/>
      <c r="V825" s="140"/>
      <c r="W825" s="140"/>
      <c r="X825" s="140"/>
      <c r="Y825" s="140"/>
      <c r="Z825" s="140"/>
      <c r="AA825" s="140"/>
      <c r="AB825" s="140"/>
      <c r="AC825" s="140"/>
      <c r="AD825" s="140"/>
    </row>
    <row r="826" spans="1:30" ht="11.25" customHeight="1" x14ac:dyDescent="0.2">
      <c r="A826" s="140"/>
      <c r="B826" s="140"/>
      <c r="C826" s="140"/>
      <c r="D826" s="140"/>
      <c r="E826" s="140"/>
      <c r="F826" s="140"/>
      <c r="G826" s="140"/>
      <c r="H826" s="140"/>
      <c r="I826" s="140"/>
      <c r="J826" s="140"/>
      <c r="K826" s="140"/>
      <c r="L826" s="140"/>
      <c r="M826" s="140"/>
      <c r="N826" s="140"/>
      <c r="O826" s="140"/>
      <c r="P826" s="140"/>
      <c r="Q826" s="140"/>
      <c r="R826" s="140"/>
      <c r="S826" s="140"/>
      <c r="T826" s="140"/>
      <c r="U826" s="140"/>
      <c r="V826" s="140"/>
      <c r="W826" s="140"/>
      <c r="X826" s="140"/>
      <c r="Y826" s="140"/>
      <c r="Z826" s="140"/>
      <c r="AA826" s="140"/>
      <c r="AB826" s="140"/>
      <c r="AC826" s="140"/>
      <c r="AD826" s="140"/>
    </row>
    <row r="827" spans="1:30" ht="11.25" customHeight="1" x14ac:dyDescent="0.2">
      <c r="A827" s="140"/>
      <c r="B827" s="140"/>
      <c r="C827" s="140"/>
      <c r="D827" s="140"/>
      <c r="E827" s="140"/>
      <c r="F827" s="140"/>
      <c r="G827" s="140"/>
      <c r="H827" s="140"/>
      <c r="I827" s="140"/>
      <c r="J827" s="140"/>
      <c r="K827" s="140"/>
      <c r="L827" s="140"/>
      <c r="M827" s="140"/>
      <c r="N827" s="140"/>
      <c r="O827" s="140"/>
      <c r="P827" s="140"/>
      <c r="Q827" s="140"/>
      <c r="R827" s="140"/>
      <c r="S827" s="140"/>
      <c r="T827" s="140"/>
      <c r="U827" s="140"/>
      <c r="V827" s="140"/>
      <c r="W827" s="140"/>
      <c r="X827" s="140"/>
      <c r="Y827" s="140"/>
      <c r="Z827" s="140"/>
      <c r="AA827" s="140"/>
      <c r="AB827" s="140"/>
      <c r="AC827" s="140"/>
      <c r="AD827" s="140"/>
    </row>
    <row r="828" spans="1:30" ht="11.25" customHeight="1" x14ac:dyDescent="0.2">
      <c r="A828" s="140"/>
      <c r="B828" s="140"/>
      <c r="C828" s="140"/>
      <c r="D828" s="140"/>
      <c r="E828" s="140"/>
      <c r="F828" s="140"/>
      <c r="G828" s="140"/>
      <c r="H828" s="140"/>
      <c r="I828" s="140"/>
      <c r="J828" s="140"/>
      <c r="K828" s="140"/>
      <c r="L828" s="140"/>
      <c r="M828" s="140"/>
      <c r="N828" s="140"/>
      <c r="O828" s="140"/>
      <c r="P828" s="140"/>
      <c r="Q828" s="140"/>
      <c r="R828" s="140"/>
      <c r="S828" s="140"/>
      <c r="T828" s="140"/>
      <c r="U828" s="140"/>
      <c r="V828" s="140"/>
      <c r="W828" s="140"/>
      <c r="X828" s="140"/>
      <c r="Y828" s="140"/>
      <c r="Z828" s="140"/>
      <c r="AA828" s="140"/>
      <c r="AB828" s="140"/>
      <c r="AC828" s="140"/>
      <c r="AD828" s="140"/>
    </row>
    <row r="829" spans="1:30" ht="11.25" customHeight="1" x14ac:dyDescent="0.2">
      <c r="A829" s="140"/>
      <c r="B829" s="140"/>
      <c r="C829" s="140"/>
      <c r="D829" s="140"/>
      <c r="E829" s="140"/>
      <c r="F829" s="140"/>
      <c r="G829" s="140"/>
      <c r="H829" s="140"/>
      <c r="I829" s="140"/>
      <c r="J829" s="140"/>
      <c r="K829" s="140"/>
      <c r="L829" s="140"/>
      <c r="M829" s="140"/>
      <c r="N829" s="140"/>
      <c r="O829" s="140"/>
      <c r="P829" s="140"/>
      <c r="Q829" s="140"/>
      <c r="R829" s="140"/>
      <c r="S829" s="140"/>
      <c r="T829" s="140"/>
      <c r="U829" s="140"/>
      <c r="V829" s="140"/>
      <c r="W829" s="140"/>
      <c r="X829" s="140"/>
      <c r="Y829" s="140"/>
      <c r="Z829" s="140"/>
      <c r="AA829" s="140"/>
      <c r="AB829" s="140"/>
      <c r="AC829" s="140"/>
      <c r="AD829" s="140"/>
    </row>
    <row r="830" spans="1:30" ht="11.25" customHeight="1" x14ac:dyDescent="0.2">
      <c r="A830" s="140"/>
      <c r="B830" s="140"/>
      <c r="C830" s="140"/>
      <c r="D830" s="140"/>
      <c r="E830" s="140"/>
      <c r="F830" s="140"/>
      <c r="G830" s="140"/>
      <c r="H830" s="140"/>
      <c r="I830" s="140"/>
      <c r="J830" s="140"/>
      <c r="K830" s="140"/>
      <c r="L830" s="140"/>
      <c r="M830" s="140"/>
      <c r="N830" s="140"/>
      <c r="O830" s="140"/>
      <c r="P830" s="140"/>
      <c r="Q830" s="140"/>
      <c r="R830" s="140"/>
      <c r="S830" s="140"/>
      <c r="T830" s="140"/>
      <c r="U830" s="140"/>
      <c r="V830" s="140"/>
      <c r="W830" s="140"/>
      <c r="X830" s="140"/>
      <c r="Y830" s="140"/>
      <c r="Z830" s="140"/>
      <c r="AA830" s="140"/>
      <c r="AB830" s="140"/>
      <c r="AC830" s="140"/>
      <c r="AD830" s="140"/>
    </row>
    <row r="831" spans="1:30" ht="11.25" customHeight="1" x14ac:dyDescent="0.2">
      <c r="A831" s="140"/>
      <c r="B831" s="140"/>
      <c r="C831" s="140"/>
      <c r="D831" s="140"/>
      <c r="E831" s="140"/>
      <c r="F831" s="140"/>
      <c r="G831" s="140"/>
      <c r="H831" s="140"/>
      <c r="I831" s="140"/>
      <c r="J831" s="140"/>
      <c r="K831" s="140"/>
      <c r="L831" s="140"/>
      <c r="M831" s="140"/>
      <c r="N831" s="140"/>
      <c r="O831" s="140"/>
      <c r="P831" s="140"/>
      <c r="Q831" s="140"/>
      <c r="R831" s="140"/>
      <c r="S831" s="140"/>
      <c r="T831" s="140"/>
      <c r="U831" s="140"/>
      <c r="V831" s="140"/>
      <c r="W831" s="140"/>
      <c r="X831" s="140"/>
      <c r="Y831" s="140"/>
      <c r="Z831" s="140"/>
      <c r="AA831" s="140"/>
      <c r="AB831" s="140"/>
      <c r="AC831" s="140"/>
      <c r="AD831" s="140"/>
    </row>
    <row r="832" spans="1:30" ht="11.25" customHeight="1" x14ac:dyDescent="0.2">
      <c r="A832" s="140"/>
      <c r="B832" s="140"/>
      <c r="C832" s="140"/>
      <c r="D832" s="140"/>
      <c r="E832" s="140"/>
      <c r="F832" s="140"/>
      <c r="G832" s="140"/>
      <c r="H832" s="140"/>
      <c r="I832" s="140"/>
      <c r="J832" s="140"/>
      <c r="K832" s="140"/>
      <c r="L832" s="140"/>
      <c r="M832" s="140"/>
      <c r="N832" s="140"/>
      <c r="O832" s="140"/>
      <c r="P832" s="140"/>
      <c r="Q832" s="140"/>
      <c r="R832" s="140"/>
      <c r="S832" s="140"/>
      <c r="T832" s="140"/>
      <c r="U832" s="140"/>
      <c r="V832" s="140"/>
      <c r="W832" s="140"/>
      <c r="X832" s="140"/>
      <c r="Y832" s="140"/>
      <c r="Z832" s="140"/>
      <c r="AA832" s="140"/>
      <c r="AB832" s="140"/>
      <c r="AC832" s="140"/>
      <c r="AD832" s="140"/>
    </row>
    <row r="833" spans="1:30" ht="11.25" customHeight="1" x14ac:dyDescent="0.2">
      <c r="A833" s="140"/>
      <c r="B833" s="140"/>
      <c r="C833" s="140"/>
      <c r="D833" s="140"/>
      <c r="E833" s="140"/>
      <c r="F833" s="140"/>
      <c r="G833" s="140"/>
      <c r="H833" s="140"/>
      <c r="I833" s="140"/>
      <c r="J833" s="140"/>
      <c r="K833" s="140"/>
      <c r="L833" s="140"/>
      <c r="M833" s="140"/>
      <c r="N833" s="140"/>
      <c r="O833" s="140"/>
      <c r="P833" s="140"/>
      <c r="Q833" s="140"/>
      <c r="R833" s="140"/>
      <c r="S833" s="140"/>
      <c r="T833" s="140"/>
      <c r="U833" s="140"/>
      <c r="V833" s="140"/>
      <c r="W833" s="140"/>
      <c r="X833" s="140"/>
      <c r="Y833" s="140"/>
      <c r="Z833" s="140"/>
      <c r="AA833" s="140"/>
      <c r="AB833" s="140"/>
      <c r="AC833" s="140"/>
      <c r="AD833" s="140"/>
    </row>
    <row r="834" spans="1:30" ht="11.25" customHeight="1" x14ac:dyDescent="0.2">
      <c r="A834" s="140"/>
      <c r="B834" s="140"/>
      <c r="C834" s="140"/>
      <c r="D834" s="140"/>
      <c r="E834" s="140"/>
      <c r="F834" s="140"/>
      <c r="G834" s="140"/>
      <c r="H834" s="140"/>
      <c r="I834" s="140"/>
      <c r="J834" s="140"/>
      <c r="K834" s="140"/>
      <c r="L834" s="140"/>
      <c r="M834" s="140"/>
      <c r="N834" s="140"/>
      <c r="O834" s="140"/>
      <c r="P834" s="140"/>
      <c r="Q834" s="140"/>
      <c r="R834" s="140"/>
      <c r="S834" s="140"/>
      <c r="T834" s="140"/>
      <c r="U834" s="140"/>
      <c r="V834" s="140"/>
      <c r="W834" s="140"/>
      <c r="X834" s="140"/>
      <c r="Y834" s="140"/>
      <c r="Z834" s="140"/>
      <c r="AA834" s="140"/>
      <c r="AB834" s="140"/>
      <c r="AC834" s="140"/>
      <c r="AD834" s="140"/>
    </row>
    <row r="835" spans="1:30" ht="11.25" customHeight="1" x14ac:dyDescent="0.2">
      <c r="A835" s="140"/>
      <c r="B835" s="140"/>
      <c r="C835" s="140"/>
      <c r="D835" s="140"/>
      <c r="E835" s="140"/>
      <c r="F835" s="140"/>
      <c r="G835" s="140"/>
      <c r="H835" s="140"/>
      <c r="I835" s="140"/>
      <c r="J835" s="140"/>
      <c r="K835" s="140"/>
      <c r="L835" s="140"/>
      <c r="M835" s="140"/>
      <c r="N835" s="140"/>
      <c r="O835" s="140"/>
      <c r="P835" s="140"/>
      <c r="Q835" s="140"/>
      <c r="R835" s="140"/>
      <c r="S835" s="140"/>
      <c r="T835" s="140"/>
      <c r="U835" s="140"/>
      <c r="V835" s="140"/>
      <c r="W835" s="140"/>
      <c r="X835" s="140"/>
      <c r="Y835" s="140"/>
      <c r="Z835" s="140"/>
      <c r="AA835" s="140"/>
      <c r="AB835" s="140"/>
      <c r="AC835" s="140"/>
      <c r="AD835" s="140"/>
    </row>
    <row r="836" spans="1:30" ht="11.25" customHeight="1" x14ac:dyDescent="0.2">
      <c r="A836" s="140"/>
      <c r="B836" s="140"/>
      <c r="C836" s="140"/>
      <c r="D836" s="140"/>
      <c r="E836" s="140"/>
      <c r="F836" s="140"/>
      <c r="G836" s="140"/>
      <c r="H836" s="140"/>
      <c r="I836" s="140"/>
      <c r="J836" s="140"/>
      <c r="K836" s="140"/>
      <c r="L836" s="140"/>
      <c r="M836" s="140"/>
      <c r="N836" s="140"/>
      <c r="O836" s="140"/>
      <c r="P836" s="140"/>
      <c r="Q836" s="140"/>
      <c r="R836" s="140"/>
      <c r="S836" s="140"/>
      <c r="T836" s="140"/>
      <c r="U836" s="140"/>
      <c r="V836" s="140"/>
      <c r="W836" s="140"/>
      <c r="X836" s="140"/>
      <c r="Y836" s="140"/>
      <c r="Z836" s="140"/>
      <c r="AA836" s="140"/>
      <c r="AB836" s="140"/>
      <c r="AC836" s="140"/>
      <c r="AD836" s="140"/>
    </row>
    <row r="837" spans="1:30" ht="11.25" customHeight="1" x14ac:dyDescent="0.2">
      <c r="A837" s="140"/>
      <c r="B837" s="140"/>
      <c r="C837" s="140"/>
      <c r="D837" s="140"/>
      <c r="E837" s="140"/>
      <c r="F837" s="140"/>
      <c r="G837" s="140"/>
      <c r="H837" s="140"/>
      <c r="I837" s="140"/>
      <c r="J837" s="140"/>
      <c r="K837" s="140"/>
      <c r="L837" s="140"/>
      <c r="M837" s="140"/>
      <c r="N837" s="140"/>
      <c r="O837" s="140"/>
      <c r="P837" s="140"/>
      <c r="Q837" s="140"/>
      <c r="R837" s="140"/>
      <c r="S837" s="140"/>
      <c r="T837" s="140"/>
      <c r="U837" s="140"/>
      <c r="V837" s="140"/>
      <c r="W837" s="140"/>
      <c r="X837" s="140"/>
      <c r="Y837" s="140"/>
      <c r="Z837" s="140"/>
      <c r="AA837" s="140"/>
      <c r="AB837" s="140"/>
      <c r="AC837" s="140"/>
      <c r="AD837" s="140"/>
    </row>
    <row r="838" spans="1:30" ht="11.25" customHeight="1" x14ac:dyDescent="0.2">
      <c r="A838" s="140"/>
      <c r="B838" s="140"/>
      <c r="C838" s="140"/>
      <c r="D838" s="140"/>
      <c r="E838" s="140"/>
      <c r="F838" s="140"/>
      <c r="G838" s="140"/>
      <c r="H838" s="140"/>
      <c r="I838" s="140"/>
      <c r="J838" s="140"/>
      <c r="K838" s="140"/>
      <c r="L838" s="140"/>
      <c r="M838" s="140"/>
      <c r="N838" s="140"/>
      <c r="O838" s="140"/>
      <c r="P838" s="140"/>
      <c r="Q838" s="140"/>
      <c r="R838" s="140"/>
      <c r="S838" s="140"/>
      <c r="T838" s="140"/>
      <c r="U838" s="140"/>
      <c r="V838" s="140"/>
      <c r="W838" s="140"/>
      <c r="X838" s="140"/>
      <c r="Y838" s="140"/>
      <c r="Z838" s="140"/>
      <c r="AA838" s="140"/>
      <c r="AB838" s="140"/>
      <c r="AC838" s="140"/>
      <c r="AD838" s="140"/>
    </row>
    <row r="839" spans="1:30" ht="11.25" customHeight="1" x14ac:dyDescent="0.2">
      <c r="A839" s="140"/>
      <c r="B839" s="140"/>
      <c r="C839" s="140"/>
      <c r="D839" s="140"/>
      <c r="E839" s="140"/>
      <c r="F839" s="140"/>
      <c r="G839" s="140"/>
      <c r="H839" s="140"/>
      <c r="I839" s="140"/>
      <c r="J839" s="140"/>
      <c r="K839" s="140"/>
      <c r="L839" s="140"/>
      <c r="M839" s="140"/>
      <c r="N839" s="140"/>
      <c r="O839" s="140"/>
      <c r="P839" s="140"/>
      <c r="Q839" s="140"/>
      <c r="R839" s="140"/>
      <c r="S839" s="140"/>
      <c r="T839" s="140"/>
      <c r="U839" s="140"/>
      <c r="V839" s="140"/>
      <c r="W839" s="140"/>
      <c r="X839" s="140"/>
      <c r="Y839" s="140"/>
      <c r="Z839" s="140"/>
      <c r="AA839" s="140"/>
      <c r="AB839" s="140"/>
      <c r="AC839" s="140"/>
      <c r="AD839" s="140"/>
    </row>
    <row r="840" spans="1:30" ht="11.25" customHeight="1" x14ac:dyDescent="0.2">
      <c r="A840" s="140"/>
      <c r="B840" s="140"/>
      <c r="C840" s="140"/>
      <c r="D840" s="140"/>
      <c r="E840" s="140"/>
      <c r="F840" s="140"/>
      <c r="G840" s="140"/>
      <c r="H840" s="140"/>
      <c r="I840" s="140"/>
      <c r="J840" s="140"/>
      <c r="K840" s="140"/>
      <c r="L840" s="140"/>
      <c r="M840" s="140"/>
      <c r="N840" s="140"/>
      <c r="O840" s="140"/>
      <c r="P840" s="140"/>
      <c r="Q840" s="140"/>
      <c r="R840" s="140"/>
      <c r="S840" s="140"/>
      <c r="T840" s="140"/>
      <c r="U840" s="140"/>
      <c r="V840" s="140"/>
      <c r="W840" s="140"/>
      <c r="X840" s="140"/>
      <c r="Y840" s="140"/>
      <c r="Z840" s="140"/>
      <c r="AA840" s="140"/>
      <c r="AB840" s="140"/>
      <c r="AC840" s="140"/>
      <c r="AD840" s="140"/>
    </row>
    <row r="841" spans="1:30" ht="11.25" customHeight="1" x14ac:dyDescent="0.2">
      <c r="A841" s="140"/>
      <c r="B841" s="140"/>
      <c r="C841" s="140"/>
      <c r="D841" s="140"/>
      <c r="E841" s="140"/>
      <c r="F841" s="140"/>
      <c r="G841" s="140"/>
      <c r="H841" s="140"/>
      <c r="I841" s="140"/>
      <c r="J841" s="140"/>
      <c r="K841" s="140"/>
      <c r="L841" s="140"/>
      <c r="M841" s="140"/>
      <c r="N841" s="140"/>
      <c r="O841" s="140"/>
      <c r="P841" s="140"/>
      <c r="Q841" s="140"/>
      <c r="R841" s="140"/>
      <c r="S841" s="140"/>
      <c r="T841" s="140"/>
      <c r="U841" s="140"/>
      <c r="V841" s="140"/>
      <c r="W841" s="140"/>
      <c r="X841" s="140"/>
      <c r="Y841" s="140"/>
      <c r="Z841" s="140"/>
      <c r="AA841" s="140"/>
      <c r="AB841" s="140"/>
      <c r="AC841" s="140"/>
      <c r="AD841" s="140"/>
    </row>
    <row r="842" spans="1:30" ht="11.25" customHeight="1" x14ac:dyDescent="0.2">
      <c r="A842" s="140"/>
      <c r="B842" s="140"/>
      <c r="C842" s="140"/>
      <c r="D842" s="140"/>
      <c r="E842" s="140"/>
      <c r="F842" s="140"/>
      <c r="G842" s="140"/>
      <c r="H842" s="140"/>
      <c r="I842" s="140"/>
      <c r="J842" s="140"/>
      <c r="K842" s="140"/>
      <c r="L842" s="140"/>
      <c r="M842" s="140"/>
      <c r="N842" s="140"/>
      <c r="O842" s="140"/>
      <c r="P842" s="140"/>
      <c r="Q842" s="140"/>
      <c r="R842" s="140"/>
      <c r="S842" s="140"/>
      <c r="T842" s="140"/>
      <c r="U842" s="140"/>
      <c r="V842" s="140"/>
      <c r="W842" s="140"/>
      <c r="X842" s="140"/>
      <c r="Y842" s="140"/>
      <c r="Z842" s="140"/>
      <c r="AA842" s="140"/>
      <c r="AB842" s="140"/>
      <c r="AC842" s="140"/>
      <c r="AD842" s="140"/>
    </row>
    <row r="843" spans="1:30" ht="11.25" customHeight="1" x14ac:dyDescent="0.2">
      <c r="A843" s="140"/>
      <c r="B843" s="140"/>
      <c r="C843" s="140"/>
      <c r="D843" s="140"/>
      <c r="E843" s="140"/>
      <c r="F843" s="140"/>
      <c r="G843" s="140"/>
      <c r="H843" s="140"/>
      <c r="I843" s="140"/>
      <c r="J843" s="140"/>
      <c r="K843" s="140"/>
      <c r="L843" s="140"/>
      <c r="M843" s="140"/>
      <c r="N843" s="140"/>
      <c r="O843" s="140"/>
      <c r="P843" s="140"/>
      <c r="Q843" s="140"/>
      <c r="R843" s="140"/>
      <c r="S843" s="140"/>
      <c r="T843" s="140"/>
      <c r="U843" s="140"/>
      <c r="V843" s="140"/>
      <c r="W843" s="140"/>
      <c r="X843" s="140"/>
      <c r="Y843" s="140"/>
      <c r="Z843" s="140"/>
      <c r="AA843" s="140"/>
      <c r="AB843" s="140"/>
      <c r="AC843" s="140"/>
      <c r="AD843" s="140"/>
    </row>
    <row r="844" spans="1:30" ht="11.25" customHeight="1" x14ac:dyDescent="0.2">
      <c r="A844" s="140"/>
      <c r="B844" s="140"/>
      <c r="C844" s="140"/>
      <c r="D844" s="140"/>
      <c r="E844" s="140"/>
      <c r="F844" s="140"/>
      <c r="G844" s="140"/>
      <c r="H844" s="140"/>
      <c r="I844" s="140"/>
      <c r="J844" s="140"/>
      <c r="K844" s="140"/>
      <c r="L844" s="140"/>
      <c r="M844" s="140"/>
      <c r="N844" s="140"/>
      <c r="O844" s="140"/>
      <c r="P844" s="140"/>
      <c r="Q844" s="140"/>
      <c r="R844" s="140"/>
      <c r="S844" s="140"/>
      <c r="T844" s="140"/>
      <c r="U844" s="140"/>
      <c r="V844" s="140"/>
      <c r="W844" s="140"/>
      <c r="X844" s="140"/>
      <c r="Y844" s="140"/>
      <c r="Z844" s="140"/>
      <c r="AA844" s="140"/>
      <c r="AB844" s="140"/>
      <c r="AC844" s="140"/>
      <c r="AD844" s="140"/>
    </row>
    <row r="845" spans="1:30" ht="11.25" customHeight="1" x14ac:dyDescent="0.2">
      <c r="A845" s="140"/>
      <c r="B845" s="140"/>
      <c r="C845" s="140"/>
      <c r="D845" s="140"/>
      <c r="E845" s="140"/>
      <c r="F845" s="140"/>
      <c r="G845" s="140"/>
      <c r="H845" s="140"/>
      <c r="I845" s="140"/>
      <c r="J845" s="140"/>
      <c r="K845" s="140"/>
      <c r="L845" s="140"/>
      <c r="M845" s="140"/>
      <c r="N845" s="140"/>
      <c r="O845" s="140"/>
      <c r="P845" s="140"/>
      <c r="Q845" s="140"/>
      <c r="R845" s="140"/>
      <c r="S845" s="140"/>
      <c r="T845" s="140"/>
      <c r="U845" s="140"/>
      <c r="V845" s="140"/>
      <c r="W845" s="140"/>
      <c r="X845" s="140"/>
      <c r="Y845" s="140"/>
      <c r="Z845" s="140"/>
      <c r="AA845" s="140"/>
      <c r="AB845" s="140"/>
      <c r="AC845" s="140"/>
      <c r="AD845" s="140"/>
    </row>
    <row r="846" spans="1:30" ht="11.25" customHeight="1" x14ac:dyDescent="0.2">
      <c r="A846" s="140"/>
      <c r="B846" s="140"/>
      <c r="C846" s="140"/>
      <c r="D846" s="140"/>
      <c r="E846" s="140"/>
      <c r="F846" s="140"/>
      <c r="G846" s="140"/>
      <c r="H846" s="140"/>
      <c r="I846" s="140"/>
      <c r="J846" s="140"/>
      <c r="K846" s="140"/>
      <c r="L846" s="140"/>
      <c r="M846" s="140"/>
      <c r="N846" s="140"/>
      <c r="O846" s="140"/>
      <c r="P846" s="140"/>
      <c r="Q846" s="140"/>
      <c r="R846" s="140"/>
      <c r="S846" s="140"/>
      <c r="T846" s="140"/>
      <c r="U846" s="140"/>
      <c r="V846" s="140"/>
      <c r="W846" s="140"/>
      <c r="X846" s="140"/>
      <c r="Y846" s="140"/>
      <c r="Z846" s="140"/>
      <c r="AA846" s="140"/>
      <c r="AB846" s="140"/>
      <c r="AC846" s="140"/>
      <c r="AD846" s="140"/>
    </row>
    <row r="847" spans="1:30" ht="11.25" customHeight="1" x14ac:dyDescent="0.2">
      <c r="A847" s="140"/>
      <c r="B847" s="140"/>
      <c r="C847" s="140"/>
      <c r="D847" s="140"/>
      <c r="E847" s="140"/>
      <c r="F847" s="140"/>
      <c r="G847" s="140"/>
      <c r="H847" s="140"/>
      <c r="I847" s="140"/>
      <c r="J847" s="140"/>
      <c r="K847" s="140"/>
      <c r="L847" s="140"/>
      <c r="M847" s="140"/>
      <c r="N847" s="140"/>
      <c r="O847" s="140"/>
      <c r="P847" s="140"/>
      <c r="Q847" s="140"/>
      <c r="R847" s="140"/>
      <c r="S847" s="140"/>
      <c r="T847" s="140"/>
      <c r="U847" s="140"/>
      <c r="V847" s="140"/>
      <c r="W847" s="140"/>
      <c r="X847" s="140"/>
      <c r="Y847" s="140"/>
      <c r="Z847" s="140"/>
      <c r="AA847" s="140"/>
      <c r="AB847" s="140"/>
      <c r="AC847" s="140"/>
      <c r="AD847" s="140"/>
    </row>
    <row r="848" spans="1:30" ht="11.25" customHeight="1" x14ac:dyDescent="0.2">
      <c r="A848" s="140"/>
      <c r="B848" s="140"/>
      <c r="C848" s="140"/>
      <c r="D848" s="140"/>
      <c r="E848" s="140"/>
      <c r="F848" s="140"/>
      <c r="G848" s="140"/>
      <c r="H848" s="140"/>
      <c r="I848" s="140"/>
      <c r="J848" s="140"/>
      <c r="K848" s="140"/>
      <c r="L848" s="140"/>
      <c r="M848" s="140"/>
      <c r="N848" s="140"/>
      <c r="O848" s="140"/>
      <c r="P848" s="140"/>
      <c r="Q848" s="140"/>
      <c r="R848" s="140"/>
      <c r="S848" s="140"/>
      <c r="T848" s="140"/>
      <c r="U848" s="140"/>
      <c r="V848" s="140"/>
      <c r="W848" s="140"/>
      <c r="X848" s="140"/>
      <c r="Y848" s="140"/>
      <c r="Z848" s="140"/>
      <c r="AA848" s="140"/>
      <c r="AB848" s="140"/>
      <c r="AC848" s="140"/>
      <c r="AD848" s="140"/>
    </row>
    <row r="849" spans="1:30" ht="11.25" customHeight="1" x14ac:dyDescent="0.2">
      <c r="A849" s="140"/>
      <c r="B849" s="140"/>
      <c r="C849" s="140"/>
      <c r="D849" s="140"/>
      <c r="E849" s="140"/>
      <c r="F849" s="140"/>
      <c r="G849" s="140"/>
      <c r="H849" s="140"/>
      <c r="I849" s="140"/>
      <c r="J849" s="140"/>
      <c r="K849" s="140"/>
      <c r="L849" s="140"/>
      <c r="M849" s="140"/>
      <c r="N849" s="140"/>
      <c r="O849" s="140"/>
      <c r="P849" s="140"/>
      <c r="Q849" s="140"/>
      <c r="R849" s="140"/>
      <c r="S849" s="140"/>
      <c r="T849" s="140"/>
      <c r="U849" s="140"/>
      <c r="V849" s="140"/>
      <c r="W849" s="140"/>
      <c r="X849" s="140"/>
      <c r="Y849" s="140"/>
      <c r="Z849" s="140"/>
      <c r="AA849" s="140"/>
      <c r="AB849" s="140"/>
      <c r="AC849" s="140"/>
      <c r="AD849" s="140"/>
    </row>
    <row r="850" spans="1:30" ht="11.25" customHeight="1" x14ac:dyDescent="0.2">
      <c r="A850" s="140"/>
      <c r="B850" s="140"/>
      <c r="C850" s="140"/>
      <c r="D850" s="140"/>
      <c r="E850" s="140"/>
      <c r="F850" s="140"/>
      <c r="G850" s="140"/>
      <c r="H850" s="140"/>
      <c r="I850" s="140"/>
      <c r="J850" s="140"/>
      <c r="K850" s="140"/>
      <c r="L850" s="140"/>
      <c r="M850" s="140"/>
      <c r="N850" s="140"/>
      <c r="O850" s="140"/>
      <c r="P850" s="140"/>
      <c r="Q850" s="140"/>
      <c r="R850" s="140"/>
      <c r="S850" s="140"/>
      <c r="T850" s="140"/>
      <c r="U850" s="140"/>
      <c r="V850" s="140"/>
      <c r="W850" s="140"/>
      <c r="X850" s="140"/>
      <c r="Y850" s="140"/>
      <c r="Z850" s="140"/>
      <c r="AA850" s="140"/>
      <c r="AB850" s="140"/>
      <c r="AC850" s="140"/>
      <c r="AD850" s="140"/>
    </row>
    <row r="851" spans="1:30" ht="11.25" customHeight="1" x14ac:dyDescent="0.2">
      <c r="A851" s="140"/>
      <c r="B851" s="140"/>
      <c r="C851" s="140"/>
      <c r="D851" s="140"/>
      <c r="E851" s="140"/>
      <c r="F851" s="140"/>
      <c r="G851" s="140"/>
      <c r="H851" s="140"/>
      <c r="I851" s="140"/>
      <c r="J851" s="140"/>
      <c r="K851" s="140"/>
      <c r="L851" s="140"/>
      <c r="M851" s="140"/>
      <c r="N851" s="140"/>
      <c r="O851" s="140"/>
      <c r="P851" s="140"/>
      <c r="Q851" s="140"/>
      <c r="R851" s="140"/>
      <c r="S851" s="140"/>
      <c r="T851" s="140"/>
      <c r="U851" s="140"/>
      <c r="V851" s="140"/>
      <c r="W851" s="140"/>
      <c r="X851" s="140"/>
      <c r="Y851" s="140"/>
      <c r="Z851" s="140"/>
      <c r="AA851" s="140"/>
      <c r="AB851" s="140"/>
      <c r="AC851" s="140"/>
      <c r="AD851" s="140"/>
    </row>
    <row r="852" spans="1:30" ht="11.25" customHeight="1" x14ac:dyDescent="0.2">
      <c r="A852" s="140"/>
      <c r="B852" s="140"/>
      <c r="C852" s="140"/>
      <c r="D852" s="140"/>
      <c r="E852" s="140"/>
      <c r="F852" s="140"/>
      <c r="G852" s="140"/>
      <c r="H852" s="140"/>
      <c r="I852" s="140"/>
      <c r="J852" s="140"/>
      <c r="K852" s="140"/>
      <c r="L852" s="140"/>
      <c r="M852" s="140"/>
      <c r="N852" s="140"/>
      <c r="O852" s="140"/>
      <c r="P852" s="140"/>
      <c r="Q852" s="140"/>
      <c r="R852" s="140"/>
      <c r="S852" s="140"/>
      <c r="T852" s="140"/>
      <c r="U852" s="140"/>
      <c r="V852" s="140"/>
      <c r="W852" s="140"/>
      <c r="X852" s="140"/>
      <c r="Y852" s="140"/>
      <c r="Z852" s="140"/>
      <c r="AA852" s="140"/>
      <c r="AB852" s="140"/>
      <c r="AC852" s="140"/>
      <c r="AD852" s="140"/>
    </row>
    <row r="853" spans="1:30" ht="11.25" customHeight="1" x14ac:dyDescent="0.2">
      <c r="A853" s="140"/>
      <c r="B853" s="140"/>
      <c r="C853" s="140"/>
      <c r="D853" s="140"/>
      <c r="E853" s="140"/>
      <c r="F853" s="140"/>
      <c r="G853" s="140"/>
      <c r="H853" s="140"/>
      <c r="I853" s="140"/>
      <c r="J853" s="140"/>
      <c r="K853" s="140"/>
      <c r="L853" s="140"/>
      <c r="M853" s="140"/>
      <c r="N853" s="140"/>
      <c r="O853" s="140"/>
      <c r="P853" s="140"/>
      <c r="Q853" s="140"/>
      <c r="R853" s="140"/>
      <c r="S853" s="140"/>
      <c r="T853" s="140"/>
      <c r="U853" s="140"/>
      <c r="V853" s="140"/>
      <c r="W853" s="140"/>
      <c r="X853" s="140"/>
      <c r="Y853" s="140"/>
      <c r="Z853" s="140"/>
      <c r="AA853" s="140"/>
      <c r="AB853" s="140"/>
      <c r="AC853" s="140"/>
      <c r="AD853" s="140"/>
    </row>
    <row r="854" spans="1:30" ht="11.25" customHeight="1" x14ac:dyDescent="0.2">
      <c r="A854" s="140"/>
      <c r="B854" s="140"/>
      <c r="C854" s="140"/>
      <c r="D854" s="140"/>
      <c r="E854" s="140"/>
      <c r="F854" s="140"/>
      <c r="G854" s="140"/>
      <c r="H854" s="140"/>
      <c r="I854" s="140"/>
      <c r="J854" s="140"/>
      <c r="K854" s="140"/>
      <c r="L854" s="140"/>
      <c r="M854" s="140"/>
      <c r="N854" s="140"/>
      <c r="O854" s="140"/>
      <c r="P854" s="140"/>
      <c r="Q854" s="140"/>
      <c r="R854" s="140"/>
      <c r="S854" s="140"/>
      <c r="T854" s="140"/>
      <c r="U854" s="140"/>
      <c r="V854" s="140"/>
      <c r="W854" s="140"/>
      <c r="X854" s="140"/>
      <c r="Y854" s="140"/>
      <c r="Z854" s="140"/>
      <c r="AA854" s="140"/>
      <c r="AB854" s="140"/>
      <c r="AC854" s="140"/>
      <c r="AD854" s="140"/>
    </row>
    <row r="855" spans="1:30" ht="11.25" customHeight="1" x14ac:dyDescent="0.2">
      <c r="A855" s="140"/>
      <c r="B855" s="140"/>
      <c r="C855" s="140"/>
      <c r="D855" s="140"/>
      <c r="E855" s="140"/>
      <c r="F855" s="140"/>
      <c r="G855" s="140"/>
      <c r="H855" s="140"/>
      <c r="I855" s="140"/>
      <c r="J855" s="140"/>
      <c r="K855" s="140"/>
      <c r="L855" s="140"/>
      <c r="M855" s="140"/>
      <c r="N855" s="140"/>
      <c r="O855" s="140"/>
      <c r="P855" s="140"/>
      <c r="Q855" s="140"/>
      <c r="R855" s="140"/>
      <c r="S855" s="140"/>
      <c r="T855" s="140"/>
      <c r="U855" s="140"/>
      <c r="V855" s="140"/>
      <c r="W855" s="140"/>
      <c r="X855" s="140"/>
      <c r="Y855" s="140"/>
      <c r="Z855" s="140"/>
      <c r="AA855" s="140"/>
      <c r="AB855" s="140"/>
      <c r="AC855" s="140"/>
      <c r="AD855" s="140"/>
    </row>
    <row r="856" spans="1:30" ht="11.25" customHeight="1" x14ac:dyDescent="0.2">
      <c r="A856" s="140"/>
      <c r="B856" s="140"/>
      <c r="C856" s="140"/>
      <c r="D856" s="140"/>
      <c r="E856" s="140"/>
      <c r="F856" s="140"/>
      <c r="G856" s="140"/>
      <c r="H856" s="140"/>
      <c r="I856" s="140"/>
      <c r="J856" s="140"/>
      <c r="K856" s="140"/>
      <c r="L856" s="140"/>
      <c r="M856" s="140"/>
      <c r="N856" s="140"/>
      <c r="O856" s="140"/>
      <c r="P856" s="140"/>
      <c r="Q856" s="140"/>
      <c r="R856" s="140"/>
      <c r="S856" s="140"/>
      <c r="T856" s="140"/>
      <c r="U856" s="140"/>
      <c r="V856" s="140"/>
      <c r="W856" s="140"/>
      <c r="X856" s="140"/>
      <c r="Y856" s="140"/>
      <c r="Z856" s="140"/>
      <c r="AA856" s="140"/>
      <c r="AB856" s="140"/>
      <c r="AC856" s="140"/>
      <c r="AD856" s="140"/>
    </row>
    <row r="857" spans="1:30" ht="11.25" customHeight="1" x14ac:dyDescent="0.2">
      <c r="A857" s="140"/>
      <c r="B857" s="140"/>
      <c r="C857" s="140"/>
      <c r="D857" s="140"/>
      <c r="E857" s="140"/>
      <c r="F857" s="140"/>
      <c r="G857" s="140"/>
      <c r="H857" s="140"/>
      <c r="I857" s="140"/>
      <c r="J857" s="140"/>
      <c r="K857" s="140"/>
      <c r="L857" s="140"/>
      <c r="M857" s="140"/>
      <c r="N857" s="140"/>
      <c r="O857" s="140"/>
      <c r="P857" s="140"/>
      <c r="Q857" s="140"/>
      <c r="R857" s="140"/>
      <c r="S857" s="140"/>
      <c r="T857" s="140"/>
      <c r="U857" s="140"/>
      <c r="V857" s="140"/>
      <c r="W857" s="140"/>
      <c r="X857" s="140"/>
      <c r="Y857" s="140"/>
      <c r="Z857" s="140"/>
      <c r="AA857" s="140"/>
      <c r="AB857" s="140"/>
      <c r="AC857" s="140"/>
      <c r="AD857" s="140"/>
    </row>
    <row r="858" spans="1:30" ht="11.25" customHeight="1" x14ac:dyDescent="0.2">
      <c r="A858" s="140"/>
      <c r="B858" s="140"/>
      <c r="C858" s="140"/>
      <c r="D858" s="140"/>
      <c r="E858" s="140"/>
      <c r="F858" s="140"/>
      <c r="G858" s="140"/>
      <c r="H858" s="140"/>
      <c r="I858" s="140"/>
      <c r="J858" s="140"/>
      <c r="K858" s="140"/>
      <c r="L858" s="140"/>
      <c r="M858" s="140"/>
      <c r="N858" s="140"/>
      <c r="O858" s="140"/>
      <c r="P858" s="140"/>
      <c r="Q858" s="140"/>
      <c r="R858" s="140"/>
      <c r="S858" s="140"/>
      <c r="T858" s="140"/>
      <c r="U858" s="140"/>
      <c r="V858" s="140"/>
      <c r="W858" s="140"/>
      <c r="X858" s="140"/>
      <c r="Y858" s="140"/>
      <c r="Z858" s="140"/>
      <c r="AA858" s="140"/>
      <c r="AB858" s="140"/>
      <c r="AC858" s="140"/>
      <c r="AD858" s="140"/>
    </row>
    <row r="859" spans="1:30" ht="11.25" customHeight="1" x14ac:dyDescent="0.2">
      <c r="A859" s="140"/>
      <c r="B859" s="140"/>
      <c r="C859" s="140"/>
      <c r="D859" s="140"/>
      <c r="E859" s="140"/>
      <c r="F859" s="140"/>
      <c r="G859" s="140"/>
      <c r="H859" s="140"/>
      <c r="I859" s="140"/>
      <c r="J859" s="140"/>
      <c r="K859" s="140"/>
      <c r="L859" s="140"/>
      <c r="M859" s="140"/>
      <c r="N859" s="140"/>
      <c r="O859" s="140"/>
      <c r="P859" s="140"/>
      <c r="Q859" s="140"/>
      <c r="R859" s="140"/>
      <c r="S859" s="140"/>
      <c r="T859" s="140"/>
      <c r="U859" s="140"/>
      <c r="V859" s="140"/>
      <c r="W859" s="140"/>
      <c r="X859" s="140"/>
      <c r="Y859" s="140"/>
      <c r="Z859" s="140"/>
      <c r="AA859" s="140"/>
      <c r="AB859" s="140"/>
      <c r="AC859" s="140"/>
      <c r="AD859" s="140"/>
    </row>
    <row r="860" spans="1:30" ht="11.25" customHeight="1" x14ac:dyDescent="0.2">
      <c r="A860" s="140"/>
      <c r="B860" s="140"/>
      <c r="C860" s="140"/>
      <c r="D860" s="140"/>
      <c r="E860" s="140"/>
      <c r="F860" s="140"/>
      <c r="G860" s="140"/>
      <c r="H860" s="140"/>
      <c r="I860" s="140"/>
      <c r="J860" s="140"/>
      <c r="K860" s="140"/>
      <c r="L860" s="140"/>
      <c r="M860" s="140"/>
      <c r="N860" s="140"/>
      <c r="O860" s="140"/>
      <c r="P860" s="140"/>
      <c r="Q860" s="140"/>
      <c r="R860" s="140"/>
      <c r="S860" s="140"/>
      <c r="T860" s="140"/>
      <c r="U860" s="140"/>
      <c r="V860" s="140"/>
      <c r="W860" s="140"/>
      <c r="X860" s="140"/>
      <c r="Y860" s="140"/>
      <c r="Z860" s="140"/>
      <c r="AA860" s="140"/>
      <c r="AB860" s="140"/>
      <c r="AC860" s="140"/>
      <c r="AD860" s="140"/>
    </row>
    <row r="861" spans="1:30" ht="11.25" customHeight="1" x14ac:dyDescent="0.2">
      <c r="A861" s="140"/>
      <c r="B861" s="140"/>
      <c r="C861" s="140"/>
      <c r="D861" s="140"/>
      <c r="E861" s="140"/>
      <c r="F861" s="140"/>
      <c r="G861" s="140"/>
      <c r="H861" s="140"/>
      <c r="I861" s="140"/>
      <c r="J861" s="140"/>
      <c r="K861" s="140"/>
      <c r="L861" s="140"/>
      <c r="M861" s="140"/>
      <c r="N861" s="140"/>
      <c r="O861" s="140"/>
      <c r="P861" s="140"/>
      <c r="Q861" s="140"/>
      <c r="R861" s="140"/>
      <c r="S861" s="140"/>
      <c r="T861" s="140"/>
      <c r="U861" s="140"/>
      <c r="V861" s="140"/>
      <c r="W861" s="140"/>
      <c r="X861" s="140"/>
      <c r="Y861" s="140"/>
      <c r="Z861" s="140"/>
      <c r="AA861" s="140"/>
      <c r="AB861" s="140"/>
      <c r="AC861" s="140"/>
      <c r="AD861" s="140"/>
    </row>
    <row r="862" spans="1:30" ht="11.25" customHeight="1" x14ac:dyDescent="0.2">
      <c r="A862" s="140"/>
      <c r="B862" s="140"/>
      <c r="C862" s="140"/>
      <c r="D862" s="140"/>
      <c r="E862" s="140"/>
      <c r="F862" s="140"/>
      <c r="G862" s="140"/>
      <c r="H862" s="140"/>
      <c r="I862" s="140"/>
      <c r="J862" s="140"/>
      <c r="K862" s="140"/>
      <c r="L862" s="140"/>
      <c r="M862" s="140"/>
      <c r="N862" s="140"/>
      <c r="O862" s="140"/>
      <c r="P862" s="140"/>
      <c r="Q862" s="140"/>
      <c r="R862" s="140"/>
      <c r="S862" s="140"/>
      <c r="T862" s="140"/>
      <c r="U862" s="140"/>
      <c r="V862" s="140"/>
      <c r="W862" s="140"/>
      <c r="X862" s="140"/>
      <c r="Y862" s="140"/>
      <c r="Z862" s="140"/>
      <c r="AA862" s="140"/>
      <c r="AB862" s="140"/>
      <c r="AC862" s="140"/>
      <c r="AD862" s="140"/>
    </row>
    <row r="863" spans="1:30" ht="11.25" customHeight="1" x14ac:dyDescent="0.2">
      <c r="A863" s="140"/>
      <c r="B863" s="140"/>
      <c r="C863" s="140"/>
      <c r="D863" s="140"/>
      <c r="E863" s="140"/>
      <c r="F863" s="140"/>
      <c r="G863" s="140"/>
      <c r="H863" s="140"/>
      <c r="I863" s="140"/>
      <c r="J863" s="140"/>
      <c r="K863" s="140"/>
      <c r="L863" s="140"/>
      <c r="M863" s="140"/>
      <c r="N863" s="140"/>
      <c r="O863" s="140"/>
      <c r="P863" s="140"/>
      <c r="Q863" s="140"/>
      <c r="R863" s="140"/>
      <c r="S863" s="140"/>
      <c r="T863" s="140"/>
      <c r="U863" s="140"/>
      <c r="V863" s="140"/>
      <c r="W863" s="140"/>
      <c r="X863" s="140"/>
      <c r="Y863" s="140"/>
      <c r="Z863" s="140"/>
      <c r="AA863" s="140"/>
      <c r="AB863" s="140"/>
      <c r="AC863" s="140"/>
      <c r="AD863" s="140"/>
    </row>
    <row r="864" spans="1:30" ht="11.25" customHeight="1" x14ac:dyDescent="0.2">
      <c r="A864" s="140"/>
      <c r="B864" s="140"/>
      <c r="C864" s="140"/>
      <c r="D864" s="140"/>
      <c r="E864" s="140"/>
      <c r="F864" s="140"/>
      <c r="G864" s="140"/>
      <c r="H864" s="140"/>
      <c r="I864" s="140"/>
      <c r="J864" s="140"/>
      <c r="K864" s="140"/>
      <c r="L864" s="140"/>
      <c r="M864" s="140"/>
      <c r="N864" s="140"/>
      <c r="O864" s="140"/>
      <c r="P864" s="140"/>
      <c r="Q864" s="140"/>
      <c r="R864" s="140"/>
      <c r="S864" s="140"/>
      <c r="T864" s="140"/>
      <c r="U864" s="140"/>
      <c r="V864" s="140"/>
      <c r="W864" s="140"/>
      <c r="X864" s="140"/>
      <c r="Y864" s="140"/>
      <c r="Z864" s="140"/>
      <c r="AA864" s="140"/>
      <c r="AB864" s="140"/>
      <c r="AC864" s="140"/>
      <c r="AD864" s="140"/>
    </row>
    <row r="865" spans="1:30" ht="11.25" customHeight="1" x14ac:dyDescent="0.2">
      <c r="A865" s="140"/>
      <c r="B865" s="140"/>
      <c r="C865" s="140"/>
      <c r="D865" s="140"/>
      <c r="E865" s="140"/>
      <c r="F865" s="140"/>
      <c r="G865" s="140"/>
      <c r="H865" s="140"/>
      <c r="I865" s="140"/>
      <c r="J865" s="140"/>
      <c r="K865" s="140"/>
      <c r="L865" s="140"/>
      <c r="M865" s="140"/>
      <c r="N865" s="140"/>
      <c r="O865" s="140"/>
      <c r="P865" s="140"/>
      <c r="Q865" s="140"/>
      <c r="R865" s="140"/>
      <c r="S865" s="140"/>
      <c r="T865" s="140"/>
      <c r="U865" s="140"/>
      <c r="V865" s="140"/>
      <c r="W865" s="140"/>
      <c r="X865" s="140"/>
      <c r="Y865" s="140"/>
      <c r="Z865" s="140"/>
      <c r="AA865" s="140"/>
      <c r="AB865" s="140"/>
      <c r="AC865" s="140"/>
      <c r="AD865" s="140"/>
    </row>
    <row r="866" spans="1:30" ht="11.25" customHeight="1" x14ac:dyDescent="0.2">
      <c r="A866" s="140"/>
      <c r="B866" s="140"/>
      <c r="C866" s="140"/>
      <c r="D866" s="140"/>
      <c r="E866" s="140"/>
      <c r="F866" s="140"/>
      <c r="G866" s="140"/>
      <c r="H866" s="140"/>
      <c r="I866" s="140"/>
      <c r="J866" s="140"/>
      <c r="K866" s="140"/>
      <c r="L866" s="140"/>
      <c r="M866" s="140"/>
      <c r="N866" s="140"/>
      <c r="O866" s="140"/>
      <c r="P866" s="140"/>
      <c r="Q866" s="140"/>
      <c r="R866" s="140"/>
      <c r="S866" s="140"/>
      <c r="T866" s="140"/>
      <c r="U866" s="140"/>
      <c r="V866" s="140"/>
      <c r="W866" s="140"/>
      <c r="X866" s="140"/>
      <c r="Y866" s="140"/>
      <c r="Z866" s="140"/>
      <c r="AA866" s="140"/>
      <c r="AB866" s="140"/>
      <c r="AC866" s="140"/>
      <c r="AD866" s="140"/>
    </row>
    <row r="867" spans="1:30" ht="11.25" customHeight="1" x14ac:dyDescent="0.2">
      <c r="A867" s="140"/>
      <c r="B867" s="140"/>
      <c r="C867" s="140"/>
      <c r="D867" s="140"/>
      <c r="E867" s="140"/>
      <c r="F867" s="140"/>
      <c r="G867" s="140"/>
      <c r="H867" s="140"/>
      <c r="I867" s="140"/>
      <c r="J867" s="140"/>
      <c r="K867" s="140"/>
      <c r="L867" s="140"/>
      <c r="M867" s="140"/>
      <c r="N867" s="140"/>
      <c r="O867" s="140"/>
      <c r="P867" s="140"/>
      <c r="Q867" s="140"/>
      <c r="R867" s="140"/>
      <c r="S867" s="140"/>
      <c r="T867" s="140"/>
      <c r="U867" s="140"/>
      <c r="V867" s="140"/>
      <c r="W867" s="140"/>
      <c r="X867" s="140"/>
      <c r="Y867" s="140"/>
      <c r="Z867" s="140"/>
      <c r="AA867" s="140"/>
      <c r="AB867" s="140"/>
      <c r="AC867" s="140"/>
      <c r="AD867" s="140"/>
    </row>
    <row r="868" spans="1:30" ht="11.25" customHeight="1" x14ac:dyDescent="0.2">
      <c r="A868" s="140"/>
      <c r="B868" s="140"/>
      <c r="C868" s="140"/>
      <c r="D868" s="140"/>
      <c r="E868" s="140"/>
      <c r="F868" s="140"/>
      <c r="G868" s="140"/>
      <c r="H868" s="140"/>
      <c r="I868" s="140"/>
      <c r="J868" s="140"/>
      <c r="K868" s="140"/>
      <c r="L868" s="140"/>
      <c r="M868" s="140"/>
      <c r="N868" s="140"/>
      <c r="O868" s="140"/>
      <c r="P868" s="140"/>
      <c r="Q868" s="140"/>
      <c r="R868" s="140"/>
      <c r="S868" s="140"/>
      <c r="T868" s="140"/>
      <c r="U868" s="140"/>
      <c r="V868" s="140"/>
      <c r="W868" s="140"/>
      <c r="X868" s="140"/>
      <c r="Y868" s="140"/>
      <c r="Z868" s="140"/>
      <c r="AA868" s="140"/>
      <c r="AB868" s="140"/>
      <c r="AC868" s="140"/>
      <c r="AD868" s="140"/>
    </row>
    <row r="869" spans="1:30" ht="11.25" customHeight="1" x14ac:dyDescent="0.2">
      <c r="A869" s="140"/>
      <c r="B869" s="140"/>
      <c r="C869" s="140"/>
      <c r="D869" s="140"/>
      <c r="E869" s="140"/>
      <c r="F869" s="140"/>
      <c r="G869" s="140"/>
      <c r="H869" s="140"/>
      <c r="I869" s="140"/>
      <c r="J869" s="140"/>
      <c r="K869" s="140"/>
      <c r="L869" s="140"/>
      <c r="M869" s="140"/>
      <c r="N869" s="140"/>
      <c r="O869" s="140"/>
      <c r="P869" s="140"/>
      <c r="Q869" s="140"/>
      <c r="R869" s="140"/>
      <c r="S869" s="140"/>
      <c r="T869" s="140"/>
      <c r="U869" s="140"/>
      <c r="V869" s="140"/>
      <c r="W869" s="140"/>
      <c r="X869" s="140"/>
      <c r="Y869" s="140"/>
      <c r="Z869" s="140"/>
      <c r="AA869" s="140"/>
      <c r="AB869" s="140"/>
      <c r="AC869" s="140"/>
      <c r="AD869" s="140"/>
    </row>
    <row r="870" spans="1:30" ht="11.25" customHeight="1" x14ac:dyDescent="0.2">
      <c r="A870" s="140"/>
      <c r="B870" s="140"/>
      <c r="C870" s="140"/>
      <c r="D870" s="140"/>
      <c r="E870" s="140"/>
      <c r="F870" s="140"/>
      <c r="G870" s="140"/>
      <c r="H870" s="140"/>
      <c r="I870" s="140"/>
      <c r="J870" s="140"/>
      <c r="K870" s="140"/>
      <c r="L870" s="140"/>
      <c r="M870" s="140"/>
      <c r="N870" s="140"/>
      <c r="O870" s="140"/>
      <c r="P870" s="140"/>
      <c r="Q870" s="140"/>
      <c r="R870" s="140"/>
      <c r="S870" s="140"/>
      <c r="T870" s="140"/>
      <c r="U870" s="140"/>
      <c r="V870" s="140"/>
      <c r="W870" s="140"/>
      <c r="X870" s="140"/>
      <c r="Y870" s="140"/>
      <c r="Z870" s="140"/>
      <c r="AA870" s="140"/>
      <c r="AB870" s="140"/>
      <c r="AC870" s="140"/>
      <c r="AD870" s="140"/>
    </row>
    <row r="871" spans="1:30" ht="11.25" customHeight="1" x14ac:dyDescent="0.2">
      <c r="A871" s="140"/>
      <c r="B871" s="140"/>
      <c r="C871" s="140"/>
      <c r="D871" s="140"/>
      <c r="E871" s="140"/>
      <c r="F871" s="140"/>
      <c r="G871" s="140"/>
      <c r="H871" s="140"/>
      <c r="I871" s="140"/>
      <c r="J871" s="140"/>
      <c r="K871" s="140"/>
      <c r="L871" s="140"/>
      <c r="M871" s="140"/>
      <c r="N871" s="140"/>
      <c r="O871" s="140"/>
      <c r="P871" s="140"/>
      <c r="Q871" s="140"/>
      <c r="R871" s="140"/>
      <c r="S871" s="140"/>
      <c r="T871" s="140"/>
      <c r="U871" s="140"/>
      <c r="V871" s="140"/>
      <c r="W871" s="140"/>
      <c r="X871" s="140"/>
      <c r="Y871" s="140"/>
      <c r="Z871" s="140"/>
      <c r="AA871" s="140"/>
      <c r="AB871" s="140"/>
      <c r="AC871" s="140"/>
      <c r="AD871" s="140"/>
    </row>
    <row r="872" spans="1:30" ht="11.25" customHeight="1" x14ac:dyDescent="0.2">
      <c r="A872" s="140"/>
      <c r="B872" s="140"/>
      <c r="C872" s="140"/>
      <c r="D872" s="140"/>
      <c r="E872" s="140"/>
      <c r="F872" s="140"/>
      <c r="G872" s="140"/>
      <c r="H872" s="140"/>
      <c r="I872" s="140"/>
      <c r="J872" s="140"/>
      <c r="K872" s="140"/>
      <c r="L872" s="140"/>
      <c r="M872" s="140"/>
      <c r="N872" s="140"/>
      <c r="O872" s="140"/>
      <c r="P872" s="140"/>
      <c r="Q872" s="140"/>
      <c r="R872" s="140"/>
      <c r="S872" s="140"/>
      <c r="T872" s="140"/>
      <c r="U872" s="140"/>
      <c r="V872" s="140"/>
      <c r="W872" s="140"/>
      <c r="X872" s="140"/>
      <c r="Y872" s="140"/>
      <c r="Z872" s="140"/>
      <c r="AA872" s="140"/>
      <c r="AB872" s="140"/>
      <c r="AC872" s="140"/>
      <c r="AD872" s="140"/>
    </row>
    <row r="873" spans="1:30" ht="11.25" customHeight="1" x14ac:dyDescent="0.2">
      <c r="A873" s="140"/>
      <c r="B873" s="140"/>
      <c r="C873" s="140"/>
      <c r="D873" s="140"/>
      <c r="E873" s="140"/>
      <c r="F873" s="140"/>
      <c r="G873" s="140"/>
      <c r="H873" s="140"/>
      <c r="I873" s="140"/>
      <c r="J873" s="140"/>
      <c r="K873" s="140"/>
      <c r="L873" s="140"/>
      <c r="M873" s="140"/>
      <c r="N873" s="140"/>
      <c r="O873" s="140"/>
      <c r="P873" s="140"/>
      <c r="Q873" s="140"/>
      <c r="R873" s="140"/>
      <c r="S873" s="140"/>
      <c r="T873" s="140"/>
      <c r="U873" s="140"/>
      <c r="V873" s="140"/>
      <c r="W873" s="140"/>
      <c r="X873" s="140"/>
      <c r="Y873" s="140"/>
      <c r="Z873" s="140"/>
      <c r="AA873" s="140"/>
      <c r="AB873" s="140"/>
      <c r="AC873" s="140"/>
      <c r="AD873" s="140"/>
    </row>
    <row r="874" spans="1:30" ht="11.25" customHeight="1" x14ac:dyDescent="0.2">
      <c r="A874" s="140"/>
      <c r="B874" s="140"/>
      <c r="C874" s="140"/>
      <c r="D874" s="140"/>
      <c r="E874" s="140"/>
      <c r="F874" s="140"/>
      <c r="G874" s="140"/>
      <c r="H874" s="140"/>
      <c r="I874" s="140"/>
      <c r="J874" s="140"/>
      <c r="K874" s="140"/>
      <c r="L874" s="140"/>
      <c r="M874" s="140"/>
      <c r="N874" s="140"/>
      <c r="O874" s="140"/>
      <c r="P874" s="140"/>
      <c r="Q874" s="140"/>
      <c r="R874" s="140"/>
      <c r="S874" s="140"/>
      <c r="T874" s="140"/>
      <c r="U874" s="140"/>
      <c r="V874" s="140"/>
      <c r="W874" s="140"/>
      <c r="X874" s="140"/>
      <c r="Y874" s="140"/>
      <c r="Z874" s="140"/>
      <c r="AA874" s="140"/>
      <c r="AB874" s="140"/>
      <c r="AC874" s="140"/>
      <c r="AD874" s="140"/>
    </row>
    <row r="875" spans="1:30" ht="11.25" customHeight="1" x14ac:dyDescent="0.2">
      <c r="A875" s="140"/>
      <c r="B875" s="140"/>
      <c r="C875" s="140"/>
      <c r="D875" s="140"/>
      <c r="E875" s="140"/>
      <c r="F875" s="140"/>
      <c r="G875" s="140"/>
      <c r="H875" s="140"/>
      <c r="I875" s="140"/>
      <c r="J875" s="140"/>
      <c r="K875" s="140"/>
      <c r="L875" s="140"/>
      <c r="M875" s="140"/>
      <c r="N875" s="140"/>
      <c r="O875" s="140"/>
      <c r="P875" s="140"/>
      <c r="Q875" s="140"/>
      <c r="R875" s="140"/>
      <c r="S875" s="140"/>
      <c r="T875" s="140"/>
      <c r="U875" s="140"/>
      <c r="V875" s="140"/>
      <c r="W875" s="140"/>
      <c r="X875" s="140"/>
      <c r="Y875" s="140"/>
      <c r="Z875" s="140"/>
      <c r="AA875" s="140"/>
      <c r="AB875" s="140"/>
      <c r="AC875" s="140"/>
      <c r="AD875" s="140"/>
    </row>
    <row r="876" spans="1:30" ht="11.25" customHeight="1" x14ac:dyDescent="0.2">
      <c r="A876" s="140"/>
      <c r="B876" s="140"/>
      <c r="C876" s="140"/>
      <c r="D876" s="140"/>
      <c r="E876" s="140"/>
      <c r="F876" s="140"/>
      <c r="G876" s="140"/>
      <c r="H876" s="140"/>
      <c r="I876" s="140"/>
      <c r="J876" s="140"/>
      <c r="K876" s="140"/>
      <c r="L876" s="140"/>
      <c r="M876" s="140"/>
      <c r="N876" s="140"/>
      <c r="O876" s="140"/>
      <c r="P876" s="140"/>
      <c r="Q876" s="140"/>
      <c r="R876" s="140"/>
      <c r="S876" s="140"/>
      <c r="T876" s="140"/>
      <c r="U876" s="140"/>
      <c r="V876" s="140"/>
      <c r="W876" s="140"/>
      <c r="X876" s="140"/>
      <c r="Y876" s="140"/>
      <c r="Z876" s="140"/>
      <c r="AA876" s="140"/>
      <c r="AB876" s="140"/>
      <c r="AC876" s="140"/>
      <c r="AD876" s="140"/>
    </row>
    <row r="877" spans="1:30" ht="11.25" customHeight="1" x14ac:dyDescent="0.2">
      <c r="A877" s="140"/>
      <c r="B877" s="140"/>
      <c r="C877" s="140"/>
      <c r="D877" s="140"/>
      <c r="E877" s="140"/>
      <c r="F877" s="140"/>
      <c r="G877" s="140"/>
      <c r="H877" s="140"/>
      <c r="I877" s="140"/>
      <c r="J877" s="140"/>
      <c r="K877" s="140"/>
      <c r="L877" s="140"/>
      <c r="M877" s="140"/>
      <c r="N877" s="140"/>
      <c r="O877" s="140"/>
      <c r="P877" s="140"/>
      <c r="Q877" s="140"/>
      <c r="R877" s="140"/>
      <c r="S877" s="140"/>
      <c r="T877" s="140"/>
      <c r="U877" s="140"/>
      <c r="V877" s="140"/>
      <c r="W877" s="140"/>
      <c r="X877" s="140"/>
      <c r="Y877" s="140"/>
      <c r="Z877" s="140"/>
      <c r="AA877" s="140"/>
      <c r="AB877" s="140"/>
      <c r="AC877" s="140"/>
      <c r="AD877" s="140"/>
    </row>
    <row r="878" spans="1:30" ht="11.25" customHeight="1" x14ac:dyDescent="0.2">
      <c r="A878" s="140"/>
      <c r="B878" s="140"/>
      <c r="C878" s="140"/>
      <c r="D878" s="140"/>
      <c r="E878" s="140"/>
      <c r="F878" s="140"/>
      <c r="G878" s="140"/>
      <c r="H878" s="140"/>
      <c r="I878" s="140"/>
      <c r="J878" s="140"/>
      <c r="K878" s="140"/>
      <c r="L878" s="140"/>
      <c r="M878" s="140"/>
      <c r="N878" s="140"/>
      <c r="O878" s="140"/>
      <c r="P878" s="140"/>
      <c r="Q878" s="140"/>
      <c r="R878" s="140"/>
      <c r="S878" s="140"/>
      <c r="T878" s="140"/>
      <c r="U878" s="140"/>
      <c r="V878" s="140"/>
      <c r="W878" s="140"/>
      <c r="X878" s="140"/>
      <c r="Y878" s="140"/>
      <c r="Z878" s="140"/>
      <c r="AA878" s="140"/>
      <c r="AB878" s="140"/>
      <c r="AC878" s="140"/>
      <c r="AD878" s="140"/>
    </row>
    <row r="879" spans="1:30" ht="11.25" customHeight="1" x14ac:dyDescent="0.2">
      <c r="A879" s="140"/>
      <c r="B879" s="140"/>
      <c r="C879" s="140"/>
      <c r="D879" s="140"/>
      <c r="E879" s="140"/>
      <c r="F879" s="140"/>
      <c r="G879" s="140"/>
      <c r="H879" s="140"/>
      <c r="I879" s="140"/>
      <c r="J879" s="140"/>
      <c r="K879" s="140"/>
      <c r="L879" s="140"/>
      <c r="M879" s="140"/>
      <c r="N879" s="140"/>
      <c r="O879" s="140"/>
      <c r="P879" s="140"/>
      <c r="Q879" s="140"/>
      <c r="R879" s="140"/>
      <c r="S879" s="140"/>
      <c r="T879" s="140"/>
      <c r="U879" s="140"/>
      <c r="V879" s="140"/>
      <c r="W879" s="140"/>
      <c r="X879" s="140"/>
      <c r="Y879" s="140"/>
      <c r="Z879" s="140"/>
      <c r="AA879" s="140"/>
      <c r="AB879" s="140"/>
      <c r="AC879" s="140"/>
      <c r="AD879" s="140"/>
    </row>
    <row r="880" spans="1:30" ht="11.25" customHeight="1" x14ac:dyDescent="0.2">
      <c r="A880" s="140"/>
      <c r="B880" s="140"/>
      <c r="C880" s="140"/>
      <c r="D880" s="140"/>
      <c r="E880" s="140"/>
      <c r="F880" s="140"/>
      <c r="G880" s="140"/>
      <c r="H880" s="140"/>
      <c r="I880" s="140"/>
      <c r="J880" s="140"/>
      <c r="K880" s="140"/>
      <c r="L880" s="140"/>
      <c r="M880" s="140"/>
      <c r="N880" s="140"/>
      <c r="O880" s="140"/>
      <c r="P880" s="140"/>
      <c r="Q880" s="140"/>
      <c r="R880" s="140"/>
      <c r="S880" s="140"/>
      <c r="T880" s="140"/>
      <c r="U880" s="140"/>
      <c r="V880" s="140"/>
      <c r="W880" s="140"/>
      <c r="X880" s="140"/>
      <c r="Y880" s="140"/>
      <c r="Z880" s="140"/>
      <c r="AA880" s="140"/>
      <c r="AB880" s="140"/>
      <c r="AC880" s="140"/>
      <c r="AD880" s="140"/>
    </row>
    <row r="881" spans="1:30" ht="11.25" customHeight="1" x14ac:dyDescent="0.2">
      <c r="A881" s="140"/>
      <c r="B881" s="140"/>
      <c r="C881" s="140"/>
      <c r="D881" s="140"/>
      <c r="E881" s="140"/>
      <c r="F881" s="140"/>
      <c r="G881" s="140"/>
      <c r="H881" s="140"/>
      <c r="I881" s="140"/>
      <c r="J881" s="140"/>
      <c r="K881" s="140"/>
      <c r="L881" s="140"/>
      <c r="M881" s="140"/>
      <c r="N881" s="140"/>
      <c r="O881" s="140"/>
      <c r="P881" s="140"/>
      <c r="Q881" s="140"/>
      <c r="R881" s="140"/>
      <c r="S881" s="140"/>
      <c r="T881" s="140"/>
      <c r="U881" s="140"/>
      <c r="V881" s="140"/>
      <c r="W881" s="140"/>
      <c r="X881" s="140"/>
      <c r="Y881" s="140"/>
      <c r="Z881" s="140"/>
      <c r="AA881" s="140"/>
      <c r="AB881" s="140"/>
      <c r="AC881" s="140"/>
      <c r="AD881" s="140"/>
    </row>
    <row r="882" spans="1:30" ht="11.25" customHeight="1" x14ac:dyDescent="0.2">
      <c r="A882" s="140"/>
      <c r="B882" s="140"/>
      <c r="C882" s="140"/>
      <c r="D882" s="140"/>
      <c r="E882" s="140"/>
      <c r="F882" s="140"/>
      <c r="G882" s="140"/>
      <c r="H882" s="140"/>
      <c r="I882" s="140"/>
      <c r="J882" s="140"/>
      <c r="K882" s="140"/>
      <c r="L882" s="140"/>
      <c r="M882" s="140"/>
      <c r="N882" s="140"/>
      <c r="O882" s="140"/>
      <c r="P882" s="140"/>
      <c r="Q882" s="140"/>
      <c r="R882" s="140"/>
      <c r="S882" s="140"/>
      <c r="T882" s="140"/>
      <c r="U882" s="140"/>
      <c r="V882" s="140"/>
      <c r="W882" s="140"/>
      <c r="X882" s="140"/>
      <c r="Y882" s="140"/>
      <c r="Z882" s="140"/>
      <c r="AA882" s="140"/>
      <c r="AB882" s="140"/>
      <c r="AC882" s="140"/>
      <c r="AD882" s="140"/>
    </row>
    <row r="883" spans="1:30" ht="11.25" customHeight="1" x14ac:dyDescent="0.2">
      <c r="A883" s="140"/>
      <c r="B883" s="140"/>
      <c r="C883" s="140"/>
      <c r="D883" s="140"/>
      <c r="E883" s="140"/>
      <c r="F883" s="140"/>
      <c r="G883" s="140"/>
      <c r="H883" s="140"/>
      <c r="I883" s="140"/>
      <c r="J883" s="140"/>
      <c r="K883" s="140"/>
      <c r="L883" s="140"/>
      <c r="M883" s="140"/>
      <c r="N883" s="140"/>
      <c r="O883" s="140"/>
      <c r="P883" s="140"/>
      <c r="Q883" s="140"/>
      <c r="R883" s="140"/>
      <c r="S883" s="140"/>
      <c r="T883" s="140"/>
      <c r="U883" s="140"/>
      <c r="V883" s="140"/>
      <c r="W883" s="140"/>
      <c r="X883" s="140"/>
      <c r="Y883" s="140"/>
      <c r="Z883" s="140"/>
      <c r="AA883" s="140"/>
      <c r="AB883" s="140"/>
      <c r="AC883" s="140"/>
      <c r="AD883" s="140"/>
    </row>
    <row r="884" spans="1:30" ht="11.25" customHeight="1" x14ac:dyDescent="0.2">
      <c r="A884" s="140"/>
      <c r="B884" s="140"/>
      <c r="C884" s="140"/>
      <c r="D884" s="140"/>
      <c r="E884" s="140"/>
      <c r="F884" s="140"/>
      <c r="G884" s="140"/>
      <c r="H884" s="140"/>
      <c r="I884" s="140"/>
      <c r="J884" s="140"/>
      <c r="K884" s="140"/>
      <c r="L884" s="140"/>
      <c r="M884" s="140"/>
      <c r="N884" s="140"/>
      <c r="O884" s="140"/>
      <c r="P884" s="140"/>
      <c r="Q884" s="140"/>
      <c r="R884" s="140"/>
      <c r="S884" s="140"/>
      <c r="T884" s="140"/>
      <c r="U884" s="140"/>
      <c r="V884" s="140"/>
      <c r="W884" s="140"/>
      <c r="X884" s="140"/>
      <c r="Y884" s="140"/>
      <c r="Z884" s="140"/>
      <c r="AA884" s="140"/>
      <c r="AB884" s="140"/>
      <c r="AC884" s="140"/>
      <c r="AD884" s="140"/>
    </row>
    <row r="885" spans="1:30" ht="11.25" customHeight="1" x14ac:dyDescent="0.2">
      <c r="A885" s="140"/>
      <c r="B885" s="140"/>
      <c r="C885" s="140"/>
      <c r="D885" s="140"/>
      <c r="E885" s="140"/>
      <c r="F885" s="140"/>
      <c r="G885" s="140"/>
      <c r="H885" s="140"/>
      <c r="I885" s="140"/>
      <c r="J885" s="140"/>
      <c r="K885" s="140"/>
      <c r="L885" s="140"/>
      <c r="M885" s="140"/>
      <c r="N885" s="140"/>
      <c r="O885" s="140"/>
      <c r="P885" s="140"/>
      <c r="Q885" s="140"/>
      <c r="R885" s="140"/>
      <c r="S885" s="140"/>
      <c r="T885" s="140"/>
      <c r="U885" s="140"/>
      <c r="V885" s="140"/>
      <c r="W885" s="140"/>
      <c r="X885" s="140"/>
      <c r="Y885" s="140"/>
      <c r="Z885" s="140"/>
      <c r="AA885" s="140"/>
      <c r="AB885" s="140"/>
      <c r="AC885" s="140"/>
      <c r="AD885" s="140"/>
    </row>
    <row r="886" spans="1:30" ht="11.25" customHeight="1" x14ac:dyDescent="0.2">
      <c r="A886" s="140"/>
      <c r="B886" s="140"/>
      <c r="C886" s="140"/>
      <c r="D886" s="140"/>
      <c r="E886" s="140"/>
      <c r="F886" s="140"/>
      <c r="G886" s="140"/>
      <c r="H886" s="140"/>
      <c r="I886" s="140"/>
      <c r="J886" s="140"/>
      <c r="K886" s="140"/>
      <c r="L886" s="140"/>
      <c r="M886" s="140"/>
      <c r="N886" s="140"/>
      <c r="O886" s="140"/>
      <c r="P886" s="140"/>
      <c r="Q886" s="140"/>
      <c r="R886" s="140"/>
      <c r="S886" s="140"/>
      <c r="T886" s="140"/>
      <c r="U886" s="140"/>
      <c r="V886" s="140"/>
      <c r="W886" s="140"/>
      <c r="X886" s="140"/>
      <c r="Y886" s="140"/>
      <c r="Z886" s="140"/>
      <c r="AA886" s="140"/>
      <c r="AB886" s="140"/>
      <c r="AC886" s="140"/>
      <c r="AD886" s="140"/>
    </row>
    <row r="887" spans="1:30" ht="11.25" customHeight="1" x14ac:dyDescent="0.2">
      <c r="A887" s="140"/>
      <c r="B887" s="140"/>
      <c r="C887" s="140"/>
      <c r="D887" s="140"/>
      <c r="E887" s="140"/>
      <c r="F887" s="140"/>
      <c r="G887" s="140"/>
      <c r="H887" s="140"/>
      <c r="I887" s="140"/>
      <c r="J887" s="140"/>
      <c r="K887" s="140"/>
      <c r="L887" s="140"/>
      <c r="M887" s="140"/>
      <c r="N887" s="140"/>
      <c r="O887" s="140"/>
      <c r="P887" s="140"/>
      <c r="Q887" s="140"/>
      <c r="R887" s="140"/>
      <c r="S887" s="140"/>
      <c r="T887" s="140"/>
      <c r="U887" s="140"/>
      <c r="V887" s="140"/>
      <c r="W887" s="140"/>
      <c r="X887" s="140"/>
      <c r="Y887" s="140"/>
      <c r="Z887" s="140"/>
      <c r="AA887" s="140"/>
      <c r="AB887" s="140"/>
      <c r="AC887" s="140"/>
      <c r="AD887" s="140"/>
    </row>
    <row r="888" spans="1:30" ht="11.25" customHeight="1" x14ac:dyDescent="0.2">
      <c r="A888" s="140"/>
      <c r="B888" s="140"/>
      <c r="C888" s="140"/>
      <c r="D888" s="140"/>
      <c r="E888" s="140"/>
      <c r="F888" s="140"/>
      <c r="G888" s="140"/>
      <c r="H888" s="140"/>
      <c r="I888" s="140"/>
      <c r="J888" s="140"/>
      <c r="K888" s="140"/>
      <c r="L888" s="140"/>
      <c r="M888" s="140"/>
      <c r="N888" s="140"/>
      <c r="O888" s="140"/>
      <c r="P888" s="140"/>
      <c r="Q888" s="140"/>
      <c r="R888" s="140"/>
      <c r="S888" s="140"/>
      <c r="T888" s="140"/>
      <c r="U888" s="140"/>
      <c r="V888" s="140"/>
      <c r="W888" s="140"/>
      <c r="X888" s="140"/>
      <c r="Y888" s="140"/>
      <c r="Z888" s="140"/>
      <c r="AA888" s="140"/>
      <c r="AB888" s="140"/>
      <c r="AC888" s="140"/>
      <c r="AD888" s="140"/>
    </row>
    <row r="889" spans="1:30" ht="11.25" customHeight="1" x14ac:dyDescent="0.2">
      <c r="A889" s="140"/>
      <c r="B889" s="140"/>
      <c r="C889" s="140"/>
      <c r="D889" s="140"/>
      <c r="E889" s="140"/>
      <c r="F889" s="140"/>
      <c r="G889" s="140"/>
      <c r="H889" s="140"/>
      <c r="I889" s="140"/>
      <c r="J889" s="140"/>
      <c r="K889" s="140"/>
      <c r="L889" s="140"/>
      <c r="M889" s="140"/>
      <c r="N889" s="140"/>
      <c r="O889" s="140"/>
      <c r="P889" s="140"/>
      <c r="Q889" s="140"/>
      <c r="R889" s="140"/>
      <c r="S889" s="140"/>
      <c r="T889" s="140"/>
      <c r="U889" s="140"/>
      <c r="V889" s="140"/>
      <c r="W889" s="140"/>
      <c r="X889" s="140"/>
      <c r="Y889" s="140"/>
      <c r="Z889" s="140"/>
      <c r="AA889" s="140"/>
      <c r="AB889" s="140"/>
      <c r="AC889" s="140"/>
      <c r="AD889" s="140"/>
    </row>
    <row r="890" spans="1:30" ht="11.25" customHeight="1" x14ac:dyDescent="0.2">
      <c r="A890" s="140"/>
      <c r="B890" s="140"/>
      <c r="C890" s="140"/>
      <c r="D890" s="140"/>
      <c r="E890" s="140"/>
      <c r="F890" s="140"/>
      <c r="G890" s="140"/>
      <c r="H890" s="140"/>
      <c r="I890" s="140"/>
      <c r="J890" s="140"/>
      <c r="K890" s="140"/>
      <c r="L890" s="140"/>
      <c r="M890" s="140"/>
      <c r="N890" s="140"/>
      <c r="O890" s="140"/>
      <c r="P890" s="140"/>
      <c r="Q890" s="140"/>
      <c r="R890" s="140"/>
      <c r="S890" s="140"/>
      <c r="T890" s="140"/>
      <c r="U890" s="140"/>
      <c r="V890" s="140"/>
      <c r="W890" s="140"/>
      <c r="X890" s="140"/>
      <c r="Y890" s="140"/>
      <c r="Z890" s="140"/>
      <c r="AA890" s="140"/>
      <c r="AB890" s="140"/>
      <c r="AC890" s="140"/>
      <c r="AD890" s="140"/>
    </row>
    <row r="891" spans="1:30" ht="11.25" customHeight="1" x14ac:dyDescent="0.2">
      <c r="A891" s="140"/>
      <c r="B891" s="140"/>
      <c r="C891" s="140"/>
      <c r="D891" s="140"/>
      <c r="E891" s="140"/>
      <c r="F891" s="140"/>
      <c r="G891" s="140"/>
      <c r="H891" s="140"/>
      <c r="I891" s="140"/>
      <c r="J891" s="140"/>
      <c r="K891" s="140"/>
      <c r="L891" s="140"/>
      <c r="M891" s="140"/>
      <c r="N891" s="140"/>
      <c r="O891" s="140"/>
      <c r="P891" s="140"/>
      <c r="Q891" s="140"/>
      <c r="R891" s="140"/>
      <c r="S891" s="140"/>
      <c r="T891" s="140"/>
      <c r="U891" s="140"/>
      <c r="V891" s="140"/>
      <c r="W891" s="140"/>
      <c r="X891" s="140"/>
      <c r="Y891" s="140"/>
      <c r="Z891" s="140"/>
      <c r="AA891" s="140"/>
      <c r="AB891" s="140"/>
      <c r="AC891" s="140"/>
      <c r="AD891" s="140"/>
    </row>
    <row r="892" spans="1:30" ht="11.25" customHeight="1" x14ac:dyDescent="0.2">
      <c r="A892" s="140"/>
      <c r="B892" s="140"/>
      <c r="C892" s="140"/>
      <c r="D892" s="140"/>
      <c r="E892" s="140"/>
      <c r="F892" s="140"/>
      <c r="G892" s="140"/>
      <c r="H892" s="140"/>
      <c r="I892" s="140"/>
      <c r="J892" s="140"/>
      <c r="K892" s="140"/>
      <c r="L892" s="140"/>
      <c r="M892" s="140"/>
      <c r="N892" s="140"/>
      <c r="O892" s="140"/>
      <c r="P892" s="140"/>
      <c r="Q892" s="140"/>
      <c r="R892" s="140"/>
      <c r="S892" s="140"/>
      <c r="T892" s="140"/>
      <c r="U892" s="140"/>
      <c r="V892" s="140"/>
      <c r="W892" s="140"/>
      <c r="X892" s="140"/>
      <c r="Y892" s="140"/>
      <c r="Z892" s="140"/>
      <c r="AA892" s="140"/>
      <c r="AB892" s="140"/>
      <c r="AC892" s="140"/>
      <c r="AD892" s="140"/>
    </row>
    <row r="893" spans="1:30" ht="11.25" customHeight="1" x14ac:dyDescent="0.2">
      <c r="A893" s="140"/>
      <c r="B893" s="140"/>
      <c r="C893" s="140"/>
      <c r="D893" s="140"/>
      <c r="E893" s="140"/>
      <c r="F893" s="140"/>
      <c r="G893" s="140"/>
      <c r="H893" s="140"/>
      <c r="I893" s="140"/>
      <c r="J893" s="140"/>
      <c r="K893" s="140"/>
      <c r="L893" s="140"/>
      <c r="M893" s="140"/>
      <c r="N893" s="140"/>
      <c r="O893" s="140"/>
      <c r="P893" s="140"/>
      <c r="Q893" s="140"/>
      <c r="R893" s="140"/>
      <c r="S893" s="140"/>
      <c r="T893" s="140"/>
      <c r="U893" s="140"/>
      <c r="V893" s="140"/>
      <c r="W893" s="140"/>
      <c r="X893" s="140"/>
      <c r="Y893" s="140"/>
      <c r="Z893" s="140"/>
      <c r="AA893" s="140"/>
      <c r="AB893" s="140"/>
      <c r="AC893" s="140"/>
      <c r="AD893" s="140"/>
    </row>
    <row r="894" spans="1:30" ht="11.25" customHeight="1" x14ac:dyDescent="0.2">
      <c r="A894" s="140"/>
      <c r="B894" s="140"/>
      <c r="C894" s="140"/>
      <c r="D894" s="140"/>
      <c r="E894" s="140"/>
      <c r="F894" s="140"/>
      <c r="G894" s="140"/>
      <c r="H894" s="140"/>
      <c r="I894" s="140"/>
      <c r="J894" s="140"/>
      <c r="K894" s="140"/>
      <c r="L894" s="140"/>
      <c r="M894" s="140"/>
      <c r="N894" s="140"/>
      <c r="O894" s="140"/>
      <c r="P894" s="140"/>
      <c r="Q894" s="140"/>
      <c r="R894" s="140"/>
      <c r="S894" s="140"/>
      <c r="T894" s="140"/>
      <c r="U894" s="140"/>
      <c r="V894" s="140"/>
      <c r="W894" s="140"/>
      <c r="X894" s="140"/>
      <c r="Y894" s="140"/>
      <c r="Z894" s="140"/>
      <c r="AA894" s="140"/>
      <c r="AB894" s="140"/>
      <c r="AC894" s="140"/>
      <c r="AD894" s="140"/>
    </row>
    <row r="895" spans="1:30" ht="11.25" customHeight="1" x14ac:dyDescent="0.2">
      <c r="A895" s="140"/>
      <c r="B895" s="140"/>
      <c r="C895" s="140"/>
      <c r="D895" s="140"/>
      <c r="E895" s="140"/>
      <c r="F895" s="140"/>
      <c r="G895" s="140"/>
      <c r="H895" s="140"/>
      <c r="I895" s="140"/>
      <c r="J895" s="140"/>
      <c r="K895" s="140"/>
      <c r="L895" s="140"/>
      <c r="M895" s="140"/>
      <c r="N895" s="140"/>
      <c r="O895" s="140"/>
      <c r="P895" s="140"/>
      <c r="Q895" s="140"/>
      <c r="R895" s="140"/>
      <c r="S895" s="140"/>
      <c r="T895" s="140"/>
      <c r="U895" s="140"/>
      <c r="V895" s="140"/>
      <c r="W895" s="140"/>
      <c r="X895" s="140"/>
      <c r="Y895" s="140"/>
      <c r="Z895" s="140"/>
      <c r="AA895" s="140"/>
      <c r="AB895" s="140"/>
      <c r="AC895" s="140"/>
      <c r="AD895" s="140"/>
    </row>
    <row r="896" spans="1:30" ht="11.25" customHeight="1" x14ac:dyDescent="0.2">
      <c r="A896" s="140"/>
      <c r="B896" s="140"/>
      <c r="C896" s="140"/>
      <c r="D896" s="140"/>
      <c r="E896" s="140"/>
      <c r="F896" s="140"/>
      <c r="G896" s="140"/>
      <c r="H896" s="140"/>
      <c r="I896" s="140"/>
      <c r="J896" s="140"/>
      <c r="K896" s="140"/>
      <c r="L896" s="140"/>
      <c r="M896" s="140"/>
      <c r="N896" s="140"/>
      <c r="O896" s="140"/>
      <c r="P896" s="140"/>
      <c r="Q896" s="140"/>
      <c r="R896" s="140"/>
      <c r="S896" s="140"/>
      <c r="T896" s="140"/>
      <c r="U896" s="140"/>
      <c r="V896" s="140"/>
      <c r="W896" s="140"/>
      <c r="X896" s="140"/>
      <c r="Y896" s="140"/>
      <c r="Z896" s="140"/>
      <c r="AA896" s="140"/>
      <c r="AB896" s="140"/>
      <c r="AC896" s="140"/>
      <c r="AD896" s="140"/>
    </row>
    <row r="897" spans="1:30" ht="11.25" customHeight="1" x14ac:dyDescent="0.2">
      <c r="A897" s="140"/>
      <c r="B897" s="140"/>
      <c r="C897" s="140"/>
      <c r="D897" s="140"/>
      <c r="E897" s="140"/>
      <c r="F897" s="140"/>
      <c r="G897" s="140"/>
      <c r="H897" s="140"/>
      <c r="I897" s="140"/>
      <c r="J897" s="140"/>
      <c r="K897" s="140"/>
      <c r="L897" s="140"/>
      <c r="M897" s="140"/>
      <c r="N897" s="140"/>
      <c r="O897" s="140"/>
      <c r="P897" s="140"/>
      <c r="Q897" s="140"/>
      <c r="R897" s="140"/>
      <c r="S897" s="140"/>
      <c r="T897" s="140"/>
      <c r="U897" s="140"/>
      <c r="V897" s="140"/>
      <c r="W897" s="140"/>
      <c r="X897" s="140"/>
      <c r="Y897" s="140"/>
      <c r="Z897" s="140"/>
      <c r="AA897" s="140"/>
      <c r="AB897" s="140"/>
      <c r="AC897" s="140"/>
      <c r="AD897" s="140"/>
    </row>
    <row r="898" spans="1:30" ht="11.25" customHeight="1" x14ac:dyDescent="0.2">
      <c r="A898" s="140"/>
      <c r="B898" s="140"/>
      <c r="C898" s="140"/>
      <c r="D898" s="140"/>
      <c r="E898" s="140"/>
      <c r="F898" s="140"/>
      <c r="G898" s="140"/>
      <c r="H898" s="140"/>
      <c r="I898" s="140"/>
      <c r="J898" s="140"/>
      <c r="K898" s="140"/>
      <c r="L898" s="140"/>
      <c r="M898" s="140"/>
      <c r="N898" s="140"/>
      <c r="O898" s="140"/>
      <c r="P898" s="140"/>
      <c r="Q898" s="140"/>
      <c r="R898" s="140"/>
      <c r="S898" s="140"/>
      <c r="T898" s="140"/>
      <c r="U898" s="140"/>
      <c r="V898" s="140"/>
      <c r="W898" s="140"/>
      <c r="X898" s="140"/>
      <c r="Y898" s="140"/>
      <c r="Z898" s="140"/>
      <c r="AA898" s="140"/>
      <c r="AB898" s="140"/>
      <c r="AC898" s="140"/>
      <c r="AD898" s="140"/>
    </row>
    <row r="899" spans="1:30" ht="11.25" customHeight="1" x14ac:dyDescent="0.2">
      <c r="A899" s="140"/>
      <c r="B899" s="140"/>
      <c r="C899" s="140"/>
      <c r="D899" s="140"/>
      <c r="E899" s="140"/>
      <c r="F899" s="140"/>
      <c r="G899" s="140"/>
      <c r="H899" s="140"/>
      <c r="I899" s="140"/>
      <c r="J899" s="140"/>
      <c r="K899" s="140"/>
      <c r="L899" s="140"/>
      <c r="M899" s="140"/>
      <c r="N899" s="140"/>
      <c r="O899" s="140"/>
      <c r="P899" s="140"/>
      <c r="Q899" s="140"/>
      <c r="R899" s="140"/>
      <c r="S899" s="140"/>
      <c r="T899" s="140"/>
      <c r="U899" s="140"/>
      <c r="V899" s="140"/>
      <c r="W899" s="140"/>
      <c r="X899" s="140"/>
      <c r="Y899" s="140"/>
      <c r="Z899" s="140"/>
      <c r="AA899" s="140"/>
      <c r="AB899" s="140"/>
      <c r="AC899" s="140"/>
      <c r="AD899" s="140"/>
    </row>
    <row r="900" spans="1:30" ht="11.25" customHeight="1" x14ac:dyDescent="0.2">
      <c r="A900" s="140"/>
      <c r="B900" s="140"/>
      <c r="C900" s="140"/>
      <c r="D900" s="140"/>
      <c r="E900" s="140"/>
      <c r="F900" s="140"/>
      <c r="G900" s="140"/>
      <c r="H900" s="140"/>
      <c r="I900" s="140"/>
      <c r="J900" s="140"/>
      <c r="K900" s="140"/>
      <c r="L900" s="140"/>
      <c r="M900" s="140"/>
      <c r="N900" s="140"/>
      <c r="O900" s="140"/>
      <c r="P900" s="140"/>
      <c r="Q900" s="140"/>
      <c r="R900" s="140"/>
      <c r="S900" s="140"/>
      <c r="T900" s="140"/>
      <c r="U900" s="140"/>
      <c r="V900" s="140"/>
      <c r="W900" s="140"/>
      <c r="X900" s="140"/>
      <c r="Y900" s="140"/>
      <c r="Z900" s="140"/>
      <c r="AA900" s="140"/>
      <c r="AB900" s="140"/>
      <c r="AC900" s="140"/>
      <c r="AD900" s="140"/>
    </row>
    <row r="901" spans="1:30" ht="11.25" customHeight="1" x14ac:dyDescent="0.2">
      <c r="A901" s="140"/>
      <c r="B901" s="140"/>
      <c r="C901" s="140"/>
      <c r="D901" s="140"/>
      <c r="E901" s="140"/>
      <c r="F901" s="140"/>
      <c r="G901" s="140"/>
      <c r="H901" s="140"/>
      <c r="I901" s="140"/>
      <c r="J901" s="140"/>
      <c r="K901" s="140"/>
      <c r="L901" s="140"/>
      <c r="M901" s="140"/>
      <c r="N901" s="140"/>
      <c r="O901" s="140"/>
      <c r="P901" s="140"/>
      <c r="Q901" s="140"/>
      <c r="R901" s="140"/>
      <c r="S901" s="140"/>
      <c r="T901" s="140"/>
      <c r="U901" s="140"/>
      <c r="V901" s="140"/>
      <c r="W901" s="140"/>
      <c r="X901" s="140"/>
      <c r="Y901" s="140"/>
      <c r="Z901" s="140"/>
      <c r="AA901" s="140"/>
      <c r="AB901" s="140"/>
      <c r="AC901" s="140"/>
      <c r="AD901" s="140"/>
    </row>
    <row r="902" spans="1:30" ht="11.25" customHeight="1" x14ac:dyDescent="0.2">
      <c r="A902" s="140"/>
      <c r="B902" s="140"/>
      <c r="C902" s="140"/>
      <c r="D902" s="140"/>
      <c r="E902" s="140"/>
      <c r="F902" s="140"/>
      <c r="G902" s="140"/>
      <c r="H902" s="140"/>
      <c r="I902" s="140"/>
      <c r="J902" s="140"/>
      <c r="K902" s="140"/>
      <c r="L902" s="140"/>
      <c r="M902" s="140"/>
      <c r="N902" s="140"/>
      <c r="O902" s="140"/>
      <c r="P902" s="140"/>
      <c r="Q902" s="140"/>
      <c r="R902" s="140"/>
      <c r="S902" s="140"/>
      <c r="T902" s="140"/>
      <c r="U902" s="140"/>
      <c r="V902" s="140"/>
      <c r="W902" s="140"/>
      <c r="X902" s="140"/>
      <c r="Y902" s="140"/>
      <c r="Z902" s="140"/>
      <c r="AA902" s="140"/>
      <c r="AB902" s="140"/>
      <c r="AC902" s="140"/>
      <c r="AD902" s="140"/>
    </row>
    <row r="903" spans="1:30" ht="11.25" customHeight="1" x14ac:dyDescent="0.2">
      <c r="A903" s="140"/>
      <c r="B903" s="140"/>
      <c r="C903" s="140"/>
      <c r="D903" s="140"/>
      <c r="E903" s="140"/>
      <c r="F903" s="140"/>
      <c r="G903" s="140"/>
      <c r="H903" s="140"/>
      <c r="I903" s="140"/>
      <c r="J903" s="140"/>
      <c r="K903" s="140"/>
      <c r="L903" s="140"/>
      <c r="M903" s="140"/>
      <c r="N903" s="140"/>
      <c r="O903" s="140"/>
      <c r="P903" s="140"/>
      <c r="Q903" s="140"/>
      <c r="R903" s="140"/>
      <c r="S903" s="140"/>
      <c r="T903" s="140"/>
      <c r="U903" s="140"/>
      <c r="V903" s="140"/>
      <c r="W903" s="140"/>
      <c r="X903" s="140"/>
      <c r="Y903" s="140"/>
      <c r="Z903" s="140"/>
      <c r="AA903" s="140"/>
      <c r="AB903" s="140"/>
      <c r="AC903" s="140"/>
      <c r="AD903" s="140"/>
    </row>
    <row r="904" spans="1:30" ht="11.25" customHeight="1" x14ac:dyDescent="0.2">
      <c r="A904" s="140"/>
      <c r="B904" s="140"/>
      <c r="C904" s="140"/>
      <c r="D904" s="140"/>
      <c r="E904" s="140"/>
      <c r="F904" s="140"/>
      <c r="G904" s="140"/>
      <c r="H904" s="140"/>
      <c r="I904" s="140"/>
      <c r="J904" s="140"/>
      <c r="K904" s="140"/>
      <c r="L904" s="140"/>
      <c r="M904" s="140"/>
      <c r="N904" s="140"/>
      <c r="O904" s="140"/>
      <c r="P904" s="140"/>
      <c r="Q904" s="140"/>
      <c r="R904" s="140"/>
      <c r="S904" s="140"/>
      <c r="T904" s="140"/>
      <c r="U904" s="140"/>
      <c r="V904" s="140"/>
      <c r="W904" s="140"/>
      <c r="X904" s="140"/>
      <c r="Y904" s="140"/>
      <c r="Z904" s="140"/>
      <c r="AA904" s="140"/>
      <c r="AB904" s="140"/>
      <c r="AC904" s="140"/>
      <c r="AD904" s="140"/>
    </row>
    <row r="905" spans="1:30" ht="11.25" customHeight="1" x14ac:dyDescent="0.2">
      <c r="A905" s="140"/>
      <c r="B905" s="140"/>
      <c r="C905" s="140"/>
      <c r="D905" s="140"/>
      <c r="E905" s="140"/>
      <c r="F905" s="140"/>
      <c r="G905" s="140"/>
      <c r="H905" s="140"/>
      <c r="I905" s="140"/>
      <c r="J905" s="140"/>
      <c r="K905" s="140"/>
      <c r="L905" s="140"/>
      <c r="M905" s="140"/>
      <c r="N905" s="140"/>
      <c r="O905" s="140"/>
      <c r="P905" s="140"/>
      <c r="Q905" s="140"/>
      <c r="R905" s="140"/>
      <c r="S905" s="140"/>
      <c r="T905" s="140"/>
      <c r="U905" s="140"/>
      <c r="V905" s="140"/>
      <c r="W905" s="140"/>
      <c r="X905" s="140"/>
      <c r="Y905" s="140"/>
      <c r="Z905" s="140"/>
      <c r="AA905" s="140"/>
      <c r="AB905" s="140"/>
      <c r="AC905" s="140"/>
      <c r="AD905" s="140"/>
    </row>
    <row r="906" spans="1:30" ht="11.25" customHeight="1" x14ac:dyDescent="0.2">
      <c r="A906" s="140"/>
      <c r="B906" s="140"/>
      <c r="C906" s="140"/>
      <c r="D906" s="140"/>
      <c r="E906" s="140"/>
      <c r="F906" s="140"/>
      <c r="G906" s="140"/>
      <c r="H906" s="140"/>
      <c r="I906" s="140"/>
      <c r="J906" s="140"/>
      <c r="K906" s="140"/>
      <c r="L906" s="140"/>
      <c r="M906" s="140"/>
      <c r="N906" s="140"/>
      <c r="O906" s="140"/>
      <c r="P906" s="140"/>
      <c r="Q906" s="140"/>
      <c r="R906" s="140"/>
      <c r="S906" s="140"/>
      <c r="T906" s="140"/>
      <c r="U906" s="140"/>
      <c r="V906" s="140"/>
      <c r="W906" s="140"/>
      <c r="X906" s="140"/>
      <c r="Y906" s="140"/>
      <c r="Z906" s="140"/>
      <c r="AA906" s="140"/>
      <c r="AB906" s="140"/>
      <c r="AC906" s="140"/>
      <c r="AD906" s="140"/>
    </row>
    <row r="907" spans="1:30" ht="11.25" customHeight="1" x14ac:dyDescent="0.2">
      <c r="A907" s="140"/>
      <c r="B907" s="140"/>
      <c r="C907" s="140"/>
      <c r="D907" s="140"/>
      <c r="E907" s="140"/>
      <c r="F907" s="140"/>
      <c r="G907" s="140"/>
      <c r="H907" s="140"/>
      <c r="I907" s="140"/>
      <c r="J907" s="140"/>
      <c r="K907" s="140"/>
      <c r="L907" s="140"/>
      <c r="M907" s="140"/>
      <c r="N907" s="140"/>
      <c r="O907" s="140"/>
      <c r="P907" s="140"/>
      <c r="Q907" s="140"/>
      <c r="R907" s="140"/>
      <c r="S907" s="140"/>
      <c r="T907" s="140"/>
      <c r="U907" s="140"/>
      <c r="V907" s="140"/>
      <c r="W907" s="140"/>
      <c r="X907" s="140"/>
      <c r="Y907" s="140"/>
      <c r="Z907" s="140"/>
      <c r="AA907" s="140"/>
      <c r="AB907" s="140"/>
      <c r="AC907" s="140"/>
      <c r="AD907" s="140"/>
    </row>
    <row r="908" spans="1:30" ht="11.25" customHeight="1" x14ac:dyDescent="0.2">
      <c r="A908" s="140"/>
      <c r="B908" s="140"/>
      <c r="C908" s="140"/>
      <c r="D908" s="140"/>
      <c r="E908" s="140"/>
      <c r="F908" s="140"/>
      <c r="G908" s="140"/>
      <c r="H908" s="140"/>
      <c r="I908" s="140"/>
      <c r="J908" s="140"/>
      <c r="K908" s="140"/>
      <c r="L908" s="140"/>
      <c r="M908" s="140"/>
      <c r="N908" s="140"/>
      <c r="O908" s="140"/>
      <c r="P908" s="140"/>
      <c r="Q908" s="140"/>
      <c r="R908" s="140"/>
      <c r="S908" s="140"/>
      <c r="T908" s="140"/>
      <c r="U908" s="140"/>
      <c r="V908" s="140"/>
      <c r="W908" s="140"/>
      <c r="X908" s="140"/>
      <c r="Y908" s="140"/>
      <c r="Z908" s="140"/>
      <c r="AA908" s="140"/>
      <c r="AB908" s="140"/>
      <c r="AC908" s="140"/>
      <c r="AD908" s="140"/>
    </row>
    <row r="909" spans="1:30" ht="11.25" customHeight="1" x14ac:dyDescent="0.2">
      <c r="A909" s="140"/>
      <c r="B909" s="140"/>
      <c r="C909" s="140"/>
      <c r="D909" s="140"/>
      <c r="E909" s="140"/>
      <c r="F909" s="140"/>
      <c r="G909" s="140"/>
      <c r="H909" s="140"/>
      <c r="I909" s="140"/>
      <c r="J909" s="140"/>
      <c r="K909" s="140"/>
      <c r="L909" s="140"/>
      <c r="M909" s="140"/>
      <c r="N909" s="140"/>
      <c r="O909" s="140"/>
      <c r="P909" s="140"/>
      <c r="Q909" s="140"/>
      <c r="R909" s="140"/>
      <c r="S909" s="140"/>
      <c r="T909" s="140"/>
      <c r="U909" s="140"/>
      <c r="V909" s="140"/>
      <c r="W909" s="140"/>
      <c r="X909" s="140"/>
      <c r="Y909" s="140"/>
      <c r="Z909" s="140"/>
      <c r="AA909" s="140"/>
      <c r="AB909" s="140"/>
      <c r="AC909" s="140"/>
      <c r="AD909" s="140"/>
    </row>
    <row r="910" spans="1:30" ht="11.25" customHeight="1" x14ac:dyDescent="0.2">
      <c r="A910" s="140"/>
      <c r="B910" s="140"/>
      <c r="C910" s="140"/>
      <c r="D910" s="140"/>
      <c r="E910" s="140"/>
      <c r="F910" s="140"/>
      <c r="G910" s="140"/>
      <c r="H910" s="140"/>
      <c r="I910" s="140"/>
      <c r="J910" s="140"/>
      <c r="K910" s="140"/>
      <c r="L910" s="140"/>
      <c r="M910" s="140"/>
      <c r="N910" s="140"/>
      <c r="O910" s="140"/>
      <c r="P910" s="140"/>
      <c r="Q910" s="140"/>
      <c r="R910" s="140"/>
      <c r="S910" s="140"/>
      <c r="T910" s="140"/>
      <c r="U910" s="140"/>
      <c r="V910" s="140"/>
      <c r="W910" s="140"/>
      <c r="X910" s="140"/>
      <c r="Y910" s="140"/>
      <c r="Z910" s="140"/>
      <c r="AA910" s="140"/>
      <c r="AB910" s="140"/>
      <c r="AC910" s="140"/>
      <c r="AD910" s="140"/>
    </row>
    <row r="911" spans="1:30" ht="11.25" customHeight="1" x14ac:dyDescent="0.2">
      <c r="A911" s="140"/>
      <c r="B911" s="140"/>
      <c r="C911" s="140"/>
      <c r="D911" s="140"/>
      <c r="E911" s="140"/>
      <c r="F911" s="140"/>
      <c r="G911" s="140"/>
      <c r="H911" s="140"/>
      <c r="I911" s="140"/>
      <c r="J911" s="140"/>
      <c r="K911" s="140"/>
      <c r="L911" s="140"/>
      <c r="M911" s="140"/>
      <c r="N911" s="140"/>
      <c r="O911" s="140"/>
      <c r="P911" s="140"/>
      <c r="Q911" s="140"/>
      <c r="R911" s="140"/>
      <c r="S911" s="140"/>
      <c r="T911" s="140"/>
      <c r="U911" s="140"/>
      <c r="V911" s="140"/>
      <c r="W911" s="140"/>
      <c r="X911" s="140"/>
      <c r="Y911" s="140"/>
      <c r="Z911" s="140"/>
      <c r="AA911" s="140"/>
      <c r="AB911" s="140"/>
      <c r="AC911" s="140"/>
      <c r="AD911" s="140"/>
    </row>
    <row r="912" spans="1:30" ht="11.25" customHeight="1" x14ac:dyDescent="0.2">
      <c r="A912" s="140"/>
      <c r="B912" s="140"/>
      <c r="C912" s="140"/>
      <c r="D912" s="140"/>
      <c r="E912" s="140"/>
      <c r="F912" s="140"/>
      <c r="G912" s="140"/>
      <c r="H912" s="140"/>
      <c r="I912" s="140"/>
      <c r="J912" s="140"/>
      <c r="K912" s="140"/>
      <c r="L912" s="140"/>
      <c r="M912" s="140"/>
      <c r="N912" s="140"/>
      <c r="O912" s="140"/>
      <c r="P912" s="140"/>
      <c r="Q912" s="140"/>
      <c r="R912" s="140"/>
      <c r="S912" s="140"/>
      <c r="T912" s="140"/>
      <c r="U912" s="140"/>
      <c r="V912" s="140"/>
      <c r="W912" s="140"/>
      <c r="X912" s="140"/>
      <c r="Y912" s="140"/>
      <c r="Z912" s="140"/>
      <c r="AA912" s="140"/>
      <c r="AB912" s="140"/>
      <c r="AC912" s="140"/>
      <c r="AD912" s="140"/>
    </row>
    <row r="913" spans="1:30" ht="11.25" customHeight="1" x14ac:dyDescent="0.2">
      <c r="A913" s="140"/>
      <c r="B913" s="140"/>
      <c r="C913" s="140"/>
      <c r="D913" s="140"/>
      <c r="E913" s="140"/>
      <c r="F913" s="140"/>
      <c r="G913" s="140"/>
      <c r="H913" s="140"/>
      <c r="I913" s="140"/>
      <c r="J913" s="140"/>
      <c r="K913" s="140"/>
      <c r="L913" s="140"/>
      <c r="M913" s="140"/>
      <c r="N913" s="140"/>
      <c r="O913" s="140"/>
      <c r="P913" s="140"/>
      <c r="Q913" s="140"/>
      <c r="R913" s="140"/>
      <c r="S913" s="140"/>
      <c r="T913" s="140"/>
      <c r="U913" s="140"/>
      <c r="V913" s="140"/>
      <c r="W913" s="140"/>
      <c r="X913" s="140"/>
      <c r="Y913" s="140"/>
      <c r="Z913" s="140"/>
      <c r="AA913" s="140"/>
      <c r="AB913" s="140"/>
      <c r="AC913" s="140"/>
      <c r="AD913" s="140"/>
    </row>
    <row r="914" spans="1:30" ht="11.25" customHeight="1" x14ac:dyDescent="0.2">
      <c r="A914" s="140"/>
      <c r="B914" s="140"/>
      <c r="C914" s="140"/>
      <c r="D914" s="140"/>
      <c r="E914" s="140"/>
      <c r="F914" s="140"/>
      <c r="G914" s="140"/>
      <c r="H914" s="140"/>
      <c r="I914" s="140"/>
      <c r="J914" s="140"/>
      <c r="K914" s="140"/>
      <c r="L914" s="140"/>
      <c r="M914" s="140"/>
      <c r="N914" s="140"/>
      <c r="O914" s="140"/>
      <c r="P914" s="140"/>
      <c r="Q914" s="140"/>
      <c r="R914" s="140"/>
      <c r="S914" s="140"/>
      <c r="T914" s="140"/>
      <c r="U914" s="140"/>
      <c r="V914" s="140"/>
      <c r="W914" s="140"/>
      <c r="X914" s="140"/>
      <c r="Y914" s="140"/>
      <c r="Z914" s="140"/>
      <c r="AA914" s="140"/>
      <c r="AB914" s="140"/>
      <c r="AC914" s="140"/>
      <c r="AD914" s="140"/>
    </row>
    <row r="915" spans="1:30" ht="11.25" customHeight="1" x14ac:dyDescent="0.2">
      <c r="A915" s="140"/>
      <c r="B915" s="140"/>
      <c r="C915" s="140"/>
      <c r="D915" s="140"/>
      <c r="E915" s="140"/>
      <c r="F915" s="140"/>
      <c r="G915" s="140"/>
      <c r="H915" s="140"/>
      <c r="I915" s="140"/>
      <c r="J915" s="140"/>
      <c r="K915" s="140"/>
      <c r="L915" s="140"/>
      <c r="M915" s="140"/>
      <c r="N915" s="140"/>
      <c r="O915" s="140"/>
      <c r="P915" s="140"/>
      <c r="Q915" s="140"/>
      <c r="R915" s="140"/>
      <c r="S915" s="140"/>
      <c r="T915" s="140"/>
      <c r="U915" s="140"/>
      <c r="V915" s="140"/>
      <c r="W915" s="140"/>
      <c r="X915" s="140"/>
      <c r="Y915" s="140"/>
      <c r="Z915" s="140"/>
      <c r="AA915" s="140"/>
      <c r="AB915" s="140"/>
      <c r="AC915" s="140"/>
      <c r="AD915" s="140"/>
    </row>
    <row r="916" spans="1:30" ht="11.25" customHeight="1" x14ac:dyDescent="0.2">
      <c r="A916" s="140"/>
      <c r="B916" s="140"/>
      <c r="C916" s="140"/>
      <c r="D916" s="140"/>
      <c r="E916" s="140"/>
      <c r="F916" s="140"/>
      <c r="G916" s="140"/>
      <c r="H916" s="140"/>
      <c r="I916" s="140"/>
      <c r="J916" s="140"/>
      <c r="K916" s="140"/>
      <c r="L916" s="140"/>
      <c r="M916" s="140"/>
      <c r="N916" s="140"/>
      <c r="O916" s="140"/>
      <c r="P916" s="140"/>
      <c r="Q916" s="140"/>
      <c r="R916" s="140"/>
      <c r="S916" s="140"/>
      <c r="T916" s="140"/>
      <c r="U916" s="140"/>
      <c r="V916" s="140"/>
      <c r="W916" s="140"/>
      <c r="X916" s="140"/>
      <c r="Y916" s="140"/>
      <c r="Z916" s="140"/>
      <c r="AA916" s="140"/>
      <c r="AB916" s="140"/>
      <c r="AC916" s="140"/>
      <c r="AD916" s="140"/>
    </row>
    <row r="917" spans="1:30" ht="11.25" customHeight="1" x14ac:dyDescent="0.2">
      <c r="A917" s="140"/>
      <c r="B917" s="140"/>
      <c r="C917" s="140"/>
      <c r="D917" s="140"/>
      <c r="E917" s="140"/>
      <c r="F917" s="140"/>
      <c r="G917" s="140"/>
      <c r="H917" s="140"/>
      <c r="I917" s="140"/>
      <c r="J917" s="140"/>
      <c r="K917" s="140"/>
      <c r="L917" s="140"/>
      <c r="M917" s="140"/>
      <c r="N917" s="140"/>
      <c r="O917" s="140"/>
      <c r="P917" s="140"/>
      <c r="Q917" s="140"/>
      <c r="R917" s="140"/>
      <c r="S917" s="140"/>
      <c r="T917" s="140"/>
      <c r="U917" s="140"/>
      <c r="V917" s="140"/>
      <c r="W917" s="140"/>
      <c r="X917" s="140"/>
      <c r="Y917" s="140"/>
      <c r="Z917" s="140"/>
      <c r="AA917" s="140"/>
      <c r="AB917" s="140"/>
      <c r="AC917" s="140"/>
      <c r="AD917" s="140"/>
    </row>
    <row r="918" spans="1:30" ht="11.25" customHeight="1" x14ac:dyDescent="0.2">
      <c r="A918" s="140"/>
      <c r="B918" s="140"/>
      <c r="C918" s="140"/>
      <c r="D918" s="140"/>
      <c r="E918" s="140"/>
      <c r="F918" s="140"/>
      <c r="G918" s="140"/>
      <c r="H918" s="140"/>
      <c r="I918" s="140"/>
      <c r="J918" s="140"/>
      <c r="K918" s="140"/>
      <c r="L918" s="140"/>
      <c r="M918" s="140"/>
      <c r="N918" s="140"/>
      <c r="O918" s="140"/>
      <c r="P918" s="140"/>
      <c r="Q918" s="140"/>
      <c r="R918" s="140"/>
      <c r="S918" s="140"/>
      <c r="T918" s="140"/>
      <c r="U918" s="140"/>
      <c r="V918" s="140"/>
      <c r="W918" s="140"/>
      <c r="X918" s="140"/>
      <c r="Y918" s="140"/>
      <c r="Z918" s="140"/>
      <c r="AA918" s="140"/>
      <c r="AB918" s="140"/>
      <c r="AC918" s="140"/>
      <c r="AD918" s="140"/>
    </row>
    <row r="919" spans="1:30" ht="11.25" customHeight="1" x14ac:dyDescent="0.2">
      <c r="A919" s="140"/>
      <c r="B919" s="140"/>
      <c r="C919" s="140"/>
      <c r="D919" s="140"/>
      <c r="E919" s="140"/>
      <c r="F919" s="140"/>
      <c r="G919" s="140"/>
      <c r="H919" s="140"/>
      <c r="I919" s="140"/>
      <c r="J919" s="140"/>
      <c r="K919" s="140"/>
      <c r="L919" s="140"/>
      <c r="M919" s="140"/>
      <c r="N919" s="140"/>
      <c r="O919" s="140"/>
      <c r="P919" s="140"/>
      <c r="Q919" s="140"/>
      <c r="R919" s="140"/>
      <c r="S919" s="140"/>
      <c r="T919" s="140"/>
      <c r="U919" s="140"/>
      <c r="V919" s="140"/>
      <c r="W919" s="140"/>
      <c r="X919" s="140"/>
      <c r="Y919" s="140"/>
      <c r="Z919" s="140"/>
      <c r="AA919" s="140"/>
      <c r="AB919" s="140"/>
      <c r="AC919" s="140"/>
      <c r="AD919" s="140"/>
    </row>
    <row r="920" spans="1:30" ht="11.25" customHeight="1" x14ac:dyDescent="0.2">
      <c r="A920" s="140"/>
      <c r="B920" s="140"/>
      <c r="C920" s="140"/>
      <c r="D920" s="140"/>
      <c r="E920" s="140"/>
      <c r="F920" s="140"/>
      <c r="G920" s="140"/>
      <c r="H920" s="140"/>
      <c r="I920" s="140"/>
      <c r="J920" s="140"/>
      <c r="K920" s="140"/>
      <c r="L920" s="140"/>
      <c r="M920" s="140"/>
      <c r="N920" s="140"/>
      <c r="O920" s="140"/>
      <c r="P920" s="140"/>
      <c r="Q920" s="140"/>
      <c r="R920" s="140"/>
      <c r="S920" s="140"/>
      <c r="T920" s="140"/>
      <c r="U920" s="140"/>
      <c r="V920" s="140"/>
      <c r="W920" s="140"/>
      <c r="X920" s="140"/>
      <c r="Y920" s="140"/>
      <c r="Z920" s="140"/>
      <c r="AA920" s="140"/>
      <c r="AB920" s="140"/>
      <c r="AC920" s="140"/>
      <c r="AD920" s="140"/>
    </row>
    <row r="921" spans="1:30" ht="11.25" customHeight="1" x14ac:dyDescent="0.2">
      <c r="A921" s="140"/>
      <c r="B921" s="140"/>
      <c r="C921" s="140"/>
      <c r="D921" s="140"/>
      <c r="E921" s="140"/>
      <c r="F921" s="140"/>
      <c r="G921" s="140"/>
      <c r="H921" s="140"/>
      <c r="I921" s="140"/>
      <c r="J921" s="140"/>
      <c r="K921" s="140"/>
      <c r="L921" s="140"/>
      <c r="M921" s="140"/>
      <c r="N921" s="140"/>
      <c r="O921" s="140"/>
      <c r="P921" s="140"/>
      <c r="Q921" s="140"/>
      <c r="R921" s="140"/>
      <c r="S921" s="140"/>
      <c r="T921" s="140"/>
      <c r="U921" s="140"/>
      <c r="V921" s="140"/>
      <c r="W921" s="140"/>
      <c r="X921" s="140"/>
      <c r="Y921" s="140"/>
      <c r="Z921" s="140"/>
      <c r="AA921" s="140"/>
      <c r="AB921" s="140"/>
      <c r="AC921" s="140"/>
      <c r="AD921" s="140"/>
    </row>
    <row r="922" spans="1:30" ht="11.25" customHeight="1" x14ac:dyDescent="0.2">
      <c r="A922" s="140"/>
      <c r="B922" s="140"/>
      <c r="C922" s="140"/>
      <c r="D922" s="140"/>
      <c r="E922" s="140"/>
      <c r="F922" s="140"/>
      <c r="G922" s="140"/>
      <c r="H922" s="140"/>
      <c r="I922" s="140"/>
      <c r="J922" s="140"/>
      <c r="K922" s="140"/>
      <c r="L922" s="140"/>
      <c r="M922" s="140"/>
      <c r="N922" s="140"/>
      <c r="O922" s="140"/>
      <c r="P922" s="140"/>
      <c r="Q922" s="140"/>
      <c r="R922" s="140"/>
      <c r="S922" s="140"/>
      <c r="T922" s="140"/>
      <c r="U922" s="140"/>
      <c r="V922" s="140"/>
      <c r="W922" s="140"/>
      <c r="X922" s="140"/>
      <c r="Y922" s="140"/>
      <c r="Z922" s="140"/>
      <c r="AA922" s="140"/>
      <c r="AB922" s="140"/>
      <c r="AC922" s="140"/>
      <c r="AD922" s="140"/>
    </row>
    <row r="923" spans="1:30" ht="11.25" customHeight="1" x14ac:dyDescent="0.2">
      <c r="A923" s="140"/>
      <c r="B923" s="140"/>
      <c r="C923" s="140"/>
      <c r="D923" s="140"/>
      <c r="E923" s="140"/>
      <c r="F923" s="140"/>
      <c r="G923" s="140"/>
      <c r="H923" s="140"/>
      <c r="I923" s="140"/>
      <c r="J923" s="140"/>
      <c r="K923" s="140"/>
      <c r="L923" s="140"/>
      <c r="M923" s="140"/>
      <c r="N923" s="140"/>
      <c r="O923" s="140"/>
      <c r="P923" s="140"/>
      <c r="Q923" s="140"/>
      <c r="R923" s="140"/>
      <c r="S923" s="140"/>
      <c r="T923" s="140"/>
      <c r="U923" s="140"/>
      <c r="V923" s="140"/>
      <c r="W923" s="140"/>
      <c r="X923" s="140"/>
      <c r="Y923" s="140"/>
      <c r="Z923" s="140"/>
      <c r="AA923" s="140"/>
      <c r="AB923" s="140"/>
      <c r="AC923" s="140"/>
      <c r="AD923" s="140"/>
    </row>
    <row r="924" spans="1:30" ht="11.25" customHeight="1" x14ac:dyDescent="0.2">
      <c r="A924" s="140"/>
      <c r="B924" s="140"/>
      <c r="C924" s="140"/>
      <c r="D924" s="140"/>
      <c r="E924" s="140"/>
      <c r="F924" s="140"/>
      <c r="G924" s="140"/>
      <c r="H924" s="140"/>
      <c r="I924" s="140"/>
      <c r="J924" s="140"/>
      <c r="K924" s="140"/>
      <c r="L924" s="140"/>
      <c r="M924" s="140"/>
      <c r="N924" s="140"/>
      <c r="O924" s="140"/>
      <c r="P924" s="140"/>
      <c r="Q924" s="140"/>
      <c r="R924" s="140"/>
      <c r="S924" s="140"/>
      <c r="T924" s="140"/>
      <c r="U924" s="140"/>
      <c r="V924" s="140"/>
      <c r="W924" s="140"/>
      <c r="X924" s="140"/>
      <c r="Y924" s="140"/>
      <c r="Z924" s="140"/>
      <c r="AA924" s="140"/>
      <c r="AB924" s="140"/>
      <c r="AC924" s="140"/>
      <c r="AD924" s="140"/>
    </row>
    <row r="925" spans="1:30" ht="11.25" customHeight="1" x14ac:dyDescent="0.2">
      <c r="A925" s="140"/>
      <c r="B925" s="140"/>
      <c r="C925" s="140"/>
      <c r="D925" s="140"/>
      <c r="E925" s="140"/>
      <c r="F925" s="140"/>
      <c r="G925" s="140"/>
      <c r="H925" s="140"/>
      <c r="I925" s="140"/>
      <c r="J925" s="140"/>
      <c r="K925" s="140"/>
      <c r="L925" s="140"/>
      <c r="M925" s="140"/>
      <c r="N925" s="140"/>
      <c r="O925" s="140"/>
      <c r="P925" s="140"/>
      <c r="Q925" s="140"/>
      <c r="R925" s="140"/>
      <c r="S925" s="140"/>
      <c r="T925" s="140"/>
      <c r="U925" s="140"/>
      <c r="V925" s="140"/>
      <c r="W925" s="140"/>
      <c r="X925" s="140"/>
      <c r="Y925" s="140"/>
      <c r="Z925" s="140"/>
      <c r="AA925" s="140"/>
      <c r="AB925" s="140"/>
      <c r="AC925" s="140"/>
      <c r="AD925" s="140"/>
    </row>
    <row r="926" spans="1:30" ht="11.25" customHeight="1" x14ac:dyDescent="0.2">
      <c r="A926" s="140"/>
      <c r="B926" s="140"/>
      <c r="C926" s="140"/>
      <c r="D926" s="140"/>
      <c r="E926" s="140"/>
      <c r="F926" s="140"/>
      <c r="G926" s="140"/>
      <c r="H926" s="140"/>
      <c r="I926" s="140"/>
      <c r="J926" s="140"/>
      <c r="K926" s="140"/>
      <c r="L926" s="140"/>
      <c r="M926" s="140"/>
      <c r="N926" s="140"/>
      <c r="O926" s="140"/>
      <c r="P926" s="140"/>
      <c r="Q926" s="140"/>
      <c r="R926" s="140"/>
      <c r="S926" s="140"/>
      <c r="T926" s="140"/>
      <c r="U926" s="140"/>
      <c r="V926" s="140"/>
      <c r="W926" s="140"/>
      <c r="X926" s="140"/>
      <c r="Y926" s="140"/>
      <c r="Z926" s="140"/>
      <c r="AA926" s="140"/>
      <c r="AB926" s="140"/>
      <c r="AC926" s="140"/>
      <c r="AD926" s="140"/>
    </row>
    <row r="927" spans="1:30" ht="11.25" customHeight="1" x14ac:dyDescent="0.2">
      <c r="A927" s="140"/>
      <c r="B927" s="140"/>
      <c r="C927" s="140"/>
      <c r="D927" s="140"/>
      <c r="E927" s="140"/>
      <c r="F927" s="140"/>
      <c r="G927" s="140"/>
      <c r="H927" s="140"/>
      <c r="I927" s="140"/>
      <c r="J927" s="140"/>
      <c r="K927" s="140"/>
      <c r="L927" s="140"/>
      <c r="M927" s="140"/>
      <c r="N927" s="140"/>
      <c r="O927" s="140"/>
      <c r="P927" s="140"/>
      <c r="Q927" s="140"/>
      <c r="R927" s="140"/>
      <c r="S927" s="140"/>
      <c r="T927" s="140"/>
      <c r="U927" s="140"/>
      <c r="V927" s="140"/>
      <c r="W927" s="140"/>
      <c r="X927" s="140"/>
      <c r="Y927" s="140"/>
      <c r="Z927" s="140"/>
      <c r="AA927" s="140"/>
      <c r="AB927" s="140"/>
      <c r="AC927" s="140"/>
      <c r="AD927" s="140"/>
    </row>
    <row r="928" spans="1:30" ht="11.25" customHeight="1" x14ac:dyDescent="0.2">
      <c r="A928" s="140"/>
      <c r="B928" s="140"/>
      <c r="C928" s="140"/>
      <c r="D928" s="140"/>
      <c r="E928" s="140"/>
      <c r="F928" s="140"/>
      <c r="G928" s="140"/>
      <c r="H928" s="140"/>
      <c r="I928" s="140"/>
      <c r="J928" s="140"/>
      <c r="K928" s="140"/>
      <c r="L928" s="140"/>
      <c r="M928" s="140"/>
      <c r="N928" s="140"/>
      <c r="O928" s="140"/>
      <c r="P928" s="140"/>
      <c r="Q928" s="140"/>
      <c r="R928" s="140"/>
      <c r="S928" s="140"/>
      <c r="T928" s="140"/>
      <c r="U928" s="140"/>
      <c r="V928" s="140"/>
      <c r="W928" s="140"/>
      <c r="X928" s="140"/>
      <c r="Y928" s="140"/>
      <c r="Z928" s="140"/>
      <c r="AA928" s="140"/>
      <c r="AB928" s="140"/>
      <c r="AC928" s="140"/>
      <c r="AD928" s="140"/>
    </row>
    <row r="929" spans="1:30" ht="11.25" customHeight="1" x14ac:dyDescent="0.2">
      <c r="A929" s="140"/>
      <c r="B929" s="140"/>
      <c r="C929" s="140"/>
      <c r="D929" s="140"/>
      <c r="E929" s="140"/>
      <c r="F929" s="140"/>
      <c r="G929" s="140"/>
      <c r="H929" s="140"/>
      <c r="I929" s="140"/>
      <c r="J929" s="140"/>
      <c r="K929" s="140"/>
      <c r="L929" s="140"/>
      <c r="M929" s="140"/>
      <c r="N929" s="140"/>
      <c r="O929" s="140"/>
      <c r="P929" s="140"/>
      <c r="Q929" s="140"/>
      <c r="R929" s="140"/>
      <c r="S929" s="140"/>
      <c r="T929" s="140"/>
      <c r="U929" s="140"/>
      <c r="V929" s="140"/>
      <c r="W929" s="140"/>
      <c r="X929" s="140"/>
      <c r="Y929" s="140"/>
      <c r="Z929" s="140"/>
      <c r="AA929" s="140"/>
      <c r="AB929" s="140"/>
      <c r="AC929" s="140"/>
      <c r="AD929" s="140"/>
    </row>
    <row r="930" spans="1:30" ht="11.25" customHeight="1" x14ac:dyDescent="0.2">
      <c r="A930" s="140"/>
      <c r="B930" s="140"/>
      <c r="C930" s="140"/>
      <c r="D930" s="140"/>
      <c r="E930" s="140"/>
      <c r="F930" s="140"/>
      <c r="G930" s="140"/>
      <c r="H930" s="140"/>
      <c r="I930" s="140"/>
      <c r="J930" s="140"/>
      <c r="K930" s="140"/>
      <c r="L930" s="140"/>
      <c r="M930" s="140"/>
      <c r="N930" s="140"/>
      <c r="O930" s="140"/>
      <c r="P930" s="140"/>
      <c r="Q930" s="140"/>
      <c r="R930" s="140"/>
      <c r="S930" s="140"/>
      <c r="T930" s="140"/>
      <c r="U930" s="140"/>
      <c r="V930" s="140"/>
      <c r="W930" s="140"/>
      <c r="X930" s="140"/>
      <c r="Y930" s="140"/>
      <c r="Z930" s="140"/>
      <c r="AA930" s="140"/>
      <c r="AB930" s="140"/>
      <c r="AC930" s="140"/>
      <c r="AD930" s="140"/>
    </row>
    <row r="931" spans="1:30" ht="11.25" customHeight="1" x14ac:dyDescent="0.2">
      <c r="A931" s="140"/>
      <c r="B931" s="140"/>
      <c r="C931" s="140"/>
      <c r="D931" s="140"/>
      <c r="E931" s="140"/>
      <c r="F931" s="140"/>
      <c r="G931" s="140"/>
      <c r="H931" s="140"/>
      <c r="I931" s="140"/>
      <c r="J931" s="140"/>
      <c r="K931" s="140"/>
      <c r="L931" s="140"/>
      <c r="M931" s="140"/>
      <c r="N931" s="140"/>
      <c r="O931" s="140"/>
      <c r="P931" s="140"/>
      <c r="Q931" s="140"/>
      <c r="R931" s="140"/>
      <c r="S931" s="140"/>
      <c r="T931" s="140"/>
      <c r="U931" s="140"/>
      <c r="V931" s="140"/>
      <c r="W931" s="140"/>
      <c r="X931" s="140"/>
      <c r="Y931" s="140"/>
      <c r="Z931" s="140"/>
      <c r="AA931" s="140"/>
      <c r="AB931" s="140"/>
      <c r="AC931" s="140"/>
      <c r="AD931" s="140"/>
    </row>
    <row r="932" spans="1:30" ht="11.25" customHeight="1" x14ac:dyDescent="0.2">
      <c r="A932" s="140"/>
      <c r="B932" s="140"/>
      <c r="C932" s="140"/>
      <c r="D932" s="140"/>
      <c r="E932" s="140"/>
      <c r="F932" s="140"/>
      <c r="G932" s="140"/>
      <c r="H932" s="140"/>
      <c r="I932" s="140"/>
      <c r="J932" s="140"/>
      <c r="K932" s="140"/>
      <c r="L932" s="140"/>
      <c r="M932" s="140"/>
      <c r="N932" s="140"/>
      <c r="O932" s="140"/>
      <c r="P932" s="140"/>
      <c r="Q932" s="140"/>
      <c r="R932" s="140"/>
      <c r="S932" s="140"/>
      <c r="T932" s="140"/>
      <c r="U932" s="140"/>
      <c r="V932" s="140"/>
      <c r="W932" s="140"/>
      <c r="X932" s="140"/>
      <c r="Y932" s="140"/>
      <c r="Z932" s="140"/>
      <c r="AA932" s="140"/>
      <c r="AB932" s="140"/>
      <c r="AC932" s="140"/>
      <c r="AD932" s="140"/>
    </row>
    <row r="933" spans="1:30" ht="11.25" customHeight="1" x14ac:dyDescent="0.2">
      <c r="A933" s="140"/>
      <c r="B933" s="140"/>
      <c r="C933" s="140"/>
      <c r="D933" s="140"/>
      <c r="E933" s="140"/>
      <c r="F933" s="140"/>
      <c r="G933" s="140"/>
      <c r="H933" s="140"/>
      <c r="I933" s="140"/>
      <c r="J933" s="140"/>
      <c r="K933" s="140"/>
      <c r="L933" s="140"/>
      <c r="M933" s="140"/>
      <c r="N933" s="140"/>
      <c r="O933" s="140"/>
      <c r="P933" s="140"/>
      <c r="Q933" s="140"/>
      <c r="R933" s="140"/>
      <c r="S933" s="140"/>
      <c r="T933" s="140"/>
      <c r="U933" s="140"/>
      <c r="V933" s="140"/>
      <c r="W933" s="140"/>
      <c r="X933" s="140"/>
      <c r="Y933" s="140"/>
      <c r="Z933" s="140"/>
      <c r="AA933" s="140"/>
      <c r="AB933" s="140"/>
      <c r="AC933" s="140"/>
      <c r="AD933" s="140"/>
    </row>
    <row r="934" spans="1:30" ht="11.25" customHeight="1" x14ac:dyDescent="0.2">
      <c r="A934" s="140"/>
      <c r="B934" s="140"/>
      <c r="C934" s="140"/>
      <c r="D934" s="140"/>
      <c r="E934" s="140"/>
      <c r="F934" s="140"/>
      <c r="G934" s="140"/>
      <c r="H934" s="140"/>
      <c r="I934" s="140"/>
      <c r="J934" s="140"/>
      <c r="K934" s="140"/>
      <c r="L934" s="140"/>
      <c r="M934" s="140"/>
      <c r="N934" s="140"/>
      <c r="O934" s="140"/>
      <c r="P934" s="140"/>
      <c r="Q934" s="140"/>
      <c r="R934" s="140"/>
      <c r="S934" s="140"/>
      <c r="T934" s="140"/>
      <c r="U934" s="140"/>
      <c r="V934" s="140"/>
      <c r="W934" s="140"/>
      <c r="X934" s="140"/>
      <c r="Y934" s="140"/>
      <c r="Z934" s="140"/>
      <c r="AA934" s="140"/>
      <c r="AB934" s="140"/>
      <c r="AC934" s="140"/>
      <c r="AD934" s="140"/>
    </row>
    <row r="935" spans="1:30" ht="11.25" customHeight="1" x14ac:dyDescent="0.2">
      <c r="A935" s="140"/>
      <c r="B935" s="140"/>
      <c r="C935" s="140"/>
      <c r="D935" s="140"/>
      <c r="E935" s="140"/>
      <c r="F935" s="140"/>
      <c r="G935" s="140"/>
      <c r="H935" s="140"/>
      <c r="I935" s="140"/>
      <c r="J935" s="140"/>
      <c r="K935" s="140"/>
      <c r="L935" s="140"/>
      <c r="M935" s="140"/>
      <c r="N935" s="140"/>
      <c r="O935" s="140"/>
      <c r="P935" s="140"/>
      <c r="Q935" s="140"/>
      <c r="R935" s="140"/>
      <c r="S935" s="140"/>
      <c r="T935" s="140"/>
      <c r="U935" s="140"/>
      <c r="V935" s="140"/>
      <c r="W935" s="140"/>
      <c r="X935" s="140"/>
      <c r="Y935" s="140"/>
      <c r="Z935" s="140"/>
      <c r="AA935" s="140"/>
      <c r="AB935" s="140"/>
      <c r="AC935" s="140"/>
      <c r="AD935" s="140"/>
    </row>
    <row r="936" spans="1:30" ht="11.25" customHeight="1" x14ac:dyDescent="0.2">
      <c r="A936" s="140"/>
      <c r="B936" s="140"/>
      <c r="C936" s="140"/>
      <c r="D936" s="140"/>
      <c r="E936" s="140"/>
      <c r="F936" s="140"/>
      <c r="G936" s="140"/>
      <c r="H936" s="140"/>
      <c r="I936" s="140"/>
      <c r="J936" s="140"/>
      <c r="K936" s="140"/>
      <c r="L936" s="140"/>
      <c r="M936" s="140"/>
      <c r="N936" s="140"/>
      <c r="O936" s="140"/>
      <c r="P936" s="140"/>
      <c r="Q936" s="140"/>
      <c r="R936" s="140"/>
      <c r="S936" s="140"/>
      <c r="T936" s="140"/>
      <c r="U936" s="140"/>
      <c r="V936" s="140"/>
      <c r="W936" s="140"/>
      <c r="X936" s="140"/>
      <c r="Y936" s="140"/>
      <c r="Z936" s="140"/>
      <c r="AA936" s="140"/>
      <c r="AB936" s="140"/>
      <c r="AC936" s="140"/>
      <c r="AD936" s="140"/>
    </row>
    <row r="937" spans="1:30" ht="11.25" customHeight="1" x14ac:dyDescent="0.2">
      <c r="A937" s="140"/>
      <c r="B937" s="140"/>
      <c r="C937" s="140"/>
      <c r="D937" s="140"/>
      <c r="E937" s="140"/>
      <c r="F937" s="140"/>
      <c r="G937" s="140"/>
      <c r="H937" s="140"/>
      <c r="I937" s="140"/>
      <c r="J937" s="140"/>
      <c r="K937" s="140"/>
      <c r="L937" s="140"/>
      <c r="M937" s="140"/>
      <c r="N937" s="140"/>
      <c r="O937" s="140"/>
      <c r="P937" s="140"/>
      <c r="Q937" s="140"/>
      <c r="R937" s="140"/>
      <c r="S937" s="140"/>
      <c r="T937" s="140"/>
      <c r="U937" s="140"/>
      <c r="V937" s="140"/>
      <c r="W937" s="140"/>
      <c r="X937" s="140"/>
      <c r="Y937" s="140"/>
      <c r="Z937" s="140"/>
      <c r="AA937" s="140"/>
      <c r="AB937" s="140"/>
      <c r="AC937" s="140"/>
      <c r="AD937" s="140"/>
    </row>
    <row r="938" spans="1:30" ht="11.25" customHeight="1" x14ac:dyDescent="0.2">
      <c r="A938" s="140"/>
      <c r="B938" s="140"/>
      <c r="C938" s="140"/>
      <c r="D938" s="140"/>
      <c r="E938" s="140"/>
      <c r="F938" s="140"/>
      <c r="G938" s="140"/>
      <c r="H938" s="140"/>
      <c r="I938" s="140"/>
      <c r="J938" s="140"/>
      <c r="K938" s="140"/>
      <c r="L938" s="140"/>
      <c r="M938" s="140"/>
      <c r="N938" s="140"/>
      <c r="O938" s="140"/>
      <c r="P938" s="140"/>
      <c r="Q938" s="140"/>
      <c r="R938" s="140"/>
      <c r="S938" s="140"/>
      <c r="T938" s="140"/>
      <c r="U938" s="140"/>
      <c r="V938" s="140"/>
      <c r="W938" s="140"/>
      <c r="X938" s="140"/>
      <c r="Y938" s="140"/>
      <c r="Z938" s="140"/>
      <c r="AA938" s="140"/>
      <c r="AB938" s="140"/>
      <c r="AC938" s="140"/>
      <c r="AD938" s="140"/>
    </row>
    <row r="939" spans="1:30" ht="11.25" customHeight="1" x14ac:dyDescent="0.2">
      <c r="A939" s="140"/>
      <c r="B939" s="140"/>
      <c r="C939" s="140"/>
      <c r="D939" s="140"/>
      <c r="E939" s="140"/>
      <c r="F939" s="140"/>
      <c r="G939" s="140"/>
      <c r="H939" s="140"/>
      <c r="I939" s="140"/>
      <c r="J939" s="140"/>
      <c r="K939" s="140"/>
      <c r="L939" s="140"/>
      <c r="M939" s="140"/>
      <c r="N939" s="140"/>
      <c r="O939" s="140"/>
      <c r="P939" s="140"/>
      <c r="Q939" s="140"/>
      <c r="R939" s="140"/>
      <c r="S939" s="140"/>
      <c r="T939" s="140"/>
      <c r="U939" s="140"/>
      <c r="V939" s="140"/>
      <c r="W939" s="140"/>
      <c r="X939" s="140"/>
      <c r="Y939" s="140"/>
      <c r="Z939" s="140"/>
      <c r="AA939" s="140"/>
      <c r="AB939" s="140"/>
      <c r="AC939" s="140"/>
      <c r="AD939" s="140"/>
    </row>
    <row r="940" spans="1:30" ht="11.25" customHeight="1" x14ac:dyDescent="0.2">
      <c r="A940" s="140"/>
      <c r="B940" s="140"/>
      <c r="C940" s="140"/>
      <c r="D940" s="140"/>
      <c r="E940" s="140"/>
      <c r="F940" s="140"/>
      <c r="G940" s="140"/>
      <c r="H940" s="140"/>
      <c r="I940" s="140"/>
      <c r="J940" s="140"/>
      <c r="K940" s="140"/>
      <c r="L940" s="140"/>
      <c r="M940" s="140"/>
      <c r="N940" s="140"/>
      <c r="O940" s="140"/>
      <c r="P940" s="140"/>
      <c r="Q940" s="140"/>
      <c r="R940" s="140"/>
      <c r="S940" s="140"/>
      <c r="T940" s="140"/>
      <c r="U940" s="140"/>
      <c r="V940" s="140"/>
      <c r="W940" s="140"/>
      <c r="X940" s="140"/>
      <c r="Y940" s="140"/>
      <c r="Z940" s="140"/>
      <c r="AA940" s="140"/>
      <c r="AB940" s="140"/>
      <c r="AC940" s="140"/>
      <c r="AD940" s="140"/>
    </row>
    <row r="941" spans="1:30" ht="11.25" customHeight="1" x14ac:dyDescent="0.2">
      <c r="A941" s="140"/>
      <c r="B941" s="140"/>
      <c r="C941" s="140"/>
      <c r="D941" s="140"/>
      <c r="E941" s="140"/>
      <c r="F941" s="140"/>
      <c r="G941" s="140"/>
      <c r="H941" s="140"/>
      <c r="I941" s="140"/>
      <c r="J941" s="140"/>
      <c r="K941" s="140"/>
      <c r="L941" s="140"/>
      <c r="M941" s="140"/>
      <c r="N941" s="140"/>
      <c r="O941" s="140"/>
      <c r="P941" s="140"/>
      <c r="Q941" s="140"/>
      <c r="R941" s="140"/>
      <c r="S941" s="140"/>
      <c r="T941" s="140"/>
      <c r="U941" s="140"/>
      <c r="V941" s="140"/>
      <c r="W941" s="140"/>
      <c r="X941" s="140"/>
      <c r="Y941" s="140"/>
      <c r="Z941" s="140"/>
      <c r="AA941" s="140"/>
      <c r="AB941" s="140"/>
      <c r="AC941" s="140"/>
      <c r="AD941" s="140"/>
    </row>
    <row r="942" spans="1:30" ht="11.25" customHeight="1" x14ac:dyDescent="0.2">
      <c r="A942" s="140"/>
      <c r="B942" s="140"/>
      <c r="C942" s="140"/>
      <c r="D942" s="140"/>
      <c r="E942" s="140"/>
      <c r="F942" s="140"/>
      <c r="G942" s="140"/>
      <c r="H942" s="140"/>
      <c r="I942" s="140"/>
      <c r="J942" s="140"/>
      <c r="K942" s="140"/>
      <c r="L942" s="140"/>
      <c r="M942" s="140"/>
      <c r="N942" s="140"/>
      <c r="O942" s="140"/>
      <c r="P942" s="140"/>
      <c r="Q942" s="140"/>
      <c r="R942" s="140"/>
      <c r="S942" s="140"/>
      <c r="T942" s="140"/>
      <c r="U942" s="140"/>
      <c r="V942" s="140"/>
      <c r="W942" s="140"/>
      <c r="X942" s="140"/>
      <c r="Y942" s="140"/>
      <c r="Z942" s="140"/>
      <c r="AA942" s="140"/>
      <c r="AB942" s="140"/>
      <c r="AC942" s="140"/>
      <c r="AD942" s="140"/>
    </row>
    <row r="943" spans="1:30" ht="11.25" customHeight="1" x14ac:dyDescent="0.2">
      <c r="A943" s="140"/>
      <c r="B943" s="140"/>
      <c r="C943" s="140"/>
      <c r="D943" s="140"/>
      <c r="E943" s="140"/>
      <c r="F943" s="140"/>
      <c r="G943" s="140"/>
      <c r="H943" s="140"/>
      <c r="I943" s="140"/>
      <c r="J943" s="140"/>
      <c r="K943" s="140"/>
      <c r="L943" s="140"/>
      <c r="M943" s="140"/>
      <c r="N943" s="140"/>
      <c r="O943" s="140"/>
      <c r="P943" s="140"/>
      <c r="Q943" s="140"/>
      <c r="R943" s="140"/>
      <c r="S943" s="140"/>
      <c r="T943" s="140"/>
      <c r="U943" s="140"/>
      <c r="V943" s="140"/>
      <c r="W943" s="140"/>
      <c r="X943" s="140"/>
      <c r="Y943" s="140"/>
      <c r="Z943" s="140"/>
      <c r="AA943" s="140"/>
      <c r="AB943" s="140"/>
      <c r="AC943" s="140"/>
      <c r="AD943" s="140"/>
    </row>
    <row r="944" spans="1:30" ht="11.25" customHeight="1" x14ac:dyDescent="0.2">
      <c r="A944" s="140"/>
      <c r="B944" s="140"/>
      <c r="C944" s="140"/>
      <c r="D944" s="140"/>
      <c r="E944" s="140"/>
      <c r="F944" s="140"/>
      <c r="G944" s="140"/>
      <c r="H944" s="140"/>
      <c r="I944" s="140"/>
      <c r="J944" s="140"/>
      <c r="K944" s="140"/>
      <c r="L944" s="140"/>
      <c r="M944" s="140"/>
      <c r="N944" s="140"/>
      <c r="O944" s="140"/>
      <c r="P944" s="140"/>
      <c r="Q944" s="140"/>
      <c r="R944" s="140"/>
      <c r="S944" s="140"/>
      <c r="T944" s="140"/>
      <c r="U944" s="140"/>
      <c r="V944" s="140"/>
      <c r="W944" s="140"/>
      <c r="X944" s="140"/>
      <c r="Y944" s="140"/>
      <c r="Z944" s="140"/>
      <c r="AA944" s="140"/>
      <c r="AB944" s="140"/>
      <c r="AC944" s="140"/>
      <c r="AD944" s="140"/>
    </row>
    <row r="945" spans="1:30" ht="11.25" customHeight="1" x14ac:dyDescent="0.2">
      <c r="A945" s="140"/>
      <c r="B945" s="140"/>
      <c r="C945" s="140"/>
      <c r="D945" s="140"/>
      <c r="E945" s="140"/>
      <c r="F945" s="140"/>
      <c r="G945" s="140"/>
      <c r="H945" s="140"/>
      <c r="I945" s="140"/>
      <c r="J945" s="140"/>
      <c r="K945" s="140"/>
      <c r="L945" s="140"/>
      <c r="M945" s="140"/>
      <c r="N945" s="140"/>
      <c r="O945" s="140"/>
      <c r="P945" s="140"/>
      <c r="Q945" s="140"/>
      <c r="R945" s="140"/>
      <c r="S945" s="140"/>
      <c r="T945" s="140"/>
      <c r="U945" s="140"/>
      <c r="V945" s="140"/>
      <c r="W945" s="140"/>
      <c r="X945" s="140"/>
      <c r="Y945" s="140"/>
      <c r="Z945" s="140"/>
      <c r="AA945" s="140"/>
      <c r="AB945" s="140"/>
      <c r="AC945" s="140"/>
      <c r="AD945" s="140"/>
    </row>
    <row r="946" spans="1:30" ht="11.25" customHeight="1" x14ac:dyDescent="0.2">
      <c r="A946" s="140"/>
      <c r="B946" s="140"/>
      <c r="C946" s="140"/>
      <c r="D946" s="140"/>
      <c r="E946" s="140"/>
      <c r="F946" s="140"/>
      <c r="G946" s="140"/>
      <c r="H946" s="140"/>
      <c r="I946" s="140"/>
      <c r="J946" s="140"/>
      <c r="K946" s="140"/>
      <c r="L946" s="140"/>
      <c r="M946" s="140"/>
      <c r="N946" s="140"/>
      <c r="O946" s="140"/>
      <c r="P946" s="140"/>
      <c r="Q946" s="140"/>
      <c r="R946" s="140"/>
      <c r="S946" s="140"/>
      <c r="T946" s="140"/>
      <c r="U946" s="140"/>
      <c r="V946" s="140"/>
      <c r="W946" s="140"/>
      <c r="X946" s="140"/>
      <c r="Y946" s="140"/>
      <c r="Z946" s="140"/>
      <c r="AA946" s="140"/>
      <c r="AB946" s="140"/>
      <c r="AC946" s="140"/>
      <c r="AD946" s="140"/>
    </row>
    <row r="947" spans="1:30" ht="11.25" customHeight="1" x14ac:dyDescent="0.2">
      <c r="A947" s="140"/>
      <c r="B947" s="140"/>
      <c r="C947" s="140"/>
      <c r="D947" s="140"/>
      <c r="E947" s="140"/>
      <c r="F947" s="140"/>
      <c r="G947" s="140"/>
      <c r="H947" s="140"/>
      <c r="I947" s="140"/>
      <c r="J947" s="140"/>
      <c r="K947" s="140"/>
      <c r="L947" s="140"/>
      <c r="M947" s="140"/>
      <c r="N947" s="140"/>
      <c r="O947" s="140"/>
      <c r="P947" s="140"/>
      <c r="Q947" s="140"/>
      <c r="R947" s="140"/>
      <c r="S947" s="140"/>
      <c r="T947" s="140"/>
      <c r="U947" s="140"/>
      <c r="V947" s="140"/>
      <c r="W947" s="140"/>
      <c r="X947" s="140"/>
      <c r="Y947" s="140"/>
      <c r="Z947" s="140"/>
      <c r="AA947" s="140"/>
      <c r="AB947" s="140"/>
      <c r="AC947" s="140"/>
      <c r="AD947" s="140"/>
    </row>
    <row r="948" spans="1:30" ht="11.25" customHeight="1" x14ac:dyDescent="0.2">
      <c r="A948" s="140"/>
      <c r="B948" s="140"/>
      <c r="C948" s="140"/>
      <c r="D948" s="140"/>
      <c r="E948" s="140"/>
      <c r="F948" s="140"/>
      <c r="G948" s="140"/>
      <c r="H948" s="140"/>
      <c r="I948" s="140"/>
      <c r="J948" s="140"/>
      <c r="K948" s="140"/>
      <c r="L948" s="140"/>
      <c r="M948" s="140"/>
      <c r="N948" s="140"/>
      <c r="O948" s="140"/>
      <c r="P948" s="140"/>
      <c r="Q948" s="140"/>
      <c r="R948" s="140"/>
      <c r="S948" s="140"/>
      <c r="T948" s="140"/>
      <c r="U948" s="140"/>
      <c r="V948" s="140"/>
      <c r="W948" s="140"/>
      <c r="X948" s="140"/>
      <c r="Y948" s="140"/>
      <c r="Z948" s="140"/>
      <c r="AA948" s="140"/>
      <c r="AB948" s="140"/>
      <c r="AC948" s="140"/>
      <c r="AD948" s="140"/>
    </row>
    <row r="949" spans="1:30" ht="11.25" customHeight="1" x14ac:dyDescent="0.2">
      <c r="A949" s="140"/>
      <c r="B949" s="140"/>
      <c r="C949" s="140"/>
      <c r="D949" s="140"/>
      <c r="E949" s="140"/>
      <c r="F949" s="140"/>
      <c r="G949" s="140"/>
      <c r="H949" s="140"/>
      <c r="I949" s="140"/>
      <c r="J949" s="140"/>
      <c r="K949" s="140"/>
      <c r="L949" s="140"/>
      <c r="M949" s="140"/>
      <c r="N949" s="140"/>
      <c r="O949" s="140"/>
      <c r="P949" s="140"/>
      <c r="Q949" s="140"/>
      <c r="R949" s="140"/>
      <c r="S949" s="140"/>
      <c r="T949" s="140"/>
      <c r="U949" s="140"/>
      <c r="V949" s="140"/>
      <c r="W949" s="140"/>
      <c r="X949" s="140"/>
      <c r="Y949" s="140"/>
      <c r="Z949" s="140"/>
      <c r="AA949" s="140"/>
      <c r="AB949" s="140"/>
      <c r="AC949" s="140"/>
      <c r="AD949" s="140"/>
    </row>
    <row r="950" spans="1:30" ht="11.25" customHeight="1" x14ac:dyDescent="0.2">
      <c r="A950" s="140"/>
      <c r="B950" s="140"/>
      <c r="C950" s="140"/>
      <c r="D950" s="140"/>
      <c r="E950" s="140"/>
      <c r="F950" s="140"/>
      <c r="G950" s="140"/>
      <c r="H950" s="140"/>
      <c r="I950" s="140"/>
      <c r="J950" s="140"/>
      <c r="K950" s="140"/>
      <c r="L950" s="140"/>
      <c r="M950" s="140"/>
      <c r="N950" s="140"/>
      <c r="O950" s="140"/>
      <c r="P950" s="140"/>
      <c r="Q950" s="140"/>
      <c r="R950" s="140"/>
      <c r="S950" s="140"/>
      <c r="T950" s="140"/>
      <c r="U950" s="140"/>
      <c r="V950" s="140"/>
      <c r="W950" s="140"/>
      <c r="X950" s="140"/>
      <c r="Y950" s="140"/>
      <c r="Z950" s="140"/>
      <c r="AA950" s="140"/>
      <c r="AB950" s="140"/>
      <c r="AC950" s="140"/>
      <c r="AD950" s="140"/>
    </row>
    <row r="951" spans="1:30" ht="11.25" customHeight="1" x14ac:dyDescent="0.2">
      <c r="A951" s="140"/>
      <c r="B951" s="140"/>
      <c r="C951" s="140"/>
      <c r="D951" s="140"/>
      <c r="E951" s="140"/>
      <c r="F951" s="140"/>
      <c r="G951" s="140"/>
      <c r="H951" s="140"/>
      <c r="I951" s="140"/>
      <c r="J951" s="140"/>
      <c r="K951" s="140"/>
      <c r="L951" s="140"/>
      <c r="M951" s="140"/>
      <c r="N951" s="140"/>
      <c r="O951" s="140"/>
      <c r="P951" s="140"/>
      <c r="Q951" s="140"/>
      <c r="R951" s="140"/>
      <c r="S951" s="140"/>
      <c r="T951" s="140"/>
      <c r="U951" s="140"/>
      <c r="V951" s="140"/>
      <c r="W951" s="140"/>
      <c r="X951" s="140"/>
      <c r="Y951" s="140"/>
      <c r="Z951" s="140"/>
      <c r="AA951" s="140"/>
      <c r="AB951" s="140"/>
      <c r="AC951" s="140"/>
      <c r="AD951" s="140"/>
    </row>
    <row r="952" spans="1:30" ht="11.25" customHeight="1" x14ac:dyDescent="0.2">
      <c r="A952" s="140"/>
      <c r="B952" s="140"/>
      <c r="C952" s="140"/>
      <c r="D952" s="140"/>
      <c r="E952" s="140"/>
      <c r="F952" s="140"/>
      <c r="G952" s="140"/>
      <c r="H952" s="140"/>
      <c r="I952" s="140"/>
      <c r="J952" s="140"/>
      <c r="K952" s="140"/>
      <c r="L952" s="140"/>
      <c r="M952" s="140"/>
      <c r="N952" s="140"/>
      <c r="O952" s="140"/>
      <c r="P952" s="140"/>
      <c r="Q952" s="140"/>
      <c r="R952" s="140"/>
      <c r="S952" s="140"/>
      <c r="T952" s="140"/>
      <c r="U952" s="140"/>
      <c r="V952" s="140"/>
      <c r="W952" s="140"/>
      <c r="X952" s="140"/>
      <c r="Y952" s="140"/>
      <c r="Z952" s="140"/>
      <c r="AA952" s="140"/>
      <c r="AB952" s="140"/>
      <c r="AC952" s="140"/>
      <c r="AD952" s="140"/>
    </row>
    <row r="953" spans="1:30" ht="11.25" customHeight="1" x14ac:dyDescent="0.2">
      <c r="A953" s="140"/>
      <c r="B953" s="140"/>
      <c r="C953" s="140"/>
      <c r="D953" s="140"/>
      <c r="E953" s="140"/>
      <c r="F953" s="140"/>
      <c r="G953" s="140"/>
      <c r="H953" s="140"/>
      <c r="I953" s="140"/>
      <c r="J953" s="140"/>
      <c r="K953" s="140"/>
      <c r="L953" s="140"/>
      <c r="M953" s="140"/>
      <c r="N953" s="140"/>
      <c r="O953" s="140"/>
      <c r="P953" s="140"/>
      <c r="Q953" s="140"/>
      <c r="R953" s="140"/>
      <c r="S953" s="140"/>
      <c r="T953" s="140"/>
      <c r="U953" s="140"/>
      <c r="V953" s="140"/>
      <c r="W953" s="140"/>
      <c r="X953" s="140"/>
      <c r="Y953" s="140"/>
      <c r="Z953" s="140"/>
      <c r="AA953" s="140"/>
      <c r="AB953" s="140"/>
      <c r="AC953" s="140"/>
      <c r="AD953" s="140"/>
    </row>
    <row r="954" spans="1:30" ht="11.25" customHeight="1" x14ac:dyDescent="0.2">
      <c r="A954" s="140"/>
      <c r="B954" s="140"/>
      <c r="C954" s="140"/>
      <c r="D954" s="140"/>
      <c r="E954" s="140"/>
      <c r="F954" s="140"/>
      <c r="G954" s="140"/>
      <c r="H954" s="140"/>
      <c r="I954" s="140"/>
      <c r="J954" s="140"/>
      <c r="K954" s="140"/>
      <c r="L954" s="140"/>
      <c r="M954" s="140"/>
      <c r="N954" s="140"/>
      <c r="O954" s="140"/>
      <c r="P954" s="140"/>
      <c r="Q954" s="140"/>
      <c r="R954" s="140"/>
      <c r="S954" s="140"/>
      <c r="T954" s="140"/>
      <c r="U954" s="140"/>
      <c r="V954" s="140"/>
      <c r="W954" s="140"/>
      <c r="X954" s="140"/>
      <c r="Y954" s="140"/>
      <c r="Z954" s="140"/>
      <c r="AA954" s="140"/>
      <c r="AB954" s="140"/>
      <c r="AC954" s="140"/>
      <c r="AD954" s="140"/>
    </row>
    <row r="955" spans="1:30" ht="11.25" customHeight="1" x14ac:dyDescent="0.2">
      <c r="A955" s="140"/>
      <c r="B955" s="140"/>
      <c r="C955" s="140"/>
      <c r="D955" s="140"/>
      <c r="E955" s="140"/>
      <c r="F955" s="140"/>
      <c r="G955" s="140"/>
      <c r="H955" s="140"/>
      <c r="I955" s="140"/>
      <c r="J955" s="140"/>
      <c r="K955" s="140"/>
      <c r="L955" s="140"/>
      <c r="M955" s="140"/>
      <c r="N955" s="140"/>
      <c r="O955" s="140"/>
      <c r="P955" s="140"/>
      <c r="Q955" s="140"/>
      <c r="R955" s="140"/>
      <c r="S955" s="140"/>
      <c r="T955" s="140"/>
      <c r="U955" s="140"/>
      <c r="V955" s="140"/>
      <c r="W955" s="140"/>
      <c r="X955" s="140"/>
      <c r="Y955" s="140"/>
      <c r="Z955" s="140"/>
      <c r="AA955" s="140"/>
      <c r="AB955" s="140"/>
      <c r="AC955" s="140"/>
      <c r="AD955" s="140"/>
    </row>
    <row r="956" spans="1:30" ht="11.25" customHeight="1" x14ac:dyDescent="0.2">
      <c r="A956" s="140"/>
      <c r="B956" s="140"/>
      <c r="C956" s="140"/>
      <c r="D956" s="140"/>
      <c r="E956" s="140"/>
      <c r="F956" s="140"/>
      <c r="G956" s="140"/>
      <c r="H956" s="140"/>
      <c r="I956" s="140"/>
      <c r="J956" s="140"/>
      <c r="K956" s="140"/>
      <c r="L956" s="140"/>
      <c r="M956" s="140"/>
      <c r="N956" s="140"/>
      <c r="O956" s="140"/>
      <c r="P956" s="140"/>
      <c r="Q956" s="140"/>
      <c r="R956" s="140"/>
      <c r="S956" s="140"/>
      <c r="T956" s="140"/>
      <c r="U956" s="140"/>
      <c r="V956" s="140"/>
      <c r="W956" s="140"/>
      <c r="X956" s="140"/>
      <c r="Y956" s="140"/>
      <c r="Z956" s="140"/>
      <c r="AA956" s="140"/>
      <c r="AB956" s="140"/>
      <c r="AC956" s="140"/>
      <c r="AD956" s="140"/>
    </row>
    <row r="957" spans="1:30" ht="11.25" customHeight="1" x14ac:dyDescent="0.2">
      <c r="A957" s="140"/>
      <c r="B957" s="140"/>
      <c r="C957" s="140"/>
      <c r="D957" s="140"/>
      <c r="E957" s="140"/>
      <c r="F957" s="140"/>
      <c r="G957" s="140"/>
      <c r="H957" s="140"/>
      <c r="I957" s="140"/>
      <c r="J957" s="140"/>
      <c r="K957" s="140"/>
      <c r="L957" s="140"/>
      <c r="M957" s="140"/>
      <c r="N957" s="140"/>
      <c r="O957" s="140"/>
      <c r="P957" s="140"/>
      <c r="Q957" s="140"/>
      <c r="R957" s="140"/>
      <c r="S957" s="140"/>
      <c r="T957" s="140"/>
      <c r="U957" s="140"/>
      <c r="V957" s="140"/>
      <c r="W957" s="140"/>
      <c r="X957" s="140"/>
      <c r="Y957" s="140"/>
      <c r="Z957" s="140"/>
      <c r="AA957" s="140"/>
      <c r="AB957" s="140"/>
      <c r="AC957" s="140"/>
      <c r="AD957" s="140"/>
    </row>
    <row r="958" spans="1:30" ht="11.25" customHeight="1" x14ac:dyDescent="0.2">
      <c r="A958" s="140"/>
      <c r="B958" s="140"/>
      <c r="C958" s="140"/>
      <c r="D958" s="140"/>
      <c r="E958" s="140"/>
      <c r="F958" s="140"/>
      <c r="G958" s="140"/>
      <c r="H958" s="140"/>
      <c r="I958" s="140"/>
      <c r="J958" s="140"/>
      <c r="K958" s="140"/>
      <c r="L958" s="140"/>
      <c r="M958" s="140"/>
      <c r="N958" s="140"/>
      <c r="O958" s="140"/>
      <c r="P958" s="140"/>
      <c r="Q958" s="140"/>
      <c r="R958" s="140"/>
      <c r="S958" s="140"/>
      <c r="T958" s="140"/>
      <c r="U958" s="140"/>
      <c r="V958" s="140"/>
      <c r="W958" s="140"/>
      <c r="X958" s="140"/>
      <c r="Y958" s="140"/>
      <c r="Z958" s="140"/>
      <c r="AA958" s="140"/>
      <c r="AB958" s="140"/>
      <c r="AC958" s="140"/>
      <c r="AD958" s="140"/>
    </row>
    <row r="959" spans="1:30" ht="11.25" customHeight="1" x14ac:dyDescent="0.2">
      <c r="A959" s="140"/>
      <c r="B959" s="140"/>
      <c r="C959" s="140"/>
      <c r="D959" s="140"/>
      <c r="E959" s="140"/>
      <c r="F959" s="140"/>
      <c r="G959" s="140"/>
      <c r="H959" s="140"/>
      <c r="I959" s="140"/>
      <c r="J959" s="140"/>
      <c r="K959" s="140"/>
      <c r="L959" s="140"/>
      <c r="M959" s="140"/>
      <c r="N959" s="140"/>
      <c r="O959" s="140"/>
      <c r="P959" s="140"/>
      <c r="Q959" s="140"/>
      <c r="R959" s="140"/>
      <c r="S959" s="140"/>
      <c r="T959" s="140"/>
      <c r="U959" s="140"/>
      <c r="V959" s="140"/>
      <c r="W959" s="140"/>
      <c r="X959" s="140"/>
      <c r="Y959" s="140"/>
      <c r="Z959" s="140"/>
      <c r="AA959" s="140"/>
      <c r="AB959" s="140"/>
      <c r="AC959" s="140"/>
      <c r="AD959" s="140"/>
    </row>
    <row r="960" spans="1:30" ht="11.25" customHeight="1" x14ac:dyDescent="0.2">
      <c r="A960" s="140"/>
      <c r="B960" s="140"/>
      <c r="C960" s="140"/>
      <c r="D960" s="140"/>
      <c r="E960" s="140"/>
      <c r="F960" s="140"/>
      <c r="G960" s="140"/>
      <c r="H960" s="140"/>
      <c r="I960" s="140"/>
      <c r="J960" s="140"/>
      <c r="K960" s="140"/>
      <c r="L960" s="140"/>
      <c r="M960" s="140"/>
      <c r="N960" s="140"/>
      <c r="O960" s="140"/>
      <c r="P960" s="140"/>
      <c r="Q960" s="140"/>
      <c r="R960" s="140"/>
      <c r="S960" s="140"/>
      <c r="T960" s="140"/>
      <c r="U960" s="140"/>
      <c r="V960" s="140"/>
      <c r="W960" s="140"/>
      <c r="X960" s="140"/>
      <c r="Y960" s="140"/>
      <c r="Z960" s="140"/>
      <c r="AA960" s="140"/>
      <c r="AB960" s="140"/>
      <c r="AC960" s="140"/>
      <c r="AD960" s="140"/>
    </row>
    <row r="961" spans="1:30" ht="11.25" customHeight="1" x14ac:dyDescent="0.2">
      <c r="A961" s="140"/>
      <c r="B961" s="140"/>
      <c r="C961" s="140"/>
      <c r="D961" s="140"/>
      <c r="E961" s="140"/>
      <c r="F961" s="140"/>
      <c r="G961" s="140"/>
      <c r="H961" s="140"/>
      <c r="I961" s="140"/>
      <c r="J961" s="140"/>
      <c r="K961" s="140"/>
      <c r="L961" s="140"/>
      <c r="M961" s="140"/>
      <c r="N961" s="140"/>
      <c r="O961" s="140"/>
      <c r="P961" s="140"/>
      <c r="Q961" s="140"/>
      <c r="R961" s="140"/>
      <c r="S961" s="140"/>
      <c r="T961" s="140"/>
      <c r="U961" s="140"/>
      <c r="V961" s="140"/>
      <c r="W961" s="140"/>
      <c r="X961" s="140"/>
      <c r="Y961" s="140"/>
      <c r="Z961" s="140"/>
      <c r="AA961" s="140"/>
      <c r="AB961" s="140"/>
      <c r="AC961" s="140"/>
      <c r="AD961" s="140"/>
    </row>
    <row r="962" spans="1:30" ht="11.25" customHeight="1" x14ac:dyDescent="0.2">
      <c r="A962" s="140"/>
      <c r="B962" s="140"/>
      <c r="C962" s="140"/>
      <c r="D962" s="140"/>
      <c r="E962" s="140"/>
      <c r="F962" s="140"/>
      <c r="G962" s="140"/>
      <c r="H962" s="140"/>
      <c r="I962" s="140"/>
      <c r="J962" s="140"/>
      <c r="K962" s="140"/>
      <c r="L962" s="140"/>
      <c r="M962" s="140"/>
      <c r="N962" s="140"/>
      <c r="O962" s="140"/>
      <c r="P962" s="140"/>
      <c r="Q962" s="140"/>
      <c r="R962" s="140"/>
      <c r="S962" s="140"/>
      <c r="T962" s="140"/>
      <c r="U962" s="140"/>
      <c r="V962" s="140"/>
      <c r="W962" s="140"/>
      <c r="X962" s="140"/>
      <c r="Y962" s="140"/>
      <c r="Z962" s="140"/>
      <c r="AA962" s="140"/>
      <c r="AB962" s="140"/>
      <c r="AC962" s="140"/>
      <c r="AD962" s="140"/>
    </row>
    <row r="963" spans="1:30" ht="11.25" customHeight="1" x14ac:dyDescent="0.2">
      <c r="A963" s="140"/>
      <c r="B963" s="140"/>
      <c r="C963" s="140"/>
      <c r="D963" s="140"/>
      <c r="E963" s="140"/>
      <c r="F963" s="140"/>
      <c r="G963" s="140"/>
      <c r="H963" s="140"/>
      <c r="I963" s="140"/>
      <c r="J963" s="140"/>
      <c r="K963" s="140"/>
      <c r="L963" s="140"/>
      <c r="M963" s="140"/>
      <c r="N963" s="140"/>
      <c r="O963" s="140"/>
      <c r="P963" s="140"/>
      <c r="Q963" s="140"/>
      <c r="R963" s="140"/>
      <c r="S963" s="140"/>
      <c r="T963" s="140"/>
      <c r="U963" s="140"/>
      <c r="V963" s="140"/>
      <c r="W963" s="140"/>
      <c r="X963" s="140"/>
      <c r="Y963" s="140"/>
      <c r="Z963" s="140"/>
      <c r="AA963" s="140"/>
      <c r="AB963" s="140"/>
      <c r="AC963" s="140"/>
      <c r="AD963" s="140"/>
    </row>
    <row r="964" spans="1:30" ht="11.25" customHeight="1" x14ac:dyDescent="0.2">
      <c r="A964" s="140"/>
      <c r="B964" s="140"/>
      <c r="C964" s="140"/>
      <c r="D964" s="140"/>
      <c r="E964" s="140"/>
      <c r="F964" s="140"/>
      <c r="G964" s="140"/>
      <c r="H964" s="140"/>
      <c r="I964" s="140"/>
      <c r="J964" s="140"/>
      <c r="K964" s="140"/>
      <c r="L964" s="140"/>
      <c r="M964" s="140"/>
      <c r="N964" s="140"/>
      <c r="O964" s="140"/>
      <c r="P964" s="140"/>
      <c r="Q964" s="140"/>
      <c r="R964" s="140"/>
      <c r="S964" s="140"/>
      <c r="T964" s="140"/>
      <c r="U964" s="140"/>
      <c r="V964" s="140"/>
      <c r="W964" s="140"/>
      <c r="X964" s="140"/>
      <c r="Y964" s="140"/>
      <c r="Z964" s="140"/>
      <c r="AA964" s="140"/>
      <c r="AB964" s="140"/>
      <c r="AC964" s="140"/>
      <c r="AD964" s="140"/>
    </row>
    <row r="965" spans="1:30" ht="11.25" customHeight="1" x14ac:dyDescent="0.2">
      <c r="A965" s="140"/>
      <c r="B965" s="140"/>
      <c r="C965" s="140"/>
      <c r="D965" s="140"/>
      <c r="E965" s="140"/>
      <c r="F965" s="140"/>
      <c r="G965" s="140"/>
      <c r="H965" s="140"/>
      <c r="I965" s="140"/>
      <c r="J965" s="140"/>
      <c r="K965" s="140"/>
      <c r="L965" s="140"/>
      <c r="M965" s="140"/>
      <c r="N965" s="140"/>
      <c r="O965" s="140"/>
      <c r="P965" s="140"/>
      <c r="Q965" s="140"/>
      <c r="R965" s="140"/>
      <c r="S965" s="140"/>
      <c r="T965" s="140"/>
      <c r="U965" s="140"/>
      <c r="V965" s="140"/>
      <c r="W965" s="140"/>
      <c r="X965" s="140"/>
      <c r="Y965" s="140"/>
      <c r="Z965" s="140"/>
      <c r="AA965" s="140"/>
      <c r="AB965" s="140"/>
      <c r="AC965" s="140"/>
      <c r="AD965" s="140"/>
    </row>
    <row r="966" spans="1:30" ht="11.25" customHeight="1" x14ac:dyDescent="0.2">
      <c r="A966" s="140"/>
      <c r="B966" s="140"/>
      <c r="C966" s="140"/>
      <c r="D966" s="140"/>
      <c r="E966" s="140"/>
      <c r="F966" s="140"/>
      <c r="G966" s="140"/>
      <c r="H966" s="140"/>
      <c r="I966" s="140"/>
      <c r="J966" s="140"/>
      <c r="K966" s="140"/>
      <c r="L966" s="140"/>
      <c r="M966" s="140"/>
      <c r="N966" s="140"/>
      <c r="O966" s="140"/>
      <c r="P966" s="140"/>
      <c r="Q966" s="140"/>
      <c r="R966" s="140"/>
      <c r="S966" s="140"/>
      <c r="T966" s="140"/>
      <c r="U966" s="140"/>
      <c r="V966" s="140"/>
      <c r="W966" s="140"/>
      <c r="X966" s="140"/>
      <c r="Y966" s="140"/>
      <c r="Z966" s="140"/>
      <c r="AA966" s="140"/>
      <c r="AB966" s="140"/>
      <c r="AC966" s="140"/>
      <c r="AD966" s="140"/>
    </row>
    <row r="967" spans="1:30" ht="11.25" customHeight="1" x14ac:dyDescent="0.2">
      <c r="A967" s="140"/>
      <c r="B967" s="140"/>
      <c r="C967" s="140"/>
      <c r="D967" s="140"/>
      <c r="E967" s="140"/>
      <c r="F967" s="140"/>
      <c r="G967" s="140"/>
      <c r="H967" s="140"/>
      <c r="I967" s="140"/>
      <c r="J967" s="140"/>
      <c r="K967" s="140"/>
      <c r="L967" s="140"/>
      <c r="M967" s="140"/>
      <c r="N967" s="140"/>
      <c r="O967" s="140"/>
      <c r="P967" s="140"/>
      <c r="Q967" s="140"/>
      <c r="R967" s="140"/>
      <c r="S967" s="140"/>
      <c r="T967" s="140"/>
      <c r="U967" s="140"/>
      <c r="V967" s="140"/>
      <c r="W967" s="140"/>
      <c r="X967" s="140"/>
      <c r="Y967" s="140"/>
      <c r="Z967" s="140"/>
      <c r="AA967" s="140"/>
      <c r="AB967" s="140"/>
      <c r="AC967" s="140"/>
      <c r="AD967" s="140"/>
    </row>
    <row r="968" spans="1:30" ht="11.25" customHeight="1" x14ac:dyDescent="0.2">
      <c r="A968" s="140"/>
      <c r="B968" s="140"/>
      <c r="C968" s="140"/>
      <c r="D968" s="140"/>
      <c r="E968" s="140"/>
      <c r="F968" s="140"/>
      <c r="G968" s="140"/>
      <c r="H968" s="140"/>
      <c r="I968" s="140"/>
      <c r="J968" s="140"/>
      <c r="K968" s="140"/>
      <c r="L968" s="140"/>
      <c r="M968" s="140"/>
      <c r="N968" s="140"/>
      <c r="O968" s="140"/>
      <c r="P968" s="140"/>
      <c r="Q968" s="140"/>
      <c r="R968" s="140"/>
      <c r="S968" s="140"/>
      <c r="T968" s="140"/>
      <c r="U968" s="140"/>
      <c r="V968" s="140"/>
      <c r="W968" s="140"/>
      <c r="X968" s="140"/>
      <c r="Y968" s="140"/>
      <c r="Z968" s="140"/>
      <c r="AA968" s="140"/>
      <c r="AB968" s="140"/>
      <c r="AC968" s="140"/>
      <c r="AD968" s="140"/>
    </row>
    <row r="969" spans="1:30" ht="11.25" customHeight="1" x14ac:dyDescent="0.2">
      <c r="A969" s="140"/>
      <c r="B969" s="140"/>
      <c r="C969" s="140"/>
      <c r="D969" s="140"/>
      <c r="E969" s="140"/>
      <c r="F969" s="140"/>
      <c r="G969" s="140"/>
      <c r="H969" s="140"/>
      <c r="I969" s="140"/>
      <c r="J969" s="140"/>
      <c r="K969" s="140"/>
      <c r="L969" s="140"/>
      <c r="M969" s="140"/>
      <c r="N969" s="140"/>
      <c r="O969" s="140"/>
      <c r="P969" s="140"/>
      <c r="Q969" s="140"/>
      <c r="R969" s="140"/>
      <c r="S969" s="140"/>
      <c r="T969" s="140"/>
      <c r="U969" s="140"/>
      <c r="V969" s="140"/>
      <c r="W969" s="140"/>
      <c r="X969" s="140"/>
      <c r="Y969" s="140"/>
      <c r="Z969" s="140"/>
      <c r="AA969" s="140"/>
      <c r="AB969" s="140"/>
      <c r="AC969" s="140"/>
      <c r="AD969" s="140"/>
    </row>
    <row r="970" spans="1:30" ht="11.25" customHeight="1" x14ac:dyDescent="0.2">
      <c r="A970" s="140"/>
      <c r="B970" s="140"/>
      <c r="C970" s="140"/>
      <c r="D970" s="140"/>
      <c r="E970" s="140"/>
      <c r="F970" s="140"/>
      <c r="G970" s="140"/>
      <c r="H970" s="140"/>
      <c r="I970" s="140"/>
      <c r="J970" s="140"/>
      <c r="K970" s="140"/>
      <c r="L970" s="140"/>
      <c r="M970" s="140"/>
      <c r="N970" s="140"/>
      <c r="O970" s="140"/>
      <c r="P970" s="140"/>
      <c r="Q970" s="140"/>
      <c r="R970" s="140"/>
      <c r="S970" s="140"/>
      <c r="T970" s="140"/>
      <c r="U970" s="140"/>
      <c r="V970" s="140"/>
      <c r="W970" s="140"/>
      <c r="X970" s="140"/>
      <c r="Y970" s="140"/>
      <c r="Z970" s="140"/>
      <c r="AA970" s="140"/>
      <c r="AB970" s="140"/>
      <c r="AC970" s="140"/>
      <c r="AD970" s="140"/>
    </row>
    <row r="971" spans="1:30" ht="11.25" customHeight="1" x14ac:dyDescent="0.2">
      <c r="A971" s="140"/>
      <c r="B971" s="140"/>
      <c r="C971" s="140"/>
      <c r="D971" s="140"/>
      <c r="E971" s="140"/>
      <c r="F971" s="140"/>
      <c r="G971" s="140"/>
      <c r="H971" s="140"/>
      <c r="I971" s="140"/>
      <c r="J971" s="140"/>
      <c r="K971" s="140"/>
      <c r="L971" s="140"/>
      <c r="M971" s="140"/>
      <c r="N971" s="140"/>
      <c r="O971" s="140"/>
      <c r="P971" s="140"/>
      <c r="Q971" s="140"/>
      <c r="R971" s="140"/>
      <c r="S971" s="140"/>
      <c r="T971" s="140"/>
      <c r="U971" s="140"/>
      <c r="V971" s="140"/>
      <c r="W971" s="140"/>
      <c r="X971" s="140"/>
      <c r="Y971" s="140"/>
      <c r="Z971" s="140"/>
      <c r="AA971" s="140"/>
      <c r="AB971" s="140"/>
      <c r="AC971" s="140"/>
      <c r="AD971" s="140"/>
    </row>
    <row r="972" spans="1:30" ht="11.25" customHeight="1" x14ac:dyDescent="0.2">
      <c r="A972" s="140"/>
      <c r="B972" s="140"/>
      <c r="C972" s="140"/>
      <c r="D972" s="140"/>
      <c r="E972" s="140"/>
      <c r="F972" s="140"/>
      <c r="G972" s="140"/>
      <c r="H972" s="140"/>
      <c r="I972" s="140"/>
      <c r="J972" s="140"/>
      <c r="K972" s="140"/>
      <c r="L972" s="140"/>
      <c r="M972" s="140"/>
      <c r="N972" s="140"/>
      <c r="O972" s="140"/>
      <c r="P972" s="140"/>
      <c r="Q972" s="140"/>
      <c r="R972" s="140"/>
      <c r="S972" s="140"/>
      <c r="T972" s="140"/>
      <c r="U972" s="140"/>
      <c r="V972" s="140"/>
      <c r="W972" s="140"/>
      <c r="X972" s="140"/>
      <c r="Y972" s="140"/>
      <c r="Z972" s="140"/>
      <c r="AA972" s="140"/>
      <c r="AB972" s="140"/>
      <c r="AC972" s="140"/>
      <c r="AD972" s="140"/>
    </row>
    <row r="973" spans="1:30" ht="11.25" customHeight="1" x14ac:dyDescent="0.2">
      <c r="A973" s="140"/>
      <c r="B973" s="140"/>
      <c r="C973" s="140"/>
      <c r="D973" s="140"/>
      <c r="E973" s="140"/>
      <c r="F973" s="140"/>
      <c r="G973" s="140"/>
      <c r="H973" s="140"/>
      <c r="I973" s="140"/>
      <c r="J973" s="140"/>
      <c r="K973" s="140"/>
      <c r="L973" s="140"/>
      <c r="M973" s="140"/>
      <c r="N973" s="140"/>
      <c r="O973" s="140"/>
      <c r="P973" s="140"/>
      <c r="Q973" s="140"/>
      <c r="R973" s="140"/>
      <c r="S973" s="140"/>
      <c r="T973" s="140"/>
      <c r="U973" s="140"/>
      <c r="V973" s="140"/>
      <c r="W973" s="140"/>
      <c r="X973" s="140"/>
      <c r="Y973" s="140"/>
      <c r="Z973" s="140"/>
      <c r="AA973" s="140"/>
      <c r="AB973" s="140"/>
      <c r="AC973" s="140"/>
      <c r="AD973" s="140"/>
    </row>
    <row r="974" spans="1:30" ht="11.25" customHeight="1" x14ac:dyDescent="0.2">
      <c r="A974" s="140"/>
      <c r="B974" s="140"/>
      <c r="C974" s="140"/>
      <c r="D974" s="140"/>
      <c r="E974" s="140"/>
      <c r="F974" s="140"/>
      <c r="G974" s="140"/>
      <c r="H974" s="140"/>
      <c r="I974" s="140"/>
      <c r="J974" s="140"/>
      <c r="K974" s="140"/>
      <c r="L974" s="140"/>
      <c r="M974" s="140"/>
      <c r="N974" s="140"/>
      <c r="O974" s="140"/>
      <c r="P974" s="140"/>
      <c r="Q974" s="140"/>
      <c r="R974" s="140"/>
      <c r="S974" s="140"/>
      <c r="T974" s="140"/>
      <c r="U974" s="140"/>
      <c r="V974" s="140"/>
      <c r="W974" s="140"/>
      <c r="X974" s="140"/>
      <c r="Y974" s="140"/>
      <c r="Z974" s="140"/>
      <c r="AA974" s="140"/>
      <c r="AB974" s="140"/>
      <c r="AC974" s="140"/>
      <c r="AD974" s="140"/>
    </row>
    <row r="975" spans="1:30" ht="11.25" customHeight="1" x14ac:dyDescent="0.2">
      <c r="A975" s="140"/>
      <c r="B975" s="140"/>
      <c r="C975" s="140"/>
      <c r="D975" s="140"/>
      <c r="E975" s="140"/>
      <c r="F975" s="140"/>
      <c r="G975" s="140"/>
      <c r="H975" s="140"/>
      <c r="I975" s="140"/>
      <c r="J975" s="140"/>
      <c r="K975" s="140"/>
      <c r="L975" s="140"/>
      <c r="M975" s="140"/>
      <c r="N975" s="140"/>
      <c r="O975" s="140"/>
      <c r="P975" s="140"/>
      <c r="Q975" s="140"/>
      <c r="R975" s="140"/>
      <c r="S975" s="140"/>
      <c r="T975" s="140"/>
      <c r="U975" s="140"/>
      <c r="V975" s="140"/>
      <c r="W975" s="140"/>
      <c r="X975" s="140"/>
      <c r="Y975" s="140"/>
      <c r="Z975" s="140"/>
      <c r="AA975" s="140"/>
      <c r="AB975" s="140"/>
      <c r="AC975" s="140"/>
      <c r="AD975" s="140"/>
    </row>
    <row r="976" spans="1:30" ht="11.25" customHeight="1" x14ac:dyDescent="0.2">
      <c r="A976" s="140"/>
      <c r="B976" s="140"/>
      <c r="C976" s="140"/>
      <c r="D976" s="140"/>
      <c r="E976" s="140"/>
      <c r="F976" s="140"/>
      <c r="G976" s="140"/>
      <c r="H976" s="140"/>
      <c r="I976" s="140"/>
      <c r="J976" s="140"/>
      <c r="K976" s="140"/>
      <c r="L976" s="140"/>
      <c r="M976" s="140"/>
      <c r="N976" s="140"/>
      <c r="O976" s="140"/>
      <c r="P976" s="140"/>
      <c r="Q976" s="140"/>
      <c r="R976" s="140"/>
      <c r="S976" s="140"/>
      <c r="T976" s="140"/>
      <c r="U976" s="140"/>
      <c r="V976" s="140"/>
      <c r="W976" s="140"/>
      <c r="X976" s="140"/>
      <c r="Y976" s="140"/>
      <c r="Z976" s="140"/>
      <c r="AA976" s="140"/>
      <c r="AB976" s="140"/>
      <c r="AC976" s="140"/>
      <c r="AD976" s="140"/>
    </row>
    <row r="977" spans="1:30" ht="11.25" customHeight="1" x14ac:dyDescent="0.2">
      <c r="A977" s="140"/>
      <c r="B977" s="140"/>
      <c r="C977" s="140"/>
      <c r="D977" s="140"/>
      <c r="E977" s="140"/>
      <c r="F977" s="140"/>
      <c r="G977" s="140"/>
      <c r="H977" s="140"/>
      <c r="I977" s="140"/>
      <c r="J977" s="140"/>
      <c r="K977" s="140"/>
      <c r="L977" s="140"/>
      <c r="M977" s="140"/>
      <c r="N977" s="140"/>
      <c r="O977" s="140"/>
      <c r="P977" s="140"/>
      <c r="Q977" s="140"/>
      <c r="R977" s="140"/>
      <c r="S977" s="140"/>
      <c r="T977" s="140"/>
      <c r="U977" s="140"/>
      <c r="V977" s="140"/>
      <c r="W977" s="140"/>
      <c r="X977" s="140"/>
      <c r="Y977" s="140"/>
      <c r="Z977" s="140"/>
      <c r="AA977" s="140"/>
      <c r="AB977" s="140"/>
      <c r="AC977" s="140"/>
      <c r="AD977" s="140"/>
    </row>
    <row r="978" spans="1:30" ht="11.25" customHeight="1" x14ac:dyDescent="0.2">
      <c r="A978" s="140"/>
      <c r="B978" s="140"/>
      <c r="C978" s="140"/>
      <c r="D978" s="140"/>
      <c r="E978" s="140"/>
      <c r="F978" s="140"/>
      <c r="G978" s="140"/>
      <c r="H978" s="140"/>
      <c r="I978" s="140"/>
      <c r="J978" s="140"/>
      <c r="K978" s="140"/>
      <c r="L978" s="140"/>
      <c r="M978" s="140"/>
      <c r="N978" s="140"/>
      <c r="O978" s="140"/>
      <c r="P978" s="140"/>
      <c r="Q978" s="140"/>
      <c r="R978" s="140"/>
      <c r="S978" s="140"/>
      <c r="T978" s="140"/>
      <c r="U978" s="140"/>
      <c r="V978" s="140"/>
      <c r="W978" s="140"/>
      <c r="X978" s="140"/>
      <c r="Y978" s="140"/>
      <c r="Z978" s="140"/>
      <c r="AA978" s="140"/>
      <c r="AB978" s="140"/>
      <c r="AC978" s="140"/>
      <c r="AD978" s="140"/>
    </row>
    <row r="979" spans="1:30" ht="11.25" customHeight="1" x14ac:dyDescent="0.2">
      <c r="A979" s="140"/>
      <c r="B979" s="140"/>
      <c r="C979" s="140"/>
      <c r="D979" s="140"/>
      <c r="E979" s="140"/>
      <c r="F979" s="140"/>
      <c r="G979" s="140"/>
      <c r="H979" s="140"/>
      <c r="I979" s="140"/>
      <c r="J979" s="140"/>
      <c r="K979" s="140"/>
      <c r="L979" s="140"/>
      <c r="M979" s="140"/>
      <c r="N979" s="140"/>
      <c r="O979" s="140"/>
      <c r="P979" s="140"/>
      <c r="Q979" s="140"/>
      <c r="R979" s="140"/>
      <c r="S979" s="140"/>
      <c r="T979" s="140"/>
      <c r="U979" s="140"/>
      <c r="V979" s="140"/>
      <c r="W979" s="140"/>
      <c r="X979" s="140"/>
      <c r="Y979" s="140"/>
      <c r="Z979" s="140"/>
      <c r="AA979" s="140"/>
      <c r="AB979" s="140"/>
      <c r="AC979" s="140"/>
      <c r="AD979" s="140"/>
    </row>
    <row r="980" spans="1:30" ht="11.25" customHeight="1" x14ac:dyDescent="0.2">
      <c r="A980" s="140"/>
      <c r="B980" s="140"/>
      <c r="C980" s="140"/>
      <c r="D980" s="140"/>
      <c r="E980" s="140"/>
      <c r="F980" s="140"/>
      <c r="G980" s="140"/>
      <c r="H980" s="140"/>
      <c r="I980" s="140"/>
      <c r="J980" s="140"/>
      <c r="K980" s="140"/>
      <c r="L980" s="140"/>
      <c r="M980" s="140"/>
      <c r="N980" s="140"/>
      <c r="O980" s="140"/>
      <c r="P980" s="140"/>
      <c r="Q980" s="140"/>
      <c r="R980" s="140"/>
      <c r="S980" s="140"/>
      <c r="T980" s="140"/>
      <c r="U980" s="140"/>
      <c r="V980" s="140"/>
      <c r="W980" s="140"/>
      <c r="X980" s="140"/>
      <c r="Y980" s="140"/>
      <c r="Z980" s="140"/>
      <c r="AA980" s="140"/>
      <c r="AB980" s="140"/>
      <c r="AC980" s="140"/>
      <c r="AD980" s="140"/>
    </row>
    <row r="981" spans="1:30" ht="11.25" customHeight="1" x14ac:dyDescent="0.2">
      <c r="A981" s="140"/>
      <c r="B981" s="140"/>
      <c r="C981" s="140"/>
      <c r="D981" s="140"/>
      <c r="E981" s="140"/>
      <c r="F981" s="140"/>
      <c r="G981" s="140"/>
      <c r="H981" s="140"/>
      <c r="I981" s="140"/>
      <c r="J981" s="140"/>
      <c r="K981" s="140"/>
      <c r="L981" s="140"/>
      <c r="M981" s="140"/>
      <c r="N981" s="140"/>
      <c r="O981" s="140"/>
      <c r="P981" s="140"/>
      <c r="Q981" s="140"/>
      <c r="R981" s="140"/>
      <c r="S981" s="140"/>
      <c r="T981" s="140"/>
      <c r="U981" s="140"/>
      <c r="V981" s="140"/>
      <c r="W981" s="140"/>
      <c r="X981" s="140"/>
      <c r="Y981" s="140"/>
      <c r="Z981" s="140"/>
      <c r="AA981" s="140"/>
      <c r="AB981" s="140"/>
      <c r="AC981" s="140"/>
      <c r="AD981" s="140"/>
    </row>
    <row r="982" spans="1:30" ht="11.25" customHeight="1" x14ac:dyDescent="0.2">
      <c r="A982" s="140"/>
      <c r="B982" s="140"/>
      <c r="C982" s="140"/>
      <c r="D982" s="140"/>
      <c r="E982" s="140"/>
      <c r="F982" s="140"/>
      <c r="G982" s="140"/>
      <c r="H982" s="140"/>
      <c r="I982" s="140"/>
      <c r="J982" s="140"/>
      <c r="K982" s="140"/>
      <c r="L982" s="140"/>
      <c r="M982" s="140"/>
      <c r="N982" s="140"/>
      <c r="O982" s="140"/>
      <c r="P982" s="140"/>
      <c r="Q982" s="140"/>
      <c r="R982" s="140"/>
      <c r="S982" s="140"/>
      <c r="T982" s="140"/>
      <c r="U982" s="140"/>
      <c r="V982" s="140"/>
      <c r="W982" s="140"/>
      <c r="X982" s="140"/>
      <c r="Y982" s="140"/>
      <c r="Z982" s="140"/>
      <c r="AA982" s="140"/>
      <c r="AB982" s="140"/>
      <c r="AC982" s="140"/>
      <c r="AD982" s="140"/>
    </row>
    <row r="983" spans="1:30" ht="11.25" customHeight="1" x14ac:dyDescent="0.2">
      <c r="A983" s="140"/>
      <c r="B983" s="140"/>
      <c r="C983" s="140"/>
      <c r="D983" s="140"/>
      <c r="E983" s="140"/>
      <c r="F983" s="140"/>
      <c r="G983" s="140"/>
      <c r="H983" s="140"/>
      <c r="I983" s="140"/>
      <c r="J983" s="140"/>
      <c r="K983" s="140"/>
      <c r="L983" s="140"/>
      <c r="M983" s="140"/>
      <c r="N983" s="140"/>
      <c r="O983" s="140"/>
      <c r="P983" s="140"/>
      <c r="Q983" s="140"/>
      <c r="R983" s="140"/>
      <c r="S983" s="140"/>
      <c r="T983" s="140"/>
      <c r="U983" s="140"/>
      <c r="V983" s="140"/>
      <c r="W983" s="140"/>
      <c r="X983" s="140"/>
      <c r="Y983" s="140"/>
      <c r="Z983" s="140"/>
      <c r="AA983" s="140"/>
      <c r="AB983" s="140"/>
      <c r="AC983" s="140"/>
      <c r="AD983" s="140"/>
    </row>
    <row r="984" spans="1:30" ht="11.25" customHeight="1" x14ac:dyDescent="0.2">
      <c r="A984" s="140"/>
      <c r="B984" s="140"/>
      <c r="C984" s="140"/>
      <c r="D984" s="140"/>
      <c r="E984" s="140"/>
      <c r="F984" s="140"/>
      <c r="G984" s="140"/>
      <c r="H984" s="140"/>
      <c r="I984" s="140"/>
      <c r="J984" s="140"/>
      <c r="K984" s="140"/>
      <c r="L984" s="140"/>
      <c r="M984" s="140"/>
      <c r="N984" s="140"/>
      <c r="O984" s="140"/>
      <c r="P984" s="140"/>
      <c r="Q984" s="140"/>
      <c r="R984" s="140"/>
      <c r="S984" s="140"/>
      <c r="T984" s="140"/>
      <c r="U984" s="140"/>
      <c r="V984" s="140"/>
      <c r="W984" s="140"/>
      <c r="X984" s="140"/>
      <c r="Y984" s="140"/>
      <c r="Z984" s="140"/>
      <c r="AA984" s="140"/>
      <c r="AB984" s="140"/>
      <c r="AC984" s="140"/>
      <c r="AD984" s="140"/>
    </row>
    <row r="985" spans="1:30" ht="11.25" customHeight="1" x14ac:dyDescent="0.2">
      <c r="A985" s="140"/>
      <c r="B985" s="140"/>
      <c r="C985" s="140"/>
      <c r="D985" s="140"/>
      <c r="E985" s="140"/>
      <c r="F985" s="140"/>
      <c r="G985" s="140"/>
      <c r="H985" s="140"/>
      <c r="I985" s="140"/>
      <c r="J985" s="140"/>
      <c r="K985" s="140"/>
      <c r="L985" s="140"/>
      <c r="M985" s="140"/>
      <c r="N985" s="140"/>
      <c r="O985" s="140"/>
      <c r="P985" s="140"/>
      <c r="Q985" s="140"/>
      <c r="R985" s="140"/>
      <c r="S985" s="140"/>
      <c r="T985" s="140"/>
      <c r="U985" s="140"/>
      <c r="V985" s="140"/>
      <c r="W985" s="140"/>
      <c r="X985" s="140"/>
      <c r="Y985" s="140"/>
      <c r="Z985" s="140"/>
      <c r="AA985" s="140"/>
      <c r="AB985" s="140"/>
      <c r="AC985" s="140"/>
      <c r="AD985" s="140"/>
    </row>
    <row r="986" spans="1:30" ht="11.25" customHeight="1" x14ac:dyDescent="0.2">
      <c r="A986" s="140"/>
      <c r="B986" s="140"/>
      <c r="C986" s="140"/>
      <c r="D986" s="140"/>
      <c r="E986" s="140"/>
      <c r="F986" s="140"/>
      <c r="G986" s="140"/>
      <c r="H986" s="140"/>
      <c r="I986" s="140"/>
      <c r="J986" s="140"/>
      <c r="K986" s="140"/>
      <c r="L986" s="140"/>
      <c r="M986" s="140"/>
      <c r="N986" s="140"/>
      <c r="O986" s="140"/>
      <c r="P986" s="140"/>
      <c r="Q986" s="140"/>
      <c r="R986" s="140"/>
      <c r="S986" s="140"/>
      <c r="T986" s="140"/>
      <c r="U986" s="140"/>
      <c r="V986" s="140"/>
      <c r="W986" s="140"/>
      <c r="X986" s="140"/>
      <c r="Y986" s="140"/>
      <c r="Z986" s="140"/>
      <c r="AA986" s="140"/>
      <c r="AB986" s="140"/>
      <c r="AC986" s="140"/>
      <c r="AD986" s="140"/>
    </row>
    <row r="987" spans="1:30" ht="11.25" customHeight="1" x14ac:dyDescent="0.2">
      <c r="A987" s="140"/>
      <c r="B987" s="140"/>
      <c r="C987" s="140"/>
      <c r="D987" s="140"/>
      <c r="E987" s="140"/>
      <c r="F987" s="140"/>
      <c r="G987" s="140"/>
      <c r="H987" s="140"/>
      <c r="I987" s="140"/>
      <c r="J987" s="140"/>
      <c r="K987" s="140"/>
      <c r="L987" s="140"/>
      <c r="M987" s="140"/>
      <c r="N987" s="140"/>
      <c r="O987" s="140"/>
      <c r="P987" s="140"/>
      <c r="Q987" s="140"/>
      <c r="R987" s="140"/>
      <c r="S987" s="140"/>
      <c r="T987" s="140"/>
      <c r="U987" s="140"/>
      <c r="V987" s="140"/>
      <c r="W987" s="140"/>
      <c r="X987" s="140"/>
      <c r="Y987" s="140"/>
      <c r="Z987" s="140"/>
      <c r="AA987" s="140"/>
      <c r="AB987" s="140"/>
      <c r="AC987" s="140"/>
      <c r="AD987" s="140"/>
    </row>
    <row r="988" spans="1:30" ht="11.25" customHeight="1" x14ac:dyDescent="0.2">
      <c r="A988" s="140"/>
      <c r="B988" s="140"/>
      <c r="C988" s="140"/>
      <c r="D988" s="140"/>
      <c r="E988" s="140"/>
      <c r="F988" s="140"/>
      <c r="G988" s="140"/>
      <c r="H988" s="140"/>
      <c r="I988" s="140"/>
      <c r="J988" s="140"/>
      <c r="K988" s="140"/>
      <c r="L988" s="140"/>
      <c r="M988" s="140"/>
      <c r="N988" s="140"/>
      <c r="O988" s="140"/>
      <c r="P988" s="140"/>
      <c r="Q988" s="140"/>
      <c r="R988" s="140"/>
      <c r="S988" s="140"/>
      <c r="T988" s="140"/>
      <c r="U988" s="140"/>
      <c r="V988" s="140"/>
      <c r="W988" s="140"/>
      <c r="X988" s="140"/>
      <c r="Y988" s="140"/>
      <c r="Z988" s="140"/>
      <c r="AA988" s="140"/>
      <c r="AB988" s="140"/>
      <c r="AC988" s="140"/>
      <c r="AD988" s="140"/>
    </row>
    <row r="989" spans="1:30" ht="11.25" customHeight="1" x14ac:dyDescent="0.2">
      <c r="A989" s="140"/>
      <c r="B989" s="140"/>
      <c r="C989" s="140"/>
      <c r="D989" s="140"/>
      <c r="E989" s="140"/>
      <c r="F989" s="140"/>
      <c r="G989" s="140"/>
      <c r="H989" s="140"/>
      <c r="I989" s="140"/>
      <c r="J989" s="140"/>
      <c r="K989" s="140"/>
      <c r="L989" s="140"/>
      <c r="M989" s="140"/>
      <c r="N989" s="140"/>
      <c r="O989" s="140"/>
      <c r="P989" s="140"/>
      <c r="Q989" s="140"/>
      <c r="R989" s="140"/>
      <c r="S989" s="140"/>
      <c r="T989" s="140"/>
      <c r="U989" s="140"/>
      <c r="V989" s="140"/>
      <c r="W989" s="140"/>
      <c r="X989" s="140"/>
      <c r="Y989" s="140"/>
      <c r="Z989" s="140"/>
      <c r="AA989" s="140"/>
      <c r="AB989" s="140"/>
      <c r="AC989" s="140"/>
      <c r="AD989" s="140"/>
    </row>
    <row r="990" spans="1:30" ht="11.25" customHeight="1" x14ac:dyDescent="0.2">
      <c r="A990" s="140"/>
      <c r="B990" s="140"/>
      <c r="C990" s="140"/>
      <c r="D990" s="140"/>
      <c r="E990" s="140"/>
      <c r="F990" s="140"/>
      <c r="G990" s="140"/>
      <c r="H990" s="140"/>
      <c r="I990" s="140"/>
      <c r="J990" s="140"/>
      <c r="K990" s="140"/>
      <c r="L990" s="140"/>
      <c r="M990" s="140"/>
      <c r="N990" s="140"/>
      <c r="O990" s="140"/>
      <c r="P990" s="140"/>
      <c r="Q990" s="140"/>
      <c r="R990" s="140"/>
      <c r="S990" s="140"/>
      <c r="T990" s="140"/>
      <c r="U990" s="140"/>
      <c r="V990" s="140"/>
      <c r="W990" s="140"/>
      <c r="X990" s="140"/>
      <c r="Y990" s="140"/>
      <c r="Z990" s="140"/>
      <c r="AA990" s="140"/>
      <c r="AB990" s="140"/>
      <c r="AC990" s="140"/>
      <c r="AD990" s="140"/>
    </row>
    <row r="991" spans="1:30" ht="11.25" customHeight="1" x14ac:dyDescent="0.2">
      <c r="A991" s="140"/>
      <c r="B991" s="140"/>
      <c r="C991" s="140"/>
      <c r="D991" s="140"/>
      <c r="E991" s="140"/>
      <c r="F991" s="140"/>
      <c r="G991" s="140"/>
      <c r="H991" s="140"/>
      <c r="I991" s="140"/>
      <c r="J991" s="140"/>
      <c r="K991" s="140"/>
      <c r="L991" s="140"/>
      <c r="M991" s="140"/>
      <c r="N991" s="140"/>
      <c r="O991" s="140"/>
      <c r="P991" s="140"/>
      <c r="Q991" s="140"/>
      <c r="R991" s="140"/>
      <c r="S991" s="140"/>
      <c r="T991" s="140"/>
      <c r="U991" s="140"/>
      <c r="V991" s="140"/>
      <c r="W991" s="140"/>
      <c r="X991" s="140"/>
      <c r="Y991" s="140"/>
      <c r="Z991" s="140"/>
      <c r="AA991" s="140"/>
      <c r="AB991" s="140"/>
      <c r="AC991" s="140"/>
      <c r="AD991" s="140"/>
    </row>
    <row r="992" spans="1:30" ht="11.25" customHeight="1" x14ac:dyDescent="0.2">
      <c r="A992" s="140"/>
      <c r="B992" s="140"/>
      <c r="C992" s="140"/>
      <c r="D992" s="140"/>
      <c r="E992" s="140"/>
      <c r="F992" s="140"/>
      <c r="G992" s="140"/>
      <c r="H992" s="140"/>
      <c r="I992" s="140"/>
      <c r="J992" s="140"/>
      <c r="K992" s="140"/>
      <c r="L992" s="140"/>
      <c r="M992" s="140"/>
      <c r="N992" s="140"/>
      <c r="O992" s="140"/>
      <c r="P992" s="140"/>
      <c r="Q992" s="140"/>
      <c r="R992" s="140"/>
      <c r="S992" s="140"/>
      <c r="T992" s="140"/>
      <c r="U992" s="140"/>
      <c r="V992" s="140"/>
      <c r="W992" s="140"/>
      <c r="X992" s="140"/>
      <c r="Y992" s="140"/>
      <c r="Z992" s="140"/>
      <c r="AA992" s="140"/>
      <c r="AB992" s="140"/>
      <c r="AC992" s="140"/>
      <c r="AD992" s="140"/>
    </row>
    <row r="993" spans="1:30" ht="11.25" customHeight="1" x14ac:dyDescent="0.2">
      <c r="A993" s="140"/>
      <c r="B993" s="140"/>
      <c r="C993" s="140"/>
      <c r="D993" s="140"/>
      <c r="E993" s="140"/>
      <c r="F993" s="140"/>
      <c r="G993" s="140"/>
      <c r="H993" s="140"/>
      <c r="I993" s="140"/>
      <c r="J993" s="140"/>
      <c r="K993" s="140"/>
      <c r="L993" s="140"/>
      <c r="M993" s="140"/>
      <c r="N993" s="140"/>
      <c r="O993" s="140"/>
      <c r="P993" s="140"/>
      <c r="Q993" s="140"/>
      <c r="R993" s="140"/>
      <c r="S993" s="140"/>
      <c r="T993" s="140"/>
      <c r="U993" s="140"/>
      <c r="V993" s="140"/>
      <c r="W993" s="140"/>
      <c r="X993" s="140"/>
      <c r="Y993" s="140"/>
      <c r="Z993" s="140"/>
      <c r="AA993" s="140"/>
      <c r="AB993" s="140"/>
      <c r="AC993" s="140"/>
      <c r="AD993" s="140"/>
    </row>
    <row r="994" spans="1:30" ht="11.25" customHeight="1" x14ac:dyDescent="0.2">
      <c r="A994" s="140"/>
      <c r="B994" s="140"/>
      <c r="C994" s="140"/>
      <c r="D994" s="140"/>
      <c r="E994" s="140"/>
      <c r="F994" s="140"/>
      <c r="G994" s="140"/>
      <c r="H994" s="140"/>
      <c r="I994" s="140"/>
      <c r="J994" s="140"/>
      <c r="K994" s="140"/>
      <c r="L994" s="140"/>
      <c r="M994" s="140"/>
      <c r="N994" s="140"/>
      <c r="O994" s="140"/>
      <c r="P994" s="140"/>
      <c r="Q994" s="140"/>
      <c r="R994" s="140"/>
      <c r="S994" s="140"/>
      <c r="T994" s="140"/>
      <c r="U994" s="140"/>
      <c r="V994" s="140"/>
      <c r="W994" s="140"/>
      <c r="X994" s="140"/>
      <c r="Y994" s="140"/>
      <c r="Z994" s="140"/>
      <c r="AA994" s="140"/>
      <c r="AB994" s="140"/>
      <c r="AC994" s="140"/>
      <c r="AD994" s="140"/>
    </row>
    <row r="995" spans="1:30" ht="11.25" customHeight="1" x14ac:dyDescent="0.2">
      <c r="A995" s="140"/>
      <c r="B995" s="140"/>
      <c r="C995" s="140"/>
      <c r="D995" s="140"/>
      <c r="E995" s="140"/>
      <c r="F995" s="140"/>
      <c r="G995" s="140"/>
      <c r="H995" s="140"/>
      <c r="I995" s="140"/>
      <c r="J995" s="140"/>
      <c r="K995" s="140"/>
      <c r="L995" s="140"/>
      <c r="M995" s="140"/>
      <c r="N995" s="140"/>
      <c r="O995" s="140"/>
      <c r="P995" s="140"/>
      <c r="Q995" s="140"/>
      <c r="R995" s="140"/>
      <c r="S995" s="140"/>
      <c r="T995" s="140"/>
      <c r="U995" s="140"/>
      <c r="V995" s="140"/>
      <c r="W995" s="140"/>
      <c r="X995" s="140"/>
      <c r="Y995" s="140"/>
      <c r="Z995" s="140"/>
      <c r="AA995" s="140"/>
      <c r="AB995" s="140"/>
      <c r="AC995" s="140"/>
      <c r="AD995" s="140"/>
    </row>
    <row r="996" spans="1:30" ht="11.25" customHeight="1" x14ac:dyDescent="0.2">
      <c r="A996" s="140"/>
      <c r="B996" s="140"/>
      <c r="C996" s="140"/>
      <c r="D996" s="140"/>
      <c r="E996" s="140"/>
      <c r="F996" s="140"/>
      <c r="G996" s="140"/>
      <c r="H996" s="140"/>
      <c r="I996" s="140"/>
      <c r="J996" s="140"/>
      <c r="K996" s="140"/>
      <c r="L996" s="140"/>
      <c r="M996" s="140"/>
      <c r="N996" s="140"/>
      <c r="O996" s="140"/>
      <c r="P996" s="140"/>
      <c r="Q996" s="140"/>
      <c r="R996" s="140"/>
      <c r="S996" s="140"/>
      <c r="T996" s="140"/>
      <c r="U996" s="140"/>
      <c r="V996" s="140"/>
      <c r="W996" s="140"/>
      <c r="X996" s="140"/>
      <c r="Y996" s="140"/>
      <c r="Z996" s="140"/>
      <c r="AA996" s="140"/>
      <c r="AB996" s="140"/>
      <c r="AC996" s="140"/>
      <c r="AD996" s="140"/>
    </row>
    <row r="997" spans="1:30" ht="11.25" customHeight="1" x14ac:dyDescent="0.2">
      <c r="A997" s="140"/>
      <c r="B997" s="140"/>
      <c r="C997" s="140"/>
      <c r="D997" s="140"/>
      <c r="E997" s="140"/>
      <c r="F997" s="140"/>
      <c r="G997" s="140"/>
      <c r="H997" s="140"/>
      <c r="I997" s="140"/>
      <c r="J997" s="140"/>
      <c r="K997" s="140"/>
      <c r="L997" s="140"/>
      <c r="M997" s="140"/>
      <c r="N997" s="140"/>
      <c r="O997" s="140"/>
      <c r="P997" s="140"/>
      <c r="Q997" s="140"/>
      <c r="R997" s="140"/>
      <c r="S997" s="140"/>
      <c r="T997" s="140"/>
      <c r="U997" s="140"/>
      <c r="V997" s="140"/>
      <c r="W997" s="140"/>
      <c r="X997" s="140"/>
      <c r="Y997" s="140"/>
      <c r="Z997" s="140"/>
      <c r="AA997" s="140"/>
      <c r="AB997" s="140"/>
      <c r="AC997" s="140"/>
      <c r="AD997" s="140"/>
    </row>
    <row r="998" spans="1:30" ht="11.25" customHeight="1" x14ac:dyDescent="0.2">
      <c r="A998" s="140"/>
      <c r="B998" s="140"/>
      <c r="C998" s="140"/>
      <c r="D998" s="140"/>
      <c r="E998" s="140"/>
      <c r="F998" s="140"/>
      <c r="G998" s="140"/>
      <c r="H998" s="140"/>
      <c r="I998" s="140"/>
      <c r="J998" s="140"/>
      <c r="K998" s="140"/>
      <c r="L998" s="140"/>
      <c r="M998" s="140"/>
      <c r="N998" s="140"/>
      <c r="O998" s="140"/>
      <c r="P998" s="140"/>
      <c r="Q998" s="140"/>
      <c r="R998" s="140"/>
      <c r="S998" s="140"/>
      <c r="T998" s="140"/>
      <c r="U998" s="140"/>
      <c r="V998" s="140"/>
      <c r="W998" s="140"/>
      <c r="X998" s="140"/>
      <c r="Y998" s="140"/>
      <c r="Z998" s="140"/>
      <c r="AA998" s="140"/>
      <c r="AB998" s="140"/>
      <c r="AC998" s="140"/>
      <c r="AD998" s="140"/>
    </row>
    <row r="999" spans="1:30" ht="11.25" customHeight="1" x14ac:dyDescent="0.2">
      <c r="A999" s="140"/>
      <c r="B999" s="140"/>
      <c r="C999" s="140"/>
      <c r="D999" s="140"/>
      <c r="E999" s="140"/>
      <c r="F999" s="140"/>
      <c r="G999" s="140"/>
      <c r="H999" s="140"/>
      <c r="I999" s="140"/>
      <c r="J999" s="140"/>
      <c r="K999" s="140"/>
      <c r="L999" s="140"/>
      <c r="M999" s="140"/>
      <c r="N999" s="140"/>
      <c r="O999" s="140"/>
      <c r="P999" s="140"/>
      <c r="Q999" s="140"/>
      <c r="R999" s="140"/>
      <c r="S999" s="140"/>
      <c r="T999" s="140"/>
      <c r="U999" s="140"/>
      <c r="V999" s="140"/>
      <c r="W999" s="140"/>
      <c r="X999" s="140"/>
      <c r="Y999" s="140"/>
      <c r="Z999" s="140"/>
      <c r="AA999" s="140"/>
      <c r="AB999" s="140"/>
      <c r="AC999" s="140"/>
      <c r="AD999" s="140"/>
    </row>
    <row r="1000" spans="1:30" ht="11.25" customHeight="1" x14ac:dyDescent="0.2">
      <c r="A1000" s="140"/>
      <c r="B1000" s="140"/>
      <c r="C1000" s="140"/>
      <c r="D1000" s="140"/>
      <c r="E1000" s="140"/>
      <c r="F1000" s="140"/>
      <c r="G1000" s="140"/>
      <c r="H1000" s="140"/>
      <c r="I1000" s="140"/>
      <c r="J1000" s="140"/>
      <c r="K1000" s="140"/>
      <c r="L1000" s="140"/>
      <c r="M1000" s="140"/>
      <c r="N1000" s="140"/>
      <c r="O1000" s="140"/>
      <c r="P1000" s="140"/>
      <c r="Q1000" s="140"/>
      <c r="R1000" s="140"/>
      <c r="S1000" s="140"/>
      <c r="T1000" s="140"/>
      <c r="U1000" s="140"/>
      <c r="V1000" s="140"/>
      <c r="W1000" s="140"/>
      <c r="X1000" s="140"/>
      <c r="Y1000" s="140"/>
      <c r="Z1000" s="140"/>
      <c r="AA1000" s="140"/>
      <c r="AB1000" s="140"/>
      <c r="AC1000" s="140"/>
      <c r="AD1000" s="140"/>
    </row>
  </sheetData>
  <mergeCells count="1">
    <mergeCell ref="I350:J350"/>
  </mergeCells>
  <printOptions gridLines="1"/>
  <pageMargins left="0.7" right="0.7" top="0.75" bottom="0.75" header="0" footer="0"/>
  <pageSetup paperSize="5" fitToHeight="0" orientation="landscape"/>
  <legacy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A1003"/>
  <sheetViews>
    <sheetView workbookViewId="0"/>
  </sheetViews>
  <sheetFormatPr defaultColWidth="16.85546875" defaultRowHeight="15" customHeight="1" x14ac:dyDescent="0.2"/>
  <cols>
    <col min="1" max="1" width="3.140625" customWidth="1"/>
    <col min="2" max="2" width="16.85546875" customWidth="1"/>
    <col min="3" max="3" width="58.85546875" customWidth="1"/>
    <col min="4" max="4" width="13.28515625" customWidth="1"/>
    <col min="5" max="5" width="14.140625" customWidth="1"/>
    <col min="6" max="7" width="12.42578125" customWidth="1"/>
    <col min="8" max="9" width="10.7109375" customWidth="1"/>
    <col min="10" max="11" width="15.7109375" customWidth="1"/>
    <col min="12" max="12" width="10.7109375" customWidth="1"/>
    <col min="13" max="13" width="15.28515625" customWidth="1"/>
    <col min="14" max="14" width="10.7109375" customWidth="1"/>
    <col min="15" max="18" width="15.28515625" customWidth="1"/>
    <col min="19" max="19" width="10.7109375" customWidth="1"/>
    <col min="20" max="24" width="15.28515625" customWidth="1"/>
    <col min="25" max="25" width="8.7109375" customWidth="1"/>
    <col min="26" max="26" width="12.7109375" customWidth="1"/>
    <col min="27" max="27" width="8.7109375" customWidth="1"/>
  </cols>
  <sheetData>
    <row r="1" spans="1:27" ht="32.4" x14ac:dyDescent="0.55000000000000004">
      <c r="A1" s="2636" t="s">
        <v>2091</v>
      </c>
      <c r="B1" s="606"/>
      <c r="C1" s="327"/>
      <c r="D1" s="881"/>
      <c r="E1" s="327"/>
      <c r="F1" s="327"/>
      <c r="G1" s="327"/>
      <c r="H1" s="327"/>
      <c r="I1" s="327"/>
      <c r="J1" s="327"/>
      <c r="K1" s="327"/>
      <c r="L1" s="327"/>
      <c r="M1" s="327"/>
      <c r="N1" s="327"/>
      <c r="O1" s="327"/>
      <c r="P1" s="327"/>
      <c r="Q1" s="327"/>
      <c r="R1" s="327"/>
      <c r="S1" s="327"/>
      <c r="T1" s="327"/>
      <c r="U1" s="327"/>
      <c r="V1" s="327"/>
      <c r="W1" s="327"/>
      <c r="X1" s="327"/>
      <c r="Y1" s="327"/>
      <c r="Z1" s="327"/>
      <c r="AA1" s="327"/>
    </row>
    <row r="2" spans="1:27" ht="107.25" customHeight="1" x14ac:dyDescent="0.2">
      <c r="A2" s="327"/>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row>
    <row r="3" spans="1:27" ht="10.5" customHeight="1" x14ac:dyDescent="0.2">
      <c r="A3" s="327"/>
      <c r="B3" s="327"/>
      <c r="C3" s="327"/>
      <c r="D3" s="327"/>
      <c r="E3" s="327"/>
      <c r="F3" s="327"/>
      <c r="G3" s="327"/>
      <c r="H3" s="327"/>
      <c r="I3" s="3" t="s">
        <v>1861</v>
      </c>
      <c r="J3" s="327"/>
      <c r="K3" s="327"/>
      <c r="L3" s="327"/>
      <c r="M3" s="327"/>
      <c r="N3" s="327"/>
      <c r="O3" s="327"/>
      <c r="P3" s="327"/>
      <c r="Q3" s="327"/>
      <c r="R3" s="327"/>
      <c r="S3" s="327"/>
      <c r="T3" s="327"/>
      <c r="U3" s="327"/>
      <c r="V3" s="327"/>
      <c r="W3" s="327"/>
      <c r="X3" s="327"/>
      <c r="Y3" s="327"/>
      <c r="Z3" s="327"/>
      <c r="AA3" s="327"/>
    </row>
    <row r="4" spans="1:27" ht="10.5" customHeight="1" x14ac:dyDescent="0.2">
      <c r="A4" s="327"/>
      <c r="B4" s="327"/>
      <c r="C4" s="327"/>
      <c r="D4" s="327"/>
      <c r="E4" s="327"/>
      <c r="F4" s="327"/>
      <c r="G4" s="327"/>
      <c r="H4" s="2432"/>
      <c r="I4" s="3" t="s">
        <v>1862</v>
      </c>
      <c r="J4" s="327"/>
      <c r="K4" s="327"/>
      <c r="L4" s="327"/>
      <c r="M4" s="327"/>
      <c r="N4" s="327"/>
      <c r="O4" s="327"/>
      <c r="P4" s="327"/>
      <c r="Q4" s="327"/>
      <c r="R4" s="327"/>
      <c r="S4" s="327"/>
      <c r="T4" s="327"/>
      <c r="U4" s="327"/>
      <c r="V4" s="327"/>
      <c r="W4" s="327"/>
      <c r="X4" s="327"/>
      <c r="Y4" s="327"/>
      <c r="Z4" s="327"/>
      <c r="AA4" s="327"/>
    </row>
    <row r="5" spans="1:27" ht="10.5" customHeight="1" x14ac:dyDescent="0.2">
      <c r="A5" s="327"/>
      <c r="B5" s="327"/>
      <c r="C5" s="327"/>
      <c r="D5" s="327"/>
      <c r="E5" s="327"/>
      <c r="F5" s="327"/>
      <c r="G5" s="327"/>
      <c r="H5" s="671"/>
      <c r="I5" s="3" t="s">
        <v>1863</v>
      </c>
      <c r="J5" s="327"/>
      <c r="K5" s="327"/>
      <c r="L5" s="327"/>
      <c r="M5" s="327"/>
      <c r="N5" s="327"/>
      <c r="O5" s="327"/>
      <c r="P5" s="327"/>
      <c r="Q5" s="327"/>
      <c r="R5" s="327"/>
      <c r="S5" s="327"/>
      <c r="T5" s="327"/>
      <c r="U5" s="327"/>
      <c r="V5" s="327"/>
      <c r="W5" s="327"/>
      <c r="X5" s="327"/>
      <c r="Y5" s="327"/>
      <c r="Z5" s="327"/>
      <c r="AA5" s="327"/>
    </row>
    <row r="6" spans="1:27" ht="10.5" customHeight="1" x14ac:dyDescent="0.25">
      <c r="A6" s="327"/>
      <c r="B6" s="327"/>
      <c r="C6" s="301"/>
      <c r="D6" s="327"/>
      <c r="E6" s="2433"/>
      <c r="F6" s="622"/>
      <c r="G6" s="327"/>
      <c r="H6" s="2433"/>
      <c r="I6" s="2433"/>
      <c r="J6" s="622"/>
      <c r="K6" s="622"/>
      <c r="L6" s="301"/>
      <c r="M6" s="301"/>
      <c r="N6" s="301"/>
      <c r="O6" s="301"/>
      <c r="P6" s="301"/>
      <c r="Q6" s="622"/>
      <c r="R6" s="622"/>
      <c r="S6" s="622"/>
      <c r="T6" s="622"/>
      <c r="U6" s="622"/>
      <c r="V6" s="622"/>
      <c r="W6" s="327"/>
      <c r="X6" s="327"/>
      <c r="Y6" s="327"/>
      <c r="Z6" s="327"/>
      <c r="AA6" s="327"/>
    </row>
    <row r="7" spans="1:27" ht="10.5" customHeight="1" x14ac:dyDescent="0.25">
      <c r="A7" s="327"/>
      <c r="B7" s="327"/>
      <c r="C7" s="327"/>
      <c r="D7" s="327"/>
      <c r="E7" s="327"/>
      <c r="F7" s="327"/>
      <c r="G7" s="301"/>
      <c r="H7" s="327"/>
      <c r="I7" s="2433"/>
      <c r="J7" s="622"/>
      <c r="K7" s="327"/>
      <c r="L7" s="2433"/>
      <c r="M7" s="2433"/>
      <c r="N7" s="622"/>
      <c r="O7" s="622"/>
      <c r="P7" s="301"/>
      <c r="Q7" s="301"/>
      <c r="R7" s="301"/>
      <c r="S7" s="301"/>
      <c r="T7" s="301"/>
      <c r="U7" s="301"/>
      <c r="V7" s="622"/>
      <c r="W7" s="622"/>
      <c r="X7" s="622"/>
      <c r="Y7" s="622"/>
      <c r="Z7" s="622"/>
      <c r="AA7" s="327"/>
    </row>
    <row r="8" spans="1:27" ht="10.5" customHeight="1" x14ac:dyDescent="0.25">
      <c r="A8" s="327"/>
      <c r="B8" s="327"/>
      <c r="C8" s="327"/>
      <c r="D8" s="327"/>
      <c r="E8" s="327"/>
      <c r="F8" s="327"/>
      <c r="G8" s="327"/>
      <c r="H8" s="327"/>
      <c r="I8" s="2434"/>
      <c r="J8" s="622"/>
      <c r="K8" s="327"/>
      <c r="L8" s="2433"/>
      <c r="M8" s="2435"/>
      <c r="N8" s="622"/>
      <c r="O8" s="622"/>
      <c r="P8" s="327"/>
      <c r="Q8" s="327"/>
      <c r="R8" s="327"/>
      <c r="S8" s="327"/>
      <c r="T8" s="327"/>
      <c r="U8" s="327"/>
      <c r="V8" s="327"/>
      <c r="W8" s="327"/>
      <c r="X8" s="327"/>
      <c r="Y8" s="327"/>
      <c r="Z8" s="327"/>
      <c r="AA8" s="327"/>
    </row>
    <row r="9" spans="1:27" ht="61.8" x14ac:dyDescent="0.3">
      <c r="A9" s="327"/>
      <c r="B9" s="2829" t="s">
        <v>786</v>
      </c>
      <c r="C9" s="2830" t="s">
        <v>1864</v>
      </c>
      <c r="D9" s="2831" t="s">
        <v>1865</v>
      </c>
      <c r="E9" s="2832" t="s">
        <v>1866</v>
      </c>
      <c r="F9" s="2831" t="s">
        <v>1867</v>
      </c>
      <c r="G9" s="2831" t="s">
        <v>2092</v>
      </c>
      <c r="H9" s="2832" t="s">
        <v>1868</v>
      </c>
      <c r="I9" s="2832" t="s">
        <v>1869</v>
      </c>
      <c r="J9" s="2833" t="s">
        <v>2095</v>
      </c>
      <c r="K9" s="2833" t="s">
        <v>2096</v>
      </c>
      <c r="L9" s="2831" t="s">
        <v>2097</v>
      </c>
      <c r="M9" s="2831" t="s">
        <v>2098</v>
      </c>
      <c r="N9" s="2831" t="s">
        <v>1870</v>
      </c>
      <c r="O9" s="2831" t="s">
        <v>1871</v>
      </c>
      <c r="P9" s="2833" t="s">
        <v>2099</v>
      </c>
      <c r="Q9" s="2831" t="s">
        <v>2100</v>
      </c>
      <c r="R9" s="2831" t="s">
        <v>2101</v>
      </c>
      <c r="S9" s="2831" t="s">
        <v>1872</v>
      </c>
      <c r="T9" s="2833" t="s">
        <v>1873</v>
      </c>
      <c r="U9" s="2831" t="s">
        <v>2102</v>
      </c>
      <c r="V9" s="2831" t="s">
        <v>2093</v>
      </c>
      <c r="W9" s="2831" t="s">
        <v>1874</v>
      </c>
      <c r="X9" s="2834" t="s">
        <v>2094</v>
      </c>
      <c r="Y9" s="327"/>
      <c r="Z9" s="327"/>
      <c r="AA9" s="327"/>
    </row>
    <row r="10" spans="1:27" ht="15" customHeight="1" x14ac:dyDescent="0.2">
      <c r="A10" s="327"/>
      <c r="B10" s="2851"/>
      <c r="C10" s="2852"/>
      <c r="D10" s="2852"/>
      <c r="E10" s="2853"/>
      <c r="F10" s="2854"/>
      <c r="G10" s="2854"/>
      <c r="H10" s="2855"/>
      <c r="I10" s="2853"/>
      <c r="J10" s="2861"/>
      <c r="K10" s="2861"/>
      <c r="L10" s="2854"/>
      <c r="M10" s="2859"/>
      <c r="N10" s="2854"/>
      <c r="O10" s="2859"/>
      <c r="P10" s="2868"/>
      <c r="Q10" s="2859"/>
      <c r="R10" s="2859"/>
      <c r="S10" s="2854"/>
      <c r="T10" s="2868"/>
      <c r="U10" s="2859"/>
      <c r="V10" s="2859"/>
      <c r="W10" s="2859"/>
      <c r="X10" s="2865"/>
      <c r="Y10" s="327"/>
      <c r="Z10" s="327"/>
      <c r="AA10" s="327"/>
    </row>
    <row r="11" spans="1:27" ht="15" customHeight="1" x14ac:dyDescent="0.2">
      <c r="A11" s="327"/>
      <c r="B11" s="2837" t="s">
        <v>788</v>
      </c>
      <c r="C11" s="2880" t="s">
        <v>1875</v>
      </c>
      <c r="D11" s="2881">
        <v>4.26</v>
      </c>
      <c r="E11" s="2882">
        <f t="shared" ref="E11:E12" si="0">D11*1000000*0.9071847</f>
        <v>3864606.8219999997</v>
      </c>
      <c r="F11" s="2883">
        <v>125000</v>
      </c>
      <c r="G11" s="2884">
        <f t="shared" ref="G11:G12" si="1">F11*0.9071847</f>
        <v>113398.08749999999</v>
      </c>
      <c r="H11" s="2885">
        <v>1992</v>
      </c>
      <c r="I11" s="2886">
        <v>2015</v>
      </c>
      <c r="J11" s="2887">
        <f>12070</f>
        <v>12070</v>
      </c>
      <c r="K11" s="2887">
        <f>4401</f>
        <v>4401</v>
      </c>
      <c r="L11" s="2888">
        <v>0.43020000000000003</v>
      </c>
      <c r="M11" s="2883">
        <f>K11*L11</f>
        <v>1893.3102000000001</v>
      </c>
      <c r="N11" s="2889">
        <v>0.98</v>
      </c>
      <c r="O11" s="2883">
        <f>M11*N11</f>
        <v>1855.4439960000002</v>
      </c>
      <c r="P11" s="2890">
        <f>O11*2.75</f>
        <v>5102.4709890000004</v>
      </c>
      <c r="Q11" s="2883">
        <f>M11*(1-N11)</f>
        <v>37.866204000000039</v>
      </c>
      <c r="R11" s="2883">
        <f>K11*(1-L11)</f>
        <v>2507.6898000000001</v>
      </c>
      <c r="S11" s="2889">
        <v>0.1</v>
      </c>
      <c r="T11" s="2883">
        <f t="shared" ref="T11:T12" si="2">R11*S11</f>
        <v>250.76898000000003</v>
      </c>
      <c r="U11" s="2883">
        <f t="shared" ref="U11:U12" si="3">R11-T11</f>
        <v>2256.9208200000003</v>
      </c>
      <c r="V11" s="2883">
        <f>U11+Q11</f>
        <v>2294.7870240000002</v>
      </c>
      <c r="W11" s="2883">
        <f>V11*D84</f>
        <v>64254.036672000002</v>
      </c>
      <c r="X11" s="2891">
        <f>J11+P11+W11</f>
        <v>81426.507661000011</v>
      </c>
      <c r="Y11" s="327"/>
      <c r="Z11" s="327"/>
      <c r="AA11" s="327"/>
    </row>
    <row r="12" spans="1:27" ht="15" customHeight="1" x14ac:dyDescent="0.2">
      <c r="A12" s="327"/>
      <c r="B12" s="2835"/>
      <c r="C12" s="2648" t="s">
        <v>1876</v>
      </c>
      <c r="D12" s="2839">
        <v>1.5</v>
      </c>
      <c r="E12" s="2857">
        <f t="shared" si="0"/>
        <v>1360777.05</v>
      </c>
      <c r="F12" s="2840">
        <v>75000</v>
      </c>
      <c r="G12" s="2859">
        <f t="shared" si="1"/>
        <v>68038.852499999994</v>
      </c>
      <c r="H12" s="2854">
        <v>1971</v>
      </c>
      <c r="I12" s="2841">
        <v>1992</v>
      </c>
      <c r="J12" s="2862">
        <f>2467</f>
        <v>2467</v>
      </c>
      <c r="K12" s="2862">
        <f>899.2</f>
        <v>899.2</v>
      </c>
      <c r="L12" s="2842"/>
      <c r="M12" s="2840"/>
      <c r="N12" s="2842"/>
      <c r="O12" s="2840"/>
      <c r="P12" s="2869"/>
      <c r="Q12" s="2840"/>
      <c r="R12" s="2840">
        <f>K12</f>
        <v>899.2</v>
      </c>
      <c r="S12" s="2842">
        <v>0.1</v>
      </c>
      <c r="T12" s="2872">
        <f t="shared" si="2"/>
        <v>89.920000000000016</v>
      </c>
      <c r="U12" s="2845">
        <f t="shared" si="3"/>
        <v>809.28</v>
      </c>
      <c r="V12" s="2840">
        <f>U12</f>
        <v>809.28</v>
      </c>
      <c r="W12" s="2840">
        <f>V12*D84</f>
        <v>22659.84</v>
      </c>
      <c r="X12" s="2866">
        <f>J12+W12</f>
        <v>25126.84</v>
      </c>
      <c r="Y12" s="327"/>
    </row>
    <row r="13" spans="1:27" ht="15" customHeight="1" x14ac:dyDescent="0.2">
      <c r="A13" s="327"/>
      <c r="B13" s="2835"/>
      <c r="C13" s="2648"/>
      <c r="D13" s="2839"/>
      <c r="E13" s="2857"/>
      <c r="F13" s="2840"/>
      <c r="G13" s="2859"/>
      <c r="H13" s="2854"/>
      <c r="I13" s="2841"/>
      <c r="J13" s="2862"/>
      <c r="K13" s="2862"/>
      <c r="L13" s="2842"/>
      <c r="M13" s="2840"/>
      <c r="N13" s="2842"/>
      <c r="O13" s="2840"/>
      <c r="P13" s="2869"/>
      <c r="Q13" s="2840"/>
      <c r="R13" s="2840"/>
      <c r="S13" s="2836"/>
      <c r="T13" s="2872"/>
      <c r="U13" s="2845"/>
      <c r="V13" s="2840"/>
      <c r="W13" s="2840"/>
      <c r="X13" s="2866"/>
      <c r="Y13" s="327"/>
    </row>
    <row r="14" spans="1:27" ht="15" customHeight="1" x14ac:dyDescent="0.2">
      <c r="A14" s="327"/>
      <c r="B14" s="2837" t="s">
        <v>789</v>
      </c>
      <c r="C14" s="2648" t="s">
        <v>1877</v>
      </c>
      <c r="D14" s="2839">
        <v>0.85</v>
      </c>
      <c r="E14" s="2857">
        <f t="shared" ref="E14:E17" si="4">D14*1000000*0.9071847</f>
        <v>771106.995</v>
      </c>
      <c r="F14" s="2840">
        <v>23000</v>
      </c>
      <c r="G14" s="2859">
        <f t="shared" ref="G14:G17" si="5">F14*0.9071847</f>
        <v>20865.248100000001</v>
      </c>
      <c r="H14" s="2854">
        <v>1960</v>
      </c>
      <c r="I14" s="2841">
        <v>1993</v>
      </c>
      <c r="J14" s="2862">
        <f>1317</f>
        <v>1317</v>
      </c>
      <c r="K14" s="2862">
        <f>480</f>
        <v>480</v>
      </c>
      <c r="L14" s="2842"/>
      <c r="M14" s="2840"/>
      <c r="N14" s="2842"/>
      <c r="O14" s="2840"/>
      <c r="P14" s="2869"/>
      <c r="Q14" s="2840"/>
      <c r="R14" s="2840">
        <f t="shared" ref="R14:R15" si="6">K14</f>
        <v>480</v>
      </c>
      <c r="S14" s="2842">
        <v>0.1</v>
      </c>
      <c r="T14" s="2872">
        <f t="shared" ref="T14:T19" si="7">R14*S14</f>
        <v>48</v>
      </c>
      <c r="U14" s="2845">
        <f t="shared" ref="U14:U19" si="8">R14-T14</f>
        <v>432</v>
      </c>
      <c r="V14" s="2840">
        <f t="shared" ref="V14:V15" si="9">U14</f>
        <v>432</v>
      </c>
      <c r="W14" s="2840">
        <f>V14*D84</f>
        <v>12096</v>
      </c>
      <c r="X14" s="2866">
        <f t="shared" ref="X14:X17" si="10">J14+W14</f>
        <v>13413</v>
      </c>
      <c r="Y14" s="327"/>
    </row>
    <row r="15" spans="1:27" ht="15" customHeight="1" x14ac:dyDescent="0.2">
      <c r="A15" s="327"/>
      <c r="B15" s="2835"/>
      <c r="C15" s="2648" t="s">
        <v>1878</v>
      </c>
      <c r="D15" s="2839">
        <v>0.67</v>
      </c>
      <c r="E15" s="2857">
        <f t="shared" si="4"/>
        <v>607813.74899999995</v>
      </c>
      <c r="F15" s="2840">
        <v>11000</v>
      </c>
      <c r="G15" s="2859">
        <f t="shared" si="5"/>
        <v>9979.0316999999995</v>
      </c>
      <c r="H15" s="2854">
        <v>1976</v>
      </c>
      <c r="I15" s="2841">
        <v>1996</v>
      </c>
      <c r="J15" s="2862">
        <f>2146</f>
        <v>2146</v>
      </c>
      <c r="K15" s="2862">
        <f>782.1</f>
        <v>782.1</v>
      </c>
      <c r="L15" s="2842"/>
      <c r="M15" s="2840"/>
      <c r="N15" s="2842"/>
      <c r="O15" s="2840"/>
      <c r="P15" s="2869"/>
      <c r="Q15" s="2840"/>
      <c r="R15" s="2840">
        <f t="shared" si="6"/>
        <v>782.1</v>
      </c>
      <c r="S15" s="2842">
        <v>0.1</v>
      </c>
      <c r="T15" s="2872">
        <f t="shared" si="7"/>
        <v>78.210000000000008</v>
      </c>
      <c r="U15" s="2845">
        <f t="shared" si="8"/>
        <v>703.89</v>
      </c>
      <c r="V15" s="2840">
        <f t="shared" si="9"/>
        <v>703.89</v>
      </c>
      <c r="W15" s="2840">
        <f>V15*D84</f>
        <v>19708.919999999998</v>
      </c>
      <c r="X15" s="2866">
        <f t="shared" si="10"/>
        <v>21854.92</v>
      </c>
      <c r="Y15" s="327"/>
    </row>
    <row r="16" spans="1:27" ht="15" customHeight="1" x14ac:dyDescent="0.2">
      <c r="A16" s="327"/>
      <c r="B16" s="2835"/>
      <c r="C16" s="2892" t="s">
        <v>1879</v>
      </c>
      <c r="D16" s="2894">
        <v>14.3</v>
      </c>
      <c r="E16" s="2874">
        <f t="shared" si="4"/>
        <v>12972741.209999999</v>
      </c>
      <c r="F16" s="2895">
        <v>358288</v>
      </c>
      <c r="G16" s="2875">
        <f t="shared" si="5"/>
        <v>325033.39179359999</v>
      </c>
      <c r="H16" s="2876">
        <v>1975</v>
      </c>
      <c r="I16" s="2896">
        <v>2060</v>
      </c>
      <c r="J16" s="2897">
        <f>24330</f>
        <v>24330</v>
      </c>
      <c r="K16" s="2897">
        <f>8868</f>
        <v>8868</v>
      </c>
      <c r="L16" s="2898">
        <v>0.53790000000000004</v>
      </c>
      <c r="M16" s="2895">
        <f>K16*L16</f>
        <v>4770.0972000000002</v>
      </c>
      <c r="N16" s="2899">
        <v>0.99909999999999999</v>
      </c>
      <c r="O16" s="2895">
        <f>M16*N16</f>
        <v>4765.8041125199998</v>
      </c>
      <c r="P16" s="2879">
        <f>O16*2.75</f>
        <v>13105.96130943</v>
      </c>
      <c r="Q16" s="2895">
        <f>M16*(1-N16)</f>
        <v>4.2930874800000574</v>
      </c>
      <c r="R16" s="2895">
        <f>K16*(1-L16)</f>
        <v>4097.9027999999998</v>
      </c>
      <c r="S16" s="2898">
        <v>0.1</v>
      </c>
      <c r="T16" s="2895">
        <f t="shared" si="7"/>
        <v>409.79028</v>
      </c>
      <c r="U16" s="2895">
        <f t="shared" si="8"/>
        <v>3688.1125199999997</v>
      </c>
      <c r="V16" s="2895">
        <f>U16+Q16</f>
        <v>3692.4056074799996</v>
      </c>
      <c r="W16" s="2895">
        <f>V16*D84</f>
        <v>103387.35700943999</v>
      </c>
      <c r="X16" s="2900">
        <f t="shared" si="10"/>
        <v>127717.35700943999</v>
      </c>
      <c r="Y16" s="327"/>
    </row>
    <row r="17" spans="1:27" ht="15" customHeight="1" x14ac:dyDescent="0.2">
      <c r="A17" s="327"/>
      <c r="B17" s="2835"/>
      <c r="C17" s="2648" t="s">
        <v>1880</v>
      </c>
      <c r="D17" s="2839">
        <v>0.7</v>
      </c>
      <c r="E17" s="2857">
        <f t="shared" si="4"/>
        <v>635029.28999999992</v>
      </c>
      <c r="F17" s="2840">
        <v>61000</v>
      </c>
      <c r="G17" s="2859">
        <f t="shared" si="5"/>
        <v>55338.2667</v>
      </c>
      <c r="H17" s="2854">
        <v>1982</v>
      </c>
      <c r="I17" s="2841">
        <v>1993</v>
      </c>
      <c r="J17" s="2862">
        <f>1555</f>
        <v>1555</v>
      </c>
      <c r="K17" s="2862">
        <f>566.8</f>
        <v>566.79999999999995</v>
      </c>
      <c r="L17" s="2842"/>
      <c r="M17" s="2840"/>
      <c r="N17" s="2842"/>
      <c r="O17" s="2840"/>
      <c r="P17" s="2869"/>
      <c r="Q17" s="2840"/>
      <c r="R17" s="2840">
        <f>K17</f>
        <v>566.79999999999995</v>
      </c>
      <c r="S17" s="2842">
        <v>0.1</v>
      </c>
      <c r="T17" s="2872">
        <f t="shared" si="7"/>
        <v>56.68</v>
      </c>
      <c r="U17" s="2845">
        <f t="shared" si="8"/>
        <v>510.11999999999995</v>
      </c>
      <c r="V17" s="2840">
        <f>U17</f>
        <v>510.11999999999995</v>
      </c>
      <c r="W17" s="2840">
        <f>V17*D84</f>
        <v>14283.359999999999</v>
      </c>
      <c r="X17" s="2866">
        <f t="shared" si="10"/>
        <v>15838.359999999999</v>
      </c>
      <c r="Y17" s="327"/>
    </row>
    <row r="18" spans="1:27" ht="15" customHeight="1" x14ac:dyDescent="0.2">
      <c r="A18" s="327"/>
      <c r="B18" s="2835"/>
      <c r="C18" s="2893" t="s">
        <v>1881</v>
      </c>
      <c r="D18" s="2893"/>
      <c r="E18" s="2882">
        <v>1122641.432</v>
      </c>
      <c r="F18" s="2901"/>
      <c r="G18" s="2884"/>
      <c r="H18" s="2885">
        <v>1963</v>
      </c>
      <c r="I18" s="2902">
        <v>1982</v>
      </c>
      <c r="J18" s="2903">
        <v>1420</v>
      </c>
      <c r="K18" s="2903">
        <f>517.4</f>
        <v>517.4</v>
      </c>
      <c r="L18" s="2904">
        <v>0.25779999999999997</v>
      </c>
      <c r="M18" s="2901">
        <f>K18*L18</f>
        <v>133.38571999999999</v>
      </c>
      <c r="N18" s="2905">
        <v>0.98</v>
      </c>
      <c r="O18" s="2906">
        <f>M18*N18</f>
        <v>130.7180056</v>
      </c>
      <c r="P18" s="2907">
        <f>O18*2.75</f>
        <v>359.47451539999997</v>
      </c>
      <c r="Q18" s="2906">
        <f>M18*(1-N18)</f>
        <v>2.6677144000000022</v>
      </c>
      <c r="R18" s="2906">
        <f>K18*(1-L18)</f>
        <v>384.01427999999999</v>
      </c>
      <c r="S18" s="2905">
        <v>0.1</v>
      </c>
      <c r="T18" s="2906">
        <f t="shared" si="7"/>
        <v>38.401428000000003</v>
      </c>
      <c r="U18" s="2906">
        <f t="shared" si="8"/>
        <v>345.61285199999998</v>
      </c>
      <c r="V18" s="2906">
        <f>U18+Q18</f>
        <v>348.2805664</v>
      </c>
      <c r="W18" s="2906">
        <f>V18*D84</f>
        <v>9751.8558592000009</v>
      </c>
      <c r="X18" s="2908">
        <f>J18+P18+W18</f>
        <v>11531.3303746</v>
      </c>
      <c r="Y18" s="327"/>
    </row>
    <row r="19" spans="1:27" ht="15" customHeight="1" x14ac:dyDescent="0.2">
      <c r="A19" s="327"/>
      <c r="B19" s="2835"/>
      <c r="C19" s="2852" t="s">
        <v>1882</v>
      </c>
      <c r="D19" s="2648"/>
      <c r="E19" s="2857">
        <v>3487273</v>
      </c>
      <c r="F19" s="2840"/>
      <c r="G19" s="2859"/>
      <c r="H19" s="2854"/>
      <c r="I19" s="2841"/>
      <c r="J19" s="2862">
        <f>4021</f>
        <v>4021</v>
      </c>
      <c r="K19" s="2862">
        <f>1466</f>
        <v>1466</v>
      </c>
      <c r="L19" s="2842"/>
      <c r="M19" s="2840"/>
      <c r="N19" s="2842"/>
      <c r="O19" s="2840"/>
      <c r="P19" s="2869"/>
      <c r="Q19" s="2840"/>
      <c r="R19" s="2840">
        <f>K19</f>
        <v>1466</v>
      </c>
      <c r="S19" s="2842">
        <v>0.1</v>
      </c>
      <c r="T19" s="2872">
        <f t="shared" si="7"/>
        <v>146.6</v>
      </c>
      <c r="U19" s="2845">
        <f t="shared" si="8"/>
        <v>1319.4</v>
      </c>
      <c r="V19" s="2840">
        <f>U19</f>
        <v>1319.4</v>
      </c>
      <c r="W19" s="2840">
        <f>V19*D84</f>
        <v>36943.200000000004</v>
      </c>
      <c r="X19" s="2866">
        <f>J19+W19</f>
        <v>40964.200000000004</v>
      </c>
      <c r="Y19" s="327"/>
      <c r="Z19" s="327"/>
      <c r="AA19" s="327"/>
    </row>
    <row r="20" spans="1:27" ht="15" customHeight="1" x14ac:dyDescent="0.2">
      <c r="A20" s="327"/>
      <c r="B20" s="2835"/>
      <c r="C20" s="2648"/>
      <c r="D20" s="2648"/>
      <c r="E20" s="2857"/>
      <c r="F20" s="2840"/>
      <c r="G20" s="2859"/>
      <c r="H20" s="2854"/>
      <c r="I20" s="2841"/>
      <c r="J20" s="2862"/>
      <c r="K20" s="2862"/>
      <c r="L20" s="2842"/>
      <c r="M20" s="2840"/>
      <c r="N20" s="2842"/>
      <c r="O20" s="2840"/>
      <c r="P20" s="2869"/>
      <c r="Q20" s="2840"/>
      <c r="R20" s="2840"/>
      <c r="S20" s="2836"/>
      <c r="T20" s="2872"/>
      <c r="U20" s="2845"/>
      <c r="V20" s="2840"/>
      <c r="W20" s="2840"/>
      <c r="X20" s="2866"/>
      <c r="Y20" s="327"/>
      <c r="Z20" s="327"/>
      <c r="AA20" s="327"/>
    </row>
    <row r="21" spans="1:27" ht="15" customHeight="1" x14ac:dyDescent="0.2">
      <c r="A21" s="327"/>
      <c r="B21" s="2837" t="s">
        <v>811</v>
      </c>
      <c r="C21" s="2892" t="s">
        <v>1883</v>
      </c>
      <c r="D21" s="2894">
        <v>18.320622</v>
      </c>
      <c r="E21" s="2874">
        <f>D21*1000000*0.9071847</f>
        <v>16620187.9728834</v>
      </c>
      <c r="F21" s="2895">
        <v>523000</v>
      </c>
      <c r="G21" s="2875">
        <f>F21*0.9071847</f>
        <v>474457.5981</v>
      </c>
      <c r="H21" s="2876">
        <v>1985</v>
      </c>
      <c r="I21" s="2896">
        <v>2019</v>
      </c>
      <c r="J21" s="2897">
        <f>22150</f>
        <v>22150</v>
      </c>
      <c r="K21" s="2897">
        <f>8071</f>
        <v>8071</v>
      </c>
      <c r="L21" s="2898">
        <v>0.30640000000000001</v>
      </c>
      <c r="M21" s="2895">
        <f>K21*L21</f>
        <v>2472.9544000000001</v>
      </c>
      <c r="N21" s="2899">
        <v>0.99909999999999999</v>
      </c>
      <c r="O21" s="2895">
        <f>M21*N21</f>
        <v>2470.7287410399999</v>
      </c>
      <c r="P21" s="2895">
        <f>O21*2.75</f>
        <v>6794.5040378599997</v>
      </c>
      <c r="Q21" s="2895">
        <f>M21*(1-N21)</f>
        <v>2.2256589600000294</v>
      </c>
      <c r="R21" s="2895">
        <f>K21*(1-L21)</f>
        <v>5598.0456000000004</v>
      </c>
      <c r="S21" s="2898">
        <v>0.1</v>
      </c>
      <c r="T21" s="2895">
        <f>R21*S21</f>
        <v>559.80456000000004</v>
      </c>
      <c r="U21" s="2895">
        <f>R21-T21</f>
        <v>5038.2410400000008</v>
      </c>
      <c r="V21" s="2895">
        <f>U21+Q21</f>
        <v>5040.4666989600009</v>
      </c>
      <c r="W21" s="2895">
        <f>V21*D84</f>
        <v>141133.06757088003</v>
      </c>
      <c r="X21" s="2900">
        <f>J21+W21</f>
        <v>163283.06757088003</v>
      </c>
      <c r="Y21" s="327"/>
      <c r="Z21" s="327"/>
      <c r="AA21" s="327"/>
    </row>
    <row r="22" spans="1:27" ht="15" customHeight="1" x14ac:dyDescent="0.2">
      <c r="A22" s="327"/>
      <c r="B22" s="2835"/>
      <c r="C22" s="2843"/>
      <c r="D22" s="2844"/>
      <c r="E22" s="2857"/>
      <c r="F22" s="2845"/>
      <c r="G22" s="2859"/>
      <c r="H22" s="2854"/>
      <c r="I22" s="2847"/>
      <c r="J22" s="2862"/>
      <c r="K22" s="2862"/>
      <c r="L22" s="2838"/>
      <c r="M22" s="2845"/>
      <c r="N22" s="2838"/>
      <c r="O22" s="2845"/>
      <c r="P22" s="2870"/>
      <c r="Q22" s="2845"/>
      <c r="R22" s="2845"/>
      <c r="S22" s="2846"/>
      <c r="T22" s="2870"/>
      <c r="U22" s="2845"/>
      <c r="V22" s="2845"/>
      <c r="W22" s="2845"/>
      <c r="X22" s="2867"/>
      <c r="Y22" s="327"/>
      <c r="Z22" s="327"/>
      <c r="AA22" s="327"/>
    </row>
    <row r="23" spans="1:27" ht="15" customHeight="1" x14ac:dyDescent="0.2">
      <c r="A23" s="327"/>
      <c r="B23" s="2837" t="s">
        <v>1884</v>
      </c>
      <c r="C23" s="2892" t="s">
        <v>2108</v>
      </c>
      <c r="D23" s="2894">
        <v>22.812999999999999</v>
      </c>
      <c r="E23" s="2874">
        <f>D23*1000000*0.9071847</f>
        <v>20695604.561099999</v>
      </c>
      <c r="F23" s="2895">
        <v>250000</v>
      </c>
      <c r="G23" s="2875">
        <f>F23*0.9071847</f>
        <v>226796.17499999999</v>
      </c>
      <c r="H23" s="2876">
        <v>1982</v>
      </c>
      <c r="I23" s="2896">
        <v>2033</v>
      </c>
      <c r="J23" s="2897">
        <f>18110</f>
        <v>18110</v>
      </c>
      <c r="K23" s="2897">
        <f>9498</f>
        <v>9498</v>
      </c>
      <c r="L23" s="2898">
        <v>0.66739999999999999</v>
      </c>
      <c r="M23" s="2895">
        <f t="shared" ref="M23:M24" si="11">K23*L23</f>
        <v>6338.9651999999996</v>
      </c>
      <c r="N23" s="2898">
        <v>0.98</v>
      </c>
      <c r="O23" s="2895">
        <f t="shared" ref="O23:O24" si="12">M23*N23</f>
        <v>6212.185896</v>
      </c>
      <c r="P23" s="2879">
        <f t="shared" ref="P23:P24" si="13">O23*2.75</f>
        <v>17083.511213999998</v>
      </c>
      <c r="Q23" s="2895">
        <f t="shared" ref="Q23:Q24" si="14">M23*(1-N23)</f>
        <v>126.77930400000011</v>
      </c>
      <c r="R23" s="2895">
        <f t="shared" ref="R23:R24" si="15">K23*(1-L23)</f>
        <v>3159.0347999999999</v>
      </c>
      <c r="S23" s="2898">
        <v>0.1</v>
      </c>
      <c r="T23" s="2895">
        <f t="shared" ref="T23:T24" si="16">R23*S23</f>
        <v>315.90348</v>
      </c>
      <c r="U23" s="2895">
        <f t="shared" ref="U23:U24" si="17">R23-T23</f>
        <v>2843.13132</v>
      </c>
      <c r="V23" s="2895">
        <f t="shared" ref="V23:V24" si="18">U23+Q23</f>
        <v>2969.9106240000001</v>
      </c>
      <c r="W23" s="2895">
        <f>V23*D84</f>
        <v>83157.497472000003</v>
      </c>
      <c r="X23" s="2900">
        <f t="shared" ref="X23:X24" si="19">J23+P23+W23</f>
        <v>118351.008686</v>
      </c>
      <c r="Y23" s="327"/>
      <c r="Z23" s="327"/>
      <c r="AA23" s="327"/>
    </row>
    <row r="24" spans="1:27" ht="15" customHeight="1" x14ac:dyDescent="0.2">
      <c r="A24" s="327"/>
      <c r="B24" s="2835"/>
      <c r="C24" s="2893" t="s">
        <v>1885</v>
      </c>
      <c r="D24" s="2912"/>
      <c r="E24" s="2882">
        <v>7259745.9500000002</v>
      </c>
      <c r="F24" s="2901"/>
      <c r="G24" s="2884"/>
      <c r="H24" s="2885"/>
      <c r="I24" s="2902"/>
      <c r="J24" s="2903">
        <f>10960</f>
        <v>10960</v>
      </c>
      <c r="K24" s="2903">
        <f>3995</f>
        <v>3995</v>
      </c>
      <c r="L24" s="2904">
        <v>0.46139999999999998</v>
      </c>
      <c r="M24" s="2901">
        <f t="shared" si="11"/>
        <v>1843.2929999999999</v>
      </c>
      <c r="N24" s="2904">
        <v>0.98</v>
      </c>
      <c r="O24" s="2901">
        <f t="shared" si="12"/>
        <v>1806.4271399999998</v>
      </c>
      <c r="P24" s="2890">
        <f t="shared" si="13"/>
        <v>4967.6746349999994</v>
      </c>
      <c r="Q24" s="2901">
        <f t="shared" si="14"/>
        <v>36.865860000000033</v>
      </c>
      <c r="R24" s="2901">
        <f t="shared" si="15"/>
        <v>2151.7069999999999</v>
      </c>
      <c r="S24" s="2904">
        <v>0.1</v>
      </c>
      <c r="T24" s="2901">
        <f t="shared" si="16"/>
        <v>215.17070000000001</v>
      </c>
      <c r="U24" s="2901">
        <f t="shared" si="17"/>
        <v>1936.5362999999998</v>
      </c>
      <c r="V24" s="2901">
        <f t="shared" si="18"/>
        <v>1973.4021599999999</v>
      </c>
      <c r="W24" s="2901">
        <f>V24*D84</f>
        <v>55255.260479999997</v>
      </c>
      <c r="X24" s="2913">
        <f t="shared" si="19"/>
        <v>71182.935115</v>
      </c>
      <c r="Y24" s="327"/>
      <c r="Z24" s="327"/>
      <c r="AA24" s="327"/>
    </row>
    <row r="25" spans="1:27" ht="15" customHeight="1" x14ac:dyDescent="0.2">
      <c r="A25" s="327"/>
      <c r="B25" s="2835"/>
      <c r="C25" s="2648"/>
      <c r="D25" s="2839"/>
      <c r="E25" s="2857"/>
      <c r="F25" s="2840"/>
      <c r="G25" s="2859"/>
      <c r="H25" s="2854"/>
      <c r="I25" s="2841"/>
      <c r="J25" s="2862"/>
      <c r="K25" s="2862"/>
      <c r="L25" s="2842"/>
      <c r="M25" s="2840"/>
      <c r="N25" s="2842"/>
      <c r="O25" s="2840"/>
      <c r="P25" s="2869"/>
      <c r="Q25" s="2840"/>
      <c r="R25" s="2840"/>
      <c r="S25" s="2836"/>
      <c r="T25" s="2872"/>
      <c r="U25" s="2845"/>
      <c r="V25" s="2840"/>
      <c r="W25" s="2840"/>
      <c r="X25" s="2866"/>
      <c r="Y25" s="327"/>
      <c r="Z25" s="327"/>
      <c r="AA25" s="327"/>
    </row>
    <row r="26" spans="1:27" ht="15" customHeight="1" x14ac:dyDescent="0.2">
      <c r="A26" s="327"/>
      <c r="B26" s="2837" t="s">
        <v>791</v>
      </c>
      <c r="C26" s="2648" t="s">
        <v>2109</v>
      </c>
      <c r="D26" s="2839">
        <v>2.7992900000000001</v>
      </c>
      <c r="E26" s="2857">
        <f t="shared" ref="E26:E27" si="20">D26*1000000*0.9071847</f>
        <v>2539473.058863</v>
      </c>
      <c r="F26" s="2840">
        <v>20000</v>
      </c>
      <c r="G26" s="2859">
        <f t="shared" ref="G26:G27" si="21">F26*0.9071847</f>
        <v>18143.694</v>
      </c>
      <c r="H26" s="2854">
        <v>1992</v>
      </c>
      <c r="I26" s="2841">
        <v>2037</v>
      </c>
      <c r="J26" s="2862">
        <f>1520</f>
        <v>1520</v>
      </c>
      <c r="K26" s="2862">
        <f>554.1</f>
        <v>554.1</v>
      </c>
      <c r="L26" s="2842"/>
      <c r="M26" s="2840"/>
      <c r="N26" s="2842"/>
      <c r="O26" s="2840"/>
      <c r="P26" s="2869"/>
      <c r="Q26" s="2840"/>
      <c r="R26" s="2840">
        <f t="shared" ref="R26:R27" si="22">K26</f>
        <v>554.1</v>
      </c>
      <c r="S26" s="2842">
        <v>0.1</v>
      </c>
      <c r="T26" s="2872">
        <f t="shared" ref="T26:T27" si="23">R26*S26</f>
        <v>55.410000000000004</v>
      </c>
      <c r="U26" s="2845">
        <f t="shared" ref="U26:U27" si="24">R26-T26</f>
        <v>498.69</v>
      </c>
      <c r="V26" s="2840">
        <f t="shared" ref="V26:V27" si="25">U26</f>
        <v>498.69</v>
      </c>
      <c r="W26" s="2840">
        <f>V26*D84</f>
        <v>13963.32</v>
      </c>
      <c r="X26" s="2866">
        <f t="shared" ref="X26:X27" si="26">J26+W26</f>
        <v>15483.32</v>
      </c>
      <c r="Y26" s="327"/>
      <c r="Z26" s="327"/>
      <c r="AA26" s="327"/>
    </row>
    <row r="27" spans="1:27" ht="15" customHeight="1" x14ac:dyDescent="0.2">
      <c r="A27" s="327"/>
      <c r="B27" s="2835"/>
      <c r="C27" s="2648" t="s">
        <v>1886</v>
      </c>
      <c r="D27" s="2839">
        <v>0.6</v>
      </c>
      <c r="E27" s="2857">
        <f t="shared" si="20"/>
        <v>544310.81999999995</v>
      </c>
      <c r="F27" s="2840">
        <v>28000</v>
      </c>
      <c r="G27" s="2859">
        <f t="shared" si="21"/>
        <v>25401.171599999998</v>
      </c>
      <c r="H27" s="2854">
        <v>1975</v>
      </c>
      <c r="I27" s="2841">
        <v>1993</v>
      </c>
      <c r="J27" s="2862">
        <f>1127</f>
        <v>1127</v>
      </c>
      <c r="K27" s="2862">
        <f>410.9</f>
        <v>410.9</v>
      </c>
      <c r="L27" s="2842"/>
      <c r="M27" s="2840"/>
      <c r="N27" s="2842"/>
      <c r="O27" s="2840"/>
      <c r="P27" s="2869"/>
      <c r="Q27" s="2840"/>
      <c r="R27" s="2840">
        <f t="shared" si="22"/>
        <v>410.9</v>
      </c>
      <c r="S27" s="2842">
        <v>0.1</v>
      </c>
      <c r="T27" s="2872">
        <f t="shared" si="23"/>
        <v>41.09</v>
      </c>
      <c r="U27" s="2845">
        <f t="shared" si="24"/>
        <v>369.80999999999995</v>
      </c>
      <c r="V27" s="2840">
        <f t="shared" si="25"/>
        <v>369.80999999999995</v>
      </c>
      <c r="W27" s="2840">
        <f>V27*D84</f>
        <v>10354.679999999998</v>
      </c>
      <c r="X27" s="2866">
        <f t="shared" si="26"/>
        <v>11481.679999999998</v>
      </c>
      <c r="Y27" s="327"/>
      <c r="Z27" s="327"/>
      <c r="AA27" s="327"/>
    </row>
    <row r="28" spans="1:27" ht="15" customHeight="1" x14ac:dyDescent="0.2">
      <c r="A28" s="327"/>
      <c r="B28" s="2835"/>
      <c r="C28" s="2648"/>
      <c r="D28" s="2839"/>
      <c r="E28" s="2857"/>
      <c r="F28" s="2840"/>
      <c r="G28" s="2859"/>
      <c r="H28" s="2854"/>
      <c r="I28" s="2841"/>
      <c r="J28" s="2862"/>
      <c r="K28" s="2862"/>
      <c r="L28" s="2842"/>
      <c r="M28" s="2840"/>
      <c r="N28" s="2842"/>
      <c r="O28" s="2840"/>
      <c r="P28" s="2869"/>
      <c r="Q28" s="2840"/>
      <c r="R28" s="2840"/>
      <c r="S28" s="2836"/>
      <c r="T28" s="2872"/>
      <c r="U28" s="2845"/>
      <c r="V28" s="2840"/>
      <c r="W28" s="2840"/>
      <c r="X28" s="2866"/>
      <c r="Y28" s="327"/>
      <c r="Z28" s="327"/>
      <c r="AA28" s="327"/>
    </row>
    <row r="29" spans="1:27" ht="15" customHeight="1" x14ac:dyDescent="0.2">
      <c r="A29" s="327"/>
      <c r="B29" s="2837" t="s">
        <v>792</v>
      </c>
      <c r="C29" s="2892" t="s">
        <v>1887</v>
      </c>
      <c r="D29" s="2894">
        <f>3487273/1000000</f>
        <v>3.4872730000000001</v>
      </c>
      <c r="E29" s="2874"/>
      <c r="F29" s="2895"/>
      <c r="G29" s="2875"/>
      <c r="H29" s="2876">
        <v>1953</v>
      </c>
      <c r="I29" s="2896">
        <v>2010</v>
      </c>
      <c r="J29" s="2877">
        <f>8021</f>
        <v>8021</v>
      </c>
      <c r="K29" s="2877">
        <f>2923</f>
        <v>2923</v>
      </c>
      <c r="L29" s="2898">
        <v>0.50960000000000005</v>
      </c>
      <c r="M29" s="2895">
        <f>K29*L29</f>
        <v>1489.5608000000002</v>
      </c>
      <c r="N29" s="2898">
        <v>0.98</v>
      </c>
      <c r="O29" s="2895">
        <f>M29*N29</f>
        <v>1459.7695840000001</v>
      </c>
      <c r="P29" s="2879">
        <f>O29*2.75</f>
        <v>4014.3663560000005</v>
      </c>
      <c r="Q29" s="2895">
        <f>M29*(1-N29)</f>
        <v>29.791216000000031</v>
      </c>
      <c r="R29" s="2895">
        <f>K29*(1-L29)</f>
        <v>1433.4391999999998</v>
      </c>
      <c r="S29" s="2898">
        <v>0.1</v>
      </c>
      <c r="T29" s="2895">
        <f>R29*S29</f>
        <v>143.34392</v>
      </c>
      <c r="U29" s="2895">
        <f>R29-T29</f>
        <v>1290.0952799999998</v>
      </c>
      <c r="V29" s="2895">
        <f>U29+Q29</f>
        <v>1319.8864959999999</v>
      </c>
      <c r="W29" s="2895">
        <f>V29*D84</f>
        <v>36956.821887999999</v>
      </c>
      <c r="X29" s="2900">
        <f>J29+P29+W29</f>
        <v>48992.188243999997</v>
      </c>
      <c r="Y29" s="327"/>
      <c r="Z29" s="327"/>
      <c r="AA29" s="327"/>
    </row>
    <row r="30" spans="1:27" ht="15" customHeight="1" x14ac:dyDescent="0.2">
      <c r="A30" s="327"/>
      <c r="B30" s="2835"/>
      <c r="C30" s="2648"/>
      <c r="D30" s="2839"/>
      <c r="E30" s="2857"/>
      <c r="F30" s="2840"/>
      <c r="G30" s="2859"/>
      <c r="H30" s="2854"/>
      <c r="I30" s="2841"/>
      <c r="J30" s="2862"/>
      <c r="K30" s="2862"/>
      <c r="L30" s="2842"/>
      <c r="M30" s="2840"/>
      <c r="N30" s="2842"/>
      <c r="O30" s="2840"/>
      <c r="P30" s="2869"/>
      <c r="Q30" s="2840"/>
      <c r="R30" s="2840"/>
      <c r="S30" s="2836"/>
      <c r="T30" s="2872"/>
      <c r="U30" s="2845"/>
      <c r="V30" s="2840"/>
      <c r="W30" s="2840"/>
      <c r="X30" s="2866"/>
      <c r="Y30" s="327"/>
      <c r="Z30" s="327"/>
      <c r="AA30" s="327"/>
    </row>
    <row r="31" spans="1:27" ht="15" customHeight="1" x14ac:dyDescent="0.2">
      <c r="A31" s="327"/>
      <c r="B31" s="2837" t="s">
        <v>793</v>
      </c>
      <c r="C31" s="2648" t="s">
        <v>1888</v>
      </c>
      <c r="D31" s="2648">
        <v>0.5</v>
      </c>
      <c r="E31" s="2857">
        <f t="shared" ref="E31:E32" si="27">D31*1000000*0.9071847</f>
        <v>453592.35</v>
      </c>
      <c r="F31" s="2840">
        <v>35000</v>
      </c>
      <c r="G31" s="2859">
        <f t="shared" ref="G31:G32" si="28">F31*0.9071847</f>
        <v>31751.464499999998</v>
      </c>
      <c r="H31" s="2854">
        <v>1981</v>
      </c>
      <c r="I31" s="2841">
        <v>1994</v>
      </c>
      <c r="J31" s="2862">
        <f>1009</f>
        <v>1009</v>
      </c>
      <c r="K31" s="2862">
        <f>367.8</f>
        <v>367.8</v>
      </c>
      <c r="L31" s="2842"/>
      <c r="M31" s="2840"/>
      <c r="N31" s="2842"/>
      <c r="O31" s="2840"/>
      <c r="P31" s="2869"/>
      <c r="Q31" s="2840"/>
      <c r="R31" s="2840">
        <f>K31</f>
        <v>367.8</v>
      </c>
      <c r="S31" s="2842">
        <v>0.1</v>
      </c>
      <c r="T31" s="2872">
        <f t="shared" ref="T31:T32" si="29">R31*S31</f>
        <v>36.78</v>
      </c>
      <c r="U31" s="2845">
        <f t="shared" ref="U31:U32" si="30">R31-T31</f>
        <v>331.02</v>
      </c>
      <c r="V31" s="2840">
        <f t="shared" ref="V31:V32" si="31">U31</f>
        <v>331.02</v>
      </c>
      <c r="W31" s="2840">
        <f>V31*D84</f>
        <v>9268.56</v>
      </c>
      <c r="X31" s="2866">
        <f t="shared" ref="X31:X32" si="32">J31+W31</f>
        <v>10277.56</v>
      </c>
      <c r="Y31" s="327"/>
      <c r="Z31" s="327"/>
      <c r="AA31" s="327"/>
    </row>
    <row r="32" spans="1:27" ht="15" customHeight="1" x14ac:dyDescent="0.2">
      <c r="A32" s="327"/>
      <c r="B32" s="2835"/>
      <c r="C32" s="2880" t="s">
        <v>1889</v>
      </c>
      <c r="D32" s="2881">
        <v>3.5041869999999999</v>
      </c>
      <c r="E32" s="2882">
        <f t="shared" si="27"/>
        <v>3178944.8323388998</v>
      </c>
      <c r="F32" s="2883">
        <v>80000</v>
      </c>
      <c r="G32" s="2884">
        <f t="shared" si="28"/>
        <v>72574.775999999998</v>
      </c>
      <c r="H32" s="2885">
        <v>1988</v>
      </c>
      <c r="I32" s="2886">
        <v>2053</v>
      </c>
      <c r="J32" s="2887">
        <f>3994</f>
        <v>3994</v>
      </c>
      <c r="K32" s="2887">
        <f>1456</f>
        <v>1456</v>
      </c>
      <c r="L32" s="2888">
        <v>0.18709999999999999</v>
      </c>
      <c r="M32" s="2883">
        <f>K32*L32</f>
        <v>272.41759999999999</v>
      </c>
      <c r="N32" s="2889">
        <v>0.97699999999999998</v>
      </c>
      <c r="O32" s="2883">
        <f>M32*N32</f>
        <v>266.15199519999999</v>
      </c>
      <c r="P32" s="2890">
        <f>O32*2.75</f>
        <v>731.91798679999999</v>
      </c>
      <c r="Q32" s="2883">
        <f>M32*(1-N32)</f>
        <v>6.2656048000000055</v>
      </c>
      <c r="R32" s="2883">
        <f>K32*(1-L32)</f>
        <v>1183.5824</v>
      </c>
      <c r="S32" s="2889">
        <v>0.1</v>
      </c>
      <c r="T32" s="2883">
        <f t="shared" si="29"/>
        <v>118.35824000000001</v>
      </c>
      <c r="U32" s="2883">
        <f t="shared" si="30"/>
        <v>1065.22416</v>
      </c>
      <c r="V32" s="2883">
        <f t="shared" si="31"/>
        <v>1065.22416</v>
      </c>
      <c r="W32" s="2883">
        <f>V32*D84</f>
        <v>29826.27648</v>
      </c>
      <c r="X32" s="2891">
        <f t="shared" si="32"/>
        <v>33820.27648</v>
      </c>
      <c r="Y32" s="327"/>
      <c r="Z32" s="327"/>
      <c r="AA32" s="327"/>
    </row>
    <row r="33" spans="1:27" ht="15" customHeight="1" x14ac:dyDescent="0.2">
      <c r="A33" s="327"/>
      <c r="B33" s="2835"/>
      <c r="C33" s="2648"/>
      <c r="D33" s="2839"/>
      <c r="E33" s="2857"/>
      <c r="F33" s="2840"/>
      <c r="G33" s="2859"/>
      <c r="H33" s="2854"/>
      <c r="I33" s="2841"/>
      <c r="J33" s="2862"/>
      <c r="K33" s="2862"/>
      <c r="L33" s="2842"/>
      <c r="M33" s="2840"/>
      <c r="N33" s="2842"/>
      <c r="O33" s="2840"/>
      <c r="P33" s="2869"/>
      <c r="Q33" s="2840"/>
      <c r="R33" s="2840"/>
      <c r="S33" s="2836"/>
      <c r="T33" s="2872"/>
      <c r="U33" s="2845"/>
      <c r="V33" s="2840"/>
      <c r="W33" s="2840"/>
      <c r="X33" s="2866"/>
      <c r="Y33" s="327"/>
      <c r="Z33" s="327"/>
      <c r="AA33" s="327"/>
    </row>
    <row r="34" spans="1:27" ht="15" customHeight="1" x14ac:dyDescent="0.2">
      <c r="A34" s="327"/>
      <c r="B34" s="2837" t="s">
        <v>794</v>
      </c>
      <c r="C34" s="2880" t="s">
        <v>1890</v>
      </c>
      <c r="D34" s="2881">
        <v>4.5049999999999999</v>
      </c>
      <c r="E34" s="2882">
        <f>D34*1000000*0.9071847</f>
        <v>4086867.0734999999</v>
      </c>
      <c r="F34" s="2883"/>
      <c r="G34" s="2884">
        <v>60623.332999999999</v>
      </c>
      <c r="H34" s="2885">
        <v>1978</v>
      </c>
      <c r="I34" s="2886">
        <v>2046</v>
      </c>
      <c r="J34" s="2887">
        <f>13070</f>
        <v>13070</v>
      </c>
      <c r="K34" s="2887">
        <f>4763</f>
        <v>4763</v>
      </c>
      <c r="L34" s="2888">
        <v>0.53190000000000004</v>
      </c>
      <c r="M34" s="2883">
        <f>K34*L34</f>
        <v>2533.4397000000004</v>
      </c>
      <c r="N34" s="2889">
        <v>0.98</v>
      </c>
      <c r="O34" s="2883">
        <f>M34*N34</f>
        <v>2482.7709060000002</v>
      </c>
      <c r="P34" s="2890">
        <f>O34*2.75</f>
        <v>6827.6199915000007</v>
      </c>
      <c r="Q34" s="2883">
        <f>M34*(1-N34)</f>
        <v>50.668794000000055</v>
      </c>
      <c r="R34" s="2883">
        <f>K34*(1-L34)</f>
        <v>2229.5602999999996</v>
      </c>
      <c r="S34" s="2889">
        <v>0.1</v>
      </c>
      <c r="T34" s="2883">
        <f>R34*S34</f>
        <v>222.95602999999997</v>
      </c>
      <c r="U34" s="2883">
        <f>R34-T34</f>
        <v>2006.6042699999996</v>
      </c>
      <c r="V34" s="2883">
        <f>U34+Q34</f>
        <v>2057.2730639999995</v>
      </c>
      <c r="W34" s="2883">
        <f>V34*D84</f>
        <v>57603.645791999988</v>
      </c>
      <c r="X34" s="2891">
        <f>J34+P34+W34</f>
        <v>77501.265783499985</v>
      </c>
      <c r="Y34" s="327"/>
      <c r="Z34" s="327"/>
      <c r="AA34" s="327"/>
    </row>
    <row r="35" spans="1:27" ht="15" customHeight="1" x14ac:dyDescent="0.2">
      <c r="A35" s="327"/>
      <c r="B35" s="2835"/>
      <c r="C35" s="2648"/>
      <c r="D35" s="2839"/>
      <c r="E35" s="2857"/>
      <c r="F35" s="2840"/>
      <c r="G35" s="2859"/>
      <c r="H35" s="2854"/>
      <c r="I35" s="2841"/>
      <c r="J35" s="2862"/>
      <c r="K35" s="2862"/>
      <c r="L35" s="2842"/>
      <c r="M35" s="2840"/>
      <c r="N35" s="2842"/>
      <c r="O35" s="2840"/>
      <c r="P35" s="2869"/>
      <c r="Q35" s="2840"/>
      <c r="R35" s="2840"/>
      <c r="S35" s="2836"/>
      <c r="T35" s="2872"/>
      <c r="U35" s="2845"/>
      <c r="V35" s="2840"/>
      <c r="W35" s="2840"/>
      <c r="X35" s="2866"/>
      <c r="Y35" s="327"/>
      <c r="Z35" s="327"/>
      <c r="AA35" s="327"/>
    </row>
    <row r="36" spans="1:27" ht="15" customHeight="1" x14ac:dyDescent="0.2">
      <c r="A36" s="327"/>
      <c r="B36" s="2837" t="s">
        <v>795</v>
      </c>
      <c r="C36" s="2880" t="s">
        <v>1891</v>
      </c>
      <c r="D36" s="2881">
        <v>4.3746999999999998</v>
      </c>
      <c r="E36" s="2882">
        <f t="shared" ref="E36:E37" si="33">D36*1000000*0.9071847</f>
        <v>3968660.9070899999</v>
      </c>
      <c r="F36" s="2883">
        <v>82000</v>
      </c>
      <c r="G36" s="2884">
        <f t="shared" ref="G36:G37" si="34">F36*0.9071847</f>
        <v>74389.145399999994</v>
      </c>
      <c r="H36" s="2885">
        <v>1994</v>
      </c>
      <c r="I36" s="2886">
        <v>2040</v>
      </c>
      <c r="J36" s="2887">
        <f>8971</f>
        <v>8971</v>
      </c>
      <c r="K36" s="2887">
        <f>3270</f>
        <v>3270</v>
      </c>
      <c r="L36" s="2888">
        <v>0.98409999999999997</v>
      </c>
      <c r="M36" s="2883">
        <f>K36*L36</f>
        <v>3218.0070000000001</v>
      </c>
      <c r="N36" s="2889">
        <v>0.98</v>
      </c>
      <c r="O36" s="2883">
        <f>M36*N36</f>
        <v>3153.6468599999998</v>
      </c>
      <c r="P36" s="2890">
        <f>O36*2.75</f>
        <v>8672.5288650000002</v>
      </c>
      <c r="Q36" s="2883">
        <f>M36*(1-N36)</f>
        <v>64.360140000000058</v>
      </c>
      <c r="R36" s="2883">
        <f>K36*(1-L36)</f>
        <v>51.99300000000008</v>
      </c>
      <c r="S36" s="2889">
        <v>0.1</v>
      </c>
      <c r="T36" s="2883">
        <f t="shared" ref="T36:T37" si="35">R36*S36</f>
        <v>5.199300000000008</v>
      </c>
      <c r="U36" s="2883">
        <f t="shared" ref="U36:U37" si="36">R36-T36</f>
        <v>46.793700000000072</v>
      </c>
      <c r="V36" s="2883">
        <f t="shared" ref="V36:V37" si="37">U36</f>
        <v>46.793700000000072</v>
      </c>
      <c r="W36" s="2883">
        <f>V36*D84</f>
        <v>1310.2236000000021</v>
      </c>
      <c r="X36" s="2891">
        <f t="shared" ref="X36:X37" si="38">J36+W36</f>
        <v>10281.223600000001</v>
      </c>
      <c r="Y36" s="327"/>
      <c r="Z36" s="327"/>
      <c r="AA36" s="327"/>
    </row>
    <row r="37" spans="1:27" ht="15" customHeight="1" x14ac:dyDescent="0.2">
      <c r="A37" s="327"/>
      <c r="B37" s="2835"/>
      <c r="C37" s="2648" t="s">
        <v>1892</v>
      </c>
      <c r="D37" s="2839">
        <v>1.5</v>
      </c>
      <c r="E37" s="2857">
        <f t="shared" si="33"/>
        <v>1360777.05</v>
      </c>
      <c r="F37" s="2840">
        <v>75000</v>
      </c>
      <c r="G37" s="2859">
        <f t="shared" si="34"/>
        <v>68038.852499999994</v>
      </c>
      <c r="H37" s="2854">
        <v>1974</v>
      </c>
      <c r="I37" s="2841">
        <v>1994</v>
      </c>
      <c r="J37" s="2862">
        <f>3163</f>
        <v>3163</v>
      </c>
      <c r="K37" s="2862">
        <f>1153</f>
        <v>1153</v>
      </c>
      <c r="L37" s="2842"/>
      <c r="M37" s="2840"/>
      <c r="N37" s="2842"/>
      <c r="O37" s="2840"/>
      <c r="P37" s="2869"/>
      <c r="Q37" s="2840"/>
      <c r="R37" s="2840">
        <f>K37</f>
        <v>1153</v>
      </c>
      <c r="S37" s="2842">
        <v>0.1</v>
      </c>
      <c r="T37" s="2872">
        <f t="shared" si="35"/>
        <v>115.30000000000001</v>
      </c>
      <c r="U37" s="2845">
        <f t="shared" si="36"/>
        <v>1037.7</v>
      </c>
      <c r="V37" s="2840">
        <f t="shared" si="37"/>
        <v>1037.7</v>
      </c>
      <c r="W37" s="2840">
        <f>V37*D84</f>
        <v>29055.600000000002</v>
      </c>
      <c r="X37" s="2866">
        <f t="shared" si="38"/>
        <v>32218.600000000002</v>
      </c>
      <c r="Y37" s="327"/>
      <c r="Z37" s="327"/>
      <c r="AA37" s="327"/>
    </row>
    <row r="38" spans="1:27" ht="15" customHeight="1" x14ac:dyDescent="0.2">
      <c r="A38" s="327"/>
      <c r="B38" s="2835"/>
      <c r="C38" s="2648"/>
      <c r="D38" s="2839"/>
      <c r="E38" s="2857"/>
      <c r="F38" s="2840"/>
      <c r="G38" s="2859"/>
      <c r="H38" s="2854"/>
      <c r="I38" s="2841"/>
      <c r="J38" s="2862"/>
      <c r="K38" s="2862"/>
      <c r="L38" s="2842"/>
      <c r="M38" s="2840"/>
      <c r="N38" s="2842"/>
      <c r="O38" s="2840"/>
      <c r="P38" s="2869"/>
      <c r="Q38" s="2840"/>
      <c r="R38" s="2840"/>
      <c r="S38" s="2836"/>
      <c r="T38" s="2872"/>
      <c r="U38" s="2845"/>
      <c r="V38" s="2840"/>
      <c r="W38" s="2840"/>
      <c r="X38" s="2866"/>
      <c r="Y38" s="327"/>
      <c r="Z38" s="327"/>
      <c r="AA38" s="327"/>
    </row>
    <row r="39" spans="1:27" ht="15" customHeight="1" x14ac:dyDescent="0.2">
      <c r="A39" s="327"/>
      <c r="B39" s="2837" t="s">
        <v>1893</v>
      </c>
      <c r="C39" s="2648" t="s">
        <v>1894</v>
      </c>
      <c r="D39" s="2839">
        <v>0.8</v>
      </c>
      <c r="E39" s="2857">
        <f t="shared" ref="E39:E40" si="39">D39*1000000*0.9071847</f>
        <v>725747.76</v>
      </c>
      <c r="F39" s="2840">
        <v>35000</v>
      </c>
      <c r="G39" s="2859">
        <f>F39*0.9071847</f>
        <v>31751.464499999998</v>
      </c>
      <c r="H39" s="2854">
        <v>1973</v>
      </c>
      <c r="I39" s="2841">
        <v>1995</v>
      </c>
      <c r="J39" s="2862">
        <f>984.2</f>
        <v>984.2</v>
      </c>
      <c r="K39" s="2862">
        <f>358.7</f>
        <v>358.7</v>
      </c>
      <c r="L39" s="2842"/>
      <c r="M39" s="2840"/>
      <c r="N39" s="2842"/>
      <c r="O39" s="2840"/>
      <c r="P39" s="2869"/>
      <c r="Q39" s="2840"/>
      <c r="R39" s="2840">
        <f>K39</f>
        <v>358.7</v>
      </c>
      <c r="S39" s="2842">
        <v>0.1</v>
      </c>
      <c r="T39" s="2872">
        <f t="shared" ref="T39:T40" si="40">R39*S39</f>
        <v>35.869999999999997</v>
      </c>
      <c r="U39" s="2845">
        <f t="shared" ref="U39:U44" si="41">R39-T39</f>
        <v>322.83</v>
      </c>
      <c r="V39" s="2840">
        <f t="shared" ref="V39:V40" si="42">U39</f>
        <v>322.83</v>
      </c>
      <c r="W39" s="2840">
        <f>V39*D84</f>
        <v>9039.24</v>
      </c>
      <c r="X39" s="2866">
        <f t="shared" ref="X39:X40" si="43">J39+W39</f>
        <v>10023.44</v>
      </c>
      <c r="Y39" s="327"/>
      <c r="Z39" s="327"/>
      <c r="AA39" s="327"/>
    </row>
    <row r="40" spans="1:27" ht="15" customHeight="1" x14ac:dyDescent="0.2">
      <c r="A40" s="327"/>
      <c r="B40" s="2835"/>
      <c r="C40" s="2880" t="s">
        <v>1895</v>
      </c>
      <c r="D40" s="2881">
        <v>4.0999999999999996</v>
      </c>
      <c r="E40" s="2882">
        <f t="shared" si="39"/>
        <v>3719457.2699999996</v>
      </c>
      <c r="F40" s="2883"/>
      <c r="G40" s="2884"/>
      <c r="H40" s="2885">
        <v>1996</v>
      </c>
      <c r="I40" s="2886">
        <v>2010</v>
      </c>
      <c r="J40" s="2882">
        <f>6332</f>
        <v>6332</v>
      </c>
      <c r="K40" s="2882">
        <f>2308</f>
        <v>2308</v>
      </c>
      <c r="L40" s="2889">
        <v>0.27350000000000002</v>
      </c>
      <c r="M40" s="2883">
        <f>K40*L40</f>
        <v>631.23800000000006</v>
      </c>
      <c r="N40" s="2889">
        <v>0.99</v>
      </c>
      <c r="O40" s="2883">
        <f>M40*N40</f>
        <v>624.92562000000009</v>
      </c>
      <c r="P40" s="2890">
        <f>O40*2.75</f>
        <v>1718.5454550000002</v>
      </c>
      <c r="Q40" s="2883">
        <f>M40*(1-N40)</f>
        <v>6.3123800000000063</v>
      </c>
      <c r="R40" s="2883">
        <f>K40*(1-L40)</f>
        <v>1676.7619999999997</v>
      </c>
      <c r="S40" s="2889">
        <v>0.1</v>
      </c>
      <c r="T40" s="2883">
        <f t="shared" si="40"/>
        <v>167.67619999999999</v>
      </c>
      <c r="U40" s="2883">
        <f t="shared" si="41"/>
        <v>1509.0857999999998</v>
      </c>
      <c r="V40" s="2883">
        <f t="shared" si="42"/>
        <v>1509.0857999999998</v>
      </c>
      <c r="W40" s="2883">
        <f>V40*D84</f>
        <v>42254.402399999992</v>
      </c>
      <c r="X40" s="2891">
        <f t="shared" si="43"/>
        <v>48586.402399999992</v>
      </c>
      <c r="Y40" s="327"/>
      <c r="Z40" s="327"/>
      <c r="AA40" s="327"/>
    </row>
    <row r="41" spans="1:27" ht="15" customHeight="1" x14ac:dyDescent="0.2">
      <c r="A41" s="327"/>
      <c r="B41" s="2835"/>
      <c r="C41" s="2648"/>
      <c r="D41" s="2839"/>
      <c r="E41" s="2857"/>
      <c r="F41" s="2840"/>
      <c r="G41" s="2859"/>
      <c r="H41" s="2854"/>
      <c r="I41" s="2841"/>
      <c r="J41" s="2862"/>
      <c r="K41" s="2862"/>
      <c r="L41" s="2842"/>
      <c r="M41" s="2840"/>
      <c r="N41" s="2842"/>
      <c r="O41" s="2840"/>
      <c r="P41" s="2869"/>
      <c r="Q41" s="2840"/>
      <c r="R41" s="2840"/>
      <c r="S41" s="2836"/>
      <c r="T41" s="2872"/>
      <c r="U41" s="2845">
        <f t="shared" si="41"/>
        <v>0</v>
      </c>
      <c r="V41" s="2840"/>
      <c r="W41" s="2840"/>
      <c r="X41" s="2866"/>
      <c r="Y41" s="327"/>
      <c r="Z41" s="327"/>
      <c r="AA41" s="327"/>
    </row>
    <row r="42" spans="1:27" ht="15" customHeight="1" x14ac:dyDescent="0.2">
      <c r="A42" s="327"/>
      <c r="B42" s="2837" t="s">
        <v>797</v>
      </c>
      <c r="C42" s="2648" t="s">
        <v>1896</v>
      </c>
      <c r="D42" s="2839">
        <v>1.0008999999999999</v>
      </c>
      <c r="E42" s="2857">
        <f t="shared" ref="E42:E44" si="44">D42*1000000*0.9071847</f>
        <v>908001.16622999986</v>
      </c>
      <c r="F42" s="2840"/>
      <c r="G42" s="2859">
        <f t="shared" ref="G42:G44" si="45">F42*0.9071847</f>
        <v>0</v>
      </c>
      <c r="H42" s="2854">
        <v>1991</v>
      </c>
      <c r="I42" s="2841">
        <v>2504</v>
      </c>
      <c r="J42" s="2862">
        <f>170.7</f>
        <v>170.7</v>
      </c>
      <c r="K42" s="2862">
        <f>62.23</f>
        <v>62.23</v>
      </c>
      <c r="L42" s="2842"/>
      <c r="M42" s="2840"/>
      <c r="N42" s="2842"/>
      <c r="O42" s="2840"/>
      <c r="P42" s="2869"/>
      <c r="Q42" s="2840"/>
      <c r="R42" s="2840">
        <f>K42</f>
        <v>62.23</v>
      </c>
      <c r="S42" s="2842">
        <v>0.1</v>
      </c>
      <c r="T42" s="2872">
        <f t="shared" ref="T42:T44" si="46">R42*S42</f>
        <v>6.2229999999999999</v>
      </c>
      <c r="U42" s="2845">
        <f t="shared" si="41"/>
        <v>56.006999999999998</v>
      </c>
      <c r="V42" s="2840">
        <f>U42</f>
        <v>56.006999999999998</v>
      </c>
      <c r="W42" s="2840">
        <f>V42*D84</f>
        <v>1568.1959999999999</v>
      </c>
      <c r="X42" s="2866">
        <f>J42+W42</f>
        <v>1738.896</v>
      </c>
      <c r="Y42" s="327"/>
      <c r="Z42" s="327"/>
      <c r="AA42" s="327"/>
    </row>
    <row r="43" spans="1:27" ht="15" customHeight="1" x14ac:dyDescent="0.2">
      <c r="A43" s="327"/>
      <c r="B43" s="2835"/>
      <c r="C43" s="2893" t="s">
        <v>2107</v>
      </c>
      <c r="D43" s="2912">
        <v>2.1</v>
      </c>
      <c r="E43" s="2882">
        <f t="shared" si="44"/>
        <v>1905087.8699999999</v>
      </c>
      <c r="F43" s="2901">
        <v>69200</v>
      </c>
      <c r="G43" s="2884">
        <f t="shared" si="45"/>
        <v>62777.181239999998</v>
      </c>
      <c r="H43" s="2885">
        <v>1968</v>
      </c>
      <c r="I43" s="2902">
        <v>1997</v>
      </c>
      <c r="J43" s="2887">
        <f>8568</f>
        <v>8568</v>
      </c>
      <c r="K43" s="2887">
        <f>3123</f>
        <v>3123</v>
      </c>
      <c r="L43" s="2888">
        <v>0.76619999999999999</v>
      </c>
      <c r="M43" s="2901">
        <f>K43*L43</f>
        <v>2392.8425999999999</v>
      </c>
      <c r="N43" s="2904">
        <v>0.98</v>
      </c>
      <c r="O43" s="2901">
        <f>M43*N43</f>
        <v>2344.9857480000001</v>
      </c>
      <c r="P43" s="2890">
        <f>O43*2.75</f>
        <v>6448.7108070000004</v>
      </c>
      <c r="Q43" s="2901">
        <f>M43*(1-N43)</f>
        <v>47.856852000000039</v>
      </c>
      <c r="R43" s="2901">
        <f>K43*(1-L43)</f>
        <v>730.15740000000005</v>
      </c>
      <c r="S43" s="2904">
        <v>0.1</v>
      </c>
      <c r="T43" s="2901">
        <f t="shared" si="46"/>
        <v>73.015740000000008</v>
      </c>
      <c r="U43" s="2901">
        <f t="shared" si="41"/>
        <v>657.14166</v>
      </c>
      <c r="V43" s="2901">
        <f>U43+Q43</f>
        <v>704.99851200000001</v>
      </c>
      <c r="W43" s="2901">
        <f>V43*D84</f>
        <v>19739.958336</v>
      </c>
      <c r="X43" s="2913">
        <f>J43+P43+W43</f>
        <v>34756.669142999999</v>
      </c>
      <c r="Y43" s="327"/>
      <c r="Z43" s="327"/>
      <c r="AA43" s="327"/>
    </row>
    <row r="44" spans="1:27" ht="15" customHeight="1" x14ac:dyDescent="0.2">
      <c r="A44" s="327"/>
      <c r="B44" s="2835"/>
      <c r="C44" s="2648" t="s">
        <v>2103</v>
      </c>
      <c r="D44" s="2839">
        <v>4.2261879999999996</v>
      </c>
      <c r="E44" s="2857">
        <f t="shared" si="44"/>
        <v>3833933.0929235998</v>
      </c>
      <c r="F44" s="2840">
        <v>100000</v>
      </c>
      <c r="G44" s="2859">
        <f t="shared" si="45"/>
        <v>90718.47</v>
      </c>
      <c r="H44" s="2854">
        <v>1995</v>
      </c>
      <c r="I44" s="2841">
        <v>2045</v>
      </c>
      <c r="J44" s="2862">
        <f>1016</f>
        <v>1016</v>
      </c>
      <c r="K44" s="2862">
        <f>401</f>
        <v>401</v>
      </c>
      <c r="L44" s="2842"/>
      <c r="M44" s="2840"/>
      <c r="N44" s="2842"/>
      <c r="O44" s="2840"/>
      <c r="P44" s="2869"/>
      <c r="Q44" s="2840"/>
      <c r="R44" s="2840">
        <f>K44</f>
        <v>401</v>
      </c>
      <c r="S44" s="2842">
        <v>0.1</v>
      </c>
      <c r="T44" s="2872">
        <f t="shared" si="46"/>
        <v>40.1</v>
      </c>
      <c r="U44" s="2845">
        <f t="shared" si="41"/>
        <v>360.9</v>
      </c>
      <c r="V44" s="2840">
        <f>U44</f>
        <v>360.9</v>
      </c>
      <c r="W44" s="2840">
        <f>V44*D84</f>
        <v>10105.199999999999</v>
      </c>
      <c r="X44" s="2866">
        <f>J44+W44</f>
        <v>11121.199999999999</v>
      </c>
      <c r="Y44" s="327"/>
      <c r="Z44" s="327"/>
      <c r="AA44" s="327"/>
    </row>
    <row r="45" spans="1:27" ht="15" customHeight="1" x14ac:dyDescent="0.2">
      <c r="A45" s="327"/>
      <c r="B45" s="2835"/>
      <c r="C45" s="2648"/>
      <c r="D45" s="2839"/>
      <c r="E45" s="2857"/>
      <c r="F45" s="2840"/>
      <c r="G45" s="2859"/>
      <c r="H45" s="2854"/>
      <c r="I45" s="2841"/>
      <c r="J45" s="2862"/>
      <c r="K45" s="2862"/>
      <c r="L45" s="2842"/>
      <c r="M45" s="2840"/>
      <c r="N45" s="2842"/>
      <c r="O45" s="2840"/>
      <c r="P45" s="2869"/>
      <c r="Q45" s="2840"/>
      <c r="R45" s="2840"/>
      <c r="S45" s="2836"/>
      <c r="T45" s="2872"/>
      <c r="U45" s="2845"/>
      <c r="V45" s="2840"/>
      <c r="W45" s="2840"/>
      <c r="X45" s="2866"/>
      <c r="Y45" s="327"/>
      <c r="Z45" s="327"/>
      <c r="AA45" s="327"/>
    </row>
    <row r="46" spans="1:27" ht="15" customHeight="1" x14ac:dyDescent="0.2">
      <c r="A46" s="327"/>
      <c r="B46" s="2837" t="s">
        <v>798</v>
      </c>
      <c r="C46" s="2648" t="s">
        <v>1897</v>
      </c>
      <c r="D46" s="2839">
        <v>1.537185</v>
      </c>
      <c r="E46" s="2857">
        <f t="shared" ref="E46:E47" si="47">D46*1000000*0.9071847</f>
        <v>1394510.7130694999</v>
      </c>
      <c r="F46" s="2840">
        <v>38000</v>
      </c>
      <c r="G46" s="2859">
        <f t="shared" ref="G46:G47" si="48">F46*0.9071847</f>
        <v>34473.018599999996</v>
      </c>
      <c r="H46" s="2854">
        <v>1994</v>
      </c>
      <c r="I46" s="2841">
        <v>2028</v>
      </c>
      <c r="J46" s="2862">
        <f>2599</f>
        <v>2599</v>
      </c>
      <c r="K46" s="2862">
        <f>947.3</f>
        <v>947.3</v>
      </c>
      <c r="L46" s="2842"/>
      <c r="M46" s="2840"/>
      <c r="N46" s="2842"/>
      <c r="O46" s="2840"/>
      <c r="P46" s="2869"/>
      <c r="Q46" s="2840"/>
      <c r="R46" s="2840">
        <f t="shared" ref="R46:R47" si="49">K46</f>
        <v>947.3</v>
      </c>
      <c r="S46" s="2842">
        <v>0.1</v>
      </c>
      <c r="T46" s="2872">
        <f t="shared" ref="T46:T47" si="50">R46*S46</f>
        <v>94.73</v>
      </c>
      <c r="U46" s="2845">
        <f t="shared" ref="U46:U47" si="51">R46-T46</f>
        <v>852.56999999999994</v>
      </c>
      <c r="V46" s="2840">
        <f t="shared" ref="V46:V47" si="52">U46</f>
        <v>852.56999999999994</v>
      </c>
      <c r="W46" s="2840">
        <f>V46*D84</f>
        <v>23871.96</v>
      </c>
      <c r="X46" s="2866">
        <f t="shared" ref="X46:X47" si="53">J46+W46</f>
        <v>26470.959999999999</v>
      </c>
      <c r="Y46" s="327"/>
      <c r="Z46" s="327"/>
      <c r="AA46" s="327"/>
    </row>
    <row r="47" spans="1:27" ht="15" customHeight="1" x14ac:dyDescent="0.2">
      <c r="A47" s="327"/>
      <c r="B47" s="2835"/>
      <c r="C47" s="2648" t="s">
        <v>1898</v>
      </c>
      <c r="D47" s="2839">
        <v>0.8</v>
      </c>
      <c r="E47" s="2857">
        <f t="shared" si="47"/>
        <v>725747.76</v>
      </c>
      <c r="F47" s="2840">
        <v>20000</v>
      </c>
      <c r="G47" s="2859">
        <f t="shared" si="48"/>
        <v>18143.694</v>
      </c>
      <c r="H47" s="2854">
        <v>1974</v>
      </c>
      <c r="I47" s="2841">
        <v>1994</v>
      </c>
      <c r="J47" s="2862">
        <f>1436</f>
        <v>1436</v>
      </c>
      <c r="K47" s="2862">
        <f>523.3</f>
        <v>523.29999999999995</v>
      </c>
      <c r="L47" s="2842"/>
      <c r="M47" s="2840"/>
      <c r="N47" s="2842"/>
      <c r="O47" s="2840"/>
      <c r="P47" s="2869"/>
      <c r="Q47" s="2840"/>
      <c r="R47" s="2840">
        <f t="shared" si="49"/>
        <v>523.29999999999995</v>
      </c>
      <c r="S47" s="2842">
        <v>0.1</v>
      </c>
      <c r="T47" s="2872">
        <f t="shared" si="50"/>
        <v>52.33</v>
      </c>
      <c r="U47" s="2845">
        <f t="shared" si="51"/>
        <v>470.96999999999997</v>
      </c>
      <c r="V47" s="2840">
        <f t="shared" si="52"/>
        <v>470.96999999999997</v>
      </c>
      <c r="W47" s="2840">
        <f>V47*D84</f>
        <v>13187.16</v>
      </c>
      <c r="X47" s="2866">
        <f t="shared" si="53"/>
        <v>14623.16</v>
      </c>
      <c r="Y47" s="327"/>
      <c r="Z47" s="327"/>
      <c r="AA47" s="327"/>
    </row>
    <row r="48" spans="1:27" ht="15" customHeight="1" x14ac:dyDescent="0.2">
      <c r="A48" s="327"/>
      <c r="B48" s="2835"/>
      <c r="C48" s="2648"/>
      <c r="D48" s="2839"/>
      <c r="E48" s="2857"/>
      <c r="F48" s="2840"/>
      <c r="G48" s="2859"/>
      <c r="H48" s="2854"/>
      <c r="I48" s="2841"/>
      <c r="J48" s="2862"/>
      <c r="K48" s="2862"/>
      <c r="L48" s="2842"/>
      <c r="M48" s="2840"/>
      <c r="N48" s="2842"/>
      <c r="O48" s="2840"/>
      <c r="P48" s="2869"/>
      <c r="Q48" s="2840"/>
      <c r="R48" s="2840"/>
      <c r="S48" s="2836"/>
      <c r="T48" s="2872"/>
      <c r="U48" s="2845"/>
      <c r="V48" s="2840"/>
      <c r="W48" s="2840"/>
      <c r="X48" s="2866"/>
      <c r="Y48" s="327"/>
      <c r="Z48" s="327"/>
      <c r="AA48" s="327"/>
    </row>
    <row r="49" spans="1:27" ht="15" customHeight="1" x14ac:dyDescent="0.2">
      <c r="A49" s="327"/>
      <c r="B49" s="2837" t="s">
        <v>799</v>
      </c>
      <c r="C49" s="2880" t="s">
        <v>1899</v>
      </c>
      <c r="D49" s="2881">
        <v>2.98</v>
      </c>
      <c r="E49" s="2882">
        <f>D49*1000000*0.9071847</f>
        <v>2703410.406</v>
      </c>
      <c r="F49" s="2883">
        <v>74000</v>
      </c>
      <c r="G49" s="2884">
        <f>F49*0.9071847</f>
        <v>67131.667799999996</v>
      </c>
      <c r="H49" s="2885">
        <v>1986</v>
      </c>
      <c r="I49" s="2886">
        <v>2008</v>
      </c>
      <c r="J49" s="2887">
        <f>5627</f>
        <v>5627</v>
      </c>
      <c r="K49" s="2887">
        <f>2051</f>
        <v>2051</v>
      </c>
      <c r="L49" s="2888">
        <v>0.36459999999999998</v>
      </c>
      <c r="M49" s="2883">
        <f>K49*L49</f>
        <v>747.79459999999995</v>
      </c>
      <c r="N49" s="2889">
        <v>0.99</v>
      </c>
      <c r="O49" s="2883">
        <f>M49*N49</f>
        <v>740.31665399999997</v>
      </c>
      <c r="P49" s="2890">
        <f>O49*2.75</f>
        <v>2035.8707984999999</v>
      </c>
      <c r="Q49" s="2883">
        <f>M49*(1-N49)</f>
        <v>7.4779460000000064</v>
      </c>
      <c r="R49" s="2883">
        <f>K49*(1-L49)</f>
        <v>1303.2053999999998</v>
      </c>
      <c r="S49" s="2889">
        <v>0.1</v>
      </c>
      <c r="T49" s="2883">
        <f>R49*S49</f>
        <v>130.32053999999999</v>
      </c>
      <c r="U49" s="2883">
        <f>R49-T49</f>
        <v>1172.8848599999999</v>
      </c>
      <c r="V49" s="2883">
        <f>U49+Q49</f>
        <v>1180.3628059999999</v>
      </c>
      <c r="W49" s="2883">
        <f>V49*D84</f>
        <v>33050.158567999999</v>
      </c>
      <c r="X49" s="2891">
        <f>J49+P49+W49</f>
        <v>40713.029366499999</v>
      </c>
      <c r="Y49" s="327"/>
      <c r="Z49" s="327"/>
      <c r="AA49" s="327"/>
    </row>
    <row r="50" spans="1:27" ht="15" customHeight="1" x14ac:dyDescent="0.2">
      <c r="A50" s="327"/>
      <c r="B50" s="2835"/>
      <c r="C50" s="2648"/>
      <c r="D50" s="2839"/>
      <c r="E50" s="2857"/>
      <c r="F50" s="2840"/>
      <c r="G50" s="2859"/>
      <c r="H50" s="2854"/>
      <c r="I50" s="2841"/>
      <c r="J50" s="2862"/>
      <c r="K50" s="2862"/>
      <c r="L50" s="2842"/>
      <c r="M50" s="2840"/>
      <c r="N50" s="2842"/>
      <c r="O50" s="2840"/>
      <c r="P50" s="2869"/>
      <c r="Q50" s="2840"/>
      <c r="R50" s="2840"/>
      <c r="S50" s="2836"/>
      <c r="T50" s="2872"/>
      <c r="U50" s="2845"/>
      <c r="V50" s="2840"/>
      <c r="W50" s="2840"/>
      <c r="X50" s="2866"/>
      <c r="Y50" s="327"/>
      <c r="Z50" s="327"/>
      <c r="AA50" s="327"/>
    </row>
    <row r="51" spans="1:27" ht="15" customHeight="1" x14ac:dyDescent="0.2">
      <c r="A51" s="327"/>
      <c r="B51" s="2837" t="s">
        <v>802</v>
      </c>
      <c r="C51" s="2892" t="s">
        <v>1900</v>
      </c>
      <c r="D51" s="2894"/>
      <c r="E51" s="2874"/>
      <c r="F51" s="2895"/>
      <c r="G51" s="2875"/>
      <c r="H51" s="2876"/>
      <c r="I51" s="2896"/>
      <c r="J51" s="2877">
        <f>11020</f>
        <v>11020</v>
      </c>
      <c r="K51" s="2877">
        <f>(LFGTE_II!M36+LFGTE_II!N36+LFGTE_II!O36)/(LFGTE_II!Q36)</f>
        <v>6553.6768651532111</v>
      </c>
      <c r="L51" s="2898">
        <f>LFGTE_II!Q36</f>
        <v>0.75</v>
      </c>
      <c r="M51" s="2895">
        <f t="shared" ref="M51:M52" si="54">K51*L51</f>
        <v>4915.2576488649083</v>
      </c>
      <c r="N51" s="2898">
        <v>0.97199999999999998</v>
      </c>
      <c r="O51" s="2895">
        <f t="shared" ref="O51:O52" si="55">M51*N51</f>
        <v>4777.6304346966908</v>
      </c>
      <c r="P51" s="2879">
        <f t="shared" ref="P51:P52" si="56">O51*2.75</f>
        <v>13138.4836954159</v>
      </c>
      <c r="Q51" s="2895">
        <f t="shared" ref="Q51:Q52" si="57">M51*(1-N51)</f>
        <v>137.62721416821756</v>
      </c>
      <c r="R51" s="2895">
        <f t="shared" ref="R51:R52" si="58">K51*(1-L51)</f>
        <v>1638.4192162883028</v>
      </c>
      <c r="S51" s="2898">
        <v>0.1</v>
      </c>
      <c r="T51" s="2895">
        <f t="shared" ref="T51:T52" si="59">R51*S51</f>
        <v>163.84192162883028</v>
      </c>
      <c r="U51" s="2895">
        <f t="shared" ref="U51:U52" si="60">R51-T51</f>
        <v>1474.5772946594725</v>
      </c>
      <c r="V51" s="2895">
        <f t="shared" ref="V51:V52" si="61">U51+Q51</f>
        <v>1612.20450882769</v>
      </c>
      <c r="W51" s="2895">
        <f>V51*D84</f>
        <v>45141.72624717532</v>
      </c>
      <c r="X51" s="2900">
        <f t="shared" ref="X51:X52" si="62">J51+P51+W51</f>
        <v>69300.209942591217</v>
      </c>
      <c r="Y51" s="327"/>
      <c r="Z51" s="327"/>
      <c r="AA51" s="327"/>
    </row>
    <row r="52" spans="1:27" ht="15" customHeight="1" x14ac:dyDescent="0.2">
      <c r="A52" s="327"/>
      <c r="B52" s="2835"/>
      <c r="C52" s="2893" t="s">
        <v>1901</v>
      </c>
      <c r="D52" s="2912"/>
      <c r="E52" s="2882"/>
      <c r="F52" s="2901"/>
      <c r="G52" s="2884"/>
      <c r="H52" s="2885"/>
      <c r="I52" s="2902"/>
      <c r="J52" s="2887">
        <f>5714</f>
        <v>5714</v>
      </c>
      <c r="K52" s="2887">
        <f>2083</f>
        <v>2083</v>
      </c>
      <c r="L52" s="2888">
        <v>0.65259999999999996</v>
      </c>
      <c r="M52" s="2901">
        <f t="shared" si="54"/>
        <v>1359.3657999999998</v>
      </c>
      <c r="N52" s="2904">
        <v>0.97199999999999998</v>
      </c>
      <c r="O52" s="2901">
        <f t="shared" si="55"/>
        <v>1321.3035575999997</v>
      </c>
      <c r="P52" s="2890">
        <f t="shared" si="56"/>
        <v>3633.5847833999992</v>
      </c>
      <c r="Q52" s="2901">
        <f t="shared" si="57"/>
        <v>38.062242400000031</v>
      </c>
      <c r="R52" s="2901">
        <f t="shared" si="58"/>
        <v>723.63420000000008</v>
      </c>
      <c r="S52" s="2904">
        <v>0.1</v>
      </c>
      <c r="T52" s="2901">
        <f t="shared" si="59"/>
        <v>72.363420000000005</v>
      </c>
      <c r="U52" s="2901">
        <f t="shared" si="60"/>
        <v>651.27078000000006</v>
      </c>
      <c r="V52" s="2901">
        <f t="shared" si="61"/>
        <v>689.33302240000012</v>
      </c>
      <c r="W52" s="2901">
        <f>V52*D84</f>
        <v>19301.324627200003</v>
      </c>
      <c r="X52" s="2913">
        <f t="shared" si="62"/>
        <v>28648.909410600005</v>
      </c>
      <c r="Y52" s="327"/>
      <c r="Z52" s="327"/>
      <c r="AA52" s="327"/>
    </row>
    <row r="53" spans="1:27" ht="15" customHeight="1" x14ac:dyDescent="0.2">
      <c r="A53" s="327"/>
      <c r="B53" s="2835"/>
      <c r="C53" s="2648"/>
      <c r="D53" s="2839"/>
      <c r="E53" s="2857"/>
      <c r="F53" s="2840"/>
      <c r="G53" s="2859"/>
      <c r="H53" s="2854"/>
      <c r="I53" s="2841"/>
      <c r="J53" s="2862"/>
      <c r="K53" s="2862"/>
      <c r="L53" s="2842"/>
      <c r="M53" s="2840"/>
      <c r="N53" s="2842"/>
      <c r="O53" s="2840"/>
      <c r="P53" s="2869"/>
      <c r="Q53" s="2840"/>
      <c r="R53" s="2840"/>
      <c r="S53" s="2836"/>
      <c r="T53" s="2872"/>
      <c r="U53" s="2845"/>
      <c r="V53" s="2840"/>
      <c r="W53" s="2840"/>
      <c r="X53" s="2866"/>
      <c r="Y53" s="327"/>
      <c r="Z53" s="327"/>
      <c r="AA53" s="327"/>
    </row>
    <row r="54" spans="1:27" ht="15" customHeight="1" x14ac:dyDescent="0.2">
      <c r="A54" s="327"/>
      <c r="B54" s="2837" t="s">
        <v>800</v>
      </c>
      <c r="C54" s="2892" t="s">
        <v>1902</v>
      </c>
      <c r="D54" s="2894">
        <v>9.9779999999999998</v>
      </c>
      <c r="E54" s="2874">
        <f>D54*1000000*0.9071847</f>
        <v>9051888.9365999997</v>
      </c>
      <c r="F54" s="2895">
        <v>225000</v>
      </c>
      <c r="G54" s="2875">
        <f>F54*0.9071847</f>
        <v>204116.5575</v>
      </c>
      <c r="H54" s="2876">
        <v>1980</v>
      </c>
      <c r="I54" s="2896">
        <v>2122</v>
      </c>
      <c r="J54" s="2877">
        <f>6899</f>
        <v>6899</v>
      </c>
      <c r="K54" s="2877">
        <f>2515</f>
        <v>2515</v>
      </c>
      <c r="L54" s="2878">
        <v>0.38490000000000002</v>
      </c>
      <c r="M54" s="2895">
        <f>K54*L54</f>
        <v>968.02350000000001</v>
      </c>
      <c r="N54" s="2898">
        <v>0.98</v>
      </c>
      <c r="O54" s="2895">
        <f>M54*N54</f>
        <v>948.66303000000005</v>
      </c>
      <c r="P54" s="2879">
        <f>O54*2.75</f>
        <v>2608.8233325000001</v>
      </c>
      <c r="Q54" s="2895">
        <f>M54*(1-N54)</f>
        <v>19.360470000000017</v>
      </c>
      <c r="R54" s="2895">
        <f>K54*(1-L54)</f>
        <v>1546.9765</v>
      </c>
      <c r="S54" s="2898">
        <v>0.1</v>
      </c>
      <c r="T54" s="2895">
        <f>R54*S54</f>
        <v>154.69765000000001</v>
      </c>
      <c r="U54" s="2895">
        <f>R54-T54</f>
        <v>1392.2788499999999</v>
      </c>
      <c r="V54" s="2895">
        <f>U54+Q54</f>
        <v>1411.63932</v>
      </c>
      <c r="W54" s="2895">
        <f>V54*D84</f>
        <v>39525.900959999999</v>
      </c>
      <c r="X54" s="2900">
        <f>J54+P54+W54</f>
        <v>49033.724292500003</v>
      </c>
      <c r="Y54" s="327"/>
      <c r="Z54" s="327"/>
      <c r="AA54" s="327"/>
    </row>
    <row r="55" spans="1:27" ht="15" customHeight="1" x14ac:dyDescent="0.2">
      <c r="A55" s="327"/>
      <c r="B55" s="2837"/>
      <c r="C55" s="2648"/>
      <c r="D55" s="2839"/>
      <c r="E55" s="2857"/>
      <c r="F55" s="2840"/>
      <c r="G55" s="2859"/>
      <c r="H55" s="2854"/>
      <c r="I55" s="2841"/>
      <c r="J55" s="2862"/>
      <c r="K55" s="2862"/>
      <c r="L55" s="2842"/>
      <c r="M55" s="2840"/>
      <c r="N55" s="2842"/>
      <c r="O55" s="2840"/>
      <c r="P55" s="2869"/>
      <c r="Q55" s="2840"/>
      <c r="R55" s="2840"/>
      <c r="S55" s="2836"/>
      <c r="T55" s="2872"/>
      <c r="U55" s="2845"/>
      <c r="V55" s="2840"/>
      <c r="W55" s="2840"/>
      <c r="X55" s="2866"/>
      <c r="Y55" s="327"/>
      <c r="Z55" s="327"/>
      <c r="AA55" s="327"/>
    </row>
    <row r="56" spans="1:27" ht="15" customHeight="1" x14ac:dyDescent="0.2">
      <c r="A56" s="327"/>
      <c r="B56" s="2837" t="s">
        <v>801</v>
      </c>
      <c r="C56" s="2648" t="s">
        <v>1903</v>
      </c>
      <c r="D56" s="2839">
        <v>0.6</v>
      </c>
      <c r="E56" s="2857">
        <f>D56*1000000*0.9071847</f>
        <v>544310.81999999995</v>
      </c>
      <c r="F56" s="2840">
        <v>20000</v>
      </c>
      <c r="G56" s="2859">
        <f>F56*0.9071847</f>
        <v>18143.694</v>
      </c>
      <c r="H56" s="2854">
        <v>1964</v>
      </c>
      <c r="I56" s="2841">
        <v>1992</v>
      </c>
      <c r="J56" s="2862">
        <f>899.6</f>
        <v>899.6</v>
      </c>
      <c r="K56" s="2862">
        <f>327.9</f>
        <v>327.9</v>
      </c>
      <c r="L56" s="2842"/>
      <c r="M56" s="2840"/>
      <c r="N56" s="2842"/>
      <c r="O56" s="2840"/>
      <c r="P56" s="2869"/>
      <c r="Q56" s="2840"/>
      <c r="R56" s="2840">
        <f>K56</f>
        <v>327.9</v>
      </c>
      <c r="S56" s="2842">
        <v>0.1</v>
      </c>
      <c r="T56" s="2872">
        <f>R56*S56</f>
        <v>32.79</v>
      </c>
      <c r="U56" s="2845">
        <f>R56-T56</f>
        <v>295.10999999999996</v>
      </c>
      <c r="V56" s="2840">
        <f>U56</f>
        <v>295.10999999999996</v>
      </c>
      <c r="W56" s="2840">
        <f>V56*D84</f>
        <v>8263.0799999999981</v>
      </c>
      <c r="X56" s="2866">
        <f>J56+W56</f>
        <v>9162.6799999999985</v>
      </c>
      <c r="Y56" s="327"/>
      <c r="Z56" s="327"/>
      <c r="AA56" s="327"/>
    </row>
    <row r="57" spans="1:27" ht="15" customHeight="1" x14ac:dyDescent="0.2">
      <c r="A57" s="327"/>
      <c r="B57" s="2835"/>
      <c r="C57" s="2648"/>
      <c r="D57" s="2839"/>
      <c r="E57" s="2857"/>
      <c r="F57" s="2840"/>
      <c r="G57" s="2859"/>
      <c r="H57" s="2854"/>
      <c r="I57" s="2841"/>
      <c r="J57" s="2862"/>
      <c r="K57" s="2862"/>
      <c r="L57" s="2842"/>
      <c r="M57" s="2840"/>
      <c r="N57" s="2842"/>
      <c r="O57" s="2840"/>
      <c r="P57" s="2869"/>
      <c r="Q57" s="2840"/>
      <c r="R57" s="2840"/>
      <c r="S57" s="2836"/>
      <c r="T57" s="2872"/>
      <c r="U57" s="2845"/>
      <c r="V57" s="2840"/>
      <c r="W57" s="2840"/>
      <c r="X57" s="2866"/>
      <c r="Y57" s="327"/>
      <c r="Z57" s="327"/>
      <c r="AA57" s="327"/>
    </row>
    <row r="58" spans="1:27" ht="15" customHeight="1" x14ac:dyDescent="0.2">
      <c r="A58" s="327"/>
      <c r="B58" s="2837" t="s">
        <v>1192</v>
      </c>
      <c r="C58" s="2892" t="s">
        <v>1904</v>
      </c>
      <c r="D58" s="2894">
        <v>7.1</v>
      </c>
      <c r="E58" s="2874">
        <f t="shared" ref="E58:E61" si="63">D58*1000000*0.9071847</f>
        <v>6441011.3700000001</v>
      </c>
      <c r="F58" s="2895">
        <v>284000</v>
      </c>
      <c r="G58" s="2875">
        <f t="shared" ref="G58:G61" si="64">F58*0.9071847</f>
        <v>257640.45479999998</v>
      </c>
      <c r="H58" s="2876">
        <v>1968</v>
      </c>
      <c r="I58" s="2896">
        <v>1993</v>
      </c>
      <c r="J58" s="2877">
        <f>11590</f>
        <v>11590</v>
      </c>
      <c r="K58" s="2877">
        <f>4223</f>
        <v>4223</v>
      </c>
      <c r="L58" s="2878">
        <v>0.84599999999999997</v>
      </c>
      <c r="M58" s="2895">
        <f t="shared" ref="M58:M60" si="65">K58*L58</f>
        <v>3572.6579999999999</v>
      </c>
      <c r="N58" s="2909">
        <v>0.997</v>
      </c>
      <c r="O58" s="2895">
        <f t="shared" ref="O58:O60" si="66">M58*N58</f>
        <v>3561.9400259999998</v>
      </c>
      <c r="P58" s="2879">
        <f t="shared" ref="P58:P60" si="67">O58*2.75</f>
        <v>9795.3350714999997</v>
      </c>
      <c r="Q58" s="2895">
        <f t="shared" ref="Q58:Q60" si="68">M58*(1-N58)</f>
        <v>10.717974000000009</v>
      </c>
      <c r="R58" s="2895">
        <f t="shared" ref="R58:R60" si="69">K58*(1-L58)</f>
        <v>650.3420000000001</v>
      </c>
      <c r="S58" s="2898">
        <v>0.1</v>
      </c>
      <c r="T58" s="2895">
        <f t="shared" ref="T58:T61" si="70">R58*S58</f>
        <v>65.034200000000013</v>
      </c>
      <c r="U58" s="2895">
        <f t="shared" ref="U58:U61" si="71">R58-T58</f>
        <v>585.30780000000004</v>
      </c>
      <c r="V58" s="2895">
        <f t="shared" ref="V58:V60" si="72">U58+Q58</f>
        <v>596.02577400000007</v>
      </c>
      <c r="W58" s="2895">
        <f>V58*D84</f>
        <v>16688.721672000003</v>
      </c>
      <c r="X58" s="2900">
        <f t="shared" ref="X58:X60" si="73">J58+P58+W58</f>
        <v>38074.056743499998</v>
      </c>
      <c r="Y58" s="327"/>
      <c r="Z58" s="327"/>
      <c r="AA58" s="327"/>
    </row>
    <row r="59" spans="1:27" ht="15" customHeight="1" x14ac:dyDescent="0.2">
      <c r="A59" s="327"/>
      <c r="B59" s="2835"/>
      <c r="C59" s="2892" t="s">
        <v>1905</v>
      </c>
      <c r="D59" s="2894">
        <v>16</v>
      </c>
      <c r="E59" s="2874">
        <f t="shared" si="63"/>
        <v>14514955.199999999</v>
      </c>
      <c r="F59" s="2895">
        <v>280000</v>
      </c>
      <c r="G59" s="2875">
        <f t="shared" si="64"/>
        <v>254011.71599999999</v>
      </c>
      <c r="H59" s="2876">
        <v>1992</v>
      </c>
      <c r="I59" s="2896">
        <v>2016</v>
      </c>
      <c r="J59" s="2877">
        <f>40570</f>
        <v>40570</v>
      </c>
      <c r="K59" s="2877">
        <f>14790</f>
        <v>14790</v>
      </c>
      <c r="L59" s="2878">
        <v>0.84599999999999997</v>
      </c>
      <c r="M59" s="2895">
        <f t="shared" si="65"/>
        <v>12512.34</v>
      </c>
      <c r="N59" s="2898">
        <v>0.97199999999999998</v>
      </c>
      <c r="O59" s="2895">
        <f t="shared" si="66"/>
        <v>12161.994479999999</v>
      </c>
      <c r="P59" s="2879">
        <f t="shared" si="67"/>
        <v>33445.484819999998</v>
      </c>
      <c r="Q59" s="2895">
        <f t="shared" si="68"/>
        <v>350.34552000000031</v>
      </c>
      <c r="R59" s="2895">
        <f t="shared" si="69"/>
        <v>2277.6600000000003</v>
      </c>
      <c r="S59" s="2898">
        <v>0.1</v>
      </c>
      <c r="T59" s="2895">
        <f t="shared" si="70"/>
        <v>227.76600000000005</v>
      </c>
      <c r="U59" s="2895">
        <f t="shared" si="71"/>
        <v>2049.8940000000002</v>
      </c>
      <c r="V59" s="2895">
        <f t="shared" si="72"/>
        <v>2400.2395200000005</v>
      </c>
      <c r="W59" s="2895">
        <f>V59*D84</f>
        <v>67206.706560000021</v>
      </c>
      <c r="X59" s="2900">
        <f t="shared" si="73"/>
        <v>141222.19138000003</v>
      </c>
      <c r="Y59" s="327"/>
      <c r="Z59" s="327"/>
      <c r="AA59" s="327"/>
    </row>
    <row r="60" spans="1:27" ht="15" customHeight="1" x14ac:dyDescent="0.2">
      <c r="A60" s="327"/>
      <c r="B60" s="2835"/>
      <c r="C60" s="2892" t="s">
        <v>1906</v>
      </c>
      <c r="D60" s="2894">
        <v>7.5</v>
      </c>
      <c r="E60" s="2874">
        <f t="shared" si="63"/>
        <v>6803885.25</v>
      </c>
      <c r="F60" s="2895">
        <v>280000</v>
      </c>
      <c r="G60" s="2875">
        <f t="shared" si="64"/>
        <v>254011.71599999999</v>
      </c>
      <c r="H60" s="2876">
        <v>1978</v>
      </c>
      <c r="I60" s="2896">
        <v>2000</v>
      </c>
      <c r="J60" s="2877">
        <f>14630</f>
        <v>14630</v>
      </c>
      <c r="K60" s="2877">
        <f>((LFGTE_II!M44+LFGTE_II!N44+LFGTE_II!O44)/LFGTE_II!Q44)</f>
        <v>6773.8374077987664</v>
      </c>
      <c r="L60" s="2898">
        <v>0.94699999999999995</v>
      </c>
      <c r="M60" s="2895">
        <f t="shared" si="65"/>
        <v>6414.8240251854313</v>
      </c>
      <c r="N60" s="2898">
        <v>0.98</v>
      </c>
      <c r="O60" s="2895">
        <f t="shared" si="66"/>
        <v>6286.5275446817222</v>
      </c>
      <c r="P60" s="2879">
        <f t="shared" si="67"/>
        <v>17287.950747874736</v>
      </c>
      <c r="Q60" s="2895">
        <f t="shared" si="68"/>
        <v>128.29648050370875</v>
      </c>
      <c r="R60" s="2895">
        <f t="shared" si="69"/>
        <v>359.01338261333495</v>
      </c>
      <c r="S60" s="2898">
        <v>0.1</v>
      </c>
      <c r="T60" s="2895">
        <f t="shared" si="70"/>
        <v>35.9013382613335</v>
      </c>
      <c r="U60" s="2895">
        <f t="shared" si="71"/>
        <v>323.11204435200148</v>
      </c>
      <c r="V60" s="2895">
        <f t="shared" si="72"/>
        <v>451.4085248557102</v>
      </c>
      <c r="W60" s="2895">
        <f>V60*D84</f>
        <v>12639.438695959885</v>
      </c>
      <c r="X60" s="2900">
        <f t="shared" si="73"/>
        <v>44557.389443834618</v>
      </c>
      <c r="Y60" s="327"/>
      <c r="Z60" s="327"/>
      <c r="AA60" s="327"/>
    </row>
    <row r="61" spans="1:27" ht="15" customHeight="1" x14ac:dyDescent="0.2">
      <c r="A61" s="327"/>
      <c r="B61" s="2835"/>
      <c r="C61" s="2648" t="s">
        <v>1907</v>
      </c>
      <c r="D61" s="2839">
        <v>1.6</v>
      </c>
      <c r="E61" s="2857">
        <f t="shared" si="63"/>
        <v>1451495.52</v>
      </c>
      <c r="F61" s="2840">
        <v>34000</v>
      </c>
      <c r="G61" s="2859">
        <f t="shared" si="64"/>
        <v>30844.2798</v>
      </c>
      <c r="H61" s="2854">
        <v>1960</v>
      </c>
      <c r="I61" s="2841">
        <v>2004</v>
      </c>
      <c r="J61" s="2862">
        <f>2965</f>
        <v>2965</v>
      </c>
      <c r="K61" s="2862">
        <f>1081</f>
        <v>1081</v>
      </c>
      <c r="L61" s="2842"/>
      <c r="M61" s="2840"/>
      <c r="N61" s="2842"/>
      <c r="O61" s="2840"/>
      <c r="P61" s="2869"/>
      <c r="Q61" s="2840"/>
      <c r="R61" s="2840">
        <f>K61</f>
        <v>1081</v>
      </c>
      <c r="S61" s="2842">
        <v>0.1</v>
      </c>
      <c r="T61" s="2872">
        <f t="shared" si="70"/>
        <v>108.10000000000001</v>
      </c>
      <c r="U61" s="2845">
        <f t="shared" si="71"/>
        <v>972.9</v>
      </c>
      <c r="V61" s="2840">
        <f>U61</f>
        <v>972.9</v>
      </c>
      <c r="W61" s="2840">
        <f>V61*D84</f>
        <v>27241.200000000001</v>
      </c>
      <c r="X61" s="2866">
        <f>J61+W61</f>
        <v>30206.2</v>
      </c>
      <c r="Y61" s="327"/>
      <c r="Z61" s="327"/>
      <c r="AA61" s="327"/>
    </row>
    <row r="62" spans="1:27" ht="15" customHeight="1" x14ac:dyDescent="0.2">
      <c r="A62" s="327"/>
      <c r="B62" s="2835"/>
      <c r="C62" s="2648"/>
      <c r="D62" s="2839"/>
      <c r="E62" s="2857"/>
      <c r="F62" s="2840"/>
      <c r="G62" s="2859"/>
      <c r="H62" s="2854"/>
      <c r="I62" s="2841"/>
      <c r="J62" s="2862"/>
      <c r="K62" s="2862"/>
      <c r="L62" s="2842"/>
      <c r="M62" s="2840"/>
      <c r="N62" s="2842"/>
      <c r="O62" s="2840"/>
      <c r="P62" s="2869"/>
      <c r="Q62" s="2840"/>
      <c r="R62" s="2840"/>
      <c r="S62" s="2836"/>
      <c r="T62" s="2872"/>
      <c r="U62" s="2845"/>
      <c r="V62" s="2840"/>
      <c r="W62" s="2840"/>
      <c r="X62" s="2866"/>
      <c r="Y62" s="327"/>
      <c r="Z62" s="327"/>
      <c r="AA62" s="327"/>
    </row>
    <row r="63" spans="1:27" ht="15" customHeight="1" x14ac:dyDescent="0.2">
      <c r="A63" s="327"/>
      <c r="B63" s="2837" t="s">
        <v>806</v>
      </c>
      <c r="C63" s="2648" t="s">
        <v>1908</v>
      </c>
      <c r="D63" s="2839">
        <v>1.61</v>
      </c>
      <c r="E63" s="2857">
        <v>393341</v>
      </c>
      <c r="F63" s="2840"/>
      <c r="G63" s="2859">
        <f t="shared" ref="G63:G64" si="74">F63*0.9071847</f>
        <v>0</v>
      </c>
      <c r="H63" s="2860">
        <v>1998</v>
      </c>
      <c r="I63" s="2841">
        <v>2023</v>
      </c>
      <c r="J63" s="2862">
        <f>2255</f>
        <v>2255</v>
      </c>
      <c r="K63" s="2862">
        <f>821.9</f>
        <v>821.9</v>
      </c>
      <c r="L63" s="2842"/>
      <c r="M63" s="2840"/>
      <c r="N63" s="2842"/>
      <c r="O63" s="2840"/>
      <c r="P63" s="2869"/>
      <c r="Q63" s="2840"/>
      <c r="R63" s="2840">
        <f t="shared" ref="R63:R64" si="75">K63</f>
        <v>821.9</v>
      </c>
      <c r="S63" s="2842">
        <v>0.1</v>
      </c>
      <c r="T63" s="2872">
        <f t="shared" ref="T63:T64" si="76">R63*S63</f>
        <v>82.19</v>
      </c>
      <c r="U63" s="2845">
        <f t="shared" ref="U63:U64" si="77">R63-T63</f>
        <v>739.71</v>
      </c>
      <c r="V63" s="2840">
        <f t="shared" ref="V63:V64" si="78">U63</f>
        <v>739.71</v>
      </c>
      <c r="W63" s="2840">
        <f>V63*D84</f>
        <v>20711.88</v>
      </c>
      <c r="X63" s="2866">
        <f t="shared" ref="X63:X64" si="79">J63+W63</f>
        <v>22966.880000000001</v>
      </c>
      <c r="Y63" s="327"/>
      <c r="Z63" s="327"/>
      <c r="AA63" s="327"/>
    </row>
    <row r="64" spans="1:27" ht="15" customHeight="1" x14ac:dyDescent="0.2">
      <c r="A64" s="327"/>
      <c r="B64" s="2835"/>
      <c r="C64" s="2648" t="s">
        <v>1909</v>
      </c>
      <c r="D64" s="2839"/>
      <c r="E64" s="2857">
        <v>368200</v>
      </c>
      <c r="F64" s="2840"/>
      <c r="G64" s="2859">
        <f t="shared" si="74"/>
        <v>0</v>
      </c>
      <c r="H64" s="2854">
        <v>1977</v>
      </c>
      <c r="I64" s="2841">
        <v>1998</v>
      </c>
      <c r="J64" s="2862">
        <f>942.2</f>
        <v>942.2</v>
      </c>
      <c r="K64" s="2862">
        <f>343.4</f>
        <v>343.4</v>
      </c>
      <c r="L64" s="2842"/>
      <c r="M64" s="2840"/>
      <c r="N64" s="2842"/>
      <c r="O64" s="2840"/>
      <c r="P64" s="2869"/>
      <c r="Q64" s="2840"/>
      <c r="R64" s="2840">
        <f t="shared" si="75"/>
        <v>343.4</v>
      </c>
      <c r="S64" s="2842">
        <v>0.1</v>
      </c>
      <c r="T64" s="2872">
        <f t="shared" si="76"/>
        <v>34.339999999999996</v>
      </c>
      <c r="U64" s="2845">
        <f t="shared" si="77"/>
        <v>309.06</v>
      </c>
      <c r="V64" s="2840">
        <f t="shared" si="78"/>
        <v>309.06</v>
      </c>
      <c r="W64" s="2840">
        <f>V64*D84</f>
        <v>8653.68</v>
      </c>
      <c r="X64" s="2866">
        <f t="shared" si="79"/>
        <v>9595.880000000001</v>
      </c>
      <c r="Y64" s="327"/>
      <c r="Z64" s="327"/>
      <c r="AA64" s="327"/>
    </row>
    <row r="65" spans="1:27" ht="15" customHeight="1" x14ac:dyDescent="0.2">
      <c r="A65" s="327"/>
      <c r="B65" s="2835"/>
      <c r="C65" s="2648"/>
      <c r="D65" s="2839"/>
      <c r="E65" s="2857">
        <f t="shared" ref="E65:E66" si="80">D65*1000000*0.9071847</f>
        <v>0</v>
      </c>
      <c r="F65" s="2840"/>
      <c r="G65" s="2859"/>
      <c r="H65" s="2854"/>
      <c r="I65" s="2841"/>
      <c r="J65" s="2862"/>
      <c r="K65" s="2862"/>
      <c r="L65" s="2842"/>
      <c r="M65" s="2840"/>
      <c r="N65" s="2842"/>
      <c r="O65" s="2840"/>
      <c r="P65" s="2869"/>
      <c r="Q65" s="2840"/>
      <c r="R65" s="2840"/>
      <c r="S65" s="2836"/>
      <c r="T65" s="2872"/>
      <c r="U65" s="2845"/>
      <c r="V65" s="2840"/>
      <c r="W65" s="2840"/>
      <c r="X65" s="2866"/>
      <c r="Y65" s="327"/>
      <c r="Z65" s="327"/>
      <c r="AA65" s="327"/>
    </row>
    <row r="66" spans="1:27" ht="15" customHeight="1" x14ac:dyDescent="0.2">
      <c r="A66" s="327"/>
      <c r="B66" s="2837" t="s">
        <v>807</v>
      </c>
      <c r="C66" s="2648" t="s">
        <v>1910</v>
      </c>
      <c r="D66" s="2839">
        <v>3.7512439999999998</v>
      </c>
      <c r="E66" s="2857">
        <f t="shared" si="80"/>
        <v>3403071.1627667998</v>
      </c>
      <c r="F66" s="2840">
        <v>81800</v>
      </c>
      <c r="G66" s="2859">
        <f>F66*0.9071847</f>
        <v>74207.708459999994</v>
      </c>
      <c r="H66" s="2854">
        <v>1991</v>
      </c>
      <c r="I66" s="2841">
        <v>2010</v>
      </c>
      <c r="J66" s="2862">
        <f>6460</f>
        <v>6460</v>
      </c>
      <c r="K66" s="2862">
        <f>2354</f>
        <v>2354</v>
      </c>
      <c r="L66" s="2842"/>
      <c r="M66" s="2840"/>
      <c r="N66" s="2842"/>
      <c r="O66" s="2840"/>
      <c r="P66" s="2869"/>
      <c r="Q66" s="2840"/>
      <c r="R66" s="2840">
        <f>K66</f>
        <v>2354</v>
      </c>
      <c r="S66" s="2842">
        <v>0.1</v>
      </c>
      <c r="T66" s="2872">
        <f>R66*S66</f>
        <v>235.4</v>
      </c>
      <c r="U66" s="2845">
        <f>R66-T66</f>
        <v>2118.6</v>
      </c>
      <c r="V66" s="2840">
        <f>U66</f>
        <v>2118.6</v>
      </c>
      <c r="W66" s="2840">
        <f>V66*D84</f>
        <v>59320.799999999996</v>
      </c>
      <c r="X66" s="2866">
        <f>J66+W66</f>
        <v>65780.799999999988</v>
      </c>
      <c r="Y66" s="327"/>
      <c r="Z66" s="327"/>
      <c r="AA66" s="327"/>
    </row>
    <row r="67" spans="1:27" ht="15" customHeight="1" x14ac:dyDescent="0.2">
      <c r="A67" s="327"/>
      <c r="B67" s="2835"/>
      <c r="C67" s="2648"/>
      <c r="D67" s="2839"/>
      <c r="E67" s="2857"/>
      <c r="F67" s="2840"/>
      <c r="G67" s="2859"/>
      <c r="H67" s="2854"/>
      <c r="I67" s="2841"/>
      <c r="J67" s="2862"/>
      <c r="K67" s="2862"/>
      <c r="L67" s="2842"/>
      <c r="M67" s="2840"/>
      <c r="N67" s="2842"/>
      <c r="O67" s="2840"/>
      <c r="P67" s="2869"/>
      <c r="Q67" s="2840"/>
      <c r="R67" s="2840"/>
      <c r="S67" s="2836"/>
      <c r="T67" s="2872"/>
      <c r="U67" s="2845"/>
      <c r="V67" s="2840"/>
      <c r="W67" s="2840"/>
      <c r="X67" s="2866"/>
      <c r="Y67" s="327"/>
      <c r="Z67" s="327"/>
      <c r="AA67" s="327"/>
    </row>
    <row r="68" spans="1:27" ht="15" customHeight="1" x14ac:dyDescent="0.2">
      <c r="A68" s="327"/>
      <c r="B68" s="2837" t="s">
        <v>808</v>
      </c>
      <c r="C68" s="2648" t="s">
        <v>1911</v>
      </c>
      <c r="D68" s="2648"/>
      <c r="E68" s="2857">
        <v>89729.73</v>
      </c>
      <c r="F68" s="2840"/>
      <c r="G68" s="2859">
        <f t="shared" ref="G68:G70" si="81">F68*0.9071847</f>
        <v>0</v>
      </c>
      <c r="H68" s="2854">
        <v>1981</v>
      </c>
      <c r="I68" s="2841">
        <v>1993</v>
      </c>
      <c r="J68" s="2862">
        <f>216.2</f>
        <v>216.2</v>
      </c>
      <c r="K68" s="2862">
        <f>78.81</f>
        <v>78.81</v>
      </c>
      <c r="L68" s="2842"/>
      <c r="M68" s="2840"/>
      <c r="N68" s="2842"/>
      <c r="O68" s="2840"/>
      <c r="P68" s="2869"/>
      <c r="Q68" s="2840"/>
      <c r="R68" s="2840">
        <f t="shared" ref="R68:R70" si="82">K68</f>
        <v>78.81</v>
      </c>
      <c r="S68" s="2842">
        <v>0.1</v>
      </c>
      <c r="T68" s="2872">
        <f t="shared" ref="T68:T70" si="83">R68*S68</f>
        <v>7.8810000000000002</v>
      </c>
      <c r="U68" s="2845">
        <f t="shared" ref="U68:U70" si="84">R68-T68</f>
        <v>70.929000000000002</v>
      </c>
      <c r="V68" s="2840">
        <f t="shared" ref="V68:V70" si="85">U68</f>
        <v>70.929000000000002</v>
      </c>
      <c r="W68" s="2840">
        <f>V68*D84</f>
        <v>1986.0120000000002</v>
      </c>
      <c r="X68" s="2866">
        <f t="shared" ref="X68:X70" si="86">J68+W68</f>
        <v>2202.212</v>
      </c>
      <c r="Y68" s="327"/>
      <c r="Z68" s="327"/>
      <c r="AA68" s="327"/>
    </row>
    <row r="69" spans="1:27" ht="15" customHeight="1" x14ac:dyDescent="0.2">
      <c r="A69" s="327"/>
      <c r="B69" s="2835"/>
      <c r="C69" s="2648" t="s">
        <v>2104</v>
      </c>
      <c r="D69" s="2839">
        <v>2.5499999999999998</v>
      </c>
      <c r="E69" s="2857">
        <f t="shared" ref="E69:E70" si="87">D69*1000000*0.9071847</f>
        <v>2313320.9849999999</v>
      </c>
      <c r="F69" s="2840">
        <v>150000</v>
      </c>
      <c r="G69" s="2859">
        <f t="shared" si="81"/>
        <v>136077.70499999999</v>
      </c>
      <c r="H69" s="2854">
        <v>1982</v>
      </c>
      <c r="I69" s="2841">
        <v>2000</v>
      </c>
      <c r="J69" s="2862">
        <f>2147</f>
        <v>2147</v>
      </c>
      <c r="K69" s="2862">
        <f>782.4</f>
        <v>782.4</v>
      </c>
      <c r="L69" s="2842"/>
      <c r="M69" s="2840"/>
      <c r="N69" s="2842"/>
      <c r="O69" s="2840"/>
      <c r="P69" s="2869"/>
      <c r="Q69" s="2840"/>
      <c r="R69" s="2840">
        <f t="shared" si="82"/>
        <v>782.4</v>
      </c>
      <c r="S69" s="2842">
        <v>0.1</v>
      </c>
      <c r="T69" s="2872">
        <f t="shared" si="83"/>
        <v>78.240000000000009</v>
      </c>
      <c r="U69" s="2845">
        <f t="shared" si="84"/>
        <v>704.16</v>
      </c>
      <c r="V69" s="2840">
        <f t="shared" si="85"/>
        <v>704.16</v>
      </c>
      <c r="W69" s="2840">
        <f>V69*D84</f>
        <v>19716.48</v>
      </c>
      <c r="X69" s="2866">
        <f t="shared" si="86"/>
        <v>21863.48</v>
      </c>
      <c r="Y69" s="327"/>
      <c r="Z69" s="327"/>
      <c r="AA69" s="327"/>
    </row>
    <row r="70" spans="1:27" ht="15" customHeight="1" x14ac:dyDescent="0.2">
      <c r="A70" s="327"/>
      <c r="B70" s="2835"/>
      <c r="C70" s="2648" t="s">
        <v>1912</v>
      </c>
      <c r="D70" s="2839">
        <v>20.273</v>
      </c>
      <c r="E70" s="2857">
        <f t="shared" si="87"/>
        <v>18391355.423099998</v>
      </c>
      <c r="F70" s="2840"/>
      <c r="G70" s="2859">
        <f t="shared" si="81"/>
        <v>0</v>
      </c>
      <c r="H70" s="2854">
        <v>2000</v>
      </c>
      <c r="I70" s="2841">
        <v>2047</v>
      </c>
      <c r="J70" s="2862">
        <f>20040</f>
        <v>20040</v>
      </c>
      <c r="K70" s="2862">
        <f>7306</f>
        <v>7306</v>
      </c>
      <c r="L70" s="2842"/>
      <c r="M70" s="2840"/>
      <c r="N70" s="2842"/>
      <c r="O70" s="2840"/>
      <c r="P70" s="2869"/>
      <c r="Q70" s="2840"/>
      <c r="R70" s="2840">
        <f t="shared" si="82"/>
        <v>7306</v>
      </c>
      <c r="S70" s="2842">
        <v>0.1</v>
      </c>
      <c r="T70" s="2872">
        <f t="shared" si="83"/>
        <v>730.6</v>
      </c>
      <c r="U70" s="2845">
        <f t="shared" si="84"/>
        <v>6575.4</v>
      </c>
      <c r="V70" s="2840">
        <f t="shared" si="85"/>
        <v>6575.4</v>
      </c>
      <c r="W70" s="2840">
        <f>V70*D84</f>
        <v>184111.19999999998</v>
      </c>
      <c r="X70" s="2866">
        <f t="shared" si="86"/>
        <v>204151.19999999998</v>
      </c>
      <c r="Y70" s="327"/>
      <c r="Z70" s="327"/>
      <c r="AA70" s="327"/>
    </row>
    <row r="71" spans="1:27" ht="15" customHeight="1" x14ac:dyDescent="0.2">
      <c r="A71" s="327"/>
      <c r="B71" s="2835"/>
      <c r="C71" s="2648"/>
      <c r="D71" s="2839"/>
      <c r="E71" s="2857"/>
      <c r="F71" s="2840"/>
      <c r="G71" s="2859"/>
      <c r="H71" s="2854"/>
      <c r="I71" s="2841"/>
      <c r="J71" s="2862"/>
      <c r="K71" s="2862"/>
      <c r="L71" s="2842"/>
      <c r="M71" s="2840"/>
      <c r="N71" s="2842"/>
      <c r="O71" s="2840"/>
      <c r="P71" s="2869"/>
      <c r="Q71" s="2840"/>
      <c r="R71" s="2840"/>
      <c r="S71" s="2836"/>
      <c r="T71" s="2872"/>
      <c r="U71" s="2845"/>
      <c r="V71" s="2840"/>
      <c r="W71" s="2840"/>
      <c r="X71" s="2866"/>
      <c r="Y71" s="327"/>
      <c r="Z71" s="327"/>
      <c r="AA71" s="327"/>
    </row>
    <row r="72" spans="1:27" ht="15" customHeight="1" x14ac:dyDescent="0.2">
      <c r="A72" s="327"/>
      <c r="B72" s="2837" t="s">
        <v>809</v>
      </c>
      <c r="C72" s="2892" t="s">
        <v>2105</v>
      </c>
      <c r="D72" s="2894">
        <v>7.2</v>
      </c>
      <c r="E72" s="2874">
        <f>D72*1000000*0.9071847</f>
        <v>6531729.8399999999</v>
      </c>
      <c r="F72" s="2895">
        <v>82000</v>
      </c>
      <c r="G72" s="2875">
        <f>F72*0.9071847</f>
        <v>74389.145399999994</v>
      </c>
      <c r="H72" s="2876">
        <v>1955</v>
      </c>
      <c r="I72" s="2896">
        <v>2031</v>
      </c>
      <c r="J72" s="2877">
        <f>14170</f>
        <v>14170</v>
      </c>
      <c r="K72" s="2877">
        <f>5163</f>
        <v>5163</v>
      </c>
      <c r="L72" s="2898">
        <v>0.54730000000000001</v>
      </c>
      <c r="M72" s="2895">
        <f>K72*L72</f>
        <v>2825.7098999999998</v>
      </c>
      <c r="N72" s="2898">
        <v>0.98</v>
      </c>
      <c r="O72" s="2895">
        <f>M72*N72</f>
        <v>2769.195702</v>
      </c>
      <c r="P72" s="2879">
        <f>O72*2.75</f>
        <v>7615.2881804999997</v>
      </c>
      <c r="Q72" s="2895">
        <f>M72*(1-N72)</f>
        <v>56.51419800000005</v>
      </c>
      <c r="R72" s="2895">
        <f>K72*(1-L72)</f>
        <v>2337.2901000000002</v>
      </c>
      <c r="S72" s="2898">
        <v>0.1</v>
      </c>
      <c r="T72" s="2895">
        <f>R72*S72</f>
        <v>233.72901000000002</v>
      </c>
      <c r="U72" s="2895">
        <f>R72-T72</f>
        <v>2103.5610900000001</v>
      </c>
      <c r="V72" s="2895">
        <f>U72</f>
        <v>2103.5610900000001</v>
      </c>
      <c r="W72" s="2895">
        <f>V72*D84</f>
        <v>58899.710520000008</v>
      </c>
      <c r="X72" s="2900">
        <f>J72+W72</f>
        <v>73069.710520000008</v>
      </c>
      <c r="Y72" s="327"/>
      <c r="Z72" s="327"/>
      <c r="AA72" s="327"/>
    </row>
    <row r="73" spans="1:27" ht="15" customHeight="1" x14ac:dyDescent="0.2">
      <c r="A73" s="327"/>
      <c r="B73" s="2835"/>
      <c r="C73" s="2648"/>
      <c r="D73" s="2648"/>
      <c r="E73" s="2857"/>
      <c r="F73" s="2856"/>
      <c r="G73" s="2857"/>
      <c r="H73" s="2852"/>
      <c r="I73" s="2648"/>
      <c r="J73" s="2862"/>
      <c r="K73" s="2862"/>
      <c r="L73" s="2842"/>
      <c r="M73" s="2840"/>
      <c r="N73" s="2842"/>
      <c r="O73" s="2840"/>
      <c r="P73" s="2869"/>
      <c r="Q73" s="2840"/>
      <c r="R73" s="2840"/>
      <c r="S73" s="2836"/>
      <c r="T73" s="2872"/>
      <c r="U73" s="2845"/>
      <c r="V73" s="2840"/>
      <c r="W73" s="2840"/>
      <c r="X73" s="2866"/>
      <c r="Y73" s="327"/>
      <c r="Z73" s="327"/>
      <c r="AA73" s="327"/>
    </row>
    <row r="74" spans="1:27" ht="15" customHeight="1" x14ac:dyDescent="0.2">
      <c r="A74" s="327"/>
      <c r="B74" s="2837" t="s">
        <v>810</v>
      </c>
      <c r="C74" s="2843" t="s">
        <v>2106</v>
      </c>
      <c r="D74" s="2844">
        <v>4.8</v>
      </c>
      <c r="E74" s="2857">
        <f>D74*1000000*0.9071847</f>
        <v>4354486.5599999996</v>
      </c>
      <c r="F74" s="2845">
        <v>70000</v>
      </c>
      <c r="G74" s="2859">
        <f>F74*0.9071847</f>
        <v>63502.928999999996</v>
      </c>
      <c r="H74" s="2854">
        <v>1990</v>
      </c>
      <c r="I74" s="2847">
        <v>2028</v>
      </c>
      <c r="J74" s="2862">
        <f>4414</f>
        <v>4414</v>
      </c>
      <c r="K74" s="2862">
        <f>1609</f>
        <v>1609</v>
      </c>
      <c r="L74" s="2838"/>
      <c r="M74" s="2845"/>
      <c r="N74" s="2838"/>
      <c r="O74" s="2845"/>
      <c r="P74" s="2869"/>
      <c r="Q74" s="2845"/>
      <c r="R74" s="2845">
        <f>K74</f>
        <v>1609</v>
      </c>
      <c r="S74" s="2838">
        <v>0.1</v>
      </c>
      <c r="T74" s="2872">
        <f t="shared" ref="T74:T75" si="88">R74*S74</f>
        <v>160.9</v>
      </c>
      <c r="U74" s="2845">
        <f t="shared" ref="U74:U75" si="89">R74-T74</f>
        <v>1448.1</v>
      </c>
      <c r="V74" s="2845">
        <f t="shared" ref="V74:V75" si="90">U74+Q74</f>
        <v>1448.1</v>
      </c>
      <c r="W74" s="2845">
        <f>V74*D84</f>
        <v>40546.799999999996</v>
      </c>
      <c r="X74" s="2867">
        <f t="shared" ref="X74:X75" si="91">J74+P74+W74</f>
        <v>44960.799999999996</v>
      </c>
      <c r="Y74" s="327"/>
      <c r="Z74" s="327"/>
      <c r="AA74" s="327"/>
    </row>
    <row r="75" spans="1:27" ht="15" customHeight="1" x14ac:dyDescent="0.2">
      <c r="A75" s="327"/>
      <c r="B75" s="2835"/>
      <c r="C75" s="2880" t="s">
        <v>1913</v>
      </c>
      <c r="D75" s="2880"/>
      <c r="E75" s="2910"/>
      <c r="F75" s="2880"/>
      <c r="G75" s="2910"/>
      <c r="H75" s="2910"/>
      <c r="I75" s="2880"/>
      <c r="J75" s="2887">
        <f>4.614</f>
        <v>4.6139999999999999</v>
      </c>
      <c r="K75" s="2887">
        <f>1.682</f>
        <v>1.6819999999999999</v>
      </c>
      <c r="L75" s="2911">
        <v>8.6999999999999994E-3</v>
      </c>
      <c r="M75" s="2883">
        <f>K75*L75</f>
        <v>1.4633399999999998E-2</v>
      </c>
      <c r="N75" s="2889">
        <v>0.98</v>
      </c>
      <c r="O75" s="2883">
        <f>M75*N75</f>
        <v>1.4340731999999998E-2</v>
      </c>
      <c r="P75" s="2890">
        <f>O75*2.75</f>
        <v>3.9437012999999993E-2</v>
      </c>
      <c r="Q75" s="2883">
        <f>M75*(1-N75)</f>
        <v>2.9266800000000021E-4</v>
      </c>
      <c r="R75" s="2883">
        <f>K75*(1-L75)</f>
        <v>1.6673665999999998</v>
      </c>
      <c r="S75" s="2889">
        <v>0.1</v>
      </c>
      <c r="T75" s="2883">
        <f t="shared" si="88"/>
        <v>0.16673665999999998</v>
      </c>
      <c r="U75" s="2883">
        <f t="shared" si="89"/>
        <v>1.5006299399999998</v>
      </c>
      <c r="V75" s="2883">
        <f t="shared" si="90"/>
        <v>1.5009226079999998</v>
      </c>
      <c r="W75" s="2883">
        <f>V75*D84</f>
        <v>42.025833023999994</v>
      </c>
      <c r="X75" s="2891">
        <f t="shared" si="91"/>
        <v>46.679270036999995</v>
      </c>
      <c r="Y75" s="327"/>
      <c r="Z75" s="327"/>
      <c r="AA75" s="327"/>
    </row>
    <row r="76" spans="1:27" ht="15" customHeight="1" x14ac:dyDescent="0.2">
      <c r="A76" s="327"/>
      <c r="B76" s="2835"/>
      <c r="C76" s="2648"/>
      <c r="D76" s="2648"/>
      <c r="E76" s="2852"/>
      <c r="F76" s="2648"/>
      <c r="G76" s="2852"/>
      <c r="H76" s="2852"/>
      <c r="I76" s="2648"/>
      <c r="J76" s="2862"/>
      <c r="K76" s="2862"/>
      <c r="L76" s="2836"/>
      <c r="M76" s="2840"/>
      <c r="N76" s="2836"/>
      <c r="O76" s="2840"/>
      <c r="P76" s="2869"/>
      <c r="Q76" s="2840"/>
      <c r="R76" s="2840"/>
      <c r="S76" s="2836"/>
      <c r="T76" s="2872"/>
      <c r="U76" s="2845"/>
      <c r="V76" s="2840"/>
      <c r="W76" s="2840"/>
      <c r="X76" s="2866"/>
      <c r="Y76" s="327"/>
      <c r="Z76" s="327"/>
      <c r="AA76" s="327"/>
    </row>
    <row r="77" spans="1:27" ht="15" customHeight="1" x14ac:dyDescent="0.2">
      <c r="A77" s="327"/>
      <c r="B77" s="2848"/>
      <c r="C77" s="2849"/>
      <c r="D77" s="2849"/>
      <c r="E77" s="2858"/>
      <c r="F77" s="2849"/>
      <c r="G77" s="2858"/>
      <c r="H77" s="2858"/>
      <c r="I77" s="2849"/>
      <c r="J77" s="2863">
        <f t="shared" ref="J77:K77" si="92">SUM(J11:J75)</f>
        <v>313090.51400000002</v>
      </c>
      <c r="K77" s="2863">
        <f t="shared" si="92"/>
        <v>121024.43627295196</v>
      </c>
      <c r="L77" s="2850"/>
      <c r="M77" s="2864">
        <f>SUM(M11:M75)</f>
        <v>61305.499527450345</v>
      </c>
      <c r="N77" s="2850"/>
      <c r="O77" s="2864">
        <f t="shared" ref="O77:R77" si="93">SUM(O11:O75)</f>
        <v>60141.144374070413</v>
      </c>
      <c r="P77" s="2871">
        <f t="shared" si="93"/>
        <v>165388.14702869364</v>
      </c>
      <c r="Q77" s="2864">
        <f t="shared" si="93"/>
        <v>1164.3551533799273</v>
      </c>
      <c r="R77" s="2864">
        <f t="shared" si="93"/>
        <v>59718.936745501633</v>
      </c>
      <c r="S77" s="2850"/>
      <c r="T77" s="2873">
        <f t="shared" ref="T77:X77" si="94">SUM(T11:T75)</f>
        <v>5971.8936745501642</v>
      </c>
      <c r="U77" s="2864">
        <f t="shared" si="94"/>
        <v>53747.043070951484</v>
      </c>
      <c r="V77" s="2864">
        <f t="shared" si="94"/>
        <v>54777.945901531421</v>
      </c>
      <c r="W77" s="2864">
        <f t="shared" si="94"/>
        <v>1533782.4852428793</v>
      </c>
      <c r="X77" s="2864">
        <f t="shared" si="94"/>
        <v>1973622.4004369823</v>
      </c>
      <c r="Y77" s="327"/>
      <c r="Z77" s="327"/>
      <c r="AA77" s="327"/>
    </row>
    <row r="78" spans="1:27" ht="18.75" customHeight="1" x14ac:dyDescent="0.25">
      <c r="A78" s="327"/>
      <c r="B78" s="327"/>
      <c r="C78" s="327"/>
      <c r="D78" s="327"/>
      <c r="E78" s="327"/>
      <c r="F78" s="327"/>
      <c r="G78" s="301"/>
      <c r="H78" s="327"/>
      <c r="I78" s="327"/>
      <c r="J78" s="431"/>
      <c r="K78" s="327"/>
      <c r="L78" s="327"/>
      <c r="M78" s="2436"/>
      <c r="N78" s="327"/>
      <c r="O78" s="938"/>
      <c r="P78" s="327"/>
      <c r="Q78" s="301"/>
      <c r="R78" s="327"/>
      <c r="S78" s="327"/>
      <c r="T78" s="327"/>
      <c r="U78" s="327"/>
      <c r="V78" s="431"/>
      <c r="W78" s="327"/>
      <c r="X78" s="327"/>
      <c r="Y78" s="327"/>
      <c r="Z78" s="327"/>
      <c r="AA78" s="327"/>
    </row>
    <row r="79" spans="1:27" ht="14.25" customHeight="1" x14ac:dyDescent="0.2">
      <c r="A79" s="327"/>
      <c r="B79" s="327"/>
      <c r="C79" s="327"/>
      <c r="D79" s="327"/>
      <c r="E79" s="327"/>
      <c r="F79" s="327"/>
      <c r="G79" s="327"/>
      <c r="H79" s="327"/>
      <c r="I79" s="327"/>
      <c r="J79" s="327"/>
      <c r="K79" s="327"/>
      <c r="L79" s="327"/>
      <c r="M79" s="2436"/>
      <c r="N79" s="327"/>
      <c r="O79" s="938"/>
      <c r="P79" s="327"/>
      <c r="Q79" s="327"/>
      <c r="R79" s="327"/>
      <c r="S79" s="327"/>
      <c r="T79" s="327"/>
      <c r="U79" s="327"/>
      <c r="V79" s="327"/>
      <c r="W79" s="327"/>
      <c r="X79" s="2437"/>
      <c r="Y79" s="327"/>
      <c r="Z79" s="327"/>
      <c r="AA79" s="327"/>
    </row>
    <row r="80" spans="1:27" ht="12.75" customHeight="1" x14ac:dyDescent="0.2">
      <c r="A80" s="327"/>
      <c r="B80" s="327"/>
      <c r="C80" s="327"/>
      <c r="D80" s="327"/>
      <c r="E80" s="327"/>
      <c r="F80" s="327"/>
      <c r="G80" s="327"/>
      <c r="H80" s="327"/>
      <c r="I80" s="327"/>
      <c r="J80" s="327"/>
      <c r="K80" s="327"/>
      <c r="L80" s="327"/>
      <c r="M80" s="2436"/>
      <c r="N80" s="327"/>
      <c r="O80" s="938"/>
      <c r="P80" s="327"/>
      <c r="Q80" s="327"/>
      <c r="R80" s="327"/>
      <c r="S80" s="327"/>
      <c r="T80" s="327"/>
      <c r="U80" s="327"/>
      <c r="V80" s="327"/>
      <c r="W80" s="327"/>
      <c r="X80" s="327"/>
      <c r="Y80" s="327"/>
      <c r="Z80" s="327"/>
      <c r="AA80" s="327"/>
    </row>
    <row r="81" spans="1:27" ht="15.6" x14ac:dyDescent="0.35">
      <c r="A81" s="327"/>
      <c r="B81" s="327"/>
      <c r="C81" s="2933" t="s">
        <v>1</v>
      </c>
      <c r="D81" s="2934"/>
      <c r="E81" s="327"/>
      <c r="F81" s="327"/>
      <c r="G81" s="3028" t="s">
        <v>2110</v>
      </c>
      <c r="H81" s="3029"/>
      <c r="I81" s="3029"/>
      <c r="J81" s="3030"/>
      <c r="K81" s="2914">
        <f>K77</f>
        <v>121024.43627295196</v>
      </c>
      <c r="L81" s="738"/>
      <c r="M81" s="2438" t="s">
        <v>1914</v>
      </c>
      <c r="N81" s="2439"/>
      <c r="O81" s="2440">
        <f>LFGTE_II!M65</f>
        <v>27865.373695425566</v>
      </c>
      <c r="P81" s="738"/>
      <c r="Q81" s="3031" t="s">
        <v>1915</v>
      </c>
      <c r="R81" s="3032"/>
      <c r="S81" s="3032"/>
      <c r="T81" s="3032"/>
      <c r="U81" s="3033"/>
      <c r="V81" s="2921">
        <f>LFGTE_II!N65+LFGTE_II!O65</f>
        <v>31361.325905140118</v>
      </c>
      <c r="W81" s="143"/>
      <c r="X81" s="2441"/>
      <c r="Y81" s="327"/>
      <c r="Z81" s="327"/>
      <c r="AA81" s="327"/>
    </row>
    <row r="82" spans="1:27" ht="15.6" x14ac:dyDescent="0.35">
      <c r="A82" s="327"/>
      <c r="B82" s="327"/>
      <c r="C82" s="2641"/>
      <c r="D82" s="2642" t="str">
        <f>Summary!E3</f>
        <v>AR5 100-yr GWP</v>
      </c>
      <c r="E82" s="327"/>
      <c r="F82" s="327"/>
      <c r="G82" s="2442" t="s">
        <v>1916</v>
      </c>
      <c r="H82" s="420"/>
      <c r="I82" s="420"/>
      <c r="J82" s="420"/>
      <c r="K82" s="2915">
        <f>D84</f>
        <v>28</v>
      </c>
      <c r="L82" s="755"/>
      <c r="M82" s="420" t="s">
        <v>1917</v>
      </c>
      <c r="N82" s="755"/>
      <c r="O82" s="420">
        <f>D84</f>
        <v>28</v>
      </c>
      <c r="P82" s="755"/>
      <c r="Q82" s="3019" t="s">
        <v>1918</v>
      </c>
      <c r="R82" s="2992"/>
      <c r="S82" s="2992"/>
      <c r="T82" s="2992"/>
      <c r="U82" s="2969"/>
      <c r="V82" s="2443">
        <f>D84</f>
        <v>28</v>
      </c>
      <c r="W82" s="327"/>
      <c r="X82" s="327"/>
      <c r="Y82" s="327"/>
      <c r="Z82" s="327"/>
      <c r="AA82" s="327"/>
    </row>
    <row r="83" spans="1:27" ht="15.6" x14ac:dyDescent="0.35">
      <c r="A83" s="327"/>
      <c r="B83" s="327"/>
      <c r="C83" s="2641" t="s">
        <v>521</v>
      </c>
      <c r="D83" s="2642">
        <f>Summary!E4</f>
        <v>1</v>
      </c>
      <c r="E83" s="327"/>
      <c r="F83" s="327"/>
      <c r="G83" s="3034" t="s">
        <v>2111</v>
      </c>
      <c r="H83" s="2992"/>
      <c r="I83" s="2969"/>
      <c r="J83" s="2444"/>
      <c r="K83" s="2916">
        <f>(K81*K82)*0.907184</f>
        <v>3074160.1014835662</v>
      </c>
      <c r="L83" s="755"/>
      <c r="M83" s="3035" t="s">
        <v>1919</v>
      </c>
      <c r="N83" s="2969"/>
      <c r="O83" s="2445">
        <f>(O81*O82)*0.907184</f>
        <v>707812.59277430642</v>
      </c>
      <c r="P83" s="420"/>
      <c r="Q83" s="3024" t="s">
        <v>1920</v>
      </c>
      <c r="R83" s="2992"/>
      <c r="S83" s="2992"/>
      <c r="T83" s="2992"/>
      <c r="U83" s="2969"/>
      <c r="V83" s="2446">
        <f>(V81*V82)*0.907184</f>
        <v>796613.80623800179</v>
      </c>
      <c r="W83" s="143"/>
      <c r="X83" s="327"/>
      <c r="Y83" s="327"/>
      <c r="Z83" s="327"/>
      <c r="AA83" s="327"/>
    </row>
    <row r="84" spans="1:27" ht="15.6" x14ac:dyDescent="0.35">
      <c r="A84" s="327"/>
      <c r="B84" s="327"/>
      <c r="C84" s="2641" t="s">
        <v>523</v>
      </c>
      <c r="D84" s="2642">
        <f>Summary!E5</f>
        <v>28</v>
      </c>
      <c r="E84" s="327"/>
      <c r="F84" s="327"/>
      <c r="G84" s="3021" t="s">
        <v>2112</v>
      </c>
      <c r="H84" s="2992"/>
      <c r="I84" s="2969"/>
      <c r="J84" s="2447"/>
      <c r="K84" s="2917">
        <f>K83*7%</f>
        <v>215191.20710384965</v>
      </c>
      <c r="L84" s="755"/>
      <c r="M84" s="420"/>
      <c r="N84" s="420"/>
      <c r="O84" s="420"/>
      <c r="P84" s="420"/>
      <c r="Q84" s="3019"/>
      <c r="R84" s="2992"/>
      <c r="S84" s="2992"/>
      <c r="T84" s="2992"/>
      <c r="U84" s="2969"/>
      <c r="V84" s="2443"/>
      <c r="W84" s="143"/>
      <c r="X84" s="327"/>
      <c r="Y84" s="327"/>
      <c r="Z84" s="327"/>
      <c r="AA84" s="327"/>
    </row>
    <row r="85" spans="1:27" ht="13.2" x14ac:dyDescent="0.25">
      <c r="A85" s="327"/>
      <c r="B85" s="327"/>
      <c r="C85" s="2641" t="s">
        <v>525</v>
      </c>
      <c r="D85" s="2642">
        <f>Summary!E6</f>
        <v>265</v>
      </c>
      <c r="E85" s="327"/>
      <c r="F85" s="327"/>
      <c r="G85" s="2442"/>
      <c r="H85" s="420"/>
      <c r="I85" s="420"/>
      <c r="J85" s="420"/>
      <c r="K85" s="2918"/>
      <c r="L85" s="755"/>
      <c r="M85" s="2449"/>
      <c r="N85" s="420"/>
      <c r="O85" s="2448"/>
      <c r="P85" s="420"/>
      <c r="Q85" s="3020" t="s">
        <v>1921</v>
      </c>
      <c r="R85" s="2992"/>
      <c r="S85" s="2992"/>
      <c r="T85" s="2992"/>
      <c r="U85" s="2969"/>
      <c r="V85" s="2450">
        <f>V83*(12/44)</f>
        <v>217258.31079218228</v>
      </c>
      <c r="W85" s="143"/>
      <c r="X85" s="327"/>
      <c r="Y85" s="327"/>
      <c r="Z85" s="327"/>
      <c r="AA85" s="327"/>
    </row>
    <row r="86" spans="1:27" ht="13.2" x14ac:dyDescent="0.25">
      <c r="A86" s="327"/>
      <c r="B86" s="327"/>
      <c r="C86" s="2641" t="s">
        <v>526</v>
      </c>
      <c r="D86" s="2643">
        <f>Summary!E7</f>
        <v>23500</v>
      </c>
      <c r="E86" s="327"/>
      <c r="F86" s="327"/>
      <c r="G86" s="2442"/>
      <c r="H86" s="420"/>
      <c r="I86" s="420"/>
      <c r="J86" s="420"/>
      <c r="K86" s="2828"/>
      <c r="L86" s="755"/>
      <c r="M86" s="420"/>
      <c r="N86" s="420"/>
      <c r="O86" s="420"/>
      <c r="P86" s="420"/>
      <c r="Q86" s="3019"/>
      <c r="R86" s="2992"/>
      <c r="S86" s="2992"/>
      <c r="T86" s="2992"/>
      <c r="U86" s="2969"/>
      <c r="V86" s="2443"/>
      <c r="W86" s="143"/>
      <c r="X86" s="327"/>
      <c r="Y86" s="327"/>
      <c r="Z86" s="327"/>
      <c r="AA86" s="327"/>
    </row>
    <row r="87" spans="1:27" ht="15.6" x14ac:dyDescent="0.35">
      <c r="A87" s="327"/>
      <c r="B87" s="327"/>
      <c r="C87" s="327"/>
      <c r="D87" s="327"/>
      <c r="E87" s="327"/>
      <c r="F87" s="327"/>
      <c r="G87" s="3022" t="s">
        <v>1922</v>
      </c>
      <c r="H87" s="2992"/>
      <c r="I87" s="2969"/>
      <c r="J87" s="2451"/>
      <c r="K87" s="2919">
        <f>(K83+K84)</f>
        <v>3289351.3085874161</v>
      </c>
      <c r="L87" s="755"/>
      <c r="M87" s="3025" t="s">
        <v>1923</v>
      </c>
      <c r="N87" s="2969"/>
      <c r="O87" s="2452">
        <f>O83+V83</f>
        <v>1504426.3990123081</v>
      </c>
      <c r="P87" s="420"/>
      <c r="Q87" s="3026" t="s">
        <v>1924</v>
      </c>
      <c r="R87" s="2992"/>
      <c r="S87" s="2992"/>
      <c r="T87" s="2992"/>
      <c r="U87" s="2969"/>
      <c r="V87" s="2453">
        <f>T77</f>
        <v>5971.8936745501642</v>
      </c>
      <c r="W87" s="143"/>
      <c r="X87" s="327"/>
      <c r="Y87" s="327"/>
      <c r="Z87" s="327"/>
      <c r="AA87" s="327"/>
    </row>
    <row r="88" spans="1:27" ht="15.6" x14ac:dyDescent="0.35">
      <c r="A88" s="327"/>
      <c r="B88" s="327"/>
      <c r="C88" s="327"/>
      <c r="D88" s="327"/>
      <c r="E88" s="327"/>
      <c r="F88" s="327"/>
      <c r="G88" s="2442"/>
      <c r="H88" s="420"/>
      <c r="I88" s="420"/>
      <c r="J88" s="420"/>
      <c r="K88" s="2828"/>
      <c r="L88" s="755"/>
      <c r="M88" s="420"/>
      <c r="N88" s="420"/>
      <c r="O88" s="420"/>
      <c r="P88" s="420"/>
      <c r="Q88" s="3019" t="s">
        <v>1925</v>
      </c>
      <c r="R88" s="2992"/>
      <c r="S88" s="2992"/>
      <c r="T88" s="2992"/>
      <c r="U88" s="2969"/>
      <c r="V88" s="2443">
        <f>D84</f>
        <v>28</v>
      </c>
      <c r="W88" s="143"/>
      <c r="X88" s="327"/>
      <c r="Y88" s="327"/>
      <c r="Z88" s="327"/>
      <c r="AA88" s="327"/>
    </row>
    <row r="89" spans="1:27" ht="15.6" x14ac:dyDescent="0.35">
      <c r="A89" s="327"/>
      <c r="B89" s="327"/>
      <c r="C89" s="327"/>
      <c r="D89" s="327"/>
      <c r="E89" s="327"/>
      <c r="F89" s="327"/>
      <c r="G89" s="3023" t="s">
        <v>1926</v>
      </c>
      <c r="H89" s="2992"/>
      <c r="I89" s="2969"/>
      <c r="J89" s="2454"/>
      <c r="K89" s="2920">
        <f>K87*(12/44)</f>
        <v>897095.81143293157</v>
      </c>
      <c r="L89" s="755"/>
      <c r="M89" s="3025" t="s">
        <v>1927</v>
      </c>
      <c r="N89" s="2969"/>
      <c r="O89" s="2452">
        <f>O87*(12/44)</f>
        <v>410298.10882153857</v>
      </c>
      <c r="P89" s="420"/>
      <c r="Q89" s="3027" t="s">
        <v>1928</v>
      </c>
      <c r="R89" s="2992"/>
      <c r="S89" s="2992"/>
      <c r="T89" s="2992"/>
      <c r="U89" s="2969"/>
      <c r="V89" s="2455">
        <f>(V87*V88)*0.907184</f>
        <v>151692.97895508725</v>
      </c>
      <c r="W89" s="143"/>
      <c r="X89" s="327"/>
      <c r="Y89" s="327"/>
      <c r="Z89" s="327"/>
      <c r="AA89" s="327"/>
    </row>
    <row r="90" spans="1:27" ht="13.2" x14ac:dyDescent="0.25">
      <c r="A90" s="327"/>
      <c r="B90" s="327"/>
      <c r="C90" s="327"/>
      <c r="D90" s="327"/>
      <c r="E90" s="327"/>
      <c r="F90" s="327"/>
      <c r="G90" s="837"/>
      <c r="H90" s="755"/>
      <c r="I90" s="755"/>
      <c r="J90" s="755"/>
      <c r="K90" s="755"/>
      <c r="L90" s="755"/>
      <c r="M90" s="420"/>
      <c r="N90" s="420"/>
      <c r="O90" s="420"/>
      <c r="P90" s="420"/>
      <c r="Q90" s="3019"/>
      <c r="R90" s="2992"/>
      <c r="S90" s="2992"/>
      <c r="T90" s="2992"/>
      <c r="U90" s="2969"/>
      <c r="V90" s="2443"/>
      <c r="W90" s="143"/>
      <c r="X90" s="327"/>
      <c r="Y90" s="327"/>
      <c r="Z90" s="327"/>
      <c r="AA90" s="327"/>
    </row>
    <row r="91" spans="1:27" ht="13.2" x14ac:dyDescent="0.25">
      <c r="A91" s="327"/>
      <c r="B91" s="327"/>
      <c r="C91" s="327"/>
      <c r="D91" s="327"/>
      <c r="E91" s="327"/>
      <c r="F91" s="327"/>
      <c r="G91" s="837"/>
      <c r="H91" s="755"/>
      <c r="I91" s="755"/>
      <c r="J91" s="755"/>
      <c r="K91" s="755"/>
      <c r="L91" s="755"/>
      <c r="M91" s="420"/>
      <c r="N91" s="420"/>
      <c r="O91" s="420"/>
      <c r="P91" s="420"/>
      <c r="Q91" s="3020" t="s">
        <v>1929</v>
      </c>
      <c r="R91" s="2992"/>
      <c r="S91" s="2992"/>
      <c r="T91" s="2992"/>
      <c r="U91" s="2969"/>
      <c r="V91" s="2450">
        <f>V89*(12/44)</f>
        <v>41370.812442296519</v>
      </c>
      <c r="W91" s="143"/>
      <c r="X91" s="327"/>
      <c r="Y91" s="327"/>
      <c r="Z91" s="327"/>
      <c r="AA91" s="327"/>
    </row>
    <row r="92" spans="1:27" ht="13.2" x14ac:dyDescent="0.25">
      <c r="A92" s="327"/>
      <c r="B92" s="327"/>
      <c r="C92" s="327"/>
      <c r="D92" s="327"/>
      <c r="E92" s="327"/>
      <c r="F92" s="327"/>
      <c r="G92" s="837"/>
      <c r="H92" s="755"/>
      <c r="I92" s="755"/>
      <c r="J92" s="755"/>
      <c r="K92" s="755"/>
      <c r="L92" s="755"/>
      <c r="M92" s="420"/>
      <c r="N92" s="420"/>
      <c r="O92" s="420"/>
      <c r="P92" s="420"/>
      <c r="Q92" s="3019"/>
      <c r="R92" s="2992"/>
      <c r="S92" s="2992"/>
      <c r="T92" s="2992"/>
      <c r="U92" s="2969"/>
      <c r="V92" s="2443"/>
      <c r="W92" s="143"/>
      <c r="X92" s="327"/>
      <c r="Y92" s="327"/>
      <c r="Z92" s="327"/>
      <c r="AA92" s="327"/>
    </row>
    <row r="93" spans="1:27" ht="15.6" x14ac:dyDescent="0.35">
      <c r="A93" s="327"/>
      <c r="B93" s="327"/>
      <c r="C93" s="327"/>
      <c r="D93" s="327"/>
      <c r="E93" s="327"/>
      <c r="F93" s="327"/>
      <c r="G93" s="837"/>
      <c r="H93" s="755"/>
      <c r="I93" s="755"/>
      <c r="J93" s="755"/>
      <c r="K93" s="755"/>
      <c r="L93" s="755"/>
      <c r="M93" s="420"/>
      <c r="N93" s="420"/>
      <c r="O93" s="420"/>
      <c r="P93" s="420"/>
      <c r="Q93" s="3014" t="s">
        <v>1930</v>
      </c>
      <c r="R93" s="2992"/>
      <c r="S93" s="2992"/>
      <c r="T93" s="2992"/>
      <c r="U93" s="2969"/>
      <c r="V93" s="2456">
        <f>V89*7%</f>
        <v>10618.508526856109</v>
      </c>
      <c r="W93" s="143"/>
      <c r="X93" s="327"/>
      <c r="Y93" s="327"/>
      <c r="Z93" s="327"/>
      <c r="AA93" s="327"/>
    </row>
    <row r="94" spans="1:27" ht="13.2" x14ac:dyDescent="0.25">
      <c r="A94" s="327"/>
      <c r="B94" s="327"/>
      <c r="C94" s="327"/>
      <c r="D94" s="327"/>
      <c r="E94" s="327"/>
      <c r="F94" s="327"/>
      <c r="G94" s="837"/>
      <c r="H94" s="755"/>
      <c r="I94" s="755"/>
      <c r="J94" s="755"/>
      <c r="K94" s="755"/>
      <c r="L94" s="755"/>
      <c r="M94" s="420"/>
      <c r="N94" s="420"/>
      <c r="O94" s="420"/>
      <c r="P94" s="420"/>
      <c r="Q94" s="3019"/>
      <c r="R94" s="2992"/>
      <c r="S94" s="2992"/>
      <c r="T94" s="2992"/>
      <c r="U94" s="2969"/>
      <c r="V94" s="2443"/>
      <c r="W94" s="143"/>
      <c r="X94" s="327"/>
      <c r="Y94" s="327"/>
      <c r="Z94" s="327"/>
      <c r="AA94" s="327"/>
    </row>
    <row r="95" spans="1:27" ht="13.2" x14ac:dyDescent="0.25">
      <c r="A95" s="327"/>
      <c r="B95" s="327"/>
      <c r="C95" s="327"/>
      <c r="D95" s="327"/>
      <c r="E95" s="327"/>
      <c r="F95" s="327"/>
      <c r="G95" s="837"/>
      <c r="H95" s="755"/>
      <c r="I95" s="755"/>
      <c r="J95" s="755"/>
      <c r="K95" s="755"/>
      <c r="L95" s="755"/>
      <c r="M95" s="420"/>
      <c r="N95" s="420"/>
      <c r="O95" s="420"/>
      <c r="P95" s="420"/>
      <c r="Q95" s="3014" t="s">
        <v>1931</v>
      </c>
      <c r="R95" s="2992"/>
      <c r="S95" s="2992"/>
      <c r="T95" s="2992"/>
      <c r="U95" s="2969"/>
      <c r="V95" s="2456">
        <f>V93*(12/44)</f>
        <v>2895.9568709607565</v>
      </c>
      <c r="W95" s="143"/>
      <c r="X95" s="327"/>
      <c r="Y95" s="327"/>
      <c r="Z95" s="327"/>
      <c r="AA95" s="327"/>
    </row>
    <row r="96" spans="1:27" ht="13.2" x14ac:dyDescent="0.25">
      <c r="A96" s="327"/>
      <c r="B96" s="327"/>
      <c r="C96" s="327"/>
      <c r="D96" s="327"/>
      <c r="E96" s="327"/>
      <c r="F96" s="327"/>
      <c r="G96" s="837"/>
      <c r="H96" s="755"/>
      <c r="I96" s="755"/>
      <c r="J96" s="755"/>
      <c r="K96" s="755"/>
      <c r="L96" s="755"/>
      <c r="M96" s="420"/>
      <c r="N96" s="420"/>
      <c r="O96" s="420"/>
      <c r="P96" s="420"/>
      <c r="Q96" s="3009"/>
      <c r="R96" s="2992"/>
      <c r="S96" s="2992"/>
      <c r="T96" s="2992"/>
      <c r="U96" s="2969"/>
      <c r="V96" s="2359"/>
      <c r="W96" s="143"/>
      <c r="X96" s="327"/>
      <c r="Y96" s="327"/>
      <c r="Z96" s="327"/>
      <c r="AA96" s="327"/>
    </row>
    <row r="97" spans="1:27" ht="15.6" x14ac:dyDescent="0.35">
      <c r="A97" s="327"/>
      <c r="B97" s="327"/>
      <c r="C97" s="327"/>
      <c r="D97" s="327"/>
      <c r="E97" s="327"/>
      <c r="F97" s="327"/>
      <c r="G97" s="837"/>
      <c r="H97" s="755"/>
      <c r="I97" s="755"/>
      <c r="J97" s="755"/>
      <c r="K97" s="755"/>
      <c r="L97" s="755"/>
      <c r="M97" s="755"/>
      <c r="N97" s="755"/>
      <c r="O97" s="755"/>
      <c r="P97" s="755"/>
      <c r="Q97" s="3015" t="s">
        <v>1932</v>
      </c>
      <c r="R97" s="2992"/>
      <c r="S97" s="2992"/>
      <c r="T97" s="2992"/>
      <c r="U97" s="2969"/>
      <c r="V97" s="2457">
        <f>((K87-O87-V89-V93)+( (LFGTE_II!X65+LFGTE_II!Y65+LFGTE_II!Z65)*0.907184*V88))</f>
        <v>1651973.4010591023</v>
      </c>
      <c r="W97" s="327"/>
      <c r="X97" s="327"/>
      <c r="Y97" s="327"/>
      <c r="Z97" s="327"/>
      <c r="AA97" s="327"/>
    </row>
    <row r="98" spans="1:27" ht="10.199999999999999" x14ac:dyDescent="0.2">
      <c r="A98" s="327"/>
      <c r="B98" s="327"/>
      <c r="C98" s="327"/>
      <c r="D98" s="327"/>
      <c r="E98" s="327"/>
      <c r="F98" s="327"/>
      <c r="G98" s="837"/>
      <c r="H98" s="755"/>
      <c r="I98" s="755"/>
      <c r="J98" s="755"/>
      <c r="K98" s="755"/>
      <c r="L98" s="755"/>
      <c r="M98" s="755"/>
      <c r="N98" s="755"/>
      <c r="O98" s="755"/>
      <c r="P98" s="755"/>
      <c r="Q98" s="3009"/>
      <c r="R98" s="2992"/>
      <c r="S98" s="2992"/>
      <c r="T98" s="2992"/>
      <c r="U98" s="2969"/>
      <c r="V98" s="2359"/>
      <c r="W98" s="327"/>
      <c r="X98" s="327"/>
      <c r="Y98" s="327"/>
      <c r="Z98" s="327"/>
      <c r="AA98" s="327"/>
    </row>
    <row r="99" spans="1:27" ht="13.2" x14ac:dyDescent="0.25">
      <c r="A99" s="327"/>
      <c r="B99" s="327"/>
      <c r="C99" s="327"/>
      <c r="D99" s="327"/>
      <c r="E99" s="327"/>
      <c r="F99" s="327"/>
      <c r="G99" s="837"/>
      <c r="H99" s="755"/>
      <c r="I99" s="755"/>
      <c r="J99" s="755"/>
      <c r="K99" s="755"/>
      <c r="L99" s="755"/>
      <c r="M99" s="755"/>
      <c r="N99" s="755"/>
      <c r="O99" s="755"/>
      <c r="P99" s="755"/>
      <c r="Q99" s="3017" t="s">
        <v>2113</v>
      </c>
      <c r="R99" s="3018"/>
      <c r="S99" s="3018"/>
      <c r="T99" s="3018"/>
      <c r="U99" s="2934"/>
      <c r="V99" s="2458">
        <f>(LFGTE_II!T65+LFGTE_II!U65+LFGTE_II!V65)*0.907184</f>
        <v>147756.16418870885</v>
      </c>
      <c r="W99" s="327"/>
      <c r="X99" s="327"/>
      <c r="Y99" s="327"/>
      <c r="Z99" s="327"/>
      <c r="AA99" s="327"/>
    </row>
    <row r="100" spans="1:27" ht="13.2" x14ac:dyDescent="0.25">
      <c r="A100" s="327"/>
      <c r="B100" s="327"/>
      <c r="C100" s="327"/>
      <c r="D100" s="327"/>
      <c r="E100" s="327"/>
      <c r="F100" s="327"/>
      <c r="G100" s="837"/>
      <c r="H100" s="755"/>
      <c r="I100" s="755"/>
      <c r="J100" s="755"/>
      <c r="K100" s="755"/>
      <c r="L100" s="755"/>
      <c r="M100" s="755"/>
      <c r="N100" s="755"/>
      <c r="O100" s="755"/>
      <c r="P100" s="755"/>
      <c r="Q100" s="3016"/>
      <c r="R100" s="2992"/>
      <c r="S100" s="2992"/>
      <c r="T100" s="2992"/>
      <c r="U100" s="2969"/>
      <c r="V100" s="2458"/>
      <c r="W100" s="327"/>
      <c r="X100" s="327"/>
      <c r="Y100" s="327"/>
      <c r="Z100" s="327"/>
      <c r="AA100" s="327"/>
    </row>
    <row r="101" spans="1:27" ht="13.2" x14ac:dyDescent="0.25">
      <c r="A101" s="327"/>
      <c r="B101" s="327"/>
      <c r="C101" s="327"/>
      <c r="D101" s="327"/>
      <c r="E101" s="327"/>
      <c r="F101" s="327"/>
      <c r="G101" s="837"/>
      <c r="H101" s="755"/>
      <c r="I101" s="755"/>
      <c r="J101" s="755"/>
      <c r="K101" s="755"/>
      <c r="L101" s="755"/>
      <c r="M101" s="755"/>
      <c r="N101" s="755"/>
      <c r="O101" s="755"/>
      <c r="P101" s="755"/>
      <c r="Q101" s="3017" t="s">
        <v>1933</v>
      </c>
      <c r="R101" s="3018"/>
      <c r="S101" s="3018"/>
      <c r="T101" s="3018"/>
      <c r="U101" s="2934"/>
      <c r="V101" s="2922">
        <f>V99/1000000</f>
        <v>0.14775616418870885</v>
      </c>
      <c r="W101" s="327"/>
      <c r="X101" s="327"/>
      <c r="Y101" s="327"/>
      <c r="Z101" s="327"/>
      <c r="AA101" s="327"/>
    </row>
    <row r="102" spans="1:27" ht="13.2" x14ac:dyDescent="0.25">
      <c r="A102" s="327"/>
      <c r="B102" s="327"/>
      <c r="C102" s="327"/>
      <c r="D102" s="327"/>
      <c r="E102" s="327"/>
      <c r="F102" s="327"/>
      <c r="G102" s="837"/>
      <c r="H102" s="755"/>
      <c r="I102" s="755"/>
      <c r="J102" s="755"/>
      <c r="K102" s="755"/>
      <c r="L102" s="755"/>
      <c r="M102" s="755"/>
      <c r="N102" s="755"/>
      <c r="O102" s="755"/>
      <c r="P102" s="755"/>
      <c r="Q102" s="3016"/>
      <c r="R102" s="2992"/>
      <c r="S102" s="2992"/>
      <c r="T102" s="2992"/>
      <c r="U102" s="2969"/>
      <c r="V102" s="2458"/>
      <c r="W102" s="327"/>
      <c r="X102" s="327"/>
      <c r="Y102" s="327"/>
      <c r="Z102" s="327"/>
      <c r="AA102" s="327"/>
    </row>
    <row r="103" spans="1:27" ht="13.2" x14ac:dyDescent="0.25">
      <c r="A103" s="327"/>
      <c r="B103" s="327"/>
      <c r="C103" s="327"/>
      <c r="D103" s="327"/>
      <c r="E103" s="327"/>
      <c r="F103" s="327"/>
      <c r="G103" s="837"/>
      <c r="H103" s="755"/>
      <c r="I103" s="755"/>
      <c r="J103" s="755"/>
      <c r="K103" s="755"/>
      <c r="L103" s="755"/>
      <c r="M103" s="755"/>
      <c r="N103" s="755"/>
      <c r="O103" s="755"/>
      <c r="P103" s="755"/>
      <c r="Q103" s="3017" t="s">
        <v>1934</v>
      </c>
      <c r="R103" s="3018"/>
      <c r="S103" s="3018"/>
      <c r="T103" s="3018"/>
      <c r="U103" s="2934"/>
      <c r="V103" s="2459">
        <f>((J77*0.907184)/1000000)+V101</f>
        <v>0.43178686904128488</v>
      </c>
      <c r="W103" s="327"/>
      <c r="X103" s="327"/>
      <c r="Y103" s="327"/>
      <c r="Z103" s="327"/>
      <c r="AA103" s="327"/>
    </row>
    <row r="104" spans="1:27" ht="10.199999999999999" x14ac:dyDescent="0.2">
      <c r="A104" s="327"/>
      <c r="B104" s="327"/>
      <c r="C104" s="327"/>
      <c r="D104" s="327"/>
      <c r="E104" s="327"/>
      <c r="F104" s="327"/>
      <c r="G104" s="837"/>
      <c r="H104" s="755"/>
      <c r="I104" s="755"/>
      <c r="J104" s="755"/>
      <c r="K104" s="755"/>
      <c r="L104" s="755"/>
      <c r="M104" s="755"/>
      <c r="N104" s="755"/>
      <c r="O104" s="755"/>
      <c r="P104" s="755"/>
      <c r="Q104" s="3009"/>
      <c r="R104" s="2992"/>
      <c r="S104" s="2992"/>
      <c r="T104" s="2992"/>
      <c r="U104" s="2969"/>
      <c r="V104" s="2359"/>
      <c r="W104" s="327"/>
      <c r="X104" s="327"/>
      <c r="Y104" s="327"/>
      <c r="Z104" s="327"/>
      <c r="AA104" s="327"/>
    </row>
    <row r="105" spans="1:27" ht="15.6" x14ac:dyDescent="0.35">
      <c r="A105" s="327"/>
      <c r="B105" s="327"/>
      <c r="C105" s="327"/>
      <c r="D105" s="327"/>
      <c r="E105" s="327"/>
      <c r="F105" s="327"/>
      <c r="G105" s="837"/>
      <c r="H105" s="755"/>
      <c r="I105" s="755"/>
      <c r="J105" s="755"/>
      <c r="K105" s="755"/>
      <c r="L105" s="755"/>
      <c r="M105" s="755"/>
      <c r="N105" s="755"/>
      <c r="O105" s="755"/>
      <c r="P105" s="755"/>
      <c r="Q105" s="3010" t="s">
        <v>1935</v>
      </c>
      <c r="R105" s="2992"/>
      <c r="S105" s="2992"/>
      <c r="T105" s="2992"/>
      <c r="U105" s="2969"/>
      <c r="V105" s="2460">
        <f>V97/1000000</f>
        <v>1.6519734010591023</v>
      </c>
      <c r="W105" s="327"/>
      <c r="X105" s="327"/>
      <c r="Y105" s="327"/>
      <c r="Z105" s="327"/>
      <c r="AA105" s="327"/>
    </row>
    <row r="106" spans="1:27" ht="10.199999999999999" x14ac:dyDescent="0.2">
      <c r="A106" s="327"/>
      <c r="B106" s="327"/>
      <c r="C106" s="327"/>
      <c r="D106" s="327"/>
      <c r="E106" s="327"/>
      <c r="F106" s="327"/>
      <c r="G106" s="819"/>
      <c r="H106" s="820"/>
      <c r="I106" s="820"/>
      <c r="J106" s="820"/>
      <c r="K106" s="820"/>
      <c r="L106" s="820"/>
      <c r="M106" s="820"/>
      <c r="N106" s="820"/>
      <c r="O106" s="820"/>
      <c r="P106" s="820"/>
      <c r="Q106" s="3011"/>
      <c r="R106" s="3012"/>
      <c r="S106" s="3012"/>
      <c r="T106" s="3012"/>
      <c r="U106" s="3013"/>
      <c r="V106" s="841"/>
      <c r="W106" s="327"/>
      <c r="X106" s="327"/>
      <c r="Y106" s="327"/>
      <c r="Z106" s="327"/>
      <c r="AA106" s="327"/>
    </row>
    <row r="107" spans="1:27" ht="10.5" customHeight="1" x14ac:dyDescent="0.2">
      <c r="A107" s="327"/>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row>
    <row r="108" spans="1:27" ht="10.5" customHeight="1" x14ac:dyDescent="0.2">
      <c r="A108" s="327"/>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row>
    <row r="109" spans="1:27" ht="10.5" customHeight="1" x14ac:dyDescent="0.2">
      <c r="A109" s="327"/>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row>
    <row r="110" spans="1:27" ht="10.5" customHeight="1" x14ac:dyDescent="0.2">
      <c r="A110" s="327"/>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row>
    <row r="111" spans="1:27" ht="10.5" customHeight="1" x14ac:dyDescent="0.2">
      <c r="A111" s="327"/>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row>
    <row r="112" spans="1:27" ht="10.5" customHeight="1" x14ac:dyDescent="0.2">
      <c r="A112" s="327"/>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row>
    <row r="113" spans="1:27" ht="10.5" customHeight="1" x14ac:dyDescent="0.2">
      <c r="A113" s="327"/>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row>
    <row r="114" spans="1:27" ht="10.5" customHeight="1" x14ac:dyDescent="0.2">
      <c r="A114" s="327"/>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row>
    <row r="115" spans="1:27" ht="10.5" customHeight="1" x14ac:dyDescent="0.2">
      <c r="A115" s="327"/>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row>
    <row r="116" spans="1:27" ht="10.5" customHeight="1" x14ac:dyDescent="0.2">
      <c r="A116" s="327"/>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row>
    <row r="117" spans="1:27" ht="10.5" customHeight="1" x14ac:dyDescent="0.2">
      <c r="A117" s="327"/>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row>
    <row r="118" spans="1:27" ht="10.5" customHeight="1" x14ac:dyDescent="0.2">
      <c r="A118" s="327"/>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row>
    <row r="119" spans="1:27" ht="10.5" customHeight="1" x14ac:dyDescent="0.2">
      <c r="A119" s="327"/>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row>
    <row r="120" spans="1:27" ht="10.5" customHeight="1" x14ac:dyDescent="0.2">
      <c r="A120" s="327"/>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row>
    <row r="121" spans="1:27" ht="10.5" customHeight="1" x14ac:dyDescent="0.2">
      <c r="A121" s="327"/>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row>
    <row r="122" spans="1:27" ht="10.5" customHeight="1" x14ac:dyDescent="0.2">
      <c r="A122" s="327"/>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row>
    <row r="123" spans="1:27" ht="10.5" customHeight="1" x14ac:dyDescent="0.2">
      <c r="A123" s="327"/>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row>
    <row r="124" spans="1:27" ht="10.5" customHeight="1" x14ac:dyDescent="0.2">
      <c r="A124" s="327"/>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row>
    <row r="125" spans="1:27" ht="10.5" customHeight="1" x14ac:dyDescent="0.2">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row>
    <row r="126" spans="1:27" ht="10.5" customHeight="1" x14ac:dyDescent="0.2">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row>
    <row r="127" spans="1:27" ht="10.5" customHeight="1" x14ac:dyDescent="0.2">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row>
    <row r="128" spans="1:27" ht="10.5" customHeight="1" x14ac:dyDescent="0.2">
      <c r="A128" s="327"/>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row>
    <row r="129" spans="1:27" ht="10.5" customHeight="1" x14ac:dyDescent="0.2">
      <c r="A129" s="327"/>
      <c r="B129" s="327"/>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row>
    <row r="130" spans="1:27" ht="10.5" customHeight="1" x14ac:dyDescent="0.2">
      <c r="A130" s="327"/>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row>
    <row r="131" spans="1:27" ht="10.5" customHeight="1" x14ac:dyDescent="0.2">
      <c r="A131" s="327"/>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row>
    <row r="132" spans="1:27" ht="10.5" customHeight="1" x14ac:dyDescent="0.2">
      <c r="A132" s="327"/>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c r="AA132" s="327"/>
    </row>
    <row r="133" spans="1:27" ht="10.5" customHeight="1" x14ac:dyDescent="0.2">
      <c r="A133" s="327"/>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row>
    <row r="134" spans="1:27" ht="10.5" customHeight="1" x14ac:dyDescent="0.2">
      <c r="A134" s="327"/>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c r="AA134" s="327"/>
    </row>
    <row r="135" spans="1:27" ht="10.5" customHeight="1" x14ac:dyDescent="0.2">
      <c r="A135" s="327"/>
      <c r="B135" s="327"/>
      <c r="C135" s="327"/>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c r="AA135" s="327"/>
    </row>
    <row r="136" spans="1:27" ht="10.5" customHeight="1" x14ac:dyDescent="0.2">
      <c r="A136" s="327"/>
      <c r="B136" s="327"/>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c r="AA136" s="327"/>
    </row>
    <row r="137" spans="1:27" ht="10.5" customHeight="1" x14ac:dyDescent="0.2">
      <c r="A137" s="327"/>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row>
    <row r="138" spans="1:27" ht="10.5" customHeight="1" x14ac:dyDescent="0.2">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row>
    <row r="139" spans="1:27" ht="10.5" customHeight="1" x14ac:dyDescent="0.2">
      <c r="A139" s="327"/>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row>
    <row r="140" spans="1:27" ht="10.5" customHeight="1" x14ac:dyDescent="0.2">
      <c r="A140" s="327"/>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row>
    <row r="141" spans="1:27" ht="10.5" customHeight="1" x14ac:dyDescent="0.2">
      <c r="A141" s="327"/>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row>
    <row r="142" spans="1:27" ht="10.5" customHeight="1" x14ac:dyDescent="0.2">
      <c r="A142" s="327"/>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row>
    <row r="143" spans="1:27" ht="10.5" customHeight="1" x14ac:dyDescent="0.2">
      <c r="A143" s="327"/>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row>
    <row r="144" spans="1:27" ht="10.5" customHeight="1" x14ac:dyDescent="0.2">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row>
    <row r="145" spans="1:27" ht="10.5" customHeight="1" x14ac:dyDescent="0.2">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row>
    <row r="146" spans="1:27" ht="10.5" customHeight="1" x14ac:dyDescent="0.2">
      <c r="A146" s="327"/>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row>
    <row r="147" spans="1:27" ht="10.5" customHeight="1" x14ac:dyDescent="0.2">
      <c r="A147" s="327"/>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row>
    <row r="148" spans="1:27" ht="10.5" customHeight="1" x14ac:dyDescent="0.2">
      <c r="A148" s="327"/>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row>
    <row r="149" spans="1:27" ht="10.5" customHeight="1" x14ac:dyDescent="0.2">
      <c r="A149" s="327"/>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row>
    <row r="150" spans="1:27" ht="10.5" customHeight="1" x14ac:dyDescent="0.2">
      <c r="A150" s="327"/>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row>
    <row r="151" spans="1:27" ht="10.5" customHeight="1" x14ac:dyDescent="0.2">
      <c r="A151" s="327"/>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row>
    <row r="152" spans="1:27" ht="10.5" customHeight="1" x14ac:dyDescent="0.2">
      <c r="A152" s="327"/>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row>
    <row r="153" spans="1:27" ht="10.5" customHeight="1" x14ac:dyDescent="0.2">
      <c r="A153" s="327"/>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row>
    <row r="154" spans="1:27" ht="10.5" customHeight="1" x14ac:dyDescent="0.2">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row>
    <row r="155" spans="1:27" ht="10.5" customHeight="1" x14ac:dyDescent="0.2">
      <c r="A155" s="327"/>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row>
    <row r="156" spans="1:27" ht="10.5" customHeight="1" x14ac:dyDescent="0.2">
      <c r="A156" s="327"/>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row>
    <row r="157" spans="1:27" ht="10.5" customHeight="1" x14ac:dyDescent="0.2">
      <c r="A157" s="327"/>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row>
    <row r="158" spans="1:27" ht="10.5" customHeight="1" x14ac:dyDescent="0.2">
      <c r="A158" s="327"/>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row>
    <row r="159" spans="1:27" ht="10.5" customHeight="1" x14ac:dyDescent="0.2">
      <c r="A159" s="327"/>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row>
    <row r="160" spans="1:27" ht="10.5" customHeight="1" x14ac:dyDescent="0.2">
      <c r="A160" s="327"/>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row>
    <row r="161" spans="1:27" ht="10.5" customHeight="1" x14ac:dyDescent="0.2">
      <c r="A161" s="327"/>
      <c r="B161" s="327"/>
      <c r="C161" s="327"/>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c r="AA161" s="327"/>
    </row>
    <row r="162" spans="1:27" ht="10.5" customHeight="1" x14ac:dyDescent="0.2">
      <c r="A162" s="327"/>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row>
    <row r="163" spans="1:27" ht="10.5" customHeight="1" x14ac:dyDescent="0.2">
      <c r="A163" s="327"/>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row>
    <row r="164" spans="1:27" ht="10.5" customHeight="1" x14ac:dyDescent="0.2">
      <c r="A164" s="327"/>
      <c r="B164" s="327"/>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c r="AA164" s="327"/>
    </row>
    <row r="165" spans="1:27" ht="10.5" customHeight="1" x14ac:dyDescent="0.2">
      <c r="A165" s="327"/>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row>
    <row r="166" spans="1:27" ht="10.5" customHeight="1" x14ac:dyDescent="0.2">
      <c r="A166" s="327"/>
      <c r="B166" s="327"/>
      <c r="C166" s="327"/>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c r="AA166" s="327"/>
    </row>
    <row r="167" spans="1:27" ht="10.5" customHeight="1" x14ac:dyDescent="0.2">
      <c r="A167" s="327"/>
      <c r="B167" s="327"/>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c r="AA167" s="327"/>
    </row>
    <row r="168" spans="1:27" ht="10.5" customHeight="1" x14ac:dyDescent="0.2">
      <c r="A168" s="327"/>
      <c r="B168" s="327"/>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row>
    <row r="169" spans="1:27" ht="10.5" customHeight="1" x14ac:dyDescent="0.2">
      <c r="A169" s="327"/>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c r="AA169" s="327"/>
    </row>
    <row r="170" spans="1:27" ht="10.5" customHeight="1" x14ac:dyDescent="0.2">
      <c r="A170" s="327"/>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row>
    <row r="171" spans="1:27" ht="10.5" customHeight="1" x14ac:dyDescent="0.2">
      <c r="A171" s="327"/>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row>
    <row r="172" spans="1:27" ht="10.5" customHeight="1" x14ac:dyDescent="0.2">
      <c r="A172" s="327"/>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row>
    <row r="173" spans="1:27" ht="10.5" customHeight="1" x14ac:dyDescent="0.2">
      <c r="A173" s="327"/>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row>
    <row r="174" spans="1:27" ht="10.5" customHeight="1" x14ac:dyDescent="0.2">
      <c r="A174" s="327"/>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row>
    <row r="175" spans="1:27" ht="10.5" customHeight="1" x14ac:dyDescent="0.2">
      <c r="A175" s="327"/>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row>
    <row r="176" spans="1:27" ht="10.5" customHeight="1" x14ac:dyDescent="0.2">
      <c r="A176" s="327"/>
      <c r="B176" s="327"/>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c r="AA176" s="327"/>
    </row>
    <row r="177" spans="1:27" ht="10.5" customHeight="1" x14ac:dyDescent="0.2">
      <c r="A177" s="327"/>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row>
    <row r="178" spans="1:27" ht="10.5" customHeight="1" x14ac:dyDescent="0.2">
      <c r="A178" s="327"/>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c r="AA178" s="327"/>
    </row>
    <row r="179" spans="1:27" ht="10.5" customHeight="1" x14ac:dyDescent="0.2">
      <c r="A179" s="327"/>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row>
    <row r="180" spans="1:27" ht="10.5" customHeight="1" x14ac:dyDescent="0.2">
      <c r="A180" s="327"/>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row>
    <row r="181" spans="1:27" ht="10.5" customHeight="1" x14ac:dyDescent="0.2">
      <c r="A181" s="327"/>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row>
    <row r="182" spans="1:27" ht="10.5" customHeight="1" x14ac:dyDescent="0.2">
      <c r="A182" s="327"/>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row>
    <row r="183" spans="1:27" ht="10.5" customHeight="1" x14ac:dyDescent="0.2">
      <c r="A183" s="327"/>
      <c r="B183" s="327"/>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c r="AA183" s="327"/>
    </row>
    <row r="184" spans="1:27" ht="10.5" customHeight="1" x14ac:dyDescent="0.2">
      <c r="A184" s="327"/>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row>
    <row r="185" spans="1:27" ht="10.5" customHeight="1" x14ac:dyDescent="0.2">
      <c r="A185" s="327"/>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row>
    <row r="186" spans="1:27" ht="10.5" customHeight="1" x14ac:dyDescent="0.2">
      <c r="A186" s="327"/>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row>
    <row r="187" spans="1:27" ht="10.5" customHeight="1" x14ac:dyDescent="0.2">
      <c r="A187" s="327"/>
      <c r="B187" s="327"/>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c r="AA187" s="327"/>
    </row>
    <row r="188" spans="1:27" ht="10.5" customHeight="1" x14ac:dyDescent="0.2">
      <c r="A188" s="327"/>
      <c r="B188" s="327"/>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row>
    <row r="189" spans="1:27" ht="10.5" customHeight="1" x14ac:dyDescent="0.2">
      <c r="A189" s="327"/>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row>
    <row r="190" spans="1:27" ht="10.5" customHeight="1" x14ac:dyDescent="0.2">
      <c r="A190" s="327"/>
      <c r="B190" s="327"/>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c r="AA190" s="327"/>
    </row>
    <row r="191" spans="1:27" ht="10.5" customHeight="1" x14ac:dyDescent="0.2">
      <c r="A191" s="327"/>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row>
    <row r="192" spans="1:27" ht="10.5" customHeight="1" x14ac:dyDescent="0.2">
      <c r="A192" s="327"/>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row>
    <row r="193" spans="1:27" ht="10.5" customHeight="1" x14ac:dyDescent="0.2">
      <c r="A193" s="327"/>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row>
    <row r="194" spans="1:27" ht="10.5" customHeight="1" x14ac:dyDescent="0.2">
      <c r="A194" s="327"/>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c r="AA194" s="327"/>
    </row>
    <row r="195" spans="1:27" ht="10.5" customHeight="1" x14ac:dyDescent="0.2">
      <c r="A195" s="327"/>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row>
    <row r="196" spans="1:27" ht="10.5" customHeight="1" x14ac:dyDescent="0.2">
      <c r="A196" s="327"/>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row>
    <row r="197" spans="1:27" ht="10.5" customHeight="1" x14ac:dyDescent="0.2">
      <c r="A197" s="327"/>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row>
    <row r="198" spans="1:27" ht="10.5" customHeight="1" x14ac:dyDescent="0.2">
      <c r="A198" s="327"/>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row>
    <row r="199" spans="1:27" ht="10.5" customHeight="1" x14ac:dyDescent="0.2">
      <c r="A199" s="327"/>
      <c r="B199" s="327"/>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c r="AA199" s="327"/>
    </row>
    <row r="200" spans="1:27" ht="10.5" customHeight="1" x14ac:dyDescent="0.2">
      <c r="A200" s="327"/>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row>
    <row r="201" spans="1:27" ht="10.5" customHeight="1" x14ac:dyDescent="0.2">
      <c r="A201" s="327"/>
      <c r="B201" s="327"/>
      <c r="C201" s="327"/>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c r="AA201" s="327"/>
    </row>
    <row r="202" spans="1:27" ht="10.5" customHeight="1" x14ac:dyDescent="0.2">
      <c r="A202" s="327"/>
      <c r="B202" s="327"/>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c r="AA202" s="327"/>
    </row>
    <row r="203" spans="1:27" ht="10.5" customHeight="1" x14ac:dyDescent="0.2">
      <c r="A203" s="327"/>
      <c r="B203" s="327"/>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c r="AA203" s="327"/>
    </row>
    <row r="204" spans="1:27" ht="10.5" customHeight="1" x14ac:dyDescent="0.2">
      <c r="A204" s="327"/>
      <c r="B204" s="327"/>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row>
    <row r="205" spans="1:27" ht="10.5" customHeight="1" x14ac:dyDescent="0.2">
      <c r="A205" s="327"/>
      <c r="B205" s="327"/>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c r="AA205" s="327"/>
    </row>
    <row r="206" spans="1:27" ht="10.5" customHeight="1" x14ac:dyDescent="0.2">
      <c r="A206" s="327"/>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row>
    <row r="207" spans="1:27" ht="10.5" customHeight="1" x14ac:dyDescent="0.2">
      <c r="A207" s="327"/>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row>
    <row r="208" spans="1:27" ht="10.5" customHeight="1" x14ac:dyDescent="0.2">
      <c r="A208" s="327"/>
      <c r="B208" s="327"/>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c r="AA208" s="327"/>
    </row>
    <row r="209" spans="1:27" ht="10.5" customHeight="1" x14ac:dyDescent="0.2">
      <c r="A209" s="327"/>
      <c r="B209" s="327"/>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c r="AA209" s="327"/>
    </row>
    <row r="210" spans="1:27" ht="10.5" customHeight="1" x14ac:dyDescent="0.2">
      <c r="A210" s="327"/>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c r="AA210" s="327"/>
    </row>
    <row r="211" spans="1:27" ht="10.5" customHeight="1" x14ac:dyDescent="0.2">
      <c r="A211" s="327"/>
      <c r="B211" s="327"/>
      <c r="C211" s="327"/>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c r="AA211" s="327"/>
    </row>
    <row r="212" spans="1:27" ht="10.5" customHeight="1" x14ac:dyDescent="0.2">
      <c r="A212" s="327"/>
      <c r="B212" s="327"/>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c r="AA212" s="327"/>
    </row>
    <row r="213" spans="1:27" ht="10.5" customHeight="1" x14ac:dyDescent="0.2">
      <c r="A213" s="327"/>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row>
    <row r="214" spans="1:27" ht="10.5" customHeight="1" x14ac:dyDescent="0.2">
      <c r="A214" s="327"/>
      <c r="B214" s="327"/>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c r="AA214" s="327"/>
    </row>
    <row r="215" spans="1:27" ht="10.5" customHeight="1" x14ac:dyDescent="0.2">
      <c r="A215" s="327"/>
      <c r="B215" s="327"/>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c r="AA215" s="327"/>
    </row>
    <row r="216" spans="1:27" ht="10.5" customHeight="1" x14ac:dyDescent="0.2">
      <c r="A216" s="327"/>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row>
    <row r="217" spans="1:27" ht="10.5" customHeight="1" x14ac:dyDescent="0.2">
      <c r="A217" s="327"/>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327"/>
    </row>
    <row r="218" spans="1:27" ht="10.5" customHeight="1" x14ac:dyDescent="0.2">
      <c r="A218" s="327"/>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c r="AA218" s="327"/>
    </row>
    <row r="219" spans="1:27" ht="10.5" customHeight="1" x14ac:dyDescent="0.2">
      <c r="A219" s="327"/>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row>
    <row r="220" spans="1:27" ht="10.5" customHeight="1" x14ac:dyDescent="0.2">
      <c r="A220" s="327"/>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row>
    <row r="221" spans="1:27" ht="10.5" customHeight="1" x14ac:dyDescent="0.2">
      <c r="A221" s="327"/>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c r="AA221" s="327"/>
    </row>
    <row r="222" spans="1:27" ht="10.5" customHeight="1" x14ac:dyDescent="0.2">
      <c r="A222" s="327"/>
      <c r="B222" s="327"/>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c r="AA222" s="327"/>
    </row>
    <row r="223" spans="1:27" ht="10.5" customHeight="1" x14ac:dyDescent="0.2">
      <c r="A223" s="327"/>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c r="AA223" s="327"/>
    </row>
    <row r="224" spans="1:27" ht="10.5" customHeight="1" x14ac:dyDescent="0.2">
      <c r="A224" s="327"/>
      <c r="B224" s="327"/>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c r="AA224" s="327"/>
    </row>
    <row r="225" spans="1:27" ht="10.5" customHeight="1" x14ac:dyDescent="0.2">
      <c r="A225" s="327"/>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row>
    <row r="226" spans="1:27" ht="10.5" customHeight="1" x14ac:dyDescent="0.2">
      <c r="A226" s="327"/>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c r="AA226" s="327"/>
    </row>
    <row r="227" spans="1:27" ht="10.5" customHeight="1" x14ac:dyDescent="0.2">
      <c r="A227" s="327"/>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c r="AA227" s="327"/>
    </row>
    <row r="228" spans="1:27" ht="10.5" customHeight="1" x14ac:dyDescent="0.2">
      <c r="A228" s="327"/>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row>
    <row r="229" spans="1:27" ht="10.5" customHeight="1" x14ac:dyDescent="0.2">
      <c r="A229" s="327"/>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c r="AA229" s="327"/>
    </row>
    <row r="230" spans="1:27" ht="10.5" customHeight="1" x14ac:dyDescent="0.2">
      <c r="A230" s="327"/>
      <c r="B230" s="327"/>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row>
    <row r="231" spans="1:27" ht="10.5" customHeight="1" x14ac:dyDescent="0.2">
      <c r="A231" s="327"/>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row>
    <row r="232" spans="1:27" ht="10.5" customHeight="1" x14ac:dyDescent="0.2">
      <c r="A232" s="327"/>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row>
    <row r="233" spans="1:27" ht="10.5" customHeight="1" x14ac:dyDescent="0.2">
      <c r="A233" s="327"/>
      <c r="B233" s="327"/>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c r="AA233" s="327"/>
    </row>
    <row r="234" spans="1:27" ht="10.5" customHeight="1" x14ac:dyDescent="0.2">
      <c r="A234" s="327"/>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c r="AA234" s="327"/>
    </row>
    <row r="235" spans="1:27" ht="10.5" customHeight="1" x14ac:dyDescent="0.2">
      <c r="A235" s="327"/>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row>
    <row r="236" spans="1:27" ht="10.5" customHeight="1" x14ac:dyDescent="0.2">
      <c r="A236" s="327"/>
      <c r="B236" s="327"/>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c r="AA236" s="327"/>
    </row>
    <row r="237" spans="1:27" ht="10.5" customHeight="1" x14ac:dyDescent="0.2">
      <c r="A237" s="327"/>
      <c r="B237" s="327"/>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c r="AA237" s="327"/>
    </row>
    <row r="238" spans="1:27" ht="10.5" customHeight="1" x14ac:dyDescent="0.2">
      <c r="A238" s="327"/>
      <c r="B238" s="327"/>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c r="AA238" s="327"/>
    </row>
    <row r="239" spans="1:27" ht="10.5" customHeight="1" x14ac:dyDescent="0.2">
      <c r="A239" s="327"/>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row>
    <row r="240" spans="1:27" ht="10.5" customHeight="1" x14ac:dyDescent="0.2">
      <c r="A240" s="327"/>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c r="AA240" s="327"/>
    </row>
    <row r="241" spans="1:27" ht="10.5" customHeight="1" x14ac:dyDescent="0.2">
      <c r="A241" s="327"/>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c r="AA241" s="327"/>
    </row>
    <row r="242" spans="1:27" ht="10.5" customHeight="1" x14ac:dyDescent="0.2">
      <c r="A242" s="327"/>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row>
    <row r="243" spans="1:27" ht="10.5" customHeight="1" x14ac:dyDescent="0.2">
      <c r="A243" s="327"/>
      <c r="B243" s="327"/>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c r="AA243" s="327"/>
    </row>
    <row r="244" spans="1:27" ht="10.5" customHeight="1" x14ac:dyDescent="0.2">
      <c r="A244" s="327"/>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row>
    <row r="245" spans="1:27" ht="10.5" customHeight="1" x14ac:dyDescent="0.2">
      <c r="A245" s="327"/>
      <c r="B245" s="327"/>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c r="AA245" s="327"/>
    </row>
    <row r="246" spans="1:27" ht="10.5" customHeight="1" x14ac:dyDescent="0.2">
      <c r="A246" s="327"/>
      <c r="B246" s="327"/>
      <c r="C246" s="327"/>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c r="AA246" s="327"/>
    </row>
    <row r="247" spans="1:27" ht="10.5" customHeight="1" x14ac:dyDescent="0.2">
      <c r="A247" s="327"/>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row>
    <row r="248" spans="1:27" ht="10.5" customHeight="1" x14ac:dyDescent="0.2">
      <c r="A248" s="327"/>
      <c r="B248" s="327"/>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c r="AA248" s="327"/>
    </row>
    <row r="249" spans="1:27" ht="10.5" customHeight="1" x14ac:dyDescent="0.2">
      <c r="A249" s="327"/>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row>
    <row r="250" spans="1:27" ht="10.5" customHeight="1" x14ac:dyDescent="0.2">
      <c r="A250" s="327"/>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row>
    <row r="251" spans="1:27" ht="10.5" customHeight="1" x14ac:dyDescent="0.2">
      <c r="A251" s="327"/>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row>
    <row r="252" spans="1:27" ht="10.5" customHeight="1" x14ac:dyDescent="0.2">
      <c r="A252" s="327"/>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row>
    <row r="253" spans="1:27" ht="10.5" customHeight="1" x14ac:dyDescent="0.2">
      <c r="A253" s="327"/>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row>
    <row r="254" spans="1:27" ht="10.5" customHeight="1" x14ac:dyDescent="0.2">
      <c r="A254" s="327"/>
      <c r="B254" s="327"/>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c r="AA254" s="327"/>
    </row>
    <row r="255" spans="1:27" ht="10.5" customHeight="1" x14ac:dyDescent="0.2">
      <c r="A255" s="327"/>
      <c r="B255" s="327"/>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c r="AA255" s="327"/>
    </row>
    <row r="256" spans="1:27" ht="10.5" customHeight="1" x14ac:dyDescent="0.2">
      <c r="A256" s="327"/>
      <c r="B256" s="327"/>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c r="AA256" s="327"/>
    </row>
    <row r="257" spans="1:27" ht="10.5" customHeight="1" x14ac:dyDescent="0.2">
      <c r="A257" s="327"/>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c r="AA257" s="327"/>
    </row>
    <row r="258" spans="1:27" ht="10.5" customHeight="1" x14ac:dyDescent="0.2">
      <c r="A258" s="327"/>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c r="AA258" s="327"/>
    </row>
    <row r="259" spans="1:27" ht="10.5" customHeight="1" x14ac:dyDescent="0.2">
      <c r="A259" s="327"/>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row>
    <row r="260" spans="1:27" ht="10.5" customHeight="1" x14ac:dyDescent="0.2">
      <c r="A260" s="327"/>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c r="AA260" s="327"/>
    </row>
    <row r="261" spans="1:27" ht="10.5" customHeight="1" x14ac:dyDescent="0.2">
      <c r="A261" s="327"/>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c r="AA261" s="327"/>
    </row>
    <row r="262" spans="1:27" ht="10.5" customHeight="1" x14ac:dyDescent="0.2">
      <c r="A262" s="327"/>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c r="AA262" s="327"/>
    </row>
    <row r="263" spans="1:27" ht="10.5" customHeight="1" x14ac:dyDescent="0.2">
      <c r="A263" s="327"/>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c r="AA263" s="327"/>
    </row>
    <row r="264" spans="1:27" ht="10.5" customHeight="1" x14ac:dyDescent="0.2">
      <c r="A264" s="327"/>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row>
    <row r="265" spans="1:27" ht="10.5" customHeight="1" x14ac:dyDescent="0.2">
      <c r="A265" s="327"/>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c r="AA265" s="327"/>
    </row>
    <row r="266" spans="1:27" ht="10.5" customHeight="1" x14ac:dyDescent="0.2">
      <c r="A266" s="327"/>
      <c r="B266" s="327"/>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c r="AA266" s="327"/>
    </row>
    <row r="267" spans="1:27" ht="10.5" customHeight="1" x14ac:dyDescent="0.2">
      <c r="A267" s="327"/>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row>
    <row r="268" spans="1:27" ht="10.5" customHeight="1" x14ac:dyDescent="0.2">
      <c r="A268" s="327"/>
      <c r="B268" s="327"/>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c r="AA268" s="327"/>
    </row>
    <row r="269" spans="1:27" ht="10.5" customHeight="1" x14ac:dyDescent="0.2">
      <c r="A269" s="327"/>
      <c r="B269" s="327"/>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c r="AA269" s="327"/>
    </row>
    <row r="270" spans="1:27" ht="10.5" customHeight="1" x14ac:dyDescent="0.2">
      <c r="A270" s="327"/>
      <c r="B270" s="327"/>
      <c r="C270" s="327"/>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c r="AA270" s="327"/>
    </row>
    <row r="271" spans="1:27" ht="10.5" customHeight="1" x14ac:dyDescent="0.2">
      <c r="A271" s="327"/>
      <c r="B271" s="327"/>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c r="AA271" s="327"/>
    </row>
    <row r="272" spans="1:27" ht="10.5" customHeight="1" x14ac:dyDescent="0.2">
      <c r="A272" s="327"/>
      <c r="B272" s="327"/>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row>
    <row r="273" spans="1:27" ht="10.5" customHeight="1" x14ac:dyDescent="0.2">
      <c r="A273" s="327"/>
      <c r="B273" s="327"/>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c r="AA273" s="327"/>
    </row>
    <row r="274" spans="1:27" ht="10.5" customHeight="1" x14ac:dyDescent="0.2">
      <c r="A274" s="327"/>
      <c r="B274" s="327"/>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c r="AA274" s="327"/>
    </row>
    <row r="275" spans="1:27" ht="10.5" customHeight="1" x14ac:dyDescent="0.2">
      <c r="A275" s="327"/>
      <c r="B275" s="327"/>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row>
    <row r="276" spans="1:27" ht="10.5" customHeight="1" x14ac:dyDescent="0.2">
      <c r="A276" s="327"/>
      <c r="B276" s="327"/>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c r="AA276" s="327"/>
    </row>
    <row r="277" spans="1:27" ht="10.5" customHeight="1" x14ac:dyDescent="0.2">
      <c r="A277" s="327"/>
      <c r="B277" s="327"/>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c r="AA277" s="327"/>
    </row>
    <row r="278" spans="1:27" ht="10.5" customHeight="1" x14ac:dyDescent="0.2">
      <c r="A278" s="327"/>
      <c r="B278" s="327"/>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c r="AA278" s="327"/>
    </row>
    <row r="279" spans="1:27" ht="10.5" customHeight="1" x14ac:dyDescent="0.2">
      <c r="A279" s="327"/>
      <c r="B279" s="327"/>
      <c r="C279" s="327"/>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c r="AA279" s="327"/>
    </row>
    <row r="280" spans="1:27" ht="10.5" customHeight="1" x14ac:dyDescent="0.2">
      <c r="A280" s="327"/>
      <c r="B280" s="327"/>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c r="AA280" s="327"/>
    </row>
    <row r="281" spans="1:27" ht="10.5" customHeight="1" x14ac:dyDescent="0.2">
      <c r="A281" s="327"/>
      <c r="B281" s="327"/>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c r="AA281" s="327"/>
    </row>
    <row r="282" spans="1:27" ht="10.5" customHeight="1" x14ac:dyDescent="0.2">
      <c r="A282" s="327"/>
      <c r="B282" s="327"/>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c r="AA282" s="327"/>
    </row>
    <row r="283" spans="1:27" ht="10.5" customHeight="1" x14ac:dyDescent="0.2">
      <c r="A283" s="327"/>
      <c r="B283" s="327"/>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c r="AA283" s="327"/>
    </row>
    <row r="284" spans="1:27" ht="10.5" customHeight="1" x14ac:dyDescent="0.2">
      <c r="A284" s="327"/>
      <c r="B284" s="327"/>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c r="AA284" s="327"/>
    </row>
    <row r="285" spans="1:27" ht="10.5" customHeight="1" x14ac:dyDescent="0.2">
      <c r="A285" s="327"/>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c r="AA285" s="327"/>
    </row>
    <row r="286" spans="1:27" ht="10.5" customHeight="1" x14ac:dyDescent="0.2">
      <c r="A286" s="327"/>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c r="AA286" s="327"/>
    </row>
    <row r="287" spans="1:27" ht="10.5" customHeight="1" x14ac:dyDescent="0.2">
      <c r="A287" s="327"/>
      <c r="B287" s="327"/>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c r="AA287" s="327"/>
    </row>
    <row r="288" spans="1:27" ht="10.5" customHeight="1" x14ac:dyDescent="0.2">
      <c r="A288" s="327"/>
      <c r="B288" s="327"/>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c r="AA288" s="327"/>
    </row>
    <row r="289" spans="1:27" ht="10.5" customHeight="1" x14ac:dyDescent="0.2">
      <c r="A289" s="327"/>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row>
    <row r="290" spans="1:27" ht="10.5" customHeight="1" x14ac:dyDescent="0.2">
      <c r="A290" s="327"/>
      <c r="B290" s="327"/>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c r="AA290" s="327"/>
    </row>
    <row r="291" spans="1:27" ht="10.5" customHeight="1" x14ac:dyDescent="0.2">
      <c r="A291" s="327"/>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c r="AA291" s="327"/>
    </row>
    <row r="292" spans="1:27" ht="10.5" customHeight="1" x14ac:dyDescent="0.2">
      <c r="A292" s="327"/>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c r="AA292" s="327"/>
    </row>
    <row r="293" spans="1:27" ht="10.5" customHeight="1" x14ac:dyDescent="0.2">
      <c r="A293" s="327"/>
      <c r="B293" s="327"/>
      <c r="C293" s="327"/>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c r="AA293" s="327"/>
    </row>
    <row r="294" spans="1:27" ht="10.5" customHeight="1" x14ac:dyDescent="0.2">
      <c r="A294" s="327"/>
      <c r="B294" s="327"/>
      <c r="C294" s="327"/>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c r="AA294" s="327"/>
    </row>
    <row r="295" spans="1:27" ht="10.5" customHeight="1" x14ac:dyDescent="0.2">
      <c r="A295" s="327"/>
      <c r="B295" s="327"/>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c r="AA295" s="327"/>
    </row>
    <row r="296" spans="1:27" ht="10.5" customHeight="1" x14ac:dyDescent="0.2">
      <c r="A296" s="327"/>
      <c r="B296" s="327"/>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c r="AA296" s="327"/>
    </row>
    <row r="297" spans="1:27" ht="10.5" customHeight="1" x14ac:dyDescent="0.2">
      <c r="A297" s="327"/>
      <c r="B297" s="327"/>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c r="AA297" s="327"/>
    </row>
    <row r="298" spans="1:27" ht="10.5" customHeight="1" x14ac:dyDescent="0.2">
      <c r="A298" s="327"/>
      <c r="B298" s="327"/>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c r="AA298" s="327"/>
    </row>
    <row r="299" spans="1:27" ht="10.5" customHeight="1" x14ac:dyDescent="0.2">
      <c r="A299" s="327"/>
      <c r="B299" s="327"/>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c r="AA299" s="327"/>
    </row>
    <row r="300" spans="1:27" ht="10.5" customHeight="1" x14ac:dyDescent="0.2">
      <c r="A300" s="327"/>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row>
    <row r="301" spans="1:27" ht="10.5" customHeight="1" x14ac:dyDescent="0.2">
      <c r="A301" s="327"/>
      <c r="B301" s="327"/>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c r="AA301" s="327"/>
    </row>
    <row r="302" spans="1:27" ht="10.5" customHeight="1" x14ac:dyDescent="0.2">
      <c r="A302" s="327"/>
      <c r="B302" s="327"/>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c r="AA302" s="327"/>
    </row>
    <row r="303" spans="1:27" ht="10.5" customHeight="1" x14ac:dyDescent="0.2">
      <c r="A303" s="327"/>
      <c r="B303" s="327"/>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c r="AA303" s="327"/>
    </row>
    <row r="304" spans="1:27" ht="10.5" customHeight="1" x14ac:dyDescent="0.2">
      <c r="A304" s="327"/>
      <c r="B304" s="327"/>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c r="AA304" s="327"/>
    </row>
    <row r="305" spans="1:27" ht="10.5" customHeight="1" x14ac:dyDescent="0.2">
      <c r="A305" s="327"/>
      <c r="B305" s="327"/>
      <c r="C305" s="327"/>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c r="AA305" s="327"/>
    </row>
    <row r="306" spans="1:27" ht="15.75" customHeight="1" x14ac:dyDescent="0.2">
      <c r="A306" s="327"/>
      <c r="B306" s="327"/>
      <c r="C306" s="327"/>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c r="AA306" s="327"/>
    </row>
    <row r="307" spans="1:27" ht="15.75" customHeight="1" x14ac:dyDescent="0.2">
      <c r="A307" s="327"/>
      <c r="B307" s="327"/>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c r="AA307" s="327"/>
    </row>
    <row r="308" spans="1:27" ht="15.75" customHeight="1" x14ac:dyDescent="0.2">
      <c r="A308" s="327"/>
      <c r="B308" s="327"/>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c r="AA308" s="327"/>
    </row>
    <row r="309" spans="1:27" ht="15.75" customHeight="1" x14ac:dyDescent="0.2">
      <c r="A309" s="327"/>
      <c r="B309" s="327"/>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c r="AA309" s="327"/>
    </row>
    <row r="310" spans="1:27" ht="15.75" customHeight="1" x14ac:dyDescent="0.2">
      <c r="A310" s="327"/>
      <c r="B310" s="327"/>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c r="AA310" s="327"/>
    </row>
    <row r="311" spans="1:27" ht="15.75" customHeight="1" x14ac:dyDescent="0.2">
      <c r="A311" s="327"/>
      <c r="B311" s="327"/>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c r="AA311" s="327"/>
    </row>
    <row r="312" spans="1:27" ht="15.75" customHeight="1" x14ac:dyDescent="0.2">
      <c r="A312" s="327"/>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c r="AA312" s="327"/>
    </row>
    <row r="313" spans="1:27" ht="15.75" customHeight="1" x14ac:dyDescent="0.2">
      <c r="A313" s="327"/>
      <c r="B313" s="327"/>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c r="AA313" s="327"/>
    </row>
    <row r="314" spans="1:27" ht="15.75" customHeight="1" x14ac:dyDescent="0.2">
      <c r="A314" s="327"/>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row>
    <row r="315" spans="1:27" ht="15.75" customHeight="1" x14ac:dyDescent="0.2">
      <c r="A315" s="327"/>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c r="AA315" s="327"/>
    </row>
    <row r="316" spans="1:27" ht="15.75" customHeight="1" x14ac:dyDescent="0.2">
      <c r="A316" s="327"/>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c r="AA316" s="327"/>
    </row>
    <row r="317" spans="1:27" ht="15.75" customHeight="1" x14ac:dyDescent="0.2">
      <c r="A317" s="327"/>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row>
    <row r="318" spans="1:27" ht="15.75" customHeight="1" x14ac:dyDescent="0.2">
      <c r="A318" s="327"/>
      <c r="B318" s="327"/>
      <c r="C318" s="327"/>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c r="AA318" s="327"/>
    </row>
    <row r="319" spans="1:27" ht="15.75" customHeight="1" x14ac:dyDescent="0.2">
      <c r="A319" s="327"/>
      <c r="B319" s="327"/>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c r="AA319" s="327"/>
    </row>
    <row r="320" spans="1:27" ht="15.75" customHeight="1" x14ac:dyDescent="0.2">
      <c r="A320" s="327"/>
      <c r="B320" s="327"/>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c r="AA320" s="327"/>
    </row>
    <row r="321" spans="1:27" ht="15.75" customHeight="1" x14ac:dyDescent="0.2">
      <c r="A321" s="327"/>
      <c r="B321" s="327"/>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c r="AA321" s="327"/>
    </row>
    <row r="322" spans="1:27" ht="15.75" customHeight="1" x14ac:dyDescent="0.2">
      <c r="A322" s="327"/>
      <c r="B322" s="327"/>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c r="AA322" s="327"/>
    </row>
    <row r="323" spans="1:27" ht="15.75" customHeight="1" x14ac:dyDescent="0.2">
      <c r="A323" s="327"/>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row>
    <row r="324" spans="1:27" ht="15.75" customHeight="1" x14ac:dyDescent="0.2">
      <c r="A324" s="327"/>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row>
    <row r="325" spans="1:27" ht="15.75" customHeight="1" x14ac:dyDescent="0.2">
      <c r="A325" s="327"/>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row>
    <row r="326" spans="1:27" ht="15.75" customHeight="1" x14ac:dyDescent="0.2">
      <c r="A326" s="327"/>
      <c r="B326" s="327"/>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c r="AA326" s="327"/>
    </row>
    <row r="327" spans="1:27" ht="15.75" customHeight="1" x14ac:dyDescent="0.2">
      <c r="A327" s="327"/>
      <c r="B327" s="327"/>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c r="AA327" s="327"/>
    </row>
    <row r="328" spans="1:27" ht="15.75" customHeight="1" x14ac:dyDescent="0.2">
      <c r="A328" s="327"/>
      <c r="B328" s="327"/>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c r="AA328" s="327"/>
    </row>
    <row r="329" spans="1:27" ht="15.75" customHeight="1" x14ac:dyDescent="0.2">
      <c r="A329" s="327"/>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row>
    <row r="330" spans="1:27" ht="15.75" customHeight="1" x14ac:dyDescent="0.2">
      <c r="A330" s="327"/>
      <c r="B330" s="327"/>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c r="AA330" s="327"/>
    </row>
    <row r="331" spans="1:27" ht="15.75" customHeight="1" x14ac:dyDescent="0.2">
      <c r="A331" s="327"/>
      <c r="B331" s="327"/>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c r="AA331" s="327"/>
    </row>
    <row r="332" spans="1:27" ht="15.75" customHeight="1" x14ac:dyDescent="0.2">
      <c r="A332" s="327"/>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row>
    <row r="333" spans="1:27" ht="15.75" customHeight="1" x14ac:dyDescent="0.2">
      <c r="A333" s="327"/>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c r="AA333" s="327"/>
    </row>
    <row r="334" spans="1:27" ht="15.75" customHeight="1" x14ac:dyDescent="0.2">
      <c r="A334" s="327"/>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row>
    <row r="335" spans="1:27" ht="15.75" customHeight="1" x14ac:dyDescent="0.2">
      <c r="A335" s="327"/>
      <c r="B335" s="327"/>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c r="AA335" s="327"/>
    </row>
    <row r="336" spans="1:27" ht="15.75" customHeight="1" x14ac:dyDescent="0.2">
      <c r="A336" s="327"/>
      <c r="B336" s="327"/>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c r="AA336" s="327"/>
    </row>
    <row r="337" spans="1:27" ht="15.75" customHeight="1" x14ac:dyDescent="0.2">
      <c r="A337" s="327"/>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row>
    <row r="338" spans="1:27" ht="15.75" customHeight="1" x14ac:dyDescent="0.2">
      <c r="A338" s="327"/>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c r="AA338" s="327"/>
    </row>
    <row r="339" spans="1:27" ht="15.75" customHeight="1" x14ac:dyDescent="0.2">
      <c r="A339" s="327"/>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row>
    <row r="340" spans="1:27" ht="15.75" customHeight="1" x14ac:dyDescent="0.2">
      <c r="A340" s="327"/>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row>
    <row r="341" spans="1:27" ht="15.75" customHeight="1" x14ac:dyDescent="0.2">
      <c r="A341" s="327"/>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row>
    <row r="342" spans="1:27" ht="15.75" customHeight="1" x14ac:dyDescent="0.2">
      <c r="A342" s="327"/>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row>
    <row r="343" spans="1:27" ht="15.75" customHeight="1" x14ac:dyDescent="0.2">
      <c r="A343" s="327"/>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row>
    <row r="344" spans="1:27" ht="15.75" customHeight="1" x14ac:dyDescent="0.2">
      <c r="A344" s="327"/>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row>
    <row r="345" spans="1:27" ht="15.75" customHeight="1" x14ac:dyDescent="0.2">
      <c r="A345" s="327"/>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c r="AA345" s="327"/>
    </row>
    <row r="346" spans="1:27" ht="15.75" customHeight="1" x14ac:dyDescent="0.2">
      <c r="A346" s="327"/>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c r="AA346" s="327"/>
    </row>
    <row r="347" spans="1:27" ht="15.75" customHeight="1" x14ac:dyDescent="0.2">
      <c r="A347" s="327"/>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row>
    <row r="348" spans="1:27" ht="15.75" customHeight="1" x14ac:dyDescent="0.2">
      <c r="A348" s="327"/>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row>
    <row r="349" spans="1:27" ht="15.75" customHeight="1" x14ac:dyDescent="0.2">
      <c r="A349" s="327"/>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row>
    <row r="350" spans="1:27" ht="15.75" customHeight="1" x14ac:dyDescent="0.2">
      <c r="A350" s="327"/>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c r="AA350" s="327"/>
    </row>
    <row r="351" spans="1:27" ht="15.75" customHeight="1" x14ac:dyDescent="0.2">
      <c r="A351" s="327"/>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c r="AA351" s="327"/>
    </row>
    <row r="352" spans="1:27" ht="15.75" customHeight="1" x14ac:dyDescent="0.2">
      <c r="A352" s="327"/>
      <c r="B352" s="327"/>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c r="AA352" s="327"/>
    </row>
    <row r="353" spans="1:27" ht="15.75" customHeight="1" x14ac:dyDescent="0.2">
      <c r="A353" s="327"/>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c r="AA353" s="327"/>
    </row>
    <row r="354" spans="1:27" ht="15.75" customHeight="1" x14ac:dyDescent="0.2">
      <c r="A354" s="327"/>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row>
    <row r="355" spans="1:27" ht="15.75" customHeight="1" x14ac:dyDescent="0.2">
      <c r="A355" s="327"/>
      <c r="B355" s="327"/>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c r="AA355" s="327"/>
    </row>
    <row r="356" spans="1:27" ht="15.75" customHeight="1" x14ac:dyDescent="0.2">
      <c r="A356" s="327"/>
      <c r="B356" s="327"/>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c r="AA356" s="327"/>
    </row>
    <row r="357" spans="1:27" ht="15.75" customHeight="1" x14ac:dyDescent="0.2">
      <c r="A357" s="327"/>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row>
    <row r="358" spans="1:27" ht="15.75" customHeight="1" x14ac:dyDescent="0.2">
      <c r="A358" s="327"/>
      <c r="B358" s="327"/>
      <c r="C358" s="327"/>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c r="AA358" s="327"/>
    </row>
    <row r="359" spans="1:27" ht="15.75" customHeight="1" x14ac:dyDescent="0.2">
      <c r="A359" s="327"/>
      <c r="B359" s="327"/>
      <c r="C359" s="327"/>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c r="AA359" s="327"/>
    </row>
    <row r="360" spans="1:27" ht="15.75" customHeight="1" x14ac:dyDescent="0.2">
      <c r="A360" s="327"/>
      <c r="B360" s="327"/>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c r="AA360" s="327"/>
    </row>
    <row r="361" spans="1:27" ht="15.75" customHeight="1" x14ac:dyDescent="0.2">
      <c r="A361" s="327"/>
      <c r="B361" s="327"/>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c r="AA361" s="327"/>
    </row>
    <row r="362" spans="1:27" ht="15.75" customHeight="1" x14ac:dyDescent="0.2">
      <c r="A362" s="327"/>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c r="AA362" s="327"/>
    </row>
    <row r="363" spans="1:27" ht="15.75" customHeight="1" x14ac:dyDescent="0.2">
      <c r="A363" s="327"/>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c r="AA363" s="327"/>
    </row>
    <row r="364" spans="1:27" ht="15.75" customHeight="1" x14ac:dyDescent="0.2">
      <c r="A364" s="327"/>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c r="AA364" s="327"/>
    </row>
    <row r="365" spans="1:27" ht="15.75" customHeight="1" x14ac:dyDescent="0.2">
      <c r="A365" s="327"/>
      <c r="B365" s="327"/>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c r="AA365" s="327"/>
    </row>
    <row r="366" spans="1:27" ht="15.75" customHeight="1" x14ac:dyDescent="0.2">
      <c r="A366" s="327"/>
      <c r="B366" s="327"/>
      <c r="C366" s="327"/>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c r="AA366" s="327"/>
    </row>
    <row r="367" spans="1:27" ht="15.75" customHeight="1" x14ac:dyDescent="0.2">
      <c r="A367" s="327"/>
      <c r="B367" s="327"/>
      <c r="C367" s="327"/>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c r="AA367" s="327"/>
    </row>
    <row r="368" spans="1:27" ht="15.75" customHeight="1" x14ac:dyDescent="0.2">
      <c r="A368" s="327"/>
      <c r="B368" s="327"/>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c r="AA368" s="327"/>
    </row>
    <row r="369" spans="1:27" ht="15.75" customHeight="1" x14ac:dyDescent="0.2">
      <c r="A369" s="327"/>
      <c r="B369" s="327"/>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c r="AA369" s="327"/>
    </row>
    <row r="370" spans="1:27" ht="15.75" customHeight="1" x14ac:dyDescent="0.2">
      <c r="A370" s="327"/>
      <c r="B370" s="327"/>
      <c r="C370" s="327"/>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c r="AA370" s="327"/>
    </row>
    <row r="371" spans="1:27" ht="15.75" customHeight="1" x14ac:dyDescent="0.2">
      <c r="A371" s="327"/>
      <c r="B371" s="327"/>
      <c r="C371" s="327"/>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c r="AA371" s="327"/>
    </row>
    <row r="372" spans="1:27" ht="15.75" customHeight="1" x14ac:dyDescent="0.2">
      <c r="A372" s="327"/>
      <c r="B372" s="327"/>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c r="AA372" s="327"/>
    </row>
    <row r="373" spans="1:27" ht="15.75" customHeight="1" x14ac:dyDescent="0.2">
      <c r="A373" s="327"/>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row>
    <row r="374" spans="1:27" ht="15.75" customHeight="1" x14ac:dyDescent="0.2">
      <c r="A374" s="327"/>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c r="AA374" s="327"/>
    </row>
    <row r="375" spans="1:27" ht="15.75" customHeight="1" x14ac:dyDescent="0.2">
      <c r="A375" s="327"/>
      <c r="B375" s="327"/>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c r="AA375" s="327"/>
    </row>
    <row r="376" spans="1:27" ht="15.75" customHeight="1" x14ac:dyDescent="0.2">
      <c r="A376" s="327"/>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row>
    <row r="377" spans="1:27" ht="15.75" customHeight="1" x14ac:dyDescent="0.2">
      <c r="A377" s="327"/>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row>
    <row r="378" spans="1:27" ht="15.75" customHeight="1" x14ac:dyDescent="0.2">
      <c r="A378" s="327"/>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row>
    <row r="379" spans="1:27" ht="15.75" customHeight="1" x14ac:dyDescent="0.2">
      <c r="A379" s="327"/>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row>
    <row r="380" spans="1:27" ht="15.75" customHeight="1" x14ac:dyDescent="0.2">
      <c r="A380" s="327"/>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c r="AA380" s="327"/>
    </row>
    <row r="381" spans="1:27" ht="15.75" customHeight="1" x14ac:dyDescent="0.2">
      <c r="A381" s="327"/>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row>
    <row r="382" spans="1:27" ht="15.75" customHeight="1" x14ac:dyDescent="0.2">
      <c r="A382" s="327"/>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row>
    <row r="383" spans="1:27" ht="15.75" customHeight="1" x14ac:dyDescent="0.2">
      <c r="A383" s="327"/>
      <c r="B383" s="327"/>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c r="AA383" s="327"/>
    </row>
    <row r="384" spans="1:27" ht="15.75" customHeight="1" x14ac:dyDescent="0.2">
      <c r="A384" s="327"/>
      <c r="B384" s="327"/>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c r="AA384" s="327"/>
    </row>
    <row r="385" spans="1:27" ht="15.75" customHeight="1" x14ac:dyDescent="0.2">
      <c r="A385" s="327"/>
      <c r="B385" s="327"/>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c r="AA385" s="327"/>
    </row>
    <row r="386" spans="1:27" ht="15.75" customHeight="1" x14ac:dyDescent="0.2">
      <c r="A386" s="327"/>
      <c r="B386" s="327"/>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c r="AA386" s="327"/>
    </row>
    <row r="387" spans="1:27" ht="15.75" customHeight="1" x14ac:dyDescent="0.2">
      <c r="A387" s="327"/>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row>
    <row r="388" spans="1:27" ht="15.75" customHeight="1" x14ac:dyDescent="0.2">
      <c r="A388" s="327"/>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c r="AA388" s="327"/>
    </row>
    <row r="389" spans="1:27" ht="15.75" customHeight="1" x14ac:dyDescent="0.2">
      <c r="A389" s="327"/>
      <c r="B389" s="327"/>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c r="AA389" s="327"/>
    </row>
    <row r="390" spans="1:27" ht="15.75" customHeight="1" x14ac:dyDescent="0.2">
      <c r="A390" s="327"/>
      <c r="B390" s="327"/>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row>
    <row r="391" spans="1:27" ht="15.75" customHeight="1" x14ac:dyDescent="0.2">
      <c r="A391" s="327"/>
      <c r="B391" s="327"/>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c r="AA391" s="327"/>
    </row>
    <row r="392" spans="1:27" ht="15.75" customHeight="1" x14ac:dyDescent="0.2">
      <c r="A392" s="327"/>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row>
    <row r="393" spans="1:27" ht="15.75" customHeight="1" x14ac:dyDescent="0.2">
      <c r="A393" s="327"/>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c r="AA393" s="327"/>
    </row>
    <row r="394" spans="1:27" ht="15.75" customHeight="1" x14ac:dyDescent="0.2">
      <c r="A394" s="327"/>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row>
    <row r="395" spans="1:27" ht="15.75" customHeight="1" x14ac:dyDescent="0.2">
      <c r="A395" s="327"/>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c r="AA395" s="327"/>
    </row>
    <row r="396" spans="1:27" ht="15.75" customHeight="1" x14ac:dyDescent="0.2">
      <c r="A396" s="327"/>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c r="AA396" s="327"/>
    </row>
    <row r="397" spans="1:27" ht="15.75" customHeight="1" x14ac:dyDescent="0.2">
      <c r="A397" s="327"/>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row>
    <row r="398" spans="1:27" ht="15.75" customHeight="1" x14ac:dyDescent="0.2">
      <c r="A398" s="327"/>
      <c r="B398" s="327"/>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row>
    <row r="399" spans="1:27" ht="15.75" customHeight="1" x14ac:dyDescent="0.2">
      <c r="A399" s="327"/>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row>
    <row r="400" spans="1:27" ht="15.75" customHeight="1" x14ac:dyDescent="0.2">
      <c r="A400" s="327"/>
      <c r="B400" s="327"/>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c r="AA400" s="327"/>
    </row>
    <row r="401" spans="1:27" ht="15.75" customHeight="1" x14ac:dyDescent="0.2">
      <c r="A401" s="327"/>
      <c r="B401" s="327"/>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c r="AA401" s="327"/>
    </row>
    <row r="402" spans="1:27" ht="15.75" customHeight="1" x14ac:dyDescent="0.2">
      <c r="A402" s="327"/>
      <c r="B402" s="327"/>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c r="AA402" s="327"/>
    </row>
    <row r="403" spans="1:27" ht="15.75" customHeight="1" x14ac:dyDescent="0.2">
      <c r="A403" s="327"/>
      <c r="B403" s="327"/>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c r="AA403" s="327"/>
    </row>
    <row r="404" spans="1:27" ht="15.75" customHeight="1" x14ac:dyDescent="0.2">
      <c r="A404" s="327"/>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row>
    <row r="405" spans="1:27" ht="15.75" customHeight="1" x14ac:dyDescent="0.2">
      <c r="A405" s="327"/>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c r="AA405" s="327"/>
    </row>
    <row r="406" spans="1:27" ht="15.75" customHeight="1" x14ac:dyDescent="0.2">
      <c r="A406" s="327"/>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row>
    <row r="407" spans="1:27" ht="15.75" customHeight="1" x14ac:dyDescent="0.2">
      <c r="A407" s="327"/>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row>
    <row r="408" spans="1:27" ht="15.75" customHeight="1" x14ac:dyDescent="0.2">
      <c r="A408" s="327"/>
      <c r="B408" s="327"/>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c r="AA408" s="327"/>
    </row>
    <row r="409" spans="1:27" ht="15.75" customHeight="1" x14ac:dyDescent="0.2">
      <c r="A409" s="327"/>
      <c r="B409" s="327"/>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c r="AA409" s="327"/>
    </row>
    <row r="410" spans="1:27" ht="15.75" customHeight="1" x14ac:dyDescent="0.2">
      <c r="A410" s="327"/>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c r="AA410" s="327"/>
    </row>
    <row r="411" spans="1:27" ht="15.75" customHeight="1" x14ac:dyDescent="0.2">
      <c r="A411" s="327"/>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c r="AA411" s="327"/>
    </row>
    <row r="412" spans="1:27" ht="15.75" customHeight="1" x14ac:dyDescent="0.2">
      <c r="A412" s="327"/>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row>
    <row r="413" spans="1:27" ht="15.75" customHeight="1" x14ac:dyDescent="0.2">
      <c r="A413" s="327"/>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row>
    <row r="414" spans="1:27" ht="15.75" customHeight="1" x14ac:dyDescent="0.2">
      <c r="A414" s="327"/>
      <c r="B414" s="327"/>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c r="AA414" s="327"/>
    </row>
    <row r="415" spans="1:27" ht="15.75" customHeight="1" x14ac:dyDescent="0.2">
      <c r="A415" s="327"/>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row>
    <row r="416" spans="1:27" ht="15.75" customHeight="1" x14ac:dyDescent="0.2">
      <c r="A416" s="327"/>
      <c r="B416" s="327"/>
      <c r="C416" s="327"/>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c r="AA416" s="327"/>
    </row>
    <row r="417" spans="1:27" ht="15.75" customHeight="1" x14ac:dyDescent="0.2">
      <c r="A417" s="327"/>
      <c r="B417" s="327"/>
      <c r="C417" s="327"/>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c r="AA417" s="327"/>
    </row>
    <row r="418" spans="1:27" ht="15.75" customHeight="1" x14ac:dyDescent="0.2">
      <c r="A418" s="327"/>
      <c r="B418" s="327"/>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c r="AA418" s="327"/>
    </row>
    <row r="419" spans="1:27" ht="15.75" customHeight="1" x14ac:dyDescent="0.2">
      <c r="A419" s="327"/>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row>
    <row r="420" spans="1:27" ht="15.75" customHeight="1" x14ac:dyDescent="0.2">
      <c r="A420" s="327"/>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c r="AA420" s="327"/>
    </row>
    <row r="421" spans="1:27" ht="15.75" customHeight="1" x14ac:dyDescent="0.2">
      <c r="A421" s="327"/>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row>
    <row r="422" spans="1:27" ht="15.75" customHeight="1" x14ac:dyDescent="0.2">
      <c r="A422" s="327"/>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row>
    <row r="423" spans="1:27" ht="15.75" customHeight="1" x14ac:dyDescent="0.2">
      <c r="A423" s="327"/>
      <c r="B423" s="327"/>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c r="AA423" s="327"/>
    </row>
    <row r="424" spans="1:27" ht="15.75" customHeight="1" x14ac:dyDescent="0.2">
      <c r="A424" s="327"/>
      <c r="B424" s="327"/>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c r="AA424" s="327"/>
    </row>
    <row r="425" spans="1:27" ht="15.75" customHeight="1" x14ac:dyDescent="0.2">
      <c r="A425" s="327"/>
      <c r="B425" s="327"/>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c r="AA425" s="327"/>
    </row>
    <row r="426" spans="1:27" ht="15.75" customHeight="1" x14ac:dyDescent="0.2">
      <c r="A426" s="327"/>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row>
    <row r="427" spans="1:27" ht="15.75" customHeight="1" x14ac:dyDescent="0.2">
      <c r="A427" s="327"/>
      <c r="B427" s="327"/>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c r="AA427" s="327"/>
    </row>
    <row r="428" spans="1:27" ht="15.75" customHeight="1" x14ac:dyDescent="0.2">
      <c r="A428" s="327"/>
      <c r="B428" s="327"/>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c r="AA428" s="327"/>
    </row>
    <row r="429" spans="1:27" ht="15.75" customHeight="1" x14ac:dyDescent="0.2">
      <c r="A429" s="327"/>
      <c r="B429" s="327"/>
      <c r="C429" s="327"/>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c r="AA429" s="327"/>
    </row>
    <row r="430" spans="1:27" ht="15.75" customHeight="1" x14ac:dyDescent="0.2">
      <c r="A430" s="327"/>
      <c r="B430" s="327"/>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c r="AA430" s="327"/>
    </row>
    <row r="431" spans="1:27" ht="15.75" customHeight="1" x14ac:dyDescent="0.2">
      <c r="A431" s="327"/>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row>
    <row r="432" spans="1:27" ht="15.75" customHeight="1" x14ac:dyDescent="0.2">
      <c r="A432" s="327"/>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c r="AA432" s="327"/>
    </row>
    <row r="433" spans="1:27" ht="15.75" customHeight="1" x14ac:dyDescent="0.2">
      <c r="A433" s="327"/>
      <c r="B433" s="327"/>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c r="AA433" s="327"/>
    </row>
    <row r="434" spans="1:27" ht="15.75" customHeight="1" x14ac:dyDescent="0.2">
      <c r="A434" s="327"/>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row>
    <row r="435" spans="1:27" ht="15.75" customHeight="1" x14ac:dyDescent="0.2">
      <c r="A435" s="327"/>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row>
    <row r="436" spans="1:27" ht="15.75" customHeight="1" x14ac:dyDescent="0.2">
      <c r="A436" s="327"/>
      <c r="B436" s="327"/>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c r="AA436" s="327"/>
    </row>
    <row r="437" spans="1:27" ht="15.75" customHeight="1" x14ac:dyDescent="0.2">
      <c r="A437" s="327"/>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c r="AA437" s="327"/>
    </row>
    <row r="438" spans="1:27" ht="15.75" customHeight="1" x14ac:dyDescent="0.2">
      <c r="A438" s="327"/>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row>
    <row r="439" spans="1:27" ht="15.75" customHeight="1" x14ac:dyDescent="0.2">
      <c r="A439" s="327"/>
      <c r="B439" s="327"/>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c r="AA439" s="327"/>
    </row>
    <row r="440" spans="1:27" ht="15.75" customHeight="1" x14ac:dyDescent="0.2">
      <c r="A440" s="327"/>
      <c r="B440" s="327"/>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c r="AA440" s="327"/>
    </row>
    <row r="441" spans="1:27" ht="15.75" customHeight="1" x14ac:dyDescent="0.2">
      <c r="A441" s="327"/>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row>
    <row r="442" spans="1:27" ht="15.75" customHeight="1" x14ac:dyDescent="0.2">
      <c r="A442" s="327"/>
      <c r="B442" s="327"/>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c r="AA442" s="327"/>
    </row>
    <row r="443" spans="1:27" ht="15.75" customHeight="1" x14ac:dyDescent="0.2">
      <c r="A443" s="327"/>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row>
    <row r="444" spans="1:27" ht="15.75" customHeight="1" x14ac:dyDescent="0.2">
      <c r="A444" s="327"/>
      <c r="B444" s="327"/>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c r="AA444" s="327"/>
    </row>
    <row r="445" spans="1:27" ht="15.75" customHeight="1" x14ac:dyDescent="0.2">
      <c r="A445" s="327"/>
      <c r="B445" s="327"/>
      <c r="C445" s="327"/>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c r="AA445" s="327"/>
    </row>
    <row r="446" spans="1:27" ht="15.75" customHeight="1" x14ac:dyDescent="0.2">
      <c r="A446" s="327"/>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row>
    <row r="447" spans="1:27" ht="15.75" customHeight="1" x14ac:dyDescent="0.2">
      <c r="A447" s="327"/>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c r="AA447" s="327"/>
    </row>
    <row r="448" spans="1:27" ht="15.75" customHeight="1" x14ac:dyDescent="0.2">
      <c r="A448" s="327"/>
      <c r="B448" s="327"/>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c r="AA448" s="327"/>
    </row>
    <row r="449" spans="1:27" ht="15.75" customHeight="1" x14ac:dyDescent="0.2">
      <c r="A449" s="327"/>
      <c r="B449" s="327"/>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c r="AA449" s="327"/>
    </row>
    <row r="450" spans="1:27" ht="15.75" customHeight="1" x14ac:dyDescent="0.2">
      <c r="A450" s="327"/>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row>
    <row r="451" spans="1:27" ht="15.75" customHeight="1" x14ac:dyDescent="0.2">
      <c r="A451" s="327"/>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c r="AA451" s="327"/>
    </row>
    <row r="452" spans="1:27" ht="15.75" customHeight="1" x14ac:dyDescent="0.2">
      <c r="A452" s="327"/>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c r="AA452" s="327"/>
    </row>
    <row r="453" spans="1:27" ht="15.75" customHeight="1" x14ac:dyDescent="0.2">
      <c r="A453" s="327"/>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c r="AA453" s="327"/>
    </row>
    <row r="454" spans="1:27" ht="15.75" customHeight="1" x14ac:dyDescent="0.2">
      <c r="A454" s="327"/>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c r="AA454" s="327"/>
    </row>
    <row r="455" spans="1:27" ht="15.75" customHeight="1" x14ac:dyDescent="0.2">
      <c r="A455" s="327"/>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c r="AA455" s="327"/>
    </row>
    <row r="456" spans="1:27" ht="15.75" customHeight="1" x14ac:dyDescent="0.2">
      <c r="A456" s="327"/>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row>
    <row r="457" spans="1:27" ht="15.75" customHeight="1" x14ac:dyDescent="0.2">
      <c r="A457" s="327"/>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c r="AA457" s="327"/>
    </row>
    <row r="458" spans="1:27" ht="15.75" customHeight="1" x14ac:dyDescent="0.2">
      <c r="A458" s="327"/>
      <c r="B458" s="327"/>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c r="AA458" s="327"/>
    </row>
    <row r="459" spans="1:27" ht="15.75" customHeight="1" x14ac:dyDescent="0.2">
      <c r="A459" s="327"/>
      <c r="B459" s="327"/>
      <c r="C459" s="327"/>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c r="AA459" s="327"/>
    </row>
    <row r="460" spans="1:27" ht="15.75" customHeight="1" x14ac:dyDescent="0.2">
      <c r="A460" s="327"/>
      <c r="B460" s="327"/>
      <c r="C460" s="327"/>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c r="AA460" s="327"/>
    </row>
    <row r="461" spans="1:27" ht="15.75" customHeight="1" x14ac:dyDescent="0.2">
      <c r="A461" s="327"/>
      <c r="B461" s="327"/>
      <c r="C461" s="327"/>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c r="AA461" s="327"/>
    </row>
    <row r="462" spans="1:27" ht="15.75" customHeight="1" x14ac:dyDescent="0.2">
      <c r="A462" s="327"/>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c r="AA462" s="327"/>
    </row>
    <row r="463" spans="1:27" ht="15.75" customHeight="1" x14ac:dyDescent="0.2">
      <c r="A463" s="327"/>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c r="AA463" s="327"/>
    </row>
    <row r="464" spans="1:27" ht="15.75" customHeight="1" x14ac:dyDescent="0.2">
      <c r="A464" s="327"/>
      <c r="B464" s="327"/>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c r="AA464" s="327"/>
    </row>
    <row r="465" spans="1:27" ht="15.75" customHeight="1" x14ac:dyDescent="0.2">
      <c r="A465" s="327"/>
      <c r="B465" s="327"/>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c r="AA465" s="327"/>
    </row>
    <row r="466" spans="1:27" ht="15.75" customHeight="1" x14ac:dyDescent="0.2">
      <c r="A466" s="327"/>
      <c r="B466" s="327"/>
      <c r="C466" s="327"/>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c r="AA466" s="327"/>
    </row>
    <row r="467" spans="1:27" ht="15.75" customHeight="1" x14ac:dyDescent="0.2">
      <c r="A467" s="327"/>
      <c r="B467" s="327"/>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c r="AA467" s="327"/>
    </row>
    <row r="468" spans="1:27" ht="15.75" customHeight="1" x14ac:dyDescent="0.2">
      <c r="A468" s="327"/>
      <c r="B468" s="327"/>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c r="AA468" s="327"/>
    </row>
    <row r="469" spans="1:27" ht="15.75" customHeight="1" x14ac:dyDescent="0.2">
      <c r="A469" s="327"/>
      <c r="B469" s="327"/>
      <c r="C469" s="327"/>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c r="AA469" s="327"/>
    </row>
    <row r="470" spans="1:27" ht="15.75" customHeight="1" x14ac:dyDescent="0.2">
      <c r="A470" s="327"/>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row>
    <row r="471" spans="1:27" ht="15.75" customHeight="1" x14ac:dyDescent="0.2">
      <c r="A471" s="327"/>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row>
    <row r="472" spans="1:27" ht="15.75" customHeight="1" x14ac:dyDescent="0.2">
      <c r="A472" s="327"/>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c r="AA472" s="327"/>
    </row>
    <row r="473" spans="1:27" ht="15.75" customHeight="1" x14ac:dyDescent="0.2">
      <c r="A473" s="327"/>
      <c r="B473" s="327"/>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c r="AA473" s="327"/>
    </row>
    <row r="474" spans="1:27" ht="15.75" customHeight="1" x14ac:dyDescent="0.2">
      <c r="A474" s="327"/>
      <c r="B474" s="327"/>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c r="AA474" s="327"/>
    </row>
    <row r="475" spans="1:27" ht="15.75" customHeight="1" x14ac:dyDescent="0.2">
      <c r="A475" s="327"/>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row>
    <row r="476" spans="1:27" ht="15.75" customHeight="1" x14ac:dyDescent="0.2">
      <c r="A476" s="327"/>
      <c r="B476" s="327"/>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c r="AA476" s="327"/>
    </row>
    <row r="477" spans="1:27" ht="15.75" customHeight="1" x14ac:dyDescent="0.2">
      <c r="A477" s="327"/>
      <c r="B477" s="327"/>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c r="AA477" s="327"/>
    </row>
    <row r="478" spans="1:27" ht="15.75" customHeight="1" x14ac:dyDescent="0.2">
      <c r="A478" s="327"/>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c r="AA478" s="327"/>
    </row>
    <row r="479" spans="1:27" ht="15.75" customHeight="1" x14ac:dyDescent="0.2">
      <c r="A479" s="327"/>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row>
    <row r="480" spans="1:27" ht="15.75" customHeight="1" x14ac:dyDescent="0.2">
      <c r="A480" s="327"/>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c r="AA480" s="327"/>
    </row>
    <row r="481" spans="1:27" ht="15.75" customHeight="1" x14ac:dyDescent="0.2">
      <c r="A481" s="327"/>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row>
    <row r="482" spans="1:27" ht="15.75" customHeight="1" x14ac:dyDescent="0.2">
      <c r="A482" s="327"/>
      <c r="B482" s="327"/>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c r="AA482" s="327"/>
    </row>
    <row r="483" spans="1:27" ht="15.75" customHeight="1" x14ac:dyDescent="0.2">
      <c r="A483" s="327"/>
      <c r="B483" s="327"/>
      <c r="C483" s="327"/>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c r="AA483" s="327"/>
    </row>
    <row r="484" spans="1:27" ht="15.75" customHeight="1" x14ac:dyDescent="0.2">
      <c r="A484" s="327"/>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row>
    <row r="485" spans="1:27" ht="15.75" customHeight="1" x14ac:dyDescent="0.2">
      <c r="A485" s="327"/>
      <c r="B485" s="327"/>
      <c r="C485" s="327"/>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c r="AA485" s="327"/>
    </row>
    <row r="486" spans="1:27" ht="15.75" customHeight="1" x14ac:dyDescent="0.2">
      <c r="A486" s="327"/>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c r="AA486" s="327"/>
    </row>
    <row r="487" spans="1:27" ht="15.75" customHeight="1" x14ac:dyDescent="0.2">
      <c r="A487" s="327"/>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row>
    <row r="488" spans="1:27" ht="15.75" customHeight="1" x14ac:dyDescent="0.2">
      <c r="A488" s="327"/>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c r="AA488" s="327"/>
    </row>
    <row r="489" spans="1:27" ht="15.75" customHeight="1" x14ac:dyDescent="0.2">
      <c r="A489" s="327"/>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c r="AA489" s="327"/>
    </row>
    <row r="490" spans="1:27" ht="15.75" customHeight="1" x14ac:dyDescent="0.2">
      <c r="A490" s="327"/>
      <c r="B490" s="327"/>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c r="AA490" s="327"/>
    </row>
    <row r="491" spans="1:27" ht="15.75" customHeight="1" x14ac:dyDescent="0.2">
      <c r="A491" s="327"/>
      <c r="B491" s="327"/>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c r="AA491" s="327"/>
    </row>
    <row r="492" spans="1:27" ht="15.75" customHeight="1" x14ac:dyDescent="0.2">
      <c r="A492" s="327"/>
      <c r="B492" s="327"/>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c r="AA492" s="327"/>
    </row>
    <row r="493" spans="1:27" ht="15.75" customHeight="1" x14ac:dyDescent="0.2">
      <c r="A493" s="327"/>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c r="AA493" s="327"/>
    </row>
    <row r="494" spans="1:27" ht="15.75" customHeight="1" x14ac:dyDescent="0.2">
      <c r="A494" s="327"/>
      <c r="B494" s="327"/>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c r="AA494" s="327"/>
    </row>
    <row r="495" spans="1:27" ht="15.75" customHeight="1" x14ac:dyDescent="0.2">
      <c r="A495" s="327"/>
      <c r="B495" s="327"/>
      <c r="C495" s="327"/>
      <c r="D495" s="327"/>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c r="AA495" s="327"/>
    </row>
    <row r="496" spans="1:27" ht="15.75" customHeight="1" x14ac:dyDescent="0.2">
      <c r="A496" s="327"/>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row>
    <row r="497" spans="1:27" ht="15.75" customHeight="1" x14ac:dyDescent="0.2">
      <c r="A497" s="327"/>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c r="AA497" s="327"/>
    </row>
    <row r="498" spans="1:27" ht="15.75" customHeight="1" x14ac:dyDescent="0.2">
      <c r="A498" s="327"/>
      <c r="B498" s="327"/>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c r="AA498" s="327"/>
    </row>
    <row r="499" spans="1:27" ht="15.75" customHeight="1" x14ac:dyDescent="0.2">
      <c r="A499" s="327"/>
      <c r="B499" s="327"/>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c r="AA499" s="327"/>
    </row>
    <row r="500" spans="1:27" ht="15.75" customHeight="1" x14ac:dyDescent="0.2">
      <c r="A500" s="327"/>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row>
    <row r="501" spans="1:27" ht="15.75" customHeight="1" x14ac:dyDescent="0.2">
      <c r="A501" s="327"/>
      <c r="B501" s="327"/>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c r="AA501" s="327"/>
    </row>
    <row r="502" spans="1:27" ht="15.75" customHeight="1" x14ac:dyDescent="0.2">
      <c r="A502" s="327"/>
      <c r="B502" s="327"/>
      <c r="C502" s="327"/>
      <c r="D502" s="327"/>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c r="AA502" s="327"/>
    </row>
    <row r="503" spans="1:27" ht="15.75" customHeight="1" x14ac:dyDescent="0.2">
      <c r="A503" s="327"/>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row>
    <row r="504" spans="1:27" ht="15.75" customHeight="1" x14ac:dyDescent="0.2">
      <c r="A504" s="327"/>
      <c r="B504" s="327"/>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c r="AA504" s="327"/>
    </row>
    <row r="505" spans="1:27" ht="15.75" customHeight="1" x14ac:dyDescent="0.2">
      <c r="A505" s="327"/>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c r="AA505" s="327"/>
    </row>
    <row r="506" spans="1:27" ht="15.75" customHeight="1" x14ac:dyDescent="0.2">
      <c r="A506" s="327"/>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c r="AA506" s="327"/>
    </row>
    <row r="507" spans="1:27" ht="15.75" customHeight="1" x14ac:dyDescent="0.2">
      <c r="A507" s="327"/>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c r="AA507" s="327"/>
    </row>
    <row r="508" spans="1:27" ht="15.75" customHeight="1" x14ac:dyDescent="0.2">
      <c r="A508" s="327"/>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row>
    <row r="509" spans="1:27" ht="15.75" customHeight="1" x14ac:dyDescent="0.2">
      <c r="A509" s="327"/>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row>
    <row r="510" spans="1:27" ht="15.75" customHeight="1" x14ac:dyDescent="0.2">
      <c r="A510" s="327"/>
      <c r="B510" s="327"/>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c r="AA510" s="327"/>
    </row>
    <row r="511" spans="1:27" ht="15.75" customHeight="1" x14ac:dyDescent="0.2">
      <c r="A511" s="327"/>
      <c r="B511" s="327"/>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c r="AA511" s="327"/>
    </row>
    <row r="512" spans="1:27" ht="15.75" customHeight="1" x14ac:dyDescent="0.2">
      <c r="A512" s="327"/>
      <c r="B512" s="327"/>
      <c r="C512" s="327"/>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c r="AA512" s="327"/>
    </row>
    <row r="513" spans="1:27" ht="15.75" customHeight="1" x14ac:dyDescent="0.2">
      <c r="A513" s="327"/>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c r="AA513" s="327"/>
    </row>
    <row r="514" spans="1:27" ht="15.75" customHeight="1" x14ac:dyDescent="0.2">
      <c r="A514" s="327"/>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row>
    <row r="515" spans="1:27" ht="15.75" customHeight="1" x14ac:dyDescent="0.2">
      <c r="A515" s="327"/>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c r="AA515" s="327"/>
    </row>
    <row r="516" spans="1:27" ht="15.75" customHeight="1" x14ac:dyDescent="0.2">
      <c r="A516" s="327"/>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c r="AA516" s="327"/>
    </row>
    <row r="517" spans="1:27" ht="15.75" customHeight="1" x14ac:dyDescent="0.2">
      <c r="A517" s="327"/>
      <c r="B517" s="327"/>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c r="AA517" s="327"/>
    </row>
    <row r="518" spans="1:27" ht="15.75" customHeight="1" x14ac:dyDescent="0.2">
      <c r="A518" s="327"/>
      <c r="B518" s="327"/>
      <c r="C518" s="327"/>
      <c r="D518" s="327"/>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c r="AA518" s="327"/>
    </row>
    <row r="519" spans="1:27" ht="15.75" customHeight="1" x14ac:dyDescent="0.2">
      <c r="A519" s="327"/>
      <c r="B519" s="327"/>
      <c r="C519" s="327"/>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c r="AA519" s="327"/>
    </row>
    <row r="520" spans="1:27" ht="15.75" customHeight="1" x14ac:dyDescent="0.2">
      <c r="A520" s="327"/>
      <c r="B520" s="327"/>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c r="AA520" s="327"/>
    </row>
    <row r="521" spans="1:27" ht="15.75" customHeight="1" x14ac:dyDescent="0.2">
      <c r="A521" s="327"/>
      <c r="B521" s="327"/>
      <c r="C521" s="327"/>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c r="AA521" s="327"/>
    </row>
    <row r="522" spans="1:27" ht="15.75" customHeight="1" x14ac:dyDescent="0.2">
      <c r="A522" s="327"/>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c r="AA522" s="327"/>
    </row>
    <row r="523" spans="1:27" ht="15.75" customHeight="1" x14ac:dyDescent="0.2">
      <c r="A523" s="327"/>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row>
    <row r="524" spans="1:27" ht="15.75" customHeight="1" x14ac:dyDescent="0.2">
      <c r="A524" s="327"/>
      <c r="B524" s="327"/>
      <c r="C524" s="327"/>
      <c r="D524" s="327"/>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c r="AA524" s="327"/>
    </row>
    <row r="525" spans="1:27" ht="15.75" customHeight="1" x14ac:dyDescent="0.2">
      <c r="A525" s="327"/>
      <c r="B525" s="327"/>
      <c r="C525" s="327"/>
      <c r="D525" s="327"/>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c r="AA525" s="327"/>
    </row>
    <row r="526" spans="1:27" ht="15.75" customHeight="1" x14ac:dyDescent="0.2">
      <c r="A526" s="327"/>
      <c r="B526" s="327"/>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c r="AA526" s="327"/>
    </row>
    <row r="527" spans="1:27" ht="15.75" customHeight="1" x14ac:dyDescent="0.2">
      <c r="A527" s="327"/>
      <c r="B527" s="327"/>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c r="AA527" s="327"/>
    </row>
    <row r="528" spans="1:27" ht="15.75" customHeight="1" x14ac:dyDescent="0.2">
      <c r="A528" s="327"/>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c r="AA528" s="327"/>
    </row>
    <row r="529" spans="1:27" ht="15.75" customHeight="1" x14ac:dyDescent="0.2">
      <c r="A529" s="327"/>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row>
    <row r="530" spans="1:27" ht="15.75" customHeight="1" x14ac:dyDescent="0.2">
      <c r="A530" s="327"/>
      <c r="B530" s="327"/>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c r="AA530" s="327"/>
    </row>
    <row r="531" spans="1:27" ht="15.75" customHeight="1" x14ac:dyDescent="0.2">
      <c r="A531" s="327"/>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row>
    <row r="532" spans="1:27" ht="15.75" customHeight="1" x14ac:dyDescent="0.2">
      <c r="A532" s="327"/>
      <c r="B532" s="327"/>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c r="AA532" s="327"/>
    </row>
    <row r="533" spans="1:27" ht="15.75" customHeight="1" x14ac:dyDescent="0.2">
      <c r="A533" s="327"/>
      <c r="B533" s="327"/>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c r="AA533" s="327"/>
    </row>
    <row r="534" spans="1:27" ht="15.75" customHeight="1" x14ac:dyDescent="0.2">
      <c r="A534" s="327"/>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c r="AA534" s="327"/>
    </row>
    <row r="535" spans="1:27" ht="15.75" customHeight="1" x14ac:dyDescent="0.2">
      <c r="A535" s="327"/>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c r="AA535" s="327"/>
    </row>
    <row r="536" spans="1:27" ht="15.75" customHeight="1" x14ac:dyDescent="0.2">
      <c r="A536" s="327"/>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c r="AA536" s="327"/>
    </row>
    <row r="537" spans="1:27" ht="15.75" customHeight="1" x14ac:dyDescent="0.2">
      <c r="A537" s="327"/>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row>
    <row r="538" spans="1:27" ht="15.75" customHeight="1" x14ac:dyDescent="0.2">
      <c r="A538" s="327"/>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c r="AA538" s="327"/>
    </row>
    <row r="539" spans="1:27" ht="15.75" customHeight="1" x14ac:dyDescent="0.2">
      <c r="A539" s="327"/>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row>
    <row r="540" spans="1:27" ht="15.75" customHeight="1" x14ac:dyDescent="0.2">
      <c r="A540" s="327"/>
      <c r="B540" s="327"/>
      <c r="C540" s="327"/>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c r="AA540" s="327"/>
    </row>
    <row r="541" spans="1:27" ht="15.75" customHeight="1" x14ac:dyDescent="0.2">
      <c r="A541" s="327"/>
      <c r="B541" s="327"/>
      <c r="C541" s="327"/>
      <c r="D541" s="327"/>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c r="AA541" s="327"/>
    </row>
    <row r="542" spans="1:27" ht="15.75" customHeight="1" x14ac:dyDescent="0.2">
      <c r="A542" s="327"/>
      <c r="B542" s="327"/>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c r="AA542" s="327"/>
    </row>
    <row r="543" spans="1:27" ht="15.75" customHeight="1" x14ac:dyDescent="0.2">
      <c r="A543" s="327"/>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row>
    <row r="544" spans="1:27" ht="15.75" customHeight="1" x14ac:dyDescent="0.2">
      <c r="A544" s="327"/>
      <c r="B544" s="327"/>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c r="AA544" s="327"/>
    </row>
    <row r="545" spans="1:27" ht="15.75" customHeight="1" x14ac:dyDescent="0.2">
      <c r="A545" s="327"/>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c r="AA545" s="327"/>
    </row>
    <row r="546" spans="1:27" ht="15.75" customHeight="1" x14ac:dyDescent="0.2">
      <c r="A546" s="327"/>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row>
    <row r="547" spans="1:27" ht="15.75" customHeight="1" x14ac:dyDescent="0.2">
      <c r="A547" s="327"/>
      <c r="B547" s="327"/>
      <c r="C547" s="327"/>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c r="AA547" s="327"/>
    </row>
    <row r="548" spans="1:27" ht="15.75" customHeight="1" x14ac:dyDescent="0.2">
      <c r="A548" s="327"/>
      <c r="B548" s="327"/>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c r="AA548" s="327"/>
    </row>
    <row r="549" spans="1:27" ht="15.75" customHeight="1" x14ac:dyDescent="0.2">
      <c r="A549" s="327"/>
      <c r="B549" s="327"/>
      <c r="C549" s="327"/>
      <c r="D549" s="327"/>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c r="AA549" s="327"/>
    </row>
    <row r="550" spans="1:27" ht="15.75" customHeight="1" x14ac:dyDescent="0.2">
      <c r="A550" s="327"/>
      <c r="B550" s="327"/>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c r="AA550" s="327"/>
    </row>
    <row r="551" spans="1:27" ht="15.75" customHeight="1" x14ac:dyDescent="0.2">
      <c r="A551" s="327"/>
      <c r="B551" s="327"/>
      <c r="C551" s="327"/>
      <c r="D551" s="327"/>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c r="AA551" s="327"/>
    </row>
    <row r="552" spans="1:27" ht="15.75" customHeight="1" x14ac:dyDescent="0.2">
      <c r="A552" s="327"/>
      <c r="B552" s="327"/>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c r="AA552" s="327"/>
    </row>
    <row r="553" spans="1:27" ht="15.75" customHeight="1" x14ac:dyDescent="0.2">
      <c r="A553" s="327"/>
      <c r="B553" s="327"/>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c r="AA553" s="327"/>
    </row>
    <row r="554" spans="1:27" ht="15.75" customHeight="1" x14ac:dyDescent="0.2">
      <c r="A554" s="327"/>
      <c r="B554" s="327"/>
      <c r="C554" s="327"/>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c r="AA554" s="327"/>
    </row>
    <row r="555" spans="1:27" ht="15.75" customHeight="1" x14ac:dyDescent="0.2">
      <c r="A555" s="327"/>
      <c r="B555" s="327"/>
      <c r="C555" s="327"/>
      <c r="D555" s="327"/>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c r="AA555" s="327"/>
    </row>
    <row r="556" spans="1:27" ht="15.75" customHeight="1" x14ac:dyDescent="0.2">
      <c r="A556" s="327"/>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c r="AA556" s="327"/>
    </row>
    <row r="557" spans="1:27" ht="15.75" customHeight="1" x14ac:dyDescent="0.2">
      <c r="A557" s="327"/>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c r="AA557" s="327"/>
    </row>
    <row r="558" spans="1:27" ht="15.75" customHeight="1" x14ac:dyDescent="0.2">
      <c r="A558" s="327"/>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c r="AA558" s="327"/>
    </row>
    <row r="559" spans="1:27" ht="15.75" customHeight="1" x14ac:dyDescent="0.2">
      <c r="A559" s="327"/>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c r="AA559" s="327"/>
    </row>
    <row r="560" spans="1:27" ht="15.75" customHeight="1" x14ac:dyDescent="0.2">
      <c r="A560" s="327"/>
      <c r="B560" s="327"/>
      <c r="C560" s="327"/>
      <c r="D560" s="327"/>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c r="AA560" s="327"/>
    </row>
    <row r="561" spans="1:27" ht="15.75" customHeight="1" x14ac:dyDescent="0.2">
      <c r="A561" s="327"/>
      <c r="B561" s="327"/>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c r="AA561" s="327"/>
    </row>
    <row r="562" spans="1:27" ht="15.75" customHeight="1" x14ac:dyDescent="0.2">
      <c r="A562" s="327"/>
      <c r="B562" s="327"/>
      <c r="C562" s="327"/>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c r="AA562" s="327"/>
    </row>
    <row r="563" spans="1:27" ht="15.75" customHeight="1" x14ac:dyDescent="0.2">
      <c r="A563" s="327"/>
      <c r="B563" s="327"/>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c r="AA563" s="327"/>
    </row>
    <row r="564" spans="1:27" ht="15.75" customHeight="1" x14ac:dyDescent="0.2">
      <c r="A564" s="327"/>
      <c r="B564" s="327"/>
      <c r="C564" s="327"/>
      <c r="D564" s="327"/>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c r="AA564" s="327"/>
    </row>
    <row r="565" spans="1:27" ht="15.75" customHeight="1" x14ac:dyDescent="0.2">
      <c r="A565" s="327"/>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row>
    <row r="566" spans="1:27" ht="15.75" customHeight="1" x14ac:dyDescent="0.2">
      <c r="A566" s="327"/>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c r="AA566" s="327"/>
    </row>
    <row r="567" spans="1:27" ht="15.75" customHeight="1" x14ac:dyDescent="0.2">
      <c r="A567" s="327"/>
      <c r="B567" s="327"/>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c r="AA567" s="327"/>
    </row>
    <row r="568" spans="1:27" ht="15.75" customHeight="1" x14ac:dyDescent="0.2">
      <c r="A568" s="327"/>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row>
    <row r="569" spans="1:27" ht="15.75" customHeight="1" x14ac:dyDescent="0.2">
      <c r="A569" s="327"/>
      <c r="B569" s="327"/>
      <c r="C569" s="327"/>
      <c r="D569" s="327"/>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c r="AA569" s="327"/>
    </row>
    <row r="570" spans="1:27" ht="15.75" customHeight="1" x14ac:dyDescent="0.2">
      <c r="A570" s="327"/>
      <c r="B570" s="327"/>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c r="AA570" s="327"/>
    </row>
    <row r="571" spans="1:27" ht="15.75" customHeight="1" x14ac:dyDescent="0.2">
      <c r="A571" s="327"/>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c r="AA571" s="327"/>
    </row>
    <row r="572" spans="1:27" ht="15.75" customHeight="1" x14ac:dyDescent="0.2">
      <c r="A572" s="327"/>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c r="AA572" s="327"/>
    </row>
    <row r="573" spans="1:27" ht="15.75" customHeight="1" x14ac:dyDescent="0.2">
      <c r="A573" s="327"/>
      <c r="B573" s="327"/>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c r="AA573" s="327"/>
    </row>
    <row r="574" spans="1:27" ht="15.75" customHeight="1" x14ac:dyDescent="0.2">
      <c r="A574" s="327"/>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row>
    <row r="575" spans="1:27" ht="15.75" customHeight="1" x14ac:dyDescent="0.2">
      <c r="A575" s="327"/>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row>
    <row r="576" spans="1:27" ht="15.75" customHeight="1" x14ac:dyDescent="0.2">
      <c r="A576" s="327"/>
      <c r="B576" s="327"/>
      <c r="C576" s="327"/>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c r="AA576" s="327"/>
    </row>
    <row r="577" spans="1:27" ht="15.75" customHeight="1" x14ac:dyDescent="0.2">
      <c r="A577" s="327"/>
      <c r="B577" s="327"/>
      <c r="C577" s="327"/>
      <c r="D577" s="327"/>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c r="AA577" s="327"/>
    </row>
    <row r="578" spans="1:27" ht="15.75" customHeight="1" x14ac:dyDescent="0.2">
      <c r="A578" s="327"/>
      <c r="B578" s="327"/>
      <c r="C578" s="327"/>
      <c r="D578" s="327"/>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c r="AA578" s="327"/>
    </row>
    <row r="579" spans="1:27" ht="15.75" customHeight="1" x14ac:dyDescent="0.2">
      <c r="A579" s="327"/>
      <c r="B579" s="327"/>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c r="AA579" s="327"/>
    </row>
    <row r="580" spans="1:27" ht="15.75" customHeight="1" x14ac:dyDescent="0.2">
      <c r="A580" s="327"/>
      <c r="B580" s="327"/>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c r="AA580" s="327"/>
    </row>
    <row r="581" spans="1:27" ht="15.75" customHeight="1" x14ac:dyDescent="0.2">
      <c r="A581" s="327"/>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row>
    <row r="582" spans="1:27" ht="15.75" customHeight="1" x14ac:dyDescent="0.2">
      <c r="A582" s="327"/>
      <c r="B582" s="327"/>
      <c r="C582" s="327"/>
      <c r="D582" s="327"/>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c r="AA582" s="327"/>
    </row>
    <row r="583" spans="1:27" ht="15.75" customHeight="1" x14ac:dyDescent="0.2">
      <c r="A583" s="327"/>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c r="AA583" s="327"/>
    </row>
    <row r="584" spans="1:27" ht="15.75" customHeight="1" x14ac:dyDescent="0.2">
      <c r="A584" s="327"/>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c r="AA584" s="327"/>
    </row>
    <row r="585" spans="1:27" ht="15.75" customHeight="1" x14ac:dyDescent="0.2">
      <c r="A585" s="327"/>
      <c r="B585" s="327"/>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c r="AA585" s="327"/>
    </row>
    <row r="586" spans="1:27" ht="15.75" customHeight="1" x14ac:dyDescent="0.2">
      <c r="A586" s="327"/>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row>
    <row r="587" spans="1:27" ht="15.75" customHeight="1" x14ac:dyDescent="0.2">
      <c r="A587" s="327"/>
      <c r="B587" s="327"/>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c r="AA587" s="327"/>
    </row>
    <row r="588" spans="1:27" ht="15.75" customHeight="1" x14ac:dyDescent="0.2">
      <c r="A588" s="327"/>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c r="AA588" s="327"/>
    </row>
    <row r="589" spans="1:27" ht="15.75" customHeight="1" x14ac:dyDescent="0.2">
      <c r="A589" s="327"/>
      <c r="B589" s="327"/>
      <c r="C589" s="327"/>
      <c r="D589" s="327"/>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c r="AA589" s="327"/>
    </row>
    <row r="590" spans="1:27" ht="15.75" customHeight="1" x14ac:dyDescent="0.2">
      <c r="A590" s="327"/>
      <c r="B590" s="327"/>
      <c r="C590" s="327"/>
      <c r="D590" s="327"/>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c r="AA590" s="327"/>
    </row>
    <row r="591" spans="1:27" ht="15.75" customHeight="1" x14ac:dyDescent="0.2">
      <c r="A591" s="327"/>
      <c r="B591" s="327"/>
      <c r="C591" s="327"/>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c r="AA591" s="327"/>
    </row>
    <row r="592" spans="1:27" ht="15.75" customHeight="1" x14ac:dyDescent="0.2">
      <c r="A592" s="327"/>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row>
    <row r="593" spans="1:27" ht="15.75" customHeight="1" x14ac:dyDescent="0.2">
      <c r="A593" s="327"/>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c r="AA593" s="327"/>
    </row>
    <row r="594" spans="1:27" ht="15.75" customHeight="1" x14ac:dyDescent="0.2">
      <c r="A594" s="327"/>
      <c r="B594" s="327"/>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c r="AA594" s="327"/>
    </row>
    <row r="595" spans="1:27" ht="15.75" customHeight="1" x14ac:dyDescent="0.2">
      <c r="A595" s="327"/>
      <c r="B595" s="327"/>
      <c r="C595" s="327"/>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c r="AA595" s="327"/>
    </row>
    <row r="596" spans="1:27" ht="15.75" customHeight="1" x14ac:dyDescent="0.2">
      <c r="A596" s="327"/>
      <c r="B596" s="327"/>
      <c r="C596" s="327"/>
      <c r="D596" s="327"/>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c r="AA596" s="327"/>
    </row>
    <row r="597" spans="1:27" ht="15.75" customHeight="1" x14ac:dyDescent="0.2">
      <c r="A597" s="327"/>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c r="AA597" s="327"/>
    </row>
    <row r="598" spans="1:27" ht="15.75" customHeight="1" x14ac:dyDescent="0.2">
      <c r="A598" s="327"/>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c r="AA598" s="327"/>
    </row>
    <row r="599" spans="1:27" ht="15.75" customHeight="1" x14ac:dyDescent="0.2">
      <c r="A599" s="327"/>
      <c r="B599" s="327"/>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c r="AA599" s="327"/>
    </row>
    <row r="600" spans="1:27" ht="15.75" customHeight="1" x14ac:dyDescent="0.2">
      <c r="A600" s="327"/>
      <c r="B600" s="327"/>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c r="AA600" s="327"/>
    </row>
    <row r="601" spans="1:27" ht="15.75" customHeight="1" x14ac:dyDescent="0.2">
      <c r="A601" s="327"/>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row>
    <row r="602" spans="1:27" ht="15.75" customHeight="1" x14ac:dyDescent="0.2">
      <c r="A602" s="327"/>
      <c r="B602" s="327"/>
      <c r="C602" s="327"/>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c r="AA602" s="327"/>
    </row>
    <row r="603" spans="1:27" ht="15.75" customHeight="1" x14ac:dyDescent="0.2">
      <c r="A603" s="327"/>
      <c r="B603" s="327"/>
      <c r="C603" s="327"/>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c r="AA603" s="327"/>
    </row>
    <row r="604" spans="1:27" ht="15.75" customHeight="1" x14ac:dyDescent="0.2">
      <c r="A604" s="327"/>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row>
    <row r="605" spans="1:27" ht="15.75" customHeight="1" x14ac:dyDescent="0.2">
      <c r="A605" s="327"/>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c r="AA605" s="327"/>
    </row>
    <row r="606" spans="1:27" ht="15.75" customHeight="1" x14ac:dyDescent="0.2">
      <c r="A606" s="327"/>
      <c r="B606" s="327"/>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c r="AA606" s="327"/>
    </row>
    <row r="607" spans="1:27" ht="15.75" customHeight="1" x14ac:dyDescent="0.2">
      <c r="A607" s="327"/>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row>
    <row r="608" spans="1:27" ht="15.75" customHeight="1" x14ac:dyDescent="0.2">
      <c r="A608" s="327"/>
      <c r="B608" s="327"/>
      <c r="C608" s="327"/>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c r="AA608" s="327"/>
    </row>
    <row r="609" spans="1:27" ht="15.75" customHeight="1" x14ac:dyDescent="0.2">
      <c r="A609" s="327"/>
      <c r="B609" s="327"/>
      <c r="C609" s="327"/>
      <c r="D609" s="327"/>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c r="AA609" s="327"/>
    </row>
    <row r="610" spans="1:27" ht="15.75" customHeight="1" x14ac:dyDescent="0.2">
      <c r="A610" s="327"/>
      <c r="B610" s="327"/>
      <c r="C610" s="327"/>
      <c r="D610" s="327"/>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c r="AA610" s="327"/>
    </row>
    <row r="611" spans="1:27" ht="15.75" customHeight="1" x14ac:dyDescent="0.2">
      <c r="A611" s="327"/>
      <c r="B611" s="327"/>
      <c r="C611" s="327"/>
      <c r="D611" s="327"/>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c r="AA611" s="327"/>
    </row>
    <row r="612" spans="1:27" ht="15.75" customHeight="1" x14ac:dyDescent="0.2">
      <c r="A612" s="327"/>
      <c r="B612" s="327"/>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c r="AA612" s="327"/>
    </row>
    <row r="613" spans="1:27" ht="15.75" customHeight="1" x14ac:dyDescent="0.2">
      <c r="A613" s="327"/>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row>
    <row r="614" spans="1:27" ht="15.75" customHeight="1" x14ac:dyDescent="0.2">
      <c r="A614" s="327"/>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c r="AA614" s="327"/>
    </row>
    <row r="615" spans="1:27" ht="15.75" customHeight="1" x14ac:dyDescent="0.2">
      <c r="A615" s="327"/>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c r="AA615" s="327"/>
    </row>
    <row r="616" spans="1:27" ht="15.75" customHeight="1" x14ac:dyDescent="0.2">
      <c r="A616" s="327"/>
      <c r="B616" s="327"/>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c r="AA616" s="327"/>
    </row>
    <row r="617" spans="1:27" ht="15.75" customHeight="1" x14ac:dyDescent="0.2">
      <c r="A617" s="327"/>
      <c r="B617" s="327"/>
      <c r="C617" s="327"/>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c r="AA617" s="327"/>
    </row>
    <row r="618" spans="1:27" ht="15.75" customHeight="1" x14ac:dyDescent="0.2">
      <c r="A618" s="327"/>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row>
    <row r="619" spans="1:27" ht="15.75" customHeight="1" x14ac:dyDescent="0.2">
      <c r="A619" s="327"/>
      <c r="B619" s="327"/>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c r="AA619" s="327"/>
    </row>
    <row r="620" spans="1:27" ht="15.75" customHeight="1" x14ac:dyDescent="0.2">
      <c r="A620" s="327"/>
      <c r="B620" s="327"/>
      <c r="C620" s="327"/>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c r="AA620" s="327"/>
    </row>
    <row r="621" spans="1:27" ht="15.75" customHeight="1" x14ac:dyDescent="0.2">
      <c r="A621" s="327"/>
      <c r="B621" s="327"/>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c r="AA621" s="327"/>
    </row>
    <row r="622" spans="1:27" ht="15.75" customHeight="1" x14ac:dyDescent="0.2">
      <c r="A622" s="327"/>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row>
    <row r="623" spans="1:27" ht="15.75" customHeight="1" x14ac:dyDescent="0.2">
      <c r="A623" s="327"/>
      <c r="B623" s="327"/>
      <c r="C623" s="327"/>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c r="AA623" s="327"/>
    </row>
    <row r="624" spans="1:27" ht="15.75" customHeight="1" x14ac:dyDescent="0.2">
      <c r="A624" s="327"/>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row>
    <row r="625" spans="1:27" ht="15.75" customHeight="1" x14ac:dyDescent="0.2">
      <c r="A625" s="327"/>
      <c r="B625" s="327"/>
      <c r="C625" s="327"/>
      <c r="D625" s="327"/>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c r="AA625" s="327"/>
    </row>
    <row r="626" spans="1:27" ht="15.75" customHeight="1" x14ac:dyDescent="0.2">
      <c r="A626" s="327"/>
      <c r="B626" s="327"/>
      <c r="C626" s="327"/>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c r="AA626" s="327"/>
    </row>
    <row r="627" spans="1:27" ht="15.75" customHeight="1" x14ac:dyDescent="0.2">
      <c r="A627" s="327"/>
      <c r="B627" s="327"/>
      <c r="C627" s="327"/>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c r="AA627" s="327"/>
    </row>
    <row r="628" spans="1:27" ht="15.75" customHeight="1" x14ac:dyDescent="0.2">
      <c r="A628" s="327"/>
      <c r="B628" s="327"/>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c r="AA628" s="327"/>
    </row>
    <row r="629" spans="1:27" ht="15.75" customHeight="1" x14ac:dyDescent="0.2">
      <c r="A629" s="327"/>
      <c r="B629" s="327"/>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c r="AA629" s="327"/>
    </row>
    <row r="630" spans="1:27" ht="15.75" customHeight="1" x14ac:dyDescent="0.2">
      <c r="A630" s="327"/>
      <c r="B630" s="327"/>
      <c r="C630" s="327"/>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c r="AA630" s="327"/>
    </row>
    <row r="631" spans="1:27" ht="15.75" customHeight="1" x14ac:dyDescent="0.2">
      <c r="A631" s="327"/>
      <c r="B631" s="327"/>
      <c r="C631" s="327"/>
      <c r="D631" s="327"/>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c r="AA631" s="327"/>
    </row>
    <row r="632" spans="1:27" ht="15.75" customHeight="1" x14ac:dyDescent="0.2">
      <c r="A632" s="327"/>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row>
    <row r="633" spans="1:27" ht="15.75" customHeight="1" x14ac:dyDescent="0.2">
      <c r="A633" s="327"/>
      <c r="B633" s="327"/>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c r="AA633" s="327"/>
    </row>
    <row r="634" spans="1:27" ht="15.75" customHeight="1" x14ac:dyDescent="0.2">
      <c r="A634" s="327"/>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c r="AA634" s="327"/>
    </row>
    <row r="635" spans="1:27" ht="15.75" customHeight="1" x14ac:dyDescent="0.2">
      <c r="A635" s="327"/>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c r="AA635" s="327"/>
    </row>
    <row r="636" spans="1:27" ht="15.75" customHeight="1" x14ac:dyDescent="0.2">
      <c r="A636" s="327"/>
      <c r="B636" s="327"/>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c r="AA636" s="327"/>
    </row>
    <row r="637" spans="1:27" ht="15.75" customHeight="1" x14ac:dyDescent="0.2">
      <c r="A637" s="327"/>
      <c r="B637" s="327"/>
      <c r="C637" s="327"/>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c r="AA637" s="327"/>
    </row>
    <row r="638" spans="1:27" ht="15.75" customHeight="1" x14ac:dyDescent="0.2">
      <c r="A638" s="327"/>
      <c r="B638" s="327"/>
      <c r="C638" s="327"/>
      <c r="D638" s="327"/>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c r="AA638" s="327"/>
    </row>
    <row r="639" spans="1:27" ht="15.75" customHeight="1" x14ac:dyDescent="0.2">
      <c r="A639" s="327"/>
      <c r="B639" s="327"/>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c r="AA639" s="327"/>
    </row>
    <row r="640" spans="1:27" ht="15.75" customHeight="1" x14ac:dyDescent="0.2">
      <c r="A640" s="327"/>
      <c r="B640" s="327"/>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c r="AA640" s="327"/>
    </row>
    <row r="641" spans="1:27" ht="15.75" customHeight="1" x14ac:dyDescent="0.2">
      <c r="A641" s="327"/>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c r="AA641" s="327"/>
    </row>
    <row r="642" spans="1:27" ht="15.75" customHeight="1" x14ac:dyDescent="0.2">
      <c r="A642" s="327"/>
      <c r="B642" s="327"/>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c r="AA642" s="327"/>
    </row>
    <row r="643" spans="1:27" ht="15.75" customHeight="1" x14ac:dyDescent="0.2">
      <c r="A643" s="327"/>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c r="AA643" s="327"/>
    </row>
    <row r="644" spans="1:27" ht="15.75" customHeight="1" x14ac:dyDescent="0.2">
      <c r="A644" s="327"/>
      <c r="B644" s="327"/>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c r="AA644" s="327"/>
    </row>
    <row r="645" spans="1:27" ht="15.75" customHeight="1" x14ac:dyDescent="0.2">
      <c r="A645" s="327"/>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c r="AA645" s="327"/>
    </row>
    <row r="646" spans="1:27" ht="15.75" customHeight="1" x14ac:dyDescent="0.2">
      <c r="A646" s="327"/>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c r="AA646" s="327"/>
    </row>
    <row r="647" spans="1:27" ht="15.75" customHeight="1" x14ac:dyDescent="0.2">
      <c r="A647" s="327"/>
      <c r="B647" s="327"/>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c r="AA647" s="327"/>
    </row>
    <row r="648" spans="1:27" ht="15.75" customHeight="1" x14ac:dyDescent="0.2">
      <c r="A648" s="327"/>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row>
    <row r="649" spans="1:27" ht="15.75" customHeight="1" x14ac:dyDescent="0.2">
      <c r="A649" s="327"/>
      <c r="B649" s="327"/>
      <c r="C649" s="327"/>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c r="AA649" s="327"/>
    </row>
    <row r="650" spans="1:27" ht="15.75" customHeight="1" x14ac:dyDescent="0.2">
      <c r="A650" s="327"/>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row>
    <row r="651" spans="1:27" ht="15.75" customHeight="1" x14ac:dyDescent="0.2">
      <c r="A651" s="327"/>
      <c r="B651" s="327"/>
      <c r="C651" s="327"/>
      <c r="D651" s="327"/>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c r="AA651" s="327"/>
    </row>
    <row r="652" spans="1:27" ht="15.75" customHeight="1" x14ac:dyDescent="0.2">
      <c r="A652" s="327"/>
      <c r="B652" s="327"/>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c r="AA652" s="327"/>
    </row>
    <row r="653" spans="1:27" ht="15.75" customHeight="1" x14ac:dyDescent="0.2">
      <c r="A653" s="327"/>
      <c r="B653" s="327"/>
      <c r="C653" s="327"/>
      <c r="D653" s="327"/>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c r="AA653" s="327"/>
    </row>
    <row r="654" spans="1:27" ht="15.75" customHeight="1" x14ac:dyDescent="0.2">
      <c r="A654" s="327"/>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c r="AA654" s="327"/>
    </row>
    <row r="655" spans="1:27" ht="15.75" customHeight="1" x14ac:dyDescent="0.2">
      <c r="A655" s="327"/>
      <c r="B655" s="327"/>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c r="AA655" s="327"/>
    </row>
    <row r="656" spans="1:27" ht="15.75" customHeight="1" x14ac:dyDescent="0.2">
      <c r="A656" s="327"/>
      <c r="B656" s="327"/>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c r="AA656" s="327"/>
    </row>
    <row r="657" spans="1:27" ht="15.75" customHeight="1" x14ac:dyDescent="0.2">
      <c r="A657" s="327"/>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row>
    <row r="658" spans="1:27" ht="15.75" customHeight="1" x14ac:dyDescent="0.2">
      <c r="A658" s="327"/>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c r="AA658" s="327"/>
    </row>
    <row r="659" spans="1:27" ht="15.75" customHeight="1" x14ac:dyDescent="0.2">
      <c r="A659" s="327"/>
      <c r="B659" s="327"/>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c r="AA659" s="327"/>
    </row>
    <row r="660" spans="1:27" ht="15.75" customHeight="1" x14ac:dyDescent="0.2">
      <c r="A660" s="327"/>
      <c r="B660" s="327"/>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c r="AA660" s="327"/>
    </row>
    <row r="661" spans="1:27" ht="15.75" customHeight="1" x14ac:dyDescent="0.2">
      <c r="A661" s="327"/>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row>
    <row r="662" spans="1:27" ht="15.75" customHeight="1" x14ac:dyDescent="0.2">
      <c r="A662" s="327"/>
      <c r="B662" s="327"/>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c r="AA662" s="327"/>
    </row>
    <row r="663" spans="1:27" ht="15.75" customHeight="1" x14ac:dyDescent="0.2">
      <c r="A663" s="327"/>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c r="AA663" s="327"/>
    </row>
    <row r="664" spans="1:27" ht="15.75" customHeight="1" x14ac:dyDescent="0.2">
      <c r="A664" s="327"/>
      <c r="B664" s="327"/>
      <c r="C664" s="327"/>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c r="AA664" s="327"/>
    </row>
    <row r="665" spans="1:27" ht="15.75" customHeight="1" x14ac:dyDescent="0.2">
      <c r="A665" s="327"/>
      <c r="B665" s="327"/>
      <c r="C665" s="327"/>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c r="AA665" s="327"/>
    </row>
    <row r="666" spans="1:27" ht="15.75" customHeight="1" x14ac:dyDescent="0.2">
      <c r="A666" s="327"/>
      <c r="B666" s="327"/>
      <c r="C666" s="327"/>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c r="AA666" s="327"/>
    </row>
    <row r="667" spans="1:27" ht="15.75" customHeight="1" x14ac:dyDescent="0.2">
      <c r="A667" s="327"/>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c r="AA667" s="327"/>
    </row>
    <row r="668" spans="1:27" ht="15.75" customHeight="1" x14ac:dyDescent="0.2">
      <c r="A668" s="327"/>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c r="AA668" s="327"/>
    </row>
    <row r="669" spans="1:27" ht="15.75" customHeight="1" x14ac:dyDescent="0.2">
      <c r="A669" s="327"/>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c r="AA669" s="327"/>
    </row>
    <row r="670" spans="1:27" ht="15.75" customHeight="1" x14ac:dyDescent="0.2">
      <c r="A670" s="327"/>
      <c r="B670" s="327"/>
      <c r="C670" s="327"/>
      <c r="D670" s="327"/>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c r="AA670" s="327"/>
    </row>
    <row r="671" spans="1:27" ht="15.75" customHeight="1" x14ac:dyDescent="0.2">
      <c r="A671" s="327"/>
      <c r="B671" s="327"/>
      <c r="C671" s="327"/>
      <c r="D671" s="327"/>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c r="AA671" s="327"/>
    </row>
    <row r="672" spans="1:27" ht="15.75" customHeight="1" x14ac:dyDescent="0.2">
      <c r="A672" s="327"/>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c r="AA672" s="327"/>
    </row>
    <row r="673" spans="1:27" ht="15.75" customHeight="1" x14ac:dyDescent="0.2">
      <c r="A673" s="327"/>
      <c r="B673" s="327"/>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c r="AA673" s="327"/>
    </row>
    <row r="674" spans="1:27" ht="15.75" customHeight="1" x14ac:dyDescent="0.2">
      <c r="A674" s="327"/>
      <c r="B674" s="327"/>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c r="AA674" s="327"/>
    </row>
    <row r="675" spans="1:27" ht="15.75" customHeight="1" x14ac:dyDescent="0.2">
      <c r="A675" s="327"/>
      <c r="B675" s="327"/>
      <c r="C675" s="327"/>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c r="AA675" s="327"/>
    </row>
    <row r="676" spans="1:27" ht="15.75" customHeight="1" x14ac:dyDescent="0.2">
      <c r="A676" s="327"/>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row>
    <row r="677" spans="1:27" ht="15.75" customHeight="1" x14ac:dyDescent="0.2">
      <c r="A677" s="327"/>
      <c r="B677" s="327"/>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c r="AA677" s="327"/>
    </row>
    <row r="678" spans="1:27" ht="15.75" customHeight="1" x14ac:dyDescent="0.2">
      <c r="A678" s="327"/>
      <c r="B678" s="327"/>
      <c r="C678" s="327"/>
      <c r="D678" s="327"/>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c r="AA678" s="327"/>
    </row>
    <row r="679" spans="1:27" ht="15.75" customHeight="1" x14ac:dyDescent="0.2">
      <c r="A679" s="327"/>
      <c r="B679" s="327"/>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c r="AA679" s="327"/>
    </row>
    <row r="680" spans="1:27" ht="15.75" customHeight="1" x14ac:dyDescent="0.2">
      <c r="A680" s="327"/>
      <c r="B680" s="327"/>
      <c r="C680" s="327"/>
      <c r="D680" s="327"/>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c r="AA680" s="327"/>
    </row>
    <row r="681" spans="1:27" ht="15.75" customHeight="1" x14ac:dyDescent="0.2">
      <c r="A681" s="327"/>
      <c r="B681" s="327"/>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c r="AA681" s="327"/>
    </row>
    <row r="682" spans="1:27" ht="15.75" customHeight="1" x14ac:dyDescent="0.2">
      <c r="A682" s="327"/>
      <c r="B682" s="327"/>
      <c r="C682" s="327"/>
      <c r="D682" s="327"/>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c r="AA682" s="327"/>
    </row>
    <row r="683" spans="1:27" ht="15.75" customHeight="1" x14ac:dyDescent="0.2">
      <c r="A683" s="327"/>
      <c r="B683" s="327"/>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c r="AA683" s="327"/>
    </row>
    <row r="684" spans="1:27" ht="15.75" customHeight="1" x14ac:dyDescent="0.2">
      <c r="A684" s="327"/>
      <c r="B684" s="327"/>
      <c r="C684" s="327"/>
      <c r="D684" s="327"/>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c r="AA684" s="327"/>
    </row>
    <row r="685" spans="1:27" ht="15.75" customHeight="1" x14ac:dyDescent="0.2">
      <c r="A685" s="327"/>
      <c r="B685" s="327"/>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c r="AA685" s="327"/>
    </row>
    <row r="686" spans="1:27" ht="15.75" customHeight="1" x14ac:dyDescent="0.2">
      <c r="A686" s="327"/>
      <c r="B686" s="327"/>
      <c r="C686" s="327"/>
      <c r="D686" s="327"/>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c r="AA686" s="327"/>
    </row>
    <row r="687" spans="1:27" ht="15.75" customHeight="1" x14ac:dyDescent="0.2">
      <c r="A687" s="327"/>
      <c r="B687" s="327"/>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c r="AA687" s="327"/>
    </row>
    <row r="688" spans="1:27" ht="15.75" customHeight="1" x14ac:dyDescent="0.2">
      <c r="A688" s="327"/>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row>
    <row r="689" spans="1:27" ht="15.75" customHeight="1" x14ac:dyDescent="0.2">
      <c r="A689" s="327"/>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row>
    <row r="690" spans="1:27" ht="15.75" customHeight="1" x14ac:dyDescent="0.2">
      <c r="A690" s="327"/>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row>
    <row r="691" spans="1:27" ht="15.75" customHeight="1" x14ac:dyDescent="0.2">
      <c r="A691" s="327"/>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row>
    <row r="692" spans="1:27" ht="15.75" customHeight="1" x14ac:dyDescent="0.2">
      <c r="A692" s="327"/>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row>
    <row r="693" spans="1:27" ht="15.75" customHeight="1" x14ac:dyDescent="0.2">
      <c r="A693" s="327"/>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row>
    <row r="694" spans="1:27" ht="15.75" customHeight="1" x14ac:dyDescent="0.2">
      <c r="A694" s="327"/>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c r="AA694" s="327"/>
    </row>
    <row r="695" spans="1:27" ht="15.75" customHeight="1" x14ac:dyDescent="0.2">
      <c r="A695" s="327"/>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c r="AA695" s="327"/>
    </row>
    <row r="696" spans="1:27" ht="15.75" customHeight="1" x14ac:dyDescent="0.2">
      <c r="A696" s="327"/>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c r="AA696" s="327"/>
    </row>
    <row r="697" spans="1:27" ht="15.75" customHeight="1" x14ac:dyDescent="0.2">
      <c r="A697" s="327"/>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c r="AA697" s="327"/>
    </row>
    <row r="698" spans="1:27" ht="15.75" customHeight="1" x14ac:dyDescent="0.2">
      <c r="A698" s="327"/>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row>
    <row r="699" spans="1:27" ht="15.75" customHeight="1" x14ac:dyDescent="0.2">
      <c r="A699" s="327"/>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row>
    <row r="700" spans="1:27" ht="15.75" customHeight="1" x14ac:dyDescent="0.2">
      <c r="A700" s="327"/>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row>
    <row r="701" spans="1:27" ht="15.75" customHeight="1" x14ac:dyDescent="0.2">
      <c r="A701" s="327"/>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row>
    <row r="702" spans="1:27" ht="15.75" customHeight="1" x14ac:dyDescent="0.2">
      <c r="A702" s="327"/>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c r="AA702" s="327"/>
    </row>
    <row r="703" spans="1:27" ht="15.75" customHeight="1" x14ac:dyDescent="0.2">
      <c r="A703" s="327"/>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c r="AA703" s="327"/>
    </row>
    <row r="704" spans="1:27" ht="15.75" customHeight="1" x14ac:dyDescent="0.2">
      <c r="A704" s="327"/>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row>
    <row r="705" spans="1:27" ht="15.75" customHeight="1" x14ac:dyDescent="0.2">
      <c r="A705" s="327"/>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c r="AA705" s="327"/>
    </row>
    <row r="706" spans="1:27" ht="15.75" customHeight="1" x14ac:dyDescent="0.2">
      <c r="A706" s="327"/>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row>
    <row r="707" spans="1:27" ht="15.75" customHeight="1" x14ac:dyDescent="0.2">
      <c r="A707" s="327"/>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row>
    <row r="708" spans="1:27" ht="15.75" customHeight="1" x14ac:dyDescent="0.2">
      <c r="A708" s="327"/>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row>
    <row r="709" spans="1:27" ht="15.75" customHeight="1" x14ac:dyDescent="0.2">
      <c r="A709" s="327"/>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c r="AA709" s="327"/>
    </row>
    <row r="710" spans="1:27" ht="15.75" customHeight="1" x14ac:dyDescent="0.2">
      <c r="A710" s="327"/>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c r="AA710" s="327"/>
    </row>
    <row r="711" spans="1:27" ht="15.75" customHeight="1" x14ac:dyDescent="0.2">
      <c r="A711" s="327"/>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row>
    <row r="712" spans="1:27" ht="15.75" customHeight="1" x14ac:dyDescent="0.2">
      <c r="A712" s="327"/>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c r="AA712" s="327"/>
    </row>
    <row r="713" spans="1:27" ht="15.75" customHeight="1" x14ac:dyDescent="0.2">
      <c r="A713" s="327"/>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c r="AA713" s="327"/>
    </row>
    <row r="714" spans="1:27" ht="15.75" customHeight="1" x14ac:dyDescent="0.2">
      <c r="A714" s="327"/>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c r="AA714" s="327"/>
    </row>
    <row r="715" spans="1:27" ht="15.75" customHeight="1" x14ac:dyDescent="0.2">
      <c r="A715" s="327"/>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row>
    <row r="716" spans="1:27" ht="15.75" customHeight="1" x14ac:dyDescent="0.2">
      <c r="A716" s="327"/>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row>
    <row r="717" spans="1:27" ht="15.75" customHeight="1" x14ac:dyDescent="0.2">
      <c r="A717" s="327"/>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row>
    <row r="718" spans="1:27" ht="15.75" customHeight="1" x14ac:dyDescent="0.2">
      <c r="A718" s="327"/>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c r="AA718" s="327"/>
    </row>
    <row r="719" spans="1:27" ht="15.75" customHeight="1" x14ac:dyDescent="0.2">
      <c r="A719" s="327"/>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row>
    <row r="720" spans="1:27" ht="15.75" customHeight="1" x14ac:dyDescent="0.2">
      <c r="A720" s="327"/>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row>
    <row r="721" spans="1:27" ht="15.75" customHeight="1" x14ac:dyDescent="0.2">
      <c r="A721" s="327"/>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c r="AA721" s="327"/>
    </row>
    <row r="722" spans="1:27" ht="15.75" customHeight="1" x14ac:dyDescent="0.2">
      <c r="A722" s="327"/>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c r="AA722" s="327"/>
    </row>
    <row r="723" spans="1:27" ht="15.75" customHeight="1" x14ac:dyDescent="0.2">
      <c r="A723" s="327"/>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c r="AA723" s="327"/>
    </row>
    <row r="724" spans="1:27" ht="15.75" customHeight="1" x14ac:dyDescent="0.2">
      <c r="A724" s="327"/>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c r="AA724" s="327"/>
    </row>
    <row r="725" spans="1:27" ht="15.75" customHeight="1" x14ac:dyDescent="0.2">
      <c r="A725" s="327"/>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row>
    <row r="726" spans="1:27" ht="15.75" customHeight="1" x14ac:dyDescent="0.2">
      <c r="A726" s="327"/>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c r="AA726" s="327"/>
    </row>
    <row r="727" spans="1:27" ht="15.75" customHeight="1" x14ac:dyDescent="0.2">
      <c r="A727" s="327"/>
      <c r="B727" s="327"/>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c r="AA727" s="327"/>
    </row>
    <row r="728" spans="1:27" ht="15.75" customHeight="1" x14ac:dyDescent="0.2">
      <c r="A728" s="327"/>
      <c r="B728" s="327"/>
      <c r="C728" s="327"/>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c r="AA728" s="327"/>
    </row>
    <row r="729" spans="1:27" ht="15.75" customHeight="1" x14ac:dyDescent="0.2">
      <c r="A729" s="327"/>
      <c r="B729" s="327"/>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c r="AA729" s="327"/>
    </row>
    <row r="730" spans="1:27" ht="15.75" customHeight="1" x14ac:dyDescent="0.2">
      <c r="A730" s="327"/>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c r="AA730" s="327"/>
    </row>
    <row r="731" spans="1:27" ht="15.75" customHeight="1" x14ac:dyDescent="0.2">
      <c r="A731" s="327"/>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row>
    <row r="732" spans="1:27" ht="15.75" customHeight="1" x14ac:dyDescent="0.2">
      <c r="A732" s="327"/>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c r="AA732" s="327"/>
    </row>
    <row r="733" spans="1:27" ht="15.75" customHeight="1" x14ac:dyDescent="0.2">
      <c r="A733" s="327"/>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row>
    <row r="734" spans="1:27" ht="15.75" customHeight="1" x14ac:dyDescent="0.2">
      <c r="A734" s="327"/>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row>
    <row r="735" spans="1:27" ht="15.75" customHeight="1" x14ac:dyDescent="0.2">
      <c r="A735" s="327"/>
      <c r="B735" s="327"/>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c r="AA735" s="327"/>
    </row>
    <row r="736" spans="1:27" ht="15.75" customHeight="1" x14ac:dyDescent="0.2">
      <c r="A736" s="327"/>
      <c r="B736" s="327"/>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c r="AA736" s="327"/>
    </row>
    <row r="737" spans="1:27" ht="15.75" customHeight="1" x14ac:dyDescent="0.2">
      <c r="A737" s="327"/>
      <c r="B737" s="327"/>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c r="AA737" s="327"/>
    </row>
    <row r="738" spans="1:27" ht="15.75" customHeight="1" x14ac:dyDescent="0.2">
      <c r="A738" s="327"/>
      <c r="B738" s="327"/>
      <c r="C738" s="327"/>
      <c r="D738" s="327"/>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c r="AA738" s="327"/>
    </row>
    <row r="739" spans="1:27" ht="15.75" customHeight="1" x14ac:dyDescent="0.2">
      <c r="A739" s="327"/>
      <c r="B739" s="327"/>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c r="AA739" s="327"/>
    </row>
    <row r="740" spans="1:27" ht="15.75" customHeight="1" x14ac:dyDescent="0.2">
      <c r="A740" s="327"/>
      <c r="B740" s="327"/>
      <c r="C740" s="327"/>
      <c r="D740" s="327"/>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c r="AA740" s="327"/>
    </row>
    <row r="741" spans="1:27" ht="15.75" customHeight="1" x14ac:dyDescent="0.2">
      <c r="A741" s="327"/>
      <c r="B741" s="327"/>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c r="AA741" s="327"/>
    </row>
    <row r="742" spans="1:27" ht="15.75" customHeight="1" x14ac:dyDescent="0.2">
      <c r="A742" s="327"/>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row>
    <row r="743" spans="1:27" ht="15.75" customHeight="1" x14ac:dyDescent="0.2">
      <c r="A743" s="327"/>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row>
    <row r="744" spans="1:27" ht="15.75" customHeight="1" x14ac:dyDescent="0.2">
      <c r="A744" s="327"/>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row>
    <row r="745" spans="1:27" ht="15.75" customHeight="1" x14ac:dyDescent="0.2">
      <c r="A745" s="327"/>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row>
    <row r="746" spans="1:27" ht="15.75" customHeight="1" x14ac:dyDescent="0.2">
      <c r="A746" s="327"/>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row>
    <row r="747" spans="1:27" ht="15.75" customHeight="1" x14ac:dyDescent="0.2">
      <c r="A747" s="327"/>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row>
    <row r="748" spans="1:27" ht="15.75" customHeight="1" x14ac:dyDescent="0.2">
      <c r="A748" s="327"/>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c r="AA748" s="327"/>
    </row>
    <row r="749" spans="1:27" ht="15.75" customHeight="1" x14ac:dyDescent="0.2">
      <c r="A749" s="327"/>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c r="AA749" s="327"/>
    </row>
    <row r="750" spans="1:27" ht="15.75" customHeight="1" x14ac:dyDescent="0.2">
      <c r="A750" s="327"/>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c r="AA750" s="327"/>
    </row>
    <row r="751" spans="1:27" ht="15.75" customHeight="1" x14ac:dyDescent="0.2">
      <c r="A751" s="327"/>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c r="AA751" s="327"/>
    </row>
    <row r="752" spans="1:27" ht="15.75" customHeight="1" x14ac:dyDescent="0.2">
      <c r="A752" s="327"/>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row>
    <row r="753" spans="1:27" ht="15.75" customHeight="1" x14ac:dyDescent="0.2">
      <c r="A753" s="327"/>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row>
    <row r="754" spans="1:27" ht="15.75" customHeight="1" x14ac:dyDescent="0.2">
      <c r="A754" s="327"/>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c r="AA754" s="327"/>
    </row>
    <row r="755" spans="1:27" ht="15.75" customHeight="1" x14ac:dyDescent="0.2">
      <c r="A755" s="327"/>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row>
    <row r="756" spans="1:27" ht="15.75" customHeight="1" x14ac:dyDescent="0.2">
      <c r="A756" s="327"/>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c r="AA756" s="327"/>
    </row>
    <row r="757" spans="1:27" ht="15.75" customHeight="1" x14ac:dyDescent="0.2">
      <c r="A757" s="327"/>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row>
    <row r="758" spans="1:27" ht="15.75" customHeight="1" x14ac:dyDescent="0.2">
      <c r="A758" s="327"/>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c r="AA758" s="327"/>
    </row>
    <row r="759" spans="1:27" ht="15.75" customHeight="1" x14ac:dyDescent="0.2">
      <c r="A759" s="327"/>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row>
    <row r="760" spans="1:27" ht="15.75" customHeight="1" x14ac:dyDescent="0.2">
      <c r="A760" s="327"/>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c r="AA760" s="327"/>
    </row>
    <row r="761" spans="1:27" ht="15.75" customHeight="1" x14ac:dyDescent="0.2">
      <c r="A761" s="327"/>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c r="AA761" s="327"/>
    </row>
    <row r="762" spans="1:27" ht="15.75" customHeight="1" x14ac:dyDescent="0.2">
      <c r="A762" s="327"/>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row>
    <row r="763" spans="1:27" ht="15.75" customHeight="1" x14ac:dyDescent="0.2">
      <c r="A763" s="327"/>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c r="AA763" s="327"/>
    </row>
    <row r="764" spans="1:27" ht="15.75" customHeight="1" x14ac:dyDescent="0.2">
      <c r="A764" s="327"/>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c r="AA764" s="327"/>
    </row>
    <row r="765" spans="1:27" ht="15.75" customHeight="1" x14ac:dyDescent="0.2">
      <c r="A765" s="327"/>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c r="AA765" s="327"/>
    </row>
    <row r="766" spans="1:27" ht="15.75" customHeight="1" x14ac:dyDescent="0.2">
      <c r="A766" s="327"/>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row>
    <row r="767" spans="1:27" ht="15.75" customHeight="1" x14ac:dyDescent="0.2">
      <c r="A767" s="327"/>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c r="AA767" s="327"/>
    </row>
    <row r="768" spans="1:27" ht="15.75" customHeight="1" x14ac:dyDescent="0.2">
      <c r="A768" s="327"/>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row>
    <row r="769" spans="1:27" ht="15.75" customHeight="1" x14ac:dyDescent="0.2">
      <c r="A769" s="327"/>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row>
    <row r="770" spans="1:27" ht="15.75" customHeight="1" x14ac:dyDescent="0.2">
      <c r="A770" s="327"/>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c r="AA770" s="327"/>
    </row>
    <row r="771" spans="1:27" ht="15.75" customHeight="1" x14ac:dyDescent="0.2">
      <c r="A771" s="327"/>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row>
    <row r="772" spans="1:27" ht="15.75" customHeight="1" x14ac:dyDescent="0.2">
      <c r="A772" s="327"/>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row>
    <row r="773" spans="1:27" ht="15.75" customHeight="1" x14ac:dyDescent="0.2">
      <c r="A773" s="327"/>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c r="AA773" s="327"/>
    </row>
    <row r="774" spans="1:27" ht="15.75" customHeight="1" x14ac:dyDescent="0.2">
      <c r="A774" s="327"/>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c r="AA774" s="327"/>
    </row>
    <row r="775" spans="1:27" ht="15.75" customHeight="1" x14ac:dyDescent="0.2">
      <c r="A775" s="327"/>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c r="AA775" s="327"/>
    </row>
    <row r="776" spans="1:27" ht="15.75" customHeight="1" x14ac:dyDescent="0.2">
      <c r="A776" s="327"/>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c r="AA776" s="327"/>
    </row>
    <row r="777" spans="1:27" ht="15.75" customHeight="1" x14ac:dyDescent="0.2">
      <c r="A777" s="327"/>
      <c r="B777" s="327"/>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c r="AA777" s="327"/>
    </row>
    <row r="778" spans="1:27" ht="15.75" customHeight="1" x14ac:dyDescent="0.2">
      <c r="A778" s="327"/>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row>
    <row r="779" spans="1:27" ht="15.75" customHeight="1" x14ac:dyDescent="0.2">
      <c r="A779" s="327"/>
      <c r="B779" s="327"/>
      <c r="C779" s="327"/>
      <c r="D779" s="327"/>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c r="AA779" s="327"/>
    </row>
    <row r="780" spans="1:27" ht="15.75" customHeight="1" x14ac:dyDescent="0.2">
      <c r="A780" s="327"/>
      <c r="B780" s="327"/>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c r="AA780" s="327"/>
    </row>
    <row r="781" spans="1:27" ht="15.75" customHeight="1" x14ac:dyDescent="0.2">
      <c r="A781" s="327"/>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c r="AA781" s="327"/>
    </row>
    <row r="782" spans="1:27" ht="15.75" customHeight="1" x14ac:dyDescent="0.2">
      <c r="A782" s="327"/>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c r="AA782" s="327"/>
    </row>
    <row r="783" spans="1:27" ht="15.75" customHeight="1" x14ac:dyDescent="0.2">
      <c r="A783" s="327"/>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c r="AA783" s="327"/>
    </row>
    <row r="784" spans="1:27" ht="15.75" customHeight="1" x14ac:dyDescent="0.2">
      <c r="A784" s="327"/>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row>
    <row r="785" spans="1:27" ht="15.75" customHeight="1" x14ac:dyDescent="0.2">
      <c r="A785" s="327"/>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row>
    <row r="786" spans="1:27" ht="15.75" customHeight="1" x14ac:dyDescent="0.2">
      <c r="A786" s="327"/>
      <c r="B786" s="327"/>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c r="AA786" s="327"/>
    </row>
    <row r="787" spans="1:27" ht="15.75" customHeight="1" x14ac:dyDescent="0.2">
      <c r="A787" s="327"/>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row>
    <row r="788" spans="1:27" ht="15.75" customHeight="1" x14ac:dyDescent="0.2">
      <c r="A788" s="327"/>
      <c r="B788" s="327"/>
      <c r="C788" s="327"/>
      <c r="D788" s="327"/>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c r="AA788" s="327"/>
    </row>
    <row r="789" spans="1:27" ht="15.75" customHeight="1" x14ac:dyDescent="0.2">
      <c r="A789" s="327"/>
      <c r="B789" s="327"/>
      <c r="C789" s="327"/>
      <c r="D789" s="327"/>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c r="AA789" s="327"/>
    </row>
    <row r="790" spans="1:27" ht="15.75" customHeight="1" x14ac:dyDescent="0.2">
      <c r="A790" s="327"/>
      <c r="B790" s="327"/>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c r="AA790" s="327"/>
    </row>
    <row r="791" spans="1:27" ht="15.75" customHeight="1" x14ac:dyDescent="0.2">
      <c r="A791" s="327"/>
      <c r="B791" s="327"/>
      <c r="C791" s="327"/>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c r="AA791" s="327"/>
    </row>
    <row r="792" spans="1:27" ht="15.75" customHeight="1" x14ac:dyDescent="0.2">
      <c r="A792" s="327"/>
      <c r="B792" s="327"/>
      <c r="C792" s="327"/>
      <c r="D792" s="327"/>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c r="AA792" s="327"/>
    </row>
    <row r="793" spans="1:27" ht="15.75" customHeight="1" x14ac:dyDescent="0.2">
      <c r="A793" s="327"/>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row>
    <row r="794" spans="1:27" ht="15.75" customHeight="1" x14ac:dyDescent="0.2">
      <c r="A794" s="327"/>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row>
    <row r="795" spans="1:27" ht="15.75" customHeight="1" x14ac:dyDescent="0.2">
      <c r="A795" s="327"/>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row>
    <row r="796" spans="1:27" ht="15.75" customHeight="1" x14ac:dyDescent="0.2">
      <c r="A796" s="327"/>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c r="AA796" s="327"/>
    </row>
    <row r="797" spans="1:27" ht="15.75" customHeight="1" x14ac:dyDescent="0.2">
      <c r="A797" s="327"/>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row>
    <row r="798" spans="1:27" ht="15.75" customHeight="1" x14ac:dyDescent="0.2">
      <c r="A798" s="327"/>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row>
    <row r="799" spans="1:27" ht="15.75" customHeight="1" x14ac:dyDescent="0.2">
      <c r="A799" s="327"/>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c r="AA799" s="327"/>
    </row>
    <row r="800" spans="1:27" ht="15.75" customHeight="1" x14ac:dyDescent="0.2">
      <c r="A800" s="327"/>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c r="AA800" s="327"/>
    </row>
    <row r="801" spans="1:27" ht="15.75" customHeight="1" x14ac:dyDescent="0.2">
      <c r="A801" s="327"/>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c r="AA801" s="327"/>
    </row>
    <row r="802" spans="1:27" ht="15.75" customHeight="1" x14ac:dyDescent="0.2">
      <c r="A802" s="327"/>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row>
    <row r="803" spans="1:27" ht="15.75" customHeight="1" x14ac:dyDescent="0.2">
      <c r="A803" s="327"/>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c r="AA803" s="327"/>
    </row>
    <row r="804" spans="1:27" ht="15.75" customHeight="1" x14ac:dyDescent="0.2">
      <c r="A804" s="327"/>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row>
    <row r="805" spans="1:27" ht="15.75" customHeight="1" x14ac:dyDescent="0.2">
      <c r="A805" s="327"/>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c r="AA805" s="327"/>
    </row>
    <row r="806" spans="1:27" ht="15.75" customHeight="1" x14ac:dyDescent="0.2">
      <c r="A806" s="327"/>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c r="AA806" s="327"/>
    </row>
    <row r="807" spans="1:27" ht="15.75" customHeight="1" x14ac:dyDescent="0.2">
      <c r="A807" s="327"/>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c r="AA807" s="327"/>
    </row>
    <row r="808" spans="1:27" ht="15.75" customHeight="1" x14ac:dyDescent="0.2">
      <c r="A808" s="327"/>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c r="AA808" s="327"/>
    </row>
    <row r="809" spans="1:27" ht="15.75" customHeight="1" x14ac:dyDescent="0.2">
      <c r="A809" s="327"/>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row>
    <row r="810" spans="1:27" ht="15.75" customHeight="1" x14ac:dyDescent="0.2">
      <c r="A810" s="327"/>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row>
    <row r="811" spans="1:27" ht="15.75" customHeight="1" x14ac:dyDescent="0.2">
      <c r="A811" s="327"/>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c r="AA811" s="327"/>
    </row>
    <row r="812" spans="1:27" ht="15.75" customHeight="1" x14ac:dyDescent="0.2">
      <c r="A812" s="327"/>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c r="AA812" s="327"/>
    </row>
    <row r="813" spans="1:27" ht="15.75" customHeight="1" x14ac:dyDescent="0.2">
      <c r="A813" s="327"/>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row>
    <row r="814" spans="1:27" ht="15.75" customHeight="1" x14ac:dyDescent="0.2">
      <c r="A814" s="327"/>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row>
    <row r="815" spans="1:27" ht="15.75" customHeight="1" x14ac:dyDescent="0.2">
      <c r="A815" s="327"/>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c r="AA815" s="327"/>
    </row>
    <row r="816" spans="1:27" ht="15.75" customHeight="1" x14ac:dyDescent="0.2">
      <c r="A816" s="327"/>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c r="AA816" s="327"/>
    </row>
    <row r="817" spans="1:27" ht="15.75" customHeight="1" x14ac:dyDescent="0.2">
      <c r="A817" s="327"/>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c r="AA817" s="327"/>
    </row>
    <row r="818" spans="1:27" ht="15.75" customHeight="1" x14ac:dyDescent="0.2">
      <c r="A818" s="327"/>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c r="AA818" s="327"/>
    </row>
    <row r="819" spans="1:27" ht="15.75" customHeight="1" x14ac:dyDescent="0.2">
      <c r="A819" s="327"/>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row>
    <row r="820" spans="1:27" ht="15.75" customHeight="1" x14ac:dyDescent="0.2">
      <c r="A820" s="327"/>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c r="AA820" s="327"/>
    </row>
    <row r="821" spans="1:27" ht="15.75" customHeight="1" x14ac:dyDescent="0.2">
      <c r="A821" s="327"/>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c r="AA821" s="327"/>
    </row>
    <row r="822" spans="1:27" ht="15.75" customHeight="1" x14ac:dyDescent="0.2">
      <c r="A822" s="327"/>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c r="AA822" s="327"/>
    </row>
    <row r="823" spans="1:27" ht="15.75" customHeight="1" x14ac:dyDescent="0.2">
      <c r="A823" s="327"/>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row>
    <row r="824" spans="1:27" ht="15.75" customHeight="1" x14ac:dyDescent="0.2">
      <c r="A824" s="327"/>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c r="AA824" s="327"/>
    </row>
    <row r="825" spans="1:27" ht="15.75" customHeight="1" x14ac:dyDescent="0.2">
      <c r="A825" s="327"/>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row>
    <row r="826" spans="1:27" ht="15.75" customHeight="1" x14ac:dyDescent="0.2">
      <c r="A826" s="327"/>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row>
    <row r="827" spans="1:27" ht="15.75" customHeight="1" x14ac:dyDescent="0.2">
      <c r="A827" s="327"/>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c r="AA827" s="327"/>
    </row>
    <row r="828" spans="1:27" ht="15.75" customHeight="1" x14ac:dyDescent="0.2">
      <c r="A828" s="327"/>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c r="AA828" s="327"/>
    </row>
    <row r="829" spans="1:27" ht="15.75" customHeight="1" x14ac:dyDescent="0.2">
      <c r="A829" s="327"/>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c r="AA829" s="327"/>
    </row>
    <row r="830" spans="1:27" ht="15.75" customHeight="1" x14ac:dyDescent="0.2">
      <c r="A830" s="327"/>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row>
    <row r="831" spans="1:27" ht="15.75" customHeight="1" x14ac:dyDescent="0.2">
      <c r="A831" s="327"/>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c r="AA831" s="327"/>
    </row>
    <row r="832" spans="1:27" ht="15.75" customHeight="1" x14ac:dyDescent="0.2">
      <c r="A832" s="327"/>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row>
    <row r="833" spans="1:27" ht="15.75" customHeight="1" x14ac:dyDescent="0.2">
      <c r="A833" s="327"/>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c r="AA833" s="327"/>
    </row>
    <row r="834" spans="1:27" ht="15.75" customHeight="1" x14ac:dyDescent="0.2">
      <c r="A834" s="327"/>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row>
    <row r="835" spans="1:27" ht="15.75" customHeight="1" x14ac:dyDescent="0.2">
      <c r="A835" s="327"/>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row>
    <row r="836" spans="1:27" ht="15.75" customHeight="1" x14ac:dyDescent="0.2">
      <c r="A836" s="327"/>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row>
    <row r="837" spans="1:27" ht="15.75" customHeight="1" x14ac:dyDescent="0.2">
      <c r="A837" s="327"/>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c r="AA837" s="327"/>
    </row>
    <row r="838" spans="1:27" ht="15.75" customHeight="1" x14ac:dyDescent="0.2">
      <c r="A838" s="327"/>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row>
    <row r="839" spans="1:27" ht="15.75" customHeight="1" x14ac:dyDescent="0.2">
      <c r="A839" s="327"/>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row>
    <row r="840" spans="1:27" ht="15.75" customHeight="1" x14ac:dyDescent="0.2">
      <c r="A840" s="327"/>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c r="AA840" s="327"/>
    </row>
    <row r="841" spans="1:27" ht="15.75" customHeight="1" x14ac:dyDescent="0.2">
      <c r="A841" s="327"/>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row>
    <row r="842" spans="1:27" ht="15.75" customHeight="1" x14ac:dyDescent="0.2">
      <c r="A842" s="327"/>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c r="AA842" s="327"/>
    </row>
    <row r="843" spans="1:27" ht="15.75" customHeight="1" x14ac:dyDescent="0.2">
      <c r="A843" s="327"/>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c r="AA843" s="327"/>
    </row>
    <row r="844" spans="1:27" ht="15.75" customHeight="1" x14ac:dyDescent="0.2">
      <c r="A844" s="327"/>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c r="AA844" s="327"/>
    </row>
    <row r="845" spans="1:27" ht="15.75" customHeight="1" x14ac:dyDescent="0.2">
      <c r="A845" s="327"/>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row>
    <row r="846" spans="1:27" ht="15.75" customHeight="1" x14ac:dyDescent="0.2">
      <c r="A846" s="327"/>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row>
    <row r="847" spans="1:27" ht="15.75" customHeight="1" x14ac:dyDescent="0.2">
      <c r="A847" s="327"/>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c r="AA847" s="327"/>
    </row>
    <row r="848" spans="1:27" ht="15.75" customHeight="1" x14ac:dyDescent="0.2">
      <c r="A848" s="327"/>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c r="AA848" s="327"/>
    </row>
    <row r="849" spans="1:27" ht="15.75" customHeight="1" x14ac:dyDescent="0.2">
      <c r="A849" s="327"/>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row>
    <row r="850" spans="1:27" ht="15.75" customHeight="1" x14ac:dyDescent="0.2">
      <c r="A850" s="327"/>
      <c r="B850" s="327"/>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c r="AA850" s="327"/>
    </row>
    <row r="851" spans="1:27" ht="15.75" customHeight="1" x14ac:dyDescent="0.2">
      <c r="A851" s="327"/>
      <c r="B851" s="327"/>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c r="AA851" s="327"/>
    </row>
    <row r="852" spans="1:27" ht="15.75" customHeight="1" x14ac:dyDescent="0.2">
      <c r="A852" s="327"/>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c r="AA852" s="327"/>
    </row>
    <row r="853" spans="1:27" ht="15.75" customHeight="1" x14ac:dyDescent="0.2">
      <c r="A853" s="327"/>
      <c r="B853" s="327"/>
      <c r="C853" s="327"/>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c r="AA853" s="327"/>
    </row>
    <row r="854" spans="1:27" ht="15.75" customHeight="1" x14ac:dyDescent="0.2">
      <c r="A854" s="327"/>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row>
    <row r="855" spans="1:27" ht="15.75" customHeight="1" x14ac:dyDescent="0.2">
      <c r="A855" s="327"/>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row>
    <row r="856" spans="1:27" ht="15.75" customHeight="1" x14ac:dyDescent="0.2">
      <c r="A856" s="327"/>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row>
    <row r="857" spans="1:27" ht="15.75" customHeight="1" x14ac:dyDescent="0.2">
      <c r="A857" s="327"/>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row>
    <row r="858" spans="1:27" ht="15.75" customHeight="1" x14ac:dyDescent="0.2">
      <c r="A858" s="327"/>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c r="AA858" s="327"/>
    </row>
    <row r="859" spans="1:27" ht="15.75" customHeight="1" x14ac:dyDescent="0.2">
      <c r="A859" s="327"/>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c r="AA859" s="327"/>
    </row>
    <row r="860" spans="1:27" ht="15.75" customHeight="1" x14ac:dyDescent="0.2">
      <c r="A860" s="327"/>
      <c r="B860" s="327"/>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c r="AA860" s="327"/>
    </row>
    <row r="861" spans="1:27" ht="15.75" customHeight="1" x14ac:dyDescent="0.2">
      <c r="A861" s="327"/>
      <c r="B861" s="327"/>
      <c r="C861" s="327"/>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c r="AA861" s="327"/>
    </row>
    <row r="862" spans="1:27" ht="15.75" customHeight="1" x14ac:dyDescent="0.2">
      <c r="A862" s="327"/>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row>
    <row r="863" spans="1:27" ht="15.75" customHeight="1" x14ac:dyDescent="0.2">
      <c r="A863" s="327"/>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c r="AA863" s="327"/>
    </row>
    <row r="864" spans="1:27" ht="15.75" customHeight="1" x14ac:dyDescent="0.2">
      <c r="A864" s="327"/>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c r="AA864" s="327"/>
    </row>
    <row r="865" spans="1:27" ht="15.75" customHeight="1" x14ac:dyDescent="0.2">
      <c r="A865" s="327"/>
      <c r="B865" s="327"/>
      <c r="C865" s="327"/>
      <c r="D865" s="327"/>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c r="AA865" s="327"/>
    </row>
    <row r="866" spans="1:27" ht="15.75" customHeight="1" x14ac:dyDescent="0.2">
      <c r="A866" s="327"/>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row>
    <row r="867" spans="1:27" ht="15.75" customHeight="1" x14ac:dyDescent="0.2">
      <c r="A867" s="327"/>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c r="AA867" s="327"/>
    </row>
    <row r="868" spans="1:27" ht="15.75" customHeight="1" x14ac:dyDescent="0.2">
      <c r="A868" s="327"/>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row>
    <row r="869" spans="1:27" ht="15.75" customHeight="1" x14ac:dyDescent="0.2">
      <c r="A869" s="327"/>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c r="AA869" s="327"/>
    </row>
    <row r="870" spans="1:27" ht="15.75" customHeight="1" x14ac:dyDescent="0.2">
      <c r="A870" s="327"/>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c r="AA870" s="327"/>
    </row>
    <row r="871" spans="1:27" ht="15.75" customHeight="1" x14ac:dyDescent="0.2">
      <c r="A871" s="327"/>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c r="AA871" s="327"/>
    </row>
    <row r="872" spans="1:27" ht="15.75" customHeight="1" x14ac:dyDescent="0.2">
      <c r="A872" s="327"/>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row>
    <row r="873" spans="1:27" ht="15.75" customHeight="1" x14ac:dyDescent="0.2">
      <c r="A873" s="327"/>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c r="AA873" s="327"/>
    </row>
    <row r="874" spans="1:27" ht="15.75" customHeight="1" x14ac:dyDescent="0.2">
      <c r="A874" s="327"/>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c r="AA874" s="327"/>
    </row>
    <row r="875" spans="1:27" ht="15.75" customHeight="1" x14ac:dyDescent="0.2">
      <c r="A875" s="327"/>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row>
    <row r="876" spans="1:27" ht="15.75" customHeight="1" x14ac:dyDescent="0.2">
      <c r="A876" s="327"/>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c r="AA876" s="327"/>
    </row>
    <row r="877" spans="1:27" ht="15.75" customHeight="1" x14ac:dyDescent="0.2">
      <c r="A877" s="327"/>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row>
    <row r="878" spans="1:27" ht="15.75" customHeight="1" x14ac:dyDescent="0.2">
      <c r="A878" s="327"/>
      <c r="B878" s="327"/>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c r="AA878" s="327"/>
    </row>
    <row r="879" spans="1:27" ht="15.75" customHeight="1" x14ac:dyDescent="0.2">
      <c r="A879" s="327"/>
      <c r="B879" s="327"/>
      <c r="C879" s="327"/>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c r="AA879" s="327"/>
    </row>
    <row r="880" spans="1:27" ht="15.75" customHeight="1" x14ac:dyDescent="0.2">
      <c r="A880" s="327"/>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row>
    <row r="881" spans="1:27" ht="15.75" customHeight="1" x14ac:dyDescent="0.2">
      <c r="A881" s="327"/>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c r="AA881" s="327"/>
    </row>
    <row r="882" spans="1:27" ht="15.75" customHeight="1" x14ac:dyDescent="0.2">
      <c r="A882" s="327"/>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c r="AA882" s="327"/>
    </row>
    <row r="883" spans="1:27" ht="15.75" customHeight="1" x14ac:dyDescent="0.2">
      <c r="A883" s="327"/>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c r="AA883" s="327"/>
    </row>
    <row r="884" spans="1:27" ht="15.75" customHeight="1" x14ac:dyDescent="0.2">
      <c r="A884" s="327"/>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c r="AA884" s="327"/>
    </row>
    <row r="885" spans="1:27" ht="15.75" customHeight="1" x14ac:dyDescent="0.2">
      <c r="A885" s="327"/>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c r="AA885" s="327"/>
    </row>
    <row r="886" spans="1:27" ht="15.75" customHeight="1" x14ac:dyDescent="0.2">
      <c r="A886" s="327"/>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row>
    <row r="887" spans="1:27" ht="15.75" customHeight="1" x14ac:dyDescent="0.2">
      <c r="A887" s="327"/>
      <c r="B887" s="327"/>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c r="AA887" s="327"/>
    </row>
    <row r="888" spans="1:27" ht="15.75" customHeight="1" x14ac:dyDescent="0.2">
      <c r="A888" s="327"/>
      <c r="B888" s="327"/>
      <c r="C888" s="327"/>
      <c r="D888" s="327"/>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c r="AA888" s="327"/>
    </row>
    <row r="889" spans="1:27" ht="15.75" customHeight="1" x14ac:dyDescent="0.2">
      <c r="A889" s="327"/>
      <c r="B889" s="327"/>
      <c r="C889" s="327"/>
      <c r="D889" s="327"/>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c r="AA889" s="327"/>
    </row>
    <row r="890" spans="1:27" ht="15.75" customHeight="1" x14ac:dyDescent="0.2">
      <c r="A890" s="327"/>
      <c r="B890" s="327"/>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c r="AA890" s="327"/>
    </row>
    <row r="891" spans="1:27" ht="15.75" customHeight="1" x14ac:dyDescent="0.2">
      <c r="A891" s="327"/>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c r="AA891" s="327"/>
    </row>
    <row r="892" spans="1:27" ht="15.75" customHeight="1" x14ac:dyDescent="0.2">
      <c r="A892" s="327"/>
      <c r="B892" s="327"/>
      <c r="C892" s="327"/>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c r="AA892" s="327"/>
    </row>
    <row r="893" spans="1:27" ht="15.75" customHeight="1" x14ac:dyDescent="0.2">
      <c r="A893" s="327"/>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row>
    <row r="894" spans="1:27" ht="15.75" customHeight="1" x14ac:dyDescent="0.2">
      <c r="A894" s="327"/>
      <c r="B894" s="327"/>
      <c r="C894" s="327"/>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c r="AA894" s="327"/>
    </row>
    <row r="895" spans="1:27" ht="15.75" customHeight="1" x14ac:dyDescent="0.2">
      <c r="A895" s="327"/>
      <c r="B895" s="327"/>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c r="AA895" s="327"/>
    </row>
    <row r="896" spans="1:27" ht="15.75" customHeight="1" x14ac:dyDescent="0.2">
      <c r="A896" s="327"/>
      <c r="B896" s="327"/>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c r="AA896" s="327"/>
    </row>
    <row r="897" spans="1:27" ht="15.75" customHeight="1" x14ac:dyDescent="0.2">
      <c r="A897" s="327"/>
      <c r="B897" s="327"/>
      <c r="C897" s="327"/>
      <c r="D897" s="327"/>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c r="AA897" s="327"/>
    </row>
    <row r="898" spans="1:27" ht="15.75" customHeight="1" x14ac:dyDescent="0.2">
      <c r="A898" s="327"/>
      <c r="B898" s="327"/>
      <c r="C898" s="327"/>
      <c r="D898" s="327"/>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c r="AA898" s="327"/>
    </row>
    <row r="899" spans="1:27" ht="15.75" customHeight="1" x14ac:dyDescent="0.2">
      <c r="A899" s="327"/>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c r="AA899" s="327"/>
    </row>
    <row r="900" spans="1:27" ht="15.75" customHeight="1" x14ac:dyDescent="0.2">
      <c r="A900" s="327"/>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c r="AA900" s="327"/>
    </row>
    <row r="901" spans="1:27" ht="15.75" customHeight="1" x14ac:dyDescent="0.2">
      <c r="A901" s="327"/>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c r="AA901" s="327"/>
    </row>
    <row r="902" spans="1:27" ht="15.75" customHeight="1" x14ac:dyDescent="0.2">
      <c r="A902" s="327"/>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row>
    <row r="903" spans="1:27" ht="15.75" customHeight="1" x14ac:dyDescent="0.2">
      <c r="A903" s="327"/>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c r="AA903" s="327"/>
    </row>
    <row r="904" spans="1:27" ht="15.75" customHeight="1" x14ac:dyDescent="0.2">
      <c r="A904" s="327"/>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c r="AA904" s="327"/>
    </row>
    <row r="905" spans="1:27" ht="15.75" customHeight="1" x14ac:dyDescent="0.2">
      <c r="A905" s="327"/>
      <c r="B905" s="327"/>
      <c r="C905" s="327"/>
      <c r="D905" s="327"/>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c r="AA905" s="327"/>
    </row>
    <row r="906" spans="1:27" ht="15.75" customHeight="1" x14ac:dyDescent="0.2">
      <c r="A906" s="327"/>
      <c r="B906" s="327"/>
      <c r="C906" s="327"/>
      <c r="D906" s="327"/>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c r="AA906" s="327"/>
    </row>
    <row r="907" spans="1:27" ht="15.75" customHeight="1" x14ac:dyDescent="0.2">
      <c r="A907" s="327"/>
      <c r="B907" s="327"/>
      <c r="C907" s="327"/>
      <c r="D907" s="327"/>
      <c r="E907" s="327"/>
      <c r="F907" s="327"/>
      <c r="G907" s="327"/>
      <c r="H907" s="327"/>
      <c r="I907" s="327"/>
      <c r="J907" s="327"/>
      <c r="K907" s="327"/>
      <c r="L907" s="327"/>
      <c r="M907" s="327"/>
      <c r="N907" s="327"/>
      <c r="O907" s="327"/>
      <c r="P907" s="327"/>
      <c r="Q907" s="327"/>
      <c r="R907" s="327"/>
      <c r="S907" s="327"/>
      <c r="T907" s="327"/>
      <c r="U907" s="327"/>
      <c r="V907" s="327"/>
      <c r="W907" s="327"/>
      <c r="X907" s="327"/>
      <c r="Y907" s="327"/>
      <c r="Z907" s="327"/>
      <c r="AA907" s="327"/>
    </row>
    <row r="908" spans="1:27" ht="15.75" customHeight="1" x14ac:dyDescent="0.2">
      <c r="A908" s="327"/>
      <c r="B908" s="327"/>
      <c r="C908" s="327"/>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c r="AA908" s="327"/>
    </row>
    <row r="909" spans="1:27" ht="15.75" customHeight="1" x14ac:dyDescent="0.2">
      <c r="A909" s="327"/>
      <c r="B909" s="327"/>
      <c r="C909" s="327"/>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c r="AA909" s="327"/>
    </row>
    <row r="910" spans="1:27" ht="15.75" customHeight="1" x14ac:dyDescent="0.2">
      <c r="A910" s="327"/>
      <c r="B910" s="327"/>
      <c r="C910" s="327"/>
      <c r="D910" s="327"/>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c r="AA910" s="327"/>
    </row>
    <row r="911" spans="1:27" ht="15.75" customHeight="1" x14ac:dyDescent="0.2">
      <c r="A911" s="327"/>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row>
    <row r="912" spans="1:27" ht="15.75" customHeight="1" x14ac:dyDescent="0.2">
      <c r="A912" s="327"/>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c r="AA912" s="327"/>
    </row>
    <row r="913" spans="1:27" ht="15.75" customHeight="1" x14ac:dyDescent="0.2">
      <c r="A913" s="327"/>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row>
    <row r="914" spans="1:27" ht="15.75" customHeight="1" x14ac:dyDescent="0.2">
      <c r="A914" s="327"/>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c r="AA914" s="327"/>
    </row>
    <row r="915" spans="1:27" ht="15.75" customHeight="1" x14ac:dyDescent="0.2">
      <c r="A915" s="327"/>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c r="AA915" s="327"/>
    </row>
    <row r="916" spans="1:27" ht="15.75" customHeight="1" x14ac:dyDescent="0.2">
      <c r="A916" s="327"/>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c r="AA916" s="327"/>
    </row>
    <row r="917" spans="1:27" ht="15.75" customHeight="1" x14ac:dyDescent="0.2">
      <c r="A917" s="327"/>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c r="AA917" s="327"/>
    </row>
    <row r="918" spans="1:27" ht="15.75" customHeight="1" x14ac:dyDescent="0.2">
      <c r="A918" s="327"/>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c r="AA918" s="327"/>
    </row>
    <row r="919" spans="1:27" ht="15.75" customHeight="1" x14ac:dyDescent="0.2">
      <c r="A919" s="327"/>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c r="AA919" s="327"/>
    </row>
    <row r="920" spans="1:27" ht="15.75" customHeight="1" x14ac:dyDescent="0.2">
      <c r="A920" s="327"/>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row>
    <row r="921" spans="1:27" ht="15.75" customHeight="1" x14ac:dyDescent="0.2">
      <c r="A921" s="327"/>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c r="AA921" s="327"/>
    </row>
    <row r="922" spans="1:27" ht="15.75" customHeight="1" x14ac:dyDescent="0.2">
      <c r="A922" s="327"/>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c r="AA922" s="327"/>
    </row>
    <row r="923" spans="1:27" ht="15.75" customHeight="1" x14ac:dyDescent="0.2">
      <c r="A923" s="327"/>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row>
    <row r="924" spans="1:27" ht="15.75" customHeight="1" x14ac:dyDescent="0.2">
      <c r="A924" s="327"/>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c r="AA924" s="327"/>
    </row>
    <row r="925" spans="1:27" ht="15.75" customHeight="1" x14ac:dyDescent="0.2">
      <c r="A925" s="327"/>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c r="AA925" s="327"/>
    </row>
    <row r="926" spans="1:27" ht="15.75" customHeight="1" x14ac:dyDescent="0.2">
      <c r="A926" s="327"/>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c r="AA926" s="327"/>
    </row>
    <row r="927" spans="1:27" ht="15.75" customHeight="1" x14ac:dyDescent="0.2">
      <c r="A927" s="327"/>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c r="AA927" s="327"/>
    </row>
    <row r="928" spans="1:27" ht="15.75" customHeight="1" x14ac:dyDescent="0.2">
      <c r="A928" s="327"/>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c r="AA928" s="327"/>
    </row>
    <row r="929" spans="1:27" ht="15.75" customHeight="1" x14ac:dyDescent="0.2">
      <c r="A929" s="327"/>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row>
    <row r="930" spans="1:27" ht="15.75" customHeight="1" x14ac:dyDescent="0.2">
      <c r="A930" s="327"/>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c r="AA930" s="327"/>
    </row>
    <row r="931" spans="1:27" ht="15.75" customHeight="1" x14ac:dyDescent="0.2">
      <c r="A931" s="327"/>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row>
    <row r="932" spans="1:27" ht="15.75" customHeight="1" x14ac:dyDescent="0.2">
      <c r="A932" s="327"/>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c r="AA932" s="327"/>
    </row>
    <row r="933" spans="1:27" ht="15.75" customHeight="1" x14ac:dyDescent="0.2">
      <c r="A933" s="327"/>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c r="AA933" s="327"/>
    </row>
    <row r="934" spans="1:27" ht="15.75" customHeight="1" x14ac:dyDescent="0.2">
      <c r="A934" s="327"/>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c r="AA934" s="327"/>
    </row>
    <row r="935" spans="1:27" ht="15.75" customHeight="1" x14ac:dyDescent="0.2">
      <c r="A935" s="327"/>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c r="AA935" s="327"/>
    </row>
    <row r="936" spans="1:27" ht="15.75" customHeight="1" x14ac:dyDescent="0.2">
      <c r="A936" s="327"/>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c r="AA936" s="327"/>
    </row>
    <row r="937" spans="1:27" ht="15.75" customHeight="1" x14ac:dyDescent="0.2">
      <c r="A937" s="327"/>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c r="AA937" s="327"/>
    </row>
    <row r="938" spans="1:27" ht="15.75" customHeight="1" x14ac:dyDescent="0.2">
      <c r="A938" s="327"/>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c r="AA938" s="327"/>
    </row>
    <row r="939" spans="1:27" ht="15.75" customHeight="1" x14ac:dyDescent="0.2">
      <c r="A939" s="327"/>
      <c r="B939" s="327"/>
      <c r="C939" s="327"/>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c r="AA939" s="327"/>
    </row>
    <row r="940" spans="1:27" ht="15.75" customHeight="1" x14ac:dyDescent="0.2">
      <c r="A940" s="327"/>
      <c r="B940" s="327"/>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c r="AA940" s="327"/>
    </row>
    <row r="941" spans="1:27" ht="15.75" customHeight="1" x14ac:dyDescent="0.2">
      <c r="A941" s="327"/>
      <c r="B941" s="327"/>
      <c r="C941" s="327"/>
      <c r="D941" s="327"/>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c r="AA941" s="327"/>
    </row>
    <row r="942" spans="1:27" ht="15.75" customHeight="1" x14ac:dyDescent="0.2">
      <c r="A942" s="327"/>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c r="AA942" s="327"/>
    </row>
    <row r="943" spans="1:27" ht="15.75" customHeight="1" x14ac:dyDescent="0.2">
      <c r="A943" s="327"/>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c r="AA943" s="327"/>
    </row>
    <row r="944" spans="1:27" ht="15.75" customHeight="1" x14ac:dyDescent="0.2">
      <c r="A944" s="327"/>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c r="AA944" s="327"/>
    </row>
    <row r="945" spans="1:27" ht="15.75" customHeight="1" x14ac:dyDescent="0.2">
      <c r="A945" s="327"/>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c r="AA945" s="327"/>
    </row>
    <row r="946" spans="1:27" ht="15.75" customHeight="1" x14ac:dyDescent="0.2">
      <c r="A946" s="327"/>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row>
    <row r="947" spans="1:27" ht="15.75" customHeight="1" x14ac:dyDescent="0.2">
      <c r="A947" s="327"/>
      <c r="B947" s="327"/>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c r="AA947" s="327"/>
    </row>
    <row r="948" spans="1:27" ht="15.75" customHeight="1" x14ac:dyDescent="0.2">
      <c r="A948" s="327"/>
      <c r="B948" s="327"/>
      <c r="C948" s="327"/>
      <c r="D948" s="327"/>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c r="AA948" s="327"/>
    </row>
    <row r="949" spans="1:27" ht="15.75" customHeight="1" x14ac:dyDescent="0.2">
      <c r="A949" s="327"/>
      <c r="B949" s="327"/>
      <c r="C949" s="327"/>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c r="AA949" s="327"/>
    </row>
    <row r="950" spans="1:27" ht="15.75" customHeight="1" x14ac:dyDescent="0.2">
      <c r="A950" s="327"/>
      <c r="B950" s="327"/>
      <c r="C950" s="327"/>
      <c r="D950" s="327"/>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c r="AA950" s="327"/>
    </row>
    <row r="951" spans="1:27" ht="15.75" customHeight="1" x14ac:dyDescent="0.2">
      <c r="A951" s="327"/>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c r="AA951" s="327"/>
    </row>
    <row r="952" spans="1:27" ht="15.75" customHeight="1" x14ac:dyDescent="0.2">
      <c r="A952" s="327"/>
      <c r="B952" s="327"/>
      <c r="C952" s="327"/>
      <c r="D952" s="327"/>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c r="AA952" s="327"/>
    </row>
    <row r="953" spans="1:27" ht="15.75" customHeight="1" x14ac:dyDescent="0.2">
      <c r="A953" s="327"/>
      <c r="B953" s="327"/>
      <c r="C953" s="327"/>
      <c r="D953" s="327"/>
      <c r="E953" s="327"/>
      <c r="F953" s="327"/>
      <c r="G953" s="327"/>
      <c r="H953" s="327"/>
      <c r="I953" s="327"/>
      <c r="J953" s="327"/>
      <c r="K953" s="327"/>
      <c r="L953" s="327"/>
      <c r="M953" s="327"/>
      <c r="N953" s="327"/>
      <c r="O953" s="327"/>
      <c r="P953" s="327"/>
      <c r="Q953" s="327"/>
      <c r="R953" s="327"/>
      <c r="S953" s="327"/>
      <c r="T953" s="327"/>
      <c r="U953" s="327"/>
      <c r="V953" s="327"/>
      <c r="W953" s="327"/>
      <c r="X953" s="327"/>
      <c r="Y953" s="327"/>
      <c r="Z953" s="327"/>
      <c r="AA953" s="327"/>
    </row>
    <row r="954" spans="1:27" ht="15.75" customHeight="1" x14ac:dyDescent="0.2">
      <c r="A954" s="327"/>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row>
    <row r="955" spans="1:27" ht="15.75" customHeight="1" x14ac:dyDescent="0.2">
      <c r="A955" s="327"/>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c r="AA955" s="327"/>
    </row>
    <row r="956" spans="1:27" ht="15.75" customHeight="1" x14ac:dyDescent="0.2">
      <c r="A956" s="327"/>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c r="AA956" s="327"/>
    </row>
    <row r="957" spans="1:27" ht="15.75" customHeight="1" x14ac:dyDescent="0.2">
      <c r="A957" s="327"/>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c r="AA957" s="327"/>
    </row>
    <row r="958" spans="1:27" ht="15.75" customHeight="1" x14ac:dyDescent="0.2">
      <c r="A958" s="327"/>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c r="AA958" s="327"/>
    </row>
    <row r="959" spans="1:27" ht="15.75" customHeight="1" x14ac:dyDescent="0.2">
      <c r="A959" s="327"/>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c r="AA959" s="327"/>
    </row>
    <row r="960" spans="1:27" ht="15.75" customHeight="1" x14ac:dyDescent="0.2">
      <c r="A960" s="327"/>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c r="AA960" s="327"/>
    </row>
    <row r="961" spans="1:27" ht="15.75" customHeight="1" x14ac:dyDescent="0.2">
      <c r="A961" s="327"/>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c r="AA961" s="327"/>
    </row>
    <row r="962" spans="1:27" ht="15.75" customHeight="1" x14ac:dyDescent="0.2">
      <c r="A962" s="327"/>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c r="AA962" s="327"/>
    </row>
    <row r="963" spans="1:27" ht="15.75" customHeight="1" x14ac:dyDescent="0.2">
      <c r="A963" s="327"/>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c r="AA963" s="327"/>
    </row>
    <row r="964" spans="1:27" ht="15.75" customHeight="1" x14ac:dyDescent="0.2">
      <c r="A964" s="327"/>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c r="AA964" s="327"/>
    </row>
    <row r="965" spans="1:27" ht="15.75" customHeight="1" x14ac:dyDescent="0.2">
      <c r="A965" s="327"/>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c r="AA965" s="327"/>
    </row>
    <row r="966" spans="1:27" ht="15.75" customHeight="1" x14ac:dyDescent="0.2">
      <c r="A966" s="327"/>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c r="AA966" s="327"/>
    </row>
    <row r="967" spans="1:27" ht="15.75" customHeight="1" x14ac:dyDescent="0.2">
      <c r="A967" s="327"/>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row>
    <row r="968" spans="1:27" ht="15.75" customHeight="1" x14ac:dyDescent="0.2">
      <c r="A968" s="327"/>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c r="AA968" s="327"/>
    </row>
    <row r="969" spans="1:27" ht="15.75" customHeight="1" x14ac:dyDescent="0.2">
      <c r="A969" s="327"/>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c r="AA969" s="327"/>
    </row>
    <row r="970" spans="1:27" ht="15.75" customHeight="1" x14ac:dyDescent="0.2">
      <c r="A970" s="327"/>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c r="AA970" s="327"/>
    </row>
    <row r="971" spans="1:27" ht="15.75" customHeight="1" x14ac:dyDescent="0.2">
      <c r="A971" s="327"/>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c r="AA971" s="327"/>
    </row>
    <row r="972" spans="1:27" ht="15.75" customHeight="1" x14ac:dyDescent="0.2">
      <c r="A972" s="327"/>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c r="AA972" s="327"/>
    </row>
    <row r="973" spans="1:27" ht="15.75" customHeight="1" x14ac:dyDescent="0.2">
      <c r="A973" s="327"/>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c r="AA973" s="327"/>
    </row>
    <row r="974" spans="1:27" ht="15.75" customHeight="1" x14ac:dyDescent="0.2">
      <c r="A974" s="327"/>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c r="AA974" s="327"/>
    </row>
    <row r="975" spans="1:27" ht="15.75" customHeight="1" x14ac:dyDescent="0.2">
      <c r="A975" s="327"/>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c r="AA975" s="327"/>
    </row>
    <row r="976" spans="1:27" ht="15.75" customHeight="1" x14ac:dyDescent="0.2">
      <c r="A976" s="327"/>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c r="AA976" s="327"/>
    </row>
    <row r="977" spans="1:27" ht="15.75" customHeight="1" x14ac:dyDescent="0.2">
      <c r="A977" s="327"/>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c r="AA977" s="327"/>
    </row>
    <row r="978" spans="1:27" ht="15.75" customHeight="1" x14ac:dyDescent="0.2">
      <c r="A978" s="327"/>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c r="AA978" s="327"/>
    </row>
    <row r="979" spans="1:27" ht="15.75" customHeight="1" x14ac:dyDescent="0.2">
      <c r="A979" s="327"/>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c r="AA979" s="327"/>
    </row>
    <row r="980" spans="1:27" ht="15.75" customHeight="1" x14ac:dyDescent="0.2">
      <c r="A980" s="327"/>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c r="AA980" s="327"/>
    </row>
    <row r="981" spans="1:27" ht="15.75" customHeight="1" x14ac:dyDescent="0.2">
      <c r="A981" s="327"/>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c r="AA981" s="327"/>
    </row>
    <row r="982" spans="1:27" ht="15.75" customHeight="1" x14ac:dyDescent="0.2">
      <c r="A982" s="327"/>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c r="AA982" s="327"/>
    </row>
    <row r="983" spans="1:27" ht="15.75" customHeight="1" x14ac:dyDescent="0.2">
      <c r="A983" s="327"/>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c r="AA983" s="327"/>
    </row>
    <row r="984" spans="1:27" ht="15.75" customHeight="1" x14ac:dyDescent="0.2">
      <c r="A984" s="327"/>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c r="AA984" s="327"/>
    </row>
    <row r="985" spans="1:27" ht="15.75" customHeight="1" x14ac:dyDescent="0.2">
      <c r="A985" s="327"/>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c r="AA985" s="327"/>
    </row>
    <row r="986" spans="1:27" ht="15.75" customHeight="1" x14ac:dyDescent="0.2">
      <c r="A986" s="327"/>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c r="AA986" s="327"/>
    </row>
    <row r="987" spans="1:27" ht="15.75" customHeight="1" x14ac:dyDescent="0.2">
      <c r="A987" s="327"/>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c r="AA987" s="327"/>
    </row>
    <row r="988" spans="1:27" ht="15.75" customHeight="1" x14ac:dyDescent="0.2">
      <c r="A988" s="327"/>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c r="AA988" s="327"/>
    </row>
    <row r="989" spans="1:27" ht="15.75" customHeight="1" x14ac:dyDescent="0.2">
      <c r="A989" s="327"/>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c r="AA989" s="327"/>
    </row>
    <row r="990" spans="1:27" ht="15.75" customHeight="1" x14ac:dyDescent="0.2">
      <c r="A990" s="327"/>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c r="AA990" s="327"/>
    </row>
    <row r="991" spans="1:27" ht="15.75" customHeight="1" x14ac:dyDescent="0.2">
      <c r="A991" s="327"/>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c r="AA991" s="327"/>
    </row>
    <row r="992" spans="1:27" ht="15.75" customHeight="1" x14ac:dyDescent="0.2">
      <c r="A992" s="327"/>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c r="AA992" s="327"/>
    </row>
    <row r="993" spans="1:27" ht="15.75" customHeight="1" x14ac:dyDescent="0.2">
      <c r="A993" s="327"/>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c r="AA993" s="327"/>
    </row>
    <row r="994" spans="1:27" ht="15.75" customHeight="1" x14ac:dyDescent="0.2">
      <c r="A994" s="327"/>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c r="AA994" s="327"/>
    </row>
    <row r="995" spans="1:27" ht="15.75" customHeight="1" x14ac:dyDescent="0.2">
      <c r="A995" s="327"/>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c r="AA995" s="327"/>
    </row>
    <row r="996" spans="1:27" ht="15.75" customHeight="1" x14ac:dyDescent="0.2">
      <c r="A996" s="327"/>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c r="AA996" s="327"/>
    </row>
    <row r="997" spans="1:27" ht="15.75" customHeight="1" x14ac:dyDescent="0.2">
      <c r="A997" s="327"/>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c r="AA997" s="327"/>
    </row>
    <row r="998" spans="1:27" ht="15.75" customHeight="1" x14ac:dyDescent="0.2">
      <c r="A998" s="327"/>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row>
    <row r="999" spans="1:27" ht="15.75" customHeight="1" x14ac:dyDescent="0.2">
      <c r="A999" s="327"/>
      <c r="B999" s="327"/>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c r="AA999" s="327"/>
    </row>
    <row r="1000" spans="1:27" ht="15.75" customHeight="1" x14ac:dyDescent="0.2">
      <c r="A1000" s="327"/>
      <c r="B1000" s="327"/>
      <c r="C1000" s="327"/>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c r="AA1000" s="327"/>
    </row>
    <row r="1001" spans="1:27" ht="15.75" customHeight="1" x14ac:dyDescent="0.2">
      <c r="A1001" s="327"/>
      <c r="B1001" s="327"/>
      <c r="C1001" s="327"/>
      <c r="D1001" s="327"/>
      <c r="E1001" s="327"/>
      <c r="F1001" s="327"/>
      <c r="G1001" s="327"/>
      <c r="H1001" s="327"/>
      <c r="I1001" s="327"/>
      <c r="J1001" s="327"/>
      <c r="K1001" s="327"/>
      <c r="L1001" s="327"/>
      <c r="M1001" s="327"/>
      <c r="N1001" s="327"/>
      <c r="O1001" s="327"/>
      <c r="P1001" s="327"/>
      <c r="Q1001" s="327"/>
      <c r="R1001" s="327"/>
      <c r="S1001" s="327"/>
      <c r="T1001" s="327"/>
      <c r="U1001" s="327"/>
      <c r="V1001" s="327"/>
      <c r="W1001" s="327"/>
      <c r="X1001" s="327"/>
      <c r="Y1001" s="327"/>
      <c r="Z1001" s="327"/>
      <c r="AA1001" s="327"/>
    </row>
    <row r="1002" spans="1:27" ht="15.75" customHeight="1" x14ac:dyDescent="0.2">
      <c r="A1002" s="327"/>
      <c r="B1002" s="327"/>
      <c r="C1002" s="327"/>
      <c r="D1002" s="327"/>
      <c r="E1002" s="327"/>
      <c r="F1002" s="327"/>
      <c r="G1002" s="327"/>
      <c r="H1002" s="327"/>
      <c r="I1002" s="327"/>
      <c r="J1002" s="327"/>
      <c r="K1002" s="327"/>
      <c r="L1002" s="327"/>
      <c r="M1002" s="327"/>
      <c r="N1002" s="327"/>
      <c r="O1002" s="327"/>
      <c r="P1002" s="327"/>
      <c r="Q1002" s="327"/>
      <c r="R1002" s="327"/>
      <c r="S1002" s="327"/>
      <c r="T1002" s="327"/>
      <c r="U1002" s="327"/>
      <c r="V1002" s="327"/>
      <c r="W1002" s="327"/>
      <c r="X1002" s="327"/>
      <c r="Y1002" s="327"/>
      <c r="Z1002" s="327"/>
      <c r="AA1002" s="327"/>
    </row>
    <row r="1003" spans="1:27" ht="15.75" customHeight="1" x14ac:dyDescent="0.2">
      <c r="A1003" s="327"/>
      <c r="B1003" s="327"/>
      <c r="C1003" s="327"/>
      <c r="D1003" s="327"/>
      <c r="E1003" s="327"/>
      <c r="F1003" s="327"/>
      <c r="G1003" s="327"/>
      <c r="H1003" s="327"/>
      <c r="I1003" s="327"/>
      <c r="J1003" s="327"/>
      <c r="K1003" s="327"/>
      <c r="L1003" s="327"/>
      <c r="M1003" s="327"/>
      <c r="N1003" s="327"/>
      <c r="O1003" s="327"/>
      <c r="P1003" s="327"/>
      <c r="Q1003" s="327"/>
      <c r="R1003" s="327"/>
      <c r="S1003" s="327"/>
      <c r="T1003" s="327"/>
      <c r="U1003" s="327"/>
      <c r="V1003" s="327"/>
      <c r="W1003" s="327"/>
      <c r="X1003" s="327"/>
      <c r="Y1003" s="327"/>
      <c r="Z1003" s="327"/>
      <c r="AA1003" s="327"/>
    </row>
  </sheetData>
  <mergeCells count="35">
    <mergeCell ref="C81:D81"/>
    <mergeCell ref="G81:J81"/>
    <mergeCell ref="Q81:U81"/>
    <mergeCell ref="Q82:U82"/>
    <mergeCell ref="G83:I83"/>
    <mergeCell ref="M83:N83"/>
    <mergeCell ref="G84:I84"/>
    <mergeCell ref="G87:I87"/>
    <mergeCell ref="G89:I89"/>
    <mergeCell ref="Q83:U83"/>
    <mergeCell ref="Q84:U84"/>
    <mergeCell ref="Q85:U85"/>
    <mergeCell ref="Q86:U86"/>
    <mergeCell ref="M87:N87"/>
    <mergeCell ref="Q87:U87"/>
    <mergeCell ref="M89:N89"/>
    <mergeCell ref="Q88:U88"/>
    <mergeCell ref="Q89:U89"/>
    <mergeCell ref="Q90:U90"/>
    <mergeCell ref="Q91:U91"/>
    <mergeCell ref="Q92:U92"/>
    <mergeCell ref="Q93:U93"/>
    <mergeCell ref="Q94:U94"/>
    <mergeCell ref="Q104:U104"/>
    <mergeCell ref="Q105:U105"/>
    <mergeCell ref="Q106:U106"/>
    <mergeCell ref="Q95:U95"/>
    <mergeCell ref="Q96:U96"/>
    <mergeCell ref="Q97:U97"/>
    <mergeCell ref="Q98:U98"/>
    <mergeCell ref="Q100:U100"/>
    <mergeCell ref="Q101:U101"/>
    <mergeCell ref="Q102:U102"/>
    <mergeCell ref="Q99:U99"/>
    <mergeCell ref="Q103:U103"/>
  </mergeCells>
  <printOptions gridLines="1"/>
  <pageMargins left="0.2" right="0.7" top="0.25" bottom="0.25" header="0" footer="0"/>
  <pageSetup paperSize="5" orientation="landscape"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E1001"/>
  <sheetViews>
    <sheetView topLeftCell="A16" workbookViewId="0">
      <selection activeCell="C42" sqref="C42"/>
    </sheetView>
  </sheetViews>
  <sheetFormatPr defaultColWidth="16.85546875" defaultRowHeight="15" customHeight="1" x14ac:dyDescent="0.2"/>
  <cols>
    <col min="1" max="1" width="3.140625" customWidth="1"/>
    <col min="2" max="2" width="36.7109375" customWidth="1"/>
    <col min="3" max="5" width="14.28515625" customWidth="1"/>
    <col min="6" max="6" width="11.42578125" customWidth="1"/>
    <col min="7" max="7" width="11.140625" customWidth="1"/>
    <col min="8" max="8" width="10.7109375" customWidth="1"/>
    <col min="9" max="11" width="14.28515625" customWidth="1"/>
    <col min="12" max="12" width="11.42578125" customWidth="1"/>
    <col min="13" max="15" width="14.28515625" customWidth="1"/>
    <col min="16" max="16" width="9.7109375" customWidth="1"/>
    <col min="17" max="17" width="13.42578125" customWidth="1"/>
    <col min="18" max="18" width="15.42578125" customWidth="1"/>
    <col min="19" max="19" width="14.7109375" customWidth="1"/>
    <col min="20" max="20" width="15.7109375" customWidth="1"/>
    <col min="21" max="21" width="15.140625" customWidth="1"/>
    <col min="22" max="22" width="13.7109375" customWidth="1"/>
    <col min="23" max="23" width="12.140625" customWidth="1"/>
    <col min="24" max="24" width="10" customWidth="1"/>
    <col min="25" max="25" width="11" customWidth="1"/>
    <col min="26" max="26" width="12.140625" customWidth="1"/>
    <col min="27" max="31" width="9.140625" customWidth="1"/>
  </cols>
  <sheetData>
    <row r="1" spans="1:31" ht="21.75" customHeight="1" x14ac:dyDescent="0.45">
      <c r="A1" s="2636" t="s">
        <v>2083</v>
      </c>
      <c r="B1" s="2730"/>
      <c r="C1" s="2731"/>
      <c r="D1" s="2731"/>
      <c r="E1" s="2731"/>
      <c r="F1" s="2731"/>
      <c r="G1" s="2731"/>
      <c r="H1" s="2731"/>
      <c r="I1" s="2731"/>
      <c r="J1" s="2731"/>
      <c r="K1" s="2731"/>
      <c r="L1" s="2731"/>
      <c r="M1" s="2731"/>
      <c r="N1" s="2731"/>
      <c r="O1" s="2731"/>
      <c r="P1" s="2731"/>
      <c r="Q1" s="2731"/>
      <c r="R1" s="2731"/>
      <c r="S1" s="2731"/>
      <c r="T1" s="2731"/>
      <c r="U1" s="2731"/>
      <c r="V1" s="2731"/>
      <c r="W1" s="2731"/>
      <c r="X1" s="2731"/>
      <c r="Y1" s="2731"/>
      <c r="Z1" s="2731"/>
      <c r="AA1" s="2731"/>
      <c r="AB1" s="2731"/>
      <c r="AC1" s="2732"/>
      <c r="AD1" s="327"/>
      <c r="AE1" s="327"/>
    </row>
    <row r="2" spans="1:31" ht="10.5" customHeight="1" thickBot="1" x14ac:dyDescent="0.35">
      <c r="A2" s="8"/>
      <c r="B2" s="8"/>
      <c r="C2" s="8"/>
      <c r="D2" s="8"/>
      <c r="E2" s="8"/>
      <c r="F2" s="8"/>
      <c r="G2" s="8"/>
      <c r="H2" s="8"/>
      <c r="I2" s="8"/>
      <c r="J2" s="8"/>
      <c r="K2" s="8"/>
      <c r="L2" s="8"/>
      <c r="M2" s="8"/>
      <c r="N2" s="8"/>
      <c r="O2" s="8"/>
      <c r="P2" s="8"/>
      <c r="Q2" s="8"/>
      <c r="R2" s="8"/>
      <c r="S2" s="8"/>
      <c r="T2" s="8"/>
      <c r="U2" s="8"/>
      <c r="V2" s="8"/>
      <c r="W2" s="8"/>
      <c r="X2" s="8"/>
      <c r="Y2" s="8"/>
      <c r="Z2" s="8"/>
      <c r="AA2" s="8"/>
      <c r="AB2" s="8"/>
      <c r="AC2" s="327"/>
      <c r="AD2" s="327"/>
      <c r="AE2" s="327"/>
    </row>
    <row r="3" spans="1:31" ht="15.75" customHeight="1" x14ac:dyDescent="0.35">
      <c r="A3" s="8"/>
      <c r="B3" s="3046" t="s">
        <v>1936</v>
      </c>
      <c r="C3" s="3047"/>
      <c r="D3" s="2736">
        <v>44.01</v>
      </c>
      <c r="E3" s="2736" t="s">
        <v>1937</v>
      </c>
      <c r="F3" s="2736"/>
      <c r="G3" s="2736"/>
      <c r="H3" s="2737"/>
      <c r="I3" s="8"/>
      <c r="J3" s="8"/>
      <c r="K3" s="8"/>
      <c r="L3" s="8"/>
      <c r="M3" s="8"/>
      <c r="N3" s="8"/>
      <c r="O3" s="8"/>
      <c r="P3" s="8"/>
      <c r="Q3" s="8"/>
      <c r="R3" s="8"/>
      <c r="S3" s="8"/>
      <c r="T3" s="8"/>
      <c r="U3" s="8"/>
      <c r="V3" s="8"/>
      <c r="W3" s="8"/>
      <c r="X3" s="8"/>
      <c r="Y3" s="8"/>
      <c r="Z3" s="8"/>
      <c r="AA3" s="8"/>
      <c r="AB3" s="8"/>
      <c r="AC3" s="327"/>
      <c r="AD3" s="327"/>
      <c r="AE3" s="327"/>
    </row>
    <row r="4" spans="1:31" ht="15.75" customHeight="1" x14ac:dyDescent="0.35">
      <c r="A4" s="8"/>
      <c r="B4" s="3038" t="s">
        <v>1938</v>
      </c>
      <c r="C4" s="2941"/>
      <c r="D4" s="2733">
        <v>16.044</v>
      </c>
      <c r="E4" s="2596" t="s">
        <v>1937</v>
      </c>
      <c r="F4" s="2596"/>
      <c r="G4" s="2596"/>
      <c r="H4" s="2738"/>
      <c r="I4" s="8"/>
      <c r="J4" s="8"/>
      <c r="K4" s="8"/>
      <c r="L4" s="8"/>
      <c r="M4" s="8"/>
      <c r="N4" s="8"/>
      <c r="O4" s="8"/>
      <c r="P4" s="8"/>
      <c r="Q4" s="8"/>
      <c r="R4" s="8"/>
      <c r="S4" s="8"/>
      <c r="T4" s="8"/>
      <c r="U4" s="8"/>
      <c r="V4" s="8"/>
      <c r="W4" s="8"/>
      <c r="X4" s="8"/>
      <c r="Y4" s="8"/>
      <c r="Z4" s="8"/>
      <c r="AA4" s="8"/>
      <c r="AB4" s="8"/>
      <c r="AC4" s="327"/>
      <c r="AD4" s="327"/>
      <c r="AE4" s="327"/>
    </row>
    <row r="5" spans="1:31" ht="18" customHeight="1" x14ac:dyDescent="0.3">
      <c r="A5" s="8"/>
      <c r="B5" s="3038" t="s">
        <v>1939</v>
      </c>
      <c r="C5" s="2941"/>
      <c r="D5" s="2596">
        <v>8.2050000000000002E-5</v>
      </c>
      <c r="E5" s="2596" t="s">
        <v>1940</v>
      </c>
      <c r="F5" s="2596"/>
      <c r="G5" s="2596"/>
      <c r="H5" s="2738"/>
      <c r="I5" s="8"/>
      <c r="J5" s="8"/>
      <c r="K5" s="8"/>
      <c r="L5" s="8"/>
      <c r="M5" s="8"/>
      <c r="N5" s="8"/>
      <c r="O5" s="8"/>
      <c r="P5" s="8"/>
      <c r="Q5" s="8"/>
      <c r="R5" s="8"/>
      <c r="S5" s="8"/>
      <c r="T5" s="8"/>
      <c r="U5" s="8"/>
      <c r="V5" s="8"/>
      <c r="W5" s="8"/>
      <c r="X5" s="8"/>
      <c r="Y5" s="8"/>
      <c r="Z5" s="8"/>
      <c r="AA5" s="8"/>
      <c r="AB5" s="8"/>
      <c r="AC5" s="327"/>
      <c r="AD5" s="327"/>
      <c r="AE5" s="327"/>
    </row>
    <row r="6" spans="1:31" ht="13.5" customHeight="1" x14ac:dyDescent="0.3">
      <c r="A6" s="8"/>
      <c r="B6" s="3038" t="s">
        <v>1941</v>
      </c>
      <c r="C6" s="2941"/>
      <c r="D6" s="2596">
        <v>25</v>
      </c>
      <c r="E6" s="2596" t="s">
        <v>1942</v>
      </c>
      <c r="F6" s="2596"/>
      <c r="G6" s="2596">
        <f>D6+273</f>
        <v>298</v>
      </c>
      <c r="H6" s="2738" t="s">
        <v>1943</v>
      </c>
      <c r="I6" s="8"/>
      <c r="J6" s="8"/>
      <c r="K6" s="8"/>
      <c r="L6" s="8"/>
      <c r="M6" s="8"/>
      <c r="N6" s="8"/>
      <c r="O6" s="8"/>
      <c r="P6" s="8"/>
      <c r="Q6" s="8"/>
      <c r="R6" s="8"/>
      <c r="S6" s="8"/>
      <c r="T6" s="8"/>
      <c r="U6" s="8"/>
      <c r="V6" s="8"/>
      <c r="W6" s="8"/>
      <c r="X6" s="8"/>
      <c r="Y6" s="8"/>
      <c r="Z6" s="8"/>
      <c r="AA6" s="8"/>
      <c r="AB6" s="8"/>
      <c r="AC6" s="327"/>
      <c r="AD6" s="327"/>
      <c r="AE6" s="327"/>
    </row>
    <row r="7" spans="1:31" ht="17.25" customHeight="1" x14ac:dyDescent="0.3">
      <c r="A7" s="8"/>
      <c r="B7" s="3036" t="s">
        <v>2075</v>
      </c>
      <c r="C7" s="3037"/>
      <c r="D7" s="2734"/>
      <c r="E7" s="2596"/>
      <c r="F7" s="2596"/>
      <c r="G7" s="2596"/>
      <c r="H7" s="2738"/>
      <c r="I7" s="8"/>
      <c r="J7" s="8"/>
      <c r="K7" s="8"/>
      <c r="L7" s="8"/>
      <c r="M7" s="8"/>
      <c r="N7" s="8"/>
      <c r="O7" s="8"/>
      <c r="P7" s="8"/>
      <c r="Q7" s="8"/>
      <c r="R7" s="8"/>
      <c r="S7" s="8"/>
      <c r="T7" s="8"/>
      <c r="U7" s="8"/>
      <c r="V7" s="8"/>
      <c r="W7" s="8"/>
      <c r="X7" s="8"/>
      <c r="Y7" s="8"/>
      <c r="Z7" s="8"/>
      <c r="AA7" s="8"/>
      <c r="AB7" s="8"/>
      <c r="AC7" s="327"/>
      <c r="AD7" s="327"/>
      <c r="AE7" s="327"/>
    </row>
    <row r="8" spans="1:31" ht="19.5" customHeight="1" x14ac:dyDescent="0.3">
      <c r="A8" s="8"/>
      <c r="B8" s="2739" t="s">
        <v>1944</v>
      </c>
      <c r="C8" s="2596"/>
      <c r="D8" s="2596"/>
      <c r="E8" s="2596"/>
      <c r="F8" s="2596"/>
      <c r="G8" s="2596"/>
      <c r="H8" s="2738"/>
      <c r="I8" s="8"/>
      <c r="J8" s="8"/>
      <c r="K8" s="8"/>
      <c r="L8" s="8"/>
      <c r="M8" s="8"/>
      <c r="N8" s="8"/>
      <c r="O8" s="8"/>
      <c r="P8" s="8"/>
      <c r="Q8" s="8"/>
      <c r="R8" s="8"/>
      <c r="S8" s="8"/>
      <c r="T8" s="8"/>
      <c r="U8" s="8"/>
      <c r="V8" s="8"/>
      <c r="W8" s="8"/>
      <c r="X8" s="8"/>
      <c r="Y8" s="8"/>
      <c r="Z8" s="8"/>
      <c r="AA8" s="8"/>
      <c r="AB8" s="8"/>
      <c r="AC8" s="327"/>
      <c r="AD8" s="327"/>
      <c r="AE8" s="327"/>
    </row>
    <row r="9" spans="1:31" ht="14.25" customHeight="1" x14ac:dyDescent="0.3">
      <c r="A9" s="8"/>
      <c r="B9" s="3038" t="s">
        <v>1945</v>
      </c>
      <c r="C9" s="2941"/>
      <c r="D9" s="2596"/>
      <c r="E9" s="2596"/>
      <c r="F9" s="2596"/>
      <c r="G9" s="2596"/>
      <c r="H9" s="2738"/>
      <c r="I9" s="8"/>
      <c r="J9" s="8"/>
      <c r="K9" s="8"/>
      <c r="L9" s="8"/>
      <c r="M9" s="8"/>
      <c r="N9" s="8"/>
      <c r="O9" s="8"/>
      <c r="P9" s="8"/>
      <c r="Q9" s="8"/>
      <c r="R9" s="8"/>
      <c r="S9" s="8"/>
      <c r="T9" s="8"/>
      <c r="U9" s="8"/>
      <c r="V9" s="8"/>
      <c r="W9" s="8"/>
      <c r="X9" s="8"/>
      <c r="Y9" s="8"/>
      <c r="Z9" s="8"/>
      <c r="AA9" s="8"/>
      <c r="AB9" s="8"/>
      <c r="AC9" s="327"/>
      <c r="AD9" s="327"/>
      <c r="AE9" s="327"/>
    </row>
    <row r="10" spans="1:31" ht="18" customHeight="1" x14ac:dyDescent="0.3">
      <c r="A10" s="8"/>
      <c r="B10" s="2739" t="s">
        <v>1946</v>
      </c>
      <c r="C10" s="2596"/>
      <c r="D10" s="2596">
        <v>1</v>
      </c>
      <c r="E10" s="2596" t="s">
        <v>1947</v>
      </c>
      <c r="F10" s="2596"/>
      <c r="G10" s="2596"/>
      <c r="H10" s="2738"/>
      <c r="I10" s="8"/>
      <c r="J10" s="8"/>
      <c r="K10" s="8"/>
      <c r="L10" s="8"/>
      <c r="M10" s="8"/>
      <c r="N10" s="8"/>
      <c r="O10" s="8"/>
      <c r="P10" s="8"/>
      <c r="Q10" s="8"/>
      <c r="R10" s="8"/>
      <c r="S10" s="8"/>
      <c r="T10" s="8"/>
      <c r="U10" s="8"/>
      <c r="V10" s="8"/>
      <c r="W10" s="8"/>
      <c r="X10" s="8"/>
      <c r="Y10" s="8"/>
      <c r="Z10" s="8"/>
      <c r="AA10" s="8"/>
      <c r="AB10" s="8"/>
      <c r="AC10" s="327"/>
      <c r="AD10" s="327"/>
      <c r="AE10" s="327"/>
    </row>
    <row r="11" spans="1:31" ht="15" customHeight="1" x14ac:dyDescent="0.3">
      <c r="A11" s="8"/>
      <c r="B11" s="3041"/>
      <c r="C11" s="2941"/>
      <c r="D11" s="2596"/>
      <c r="E11" s="2596"/>
      <c r="F11" s="2596"/>
      <c r="G11" s="2596"/>
      <c r="H11" s="2738"/>
      <c r="I11" s="8"/>
      <c r="J11" s="8"/>
      <c r="K11" s="8"/>
      <c r="L11" s="8"/>
      <c r="M11" s="8"/>
      <c r="N11" s="8"/>
      <c r="O11" s="8"/>
      <c r="P11" s="8"/>
      <c r="Q11" s="8"/>
      <c r="R11" s="8"/>
      <c r="S11" s="8"/>
      <c r="T11" s="8"/>
      <c r="U11" s="8"/>
      <c r="V11" s="8"/>
      <c r="W11" s="8"/>
      <c r="X11" s="8"/>
      <c r="Y11" s="8"/>
      <c r="Z11" s="8"/>
      <c r="AA11" s="8"/>
      <c r="AB11" s="8"/>
      <c r="AC11" s="327"/>
      <c r="AD11" s="327"/>
      <c r="AE11" s="327"/>
    </row>
    <row r="12" spans="1:31" ht="17.25" customHeight="1" x14ac:dyDescent="0.35">
      <c r="A12" s="8"/>
      <c r="B12" s="2739" t="s">
        <v>1948</v>
      </c>
      <c r="C12" s="2596"/>
      <c r="D12" s="2596">
        <v>1000</v>
      </c>
      <c r="E12" s="2596" t="s">
        <v>438</v>
      </c>
      <c r="F12" s="2596"/>
      <c r="G12" s="2596"/>
      <c r="H12" s="2738"/>
      <c r="I12" s="8"/>
      <c r="J12" s="8"/>
      <c r="K12" s="8"/>
      <c r="L12" s="8"/>
      <c r="M12" s="8"/>
      <c r="N12" s="8"/>
      <c r="O12" s="8"/>
      <c r="P12" s="8"/>
      <c r="Q12" s="8"/>
      <c r="R12" s="8"/>
      <c r="S12" s="8"/>
      <c r="T12" s="8"/>
      <c r="U12" s="8"/>
      <c r="V12" s="8"/>
      <c r="W12" s="8"/>
      <c r="X12" s="8"/>
      <c r="Y12" s="8"/>
      <c r="Z12" s="8"/>
      <c r="AA12" s="8"/>
      <c r="AB12" s="8"/>
      <c r="AC12" s="327"/>
      <c r="AD12" s="327"/>
      <c r="AE12" s="327"/>
    </row>
    <row r="13" spans="1:31" ht="10.5" customHeight="1" x14ac:dyDescent="0.3">
      <c r="A13" s="8"/>
      <c r="B13" s="3041"/>
      <c r="C13" s="2941"/>
      <c r="D13" s="2735"/>
      <c r="E13" s="2596"/>
      <c r="F13" s="2596"/>
      <c r="G13" s="2596"/>
      <c r="H13" s="2738"/>
      <c r="I13" s="8"/>
      <c r="J13" s="8"/>
      <c r="K13" s="8"/>
      <c r="L13" s="8"/>
      <c r="M13" s="8"/>
      <c r="N13" s="8"/>
      <c r="O13" s="8"/>
      <c r="P13" s="8"/>
      <c r="Q13" s="8"/>
      <c r="R13" s="8"/>
      <c r="S13" s="8"/>
      <c r="T13" s="8"/>
      <c r="U13" s="8"/>
      <c r="V13" s="8"/>
      <c r="W13" s="8"/>
      <c r="X13" s="8"/>
      <c r="Y13" s="8"/>
      <c r="Z13" s="8"/>
      <c r="AA13" s="8"/>
      <c r="AB13" s="8"/>
      <c r="AC13" s="327"/>
      <c r="AD13" s="327"/>
      <c r="AE13" s="327"/>
    </row>
    <row r="14" spans="1:31" ht="15" customHeight="1" x14ac:dyDescent="0.35">
      <c r="A14" s="8"/>
      <c r="B14" s="2739" t="s">
        <v>1949</v>
      </c>
      <c r="C14" s="2596"/>
      <c r="D14" s="2735">
        <v>0.98</v>
      </c>
      <c r="E14" s="2596"/>
      <c r="F14" s="2596"/>
      <c r="G14" s="2596"/>
      <c r="H14" s="2738"/>
      <c r="I14" s="8"/>
      <c r="J14" s="8"/>
      <c r="K14" s="8"/>
      <c r="L14" s="8"/>
      <c r="M14" s="8"/>
      <c r="N14" s="8"/>
      <c r="O14" s="8"/>
      <c r="P14" s="8"/>
      <c r="Q14" s="8"/>
      <c r="R14" s="8"/>
      <c r="S14" s="8"/>
      <c r="T14" s="8"/>
      <c r="U14" s="8"/>
      <c r="V14" s="8"/>
      <c r="W14" s="8"/>
      <c r="X14" s="8"/>
      <c r="Y14" s="8"/>
      <c r="Z14" s="8"/>
      <c r="AA14" s="8"/>
      <c r="AB14" s="8"/>
      <c r="AC14" s="327"/>
      <c r="AD14" s="327"/>
      <c r="AE14" s="327"/>
    </row>
    <row r="15" spans="1:31" ht="16.5" customHeight="1" x14ac:dyDescent="0.3">
      <c r="A15" s="8"/>
      <c r="B15" s="2739" t="s">
        <v>1950</v>
      </c>
      <c r="C15" s="2596"/>
      <c r="D15" s="2735">
        <v>0.998</v>
      </c>
      <c r="E15" s="2596"/>
      <c r="F15" s="2596"/>
      <c r="G15" s="2596"/>
      <c r="H15" s="2738"/>
      <c r="I15" s="8"/>
      <c r="J15" s="8"/>
      <c r="K15" s="8"/>
      <c r="L15" s="8"/>
      <c r="M15" s="8"/>
      <c r="N15" s="8"/>
      <c r="O15" s="8"/>
      <c r="P15" s="8"/>
      <c r="Q15" s="8"/>
      <c r="R15" s="8"/>
      <c r="S15" s="8"/>
      <c r="T15" s="8"/>
      <c r="U15" s="8"/>
      <c r="V15" s="8"/>
      <c r="W15" s="8"/>
      <c r="X15" s="8"/>
      <c r="Y15" s="8"/>
      <c r="Z15" s="8"/>
      <c r="AA15" s="8"/>
      <c r="AB15" s="8"/>
      <c r="AC15" s="327"/>
      <c r="AD15" s="327"/>
      <c r="AE15" s="327"/>
    </row>
    <row r="16" spans="1:31" ht="19.5" customHeight="1" x14ac:dyDescent="0.3">
      <c r="A16" s="8"/>
      <c r="B16" s="2739" t="s">
        <v>1951</v>
      </c>
      <c r="C16" s="2596"/>
      <c r="D16" s="2735">
        <v>0.98199999999999998</v>
      </c>
      <c r="E16" s="2596"/>
      <c r="F16" s="2596"/>
      <c r="G16" s="2596"/>
      <c r="H16" s="2738"/>
      <c r="I16" s="8"/>
      <c r="J16" s="8"/>
      <c r="K16" s="8"/>
      <c r="L16" s="8"/>
      <c r="M16" s="8"/>
      <c r="N16" s="8"/>
      <c r="O16" s="8"/>
      <c r="P16" s="8"/>
      <c r="Q16" s="8"/>
      <c r="R16" s="8"/>
      <c r="S16" s="8"/>
      <c r="T16" s="8"/>
      <c r="U16" s="8"/>
      <c r="V16" s="8"/>
      <c r="W16" s="8"/>
      <c r="X16" s="8"/>
      <c r="Y16" s="8"/>
      <c r="Z16" s="8"/>
      <c r="AA16" s="8"/>
      <c r="AB16" s="8"/>
      <c r="AC16" s="327"/>
      <c r="AD16" s="327"/>
      <c r="AE16" s="327"/>
    </row>
    <row r="17" spans="1:31" ht="11.25" customHeight="1" x14ac:dyDescent="0.3">
      <c r="A17" s="8"/>
      <c r="B17" s="3041"/>
      <c r="C17" s="2941"/>
      <c r="D17" s="2596"/>
      <c r="E17" s="2596"/>
      <c r="F17" s="2596"/>
      <c r="G17" s="2596"/>
      <c r="H17" s="2738"/>
      <c r="I17" s="8"/>
      <c r="J17" s="8"/>
      <c r="K17" s="8"/>
      <c r="L17" s="8"/>
      <c r="M17" s="8"/>
      <c r="N17" s="8"/>
      <c r="O17" s="8"/>
      <c r="P17" s="8"/>
      <c r="Q17" s="8"/>
      <c r="R17" s="8"/>
      <c r="S17" s="8"/>
      <c r="T17" s="8"/>
      <c r="U17" s="8"/>
      <c r="V17" s="8"/>
      <c r="W17" s="8"/>
      <c r="X17" s="8"/>
      <c r="Y17" s="8"/>
      <c r="Z17" s="8"/>
      <c r="AA17" s="8"/>
      <c r="AB17" s="8"/>
      <c r="AC17" s="327"/>
      <c r="AD17" s="327"/>
      <c r="AE17" s="327"/>
    </row>
    <row r="18" spans="1:31" ht="17.25" customHeight="1" thickBot="1" x14ac:dyDescent="0.4">
      <c r="A18" s="8"/>
      <c r="B18" s="2740" t="s">
        <v>1952</v>
      </c>
      <c r="C18" s="2741"/>
      <c r="D18" s="2741">
        <v>1.25</v>
      </c>
      <c r="E18" s="2741" t="s">
        <v>1953</v>
      </c>
      <c r="F18" s="2741"/>
      <c r="G18" s="2741"/>
      <c r="H18" s="2742"/>
      <c r="I18" s="8"/>
      <c r="J18" s="8"/>
      <c r="K18" s="8"/>
      <c r="L18" s="8"/>
      <c r="M18" s="8"/>
      <c r="N18" s="8"/>
      <c r="O18" s="8"/>
      <c r="P18" s="8"/>
      <c r="Q18" s="8"/>
      <c r="R18" s="8"/>
      <c r="S18" s="8"/>
      <c r="T18" s="8"/>
      <c r="U18" s="8"/>
      <c r="V18" s="8"/>
      <c r="W18" s="8"/>
      <c r="X18" s="8"/>
      <c r="Y18" s="8"/>
      <c r="Z18" s="8"/>
      <c r="AA18" s="8"/>
      <c r="AB18" s="8"/>
      <c r="AC18" s="327"/>
      <c r="AD18" s="327"/>
      <c r="AE18" s="327"/>
    </row>
    <row r="19" spans="1:31" ht="10.5" customHeight="1" x14ac:dyDescent="0.3">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327"/>
      <c r="AD19" s="327"/>
      <c r="AE19" s="327"/>
    </row>
    <row r="20" spans="1:31" ht="10.5" customHeight="1" thickBot="1" x14ac:dyDescent="0.35">
      <c r="A20" s="8"/>
      <c r="B20" s="8"/>
      <c r="C20" s="8"/>
      <c r="D20" s="8"/>
      <c r="E20" s="8"/>
      <c r="F20" s="8"/>
      <c r="G20" s="8"/>
      <c r="H20" s="8"/>
      <c r="I20" s="8"/>
      <c r="J20" s="8"/>
      <c r="K20" s="8"/>
      <c r="L20" s="8"/>
      <c r="M20" s="8"/>
      <c r="N20" s="8"/>
      <c r="O20" s="8"/>
      <c r="P20" s="8"/>
      <c r="Q20" s="8"/>
      <c r="R20" s="8"/>
      <c r="S20" s="8"/>
      <c r="T20" s="8"/>
      <c r="U20" s="8"/>
      <c r="V20" s="8"/>
      <c r="W20" s="8"/>
      <c r="X20" s="8"/>
      <c r="Y20" s="8"/>
      <c r="Z20" s="8"/>
      <c r="AA20" s="8"/>
      <c r="AB20" s="8"/>
      <c r="AC20" s="327"/>
      <c r="AD20" s="327"/>
      <c r="AE20" s="327"/>
    </row>
    <row r="21" spans="1:31" ht="250.8" thickBot="1" x14ac:dyDescent="0.35">
      <c r="A21" s="8"/>
      <c r="B21" s="2776"/>
      <c r="C21" s="3042" t="s">
        <v>2085</v>
      </c>
      <c r="D21" s="3043"/>
      <c r="E21" s="3043"/>
      <c r="F21" s="2777" t="s">
        <v>2086</v>
      </c>
      <c r="G21" s="2778" t="s">
        <v>1954</v>
      </c>
      <c r="H21" s="2778" t="s">
        <v>1955</v>
      </c>
      <c r="I21" s="3044" t="s">
        <v>1956</v>
      </c>
      <c r="J21" s="3045"/>
      <c r="K21" s="3045"/>
      <c r="L21" s="2779" t="s">
        <v>2087</v>
      </c>
      <c r="M21" s="3039" t="s">
        <v>2088</v>
      </c>
      <c r="N21" s="3040"/>
      <c r="O21" s="3040"/>
      <c r="P21" s="2780" t="s">
        <v>1957</v>
      </c>
      <c r="Q21" s="2778" t="s">
        <v>1958</v>
      </c>
      <c r="R21" s="2781" t="s">
        <v>2089</v>
      </c>
      <c r="S21" s="2782" t="s">
        <v>2090</v>
      </c>
      <c r="T21" s="2783" t="s">
        <v>1959</v>
      </c>
      <c r="U21" s="2784" t="s">
        <v>1960</v>
      </c>
      <c r="V21" s="2785" t="s">
        <v>1961</v>
      </c>
      <c r="W21" s="2786" t="s">
        <v>1962</v>
      </c>
      <c r="X21" s="2778" t="s">
        <v>1963</v>
      </c>
      <c r="Y21" s="2778" t="s">
        <v>1964</v>
      </c>
      <c r="Z21" s="2778" t="s">
        <v>1965</v>
      </c>
      <c r="AA21" s="2464"/>
      <c r="AB21" s="2464"/>
      <c r="AC21" s="2465"/>
      <c r="AD21" s="2465"/>
      <c r="AE21" s="2465"/>
    </row>
    <row r="22" spans="1:31" ht="14.4" x14ac:dyDescent="0.3">
      <c r="A22" s="8"/>
      <c r="B22" s="2760"/>
      <c r="C22" s="2761" t="s">
        <v>1966</v>
      </c>
      <c r="D22" s="2762" t="s">
        <v>1967</v>
      </c>
      <c r="E22" s="2763" t="s">
        <v>1968</v>
      </c>
      <c r="F22" s="2743"/>
      <c r="G22" s="2743"/>
      <c r="H22" s="2743"/>
      <c r="I22" s="2761" t="s">
        <v>1966</v>
      </c>
      <c r="J22" s="2762" t="s">
        <v>1967</v>
      </c>
      <c r="K22" s="2763" t="s">
        <v>1968</v>
      </c>
      <c r="L22" s="2764"/>
      <c r="M22" s="2765" t="s">
        <v>1966</v>
      </c>
      <c r="N22" s="2766" t="s">
        <v>1967</v>
      </c>
      <c r="O22" s="2767" t="s">
        <v>1968</v>
      </c>
      <c r="P22" s="2768"/>
      <c r="Q22" s="2769"/>
      <c r="R22" s="2769"/>
      <c r="S22" s="2770"/>
      <c r="T22" s="2771"/>
      <c r="U22" s="2772"/>
      <c r="V22" s="2773"/>
      <c r="W22" s="2774"/>
      <c r="X22" s="2769"/>
      <c r="Y22" s="2769"/>
      <c r="Z22" s="2775"/>
      <c r="AA22" s="8"/>
      <c r="AB22" s="8"/>
      <c r="AC22" s="327"/>
      <c r="AD22" s="327"/>
      <c r="AE22" s="327"/>
    </row>
    <row r="23" spans="1:31" ht="14.4" x14ac:dyDescent="0.3">
      <c r="A23" s="8"/>
      <c r="B23" s="2744"/>
      <c r="C23" s="2466"/>
      <c r="D23" s="2466"/>
      <c r="E23" s="2466"/>
      <c r="F23" s="2467"/>
      <c r="G23" s="2468"/>
      <c r="H23" s="2468"/>
      <c r="I23" s="2469"/>
      <c r="J23" s="2469"/>
      <c r="K23" s="2469"/>
      <c r="L23" s="2470"/>
      <c r="M23" s="2471"/>
      <c r="N23" s="2471"/>
      <c r="O23" s="2471"/>
      <c r="P23" s="2472"/>
      <c r="Q23" s="2468"/>
      <c r="R23" s="2467"/>
      <c r="S23" s="2473"/>
      <c r="T23" s="2474"/>
      <c r="U23" s="2475"/>
      <c r="V23" s="2476"/>
      <c r="W23" s="2477"/>
      <c r="X23" s="2478"/>
      <c r="Y23" s="2479"/>
      <c r="Z23" s="2745"/>
      <c r="AA23" s="8"/>
      <c r="AB23" s="8"/>
      <c r="AC23" s="327"/>
      <c r="AD23" s="327"/>
      <c r="AE23" s="327"/>
    </row>
    <row r="24" spans="1:31" ht="14.4" x14ac:dyDescent="0.3">
      <c r="A24" s="8"/>
      <c r="B24" s="2746" t="s">
        <v>2084</v>
      </c>
      <c r="C24" s="2796">
        <f>(278*60*5514)/1000000</f>
        <v>91.973519999999994</v>
      </c>
      <c r="D24" s="2797">
        <v>0</v>
      </c>
      <c r="E24" s="2797">
        <f>26.24</f>
        <v>26.24</v>
      </c>
      <c r="F24" s="2798">
        <f>SUM(C24:E24)</f>
        <v>118.21351999999999</v>
      </c>
      <c r="G24" s="2799">
        <v>0.39400000000000002</v>
      </c>
      <c r="H24" s="2799">
        <v>0.29899999999999999</v>
      </c>
      <c r="I24" s="2800">
        <f>C24*G24</f>
        <v>36.237566879999996</v>
      </c>
      <c r="J24" s="2800">
        <f>D24*G24</f>
        <v>0</v>
      </c>
      <c r="K24" s="2800">
        <f>E24*G24</f>
        <v>10.338559999999999</v>
      </c>
      <c r="L24" s="2800">
        <f>SUM(I24:K24)</f>
        <v>46.576126879999997</v>
      </c>
      <c r="M24" s="2813">
        <f t="shared" ref="M24:O24" si="0">((I24*1000000)/35.31)*($D$4/($D$5*$G$6))*0.0000011023</f>
        <v>742.29908222226891</v>
      </c>
      <c r="N24" s="2813">
        <f t="shared" si="0"/>
        <v>0</v>
      </c>
      <c r="O24" s="2813">
        <f t="shared" si="0"/>
        <v>211.77756290628363</v>
      </c>
      <c r="P24" s="2823">
        <f>121000000/1000000</f>
        <v>121</v>
      </c>
      <c r="Q24" s="2789">
        <f>L24/P24</f>
        <v>0.38492666842975204</v>
      </c>
      <c r="R24" s="2814">
        <f>((F24*H24*((1-Q24)/Q24)*1000000))/35.31</f>
        <v>1599519.4170616453</v>
      </c>
      <c r="S24" s="2814">
        <f>((R24*$D$3)/($D$5*$G$6))*0.00000110231</f>
        <v>3173.5824285331005</v>
      </c>
      <c r="T24" s="2814">
        <f t="shared" ref="T24:V24" si="1">2.75*M24</f>
        <v>2041.3224761112394</v>
      </c>
      <c r="U24" s="2814">
        <f t="shared" si="1"/>
        <v>0</v>
      </c>
      <c r="V24" s="2814">
        <f t="shared" si="1"/>
        <v>582.38829799227994</v>
      </c>
      <c r="W24" s="2814">
        <f>(((F24*G24)*((1-Q24)/Q24))*1000000/35.31)*($D$4/($D$5*$G$6))*0.0000011023</f>
        <v>1524.5166127004215</v>
      </c>
      <c r="X24" s="2787">
        <f>(((C24*G24)*(1-$D$14))*1000000/35.31)*($D$4/($D$5*$G$6))*0.0000011023</f>
        <v>14.84598164444539</v>
      </c>
      <c r="Y24" s="2787">
        <f>(((D24*G24)*(1-$D$15))*1000000/35.31)*($D$4/($D$5*$G$6))*0.0000011023</f>
        <v>0</v>
      </c>
      <c r="Z24" s="2815">
        <f>(((E24*G24)*(1-0.972))*1000000/35.31)*($D$4/($D$5*$G$6))*0.0000011023</f>
        <v>5.929771761375946</v>
      </c>
      <c r="AA24" s="8"/>
      <c r="AB24" s="8"/>
      <c r="AC24" s="327"/>
      <c r="AD24" s="327"/>
      <c r="AE24" s="327"/>
    </row>
    <row r="25" spans="1:31" ht="14.4" x14ac:dyDescent="0.3">
      <c r="A25" s="8"/>
      <c r="B25" s="2747"/>
      <c r="C25" s="2797"/>
      <c r="D25" s="2797"/>
      <c r="E25" s="2797"/>
      <c r="F25" s="2798"/>
      <c r="G25" s="2799"/>
      <c r="H25" s="2799"/>
      <c r="I25" s="2800"/>
      <c r="J25" s="2800"/>
      <c r="K25" s="2800"/>
      <c r="L25" s="2800"/>
      <c r="M25" s="2813"/>
      <c r="N25" s="2813"/>
      <c r="O25" s="2813"/>
      <c r="P25" s="2823"/>
      <c r="Q25" s="2789"/>
      <c r="R25" s="2814"/>
      <c r="S25" s="2814"/>
      <c r="T25" s="2814"/>
      <c r="U25" s="2814"/>
      <c r="V25" s="2814"/>
      <c r="W25" s="2814"/>
      <c r="X25" s="2787"/>
      <c r="Y25" s="2787"/>
      <c r="Z25" s="2816"/>
      <c r="AA25" s="8"/>
      <c r="AB25" s="8"/>
      <c r="AC25" s="327"/>
      <c r="AD25" s="327"/>
      <c r="AE25" s="327"/>
    </row>
    <row r="26" spans="1:31" ht="14.4" x14ac:dyDescent="0.3">
      <c r="A26" s="8"/>
      <c r="B26" s="2747" t="s">
        <v>1969</v>
      </c>
      <c r="C26" s="2797">
        <f>754.685</f>
        <v>754.68499999999995</v>
      </c>
      <c r="D26" s="2797">
        <v>0</v>
      </c>
      <c r="E26" s="2797">
        <f>748.872</f>
        <v>748.87199999999996</v>
      </c>
      <c r="F26" s="2798">
        <f>SUM(C26:E26)</f>
        <v>1503.5569999999998</v>
      </c>
      <c r="G26" s="2799">
        <v>0.51500000000000001</v>
      </c>
      <c r="H26" s="2799">
        <v>0.38100000000000001</v>
      </c>
      <c r="I26" s="2800">
        <f>C26*G26</f>
        <v>388.66277499999995</v>
      </c>
      <c r="J26" s="2800">
        <f>D26*G26</f>
        <v>0</v>
      </c>
      <c r="K26" s="2800">
        <f>E26*G26</f>
        <v>385.66908000000001</v>
      </c>
      <c r="L26" s="2800">
        <f>SUM(I26:K26)</f>
        <v>774.3318549999999</v>
      </c>
      <c r="M26" s="2813">
        <f t="shared" ref="M26:O26" si="2">((I26*1000000)/35.31)*($D$4/($D$5*$G$6))*0.0000011023</f>
        <v>7961.4622618520616</v>
      </c>
      <c r="N26" s="2813">
        <f t="shared" si="2"/>
        <v>0</v>
      </c>
      <c r="O26" s="2813">
        <f t="shared" si="2"/>
        <v>7900.1386895958949</v>
      </c>
      <c r="P26" s="2823">
        <f>(203200000+711600000)/1000000</f>
        <v>914.8</v>
      </c>
      <c r="Q26" s="2789">
        <f>L26/P26</f>
        <v>0.84644933865325744</v>
      </c>
      <c r="R26" s="2814">
        <f>((F26*H26*((1-Q26)/Q26)*1000000))/35.31</f>
        <v>2943051.5981885837</v>
      </c>
      <c r="S26" s="2814">
        <f>((R26*$D$3)/($D$5*$G$6))*0.00000110231</f>
        <v>5839.2644307096807</v>
      </c>
      <c r="T26" s="2814">
        <f t="shared" ref="T26:V26" si="3">2.75*M26</f>
        <v>21894.021220093171</v>
      </c>
      <c r="U26" s="2814">
        <f t="shared" si="3"/>
        <v>0</v>
      </c>
      <c r="V26" s="2814">
        <f t="shared" si="3"/>
        <v>21725.381396388711</v>
      </c>
      <c r="W26" s="2814">
        <f>(((F26*G26)*((1-Q26)/Q26))*1000000/35.31)*($D$4/($D$5*$G$6))*0.0000011023</f>
        <v>2877.3834474110995</v>
      </c>
      <c r="X26" s="2787">
        <f>(((C26*G26)*(1-$D$14))*1000000/35.31)*($D$4/($D$5*$G$6))*0.0000011023</f>
        <v>159.22924523704137</v>
      </c>
      <c r="Y26" s="2787">
        <f>(((D26*G26)*(1-$D$15))*1000000/35.31)*($D$4/($D$5*$G$6))*0.0000011023</f>
        <v>0</v>
      </c>
      <c r="Z26" s="2816">
        <f>(((E26*G26)*(1-0.972))*1000000/35.31)*($D$4/($D$5*$G$6))*0.0000011023</f>
        <v>221.20388330868528</v>
      </c>
      <c r="AA26" s="8"/>
      <c r="AB26" s="8"/>
      <c r="AC26" s="327"/>
      <c r="AD26" s="327"/>
      <c r="AE26" s="327"/>
    </row>
    <row r="27" spans="1:31" ht="14.4" x14ac:dyDescent="0.3">
      <c r="A27" s="8"/>
      <c r="B27" s="2747"/>
      <c r="C27" s="2797"/>
      <c r="D27" s="2797"/>
      <c r="E27" s="2797"/>
      <c r="F27" s="2798"/>
      <c r="G27" s="2799"/>
      <c r="H27" s="2799"/>
      <c r="I27" s="2800"/>
      <c r="J27" s="2800"/>
      <c r="K27" s="2800"/>
      <c r="L27" s="2800"/>
      <c r="M27" s="2813"/>
      <c r="N27" s="2813"/>
      <c r="O27" s="2813"/>
      <c r="P27" s="2823"/>
      <c r="Q27" s="2789"/>
      <c r="R27" s="2814"/>
      <c r="S27" s="2814"/>
      <c r="T27" s="2814"/>
      <c r="U27" s="2814"/>
      <c r="V27" s="2814"/>
      <c r="W27" s="2814"/>
      <c r="X27" s="2787"/>
      <c r="Y27" s="2787"/>
      <c r="Z27" s="2816"/>
      <c r="AA27" s="8"/>
      <c r="AB27" s="8"/>
      <c r="AC27" s="327"/>
      <c r="AD27" s="327"/>
      <c r="AE27" s="327"/>
    </row>
    <row r="28" spans="1:31" ht="14.4" x14ac:dyDescent="0.3">
      <c r="A28" s="8"/>
      <c r="B28" s="2747" t="s">
        <v>1970</v>
      </c>
      <c r="C28" s="2800">
        <f>295.712+84.534</f>
        <v>380.24599999999998</v>
      </c>
      <c r="D28" s="2800">
        <v>0</v>
      </c>
      <c r="E28" s="2800">
        <f>127.213</f>
        <v>127.21299999999999</v>
      </c>
      <c r="F28" s="2798">
        <f>SUM(C28:E28)</f>
        <v>507.45899999999995</v>
      </c>
      <c r="G28" s="2799">
        <v>0.60099999999999998</v>
      </c>
      <c r="H28" s="2799">
        <f>37.1%</f>
        <v>0.371</v>
      </c>
      <c r="I28" s="2800">
        <f>C28*G28</f>
        <v>228.52784599999998</v>
      </c>
      <c r="J28" s="2800">
        <f>D28*G28</f>
        <v>0</v>
      </c>
      <c r="K28" s="2800">
        <f>E28*G28</f>
        <v>76.455012999999994</v>
      </c>
      <c r="L28" s="2800">
        <f>SUM(I28:K28)</f>
        <v>304.98285899999996</v>
      </c>
      <c r="M28" s="2813">
        <f t="shared" ref="M28:O28" si="4">((I28*1000000)/35.31)*($D$4/($D$5*$G$6))*0.0000011023</f>
        <v>4681.2196555518849</v>
      </c>
      <c r="N28" s="2813">
        <f t="shared" si="4"/>
        <v>0</v>
      </c>
      <c r="O28" s="2813">
        <f t="shared" si="4"/>
        <v>1566.1229731324511</v>
      </c>
      <c r="P28" s="2823">
        <f>457000000/1000000</f>
        <v>457</v>
      </c>
      <c r="Q28" s="2789">
        <f>L28/P28</f>
        <v>0.66735855361050322</v>
      </c>
      <c r="R28" s="2814">
        <f>((F28*H28*((1-Q28)/Q28)*1000000))/35.31</f>
        <v>2657628.5493685361</v>
      </c>
      <c r="S28" s="2814">
        <f>((R28*$D$3)/($D$5*$G$6))*0.00000110231</f>
        <v>5272.9608505395508</v>
      </c>
      <c r="T28" s="2814">
        <f t="shared" ref="T28:V28" si="5">2.75*M28</f>
        <v>12873.354052767683</v>
      </c>
      <c r="U28" s="2814">
        <f t="shared" si="5"/>
        <v>0</v>
      </c>
      <c r="V28" s="2814">
        <f t="shared" si="5"/>
        <v>4306.8381761142409</v>
      </c>
      <c r="W28" s="2814">
        <f>(((F28*G28)*((1-Q28)/Q28))*1000000/35.31)*($D$4/($D$5*$G$6))*0.0000011023</f>
        <v>3113.9558740250959</v>
      </c>
      <c r="X28" s="2787">
        <f>(((C28*G28)*(1-$D$14))*1000000/35.31)*($D$4/($D$5*$G$6))*0.0000011023</f>
        <v>93.624393111037776</v>
      </c>
      <c r="Y28" s="2787">
        <f>(((D28*G28)*(1-$D$15))*1000000/35.31)*($D$4/($D$5*$G$6))*0.0000011023</f>
        <v>0</v>
      </c>
      <c r="Z28" s="2816">
        <f>(((E28*G28)*(1-0.982))*1000000/35.31)*($D$4/($D$5*$G$6))*0.0000011023</f>
        <v>28.190213516384144</v>
      </c>
      <c r="AA28" s="8"/>
      <c r="AB28" s="8"/>
      <c r="AC28" s="327"/>
      <c r="AD28" s="327"/>
      <c r="AE28" s="327"/>
    </row>
    <row r="29" spans="1:31" ht="14.4" x14ac:dyDescent="0.3">
      <c r="A29" s="8"/>
      <c r="B29" s="2747"/>
      <c r="C29" s="2797"/>
      <c r="D29" s="2797"/>
      <c r="E29" s="2797"/>
      <c r="F29" s="2798"/>
      <c r="G29" s="2799"/>
      <c r="H29" s="2799"/>
      <c r="I29" s="2800"/>
      <c r="J29" s="2800"/>
      <c r="K29" s="2800"/>
      <c r="L29" s="2800"/>
      <c r="M29" s="2813"/>
      <c r="N29" s="2813"/>
      <c r="O29" s="2813"/>
      <c r="P29" s="2823"/>
      <c r="Q29" s="2789"/>
      <c r="R29" s="2814"/>
      <c r="S29" s="2814"/>
      <c r="T29" s="2814"/>
      <c r="U29" s="2814"/>
      <c r="V29" s="2814"/>
      <c r="W29" s="2814"/>
      <c r="X29" s="2787"/>
      <c r="Y29" s="2787"/>
      <c r="Z29" s="2816"/>
      <c r="AA29" s="8"/>
      <c r="AB29" s="8"/>
      <c r="AC29" s="327"/>
      <c r="AD29" s="327"/>
      <c r="AE29" s="327"/>
    </row>
    <row r="30" spans="1:31" ht="14.4" x14ac:dyDescent="0.3">
      <c r="A30" s="8"/>
      <c r="B30" s="2747" t="s">
        <v>1971</v>
      </c>
      <c r="C30" s="2797">
        <f>159.3</f>
        <v>159.30000000000001</v>
      </c>
      <c r="D30" s="2797">
        <v>0</v>
      </c>
      <c r="E30" s="2797">
        <v>0</v>
      </c>
      <c r="F30" s="2798">
        <f>SUM(C30:E30)</f>
        <v>159.30000000000001</v>
      </c>
      <c r="G30" s="2799">
        <v>0.41049999999999998</v>
      </c>
      <c r="H30" s="2799">
        <v>0.3</v>
      </c>
      <c r="I30" s="2800">
        <f>C30*G30</f>
        <v>65.392650000000003</v>
      </c>
      <c r="J30" s="2800">
        <f>D30*G30</f>
        <v>0</v>
      </c>
      <c r="K30" s="2800">
        <f>E30*G30</f>
        <v>0</v>
      </c>
      <c r="L30" s="2800">
        <f>SUM(I30:K30)</f>
        <v>65.392650000000003</v>
      </c>
      <c r="M30" s="2813">
        <f t="shared" ref="M30:O30" si="6">((I30*1000000)/35.31)*($D$4/($D$5*$G$6))*0.0000011023</f>
        <v>1339.5188545584288</v>
      </c>
      <c r="N30" s="2813">
        <f t="shared" si="6"/>
        <v>0</v>
      </c>
      <c r="O30" s="2813">
        <f t="shared" si="6"/>
        <v>0</v>
      </c>
      <c r="P30" s="2823">
        <f>100200000/1000000</f>
        <v>100.2</v>
      </c>
      <c r="Q30" s="2789">
        <f>L30/P30</f>
        <v>0.65262125748502997</v>
      </c>
      <c r="R30" s="2814">
        <f>((F30*H30*((1-Q30)/Q30)*1000000))/35.31</f>
        <v>720412.65961377032</v>
      </c>
      <c r="S30" s="2814">
        <f>((R30*$D$3)/($D$5*$G$6))*0.00000110231</f>
        <v>1429.3599273980842</v>
      </c>
      <c r="T30" s="2814">
        <f t="shared" ref="T30:V30" si="7">2.75*M30</f>
        <v>3683.6768500356793</v>
      </c>
      <c r="U30" s="2814">
        <f t="shared" si="7"/>
        <v>0</v>
      </c>
      <c r="V30" s="2814">
        <f t="shared" si="7"/>
        <v>0</v>
      </c>
      <c r="W30" s="2814">
        <f>(((F30*G30)*((1-Q30)/Q30))*1000000/35.31)*($D$4/($D$5*$G$6))*0.0000011023</f>
        <v>713.00217382556468</v>
      </c>
      <c r="X30" s="2787">
        <f>(((C30*G30)*(1-$D$14))*1000000/35.31)*($D$4/($D$5*$G$6))*0.0000011023</f>
        <v>26.790377091168601</v>
      </c>
      <c r="Y30" s="2787">
        <f>(((D30*G30)*(1-$D$15))*1000000/35.31)*($D$4/($D$5*$G$6))*0.0000011023</f>
        <v>0</v>
      </c>
      <c r="Z30" s="2816">
        <f>(((E30*G30)*(1-0.972))*1000000/35.31)*($D$4/($D$5*$G$6))*0.0000011023</f>
        <v>0</v>
      </c>
      <c r="AA30" s="8"/>
      <c r="AB30" s="8"/>
      <c r="AC30" s="327"/>
      <c r="AD30" s="327"/>
      <c r="AE30" s="327"/>
    </row>
    <row r="31" spans="1:31" ht="14.4" x14ac:dyDescent="0.3">
      <c r="A31" s="8"/>
      <c r="B31" s="2747"/>
      <c r="C31" s="2797"/>
      <c r="D31" s="2797"/>
      <c r="E31" s="2797"/>
      <c r="F31" s="2798"/>
      <c r="G31" s="2799"/>
      <c r="H31" s="2799"/>
      <c r="I31" s="2800"/>
      <c r="J31" s="2800"/>
      <c r="K31" s="2800"/>
      <c r="L31" s="2800"/>
      <c r="M31" s="2813"/>
      <c r="N31" s="2813"/>
      <c r="O31" s="2813"/>
      <c r="P31" s="2823"/>
      <c r="Q31" s="2789"/>
      <c r="R31" s="2814"/>
      <c r="S31" s="2814"/>
      <c r="T31" s="2814"/>
      <c r="U31" s="2814"/>
      <c r="V31" s="2814"/>
      <c r="W31" s="2814"/>
      <c r="X31" s="2787"/>
      <c r="Y31" s="2787"/>
      <c r="Z31" s="2816"/>
      <c r="AA31" s="8"/>
      <c r="AB31" s="8"/>
      <c r="AC31" s="327"/>
      <c r="AD31" s="327"/>
      <c r="AE31" s="327"/>
    </row>
    <row r="32" spans="1:31" ht="14.4" x14ac:dyDescent="0.3">
      <c r="A32" s="8"/>
      <c r="B32" s="2747" t="s">
        <v>1972</v>
      </c>
      <c r="C32" s="2797">
        <v>0</v>
      </c>
      <c r="D32" s="2797">
        <v>0</v>
      </c>
      <c r="E32" s="2800">
        <f>144556618/1000000</f>
        <v>144.55661799999999</v>
      </c>
      <c r="F32" s="2798">
        <f>SUM(C32:E32)</f>
        <v>144.55661799999999</v>
      </c>
      <c r="G32" s="2799">
        <v>0.496</v>
      </c>
      <c r="H32" s="2799">
        <v>0.5</v>
      </c>
      <c r="I32" s="2800">
        <f>C32*G32</f>
        <v>0</v>
      </c>
      <c r="J32" s="2800">
        <f>D32*G32</f>
        <v>0</v>
      </c>
      <c r="K32" s="2800">
        <f>E32*G32</f>
        <v>71.700082527999996</v>
      </c>
      <c r="L32" s="2800">
        <f>SUM(I32:K32)</f>
        <v>71.700082527999996</v>
      </c>
      <c r="M32" s="2813">
        <f t="shared" ref="M32:O32" si="8">((I32*1000000)/35.31)*($D$4/($D$5*$G$6))*0.0000011023</f>
        <v>0</v>
      </c>
      <c r="N32" s="2813">
        <f t="shared" si="8"/>
        <v>0</v>
      </c>
      <c r="O32" s="2813">
        <f t="shared" si="8"/>
        <v>1468.7218276006763</v>
      </c>
      <c r="P32" s="2824">
        <f>140700000/1000000</f>
        <v>140.69999999999999</v>
      </c>
      <c r="Q32" s="2789">
        <f>L32/P32</f>
        <v>0.5095954692821606</v>
      </c>
      <c r="R32" s="2814">
        <f>((F32*H32*((1-Q32)/Q32)*1000000))/35.31</f>
        <v>1969877.3270845322</v>
      </c>
      <c r="S32" s="2814">
        <f>((R32*$D$3)/($D$5*$G$6))*0.00000110231</f>
        <v>3908.4039899218606</v>
      </c>
      <c r="T32" s="2814">
        <f t="shared" ref="T32:V32" si="9">2.75*M32</f>
        <v>0</v>
      </c>
      <c r="U32" s="2814">
        <f t="shared" si="9"/>
        <v>0</v>
      </c>
      <c r="V32" s="2814">
        <f t="shared" si="9"/>
        <v>4038.9850259018599</v>
      </c>
      <c r="W32" s="2814">
        <f>(((F32*G32)*((1-Q32)/Q32))*1000000/35.31)*($D$4/($D$5*$G$6))*0.0000011023</f>
        <v>1413.4109936930154</v>
      </c>
      <c r="X32" s="2787">
        <f>(((C32*G32)*(1-$D$14))*1000000/35.31)*($D$4/($D$5*$G$6))*0.0000011023</f>
        <v>0</v>
      </c>
      <c r="Y32" s="2787">
        <f>(((D32*G32)*(1-$D$15))*1000000/35.31)*($D$4/($D$5*$G$6))*0.0000011023</f>
        <v>0</v>
      </c>
      <c r="Z32" s="2816">
        <f>(((E32*G32)*(1-0.98))*1000000/35.31)*($D$4/($D$5*$G$6))*0.0000011023</f>
        <v>29.374436552013556</v>
      </c>
      <c r="AA32" s="8"/>
      <c r="AB32" s="8"/>
      <c r="AC32" s="327"/>
      <c r="AD32" s="327"/>
      <c r="AE32" s="327"/>
    </row>
    <row r="33" spans="1:31" ht="14.4" x14ac:dyDescent="0.3">
      <c r="A33" s="8"/>
      <c r="B33" s="2747"/>
      <c r="C33" s="2797"/>
      <c r="D33" s="2797"/>
      <c r="E33" s="2797"/>
      <c r="F33" s="2798"/>
      <c r="G33" s="2799"/>
      <c r="H33" s="2799"/>
      <c r="I33" s="2800"/>
      <c r="J33" s="2800"/>
      <c r="K33" s="2800"/>
      <c r="L33" s="2800"/>
      <c r="M33" s="2813"/>
      <c r="N33" s="2813"/>
      <c r="O33" s="2813"/>
      <c r="P33" s="2823"/>
      <c r="Q33" s="2789"/>
      <c r="R33" s="2814"/>
      <c r="S33" s="2814"/>
      <c r="T33" s="2814"/>
      <c r="U33" s="2814"/>
      <c r="V33" s="2814"/>
      <c r="W33" s="2814"/>
      <c r="X33" s="2787"/>
      <c r="Y33" s="2787"/>
      <c r="Z33" s="2816"/>
      <c r="AA33" s="8"/>
      <c r="AB33" s="8"/>
      <c r="AC33" s="327"/>
      <c r="AD33" s="327"/>
      <c r="AE33" s="327"/>
    </row>
    <row r="34" spans="1:31" ht="14.4" x14ac:dyDescent="0.3">
      <c r="A34" s="8"/>
      <c r="B34" s="2747" t="s">
        <v>1973</v>
      </c>
      <c r="C34" s="2797">
        <f>3.217+3.704</f>
        <v>6.9210000000000003</v>
      </c>
      <c r="D34" s="2797">
        <v>0</v>
      </c>
      <c r="E34" s="2800">
        <f>518.396</f>
        <v>518.39599999999996</v>
      </c>
      <c r="F34" s="2798">
        <f>SUM(C34:E34)</f>
        <v>525.31700000000001</v>
      </c>
      <c r="G34" s="2799">
        <v>0.437</v>
      </c>
      <c r="H34" s="2799">
        <v>0.35799999999999998</v>
      </c>
      <c r="I34" s="2800">
        <f>C34*G34</f>
        <v>3.0244770000000001</v>
      </c>
      <c r="J34" s="2800">
        <f>D34*G34</f>
        <v>0</v>
      </c>
      <c r="K34" s="2800">
        <f>E34*G34</f>
        <v>226.53905199999997</v>
      </c>
      <c r="L34" s="2800">
        <f>SUM(I34:K34)</f>
        <v>229.56352899999996</v>
      </c>
      <c r="M34" s="2813">
        <f t="shared" ref="M34:O34" si="10">((I34*1000000)/35.31)*($D$4/($D$5*$G$6))*0.0000011023</f>
        <v>61.954118187262829</v>
      </c>
      <c r="N34" s="2813">
        <f t="shared" si="10"/>
        <v>0</v>
      </c>
      <c r="O34" s="2813">
        <f t="shared" si="10"/>
        <v>4640.4807183650191</v>
      </c>
      <c r="P34" s="2823">
        <f>426800000/1000000</f>
        <v>426.8</v>
      </c>
      <c r="Q34" s="2789">
        <f>L34/P34</f>
        <v>0.53787143626991551</v>
      </c>
      <c r="R34" s="2814">
        <f>((F34*H34*((1-Q34)/Q34)*1000000))/35.31</f>
        <v>4576053.5238395212</v>
      </c>
      <c r="S34" s="2814">
        <f>((R34*$D$3)/($D$5*$G$6))*0.00000110231</f>
        <v>9079.279001165376</v>
      </c>
      <c r="T34" s="2814">
        <f t="shared" ref="T34:V34" si="11">2.75*M34</f>
        <v>170.37382501497277</v>
      </c>
      <c r="U34" s="2814">
        <f t="shared" si="11"/>
        <v>0</v>
      </c>
      <c r="V34" s="2814">
        <f t="shared" si="11"/>
        <v>12761.321975503803</v>
      </c>
      <c r="W34" s="2814">
        <f>(((F34*G34)*((1-Q34)/Q34))*1000000/35.31)*($D$4/($D$5*$G$6))*0.0000011023</f>
        <v>4040.2395637899199</v>
      </c>
      <c r="X34" s="2787">
        <f>(((C34*G34)*(1-$D$14))*1000000/35.31)*($D$4/($D$5*$G$6))*0.0000011023</f>
        <v>1.2390823637452579</v>
      </c>
      <c r="Y34" s="2787">
        <f>(((D34*G34)*(1-$D$15))*1000000/35.31)*($D$4/($D$5*$G$6))*0.0000011023</f>
        <v>0</v>
      </c>
      <c r="Z34" s="2816">
        <f>(((E34*G34)*(1-0.982))*1000000/35.31)*($D$4/($D$5*$G$6))*0.0000011023</f>
        <v>83.528652930570431</v>
      </c>
      <c r="AA34" s="8"/>
      <c r="AB34" s="8"/>
      <c r="AC34" s="327"/>
      <c r="AD34" s="327"/>
      <c r="AE34" s="327"/>
    </row>
    <row r="35" spans="1:31" ht="14.4" x14ac:dyDescent="0.3">
      <c r="A35" s="8"/>
      <c r="B35" s="2747"/>
      <c r="C35" s="2797"/>
      <c r="D35" s="2797"/>
      <c r="E35" s="2797"/>
      <c r="F35" s="2798"/>
      <c r="G35" s="2799"/>
      <c r="H35" s="2799"/>
      <c r="I35" s="2800"/>
      <c r="J35" s="2800"/>
      <c r="K35" s="2800"/>
      <c r="L35" s="2800"/>
      <c r="M35" s="2813"/>
      <c r="N35" s="2813"/>
      <c r="O35" s="2813"/>
      <c r="P35" s="2823"/>
      <c r="Q35" s="2789"/>
      <c r="R35" s="2814"/>
      <c r="S35" s="2814"/>
      <c r="T35" s="2814"/>
      <c r="U35" s="2814"/>
      <c r="V35" s="2814"/>
      <c r="W35" s="2814"/>
      <c r="X35" s="2787"/>
      <c r="Y35" s="2787"/>
      <c r="Z35" s="2816"/>
      <c r="AA35" s="8"/>
      <c r="AB35" s="8"/>
      <c r="AC35" s="327"/>
      <c r="AD35" s="327"/>
      <c r="AE35" s="327"/>
    </row>
    <row r="36" spans="1:31" ht="14.4" x14ac:dyDescent="0.3">
      <c r="A36" s="8"/>
      <c r="B36" s="2747" t="s">
        <v>1900</v>
      </c>
      <c r="C36" s="2797">
        <v>64.37</v>
      </c>
      <c r="D36" s="2797">
        <v>0</v>
      </c>
      <c r="E36" s="2797">
        <f>329.97+169.99</f>
        <v>499.96000000000004</v>
      </c>
      <c r="F36" s="2798">
        <f>SUM(C36:E36)</f>
        <v>564.33000000000004</v>
      </c>
      <c r="G36" s="2799">
        <v>0.42520000000000002</v>
      </c>
      <c r="H36" s="2799">
        <v>0.33200000000000002</v>
      </c>
      <c r="I36" s="2800">
        <f>C36*G36</f>
        <v>27.370124000000004</v>
      </c>
      <c r="J36" s="2800">
        <f>D36*G36</f>
        <v>0</v>
      </c>
      <c r="K36" s="2800">
        <f>E36*G36</f>
        <v>212.58299200000002</v>
      </c>
      <c r="L36" s="2800">
        <f>SUM(I36:K36)</f>
        <v>239.95311600000002</v>
      </c>
      <c r="M36" s="2813">
        <f t="shared" ref="M36:O36" si="12">((I36*1000000)/35.31)*($D$4/($D$5*$G$6))*0.0000011023</f>
        <v>560.65623811853732</v>
      </c>
      <c r="N36" s="2813">
        <f t="shared" si="12"/>
        <v>0</v>
      </c>
      <c r="O36" s="2813">
        <f t="shared" si="12"/>
        <v>4354.6014107463707</v>
      </c>
      <c r="P36" s="2788">
        <f>193300000/1000000</f>
        <v>193.3</v>
      </c>
      <c r="Q36" s="2827">
        <v>0.75</v>
      </c>
      <c r="R36" s="2814">
        <f>((F36*H36*((1-Q36)/Q36)*1000000))/35.31</f>
        <v>1768692.1551968283</v>
      </c>
      <c r="S36" s="2814">
        <f>((R36*$D$3)/($D$5*$G$6))*0.00000110231</f>
        <v>3509.2355149575947</v>
      </c>
      <c r="T36" s="2814">
        <f t="shared" ref="T36:V36" si="13">2.75*M36</f>
        <v>1541.8046548259777</v>
      </c>
      <c r="U36" s="2814">
        <f t="shared" si="13"/>
        <v>0</v>
      </c>
      <c r="V36" s="2814">
        <f t="shared" si="13"/>
        <v>11975.153879552519</v>
      </c>
      <c r="W36" s="2814">
        <f>(((F36*G36)*((1-Q36)/Q36))*1000000/35.31)*($D$4/($D$5*$G$6))*0.0000011023</f>
        <v>1638.419216288303</v>
      </c>
      <c r="X36" s="2787">
        <f>(((C36*G36)*(1-$D$14))*1000000/35.31)*($D$4/($D$5*$G$6))*0.0000011023</f>
        <v>11.213124762370754</v>
      </c>
      <c r="Y36" s="2787">
        <f>(((D36*G36)*(1-$D$15))*1000000/35.31)*($D$4/($D$5*$G$6))*0.0000011023</f>
        <v>0</v>
      </c>
      <c r="Z36" s="2816">
        <f>(((E36*G36)*(1-0.972))*1000000/35.31)*($D$4/($D$5*$G$6))*0.0000011023</f>
        <v>121.92883950089846</v>
      </c>
      <c r="AA36" s="8"/>
      <c r="AB36" s="8"/>
      <c r="AC36" s="327"/>
      <c r="AD36" s="327"/>
      <c r="AE36" s="327"/>
    </row>
    <row r="37" spans="1:31" ht="14.4" x14ac:dyDescent="0.3">
      <c r="A37" s="8"/>
      <c r="B37" s="2747"/>
      <c r="C37" s="2797"/>
      <c r="D37" s="2797"/>
      <c r="E37" s="2797"/>
      <c r="F37" s="2798"/>
      <c r="G37" s="2799"/>
      <c r="H37" s="2799"/>
      <c r="I37" s="2800"/>
      <c r="J37" s="2800"/>
      <c r="K37" s="2800"/>
      <c r="L37" s="2800"/>
      <c r="M37" s="2813"/>
      <c r="N37" s="2813"/>
      <c r="O37" s="2813"/>
      <c r="P37" s="2823"/>
      <c r="Q37" s="2789"/>
      <c r="R37" s="2814"/>
      <c r="S37" s="2814"/>
      <c r="T37" s="2814"/>
      <c r="U37" s="2814"/>
      <c r="V37" s="2814"/>
      <c r="W37" s="2814"/>
      <c r="X37" s="2787"/>
      <c r="Y37" s="2787"/>
      <c r="Z37" s="2816"/>
      <c r="AA37" s="8"/>
      <c r="AB37" s="8"/>
      <c r="AC37" s="327"/>
      <c r="AD37" s="327"/>
      <c r="AE37" s="327"/>
    </row>
    <row r="38" spans="1:31" ht="14.4" x14ac:dyDescent="0.3">
      <c r="A38" s="8"/>
      <c r="B38" s="2747" t="s">
        <v>1974</v>
      </c>
      <c r="C38" s="2797">
        <f>9288000/1000000</f>
        <v>9.2880000000000003</v>
      </c>
      <c r="D38" s="2797">
        <v>0</v>
      </c>
      <c r="E38" s="2800">
        <f>343149150/1000000</f>
        <v>343.14915000000002</v>
      </c>
      <c r="F38" s="2798">
        <f>SUM(C38:E38)</f>
        <v>352.43715000000003</v>
      </c>
      <c r="G38" s="2799">
        <v>0.5</v>
      </c>
      <c r="H38" s="2799">
        <v>0.5</v>
      </c>
      <c r="I38" s="2800">
        <f>C38*G38</f>
        <v>4.6440000000000001</v>
      </c>
      <c r="J38" s="2800">
        <f>D38*G38</f>
        <v>0</v>
      </c>
      <c r="K38" s="2800">
        <f>E38*G38</f>
        <v>171.57457500000001</v>
      </c>
      <c r="L38" s="2800">
        <f>SUM(I38:K38)</f>
        <v>176.21857500000002</v>
      </c>
      <c r="M38" s="2471">
        <f t="shared" ref="M38:O38" si="14">((I38*1000000)/35.31)*($D$4/($D$5*$G$6))*0.0000011023</f>
        <v>95.128818920312028</v>
      </c>
      <c r="N38" s="2471">
        <f t="shared" si="14"/>
        <v>0</v>
      </c>
      <c r="O38" s="2471">
        <f t="shared" si="14"/>
        <v>3514.5750810733198</v>
      </c>
      <c r="P38" s="2788">
        <f>248400000/1000000</f>
        <v>248.4</v>
      </c>
      <c r="Q38" s="2789">
        <f>L38/P38</f>
        <v>0.70941455314009672</v>
      </c>
      <c r="R38" s="2814">
        <f>((F38*H38*((1-Q38)/Q38)*1000000))/35.31</f>
        <v>2044220.4757858955</v>
      </c>
      <c r="S38" s="2814">
        <f>((R38*$D$3)/($D$5*$G$6))*0.00000110231</f>
        <v>4055.9071136000252</v>
      </c>
      <c r="T38" s="2814">
        <f t="shared" ref="T38:V38" si="15">2.75*M38</f>
        <v>261.60425203085811</v>
      </c>
      <c r="U38" s="2814">
        <f t="shared" si="15"/>
        <v>0</v>
      </c>
      <c r="V38" s="2814">
        <f t="shared" si="15"/>
        <v>9665.0814729516296</v>
      </c>
      <c r="W38" s="2814">
        <f>(((F38*G38)*((1-Q38)/Q38))*1000000/35.31)*($D$4/($D$5*$G$6))*0.0000011023</f>
        <v>1478.5817631858488</v>
      </c>
      <c r="X38" s="2787">
        <f>(((C38*G38)*(1-$D$14))*1000000/35.31)*($D$4/($D$5*$G$6))*0.0000011023</f>
        <v>1.9025763784062426</v>
      </c>
      <c r="Y38" s="2787">
        <f>(((D38*G38)*(1-$D$15))*1000000/35.31)*($D$4/($D$5*$G$6))*0.0000011023</f>
        <v>0</v>
      </c>
      <c r="Z38" s="2816">
        <f>(((E38*G38)*(1-0.982))*1000000/35.31)*($D$4/($D$5*$G$6))*0.0000011023</f>
        <v>63.262351459319824</v>
      </c>
      <c r="AA38" s="8"/>
      <c r="AB38" s="8"/>
      <c r="AC38" s="327"/>
      <c r="AD38" s="327"/>
      <c r="AE38" s="327"/>
    </row>
    <row r="39" spans="1:31" ht="14.4" x14ac:dyDescent="0.3">
      <c r="A39" s="8"/>
      <c r="B39" s="2747"/>
      <c r="C39" s="2797"/>
      <c r="D39" s="2797"/>
      <c r="E39" s="2797"/>
      <c r="F39" s="2798"/>
      <c r="G39" s="2799"/>
      <c r="H39" s="2799"/>
      <c r="I39" s="2800"/>
      <c r="J39" s="2800"/>
      <c r="K39" s="2800"/>
      <c r="L39" s="2800"/>
      <c r="M39" s="2471"/>
      <c r="N39" s="2471"/>
      <c r="O39" s="2471"/>
      <c r="P39" s="2823"/>
      <c r="Q39" s="2789"/>
      <c r="R39" s="2814"/>
      <c r="S39" s="2814"/>
      <c r="T39" s="2814"/>
      <c r="U39" s="2814"/>
      <c r="V39" s="2814"/>
      <c r="W39" s="2814"/>
      <c r="X39" s="2787"/>
      <c r="Y39" s="2787"/>
      <c r="Z39" s="2816"/>
      <c r="AA39" s="8"/>
      <c r="AB39" s="8"/>
      <c r="AC39" s="327"/>
      <c r="AD39" s="327"/>
      <c r="AE39" s="327"/>
    </row>
    <row r="40" spans="1:31" ht="14.4" x14ac:dyDescent="0.3">
      <c r="A40" s="8"/>
      <c r="B40" s="2747" t="s">
        <v>1975</v>
      </c>
      <c r="C40" s="2801">
        <f>53.06</f>
        <v>53.06</v>
      </c>
      <c r="D40" s="2797">
        <v>0</v>
      </c>
      <c r="E40" s="2801">
        <f>169.73</f>
        <v>169.73</v>
      </c>
      <c r="F40" s="2798">
        <f>SUM(C40:E40)</f>
        <v>222.79</v>
      </c>
      <c r="G40" s="2799">
        <v>0.53420000000000001</v>
      </c>
      <c r="H40" s="2799">
        <v>7.0599999999999996E-2</v>
      </c>
      <c r="I40" s="2800">
        <f>C40*G40</f>
        <v>28.344652</v>
      </c>
      <c r="J40" s="2800">
        <f>D40*G40</f>
        <v>0</v>
      </c>
      <c r="K40" s="2800">
        <f>E40*G40</f>
        <v>90.669765999999996</v>
      </c>
      <c r="L40" s="2800">
        <f>SUM(I40:K40)</f>
        <v>119.01441799999999</v>
      </c>
      <c r="M40" s="2471">
        <f t="shared" ref="M40:O40" si="16">((I40*1000000)/35.31)*($D$4/($D$5*$G$6))*0.0000011023</f>
        <v>580.61870531164084</v>
      </c>
      <c r="N40" s="2471">
        <f t="shared" si="16"/>
        <v>0</v>
      </c>
      <c r="O40" s="2471">
        <f t="shared" si="16"/>
        <v>1857.3014107151303</v>
      </c>
      <c r="P40" s="2788">
        <f>388400000/1000000</f>
        <v>388.4</v>
      </c>
      <c r="Q40" s="2789">
        <f>L40/P40</f>
        <v>0.30642229145211125</v>
      </c>
      <c r="R40" s="2814">
        <f>((F40*H40*((1-Q40)/Q40)*1000000))/35.31</f>
        <v>1008271.3980393583</v>
      </c>
      <c r="S40" s="2814">
        <f>((R40*$D$3)/($D$5*$G$6))*0.00000110231</f>
        <v>2000.4961226968901</v>
      </c>
      <c r="T40" s="2814">
        <f t="shared" ref="T40:V40" si="17">2.75*M40</f>
        <v>1596.7014396070124</v>
      </c>
      <c r="U40" s="2814">
        <f t="shared" si="17"/>
        <v>0</v>
      </c>
      <c r="V40" s="2814">
        <f t="shared" si="17"/>
        <v>5107.5788794666078</v>
      </c>
      <c r="W40" s="2814">
        <f>(((F40*G40)*((1-Q40)/Q40))*1000000/35.31)*($D$4/($D$5*$G$6))*0.0000011023</f>
        <v>5518.1593991862319</v>
      </c>
      <c r="X40" s="2787">
        <f>(((C40*G40)*(1-$D$14))*1000000/35.31)*($D$4/($D$5*$G$6))*0.0000011023</f>
        <v>11.61237410623283</v>
      </c>
      <c r="Y40" s="2787">
        <f>(((D40*G40)*(1-$D$15))*1000000/35.31)*($D$4/($D$5*$G$6))*0.0000011023</f>
        <v>0</v>
      </c>
      <c r="Z40" s="2816">
        <f>(((E40*G40)*(1-0.982))*1000000/35.31)*($D$4/($D$5*$G$6))*0.0000011023</f>
        <v>33.43142539287237</v>
      </c>
      <c r="AA40" s="8"/>
      <c r="AB40" s="8"/>
      <c r="AC40" s="327"/>
      <c r="AD40" s="327"/>
      <c r="AE40" s="327"/>
    </row>
    <row r="41" spans="1:31" ht="14.4" x14ac:dyDescent="0.3">
      <c r="A41" s="8"/>
      <c r="B41" s="2748"/>
      <c r="C41" s="2800"/>
      <c r="D41" s="2800"/>
      <c r="E41" s="2800"/>
      <c r="F41" s="2798"/>
      <c r="G41" s="2799"/>
      <c r="H41" s="2799"/>
      <c r="I41" s="2800"/>
      <c r="J41" s="2800"/>
      <c r="K41" s="2800"/>
      <c r="L41" s="2800"/>
      <c r="M41" s="2471"/>
      <c r="N41" s="2471"/>
      <c r="O41" s="2471"/>
      <c r="P41" s="2823"/>
      <c r="Q41" s="2789"/>
      <c r="R41" s="2814"/>
      <c r="S41" s="2814"/>
      <c r="T41" s="2814"/>
      <c r="U41" s="2814"/>
      <c r="V41" s="2814"/>
      <c r="W41" s="2814"/>
      <c r="X41" s="2787"/>
      <c r="Y41" s="2787"/>
      <c r="Z41" s="2816"/>
      <c r="AA41" s="8"/>
      <c r="AB41" s="8"/>
      <c r="AC41" s="327"/>
      <c r="AD41" s="327"/>
      <c r="AE41" s="327"/>
    </row>
    <row r="42" spans="1:31" ht="14.4" x14ac:dyDescent="0.3">
      <c r="A42" s="8"/>
      <c r="B42" s="2747" t="s">
        <v>1976</v>
      </c>
      <c r="C42" s="2800">
        <f>230312280/1000000</f>
        <v>230.31227999999999</v>
      </c>
      <c r="D42" s="2797">
        <v>0</v>
      </c>
      <c r="E42" s="2800">
        <v>0</v>
      </c>
      <c r="F42" s="2798">
        <f>SUM(C42:E42)</f>
        <v>230.31227999999999</v>
      </c>
      <c r="G42" s="2799">
        <v>0.5</v>
      </c>
      <c r="H42" s="2799">
        <v>0.5</v>
      </c>
      <c r="I42" s="2800">
        <f>C42*G42</f>
        <v>115.15613999999999</v>
      </c>
      <c r="J42" s="2800">
        <f>D42*G42</f>
        <v>0</v>
      </c>
      <c r="K42" s="2800">
        <f>E42*G42</f>
        <v>0</v>
      </c>
      <c r="L42" s="2800">
        <f>SUM(I42:K42)</f>
        <v>115.15613999999999</v>
      </c>
      <c r="M42" s="2471">
        <f t="shared" ref="M42:O42" si="18">((I42*1000000)/35.31)*($D$4/($D$5*$G$6))*0.0000011023</f>
        <v>2358.8862165422265</v>
      </c>
      <c r="N42" s="2471">
        <f t="shared" si="18"/>
        <v>0</v>
      </c>
      <c r="O42" s="2471">
        <f t="shared" si="18"/>
        <v>0</v>
      </c>
      <c r="P42" s="2788">
        <f>150300000/1000000</f>
        <v>150.30000000000001</v>
      </c>
      <c r="Q42" s="2789">
        <f>L42/P42</f>
        <v>0.76617524950099791</v>
      </c>
      <c r="R42" s="2814">
        <f>((F42*H42*((1-Q42)/Q42)*1000000))/35.31</f>
        <v>995294.81733220082</v>
      </c>
      <c r="S42" s="2814">
        <f>((R42*$D$3)/($D$5*$G$6))*0.00000110231</f>
        <v>1974.7494840031693</v>
      </c>
      <c r="T42" s="2814">
        <f t="shared" ref="T42:V42" si="19">2.75*M42</f>
        <v>6486.9370954911228</v>
      </c>
      <c r="U42" s="2814">
        <f t="shared" si="19"/>
        <v>0</v>
      </c>
      <c r="V42" s="2814">
        <f t="shared" si="19"/>
        <v>0</v>
      </c>
      <c r="W42" s="2814">
        <f>(((F42*G42)*((1-Q42)/Q42))*1000000/35.31)*($D$4/($D$5*$G$6))*0.0000011023</f>
        <v>719.89532603376381</v>
      </c>
      <c r="X42" s="2787">
        <f>(((C42*G42)*(1-$D$14))*1000000/35.31)*($D$4/($D$5*$G$6))*0.0000011023</f>
        <v>47.177724330844583</v>
      </c>
      <c r="Y42" s="2787">
        <f>(((D42*G42)*(1-$D$15))*1000000/35.31)*($D$4/($D$5*$G$6))*0.0000011023</f>
        <v>0</v>
      </c>
      <c r="Z42" s="2816">
        <f>(((E42*G42)*(1-0.982))*1000000/35.31)*($D$4/($D$5*$G$6))*0.0000011023</f>
        <v>0</v>
      </c>
      <c r="AA42" s="8"/>
      <c r="AB42" s="8"/>
      <c r="AC42" s="327"/>
      <c r="AD42" s="327"/>
      <c r="AE42" s="327"/>
    </row>
    <row r="43" spans="1:31" ht="14.4" x14ac:dyDescent="0.3">
      <c r="A43" s="8"/>
      <c r="B43" s="2747"/>
      <c r="C43" s="2797"/>
      <c r="D43" s="2797"/>
      <c r="E43" s="2797"/>
      <c r="F43" s="2798"/>
      <c r="G43" s="2799"/>
      <c r="H43" s="2799"/>
      <c r="I43" s="2800"/>
      <c r="J43" s="2800"/>
      <c r="K43" s="2800"/>
      <c r="L43" s="2800"/>
      <c r="M43" s="2471"/>
      <c r="N43" s="2471"/>
      <c r="O43" s="2471"/>
      <c r="P43" s="2823"/>
      <c r="Q43" s="2789"/>
      <c r="R43" s="2814"/>
      <c r="S43" s="2814"/>
      <c r="T43" s="2814"/>
      <c r="U43" s="2814"/>
      <c r="V43" s="2814"/>
      <c r="W43" s="2814"/>
      <c r="X43" s="2787"/>
      <c r="Y43" s="2787"/>
      <c r="Z43" s="2816"/>
      <c r="AA43" s="8"/>
      <c r="AB43" s="8"/>
      <c r="AC43" s="327"/>
      <c r="AD43" s="327"/>
      <c r="AE43" s="327"/>
    </row>
    <row r="44" spans="1:31" ht="14.4" x14ac:dyDescent="0.3">
      <c r="A44" s="8"/>
      <c r="B44" s="2749" t="s">
        <v>1977</v>
      </c>
      <c r="C44" s="2797">
        <f>54.426</f>
        <v>54.426000000000002</v>
      </c>
      <c r="D44" s="2797">
        <f>541.686</f>
        <v>541.68600000000004</v>
      </c>
      <c r="E44" s="2797">
        <v>0</v>
      </c>
      <c r="F44" s="2798">
        <f>SUM(C44:E44)</f>
        <v>596.11200000000008</v>
      </c>
      <c r="G44" s="2799">
        <v>0.52700000000000002</v>
      </c>
      <c r="H44" s="2799">
        <v>0.38179999999999997</v>
      </c>
      <c r="I44" s="2800">
        <f>C44*G44</f>
        <v>28.682502000000003</v>
      </c>
      <c r="J44" s="2800">
        <f>D44*G44</f>
        <v>285.46852200000001</v>
      </c>
      <c r="K44" s="2800">
        <f>E44*G44</f>
        <v>0</v>
      </c>
      <c r="L44" s="2800">
        <f>SUM(I44:K44)</f>
        <v>314.15102400000001</v>
      </c>
      <c r="M44" s="2471">
        <f t="shared" ref="M44:O44" si="20">((I44*1000000)/35.31)*($D$4/($D$5*$G$6))*0.0000011023</f>
        <v>587.53930640385181</v>
      </c>
      <c r="N44" s="2471">
        <f t="shared" si="20"/>
        <v>5847.6062310049765</v>
      </c>
      <c r="O44" s="2471">
        <f t="shared" si="20"/>
        <v>0</v>
      </c>
      <c r="P44" s="2823">
        <f>256600000/1000000</f>
        <v>256.60000000000002</v>
      </c>
      <c r="Q44" s="2789">
        <v>0.95</v>
      </c>
      <c r="R44" s="2814">
        <f>((F44*H44*((1-Q44)/Q44)*1000000))/35.31</f>
        <v>339244.23020167276</v>
      </c>
      <c r="S44" s="2814">
        <f>((R44*$D$3)/($D$5*$G$6))*0.00000110231</f>
        <v>673.08937701240438</v>
      </c>
      <c r="T44" s="2814">
        <f t="shared" ref="T44:V44" si="21">2.75*M44</f>
        <v>1615.7330926105924</v>
      </c>
      <c r="U44" s="2814">
        <f t="shared" si="21"/>
        <v>16080.917135263686</v>
      </c>
      <c r="V44" s="2814">
        <f t="shared" si="21"/>
        <v>0</v>
      </c>
      <c r="W44" s="2814">
        <f>(((F44*G44)*((1-Q44)/Q44))*1000000/35.31)*($D$4/($D$5*$G$6))*0.0000011023</f>
        <v>338.69187038993874</v>
      </c>
      <c r="X44" s="2787">
        <f>(((C44*G44)*(1-$D$14))*1000000/35.31)*($D$4/($D$5*$G$6))*0.0000011023</f>
        <v>11.750786128077047</v>
      </c>
      <c r="Y44" s="2787">
        <f>(((D44*G44)*(1-$D$15))*1000000/35.31)*($D$4/($D$5*$G$6))*0.0000011023</f>
        <v>11.695212462009966</v>
      </c>
      <c r="Z44" s="2816">
        <f>(((E44*G44)*(1-0.98))*1000000/35.31)*($D$4/($D$5*$G$6))*0.0000011023</f>
        <v>0</v>
      </c>
      <c r="AA44" s="8"/>
      <c r="AB44" s="8"/>
      <c r="AC44" s="327"/>
      <c r="AD44" s="327"/>
      <c r="AE44" s="327"/>
    </row>
    <row r="45" spans="1:31" ht="14.4" x14ac:dyDescent="0.3">
      <c r="A45" s="8"/>
      <c r="B45" s="2750"/>
      <c r="C45" s="2790"/>
      <c r="D45" s="2790"/>
      <c r="E45" s="2790"/>
      <c r="F45" s="2790"/>
      <c r="G45" s="2791"/>
      <c r="H45" s="2791"/>
      <c r="I45" s="2790"/>
      <c r="J45" s="2790"/>
      <c r="K45" s="2790"/>
      <c r="L45" s="2790"/>
      <c r="M45" s="2480"/>
      <c r="N45" s="2480"/>
      <c r="O45" s="2480"/>
      <c r="P45" s="2790"/>
      <c r="Q45" s="2790"/>
      <c r="R45" s="2817"/>
      <c r="S45" s="2817"/>
      <c r="T45" s="2817"/>
      <c r="U45" s="2814"/>
      <c r="V45" s="2814"/>
      <c r="W45" s="2817"/>
      <c r="X45" s="2825"/>
      <c r="Y45" s="2825"/>
      <c r="Z45" s="2818"/>
      <c r="AA45" s="8"/>
      <c r="AB45" s="8"/>
      <c r="AC45" s="327"/>
      <c r="AD45" s="327"/>
      <c r="AE45" s="327"/>
    </row>
    <row r="46" spans="1:31" ht="14.4" x14ac:dyDescent="0.3">
      <c r="A46" s="8"/>
      <c r="B46" s="2751"/>
      <c r="C46" s="2802"/>
      <c r="D46" s="2802"/>
      <c r="E46" s="2802"/>
      <c r="F46" s="2802"/>
      <c r="G46" s="2803"/>
      <c r="H46" s="2803"/>
      <c r="I46" s="2802"/>
      <c r="J46" s="2802"/>
      <c r="K46" s="2802"/>
      <c r="L46" s="2802"/>
      <c r="M46" s="2471"/>
      <c r="N46" s="2471"/>
      <c r="O46" s="2471"/>
      <c r="P46" s="2792"/>
      <c r="Q46" s="2792"/>
      <c r="R46" s="2814"/>
      <c r="S46" s="2819"/>
      <c r="T46" s="2814"/>
      <c r="U46" s="2814"/>
      <c r="V46" s="2814"/>
      <c r="W46" s="2814"/>
      <c r="X46" s="2794"/>
      <c r="Y46" s="2794"/>
      <c r="Z46" s="2820"/>
      <c r="AA46" s="8"/>
      <c r="AB46" s="8"/>
      <c r="AC46" s="327"/>
      <c r="AD46" s="327"/>
      <c r="AE46" s="327"/>
    </row>
    <row r="47" spans="1:31" ht="14.4" x14ac:dyDescent="0.3">
      <c r="A47" s="8"/>
      <c r="B47" s="2752" t="s">
        <v>1978</v>
      </c>
      <c r="C47" s="2804">
        <f>34557740/1000000</f>
        <v>34.557740000000003</v>
      </c>
      <c r="D47" s="2802">
        <v>0</v>
      </c>
      <c r="E47" s="2802">
        <v>0</v>
      </c>
      <c r="F47" s="2805">
        <f>SUM(C47:E47)</f>
        <v>34.557740000000003</v>
      </c>
      <c r="G47" s="2806">
        <v>0.46400000000000002</v>
      </c>
      <c r="H47" s="2803">
        <v>0.5</v>
      </c>
      <c r="I47" s="2805">
        <f>C47*G47</f>
        <v>16.034791360000003</v>
      </c>
      <c r="J47" s="2807">
        <f>D47*G47</f>
        <v>0</v>
      </c>
      <c r="K47" s="2807">
        <f>E47*G47</f>
        <v>0</v>
      </c>
      <c r="L47" s="2805">
        <f>SUM(I47:K47)</f>
        <v>16.034791360000003</v>
      </c>
      <c r="M47" s="2471">
        <f t="shared" ref="M47:O47" si="22">((I47*1000000)/35.31)*($D$4/($D$5*$G$6))*0.0000011023</f>
        <v>328.46054343463055</v>
      </c>
      <c r="N47" s="2471">
        <f t="shared" si="22"/>
        <v>0</v>
      </c>
      <c r="O47" s="2471">
        <f t="shared" si="22"/>
        <v>0</v>
      </c>
      <c r="P47" s="2792">
        <f>111100000/1000000</f>
        <v>111.1</v>
      </c>
      <c r="Q47" s="2793">
        <f>L47/P47</f>
        <v>0.1443275549954996</v>
      </c>
      <c r="R47" s="2814">
        <f>((F47*H47*((1-Q47)/Q47)*1000000))/35.31</f>
        <v>2901188.2635572599</v>
      </c>
      <c r="S47" s="2814">
        <f>((R47*$D$3)/($D$5*$G$6))*0.00000110231</f>
        <v>5756.2040178327734</v>
      </c>
      <c r="T47" s="2814">
        <f t="shared" ref="T47:V47" si="23">2.75*M47</f>
        <v>903.266494445234</v>
      </c>
      <c r="U47" s="2814">
        <f t="shared" si="23"/>
        <v>0</v>
      </c>
      <c r="V47" s="2814">
        <f t="shared" si="23"/>
        <v>0</v>
      </c>
      <c r="W47" s="2814">
        <f>(((F47*G47)*((1-Q47)/Q47))*1000000/35.31)*($D$4/($D$5*$G$6))*0.0000011023</f>
        <v>1947.3387205719728</v>
      </c>
      <c r="X47" s="2787">
        <f>(((C47*G47)*(1-$D$14))*1000000/35.31)*($D$4/($D$5*$G$6))*0.0000011023</f>
        <v>6.5692108686926174</v>
      </c>
      <c r="Y47" s="2787">
        <f>(((D47*G47)*(1-$D$15))*1000000/35.31)*($D$4/($D$5*$G$6))*0.0000011023</f>
        <v>0</v>
      </c>
      <c r="Z47" s="2816">
        <f>(((E47*G47)*(1-$D$16))*1000000/35.31)*($D$4/($D$5*$G$6))*0.0000011023</f>
        <v>0</v>
      </c>
      <c r="AA47" s="8"/>
      <c r="AB47" s="8"/>
      <c r="AC47" s="327"/>
      <c r="AD47" s="327"/>
      <c r="AE47" s="327"/>
    </row>
    <row r="48" spans="1:31" ht="14.4" x14ac:dyDescent="0.3">
      <c r="A48" s="8"/>
      <c r="B48" s="2752"/>
      <c r="C48" s="2802"/>
      <c r="D48" s="2802"/>
      <c r="E48" s="2802"/>
      <c r="F48" s="2798"/>
      <c r="G48" s="2799"/>
      <c r="H48" s="2799"/>
      <c r="I48" s="2800"/>
      <c r="J48" s="2796"/>
      <c r="K48" s="2796"/>
      <c r="L48" s="2800"/>
      <c r="M48" s="2471"/>
      <c r="N48" s="2471"/>
      <c r="O48" s="2471"/>
      <c r="P48" s="2823"/>
      <c r="Q48" s="2789"/>
      <c r="R48" s="2814"/>
      <c r="S48" s="2814"/>
      <c r="T48" s="2814"/>
      <c r="U48" s="2814"/>
      <c r="V48" s="2814"/>
      <c r="W48" s="2814"/>
      <c r="X48" s="2787"/>
      <c r="Y48" s="2787"/>
      <c r="Z48" s="2816"/>
      <c r="AA48" s="8"/>
      <c r="AB48" s="8"/>
      <c r="AC48" s="327"/>
      <c r="AD48" s="327"/>
      <c r="AE48" s="327"/>
    </row>
    <row r="49" spans="1:31" ht="14.4" x14ac:dyDescent="0.3">
      <c r="A49" s="8"/>
      <c r="B49" s="2752" t="s">
        <v>1979</v>
      </c>
      <c r="C49" s="2802">
        <f>184.06</f>
        <v>184.06</v>
      </c>
      <c r="D49" s="2802">
        <v>0</v>
      </c>
      <c r="E49" s="2802">
        <v>0</v>
      </c>
      <c r="F49" s="2802">
        <f>SUM(C49:E49)</f>
        <v>184.06</v>
      </c>
      <c r="G49" s="2803">
        <v>0.495</v>
      </c>
      <c r="H49" s="2803">
        <v>0.33200000000000002</v>
      </c>
      <c r="I49" s="2805">
        <f>C49*G49</f>
        <v>91.109700000000004</v>
      </c>
      <c r="J49" s="2807">
        <f>D49*G49</f>
        <v>0</v>
      </c>
      <c r="K49" s="2807">
        <f>E49*G49</f>
        <v>0</v>
      </c>
      <c r="L49" s="2805">
        <f>SUM(I49:K49)</f>
        <v>91.109700000000004</v>
      </c>
      <c r="M49" s="2471">
        <f t="shared" ref="M49:O49" si="24">((I49*1000000)/35.31)*($D$4/($D$5*$G$6))*0.0000011023</f>
        <v>1866.3131251472767</v>
      </c>
      <c r="N49" s="2471">
        <f t="shared" si="24"/>
        <v>0</v>
      </c>
      <c r="O49" s="2471">
        <f t="shared" si="24"/>
        <v>0</v>
      </c>
      <c r="P49" s="2792">
        <f>211800000/1000000</f>
        <v>211.8</v>
      </c>
      <c r="Q49" s="2793">
        <f>L49/P49</f>
        <v>0.43016855524079317</v>
      </c>
      <c r="R49" s="2814">
        <f>((F49*H49*((1-Q49)/Q49)*1000000))/35.31</f>
        <v>2292490.4439466884</v>
      </c>
      <c r="S49" s="2814">
        <f>((R49*$D$3)/($D$5*$G$6))*0.00000110231</f>
        <v>4548.495824986202</v>
      </c>
      <c r="T49" s="2814">
        <f t="shared" ref="T49:V49" si="25">2.75*M49</f>
        <v>5132.3610941550105</v>
      </c>
      <c r="U49" s="2814">
        <f t="shared" si="25"/>
        <v>0</v>
      </c>
      <c r="V49" s="2814">
        <f t="shared" si="25"/>
        <v>0</v>
      </c>
      <c r="W49" s="2814">
        <f>(((F49*G49)*((1-Q49)/Q49))*1000000/35.31)*($D$4/($D$5*$G$6))*0.0000011023</f>
        <v>2472.24928814344</v>
      </c>
      <c r="X49" s="2787">
        <f>(((C49*G49)*(1-$D$14))*1000000/35.31)*($D$4/($D$5*$G$6))*0.0000011023</f>
        <v>37.326262502945568</v>
      </c>
      <c r="Y49" s="2787">
        <f>(((D49*G49)*(1-$D$15))*1000000/35.31)*($D$4/($D$5*$G$6))*0.0000011023</f>
        <v>0</v>
      </c>
      <c r="Z49" s="2816">
        <f>(((E49*G49)*(1-$D$16))*1000000/35.31)*($D$4/($D$5*$G$6))*0.0000011023</f>
        <v>0</v>
      </c>
      <c r="AA49" s="8"/>
      <c r="AB49" s="8"/>
      <c r="AC49" s="327"/>
      <c r="AD49" s="327"/>
      <c r="AE49" s="327"/>
    </row>
    <row r="50" spans="1:31" ht="14.4" x14ac:dyDescent="0.3">
      <c r="A50" s="8"/>
      <c r="B50" s="2752"/>
      <c r="C50" s="2802"/>
      <c r="D50" s="2802"/>
      <c r="E50" s="2802"/>
      <c r="F50" s="2808"/>
      <c r="G50" s="2803"/>
      <c r="H50" s="2803"/>
      <c r="I50" s="2805"/>
      <c r="J50" s="2807"/>
      <c r="K50" s="2807"/>
      <c r="L50" s="2805"/>
      <c r="M50" s="2471"/>
      <c r="N50" s="2471"/>
      <c r="O50" s="2471"/>
      <c r="P50" s="2826"/>
      <c r="Q50" s="2793"/>
      <c r="R50" s="2814"/>
      <c r="S50" s="2814"/>
      <c r="T50" s="2814"/>
      <c r="U50" s="2814"/>
      <c r="V50" s="2814"/>
      <c r="W50" s="2814"/>
      <c r="X50" s="2787"/>
      <c r="Y50" s="2787"/>
      <c r="Z50" s="2816"/>
      <c r="AA50" s="8"/>
      <c r="AB50" s="8"/>
      <c r="AC50" s="327"/>
      <c r="AD50" s="327"/>
      <c r="AE50" s="327"/>
    </row>
    <row r="51" spans="1:31" ht="14.4" x14ac:dyDescent="0.3">
      <c r="A51" s="8"/>
      <c r="B51" s="2752" t="s">
        <v>1980</v>
      </c>
      <c r="C51" s="2802">
        <v>71.965000000000003</v>
      </c>
      <c r="D51" s="2802">
        <v>0</v>
      </c>
      <c r="E51" s="2802">
        <v>0</v>
      </c>
      <c r="F51" s="2802">
        <f>SUM(C51:E51)</f>
        <v>71.965000000000003</v>
      </c>
      <c r="G51" s="2803">
        <v>0.5</v>
      </c>
      <c r="H51" s="2803">
        <v>0.5</v>
      </c>
      <c r="I51" s="2805">
        <f>C51*G51</f>
        <v>35.982500000000002</v>
      </c>
      <c r="J51" s="2807">
        <f>D51*G51</f>
        <v>0</v>
      </c>
      <c r="K51" s="2807">
        <f>E51*G51</f>
        <v>0</v>
      </c>
      <c r="L51" s="2805">
        <f>SUM(I51:K51)</f>
        <v>35.982500000000002</v>
      </c>
      <c r="M51" s="2471">
        <f t="shared" ref="M51:O51" si="26">((I51*1000000)/35.31)*($D$4/($D$5*$G$6))*0.0000011023</f>
        <v>737.07423057711628</v>
      </c>
      <c r="N51" s="2471">
        <f t="shared" si="26"/>
        <v>0</v>
      </c>
      <c r="O51" s="2471">
        <f t="shared" si="26"/>
        <v>0</v>
      </c>
      <c r="P51" s="2792">
        <f>98690000/1000000</f>
        <v>98.69</v>
      </c>
      <c r="Q51" s="2793">
        <f>L51/P51</f>
        <v>0.36460127672509884</v>
      </c>
      <c r="R51" s="2814">
        <f>((F51*H51*((1-Q51)/Q51)*1000000))/35.31</f>
        <v>1775913.3389974509</v>
      </c>
      <c r="S51" s="2814">
        <f>((R51*$D$3)/($D$5*$G$6))*0.00000110231</f>
        <v>3523.5629571745594</v>
      </c>
      <c r="T51" s="2814">
        <f t="shared" ref="T51:V51" si="27">2.75*M51</f>
        <v>2026.9541340870699</v>
      </c>
      <c r="U51" s="2814">
        <f t="shared" si="27"/>
        <v>0</v>
      </c>
      <c r="V51" s="2814">
        <f t="shared" si="27"/>
        <v>0</v>
      </c>
      <c r="W51" s="2814">
        <f>(((F51*G51)*((1-Q51)/Q51))*1000000/35.31)*($D$4/($D$5*$G$6))*0.0000011023</f>
        <v>1284.5155926885154</v>
      </c>
      <c r="X51" s="2787">
        <f>(((C51*G51)*(1-$D$14))*1000000/35.31)*($D$4/($D$5*$G$6))*0.0000011023</f>
        <v>14.741484611542338</v>
      </c>
      <c r="Y51" s="2787">
        <f>(((D51*G51)*(1-$D$15))*1000000/35.31)*($D$4/($D$5*$G$6))*0.0000011023</f>
        <v>0</v>
      </c>
      <c r="Z51" s="2816">
        <f>(((E51*G51)*(1-$D$16))*1000000/35.31)*($D$4/($D$5*$G$6))*0.0000011023</f>
        <v>0</v>
      </c>
      <c r="AA51" s="8"/>
      <c r="AB51" s="8"/>
      <c r="AC51" s="327"/>
      <c r="AD51" s="327"/>
      <c r="AE51" s="327"/>
    </row>
    <row r="52" spans="1:31" ht="14.4" x14ac:dyDescent="0.3">
      <c r="A52" s="8"/>
      <c r="B52" s="2752"/>
      <c r="C52" s="2802"/>
      <c r="D52" s="2802"/>
      <c r="E52" s="2802"/>
      <c r="F52" s="2798"/>
      <c r="G52" s="2799"/>
      <c r="H52" s="2799"/>
      <c r="I52" s="2800"/>
      <c r="J52" s="2796"/>
      <c r="K52" s="2796"/>
      <c r="L52" s="2800"/>
      <c r="M52" s="2471"/>
      <c r="N52" s="2471"/>
      <c r="O52" s="2471"/>
      <c r="P52" s="2823"/>
      <c r="Q52" s="2789"/>
      <c r="R52" s="2814"/>
      <c r="S52" s="2814"/>
      <c r="T52" s="2814"/>
      <c r="U52" s="2814"/>
      <c r="V52" s="2814"/>
      <c r="W52" s="2814"/>
      <c r="X52" s="2787"/>
      <c r="Y52" s="2787"/>
      <c r="Z52" s="2816"/>
      <c r="AA52" s="8"/>
      <c r="AB52" s="8"/>
      <c r="AC52" s="327"/>
      <c r="AD52" s="327"/>
      <c r="AE52" s="327"/>
    </row>
    <row r="53" spans="1:31" ht="14.4" x14ac:dyDescent="0.3">
      <c r="A53" s="8"/>
      <c r="B53" s="2752" t="s">
        <v>1981</v>
      </c>
      <c r="C53" s="2809">
        <f>(582*8760*60)/1000000</f>
        <v>305.89920000000001</v>
      </c>
      <c r="D53" s="2802">
        <v>0</v>
      </c>
      <c r="E53" s="2802">
        <v>0</v>
      </c>
      <c r="F53" s="2805">
        <f>SUM(C53:E53)</f>
        <v>305.89920000000001</v>
      </c>
      <c r="G53" s="2803">
        <v>0.40389999999999998</v>
      </c>
      <c r="H53" s="2803">
        <v>0.5</v>
      </c>
      <c r="I53" s="2805">
        <f>C53*G53</f>
        <v>123.55268688</v>
      </c>
      <c r="J53" s="2807">
        <f>D53*G53</f>
        <v>0</v>
      </c>
      <c r="K53" s="2807">
        <f>E53*G53</f>
        <v>0</v>
      </c>
      <c r="L53" s="2805">
        <f>SUM(I53:K53)</f>
        <v>123.55268688</v>
      </c>
      <c r="M53" s="2471">
        <f t="shared" ref="M53:O53" si="28">((I53*1000000)/35.31)*($D$4/($D$5*$G$6))*0.0000011023</f>
        <v>2530.8831131191932</v>
      </c>
      <c r="N53" s="2471">
        <f t="shared" si="28"/>
        <v>0</v>
      </c>
      <c r="O53" s="2471">
        <f t="shared" si="28"/>
        <v>0</v>
      </c>
      <c r="P53" s="2795">
        <f>229200000/1000000</f>
        <v>229.2</v>
      </c>
      <c r="Q53" s="2793">
        <f>L53/P53</f>
        <v>0.53906058848167537</v>
      </c>
      <c r="R53" s="2814">
        <f>((F53*H53*((1-Q53)/Q53)*1000000))/35.31</f>
        <v>3703879.8477798142</v>
      </c>
      <c r="S53" s="2814">
        <f>((R53*$D$3)/($D$5*$G$6))*0.00000110231</f>
        <v>7348.8123225820482</v>
      </c>
      <c r="T53" s="2814">
        <f t="shared" ref="T53:V53" si="29">2.75*M53</f>
        <v>6959.9285610777815</v>
      </c>
      <c r="U53" s="2814">
        <f t="shared" si="29"/>
        <v>0</v>
      </c>
      <c r="V53" s="2814">
        <f t="shared" si="29"/>
        <v>0</v>
      </c>
      <c r="W53" s="2814">
        <f>(((F53*G53)*((1-Q53)/Q53))*1000000/35.31)*($D$4/($D$5*$G$6))*0.0000011023</f>
        <v>2164.1051074956904</v>
      </c>
      <c r="X53" s="2787">
        <f>(((C53*G53)*(1-$D$14))*1000000/35.31)*($D$4/($D$5*$G$6))*0.0000011023</f>
        <v>50.617662262383902</v>
      </c>
      <c r="Y53" s="2787">
        <f>(((D53*G53)*(1-$D$15))*1000000/35.31)*($D$4/($D$5*$G$6))*0.0000011023</f>
        <v>0</v>
      </c>
      <c r="Z53" s="2816">
        <f>(((E53*G53)*(1-$D$16))*1000000/35.31)*($D$4/($D$5*$G$6))*0.0000011023</f>
        <v>0</v>
      </c>
      <c r="AA53" s="8"/>
      <c r="AB53" s="8"/>
      <c r="AC53" s="327"/>
      <c r="AD53" s="327"/>
      <c r="AE53" s="327"/>
    </row>
    <row r="54" spans="1:31" ht="14.4" x14ac:dyDescent="0.3">
      <c r="A54" s="8"/>
      <c r="B54" s="2752"/>
      <c r="C54" s="2802"/>
      <c r="D54" s="2802"/>
      <c r="E54" s="2802"/>
      <c r="F54" s="2798"/>
      <c r="G54" s="2799"/>
      <c r="H54" s="2799"/>
      <c r="I54" s="2800"/>
      <c r="J54" s="2796"/>
      <c r="K54" s="2796"/>
      <c r="L54" s="2800"/>
      <c r="M54" s="2471"/>
      <c r="N54" s="2471"/>
      <c r="O54" s="2471"/>
      <c r="P54" s="2823"/>
      <c r="Q54" s="2789"/>
      <c r="R54" s="2814"/>
      <c r="S54" s="2814"/>
      <c r="T54" s="2814"/>
      <c r="U54" s="2814"/>
      <c r="V54" s="2814"/>
      <c r="W54" s="2814"/>
      <c r="X54" s="2787"/>
      <c r="Y54" s="2787"/>
      <c r="Z54" s="2816"/>
      <c r="AA54" s="8"/>
      <c r="AB54" s="8"/>
      <c r="AC54" s="327"/>
      <c r="AD54" s="327"/>
      <c r="AE54" s="327"/>
    </row>
    <row r="55" spans="1:31" ht="14.4" x14ac:dyDescent="0.3">
      <c r="A55" s="8"/>
      <c r="B55" s="2752" t="s">
        <v>1982</v>
      </c>
      <c r="C55" s="2802">
        <f>28.11</f>
        <v>28.11</v>
      </c>
      <c r="D55" s="2802">
        <v>0</v>
      </c>
      <c r="E55" s="2802">
        <v>0</v>
      </c>
      <c r="F55" s="2802">
        <f>SUM(C55:E55)</f>
        <v>28.11</v>
      </c>
      <c r="G55" s="2803">
        <v>0.4662</v>
      </c>
      <c r="H55" s="2803">
        <v>0.27960000000000002</v>
      </c>
      <c r="I55" s="2805">
        <f>C55*G55</f>
        <v>13.104882</v>
      </c>
      <c r="J55" s="2807">
        <f>D55*G55</f>
        <v>0</v>
      </c>
      <c r="K55" s="2807">
        <f>E55*G55</f>
        <v>0</v>
      </c>
      <c r="L55" s="2805">
        <f>SUM(I55:K55)</f>
        <v>13.104882</v>
      </c>
      <c r="M55" s="2471">
        <f t="shared" ref="M55:O55" si="30">((I55*1000000)/35.31)*($D$4/($D$5*$G$6))*0.0000011023</f>
        <v>268.44357165160568</v>
      </c>
      <c r="N55" s="2471">
        <f t="shared" si="30"/>
        <v>0</v>
      </c>
      <c r="O55" s="2471">
        <f t="shared" si="30"/>
        <v>0</v>
      </c>
      <c r="P55" s="2792">
        <f>70050000/1000000</f>
        <v>70.05</v>
      </c>
      <c r="Q55" s="2793">
        <f>L55/P55</f>
        <v>0.18707897216274091</v>
      </c>
      <c r="R55" s="2814">
        <f>((F55*H55*((1-Q55)/Q55)*1000000))/35.31</f>
        <v>967216.45743327984</v>
      </c>
      <c r="S55" s="2814">
        <f>((R55*$D$3)/($D$5*$G$6))*0.00000110231</f>
        <v>1919.0396322522358</v>
      </c>
      <c r="T55" s="2814">
        <f t="shared" ref="T55:V55" si="31">2.75*M55</f>
        <v>738.21982204191568</v>
      </c>
      <c r="U55" s="2814">
        <f t="shared" si="31"/>
        <v>0</v>
      </c>
      <c r="V55" s="2814">
        <f t="shared" si="31"/>
        <v>0</v>
      </c>
      <c r="W55" s="2814">
        <f>(((F55*G55)*((1-Q55)/Q55))*1000000/35.31)*($D$4/($D$5*$G$6))*0.0000011023</f>
        <v>1166.477566455168</v>
      </c>
      <c r="X55" s="2787">
        <f>(((C55*G55)*(1-$D$14))*1000000/35.31)*($D$4/($D$5*$G$6))*0.0000011023</f>
        <v>5.3688714330321181</v>
      </c>
      <c r="Y55" s="2787">
        <f>(((D55*G55)*(1-$D$15))*1000000/35.31)*($D$4/($D$5*$G$6))*0.0000011023</f>
        <v>0</v>
      </c>
      <c r="Z55" s="2816">
        <f>(((E55*G55)*(1-$D$16))*1000000/35.31)*($D$4/($D$5*$G$6))*0.0000011023</f>
        <v>0</v>
      </c>
      <c r="AA55" s="8"/>
      <c r="AB55" s="8"/>
      <c r="AC55" s="327"/>
      <c r="AD55" s="327"/>
      <c r="AE55" s="327"/>
    </row>
    <row r="56" spans="1:31" ht="14.4" x14ac:dyDescent="0.3">
      <c r="A56" s="8"/>
      <c r="B56" s="2752"/>
      <c r="C56" s="2802"/>
      <c r="D56" s="2802"/>
      <c r="E56" s="2802"/>
      <c r="F56" s="2808"/>
      <c r="G56" s="2803"/>
      <c r="H56" s="2803"/>
      <c r="I56" s="2805"/>
      <c r="J56" s="2807"/>
      <c r="K56" s="2807"/>
      <c r="L56" s="2805"/>
      <c r="M56" s="2471"/>
      <c r="N56" s="2471"/>
      <c r="O56" s="2471"/>
      <c r="P56" s="2826"/>
      <c r="Q56" s="2793"/>
      <c r="R56" s="2814"/>
      <c r="S56" s="2814"/>
      <c r="T56" s="2814"/>
      <c r="U56" s="2814"/>
      <c r="V56" s="2814"/>
      <c r="W56" s="2814"/>
      <c r="X56" s="2787"/>
      <c r="Y56" s="2787"/>
      <c r="Z56" s="2816"/>
      <c r="AA56" s="8"/>
      <c r="AB56" s="8"/>
      <c r="AC56" s="327"/>
      <c r="AD56" s="327"/>
      <c r="AE56" s="327"/>
    </row>
    <row r="57" spans="1:31" ht="14.4" x14ac:dyDescent="0.3">
      <c r="A57" s="8"/>
      <c r="B57" s="2752" t="s">
        <v>1983</v>
      </c>
      <c r="C57" s="2812">
        <f>1412/1000000</f>
        <v>1.4120000000000001E-3</v>
      </c>
      <c r="D57" s="2802">
        <v>0</v>
      </c>
      <c r="E57" s="2802">
        <v>0</v>
      </c>
      <c r="F57" s="2805">
        <f>SUM(C57:E57)</f>
        <v>1.4120000000000001E-3</v>
      </c>
      <c r="G57" s="2803">
        <v>0.5</v>
      </c>
      <c r="H57" s="2803">
        <v>0.5</v>
      </c>
      <c r="I57" s="2810">
        <f>C57*G57</f>
        <v>7.0600000000000003E-4</v>
      </c>
      <c r="J57" s="2807">
        <f>D57*G57</f>
        <v>0</v>
      </c>
      <c r="K57" s="2807">
        <f>E57*G57</f>
        <v>0</v>
      </c>
      <c r="L57" s="2810">
        <f>SUM(I57:K57)</f>
        <v>7.0600000000000003E-4</v>
      </c>
      <c r="M57" s="2471">
        <f t="shared" ref="M57:O57" si="32">((I57*1000000)/35.31)*($D$4/($D$5*$G$6))*0.0000011023</f>
        <v>1.4461874710969056E-2</v>
      </c>
      <c r="N57" s="2471">
        <f t="shared" si="32"/>
        <v>0</v>
      </c>
      <c r="O57" s="2471">
        <f t="shared" si="32"/>
        <v>0</v>
      </c>
      <c r="P57" s="2821">
        <f>80930/1000000</f>
        <v>8.0930000000000002E-2</v>
      </c>
      <c r="Q57" s="2793">
        <f>L57/P57</f>
        <v>8.723588286173237E-3</v>
      </c>
      <c r="R57" s="2814">
        <f>((F57*H57*((1-Q57)/Q57)*1000000))/35.31</f>
        <v>2271.9909374114977</v>
      </c>
      <c r="S57" s="2814">
        <f>((R57*$D$3)/($D$5*$G$6))*0.00000110231</f>
        <v>4.5078230622552615</v>
      </c>
      <c r="T57" s="2814">
        <f t="shared" ref="T57:V57" si="33">2.75*M57</f>
        <v>3.97701554551649E-2</v>
      </c>
      <c r="U57" s="2814">
        <f t="shared" si="33"/>
        <v>0</v>
      </c>
      <c r="V57" s="2814">
        <f t="shared" si="33"/>
        <v>0</v>
      </c>
      <c r="W57" s="2814">
        <f>(((F57*G57)*((1-Q57)/Q57))*1000000/35.31)*($D$4/($D$5*$G$6))*0.0000011023</f>
        <v>1.6433278141824101</v>
      </c>
      <c r="X57" s="2787">
        <f>(((C57*G57)*(1-$D$14))*1000000/35.31)*($D$4/($D$5*$G$6))*0.0000011023</f>
        <v>2.8923749421938143E-4</v>
      </c>
      <c r="Y57" s="2787">
        <f>(((D57*G57)*(1-$D$15))*1000000/35.31)*($D$4/($D$5*$G$6))*0.0000011023</f>
        <v>0</v>
      </c>
      <c r="Z57" s="2816">
        <f>(((E57*G57)*(1-$D$16))*1000000/35.31)*($D$4/($D$5*$G$6))*0.0000011023</f>
        <v>0</v>
      </c>
      <c r="AA57" s="8"/>
      <c r="AB57" s="8"/>
      <c r="AC57" s="327"/>
      <c r="AD57" s="327"/>
      <c r="AE57" s="327"/>
    </row>
    <row r="58" spans="1:31" ht="14.4" x14ac:dyDescent="0.3">
      <c r="A58" s="8"/>
      <c r="B58" s="2752"/>
      <c r="C58" s="2802"/>
      <c r="D58" s="2802"/>
      <c r="E58" s="2802"/>
      <c r="F58" s="2798"/>
      <c r="G58" s="2799"/>
      <c r="H58" s="2799"/>
      <c r="I58" s="2800"/>
      <c r="J58" s="2796"/>
      <c r="K58" s="2796"/>
      <c r="L58" s="2800"/>
      <c r="M58" s="2471"/>
      <c r="N58" s="2471"/>
      <c r="O58" s="2471"/>
      <c r="P58" s="2823"/>
      <c r="Q58" s="2789"/>
      <c r="R58" s="2814"/>
      <c r="S58" s="2814"/>
      <c r="T58" s="2814"/>
      <c r="U58" s="2814"/>
      <c r="V58" s="2814"/>
      <c r="W58" s="2814"/>
      <c r="X58" s="2787"/>
      <c r="Y58" s="2787"/>
      <c r="Z58" s="2816"/>
      <c r="AA58" s="8"/>
      <c r="AB58" s="8"/>
      <c r="AC58" s="327"/>
      <c r="AD58" s="327"/>
      <c r="AE58" s="327"/>
    </row>
    <row r="59" spans="1:31" ht="14.4" x14ac:dyDescent="0.3">
      <c r="A59" s="8"/>
      <c r="B59" s="2752" t="s">
        <v>1984</v>
      </c>
      <c r="C59" s="2811">
        <f>271.06</f>
        <v>271.06</v>
      </c>
      <c r="D59" s="2802">
        <v>0</v>
      </c>
      <c r="E59" s="2802">
        <v>0</v>
      </c>
      <c r="F59" s="2802">
        <f>SUM(C59:E59)</f>
        <v>271.06</v>
      </c>
      <c r="G59" s="2803">
        <v>0.56999999999999995</v>
      </c>
      <c r="H59" s="2803">
        <v>0.36099999999999999</v>
      </c>
      <c r="I59" s="2805">
        <f>C59*G59</f>
        <v>154.5042</v>
      </c>
      <c r="J59" s="2807">
        <f>D59*G59</f>
        <v>0</v>
      </c>
      <c r="K59" s="2807">
        <f>E59*G59</f>
        <v>0</v>
      </c>
      <c r="L59" s="2805">
        <f>SUM(I59:K59)</f>
        <v>154.5042</v>
      </c>
      <c r="M59" s="2471">
        <f t="shared" ref="M59:O59" si="34">((I59*1000000)/35.31)*($D$4/($D$5*$G$6))*0.0000011023</f>
        <v>3164.9013919525569</v>
      </c>
      <c r="N59" s="2471">
        <f t="shared" si="34"/>
        <v>0</v>
      </c>
      <c r="O59" s="2471">
        <f t="shared" si="34"/>
        <v>0</v>
      </c>
      <c r="P59" s="2792">
        <f>157000000/1000000</f>
        <v>157</v>
      </c>
      <c r="Q59" s="2793">
        <f>L59/P59</f>
        <v>0.98410318471337577</v>
      </c>
      <c r="R59" s="2814">
        <f>((F59*H59*((1-Q59)/Q59)*1000000))/35.31</f>
        <v>44765.599924478513</v>
      </c>
      <c r="S59" s="2814">
        <f>((R59*$D$3)/($D$5*$G$6))*0.00000110231</f>
        <v>88.818753812972602</v>
      </c>
      <c r="T59" s="2814">
        <f t="shared" ref="T59:V59" si="35">2.75*M59</f>
        <v>8703.4788278695305</v>
      </c>
      <c r="U59" s="2814">
        <f t="shared" si="35"/>
        <v>0</v>
      </c>
      <c r="V59" s="2814">
        <f t="shared" si="35"/>
        <v>0</v>
      </c>
      <c r="W59" s="2814">
        <f>(((F59*G59)*((1-Q59)/Q59))*1000000/35.31)*($D$4/($D$5*$G$6))*0.0000011023</f>
        <v>51.124570685037732</v>
      </c>
      <c r="X59" s="2787">
        <f>(((C59*G59)*(1-$D$14))*1000000/35.31)*($D$4/($D$5*$G$6))*0.0000011023</f>
        <v>63.298027839051194</v>
      </c>
      <c r="Y59" s="2787">
        <f>(((D59*G59)*(1-$D$15))*1000000/35.31)*($D$4/($D$5*$G$6))*0.0000011023</f>
        <v>0</v>
      </c>
      <c r="Z59" s="2816">
        <f>(((E59*G59)*(1-$D$16))*1000000/35.31)*($D$4/($D$5*$G$6))*0.0000011023</f>
        <v>0</v>
      </c>
      <c r="AA59" s="8"/>
      <c r="AB59" s="8"/>
      <c r="AC59" s="327"/>
      <c r="AD59" s="327"/>
      <c r="AE59" s="327"/>
    </row>
    <row r="60" spans="1:31" ht="14.4" x14ac:dyDescent="0.3">
      <c r="A60" s="8"/>
      <c r="B60" s="2752"/>
      <c r="C60" s="2802"/>
      <c r="D60" s="2802"/>
      <c r="E60" s="2802"/>
      <c r="F60" s="2802"/>
      <c r="G60" s="2803"/>
      <c r="H60" s="2803"/>
      <c r="I60" s="2802"/>
      <c r="J60" s="2802"/>
      <c r="K60" s="2802"/>
      <c r="L60" s="2802"/>
      <c r="M60" s="2471"/>
      <c r="N60" s="2471"/>
      <c r="O60" s="2471"/>
      <c r="P60" s="2792"/>
      <c r="Q60" s="2792"/>
      <c r="R60" s="2794"/>
      <c r="S60" s="2794"/>
      <c r="T60" s="2814"/>
      <c r="U60" s="2814"/>
      <c r="V60" s="2794"/>
      <c r="W60" s="2787"/>
      <c r="X60" s="2794"/>
      <c r="Y60" s="2794"/>
      <c r="Z60" s="2822"/>
      <c r="AA60" s="8"/>
      <c r="AB60" s="8"/>
      <c r="AC60" s="327"/>
      <c r="AD60" s="327"/>
      <c r="AE60" s="327"/>
    </row>
    <row r="61" spans="1:31" ht="14.4" x14ac:dyDescent="0.3">
      <c r="A61" s="8"/>
      <c r="B61" s="2752" t="s">
        <v>1881</v>
      </c>
      <c r="C61" s="2805">
        <f>15943320/1000000</f>
        <v>15.94332</v>
      </c>
      <c r="D61" s="2802">
        <v>0</v>
      </c>
      <c r="E61" s="2802">
        <v>0</v>
      </c>
      <c r="F61" s="2805">
        <f>SUM(C61:E61)</f>
        <v>15.94332</v>
      </c>
      <c r="G61" s="2803">
        <v>0.40260000000000001</v>
      </c>
      <c r="H61" s="2803">
        <v>0.5</v>
      </c>
      <c r="I61" s="2805">
        <f>C61*G61</f>
        <v>6.4187806319999998</v>
      </c>
      <c r="J61" s="2807">
        <f>D61*G61</f>
        <v>0</v>
      </c>
      <c r="K61" s="2807">
        <f>E61*G61</f>
        <v>0</v>
      </c>
      <c r="L61" s="2805">
        <f>SUM(I61:K61)</f>
        <v>6.4187806319999998</v>
      </c>
      <c r="M61" s="2471">
        <f t="shared" ref="M61:O61" si="36">((I61*1000000)/35.31)*($D$4/($D$5*$G$6))*0.0000011023</f>
        <v>131.48385452858182</v>
      </c>
      <c r="N61" s="2471">
        <f t="shared" si="36"/>
        <v>0</v>
      </c>
      <c r="O61" s="2471">
        <f t="shared" si="36"/>
        <v>0</v>
      </c>
      <c r="P61" s="2792">
        <f>24900000/1000000</f>
        <v>24.9</v>
      </c>
      <c r="Q61" s="2793">
        <f>L61/P61</f>
        <v>0.25778235469879518</v>
      </c>
      <c r="R61" s="2814">
        <f>((F61*H61*((1-Q61)/Q61)*1000000))/35.31</f>
        <v>650023.62046865292</v>
      </c>
      <c r="S61" s="2814">
        <f>((R61*$D$3)/($D$5*$G$6))*0.00000110231</f>
        <v>1289.7020930451649</v>
      </c>
      <c r="T61" s="2814">
        <f t="shared" ref="T61:V61" si="37">2.75*M61</f>
        <v>361.58059995359997</v>
      </c>
      <c r="U61" s="2814">
        <f t="shared" si="37"/>
        <v>0</v>
      </c>
      <c r="V61" s="2814">
        <f t="shared" si="37"/>
        <v>0</v>
      </c>
      <c r="W61" s="2814">
        <f>(((F61*G61)*((1-Q61)/Q61))*1000000/35.31)*($D$4/($D$5*$G$6))*0.0000011023</f>
        <v>378.57376629738053</v>
      </c>
      <c r="X61" s="2787">
        <f>(((C61*G61)*(1-$D$14))*1000000/35.31)*($D$4/($D$5*$G$6))*0.0000011023</f>
        <v>2.6296770905716387</v>
      </c>
      <c r="Y61" s="2787">
        <f>(((D61*G61)*(1-$D$15))*1000000/35.31)*($D$4/($D$5*$G$6))*0.0000011023</f>
        <v>0</v>
      </c>
      <c r="Z61" s="2816">
        <f>(((E61*G61)*(1-$D$16))*1000000/35.31)*($D$4/($D$5*$G$6))*0.0000011023</f>
        <v>0</v>
      </c>
      <c r="AA61" s="8"/>
      <c r="AB61" s="8"/>
      <c r="AC61" s="327"/>
      <c r="AD61" s="327"/>
      <c r="AE61" s="327"/>
    </row>
    <row r="62" spans="1:31" ht="14.4" x14ac:dyDescent="0.3">
      <c r="A62" s="8"/>
      <c r="B62" s="2752"/>
      <c r="C62" s="2802"/>
      <c r="D62" s="2802"/>
      <c r="E62" s="2802"/>
      <c r="F62" s="2802"/>
      <c r="G62" s="2803"/>
      <c r="H62" s="2803"/>
      <c r="I62" s="2802"/>
      <c r="J62" s="2802"/>
      <c r="K62" s="2802"/>
      <c r="L62" s="2802"/>
      <c r="M62" s="2471"/>
      <c r="N62" s="2471"/>
      <c r="O62" s="2471"/>
      <c r="P62" s="2792"/>
      <c r="Q62" s="2792"/>
      <c r="R62" s="2794"/>
      <c r="S62" s="2794"/>
      <c r="T62" s="2814"/>
      <c r="U62" s="2814"/>
      <c r="V62" s="2794"/>
      <c r="W62" s="2787"/>
      <c r="X62" s="2794"/>
      <c r="Y62" s="2794"/>
      <c r="Z62" s="2822"/>
      <c r="AA62" s="8"/>
      <c r="AB62" s="8"/>
      <c r="AC62" s="327"/>
      <c r="AD62" s="327"/>
      <c r="AE62" s="327"/>
    </row>
    <row r="63" spans="1:31" ht="14.4" x14ac:dyDescent="0.3">
      <c r="A63" s="8"/>
      <c r="B63" s="2752" t="s">
        <v>1885</v>
      </c>
      <c r="C63" s="2805">
        <f>193627842/1000000</f>
        <v>193.62784199999999</v>
      </c>
      <c r="D63" s="2802">
        <v>0</v>
      </c>
      <c r="E63" s="2802">
        <v>0</v>
      </c>
      <c r="F63" s="2805">
        <f>SUM(C63:E63)</f>
        <v>193.62784199999999</v>
      </c>
      <c r="G63" s="2803">
        <v>0.45750000000000002</v>
      </c>
      <c r="H63" s="2803">
        <v>0.5</v>
      </c>
      <c r="I63" s="2805">
        <f>C63*G63</f>
        <v>88.584737715000003</v>
      </c>
      <c r="J63" s="2807">
        <f>D63*G63</f>
        <v>0</v>
      </c>
      <c r="K63" s="2807">
        <f>E63*G63</f>
        <v>0</v>
      </c>
      <c r="L63" s="2805">
        <f>SUM(I63:K63)</f>
        <v>88.584737715000003</v>
      </c>
      <c r="M63" s="2471">
        <f t="shared" ref="M63:O63" si="38">((I63*1000000)/35.31)*($D$4/($D$5*$G$6))*0.0000011023</f>
        <v>1814.5911871648518</v>
      </c>
      <c r="N63" s="2471">
        <f t="shared" si="38"/>
        <v>0</v>
      </c>
      <c r="O63" s="2471">
        <f t="shared" si="38"/>
        <v>0</v>
      </c>
      <c r="P63" s="2792">
        <f>192000000/1000000</f>
        <v>192</v>
      </c>
      <c r="Q63" s="2793">
        <f>L63/P63</f>
        <v>0.46137884226562503</v>
      </c>
      <c r="R63" s="2814">
        <f>((F63*H63*((1-Q63)/Q63)*1000000))/35.31</f>
        <v>3200853.7120863907</v>
      </c>
      <c r="S63" s="2814">
        <f>((R63*$D$3)/($D$5*$G$6))*0.00000110231</f>
        <v>6350.7657291482719</v>
      </c>
      <c r="T63" s="2814">
        <f t="shared" ref="T63:V63" si="39">2.75*M63</f>
        <v>4990.1257647033426</v>
      </c>
      <c r="U63" s="2814">
        <f t="shared" si="39"/>
        <v>0</v>
      </c>
      <c r="V63" s="2814">
        <f t="shared" si="39"/>
        <v>0</v>
      </c>
      <c r="W63" s="2814">
        <f>(((F63*G63)*((1-Q63)/Q63))*1000000/35.31)*($D$4/($D$5*$G$6))*0.0000011023</f>
        <v>2118.3832384811235</v>
      </c>
      <c r="X63" s="2787">
        <f>(((C63*G63)*(1-$D$14))*1000000/35.31)*($D$4/($D$5*$G$6))*0.0000011023</f>
        <v>36.291823743297066</v>
      </c>
      <c r="Y63" s="2787">
        <f>(((D63*G63)*(1-$D$15))*1000000/35.31)*($D$4/($D$5*$G$6))*0.0000011023</f>
        <v>0</v>
      </c>
      <c r="Z63" s="2816">
        <f>(((E63*G63)*(1-$D$16))*1000000/35.31)*($D$4/($D$5*$G$6))*0.0000011023</f>
        <v>0</v>
      </c>
      <c r="AA63" s="8"/>
      <c r="AB63" s="8"/>
      <c r="AC63" s="327"/>
      <c r="AD63" s="327"/>
      <c r="AE63" s="327"/>
    </row>
    <row r="64" spans="1:31" ht="14.4" x14ac:dyDescent="0.3">
      <c r="A64" s="8"/>
      <c r="B64" s="2753"/>
      <c r="C64" s="2481"/>
      <c r="D64" s="2481"/>
      <c r="E64" s="2481"/>
      <c r="F64" s="2481"/>
      <c r="G64" s="2482"/>
      <c r="H64" s="2482"/>
      <c r="I64" s="2481"/>
      <c r="J64" s="2481"/>
      <c r="K64" s="2481"/>
      <c r="L64" s="2481"/>
      <c r="M64" s="2483"/>
      <c r="N64" s="2483"/>
      <c r="O64" s="2483"/>
      <c r="P64" s="2481"/>
      <c r="Q64" s="2481"/>
      <c r="R64" s="2484"/>
      <c r="S64" s="2484"/>
      <c r="T64" s="2485"/>
      <c r="U64" s="2485"/>
      <c r="V64" s="2485"/>
      <c r="W64" s="2484"/>
      <c r="X64" s="2484"/>
      <c r="Y64" s="2484"/>
      <c r="Z64" s="2754"/>
      <c r="AA64" s="8"/>
      <c r="AB64" s="8"/>
      <c r="AC64" s="327"/>
      <c r="AD64" s="327"/>
      <c r="AE64" s="327"/>
    </row>
    <row r="65" spans="1:31" thickBot="1" x14ac:dyDescent="0.35">
      <c r="A65" s="8"/>
      <c r="B65" s="2755" t="s">
        <v>86</v>
      </c>
      <c r="C65" s="2756"/>
      <c r="D65" s="2756"/>
      <c r="E65" s="2756"/>
      <c r="F65" s="2756"/>
      <c r="G65" s="2756"/>
      <c r="H65" s="2756"/>
      <c r="I65" s="2756"/>
      <c r="J65" s="2756"/>
      <c r="K65" s="2756"/>
      <c r="L65" s="2756"/>
      <c r="M65" s="2757">
        <f t="shared" ref="M65:O65" si="40">SUM(M24:M59)</f>
        <v>27865.373695425566</v>
      </c>
      <c r="N65" s="2757">
        <f t="shared" si="40"/>
        <v>5847.6062310049765</v>
      </c>
      <c r="O65" s="2757">
        <f t="shared" si="40"/>
        <v>25513.719674135144</v>
      </c>
      <c r="P65" s="2757"/>
      <c r="Q65" s="2757"/>
      <c r="R65" s="2758"/>
      <c r="S65" s="2758"/>
      <c r="T65" s="2757">
        <f t="shared" ref="T65:Z65" si="41">SUM(T24:T59)</f>
        <v>76629.777662420311</v>
      </c>
      <c r="U65" s="2757">
        <f t="shared" si="41"/>
        <v>16080.917135263686</v>
      </c>
      <c r="V65" s="2757">
        <f t="shared" si="41"/>
        <v>70162.72910387165</v>
      </c>
      <c r="W65" s="2757">
        <f t="shared" si="41"/>
        <v>32463.710414383211</v>
      </c>
      <c r="X65" s="2757">
        <f t="shared" si="41"/>
        <v>557.30747390851172</v>
      </c>
      <c r="Y65" s="2757">
        <f t="shared" si="41"/>
        <v>11.695212462009966</v>
      </c>
      <c r="Z65" s="2759">
        <f t="shared" si="41"/>
        <v>586.84957442211999</v>
      </c>
      <c r="AA65" s="8"/>
      <c r="AB65" s="8"/>
      <c r="AC65" s="327"/>
      <c r="AD65" s="327"/>
      <c r="AE65" s="327"/>
    </row>
    <row r="66" spans="1:31" ht="10.5" customHeight="1" x14ac:dyDescent="0.3">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327"/>
      <c r="AD66" s="327"/>
      <c r="AE66" s="327"/>
    </row>
    <row r="67" spans="1:31" ht="10.5" customHeight="1" x14ac:dyDescent="0.3">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327"/>
      <c r="AD67" s="327"/>
      <c r="AE67" s="327"/>
    </row>
    <row r="68" spans="1:31" ht="18.75" customHeight="1" x14ac:dyDescent="0.3">
      <c r="A68" s="8"/>
      <c r="B68" s="8"/>
      <c r="C68" s="8"/>
      <c r="D68" s="8"/>
      <c r="E68" s="8"/>
      <c r="F68" s="8"/>
      <c r="G68" s="8"/>
      <c r="H68" s="8"/>
      <c r="I68" s="8"/>
      <c r="J68" s="8"/>
      <c r="K68" s="8"/>
      <c r="L68" s="8"/>
      <c r="M68" s="8"/>
      <c r="N68" s="8"/>
      <c r="O68" s="8"/>
      <c r="P68" s="8"/>
      <c r="Q68" s="8"/>
      <c r="R68" s="8"/>
      <c r="S68" s="8"/>
      <c r="T68" s="2486"/>
      <c r="U68" s="8"/>
      <c r="V68" s="8"/>
      <c r="W68" s="8"/>
      <c r="X68" s="8"/>
      <c r="Y68" s="8"/>
      <c r="Z68" s="8"/>
      <c r="AA68" s="8"/>
      <c r="AB68" s="8"/>
      <c r="AC68" s="327"/>
      <c r="AD68" s="327"/>
      <c r="AE68" s="327"/>
    </row>
    <row r="69" spans="1:31" ht="10.5" customHeight="1" x14ac:dyDescent="0.3">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327"/>
      <c r="AD69" s="327"/>
      <c r="AE69" s="327"/>
    </row>
    <row r="70" spans="1:31" ht="10.5" customHeight="1" x14ac:dyDescent="0.3">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327"/>
      <c r="AD70" s="327"/>
      <c r="AE70" s="327"/>
    </row>
    <row r="71" spans="1:31" ht="10.5" customHeight="1" x14ac:dyDescent="0.3">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327"/>
      <c r="AD71" s="327"/>
      <c r="AE71" s="327"/>
    </row>
    <row r="72" spans="1:31" ht="10.5" customHeight="1" x14ac:dyDescent="0.3">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327"/>
      <c r="AD72" s="327"/>
      <c r="AE72" s="327"/>
    </row>
    <row r="73" spans="1:31" ht="10.5" customHeight="1" x14ac:dyDescent="0.3">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327"/>
      <c r="AD73" s="327"/>
      <c r="AE73" s="327"/>
    </row>
    <row r="74" spans="1:31" ht="10.5" customHeight="1" x14ac:dyDescent="0.3">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327"/>
      <c r="AD74" s="327"/>
      <c r="AE74" s="327"/>
    </row>
    <row r="75" spans="1:31" ht="10.5" customHeight="1" x14ac:dyDescent="0.3">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327"/>
      <c r="AD75" s="327"/>
      <c r="AE75" s="327"/>
    </row>
    <row r="76" spans="1:31" ht="10.5" customHeight="1" x14ac:dyDescent="0.3">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327"/>
      <c r="AD76" s="327"/>
      <c r="AE76" s="327"/>
    </row>
    <row r="77" spans="1:31" ht="10.5" customHeight="1" x14ac:dyDescent="0.3">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327"/>
      <c r="AD77" s="327"/>
      <c r="AE77" s="327"/>
    </row>
    <row r="78" spans="1:31" ht="10.5" customHeight="1" x14ac:dyDescent="0.3">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327"/>
      <c r="AD78" s="327"/>
      <c r="AE78" s="327"/>
    </row>
    <row r="79" spans="1:31" ht="10.5" customHeight="1" x14ac:dyDescent="0.3">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327"/>
      <c r="AD79" s="327"/>
      <c r="AE79" s="327"/>
    </row>
    <row r="80" spans="1:31" ht="10.5" customHeight="1" x14ac:dyDescent="0.3">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327"/>
      <c r="AD80" s="327"/>
      <c r="AE80" s="327"/>
    </row>
    <row r="81" spans="1:31" ht="10.5" customHeight="1" x14ac:dyDescent="0.3">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327"/>
      <c r="AD81" s="327"/>
      <c r="AE81" s="327"/>
    </row>
    <row r="82" spans="1:31" ht="10.5" customHeight="1" x14ac:dyDescent="0.3">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327"/>
      <c r="AD82" s="327"/>
      <c r="AE82" s="327"/>
    </row>
    <row r="83" spans="1:31" ht="10.5" customHeight="1" x14ac:dyDescent="0.2">
      <c r="A83" s="327"/>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c r="AD83" s="327"/>
      <c r="AE83" s="327"/>
    </row>
    <row r="84" spans="1:31" ht="10.5" customHeight="1" x14ac:dyDescent="0.2">
      <c r="A84" s="327"/>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c r="AE84" s="327"/>
    </row>
    <row r="85" spans="1:31" ht="10.5" customHeight="1" x14ac:dyDescent="0.2">
      <c r="A85" s="327"/>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c r="AE85" s="327"/>
    </row>
    <row r="86" spans="1:31" ht="10.5" customHeight="1" x14ac:dyDescent="0.2">
      <c r="A86" s="327"/>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c r="AE86" s="327"/>
    </row>
    <row r="87" spans="1:31" ht="10.5" customHeight="1" x14ac:dyDescent="0.2">
      <c r="A87" s="327"/>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327"/>
    </row>
    <row r="88" spans="1:31" ht="10.5" customHeight="1" x14ac:dyDescent="0.2">
      <c r="A88" s="327"/>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c r="AE88" s="327"/>
    </row>
    <row r="89" spans="1:31" ht="10.5" customHeight="1" x14ac:dyDescent="0.2">
      <c r="A89" s="327"/>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327"/>
    </row>
    <row r="90" spans="1:31" ht="10.5" customHeight="1" x14ac:dyDescent="0.2">
      <c r="A90" s="327"/>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c r="AE90" s="327"/>
    </row>
    <row r="91" spans="1:31" ht="10.5" customHeight="1" x14ac:dyDescent="0.2">
      <c r="A91" s="327"/>
      <c r="B91" s="327"/>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c r="AA91" s="327"/>
      <c r="AB91" s="327"/>
      <c r="AC91" s="327"/>
      <c r="AD91" s="327"/>
      <c r="AE91" s="327"/>
    </row>
    <row r="92" spans="1:31" ht="10.5" customHeight="1" x14ac:dyDescent="0.2">
      <c r="A92" s="327"/>
      <c r="B92" s="327"/>
      <c r="C92" s="327"/>
      <c r="D92" s="327"/>
      <c r="E92" s="327"/>
      <c r="F92" s="327"/>
      <c r="G92" s="327"/>
      <c r="H92" s="327"/>
      <c r="I92" s="327"/>
      <c r="J92" s="327"/>
      <c r="K92" s="327"/>
      <c r="L92" s="327"/>
      <c r="M92" s="327"/>
      <c r="N92" s="327"/>
      <c r="O92" s="327"/>
      <c r="P92" s="327"/>
      <c r="Q92" s="327"/>
      <c r="R92" s="327"/>
      <c r="S92" s="327"/>
      <c r="T92" s="327"/>
      <c r="U92" s="327"/>
      <c r="V92" s="327"/>
      <c r="W92" s="327"/>
      <c r="X92" s="327"/>
      <c r="Y92" s="327"/>
      <c r="Z92" s="327"/>
      <c r="AA92" s="327"/>
      <c r="AB92" s="327"/>
      <c r="AC92" s="327"/>
      <c r="AD92" s="327"/>
      <c r="AE92" s="327"/>
    </row>
    <row r="93" spans="1:31" ht="10.5" customHeight="1" x14ac:dyDescent="0.2">
      <c r="A93" s="327"/>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c r="AE93" s="327"/>
    </row>
    <row r="94" spans="1:31" ht="10.5" customHeight="1" x14ac:dyDescent="0.2">
      <c r="A94" s="327"/>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327"/>
      <c r="AE94" s="327"/>
    </row>
    <row r="95" spans="1:31" ht="10.5" customHeight="1" x14ac:dyDescent="0.2">
      <c r="A95" s="327"/>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327"/>
      <c r="AE95" s="327"/>
    </row>
    <row r="96" spans="1:31" ht="10.5" customHeight="1" x14ac:dyDescent="0.2">
      <c r="A96" s="327"/>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c r="AE96" s="327"/>
    </row>
    <row r="97" spans="1:31" ht="10.5" customHeight="1" x14ac:dyDescent="0.2">
      <c r="A97" s="327"/>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c r="AE97" s="327"/>
    </row>
    <row r="98" spans="1:31" ht="10.5" customHeight="1" x14ac:dyDescent="0.2">
      <c r="A98" s="327"/>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c r="AD98" s="327"/>
      <c r="AE98" s="327"/>
    </row>
    <row r="99" spans="1:31" ht="10.5" customHeight="1" x14ac:dyDescent="0.2">
      <c r="A99" s="327"/>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c r="AE99" s="327"/>
    </row>
    <row r="100" spans="1:31" ht="10.5" customHeight="1" x14ac:dyDescent="0.2">
      <c r="A100" s="327"/>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c r="AE100" s="327"/>
    </row>
    <row r="101" spans="1:31" ht="10.5" customHeight="1" x14ac:dyDescent="0.2">
      <c r="A101" s="327"/>
      <c r="B101" s="327"/>
      <c r="C101" s="327"/>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c r="AE101" s="327"/>
    </row>
    <row r="102" spans="1:31" ht="10.5" customHeight="1" x14ac:dyDescent="0.2">
      <c r="A102" s="327"/>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327"/>
      <c r="AE102" s="327"/>
    </row>
    <row r="103" spans="1:31" ht="10.5" customHeight="1" x14ac:dyDescent="0.2">
      <c r="A103" s="327"/>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327"/>
      <c r="AE103" s="327"/>
    </row>
    <row r="104" spans="1:31" ht="10.5" customHeight="1" x14ac:dyDescent="0.2">
      <c r="A104" s="327"/>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c r="AE104" s="327"/>
    </row>
    <row r="105" spans="1:31" ht="10.5" customHeight="1" x14ac:dyDescent="0.2">
      <c r="A105" s="327"/>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c r="AC105" s="327"/>
      <c r="AD105" s="327"/>
      <c r="AE105" s="327"/>
    </row>
    <row r="106" spans="1:31" ht="10.5" customHeight="1" x14ac:dyDescent="0.2">
      <c r="A106" s="327"/>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327"/>
      <c r="AE106" s="327"/>
    </row>
    <row r="107" spans="1:31" ht="10.5" customHeight="1" x14ac:dyDescent="0.2">
      <c r="A107" s="327"/>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c r="AE107" s="327"/>
    </row>
    <row r="108" spans="1:31" ht="10.5" customHeight="1" x14ac:dyDescent="0.2">
      <c r="A108" s="327"/>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327"/>
      <c r="AE108" s="327"/>
    </row>
    <row r="109" spans="1:31" ht="10.5" customHeight="1" x14ac:dyDescent="0.2">
      <c r="A109" s="327"/>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c r="AD109" s="327"/>
      <c r="AE109" s="327"/>
    </row>
    <row r="110" spans="1:31" ht="10.5" customHeight="1" x14ac:dyDescent="0.2">
      <c r="A110" s="327"/>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327"/>
      <c r="AE110" s="327"/>
    </row>
    <row r="111" spans="1:31" ht="10.5" customHeight="1" x14ac:dyDescent="0.2">
      <c r="A111" s="327"/>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327"/>
      <c r="AE111" s="327"/>
    </row>
    <row r="112" spans="1:31" ht="10.5" customHeight="1" x14ac:dyDescent="0.2">
      <c r="A112" s="327"/>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327"/>
      <c r="AE112" s="327"/>
    </row>
    <row r="113" spans="1:31" ht="10.5" customHeight="1" x14ac:dyDescent="0.2">
      <c r="A113" s="327"/>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327"/>
      <c r="AE113" s="327"/>
    </row>
    <row r="114" spans="1:31" ht="10.5" customHeight="1" x14ac:dyDescent="0.2">
      <c r="A114" s="327"/>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327"/>
      <c r="AE114" s="327"/>
    </row>
    <row r="115" spans="1:31" ht="10.5" customHeight="1" x14ac:dyDescent="0.2">
      <c r="A115" s="327"/>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327"/>
      <c r="AE115" s="327"/>
    </row>
    <row r="116" spans="1:31" ht="10.5" customHeight="1" x14ac:dyDescent="0.2">
      <c r="A116" s="327"/>
      <c r="B116" s="327"/>
      <c r="C116" s="327"/>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c r="AE116" s="327"/>
    </row>
    <row r="117" spans="1:31" ht="10.5" customHeight="1" x14ac:dyDescent="0.2">
      <c r="A117" s="327"/>
      <c r="B117" s="327"/>
      <c r="C117" s="327"/>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c r="AE117" s="327"/>
    </row>
    <row r="118" spans="1:31" ht="10.5" customHeight="1" x14ac:dyDescent="0.2">
      <c r="A118" s="327"/>
      <c r="B118" s="327"/>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c r="AE118" s="327"/>
    </row>
    <row r="119" spans="1:31" ht="10.5" customHeight="1" x14ac:dyDescent="0.2">
      <c r="A119" s="327"/>
      <c r="B119" s="327"/>
      <c r="C119" s="327"/>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c r="AE119" s="327"/>
    </row>
    <row r="120" spans="1:31" ht="10.5" customHeight="1" x14ac:dyDescent="0.2">
      <c r="A120" s="327"/>
      <c r="B120" s="327"/>
      <c r="C120" s="327"/>
      <c r="D120" s="327"/>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c r="AA120" s="327"/>
      <c r="AB120" s="327"/>
      <c r="AC120" s="327"/>
      <c r="AD120" s="327"/>
      <c r="AE120" s="327"/>
    </row>
    <row r="121" spans="1:31" ht="10.5" customHeight="1" x14ac:dyDescent="0.2">
      <c r="A121" s="327"/>
      <c r="B121" s="327"/>
      <c r="C121" s="327"/>
      <c r="D121" s="327"/>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c r="AA121" s="327"/>
      <c r="AB121" s="327"/>
      <c r="AC121" s="327"/>
      <c r="AD121" s="327"/>
      <c r="AE121" s="327"/>
    </row>
    <row r="122" spans="1:31" ht="10.5" customHeight="1" x14ac:dyDescent="0.2">
      <c r="A122" s="327"/>
      <c r="B122" s="327"/>
      <c r="C122" s="327"/>
      <c r="D122" s="327"/>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c r="AA122" s="327"/>
      <c r="AB122" s="327"/>
      <c r="AC122" s="327"/>
      <c r="AD122" s="327"/>
      <c r="AE122" s="327"/>
    </row>
    <row r="123" spans="1:31" ht="10.5" customHeight="1" x14ac:dyDescent="0.2">
      <c r="A123" s="327"/>
      <c r="B123" s="327"/>
      <c r="C123" s="327"/>
      <c r="D123" s="327"/>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c r="AA123" s="327"/>
      <c r="AB123" s="327"/>
      <c r="AC123" s="327"/>
      <c r="AD123" s="327"/>
      <c r="AE123" s="327"/>
    </row>
    <row r="124" spans="1:31" ht="10.5" customHeight="1" x14ac:dyDescent="0.2">
      <c r="A124" s="327"/>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row>
    <row r="125" spans="1:31" ht="10.5" customHeight="1" x14ac:dyDescent="0.2">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c r="AA125" s="327"/>
      <c r="AB125" s="327"/>
      <c r="AC125" s="327"/>
      <c r="AD125" s="327"/>
      <c r="AE125" s="327"/>
    </row>
    <row r="126" spans="1:31" ht="10.5" customHeight="1" x14ac:dyDescent="0.2">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c r="AD126" s="327"/>
      <c r="AE126" s="327"/>
    </row>
    <row r="127" spans="1:31" ht="10.5" customHeight="1" x14ac:dyDescent="0.2">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c r="AA127" s="327"/>
      <c r="AB127" s="327"/>
      <c r="AC127" s="327"/>
      <c r="AD127" s="327"/>
      <c r="AE127" s="327"/>
    </row>
    <row r="128" spans="1:31" ht="10.5" customHeight="1" x14ac:dyDescent="0.2">
      <c r="A128" s="327"/>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c r="AA128" s="327"/>
      <c r="AB128" s="327"/>
      <c r="AC128" s="327"/>
      <c r="AD128" s="327"/>
      <c r="AE128" s="327"/>
    </row>
    <row r="129" spans="1:31" ht="10.5" customHeight="1" x14ac:dyDescent="0.2">
      <c r="A129" s="327"/>
      <c r="B129" s="327"/>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c r="AE129" s="327"/>
    </row>
    <row r="130" spans="1:31" ht="10.5" customHeight="1" x14ac:dyDescent="0.2">
      <c r="A130" s="327"/>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c r="AA130" s="327"/>
      <c r="AB130" s="327"/>
      <c r="AC130" s="327"/>
      <c r="AD130" s="327"/>
      <c r="AE130" s="327"/>
    </row>
    <row r="131" spans="1:31" ht="10.5" customHeight="1" x14ac:dyDescent="0.2">
      <c r="A131" s="327"/>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c r="AA131" s="327"/>
      <c r="AB131" s="327"/>
      <c r="AC131" s="327"/>
      <c r="AD131" s="327"/>
      <c r="AE131" s="327"/>
    </row>
    <row r="132" spans="1:31" ht="10.5" customHeight="1" x14ac:dyDescent="0.2">
      <c r="A132" s="327"/>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c r="AA132" s="327"/>
      <c r="AB132" s="327"/>
      <c r="AC132" s="327"/>
      <c r="AD132" s="327"/>
      <c r="AE132" s="327"/>
    </row>
    <row r="133" spans="1:31" ht="10.5" customHeight="1" x14ac:dyDescent="0.2">
      <c r="A133" s="327"/>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c r="AA133" s="327"/>
      <c r="AB133" s="327"/>
      <c r="AC133" s="327"/>
      <c r="AD133" s="327"/>
      <c r="AE133" s="327"/>
    </row>
    <row r="134" spans="1:31" ht="10.5" customHeight="1" x14ac:dyDescent="0.2">
      <c r="A134" s="327"/>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c r="AA134" s="327"/>
      <c r="AB134" s="327"/>
      <c r="AC134" s="327"/>
      <c r="AD134" s="327"/>
      <c r="AE134" s="327"/>
    </row>
    <row r="135" spans="1:31" ht="10.5" customHeight="1" x14ac:dyDescent="0.2">
      <c r="A135" s="327"/>
      <c r="B135" s="327"/>
      <c r="C135" s="327"/>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c r="AA135" s="327"/>
      <c r="AB135" s="327"/>
      <c r="AC135" s="327"/>
      <c r="AD135" s="327"/>
      <c r="AE135" s="327"/>
    </row>
    <row r="136" spans="1:31" ht="10.5" customHeight="1" x14ac:dyDescent="0.2">
      <c r="A136" s="327"/>
      <c r="B136" s="327"/>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c r="AA136" s="327"/>
      <c r="AB136" s="327"/>
      <c r="AC136" s="327"/>
      <c r="AD136" s="327"/>
      <c r="AE136" s="327"/>
    </row>
    <row r="137" spans="1:31" ht="10.5" customHeight="1" x14ac:dyDescent="0.2">
      <c r="A137" s="327"/>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c r="AA137" s="327"/>
      <c r="AB137" s="327"/>
      <c r="AC137" s="327"/>
      <c r="AD137" s="327"/>
      <c r="AE137" s="327"/>
    </row>
    <row r="138" spans="1:31" ht="10.5" customHeight="1" x14ac:dyDescent="0.2">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c r="AA138" s="327"/>
      <c r="AB138" s="327"/>
      <c r="AC138" s="327"/>
      <c r="AD138" s="327"/>
      <c r="AE138" s="327"/>
    </row>
    <row r="139" spans="1:31" ht="10.5" customHeight="1" x14ac:dyDescent="0.2">
      <c r="A139" s="327"/>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c r="AA139" s="327"/>
      <c r="AB139" s="327"/>
      <c r="AC139" s="327"/>
      <c r="AD139" s="327"/>
      <c r="AE139" s="327"/>
    </row>
    <row r="140" spans="1:31" ht="10.5" customHeight="1" x14ac:dyDescent="0.2">
      <c r="A140" s="327"/>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c r="AA140" s="327"/>
      <c r="AB140" s="327"/>
      <c r="AC140" s="327"/>
      <c r="AD140" s="327"/>
      <c r="AE140" s="327"/>
    </row>
    <row r="141" spans="1:31" ht="10.5" customHeight="1" x14ac:dyDescent="0.2">
      <c r="A141" s="327"/>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c r="AE141" s="327"/>
    </row>
    <row r="142" spans="1:31" ht="10.5" customHeight="1" x14ac:dyDescent="0.2">
      <c r="A142" s="327"/>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c r="AA142" s="327"/>
      <c r="AB142" s="327"/>
      <c r="AC142" s="327"/>
      <c r="AD142" s="327"/>
      <c r="AE142" s="327"/>
    </row>
    <row r="143" spans="1:31" ht="10.5" customHeight="1" x14ac:dyDescent="0.2">
      <c r="A143" s="327"/>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c r="AA143" s="327"/>
      <c r="AB143" s="327"/>
      <c r="AC143" s="327"/>
      <c r="AD143" s="327"/>
      <c r="AE143" s="327"/>
    </row>
    <row r="144" spans="1:31" ht="10.5" customHeight="1" x14ac:dyDescent="0.2">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c r="AA144" s="327"/>
      <c r="AB144" s="327"/>
      <c r="AC144" s="327"/>
      <c r="AD144" s="327"/>
      <c r="AE144" s="327"/>
    </row>
    <row r="145" spans="1:31" ht="10.5" customHeight="1" x14ac:dyDescent="0.2">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c r="AA145" s="327"/>
      <c r="AB145" s="327"/>
      <c r="AC145" s="327"/>
      <c r="AD145" s="327"/>
      <c r="AE145" s="327"/>
    </row>
    <row r="146" spans="1:31" ht="10.5" customHeight="1" x14ac:dyDescent="0.2">
      <c r="A146" s="327"/>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c r="AA146" s="327"/>
      <c r="AB146" s="327"/>
      <c r="AC146" s="327"/>
      <c r="AD146" s="327"/>
      <c r="AE146" s="327"/>
    </row>
    <row r="147" spans="1:31" ht="10.5" customHeight="1" x14ac:dyDescent="0.2">
      <c r="A147" s="327"/>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327"/>
      <c r="AE147" s="327"/>
    </row>
    <row r="148" spans="1:31" ht="10.5" customHeight="1" x14ac:dyDescent="0.2">
      <c r="A148" s="327"/>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c r="AA148" s="327"/>
      <c r="AB148" s="327"/>
      <c r="AC148" s="327"/>
      <c r="AD148" s="327"/>
      <c r="AE148" s="327"/>
    </row>
    <row r="149" spans="1:31" ht="10.5" customHeight="1" x14ac:dyDescent="0.2">
      <c r="A149" s="327"/>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c r="AA149" s="327"/>
      <c r="AB149" s="327"/>
      <c r="AC149" s="327"/>
      <c r="AD149" s="327"/>
      <c r="AE149" s="327"/>
    </row>
    <row r="150" spans="1:31" ht="10.5" customHeight="1" x14ac:dyDescent="0.2">
      <c r="A150" s="327"/>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c r="AA150" s="327"/>
      <c r="AB150" s="327"/>
      <c r="AC150" s="327"/>
      <c r="AD150" s="327"/>
      <c r="AE150" s="327"/>
    </row>
    <row r="151" spans="1:31" ht="10.5" customHeight="1" x14ac:dyDescent="0.2">
      <c r="A151" s="327"/>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c r="AA151" s="327"/>
      <c r="AB151" s="327"/>
      <c r="AC151" s="327"/>
      <c r="AD151" s="327"/>
      <c r="AE151" s="327"/>
    </row>
    <row r="152" spans="1:31" ht="10.5" customHeight="1" x14ac:dyDescent="0.2">
      <c r="A152" s="327"/>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c r="AD152" s="327"/>
      <c r="AE152" s="327"/>
    </row>
    <row r="153" spans="1:31" ht="10.5" customHeight="1" x14ac:dyDescent="0.2">
      <c r="A153" s="327"/>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c r="AE153" s="327"/>
    </row>
    <row r="154" spans="1:31" ht="10.5" customHeight="1" x14ac:dyDescent="0.2">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c r="AA154" s="327"/>
      <c r="AB154" s="327"/>
      <c r="AC154" s="327"/>
      <c r="AD154" s="327"/>
      <c r="AE154" s="327"/>
    </row>
    <row r="155" spans="1:31" ht="10.5" customHeight="1" x14ac:dyDescent="0.2">
      <c r="A155" s="327"/>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c r="AA155" s="327"/>
      <c r="AB155" s="327"/>
      <c r="AC155" s="327"/>
      <c r="AD155" s="327"/>
      <c r="AE155" s="327"/>
    </row>
    <row r="156" spans="1:31" ht="10.5" customHeight="1" x14ac:dyDescent="0.2">
      <c r="A156" s="327"/>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c r="AA156" s="327"/>
      <c r="AB156" s="327"/>
      <c r="AC156" s="327"/>
      <c r="AD156" s="327"/>
      <c r="AE156" s="327"/>
    </row>
    <row r="157" spans="1:31" ht="10.5" customHeight="1" x14ac:dyDescent="0.2">
      <c r="A157" s="327"/>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c r="AA157" s="327"/>
      <c r="AB157" s="327"/>
      <c r="AC157" s="327"/>
      <c r="AD157" s="327"/>
      <c r="AE157" s="327"/>
    </row>
    <row r="158" spans="1:31" ht="10.5" customHeight="1" x14ac:dyDescent="0.2">
      <c r="A158" s="327"/>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c r="AA158" s="327"/>
      <c r="AB158" s="327"/>
      <c r="AC158" s="327"/>
      <c r="AD158" s="327"/>
      <c r="AE158" s="327"/>
    </row>
    <row r="159" spans="1:31" ht="10.5" customHeight="1" x14ac:dyDescent="0.2">
      <c r="A159" s="327"/>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c r="AA159" s="327"/>
      <c r="AB159" s="327"/>
      <c r="AC159" s="327"/>
      <c r="AD159" s="327"/>
      <c r="AE159" s="327"/>
    </row>
    <row r="160" spans="1:31" ht="10.5" customHeight="1" x14ac:dyDescent="0.2">
      <c r="A160" s="327"/>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c r="AA160" s="327"/>
      <c r="AB160" s="327"/>
      <c r="AC160" s="327"/>
      <c r="AD160" s="327"/>
      <c r="AE160" s="327"/>
    </row>
    <row r="161" spans="1:31" ht="10.5" customHeight="1" x14ac:dyDescent="0.2">
      <c r="A161" s="327"/>
      <c r="B161" s="327"/>
      <c r="C161" s="327"/>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c r="AA161" s="327"/>
      <c r="AB161" s="327"/>
      <c r="AC161" s="327"/>
      <c r="AD161" s="327"/>
      <c r="AE161" s="327"/>
    </row>
    <row r="162" spans="1:31" ht="10.5" customHeight="1" x14ac:dyDescent="0.2">
      <c r="A162" s="327"/>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c r="AA162" s="327"/>
      <c r="AB162" s="327"/>
      <c r="AC162" s="327"/>
      <c r="AD162" s="327"/>
      <c r="AE162" s="327"/>
    </row>
    <row r="163" spans="1:31" ht="10.5" customHeight="1" x14ac:dyDescent="0.2">
      <c r="A163" s="327"/>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c r="AA163" s="327"/>
      <c r="AB163" s="327"/>
      <c r="AC163" s="327"/>
      <c r="AD163" s="327"/>
      <c r="AE163" s="327"/>
    </row>
    <row r="164" spans="1:31" ht="10.5" customHeight="1" x14ac:dyDescent="0.2">
      <c r="A164" s="327"/>
      <c r="B164" s="327"/>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c r="AA164" s="327"/>
      <c r="AB164" s="327"/>
      <c r="AC164" s="327"/>
      <c r="AD164" s="327"/>
      <c r="AE164" s="327"/>
    </row>
    <row r="165" spans="1:31" ht="10.5" customHeight="1" x14ac:dyDescent="0.2">
      <c r="A165" s="327"/>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327"/>
      <c r="AE165" s="327"/>
    </row>
    <row r="166" spans="1:31" ht="10.5" customHeight="1" x14ac:dyDescent="0.2">
      <c r="A166" s="327"/>
      <c r="B166" s="327"/>
      <c r="C166" s="327"/>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c r="AA166" s="327"/>
      <c r="AB166" s="327"/>
      <c r="AC166" s="327"/>
      <c r="AD166" s="327"/>
      <c r="AE166" s="327"/>
    </row>
    <row r="167" spans="1:31" ht="10.5" customHeight="1" x14ac:dyDescent="0.2">
      <c r="A167" s="327"/>
      <c r="B167" s="327"/>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c r="AA167" s="327"/>
      <c r="AB167" s="327"/>
      <c r="AC167" s="327"/>
      <c r="AD167" s="327"/>
      <c r="AE167" s="327"/>
    </row>
    <row r="168" spans="1:31" ht="10.5" customHeight="1" x14ac:dyDescent="0.2">
      <c r="A168" s="327"/>
      <c r="B168" s="327"/>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c r="AA168" s="327"/>
      <c r="AB168" s="327"/>
      <c r="AC168" s="327"/>
      <c r="AD168" s="327"/>
      <c r="AE168" s="327"/>
    </row>
    <row r="169" spans="1:31" ht="10.5" customHeight="1" x14ac:dyDescent="0.2">
      <c r="A169" s="327"/>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c r="AA169" s="327"/>
      <c r="AB169" s="327"/>
      <c r="AC169" s="327"/>
      <c r="AD169" s="327"/>
      <c r="AE169" s="327"/>
    </row>
    <row r="170" spans="1:31" ht="10.5" customHeight="1" x14ac:dyDescent="0.2">
      <c r="A170" s="327"/>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c r="AA170" s="327"/>
      <c r="AB170" s="327"/>
      <c r="AC170" s="327"/>
      <c r="AD170" s="327"/>
      <c r="AE170" s="327"/>
    </row>
    <row r="171" spans="1:31" ht="10.5" customHeight="1" x14ac:dyDescent="0.2">
      <c r="A171" s="327"/>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c r="AA171" s="327"/>
      <c r="AB171" s="327"/>
      <c r="AC171" s="327"/>
      <c r="AD171" s="327"/>
      <c r="AE171" s="327"/>
    </row>
    <row r="172" spans="1:31" ht="10.5" customHeight="1" x14ac:dyDescent="0.2">
      <c r="A172" s="327"/>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c r="AA172" s="327"/>
      <c r="AB172" s="327"/>
      <c r="AC172" s="327"/>
      <c r="AD172" s="327"/>
      <c r="AE172" s="327"/>
    </row>
    <row r="173" spans="1:31" ht="10.5" customHeight="1" x14ac:dyDescent="0.2">
      <c r="A173" s="327"/>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7"/>
      <c r="AD173" s="327"/>
      <c r="AE173" s="327"/>
    </row>
    <row r="174" spans="1:31" ht="10.5" customHeight="1" x14ac:dyDescent="0.2">
      <c r="A174" s="327"/>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c r="AC174" s="327"/>
      <c r="AD174" s="327"/>
      <c r="AE174" s="327"/>
    </row>
    <row r="175" spans="1:31" ht="10.5" customHeight="1" x14ac:dyDescent="0.2">
      <c r="A175" s="327"/>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c r="AC175" s="327"/>
      <c r="AD175" s="327"/>
      <c r="AE175" s="327"/>
    </row>
    <row r="176" spans="1:31" ht="10.5" customHeight="1" x14ac:dyDescent="0.2">
      <c r="A176" s="327"/>
      <c r="B176" s="327"/>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c r="AA176" s="327"/>
      <c r="AB176" s="327"/>
      <c r="AC176" s="327"/>
      <c r="AD176" s="327"/>
      <c r="AE176" s="327"/>
    </row>
    <row r="177" spans="1:31" ht="10.5" customHeight="1" x14ac:dyDescent="0.2">
      <c r="A177" s="327"/>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c r="AE177" s="327"/>
    </row>
    <row r="178" spans="1:31" ht="10.5" customHeight="1" x14ac:dyDescent="0.2">
      <c r="A178" s="327"/>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c r="AA178" s="327"/>
      <c r="AB178" s="327"/>
      <c r="AC178" s="327"/>
      <c r="AD178" s="327"/>
      <c r="AE178" s="327"/>
    </row>
    <row r="179" spans="1:31" ht="10.5" customHeight="1" x14ac:dyDescent="0.2">
      <c r="A179" s="327"/>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c r="AC179" s="327"/>
      <c r="AD179" s="327"/>
      <c r="AE179" s="327"/>
    </row>
    <row r="180" spans="1:31" ht="10.5" customHeight="1" x14ac:dyDescent="0.2">
      <c r="A180" s="327"/>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327"/>
      <c r="AE180" s="327"/>
    </row>
    <row r="181" spans="1:31" ht="10.5" customHeight="1" x14ac:dyDescent="0.2">
      <c r="A181" s="327"/>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c r="AB181" s="327"/>
      <c r="AC181" s="327"/>
      <c r="AD181" s="327"/>
      <c r="AE181" s="327"/>
    </row>
    <row r="182" spans="1:31" ht="10.5" customHeight="1" x14ac:dyDescent="0.2">
      <c r="A182" s="327"/>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c r="AB182" s="327"/>
      <c r="AC182" s="327"/>
      <c r="AD182" s="327"/>
      <c r="AE182" s="327"/>
    </row>
    <row r="183" spans="1:31" ht="10.5" customHeight="1" x14ac:dyDescent="0.2">
      <c r="A183" s="327"/>
      <c r="B183" s="327"/>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c r="AA183" s="327"/>
      <c r="AB183" s="327"/>
      <c r="AC183" s="327"/>
      <c r="AD183" s="327"/>
      <c r="AE183" s="327"/>
    </row>
    <row r="184" spans="1:31" ht="10.5" customHeight="1" x14ac:dyDescent="0.2">
      <c r="A184" s="327"/>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c r="AC184" s="327"/>
      <c r="AD184" s="327"/>
      <c r="AE184" s="327"/>
    </row>
    <row r="185" spans="1:31" ht="10.5" customHeight="1" x14ac:dyDescent="0.2">
      <c r="A185" s="327"/>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c r="AB185" s="327"/>
      <c r="AC185" s="327"/>
      <c r="AD185" s="327"/>
      <c r="AE185" s="327"/>
    </row>
    <row r="186" spans="1:31" ht="10.5" customHeight="1" x14ac:dyDescent="0.2">
      <c r="A186" s="327"/>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c r="AE186" s="327"/>
    </row>
    <row r="187" spans="1:31" ht="10.5" customHeight="1" x14ac:dyDescent="0.2">
      <c r="A187" s="327"/>
      <c r="B187" s="327"/>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c r="AA187" s="327"/>
      <c r="AB187" s="327"/>
      <c r="AC187" s="327"/>
      <c r="AD187" s="327"/>
      <c r="AE187" s="327"/>
    </row>
    <row r="188" spans="1:31" ht="10.5" customHeight="1" x14ac:dyDescent="0.2">
      <c r="A188" s="327"/>
      <c r="B188" s="327"/>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c r="AE188" s="327"/>
    </row>
    <row r="189" spans="1:31" ht="10.5" customHeight="1" x14ac:dyDescent="0.2">
      <c r="A189" s="327"/>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c r="AB189" s="327"/>
      <c r="AC189" s="327"/>
      <c r="AD189" s="327"/>
      <c r="AE189" s="327"/>
    </row>
    <row r="190" spans="1:31" ht="10.5" customHeight="1" x14ac:dyDescent="0.2">
      <c r="A190" s="327"/>
      <c r="B190" s="327"/>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c r="AA190" s="327"/>
      <c r="AB190" s="327"/>
      <c r="AC190" s="327"/>
      <c r="AD190" s="327"/>
      <c r="AE190" s="327"/>
    </row>
    <row r="191" spans="1:31" ht="10.5" customHeight="1" x14ac:dyDescent="0.2">
      <c r="A191" s="327"/>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c r="AB191" s="327"/>
      <c r="AC191" s="327"/>
      <c r="AD191" s="327"/>
      <c r="AE191" s="327"/>
    </row>
    <row r="192" spans="1:31" ht="10.5" customHeight="1" x14ac:dyDescent="0.2">
      <c r="A192" s="327"/>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c r="AE192" s="327"/>
    </row>
    <row r="193" spans="1:31" ht="10.5" customHeight="1" x14ac:dyDescent="0.2">
      <c r="A193" s="327"/>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c r="AB193" s="327"/>
      <c r="AC193" s="327"/>
      <c r="AD193" s="327"/>
      <c r="AE193" s="327"/>
    </row>
    <row r="194" spans="1:31" ht="10.5" customHeight="1" x14ac:dyDescent="0.2">
      <c r="A194" s="327"/>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c r="AA194" s="327"/>
      <c r="AB194" s="327"/>
      <c r="AC194" s="327"/>
      <c r="AD194" s="327"/>
      <c r="AE194" s="327"/>
    </row>
    <row r="195" spans="1:31" ht="10.5" customHeight="1" x14ac:dyDescent="0.2">
      <c r="A195" s="327"/>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c r="AB195" s="327"/>
      <c r="AC195" s="327"/>
      <c r="AD195" s="327"/>
      <c r="AE195" s="327"/>
    </row>
    <row r="196" spans="1:31" ht="10.5" customHeight="1" x14ac:dyDescent="0.2">
      <c r="A196" s="327"/>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327"/>
      <c r="AE196" s="327"/>
    </row>
    <row r="197" spans="1:31" ht="10.5" customHeight="1" x14ac:dyDescent="0.2">
      <c r="A197" s="327"/>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c r="AE197" s="327"/>
    </row>
    <row r="198" spans="1:31" ht="10.5" customHeight="1" x14ac:dyDescent="0.2">
      <c r="A198" s="327"/>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c r="AE198" s="327"/>
    </row>
    <row r="199" spans="1:31" ht="10.5" customHeight="1" x14ac:dyDescent="0.2">
      <c r="A199" s="327"/>
      <c r="B199" s="327"/>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c r="AA199" s="327"/>
      <c r="AB199" s="327"/>
      <c r="AC199" s="327"/>
      <c r="AD199" s="327"/>
      <c r="AE199" s="327"/>
    </row>
    <row r="200" spans="1:31" ht="10.5" customHeight="1" x14ac:dyDescent="0.2">
      <c r="A200" s="327"/>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327"/>
      <c r="AE200" s="327"/>
    </row>
    <row r="201" spans="1:31" ht="10.5" customHeight="1" x14ac:dyDescent="0.2">
      <c r="A201" s="327"/>
      <c r="B201" s="327"/>
      <c r="C201" s="327"/>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c r="AA201" s="327"/>
      <c r="AB201" s="327"/>
      <c r="AC201" s="327"/>
      <c r="AD201" s="327"/>
      <c r="AE201" s="327"/>
    </row>
    <row r="202" spans="1:31" ht="10.5" customHeight="1" x14ac:dyDescent="0.2">
      <c r="A202" s="327"/>
      <c r="B202" s="327"/>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c r="AA202" s="327"/>
      <c r="AB202" s="327"/>
      <c r="AC202" s="327"/>
      <c r="AD202" s="327"/>
      <c r="AE202" s="327"/>
    </row>
    <row r="203" spans="1:31" ht="10.5" customHeight="1" x14ac:dyDescent="0.2">
      <c r="A203" s="327"/>
      <c r="B203" s="327"/>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c r="AA203" s="327"/>
      <c r="AB203" s="327"/>
      <c r="AC203" s="327"/>
      <c r="AD203" s="327"/>
      <c r="AE203" s="327"/>
    </row>
    <row r="204" spans="1:31" ht="10.5" customHeight="1" x14ac:dyDescent="0.2">
      <c r="A204" s="327"/>
      <c r="B204" s="327"/>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c r="AB204" s="327"/>
      <c r="AC204" s="327"/>
      <c r="AD204" s="327"/>
      <c r="AE204" s="327"/>
    </row>
    <row r="205" spans="1:31" ht="10.5" customHeight="1" x14ac:dyDescent="0.2">
      <c r="A205" s="327"/>
      <c r="B205" s="327"/>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c r="AA205" s="327"/>
      <c r="AB205" s="327"/>
      <c r="AC205" s="327"/>
      <c r="AD205" s="327"/>
      <c r="AE205" s="327"/>
    </row>
    <row r="206" spans="1:31" ht="10.5" customHeight="1" x14ac:dyDescent="0.2">
      <c r="A206" s="327"/>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7"/>
      <c r="AD206" s="327"/>
      <c r="AE206" s="327"/>
    </row>
    <row r="207" spans="1:31" ht="10.5" customHeight="1" x14ac:dyDescent="0.2">
      <c r="A207" s="327"/>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c r="AC207" s="327"/>
      <c r="AD207" s="327"/>
      <c r="AE207" s="327"/>
    </row>
    <row r="208" spans="1:31" ht="10.5" customHeight="1" x14ac:dyDescent="0.2">
      <c r="A208" s="327"/>
      <c r="B208" s="327"/>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c r="AA208" s="327"/>
      <c r="AB208" s="327"/>
      <c r="AC208" s="327"/>
      <c r="AD208" s="327"/>
      <c r="AE208" s="327"/>
    </row>
    <row r="209" spans="1:31" ht="10.5" customHeight="1" x14ac:dyDescent="0.2">
      <c r="A209" s="327"/>
      <c r="B209" s="327"/>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c r="AA209" s="327"/>
      <c r="AB209" s="327"/>
      <c r="AC209" s="327"/>
      <c r="AD209" s="327"/>
      <c r="AE209" s="327"/>
    </row>
    <row r="210" spans="1:31" ht="10.5" customHeight="1" x14ac:dyDescent="0.2">
      <c r="A210" s="327"/>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c r="AA210" s="327"/>
      <c r="AB210" s="327"/>
      <c r="AC210" s="327"/>
      <c r="AD210" s="327"/>
      <c r="AE210" s="327"/>
    </row>
    <row r="211" spans="1:31" ht="10.5" customHeight="1" x14ac:dyDescent="0.2">
      <c r="A211" s="327"/>
      <c r="B211" s="327"/>
      <c r="C211" s="327"/>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c r="AA211" s="327"/>
      <c r="AB211" s="327"/>
      <c r="AC211" s="327"/>
      <c r="AD211" s="327"/>
      <c r="AE211" s="327"/>
    </row>
    <row r="212" spans="1:31" ht="10.5" customHeight="1" x14ac:dyDescent="0.2">
      <c r="A212" s="327"/>
      <c r="B212" s="327"/>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c r="AA212" s="327"/>
      <c r="AB212" s="327"/>
      <c r="AC212" s="327"/>
      <c r="AD212" s="327"/>
      <c r="AE212" s="327"/>
    </row>
    <row r="213" spans="1:31" ht="10.5" customHeight="1" x14ac:dyDescent="0.2">
      <c r="A213" s="327"/>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327"/>
      <c r="AE213" s="327"/>
    </row>
    <row r="214" spans="1:31" ht="10.5" customHeight="1" x14ac:dyDescent="0.2">
      <c r="A214" s="327"/>
      <c r="B214" s="327"/>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c r="AA214" s="327"/>
      <c r="AB214" s="327"/>
      <c r="AC214" s="327"/>
      <c r="AD214" s="327"/>
      <c r="AE214" s="327"/>
    </row>
    <row r="215" spans="1:31" ht="10.5" customHeight="1" x14ac:dyDescent="0.2">
      <c r="A215" s="327"/>
      <c r="B215" s="327"/>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c r="AA215" s="327"/>
      <c r="AB215" s="327"/>
      <c r="AC215" s="327"/>
      <c r="AD215" s="327"/>
      <c r="AE215" s="327"/>
    </row>
    <row r="216" spans="1:31" ht="10.5" customHeight="1" x14ac:dyDescent="0.2">
      <c r="A216" s="327"/>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7"/>
      <c r="AD216" s="327"/>
      <c r="AE216" s="327"/>
    </row>
    <row r="217" spans="1:31" ht="10.5" customHeight="1" x14ac:dyDescent="0.2">
      <c r="A217" s="327"/>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327"/>
      <c r="AB217" s="327"/>
      <c r="AC217" s="327"/>
      <c r="AD217" s="327"/>
      <c r="AE217" s="327"/>
    </row>
    <row r="218" spans="1:31" ht="10.5" customHeight="1" x14ac:dyDescent="0.2">
      <c r="A218" s="327"/>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c r="AA218" s="327"/>
      <c r="AB218" s="327"/>
      <c r="AC218" s="327"/>
      <c r="AD218" s="327"/>
      <c r="AE218" s="327"/>
    </row>
    <row r="219" spans="1:31" ht="10.5" customHeight="1" x14ac:dyDescent="0.2">
      <c r="A219" s="327"/>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327"/>
      <c r="AE219" s="327"/>
    </row>
    <row r="220" spans="1:31" ht="10.5" customHeight="1" x14ac:dyDescent="0.2">
      <c r="A220" s="327"/>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c r="AB220" s="327"/>
      <c r="AC220" s="327"/>
      <c r="AD220" s="327"/>
      <c r="AE220" s="327"/>
    </row>
    <row r="221" spans="1:31" ht="10.5" customHeight="1" x14ac:dyDescent="0.2">
      <c r="A221" s="327"/>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c r="AA221" s="327"/>
      <c r="AB221" s="327"/>
      <c r="AC221" s="327"/>
      <c r="AD221" s="327"/>
      <c r="AE221" s="327"/>
    </row>
    <row r="222" spans="1:31" ht="10.5" customHeight="1" x14ac:dyDescent="0.2">
      <c r="A222" s="327"/>
      <c r="B222" s="327"/>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c r="AA222" s="327"/>
      <c r="AB222" s="327"/>
      <c r="AC222" s="327"/>
      <c r="AD222" s="327"/>
      <c r="AE222" s="327"/>
    </row>
    <row r="223" spans="1:31" ht="10.5" customHeight="1" x14ac:dyDescent="0.2">
      <c r="A223" s="327"/>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c r="AA223" s="327"/>
      <c r="AB223" s="327"/>
      <c r="AC223" s="327"/>
      <c r="AD223" s="327"/>
      <c r="AE223" s="327"/>
    </row>
    <row r="224" spans="1:31" ht="10.5" customHeight="1" x14ac:dyDescent="0.2">
      <c r="A224" s="327"/>
      <c r="B224" s="327"/>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c r="AA224" s="327"/>
      <c r="AB224" s="327"/>
      <c r="AC224" s="327"/>
      <c r="AD224" s="327"/>
      <c r="AE224" s="327"/>
    </row>
    <row r="225" spans="1:31" ht="10.5" customHeight="1" x14ac:dyDescent="0.2">
      <c r="A225" s="327"/>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c r="AE225" s="327"/>
    </row>
    <row r="226" spans="1:31" ht="10.5" customHeight="1" x14ac:dyDescent="0.2">
      <c r="A226" s="327"/>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c r="AA226" s="327"/>
      <c r="AB226" s="327"/>
      <c r="AC226" s="327"/>
      <c r="AD226" s="327"/>
      <c r="AE226" s="327"/>
    </row>
    <row r="227" spans="1:31" ht="10.5" customHeight="1" x14ac:dyDescent="0.2">
      <c r="A227" s="327"/>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c r="AA227" s="327"/>
      <c r="AB227" s="327"/>
      <c r="AC227" s="327"/>
      <c r="AD227" s="327"/>
      <c r="AE227" s="327"/>
    </row>
    <row r="228" spans="1:31" ht="10.5" customHeight="1" x14ac:dyDescent="0.2">
      <c r="A228" s="327"/>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7"/>
      <c r="AD228" s="327"/>
      <c r="AE228" s="327"/>
    </row>
    <row r="229" spans="1:31" ht="10.5" customHeight="1" x14ac:dyDescent="0.2">
      <c r="A229" s="327"/>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c r="AA229" s="327"/>
      <c r="AB229" s="327"/>
      <c r="AC229" s="327"/>
      <c r="AD229" s="327"/>
      <c r="AE229" s="327"/>
    </row>
    <row r="230" spans="1:31" ht="10.5" customHeight="1" x14ac:dyDescent="0.2">
      <c r="A230" s="327"/>
      <c r="B230" s="327"/>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c r="AC230" s="327"/>
      <c r="AD230" s="327"/>
      <c r="AE230" s="327"/>
    </row>
    <row r="231" spans="1:31" ht="10.5" customHeight="1" x14ac:dyDescent="0.2">
      <c r="A231" s="327"/>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c r="AB231" s="327"/>
      <c r="AC231" s="327"/>
      <c r="AD231" s="327"/>
      <c r="AE231" s="327"/>
    </row>
    <row r="232" spans="1:31" ht="10.5" customHeight="1" x14ac:dyDescent="0.2">
      <c r="A232" s="327"/>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c r="AE232" s="327"/>
    </row>
    <row r="233" spans="1:31" ht="10.5" customHeight="1" x14ac:dyDescent="0.2">
      <c r="A233" s="327"/>
      <c r="B233" s="327"/>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c r="AA233" s="327"/>
      <c r="AB233" s="327"/>
      <c r="AC233" s="327"/>
      <c r="AD233" s="327"/>
      <c r="AE233" s="327"/>
    </row>
    <row r="234" spans="1:31" ht="10.5" customHeight="1" x14ac:dyDescent="0.2">
      <c r="A234" s="327"/>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c r="AA234" s="327"/>
      <c r="AB234" s="327"/>
      <c r="AC234" s="327"/>
      <c r="AD234" s="327"/>
      <c r="AE234" s="327"/>
    </row>
    <row r="235" spans="1:31" ht="10.5" customHeight="1" x14ac:dyDescent="0.2">
      <c r="A235" s="327"/>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327"/>
      <c r="AE235" s="327"/>
    </row>
    <row r="236" spans="1:31" ht="10.5" customHeight="1" x14ac:dyDescent="0.2">
      <c r="A236" s="327"/>
      <c r="B236" s="327"/>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c r="AA236" s="327"/>
      <c r="AB236" s="327"/>
      <c r="AC236" s="327"/>
      <c r="AD236" s="327"/>
      <c r="AE236" s="327"/>
    </row>
    <row r="237" spans="1:31" ht="10.5" customHeight="1" x14ac:dyDescent="0.2">
      <c r="A237" s="327"/>
      <c r="B237" s="327"/>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c r="AA237" s="327"/>
      <c r="AB237" s="327"/>
      <c r="AC237" s="327"/>
      <c r="AD237" s="327"/>
      <c r="AE237" s="327"/>
    </row>
    <row r="238" spans="1:31" ht="10.5" customHeight="1" x14ac:dyDescent="0.2">
      <c r="A238" s="327"/>
      <c r="B238" s="327"/>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c r="AA238" s="327"/>
      <c r="AB238" s="327"/>
      <c r="AC238" s="327"/>
      <c r="AD238" s="327"/>
      <c r="AE238" s="327"/>
    </row>
    <row r="239" spans="1:31" ht="10.5" customHeight="1" x14ac:dyDescent="0.2">
      <c r="A239" s="327"/>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c r="AB239" s="327"/>
      <c r="AC239" s="327"/>
      <c r="AD239" s="327"/>
      <c r="AE239" s="327"/>
    </row>
    <row r="240" spans="1:31" ht="10.5" customHeight="1" x14ac:dyDescent="0.2">
      <c r="A240" s="327"/>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c r="AA240" s="327"/>
      <c r="AB240" s="327"/>
      <c r="AC240" s="327"/>
      <c r="AD240" s="327"/>
      <c r="AE240" s="327"/>
    </row>
    <row r="241" spans="1:31" ht="10.5" customHeight="1" x14ac:dyDescent="0.2">
      <c r="A241" s="327"/>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c r="AA241" s="327"/>
      <c r="AB241" s="327"/>
      <c r="AC241" s="327"/>
      <c r="AD241" s="327"/>
      <c r="AE241" s="327"/>
    </row>
    <row r="242" spans="1:31" ht="10.5" customHeight="1" x14ac:dyDescent="0.2">
      <c r="A242" s="327"/>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7"/>
      <c r="AD242" s="327"/>
      <c r="AE242" s="327"/>
    </row>
    <row r="243" spans="1:31" ht="10.5" customHeight="1" x14ac:dyDescent="0.2">
      <c r="A243" s="327"/>
      <c r="B243" s="327"/>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c r="AA243" s="327"/>
      <c r="AB243" s="327"/>
      <c r="AC243" s="327"/>
      <c r="AD243" s="327"/>
      <c r="AE243" s="327"/>
    </row>
    <row r="244" spans="1:31" ht="10.5" customHeight="1" x14ac:dyDescent="0.2">
      <c r="A244" s="327"/>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c r="AE244" s="327"/>
    </row>
    <row r="245" spans="1:31" ht="10.5" customHeight="1" x14ac:dyDescent="0.2">
      <c r="A245" s="327"/>
      <c r="B245" s="327"/>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c r="AA245" s="327"/>
      <c r="AB245" s="327"/>
      <c r="AC245" s="327"/>
      <c r="AD245" s="327"/>
      <c r="AE245" s="327"/>
    </row>
    <row r="246" spans="1:31" ht="10.5" customHeight="1" x14ac:dyDescent="0.2">
      <c r="A246" s="327"/>
      <c r="B246" s="327"/>
      <c r="C246" s="327"/>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c r="AA246" s="327"/>
      <c r="AB246" s="327"/>
      <c r="AC246" s="327"/>
      <c r="AD246" s="327"/>
      <c r="AE246" s="327"/>
    </row>
    <row r="247" spans="1:31" ht="10.5" customHeight="1" x14ac:dyDescent="0.2">
      <c r="A247" s="327"/>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327"/>
      <c r="AD247" s="327"/>
      <c r="AE247" s="327"/>
    </row>
    <row r="248" spans="1:31" ht="10.5" customHeight="1" x14ac:dyDescent="0.2">
      <c r="A248" s="327"/>
      <c r="B248" s="327"/>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c r="AA248" s="327"/>
      <c r="AB248" s="327"/>
      <c r="AC248" s="327"/>
      <c r="AD248" s="327"/>
      <c r="AE248" s="327"/>
    </row>
    <row r="249" spans="1:31" ht="10.5" customHeight="1" x14ac:dyDescent="0.2">
      <c r="A249" s="327"/>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7"/>
      <c r="AD249" s="327"/>
      <c r="AE249" s="327"/>
    </row>
    <row r="250" spans="1:31" ht="10.5" customHeight="1" x14ac:dyDescent="0.2">
      <c r="A250" s="327"/>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7"/>
      <c r="AD250" s="327"/>
      <c r="AE250" s="327"/>
    </row>
    <row r="251" spans="1:31" ht="10.5" customHeight="1" x14ac:dyDescent="0.2">
      <c r="A251" s="327"/>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327"/>
      <c r="AD251" s="327"/>
      <c r="AE251" s="327"/>
    </row>
    <row r="252" spans="1:31" ht="10.5" customHeight="1" x14ac:dyDescent="0.2">
      <c r="A252" s="327"/>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7"/>
      <c r="AD252" s="327"/>
      <c r="AE252" s="327"/>
    </row>
    <row r="253" spans="1:31" ht="10.5" customHeight="1" x14ac:dyDescent="0.2">
      <c r="A253" s="327"/>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7"/>
      <c r="AD253" s="327"/>
      <c r="AE253" s="327"/>
    </row>
    <row r="254" spans="1:31" ht="10.5" customHeight="1" x14ac:dyDescent="0.2">
      <c r="A254" s="327"/>
      <c r="B254" s="327"/>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c r="AA254" s="327"/>
      <c r="AB254" s="327"/>
      <c r="AC254" s="327"/>
      <c r="AD254" s="327"/>
      <c r="AE254" s="327"/>
    </row>
    <row r="255" spans="1:31" ht="10.5" customHeight="1" x14ac:dyDescent="0.2">
      <c r="A255" s="327"/>
      <c r="B255" s="327"/>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c r="AA255" s="327"/>
      <c r="AB255" s="327"/>
      <c r="AC255" s="327"/>
      <c r="AD255" s="327"/>
      <c r="AE255" s="327"/>
    </row>
    <row r="256" spans="1:31" ht="10.5" customHeight="1" x14ac:dyDescent="0.2">
      <c r="A256" s="327"/>
      <c r="B256" s="327"/>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c r="AA256" s="327"/>
      <c r="AB256" s="327"/>
      <c r="AC256" s="327"/>
      <c r="AD256" s="327"/>
      <c r="AE256" s="327"/>
    </row>
    <row r="257" spans="1:31" ht="10.5" customHeight="1" x14ac:dyDescent="0.2">
      <c r="A257" s="327"/>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c r="AA257" s="327"/>
      <c r="AB257" s="327"/>
      <c r="AC257" s="327"/>
      <c r="AD257" s="327"/>
      <c r="AE257" s="327"/>
    </row>
    <row r="258" spans="1:31" ht="10.5" customHeight="1" x14ac:dyDescent="0.2">
      <c r="A258" s="327"/>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c r="AA258" s="327"/>
      <c r="AB258" s="327"/>
      <c r="AC258" s="327"/>
      <c r="AD258" s="327"/>
      <c r="AE258" s="327"/>
    </row>
    <row r="259" spans="1:31" ht="10.5" customHeight="1" x14ac:dyDescent="0.2">
      <c r="A259" s="327"/>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327"/>
      <c r="AD259" s="327"/>
      <c r="AE259" s="327"/>
    </row>
    <row r="260" spans="1:31" ht="10.5" customHeight="1" x14ac:dyDescent="0.2">
      <c r="A260" s="327"/>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c r="AA260" s="327"/>
      <c r="AB260" s="327"/>
      <c r="AC260" s="327"/>
      <c r="AD260" s="327"/>
      <c r="AE260" s="327"/>
    </row>
    <row r="261" spans="1:31" ht="10.5" customHeight="1" x14ac:dyDescent="0.2">
      <c r="A261" s="327"/>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c r="AA261" s="327"/>
      <c r="AB261" s="327"/>
      <c r="AC261" s="327"/>
      <c r="AD261" s="327"/>
      <c r="AE261" s="327"/>
    </row>
    <row r="262" spans="1:31" ht="10.5" customHeight="1" x14ac:dyDescent="0.2">
      <c r="A262" s="327"/>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c r="AA262" s="327"/>
      <c r="AB262" s="327"/>
      <c r="AC262" s="327"/>
      <c r="AD262" s="327"/>
      <c r="AE262" s="327"/>
    </row>
    <row r="263" spans="1:31" ht="10.5" customHeight="1" x14ac:dyDescent="0.2">
      <c r="A263" s="327"/>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c r="AA263" s="327"/>
      <c r="AB263" s="327"/>
      <c r="AC263" s="327"/>
      <c r="AD263" s="327"/>
      <c r="AE263" s="327"/>
    </row>
    <row r="264" spans="1:31" ht="10.5" customHeight="1" x14ac:dyDescent="0.2">
      <c r="A264" s="327"/>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327"/>
      <c r="AE264" s="327"/>
    </row>
    <row r="265" spans="1:31" ht="10.5" customHeight="1" x14ac:dyDescent="0.2">
      <c r="A265" s="327"/>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c r="AA265" s="327"/>
      <c r="AB265" s="327"/>
      <c r="AC265" s="327"/>
      <c r="AD265" s="327"/>
      <c r="AE265" s="327"/>
    </row>
    <row r="266" spans="1:31" ht="11.25" customHeight="1" x14ac:dyDescent="0.2">
      <c r="A266" s="327"/>
      <c r="B266" s="327"/>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c r="AA266" s="327"/>
      <c r="AB266" s="327"/>
      <c r="AC266" s="327"/>
      <c r="AD266" s="327"/>
      <c r="AE266" s="327"/>
    </row>
    <row r="267" spans="1:31" ht="11.25" customHeight="1" x14ac:dyDescent="0.2">
      <c r="A267" s="327"/>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327"/>
      <c r="AE267" s="327"/>
    </row>
    <row r="268" spans="1:31" ht="11.25" customHeight="1" x14ac:dyDescent="0.2">
      <c r="A268" s="327"/>
      <c r="B268" s="327"/>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c r="AA268" s="327"/>
      <c r="AB268" s="327"/>
      <c r="AC268" s="327"/>
      <c r="AD268" s="327"/>
      <c r="AE268" s="327"/>
    </row>
    <row r="269" spans="1:31" ht="11.25" customHeight="1" x14ac:dyDescent="0.2">
      <c r="A269" s="327"/>
      <c r="B269" s="327"/>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c r="AA269" s="327"/>
      <c r="AB269" s="327"/>
      <c r="AC269" s="327"/>
      <c r="AD269" s="327"/>
      <c r="AE269" s="327"/>
    </row>
    <row r="270" spans="1:31" ht="11.25" customHeight="1" x14ac:dyDescent="0.2">
      <c r="A270" s="327"/>
      <c r="B270" s="327"/>
      <c r="C270" s="327"/>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c r="AA270" s="327"/>
      <c r="AB270" s="327"/>
      <c r="AC270" s="327"/>
      <c r="AD270" s="327"/>
      <c r="AE270" s="327"/>
    </row>
    <row r="271" spans="1:31" ht="11.25" customHeight="1" x14ac:dyDescent="0.2">
      <c r="A271" s="327"/>
      <c r="B271" s="327"/>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c r="AA271" s="327"/>
      <c r="AB271" s="327"/>
      <c r="AC271" s="327"/>
      <c r="AD271" s="327"/>
      <c r="AE271" s="327"/>
    </row>
    <row r="272" spans="1:31" ht="11.25" customHeight="1" x14ac:dyDescent="0.2">
      <c r="A272" s="327"/>
      <c r="B272" s="327"/>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c r="AC272" s="327"/>
      <c r="AD272" s="327"/>
      <c r="AE272" s="327"/>
    </row>
    <row r="273" spans="1:31" ht="11.25" customHeight="1" x14ac:dyDescent="0.2">
      <c r="A273" s="327"/>
      <c r="B273" s="327"/>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c r="AA273" s="327"/>
      <c r="AB273" s="327"/>
      <c r="AC273" s="327"/>
      <c r="AD273" s="327"/>
      <c r="AE273" s="327"/>
    </row>
    <row r="274" spans="1:31" ht="11.25" customHeight="1" x14ac:dyDescent="0.2">
      <c r="A274" s="327"/>
      <c r="B274" s="327"/>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c r="AA274" s="327"/>
      <c r="AB274" s="327"/>
      <c r="AC274" s="327"/>
      <c r="AD274" s="327"/>
      <c r="AE274" s="327"/>
    </row>
    <row r="275" spans="1:31" ht="11.25" customHeight="1" x14ac:dyDescent="0.2">
      <c r="A275" s="327"/>
      <c r="B275" s="327"/>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c r="AC275" s="327"/>
      <c r="AD275" s="327"/>
      <c r="AE275" s="327"/>
    </row>
    <row r="276" spans="1:31" ht="11.25" customHeight="1" x14ac:dyDescent="0.2">
      <c r="A276" s="327"/>
      <c r="B276" s="327"/>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c r="AA276" s="327"/>
      <c r="AB276" s="327"/>
      <c r="AC276" s="327"/>
      <c r="AD276" s="327"/>
      <c r="AE276" s="327"/>
    </row>
    <row r="277" spans="1:31" ht="11.25" customHeight="1" x14ac:dyDescent="0.2">
      <c r="A277" s="327"/>
      <c r="B277" s="327"/>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c r="AA277" s="327"/>
      <c r="AB277" s="327"/>
      <c r="AC277" s="327"/>
      <c r="AD277" s="327"/>
      <c r="AE277" s="327"/>
    </row>
    <row r="278" spans="1:31" ht="11.25" customHeight="1" x14ac:dyDescent="0.2">
      <c r="A278" s="327"/>
      <c r="B278" s="327"/>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c r="AA278" s="327"/>
      <c r="AB278" s="327"/>
      <c r="AC278" s="327"/>
      <c r="AD278" s="327"/>
      <c r="AE278" s="327"/>
    </row>
    <row r="279" spans="1:31" ht="11.25" customHeight="1" x14ac:dyDescent="0.2">
      <c r="A279" s="327"/>
      <c r="B279" s="327"/>
      <c r="C279" s="327"/>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c r="AA279" s="327"/>
      <c r="AB279" s="327"/>
      <c r="AC279" s="327"/>
      <c r="AD279" s="327"/>
      <c r="AE279" s="327"/>
    </row>
    <row r="280" spans="1:31" ht="11.25" customHeight="1" x14ac:dyDescent="0.2">
      <c r="A280" s="327"/>
      <c r="B280" s="327"/>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c r="AA280" s="327"/>
      <c r="AB280" s="327"/>
      <c r="AC280" s="327"/>
      <c r="AD280" s="327"/>
      <c r="AE280" s="327"/>
    </row>
    <row r="281" spans="1:31" ht="11.25" customHeight="1" x14ac:dyDescent="0.2">
      <c r="A281" s="327"/>
      <c r="B281" s="327"/>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c r="AA281" s="327"/>
      <c r="AB281" s="327"/>
      <c r="AC281" s="327"/>
      <c r="AD281" s="327"/>
      <c r="AE281" s="327"/>
    </row>
    <row r="282" spans="1:31" ht="11.25" customHeight="1" x14ac:dyDescent="0.2">
      <c r="A282" s="327"/>
      <c r="B282" s="327"/>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c r="AA282" s="327"/>
      <c r="AB282" s="327"/>
      <c r="AC282" s="327"/>
      <c r="AD282" s="327"/>
      <c r="AE282" s="327"/>
    </row>
    <row r="283" spans="1:31" ht="11.25" customHeight="1" x14ac:dyDescent="0.2">
      <c r="A283" s="327"/>
      <c r="B283" s="327"/>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c r="AA283" s="327"/>
      <c r="AB283" s="327"/>
      <c r="AC283" s="327"/>
      <c r="AD283" s="327"/>
      <c r="AE283" s="327"/>
    </row>
    <row r="284" spans="1:31" ht="11.25" customHeight="1" x14ac:dyDescent="0.2">
      <c r="A284" s="327"/>
      <c r="B284" s="327"/>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c r="AA284" s="327"/>
      <c r="AB284" s="327"/>
      <c r="AC284" s="327"/>
      <c r="AD284" s="327"/>
      <c r="AE284" s="327"/>
    </row>
    <row r="285" spans="1:31" ht="11.25" customHeight="1" x14ac:dyDescent="0.2">
      <c r="A285" s="327"/>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c r="AA285" s="327"/>
      <c r="AB285" s="327"/>
      <c r="AC285" s="327"/>
      <c r="AD285" s="327"/>
      <c r="AE285" s="327"/>
    </row>
    <row r="286" spans="1:31" ht="11.25" customHeight="1" x14ac:dyDescent="0.2">
      <c r="A286" s="327"/>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c r="AA286" s="327"/>
      <c r="AB286" s="327"/>
      <c r="AC286" s="327"/>
      <c r="AD286" s="327"/>
      <c r="AE286" s="327"/>
    </row>
    <row r="287" spans="1:31" ht="11.25" customHeight="1" x14ac:dyDescent="0.2">
      <c r="A287" s="327"/>
      <c r="B287" s="327"/>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c r="AA287" s="327"/>
      <c r="AB287" s="327"/>
      <c r="AC287" s="327"/>
      <c r="AD287" s="327"/>
      <c r="AE287" s="327"/>
    </row>
    <row r="288" spans="1:31" ht="11.25" customHeight="1" x14ac:dyDescent="0.2">
      <c r="A288" s="327"/>
      <c r="B288" s="327"/>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c r="AA288" s="327"/>
      <c r="AB288" s="327"/>
      <c r="AC288" s="327"/>
      <c r="AD288" s="327"/>
      <c r="AE288" s="327"/>
    </row>
    <row r="289" spans="1:31" ht="11.25" customHeight="1" x14ac:dyDescent="0.2">
      <c r="A289" s="327"/>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c r="AB289" s="327"/>
      <c r="AC289" s="327"/>
      <c r="AD289" s="327"/>
      <c r="AE289" s="327"/>
    </row>
    <row r="290" spans="1:31" ht="11.25" customHeight="1" x14ac:dyDescent="0.2">
      <c r="A290" s="327"/>
      <c r="B290" s="327"/>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c r="AA290" s="327"/>
      <c r="AB290" s="327"/>
      <c r="AC290" s="327"/>
      <c r="AD290" s="327"/>
      <c r="AE290" s="327"/>
    </row>
    <row r="291" spans="1:31" ht="11.25" customHeight="1" x14ac:dyDescent="0.2">
      <c r="A291" s="327"/>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c r="AA291" s="327"/>
      <c r="AB291" s="327"/>
      <c r="AC291" s="327"/>
      <c r="AD291" s="327"/>
      <c r="AE291" s="327"/>
    </row>
    <row r="292" spans="1:31" ht="11.25" customHeight="1" x14ac:dyDescent="0.2">
      <c r="A292" s="327"/>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c r="AA292" s="327"/>
      <c r="AB292" s="327"/>
      <c r="AC292" s="327"/>
      <c r="AD292" s="327"/>
      <c r="AE292" s="327"/>
    </row>
    <row r="293" spans="1:31" ht="11.25" customHeight="1" x14ac:dyDescent="0.2">
      <c r="A293" s="327"/>
      <c r="B293" s="327"/>
      <c r="C293" s="327"/>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c r="AA293" s="327"/>
      <c r="AB293" s="327"/>
      <c r="AC293" s="327"/>
      <c r="AD293" s="327"/>
      <c r="AE293" s="327"/>
    </row>
    <row r="294" spans="1:31" ht="11.25" customHeight="1" x14ac:dyDescent="0.2">
      <c r="A294" s="327"/>
      <c r="B294" s="327"/>
      <c r="C294" s="327"/>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c r="AA294" s="327"/>
      <c r="AB294" s="327"/>
      <c r="AC294" s="327"/>
      <c r="AD294" s="327"/>
      <c r="AE294" s="327"/>
    </row>
    <row r="295" spans="1:31" ht="11.25" customHeight="1" x14ac:dyDescent="0.2">
      <c r="A295" s="327"/>
      <c r="B295" s="327"/>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c r="AA295" s="327"/>
      <c r="AB295" s="327"/>
      <c r="AC295" s="327"/>
      <c r="AD295" s="327"/>
      <c r="AE295" s="327"/>
    </row>
    <row r="296" spans="1:31" ht="11.25" customHeight="1" x14ac:dyDescent="0.2">
      <c r="A296" s="327"/>
      <c r="B296" s="327"/>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c r="AA296" s="327"/>
      <c r="AB296" s="327"/>
      <c r="AC296" s="327"/>
      <c r="AD296" s="327"/>
      <c r="AE296" s="327"/>
    </row>
    <row r="297" spans="1:31" ht="11.25" customHeight="1" x14ac:dyDescent="0.2">
      <c r="A297" s="327"/>
      <c r="B297" s="327"/>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c r="AA297" s="327"/>
      <c r="AB297" s="327"/>
      <c r="AC297" s="327"/>
      <c r="AD297" s="327"/>
      <c r="AE297" s="327"/>
    </row>
    <row r="298" spans="1:31" ht="11.25" customHeight="1" x14ac:dyDescent="0.2">
      <c r="A298" s="327"/>
      <c r="B298" s="327"/>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c r="AA298" s="327"/>
      <c r="AB298" s="327"/>
      <c r="AC298" s="327"/>
      <c r="AD298" s="327"/>
      <c r="AE298" s="327"/>
    </row>
    <row r="299" spans="1:31" ht="11.25" customHeight="1" x14ac:dyDescent="0.2">
      <c r="A299" s="327"/>
      <c r="B299" s="327"/>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c r="AA299" s="327"/>
      <c r="AB299" s="327"/>
      <c r="AC299" s="327"/>
      <c r="AD299" s="327"/>
      <c r="AE299" s="327"/>
    </row>
    <row r="300" spans="1:31" ht="11.25" customHeight="1" x14ac:dyDescent="0.2">
      <c r="A300" s="327"/>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c r="AB300" s="327"/>
      <c r="AC300" s="327"/>
      <c r="AD300" s="327"/>
      <c r="AE300" s="327"/>
    </row>
    <row r="301" spans="1:31" ht="11.25" customHeight="1" x14ac:dyDescent="0.2">
      <c r="A301" s="327"/>
      <c r="B301" s="327"/>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c r="AA301" s="327"/>
      <c r="AB301" s="327"/>
      <c r="AC301" s="327"/>
      <c r="AD301" s="327"/>
      <c r="AE301" s="327"/>
    </row>
    <row r="302" spans="1:31" ht="11.25" customHeight="1" x14ac:dyDescent="0.2">
      <c r="A302" s="327"/>
      <c r="B302" s="327"/>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c r="AA302" s="327"/>
      <c r="AB302" s="327"/>
      <c r="AC302" s="327"/>
      <c r="AD302" s="327"/>
      <c r="AE302" s="327"/>
    </row>
    <row r="303" spans="1:31" ht="11.25" customHeight="1" x14ac:dyDescent="0.2">
      <c r="A303" s="327"/>
      <c r="B303" s="327"/>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c r="AA303" s="327"/>
      <c r="AB303" s="327"/>
      <c r="AC303" s="327"/>
      <c r="AD303" s="327"/>
      <c r="AE303" s="327"/>
    </row>
    <row r="304" spans="1:31" ht="11.25" customHeight="1" x14ac:dyDescent="0.2">
      <c r="A304" s="327"/>
      <c r="B304" s="327"/>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c r="AA304" s="327"/>
      <c r="AB304" s="327"/>
      <c r="AC304" s="327"/>
      <c r="AD304" s="327"/>
      <c r="AE304" s="327"/>
    </row>
    <row r="305" spans="1:31" ht="11.25" customHeight="1" x14ac:dyDescent="0.2">
      <c r="A305" s="327"/>
      <c r="B305" s="327"/>
      <c r="C305" s="327"/>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c r="AA305" s="327"/>
      <c r="AB305" s="327"/>
      <c r="AC305" s="327"/>
      <c r="AD305" s="327"/>
      <c r="AE305" s="327"/>
    </row>
    <row r="306" spans="1:31" ht="11.25" customHeight="1" x14ac:dyDescent="0.2">
      <c r="A306" s="327"/>
      <c r="B306" s="327"/>
      <c r="C306" s="327"/>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c r="AA306" s="327"/>
      <c r="AB306" s="327"/>
      <c r="AC306" s="327"/>
      <c r="AD306" s="327"/>
      <c r="AE306" s="327"/>
    </row>
    <row r="307" spans="1:31" ht="11.25" customHeight="1" x14ac:dyDescent="0.2">
      <c r="A307" s="327"/>
      <c r="B307" s="327"/>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c r="AA307" s="327"/>
      <c r="AB307" s="327"/>
      <c r="AC307" s="327"/>
      <c r="AD307" s="327"/>
      <c r="AE307" s="327"/>
    </row>
    <row r="308" spans="1:31" ht="11.25" customHeight="1" x14ac:dyDescent="0.2">
      <c r="A308" s="327"/>
      <c r="B308" s="327"/>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c r="AA308" s="327"/>
      <c r="AB308" s="327"/>
      <c r="AC308" s="327"/>
      <c r="AD308" s="327"/>
      <c r="AE308" s="327"/>
    </row>
    <row r="309" spans="1:31" ht="11.25" customHeight="1" x14ac:dyDescent="0.2">
      <c r="A309" s="327"/>
      <c r="B309" s="327"/>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c r="AA309" s="327"/>
      <c r="AB309" s="327"/>
      <c r="AC309" s="327"/>
      <c r="AD309" s="327"/>
      <c r="AE309" s="327"/>
    </row>
    <row r="310" spans="1:31" ht="11.25" customHeight="1" x14ac:dyDescent="0.2">
      <c r="A310" s="327"/>
      <c r="B310" s="327"/>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c r="AA310" s="327"/>
      <c r="AB310" s="327"/>
      <c r="AC310" s="327"/>
      <c r="AD310" s="327"/>
      <c r="AE310" s="327"/>
    </row>
    <row r="311" spans="1:31" ht="11.25" customHeight="1" x14ac:dyDescent="0.2">
      <c r="A311" s="327"/>
      <c r="B311" s="327"/>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c r="AA311" s="327"/>
      <c r="AB311" s="327"/>
      <c r="AC311" s="327"/>
      <c r="AD311" s="327"/>
      <c r="AE311" s="327"/>
    </row>
    <row r="312" spans="1:31" ht="11.25" customHeight="1" x14ac:dyDescent="0.2">
      <c r="A312" s="327"/>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c r="AA312" s="327"/>
      <c r="AB312" s="327"/>
      <c r="AC312" s="327"/>
      <c r="AD312" s="327"/>
      <c r="AE312" s="327"/>
    </row>
    <row r="313" spans="1:31" ht="11.25" customHeight="1" x14ac:dyDescent="0.2">
      <c r="A313" s="327"/>
      <c r="B313" s="327"/>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c r="AA313" s="327"/>
      <c r="AB313" s="327"/>
      <c r="AC313" s="327"/>
      <c r="AD313" s="327"/>
      <c r="AE313" s="327"/>
    </row>
    <row r="314" spans="1:31" ht="11.25" customHeight="1" x14ac:dyDescent="0.2">
      <c r="A314" s="327"/>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c r="AB314" s="327"/>
      <c r="AC314" s="327"/>
      <c r="AD314" s="327"/>
      <c r="AE314" s="327"/>
    </row>
    <row r="315" spans="1:31" ht="11.25" customHeight="1" x14ac:dyDescent="0.2">
      <c r="A315" s="327"/>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c r="AA315" s="327"/>
      <c r="AB315" s="327"/>
      <c r="AC315" s="327"/>
      <c r="AD315" s="327"/>
      <c r="AE315" s="327"/>
    </row>
    <row r="316" spans="1:31" ht="11.25" customHeight="1" x14ac:dyDescent="0.2">
      <c r="A316" s="327"/>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c r="AA316" s="327"/>
      <c r="AB316" s="327"/>
      <c r="AC316" s="327"/>
      <c r="AD316" s="327"/>
      <c r="AE316" s="327"/>
    </row>
    <row r="317" spans="1:31" ht="11.25" customHeight="1" x14ac:dyDescent="0.2">
      <c r="A317" s="327"/>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c r="AB317" s="327"/>
      <c r="AC317" s="327"/>
      <c r="AD317" s="327"/>
      <c r="AE317" s="327"/>
    </row>
    <row r="318" spans="1:31" ht="11.25" customHeight="1" x14ac:dyDescent="0.2">
      <c r="A318" s="327"/>
      <c r="B318" s="327"/>
      <c r="C318" s="327"/>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c r="AA318" s="327"/>
      <c r="AB318" s="327"/>
      <c r="AC318" s="327"/>
      <c r="AD318" s="327"/>
      <c r="AE318" s="327"/>
    </row>
    <row r="319" spans="1:31" ht="11.25" customHeight="1" x14ac:dyDescent="0.2">
      <c r="A319" s="327"/>
      <c r="B319" s="327"/>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c r="AA319" s="327"/>
      <c r="AB319" s="327"/>
      <c r="AC319" s="327"/>
      <c r="AD319" s="327"/>
      <c r="AE319" s="327"/>
    </row>
    <row r="320" spans="1:31" ht="11.25" customHeight="1" x14ac:dyDescent="0.2">
      <c r="A320" s="327"/>
      <c r="B320" s="327"/>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c r="AA320" s="327"/>
      <c r="AB320" s="327"/>
      <c r="AC320" s="327"/>
      <c r="AD320" s="327"/>
      <c r="AE320" s="327"/>
    </row>
    <row r="321" spans="1:31" ht="11.25" customHeight="1" x14ac:dyDescent="0.2">
      <c r="A321" s="327"/>
      <c r="B321" s="327"/>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c r="AA321" s="327"/>
      <c r="AB321" s="327"/>
      <c r="AC321" s="327"/>
      <c r="AD321" s="327"/>
      <c r="AE321" s="327"/>
    </row>
    <row r="322" spans="1:31" ht="11.25" customHeight="1" x14ac:dyDescent="0.2">
      <c r="A322" s="327"/>
      <c r="B322" s="327"/>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c r="AA322" s="327"/>
      <c r="AB322" s="327"/>
      <c r="AC322" s="327"/>
      <c r="AD322" s="327"/>
      <c r="AE322" s="327"/>
    </row>
    <row r="323" spans="1:31" ht="11.25" customHeight="1" x14ac:dyDescent="0.2">
      <c r="A323" s="327"/>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c r="AB323" s="327"/>
      <c r="AC323" s="327"/>
      <c r="AD323" s="327"/>
      <c r="AE323" s="327"/>
    </row>
    <row r="324" spans="1:31" ht="11.25" customHeight="1" x14ac:dyDescent="0.2">
      <c r="A324" s="327"/>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c r="AB324" s="327"/>
      <c r="AC324" s="327"/>
      <c r="AD324" s="327"/>
      <c r="AE324" s="327"/>
    </row>
    <row r="325" spans="1:31" ht="11.25" customHeight="1" x14ac:dyDescent="0.2">
      <c r="A325" s="327"/>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c r="AB325" s="327"/>
      <c r="AC325" s="327"/>
      <c r="AD325" s="327"/>
      <c r="AE325" s="327"/>
    </row>
    <row r="326" spans="1:31" ht="11.25" customHeight="1" x14ac:dyDescent="0.2">
      <c r="A326" s="327"/>
      <c r="B326" s="327"/>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c r="AA326" s="327"/>
      <c r="AB326" s="327"/>
      <c r="AC326" s="327"/>
      <c r="AD326" s="327"/>
      <c r="AE326" s="327"/>
    </row>
    <row r="327" spans="1:31" ht="11.25" customHeight="1" x14ac:dyDescent="0.2">
      <c r="A327" s="327"/>
      <c r="B327" s="327"/>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c r="AA327" s="327"/>
      <c r="AB327" s="327"/>
      <c r="AC327" s="327"/>
      <c r="AD327" s="327"/>
      <c r="AE327" s="327"/>
    </row>
    <row r="328" spans="1:31" ht="11.25" customHeight="1" x14ac:dyDescent="0.2">
      <c r="A328" s="327"/>
      <c r="B328" s="327"/>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c r="AA328" s="327"/>
      <c r="AB328" s="327"/>
      <c r="AC328" s="327"/>
      <c r="AD328" s="327"/>
      <c r="AE328" s="327"/>
    </row>
    <row r="329" spans="1:31" ht="11.25" customHeight="1" x14ac:dyDescent="0.2">
      <c r="A329" s="327"/>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c r="AB329" s="327"/>
      <c r="AC329" s="327"/>
      <c r="AD329" s="327"/>
      <c r="AE329" s="327"/>
    </row>
    <row r="330" spans="1:31" ht="11.25" customHeight="1" x14ac:dyDescent="0.2">
      <c r="A330" s="327"/>
      <c r="B330" s="327"/>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c r="AA330" s="327"/>
      <c r="AB330" s="327"/>
      <c r="AC330" s="327"/>
      <c r="AD330" s="327"/>
      <c r="AE330" s="327"/>
    </row>
    <row r="331" spans="1:31" ht="11.25" customHeight="1" x14ac:dyDescent="0.2">
      <c r="A331" s="327"/>
      <c r="B331" s="327"/>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c r="AA331" s="327"/>
      <c r="AB331" s="327"/>
      <c r="AC331" s="327"/>
      <c r="AD331" s="327"/>
      <c r="AE331" s="327"/>
    </row>
    <row r="332" spans="1:31" ht="11.25" customHeight="1" x14ac:dyDescent="0.2">
      <c r="A332" s="327"/>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327"/>
      <c r="AE332" s="327"/>
    </row>
    <row r="333" spans="1:31" ht="11.25" customHeight="1" x14ac:dyDescent="0.2">
      <c r="A333" s="327"/>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c r="AA333" s="327"/>
      <c r="AB333" s="327"/>
      <c r="AC333" s="327"/>
      <c r="AD333" s="327"/>
      <c r="AE333" s="327"/>
    </row>
    <row r="334" spans="1:31" ht="11.25" customHeight="1" x14ac:dyDescent="0.2">
      <c r="A334" s="327"/>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c r="AB334" s="327"/>
      <c r="AC334" s="327"/>
      <c r="AD334" s="327"/>
      <c r="AE334" s="327"/>
    </row>
    <row r="335" spans="1:31" ht="11.25" customHeight="1" x14ac:dyDescent="0.2">
      <c r="A335" s="327"/>
      <c r="B335" s="327"/>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c r="AA335" s="327"/>
      <c r="AB335" s="327"/>
      <c r="AC335" s="327"/>
      <c r="AD335" s="327"/>
      <c r="AE335" s="327"/>
    </row>
    <row r="336" spans="1:31" ht="11.25" customHeight="1" x14ac:dyDescent="0.2">
      <c r="A336" s="327"/>
      <c r="B336" s="327"/>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c r="AA336" s="327"/>
      <c r="AB336" s="327"/>
      <c r="AC336" s="327"/>
      <c r="AD336" s="327"/>
      <c r="AE336" s="327"/>
    </row>
    <row r="337" spans="1:31" ht="11.25" customHeight="1" x14ac:dyDescent="0.2">
      <c r="A337" s="327"/>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7"/>
      <c r="AD337" s="327"/>
      <c r="AE337" s="327"/>
    </row>
    <row r="338" spans="1:31" ht="11.25" customHeight="1" x14ac:dyDescent="0.2">
      <c r="A338" s="327"/>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c r="AA338" s="327"/>
      <c r="AB338" s="327"/>
      <c r="AC338" s="327"/>
      <c r="AD338" s="327"/>
      <c r="AE338" s="327"/>
    </row>
    <row r="339" spans="1:31" ht="11.25" customHeight="1" x14ac:dyDescent="0.2">
      <c r="A339" s="327"/>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c r="AB339" s="327"/>
      <c r="AC339" s="327"/>
      <c r="AD339" s="327"/>
      <c r="AE339" s="327"/>
    </row>
    <row r="340" spans="1:31" ht="11.25" customHeight="1" x14ac:dyDescent="0.2">
      <c r="A340" s="327"/>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c r="AB340" s="327"/>
      <c r="AC340" s="327"/>
      <c r="AD340" s="327"/>
      <c r="AE340" s="327"/>
    </row>
    <row r="341" spans="1:31" ht="11.25" customHeight="1" x14ac:dyDescent="0.2">
      <c r="A341" s="327"/>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c r="AC341" s="327"/>
      <c r="AD341" s="327"/>
      <c r="AE341" s="327"/>
    </row>
    <row r="342" spans="1:31" ht="11.25" customHeight="1" x14ac:dyDescent="0.2">
      <c r="A342" s="327"/>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327"/>
      <c r="AE342" s="327"/>
    </row>
    <row r="343" spans="1:31" ht="11.25" customHeight="1" x14ac:dyDescent="0.2">
      <c r="A343" s="327"/>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c r="AC343" s="327"/>
      <c r="AD343" s="327"/>
      <c r="AE343" s="327"/>
    </row>
    <row r="344" spans="1:31" ht="11.25" customHeight="1" x14ac:dyDescent="0.2">
      <c r="A344" s="327"/>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c r="AB344" s="327"/>
      <c r="AC344" s="327"/>
      <c r="AD344" s="327"/>
      <c r="AE344" s="327"/>
    </row>
    <row r="345" spans="1:31" ht="11.25" customHeight="1" x14ac:dyDescent="0.2">
      <c r="A345" s="327"/>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c r="AA345" s="327"/>
      <c r="AB345" s="327"/>
      <c r="AC345" s="327"/>
      <c r="AD345" s="327"/>
      <c r="AE345" s="327"/>
    </row>
    <row r="346" spans="1:31" ht="11.25" customHeight="1" x14ac:dyDescent="0.2">
      <c r="A346" s="327"/>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c r="AA346" s="327"/>
      <c r="AB346" s="327"/>
      <c r="AC346" s="327"/>
      <c r="AD346" s="327"/>
      <c r="AE346" s="327"/>
    </row>
    <row r="347" spans="1:31" ht="11.25" customHeight="1" x14ac:dyDescent="0.2">
      <c r="A347" s="327"/>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7"/>
      <c r="AD347" s="327"/>
      <c r="AE347" s="327"/>
    </row>
    <row r="348" spans="1:31" ht="11.25" customHeight="1" x14ac:dyDescent="0.2">
      <c r="A348" s="327"/>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7"/>
      <c r="AD348" s="327"/>
      <c r="AE348" s="327"/>
    </row>
    <row r="349" spans="1:31" ht="11.25" customHeight="1" x14ac:dyDescent="0.2">
      <c r="A349" s="327"/>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c r="AB349" s="327"/>
      <c r="AC349" s="327"/>
      <c r="AD349" s="327"/>
      <c r="AE349" s="327"/>
    </row>
    <row r="350" spans="1:31" ht="11.25" customHeight="1" x14ac:dyDescent="0.2">
      <c r="A350" s="327"/>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c r="AA350" s="327"/>
      <c r="AB350" s="327"/>
      <c r="AC350" s="327"/>
      <c r="AD350" s="327"/>
      <c r="AE350" s="327"/>
    </row>
    <row r="351" spans="1:31" ht="11.25" customHeight="1" x14ac:dyDescent="0.2">
      <c r="A351" s="327"/>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c r="AA351" s="327"/>
      <c r="AB351" s="327"/>
      <c r="AC351" s="327"/>
      <c r="AD351" s="327"/>
      <c r="AE351" s="327"/>
    </row>
    <row r="352" spans="1:31" ht="11.25" customHeight="1" x14ac:dyDescent="0.2">
      <c r="A352" s="327"/>
      <c r="B352" s="327"/>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c r="AA352" s="327"/>
      <c r="AB352" s="327"/>
      <c r="AC352" s="327"/>
      <c r="AD352" s="327"/>
      <c r="AE352" s="327"/>
    </row>
    <row r="353" spans="1:31" ht="11.25" customHeight="1" x14ac:dyDescent="0.2">
      <c r="A353" s="327"/>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c r="AA353" s="327"/>
      <c r="AB353" s="327"/>
      <c r="AC353" s="327"/>
      <c r="AD353" s="327"/>
      <c r="AE353" s="327"/>
    </row>
    <row r="354" spans="1:31" ht="11.25" customHeight="1" x14ac:dyDescent="0.2">
      <c r="A354" s="327"/>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327"/>
      <c r="AE354" s="327"/>
    </row>
    <row r="355" spans="1:31" ht="11.25" customHeight="1" x14ac:dyDescent="0.2">
      <c r="A355" s="327"/>
      <c r="B355" s="327"/>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c r="AA355" s="327"/>
      <c r="AB355" s="327"/>
      <c r="AC355" s="327"/>
      <c r="AD355" s="327"/>
      <c r="AE355" s="327"/>
    </row>
    <row r="356" spans="1:31" ht="11.25" customHeight="1" x14ac:dyDescent="0.2">
      <c r="A356" s="327"/>
      <c r="B356" s="327"/>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c r="AA356" s="327"/>
      <c r="AB356" s="327"/>
      <c r="AC356" s="327"/>
      <c r="AD356" s="327"/>
      <c r="AE356" s="327"/>
    </row>
    <row r="357" spans="1:31" ht="11.25" customHeight="1" x14ac:dyDescent="0.2">
      <c r="A357" s="327"/>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327"/>
      <c r="AE357" s="327"/>
    </row>
    <row r="358" spans="1:31" ht="11.25" customHeight="1" x14ac:dyDescent="0.2">
      <c r="A358" s="327"/>
      <c r="B358" s="327"/>
      <c r="C358" s="327"/>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c r="AA358" s="327"/>
      <c r="AB358" s="327"/>
      <c r="AC358" s="327"/>
      <c r="AD358" s="327"/>
      <c r="AE358" s="327"/>
    </row>
    <row r="359" spans="1:31" ht="11.25" customHeight="1" x14ac:dyDescent="0.2">
      <c r="A359" s="327"/>
      <c r="B359" s="327"/>
      <c r="C359" s="327"/>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c r="AA359" s="327"/>
      <c r="AB359" s="327"/>
      <c r="AC359" s="327"/>
      <c r="AD359" s="327"/>
      <c r="AE359" s="327"/>
    </row>
    <row r="360" spans="1:31" ht="11.25" customHeight="1" x14ac:dyDescent="0.2">
      <c r="A360" s="327"/>
      <c r="B360" s="327"/>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c r="AA360" s="327"/>
      <c r="AB360" s="327"/>
      <c r="AC360" s="327"/>
      <c r="AD360" s="327"/>
      <c r="AE360" s="327"/>
    </row>
    <row r="361" spans="1:31" ht="11.25" customHeight="1" x14ac:dyDescent="0.2">
      <c r="A361" s="327"/>
      <c r="B361" s="327"/>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c r="AA361" s="327"/>
      <c r="AB361" s="327"/>
      <c r="AC361" s="327"/>
      <c r="AD361" s="327"/>
      <c r="AE361" s="327"/>
    </row>
    <row r="362" spans="1:31" ht="11.25" customHeight="1" x14ac:dyDescent="0.2">
      <c r="A362" s="327"/>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c r="AA362" s="327"/>
      <c r="AB362" s="327"/>
      <c r="AC362" s="327"/>
      <c r="AD362" s="327"/>
      <c r="AE362" s="327"/>
    </row>
    <row r="363" spans="1:31" ht="11.25" customHeight="1" x14ac:dyDescent="0.2">
      <c r="A363" s="327"/>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c r="AA363" s="327"/>
      <c r="AB363" s="327"/>
      <c r="AC363" s="327"/>
      <c r="AD363" s="327"/>
      <c r="AE363" s="327"/>
    </row>
    <row r="364" spans="1:31" ht="11.25" customHeight="1" x14ac:dyDescent="0.2">
      <c r="A364" s="327"/>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c r="AA364" s="327"/>
      <c r="AB364" s="327"/>
      <c r="AC364" s="327"/>
      <c r="AD364" s="327"/>
      <c r="AE364" s="327"/>
    </row>
    <row r="365" spans="1:31" ht="11.25" customHeight="1" x14ac:dyDescent="0.2">
      <c r="A365" s="327"/>
      <c r="B365" s="327"/>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c r="AA365" s="327"/>
      <c r="AB365" s="327"/>
      <c r="AC365" s="327"/>
      <c r="AD365" s="327"/>
      <c r="AE365" s="327"/>
    </row>
    <row r="366" spans="1:31" ht="11.25" customHeight="1" x14ac:dyDescent="0.2">
      <c r="A366" s="327"/>
      <c r="B366" s="327"/>
      <c r="C366" s="327"/>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c r="AA366" s="327"/>
      <c r="AB366" s="327"/>
      <c r="AC366" s="327"/>
      <c r="AD366" s="327"/>
      <c r="AE366" s="327"/>
    </row>
    <row r="367" spans="1:31" ht="11.25" customHeight="1" x14ac:dyDescent="0.2">
      <c r="A367" s="327"/>
      <c r="B367" s="327"/>
      <c r="C367" s="327"/>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c r="AA367" s="327"/>
      <c r="AB367" s="327"/>
      <c r="AC367" s="327"/>
      <c r="AD367" s="327"/>
      <c r="AE367" s="327"/>
    </row>
    <row r="368" spans="1:31" ht="11.25" customHeight="1" x14ac:dyDescent="0.2">
      <c r="A368" s="327"/>
      <c r="B368" s="327"/>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c r="AA368" s="327"/>
      <c r="AB368" s="327"/>
      <c r="AC368" s="327"/>
      <c r="AD368" s="327"/>
      <c r="AE368" s="327"/>
    </row>
    <row r="369" spans="1:31" ht="11.25" customHeight="1" x14ac:dyDescent="0.2">
      <c r="A369" s="327"/>
      <c r="B369" s="327"/>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c r="AA369" s="327"/>
      <c r="AB369" s="327"/>
      <c r="AC369" s="327"/>
      <c r="AD369" s="327"/>
      <c r="AE369" s="327"/>
    </row>
    <row r="370" spans="1:31" ht="11.25" customHeight="1" x14ac:dyDescent="0.2">
      <c r="A370" s="327"/>
      <c r="B370" s="327"/>
      <c r="C370" s="327"/>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c r="AA370" s="327"/>
      <c r="AB370" s="327"/>
      <c r="AC370" s="327"/>
      <c r="AD370" s="327"/>
      <c r="AE370" s="327"/>
    </row>
    <row r="371" spans="1:31" ht="11.25" customHeight="1" x14ac:dyDescent="0.2">
      <c r="A371" s="327"/>
      <c r="B371" s="327"/>
      <c r="C371" s="327"/>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c r="AA371" s="327"/>
      <c r="AB371" s="327"/>
      <c r="AC371" s="327"/>
      <c r="AD371" s="327"/>
      <c r="AE371" s="327"/>
    </row>
    <row r="372" spans="1:31" ht="11.25" customHeight="1" x14ac:dyDescent="0.2">
      <c r="A372" s="327"/>
      <c r="B372" s="327"/>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c r="AA372" s="327"/>
      <c r="AB372" s="327"/>
      <c r="AC372" s="327"/>
      <c r="AD372" s="327"/>
      <c r="AE372" s="327"/>
    </row>
    <row r="373" spans="1:31" ht="11.25" customHeight="1" x14ac:dyDescent="0.2">
      <c r="A373" s="327"/>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c r="AB373" s="327"/>
      <c r="AC373" s="327"/>
      <c r="AD373" s="327"/>
      <c r="AE373" s="327"/>
    </row>
    <row r="374" spans="1:31" ht="11.25" customHeight="1" x14ac:dyDescent="0.2">
      <c r="A374" s="327"/>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c r="AA374" s="327"/>
      <c r="AB374" s="327"/>
      <c r="AC374" s="327"/>
      <c r="AD374" s="327"/>
      <c r="AE374" s="327"/>
    </row>
    <row r="375" spans="1:31" ht="11.25" customHeight="1" x14ac:dyDescent="0.2">
      <c r="A375" s="327"/>
      <c r="B375" s="327"/>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c r="AA375" s="327"/>
      <c r="AB375" s="327"/>
      <c r="AC375" s="327"/>
      <c r="AD375" s="327"/>
      <c r="AE375" s="327"/>
    </row>
    <row r="376" spans="1:31" ht="11.25" customHeight="1" x14ac:dyDescent="0.2">
      <c r="A376" s="327"/>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c r="AB376" s="327"/>
      <c r="AC376" s="327"/>
      <c r="AD376" s="327"/>
      <c r="AE376" s="327"/>
    </row>
    <row r="377" spans="1:31" ht="11.25" customHeight="1" x14ac:dyDescent="0.2">
      <c r="A377" s="327"/>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c r="AB377" s="327"/>
      <c r="AC377" s="327"/>
      <c r="AD377" s="327"/>
      <c r="AE377" s="327"/>
    </row>
    <row r="378" spans="1:31" ht="11.25" customHeight="1" x14ac:dyDescent="0.2">
      <c r="A378" s="327"/>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c r="AB378" s="327"/>
      <c r="AC378" s="327"/>
      <c r="AD378" s="327"/>
      <c r="AE378" s="327"/>
    </row>
    <row r="379" spans="1:31" ht="11.25" customHeight="1" x14ac:dyDescent="0.2">
      <c r="A379" s="327"/>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c r="AB379" s="327"/>
      <c r="AC379" s="327"/>
      <c r="AD379" s="327"/>
      <c r="AE379" s="327"/>
    </row>
    <row r="380" spans="1:31" ht="11.25" customHeight="1" x14ac:dyDescent="0.2">
      <c r="A380" s="327"/>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c r="AA380" s="327"/>
      <c r="AB380" s="327"/>
      <c r="AC380" s="327"/>
      <c r="AD380" s="327"/>
      <c r="AE380" s="327"/>
    </row>
    <row r="381" spans="1:31" ht="11.25" customHeight="1" x14ac:dyDescent="0.2">
      <c r="A381" s="327"/>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327"/>
      <c r="AE381" s="327"/>
    </row>
    <row r="382" spans="1:31" ht="11.25" customHeight="1" x14ac:dyDescent="0.2">
      <c r="A382" s="327"/>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327"/>
      <c r="AE382" s="327"/>
    </row>
    <row r="383" spans="1:31" ht="11.25" customHeight="1" x14ac:dyDescent="0.2">
      <c r="A383" s="327"/>
      <c r="B383" s="327"/>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c r="AA383" s="327"/>
      <c r="AB383" s="327"/>
      <c r="AC383" s="327"/>
      <c r="AD383" s="327"/>
      <c r="AE383" s="327"/>
    </row>
    <row r="384" spans="1:31" ht="11.25" customHeight="1" x14ac:dyDescent="0.2">
      <c r="A384" s="327"/>
      <c r="B384" s="327"/>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c r="AA384" s="327"/>
      <c r="AB384" s="327"/>
      <c r="AC384" s="327"/>
      <c r="AD384" s="327"/>
      <c r="AE384" s="327"/>
    </row>
    <row r="385" spans="1:31" ht="11.25" customHeight="1" x14ac:dyDescent="0.2">
      <c r="A385" s="327"/>
      <c r="B385" s="327"/>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c r="AA385" s="327"/>
      <c r="AB385" s="327"/>
      <c r="AC385" s="327"/>
      <c r="AD385" s="327"/>
      <c r="AE385" s="327"/>
    </row>
    <row r="386" spans="1:31" ht="11.25" customHeight="1" x14ac:dyDescent="0.2">
      <c r="A386" s="327"/>
      <c r="B386" s="327"/>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c r="AA386" s="327"/>
      <c r="AB386" s="327"/>
      <c r="AC386" s="327"/>
      <c r="AD386" s="327"/>
      <c r="AE386" s="327"/>
    </row>
    <row r="387" spans="1:31" ht="11.25" customHeight="1" x14ac:dyDescent="0.2">
      <c r="A387" s="327"/>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c r="AB387" s="327"/>
      <c r="AC387" s="327"/>
      <c r="AD387" s="327"/>
      <c r="AE387" s="327"/>
    </row>
    <row r="388" spans="1:31" ht="11.25" customHeight="1" x14ac:dyDescent="0.2">
      <c r="A388" s="327"/>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c r="AA388" s="327"/>
      <c r="AB388" s="327"/>
      <c r="AC388" s="327"/>
      <c r="AD388" s="327"/>
      <c r="AE388" s="327"/>
    </row>
    <row r="389" spans="1:31" ht="11.25" customHeight="1" x14ac:dyDescent="0.2">
      <c r="A389" s="327"/>
      <c r="B389" s="327"/>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c r="AA389" s="327"/>
      <c r="AB389" s="327"/>
      <c r="AC389" s="327"/>
      <c r="AD389" s="327"/>
      <c r="AE389" s="327"/>
    </row>
    <row r="390" spans="1:31" ht="11.25" customHeight="1" x14ac:dyDescent="0.2">
      <c r="A390" s="327"/>
      <c r="B390" s="327"/>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c r="AB390" s="327"/>
      <c r="AC390" s="327"/>
      <c r="AD390" s="327"/>
      <c r="AE390" s="327"/>
    </row>
    <row r="391" spans="1:31" ht="11.25" customHeight="1" x14ac:dyDescent="0.2">
      <c r="A391" s="327"/>
      <c r="B391" s="327"/>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c r="AA391" s="327"/>
      <c r="AB391" s="327"/>
      <c r="AC391" s="327"/>
      <c r="AD391" s="327"/>
      <c r="AE391" s="327"/>
    </row>
    <row r="392" spans="1:31" ht="11.25" customHeight="1" x14ac:dyDescent="0.2">
      <c r="A392" s="327"/>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c r="AB392" s="327"/>
      <c r="AC392" s="327"/>
      <c r="AD392" s="327"/>
      <c r="AE392" s="327"/>
    </row>
    <row r="393" spans="1:31" ht="11.25" customHeight="1" x14ac:dyDescent="0.2">
      <c r="A393" s="327"/>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c r="AA393" s="327"/>
      <c r="AB393" s="327"/>
      <c r="AC393" s="327"/>
      <c r="AD393" s="327"/>
      <c r="AE393" s="327"/>
    </row>
    <row r="394" spans="1:31" ht="11.25" customHeight="1" x14ac:dyDescent="0.2">
      <c r="A394" s="327"/>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c r="AB394" s="327"/>
      <c r="AC394" s="327"/>
      <c r="AD394" s="327"/>
      <c r="AE394" s="327"/>
    </row>
    <row r="395" spans="1:31" ht="11.25" customHeight="1" x14ac:dyDescent="0.2">
      <c r="A395" s="327"/>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c r="AA395" s="327"/>
      <c r="AB395" s="327"/>
      <c r="AC395" s="327"/>
      <c r="AD395" s="327"/>
      <c r="AE395" s="327"/>
    </row>
    <row r="396" spans="1:31" ht="11.25" customHeight="1" x14ac:dyDescent="0.2">
      <c r="A396" s="327"/>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c r="AA396" s="327"/>
      <c r="AB396" s="327"/>
      <c r="AC396" s="327"/>
      <c r="AD396" s="327"/>
      <c r="AE396" s="327"/>
    </row>
    <row r="397" spans="1:31" ht="11.25" customHeight="1" x14ac:dyDescent="0.2">
      <c r="A397" s="327"/>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327"/>
      <c r="AE397" s="327"/>
    </row>
    <row r="398" spans="1:31" ht="11.25" customHeight="1" x14ac:dyDescent="0.2">
      <c r="A398" s="327"/>
      <c r="B398" s="327"/>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c r="AB398" s="327"/>
      <c r="AC398" s="327"/>
      <c r="AD398" s="327"/>
      <c r="AE398" s="327"/>
    </row>
    <row r="399" spans="1:31" ht="11.25" customHeight="1" x14ac:dyDescent="0.2">
      <c r="A399" s="327"/>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327"/>
      <c r="AE399" s="327"/>
    </row>
    <row r="400" spans="1:31" ht="11.25" customHeight="1" x14ac:dyDescent="0.2">
      <c r="A400" s="327"/>
      <c r="B400" s="327"/>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c r="AA400" s="327"/>
      <c r="AB400" s="327"/>
      <c r="AC400" s="327"/>
      <c r="AD400" s="327"/>
      <c r="AE400" s="327"/>
    </row>
    <row r="401" spans="1:31" ht="11.25" customHeight="1" x14ac:dyDescent="0.2">
      <c r="A401" s="327"/>
      <c r="B401" s="327"/>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c r="AA401" s="327"/>
      <c r="AB401" s="327"/>
      <c r="AC401" s="327"/>
      <c r="AD401" s="327"/>
      <c r="AE401" s="327"/>
    </row>
    <row r="402" spans="1:31" ht="11.25" customHeight="1" x14ac:dyDescent="0.2">
      <c r="A402" s="327"/>
      <c r="B402" s="327"/>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c r="AA402" s="327"/>
      <c r="AB402" s="327"/>
      <c r="AC402" s="327"/>
      <c r="AD402" s="327"/>
      <c r="AE402" s="327"/>
    </row>
    <row r="403" spans="1:31" ht="11.25" customHeight="1" x14ac:dyDescent="0.2">
      <c r="A403" s="327"/>
      <c r="B403" s="327"/>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c r="AA403" s="327"/>
      <c r="AB403" s="327"/>
      <c r="AC403" s="327"/>
      <c r="AD403" s="327"/>
      <c r="AE403" s="327"/>
    </row>
    <row r="404" spans="1:31" ht="11.25" customHeight="1" x14ac:dyDescent="0.2">
      <c r="A404" s="327"/>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c r="AB404" s="327"/>
      <c r="AC404" s="327"/>
      <c r="AD404" s="327"/>
      <c r="AE404" s="327"/>
    </row>
    <row r="405" spans="1:31" ht="11.25" customHeight="1" x14ac:dyDescent="0.2">
      <c r="A405" s="327"/>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c r="AA405" s="327"/>
      <c r="AB405" s="327"/>
      <c r="AC405" s="327"/>
      <c r="AD405" s="327"/>
      <c r="AE405" s="327"/>
    </row>
    <row r="406" spans="1:31" ht="11.25" customHeight="1" x14ac:dyDescent="0.2">
      <c r="A406" s="327"/>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c r="AC406" s="327"/>
      <c r="AD406" s="327"/>
      <c r="AE406" s="327"/>
    </row>
    <row r="407" spans="1:31" ht="11.25" customHeight="1" x14ac:dyDescent="0.2">
      <c r="A407" s="327"/>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c r="AC407" s="327"/>
      <c r="AD407" s="327"/>
      <c r="AE407" s="327"/>
    </row>
    <row r="408" spans="1:31" ht="11.25" customHeight="1" x14ac:dyDescent="0.2">
      <c r="A408" s="327"/>
      <c r="B408" s="327"/>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c r="AA408" s="327"/>
      <c r="AB408" s="327"/>
      <c r="AC408" s="327"/>
      <c r="AD408" s="327"/>
      <c r="AE408" s="327"/>
    </row>
    <row r="409" spans="1:31" ht="11.25" customHeight="1" x14ac:dyDescent="0.2">
      <c r="A409" s="327"/>
      <c r="B409" s="327"/>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c r="AA409" s="327"/>
      <c r="AB409" s="327"/>
      <c r="AC409" s="327"/>
      <c r="AD409" s="327"/>
      <c r="AE409" s="327"/>
    </row>
    <row r="410" spans="1:31" ht="11.25" customHeight="1" x14ac:dyDescent="0.2">
      <c r="A410" s="327"/>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c r="AA410" s="327"/>
      <c r="AB410" s="327"/>
      <c r="AC410" s="327"/>
      <c r="AD410" s="327"/>
      <c r="AE410" s="327"/>
    </row>
    <row r="411" spans="1:31" ht="11.25" customHeight="1" x14ac:dyDescent="0.2">
      <c r="A411" s="327"/>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c r="AA411" s="327"/>
      <c r="AB411" s="327"/>
      <c r="AC411" s="327"/>
      <c r="AD411" s="327"/>
      <c r="AE411" s="327"/>
    </row>
    <row r="412" spans="1:31" ht="11.25" customHeight="1" x14ac:dyDescent="0.2">
      <c r="A412" s="327"/>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7"/>
      <c r="AD412" s="327"/>
      <c r="AE412" s="327"/>
    </row>
    <row r="413" spans="1:31" ht="11.25" customHeight="1" x14ac:dyDescent="0.2">
      <c r="A413" s="327"/>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c r="AB413" s="327"/>
      <c r="AC413" s="327"/>
      <c r="AD413" s="327"/>
      <c r="AE413" s="327"/>
    </row>
    <row r="414" spans="1:31" ht="11.25" customHeight="1" x14ac:dyDescent="0.2">
      <c r="A414" s="327"/>
      <c r="B414" s="327"/>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c r="AA414" s="327"/>
      <c r="AB414" s="327"/>
      <c r="AC414" s="327"/>
      <c r="AD414" s="327"/>
      <c r="AE414" s="327"/>
    </row>
    <row r="415" spans="1:31" ht="11.25" customHeight="1" x14ac:dyDescent="0.2">
      <c r="A415" s="327"/>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c r="AC415" s="327"/>
      <c r="AD415" s="327"/>
      <c r="AE415" s="327"/>
    </row>
    <row r="416" spans="1:31" ht="11.25" customHeight="1" x14ac:dyDescent="0.2">
      <c r="A416" s="327"/>
      <c r="B416" s="327"/>
      <c r="C416" s="327"/>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c r="AA416" s="327"/>
      <c r="AB416" s="327"/>
      <c r="AC416" s="327"/>
      <c r="AD416" s="327"/>
      <c r="AE416" s="327"/>
    </row>
    <row r="417" spans="1:31" ht="11.25" customHeight="1" x14ac:dyDescent="0.2">
      <c r="A417" s="327"/>
      <c r="B417" s="327"/>
      <c r="C417" s="327"/>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c r="AA417" s="327"/>
      <c r="AB417" s="327"/>
      <c r="AC417" s="327"/>
      <c r="AD417" s="327"/>
      <c r="AE417" s="327"/>
    </row>
    <row r="418" spans="1:31" ht="11.25" customHeight="1" x14ac:dyDescent="0.2">
      <c r="A418" s="327"/>
      <c r="B418" s="327"/>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c r="AA418" s="327"/>
      <c r="AB418" s="327"/>
      <c r="AC418" s="327"/>
      <c r="AD418" s="327"/>
      <c r="AE418" s="327"/>
    </row>
    <row r="419" spans="1:31" ht="11.25" customHeight="1" x14ac:dyDescent="0.2">
      <c r="A419" s="327"/>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7"/>
      <c r="AD419" s="327"/>
      <c r="AE419" s="327"/>
    </row>
    <row r="420" spans="1:31" ht="11.25" customHeight="1" x14ac:dyDescent="0.2">
      <c r="A420" s="327"/>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c r="AA420" s="327"/>
      <c r="AB420" s="327"/>
      <c r="AC420" s="327"/>
      <c r="AD420" s="327"/>
      <c r="AE420" s="327"/>
    </row>
    <row r="421" spans="1:31" ht="11.25" customHeight="1" x14ac:dyDescent="0.2">
      <c r="A421" s="327"/>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c r="AB421" s="327"/>
      <c r="AC421" s="327"/>
      <c r="AD421" s="327"/>
      <c r="AE421" s="327"/>
    </row>
    <row r="422" spans="1:31" ht="11.25" customHeight="1" x14ac:dyDescent="0.2">
      <c r="A422" s="327"/>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327"/>
      <c r="AE422" s="327"/>
    </row>
    <row r="423" spans="1:31" ht="11.25" customHeight="1" x14ac:dyDescent="0.2">
      <c r="A423" s="327"/>
      <c r="B423" s="327"/>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c r="AA423" s="327"/>
      <c r="AB423" s="327"/>
      <c r="AC423" s="327"/>
      <c r="AD423" s="327"/>
      <c r="AE423" s="327"/>
    </row>
    <row r="424" spans="1:31" ht="11.25" customHeight="1" x14ac:dyDescent="0.2">
      <c r="A424" s="327"/>
      <c r="B424" s="327"/>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c r="AA424" s="327"/>
      <c r="AB424" s="327"/>
      <c r="AC424" s="327"/>
      <c r="AD424" s="327"/>
      <c r="AE424" s="327"/>
    </row>
    <row r="425" spans="1:31" ht="11.25" customHeight="1" x14ac:dyDescent="0.2">
      <c r="A425" s="327"/>
      <c r="B425" s="327"/>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c r="AA425" s="327"/>
      <c r="AB425" s="327"/>
      <c r="AC425" s="327"/>
      <c r="AD425" s="327"/>
      <c r="AE425" s="327"/>
    </row>
    <row r="426" spans="1:31" ht="11.25" customHeight="1" x14ac:dyDescent="0.2">
      <c r="A426" s="327"/>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c r="AB426" s="327"/>
      <c r="AC426" s="327"/>
      <c r="AD426" s="327"/>
      <c r="AE426" s="327"/>
    </row>
    <row r="427" spans="1:31" ht="11.25" customHeight="1" x14ac:dyDescent="0.2">
      <c r="A427" s="327"/>
      <c r="B427" s="327"/>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c r="AA427" s="327"/>
      <c r="AB427" s="327"/>
      <c r="AC427" s="327"/>
      <c r="AD427" s="327"/>
      <c r="AE427" s="327"/>
    </row>
    <row r="428" spans="1:31" ht="11.25" customHeight="1" x14ac:dyDescent="0.2">
      <c r="A428" s="327"/>
      <c r="B428" s="327"/>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c r="AA428" s="327"/>
      <c r="AB428" s="327"/>
      <c r="AC428" s="327"/>
      <c r="AD428" s="327"/>
      <c r="AE428" s="327"/>
    </row>
    <row r="429" spans="1:31" ht="11.25" customHeight="1" x14ac:dyDescent="0.2">
      <c r="A429" s="327"/>
      <c r="B429" s="327"/>
      <c r="C429" s="327"/>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c r="AA429" s="327"/>
      <c r="AB429" s="327"/>
      <c r="AC429" s="327"/>
      <c r="AD429" s="327"/>
      <c r="AE429" s="327"/>
    </row>
    <row r="430" spans="1:31" ht="11.25" customHeight="1" x14ac:dyDescent="0.2">
      <c r="A430" s="327"/>
      <c r="B430" s="327"/>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c r="AA430" s="327"/>
      <c r="AB430" s="327"/>
      <c r="AC430" s="327"/>
      <c r="AD430" s="327"/>
      <c r="AE430" s="327"/>
    </row>
    <row r="431" spans="1:31" ht="11.25" customHeight="1" x14ac:dyDescent="0.2">
      <c r="A431" s="327"/>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c r="AB431" s="327"/>
      <c r="AC431" s="327"/>
      <c r="AD431" s="327"/>
      <c r="AE431" s="327"/>
    </row>
    <row r="432" spans="1:31" ht="11.25" customHeight="1" x14ac:dyDescent="0.2">
      <c r="A432" s="327"/>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c r="AA432" s="327"/>
      <c r="AB432" s="327"/>
      <c r="AC432" s="327"/>
      <c r="AD432" s="327"/>
      <c r="AE432" s="327"/>
    </row>
    <row r="433" spans="1:31" ht="11.25" customHeight="1" x14ac:dyDescent="0.2">
      <c r="A433" s="327"/>
      <c r="B433" s="327"/>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c r="AA433" s="327"/>
      <c r="AB433" s="327"/>
      <c r="AC433" s="327"/>
      <c r="AD433" s="327"/>
      <c r="AE433" s="327"/>
    </row>
    <row r="434" spans="1:31" ht="11.25" customHeight="1" x14ac:dyDescent="0.2">
      <c r="A434" s="327"/>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c r="AB434" s="327"/>
      <c r="AC434" s="327"/>
      <c r="AD434" s="327"/>
      <c r="AE434" s="327"/>
    </row>
    <row r="435" spans="1:31" ht="11.25" customHeight="1" x14ac:dyDescent="0.2">
      <c r="A435" s="327"/>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c r="AB435" s="327"/>
      <c r="AC435" s="327"/>
      <c r="AD435" s="327"/>
      <c r="AE435" s="327"/>
    </row>
    <row r="436" spans="1:31" ht="11.25" customHeight="1" x14ac:dyDescent="0.2">
      <c r="A436" s="327"/>
      <c r="B436" s="327"/>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c r="AA436" s="327"/>
      <c r="AB436" s="327"/>
      <c r="AC436" s="327"/>
      <c r="AD436" s="327"/>
      <c r="AE436" s="327"/>
    </row>
    <row r="437" spans="1:31" ht="11.25" customHeight="1" x14ac:dyDescent="0.2">
      <c r="A437" s="327"/>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c r="AA437" s="327"/>
      <c r="AB437" s="327"/>
      <c r="AC437" s="327"/>
      <c r="AD437" s="327"/>
      <c r="AE437" s="327"/>
    </row>
    <row r="438" spans="1:31" ht="11.25" customHeight="1" x14ac:dyDescent="0.2">
      <c r="A438" s="327"/>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327"/>
      <c r="AE438" s="327"/>
    </row>
    <row r="439" spans="1:31" ht="11.25" customHeight="1" x14ac:dyDescent="0.2">
      <c r="A439" s="327"/>
      <c r="B439" s="327"/>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c r="AA439" s="327"/>
      <c r="AB439" s="327"/>
      <c r="AC439" s="327"/>
      <c r="AD439" s="327"/>
      <c r="AE439" s="327"/>
    </row>
    <row r="440" spans="1:31" ht="11.25" customHeight="1" x14ac:dyDescent="0.2">
      <c r="A440" s="327"/>
      <c r="B440" s="327"/>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c r="AA440" s="327"/>
      <c r="AB440" s="327"/>
      <c r="AC440" s="327"/>
      <c r="AD440" s="327"/>
      <c r="AE440" s="327"/>
    </row>
    <row r="441" spans="1:31" ht="11.25" customHeight="1" x14ac:dyDescent="0.2">
      <c r="A441" s="327"/>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c r="AB441" s="327"/>
      <c r="AC441" s="327"/>
      <c r="AD441" s="327"/>
      <c r="AE441" s="327"/>
    </row>
    <row r="442" spans="1:31" ht="11.25" customHeight="1" x14ac:dyDescent="0.2">
      <c r="A442" s="327"/>
      <c r="B442" s="327"/>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c r="AA442" s="327"/>
      <c r="AB442" s="327"/>
      <c r="AC442" s="327"/>
      <c r="AD442" s="327"/>
      <c r="AE442" s="327"/>
    </row>
    <row r="443" spans="1:31" ht="11.25" customHeight="1" x14ac:dyDescent="0.2">
      <c r="A443" s="327"/>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c r="AB443" s="327"/>
      <c r="AC443" s="327"/>
      <c r="AD443" s="327"/>
      <c r="AE443" s="327"/>
    </row>
    <row r="444" spans="1:31" ht="11.25" customHeight="1" x14ac:dyDescent="0.2">
      <c r="A444" s="327"/>
      <c r="B444" s="327"/>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c r="AA444" s="327"/>
      <c r="AB444" s="327"/>
      <c r="AC444" s="327"/>
      <c r="AD444" s="327"/>
      <c r="AE444" s="327"/>
    </row>
    <row r="445" spans="1:31" ht="11.25" customHeight="1" x14ac:dyDescent="0.2">
      <c r="A445" s="327"/>
      <c r="B445" s="327"/>
      <c r="C445" s="327"/>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c r="AA445" s="327"/>
      <c r="AB445" s="327"/>
      <c r="AC445" s="327"/>
      <c r="AD445" s="327"/>
      <c r="AE445" s="327"/>
    </row>
    <row r="446" spans="1:31" ht="11.25" customHeight="1" x14ac:dyDescent="0.2">
      <c r="A446" s="327"/>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327"/>
      <c r="AE446" s="327"/>
    </row>
    <row r="447" spans="1:31" ht="11.25" customHeight="1" x14ac:dyDescent="0.2">
      <c r="A447" s="327"/>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c r="AA447" s="327"/>
      <c r="AB447" s="327"/>
      <c r="AC447" s="327"/>
      <c r="AD447" s="327"/>
      <c r="AE447" s="327"/>
    </row>
    <row r="448" spans="1:31" ht="11.25" customHeight="1" x14ac:dyDescent="0.2">
      <c r="A448" s="327"/>
      <c r="B448" s="327"/>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c r="AA448" s="327"/>
      <c r="AB448" s="327"/>
      <c r="AC448" s="327"/>
      <c r="AD448" s="327"/>
      <c r="AE448" s="327"/>
    </row>
    <row r="449" spans="1:31" ht="11.25" customHeight="1" x14ac:dyDescent="0.2">
      <c r="A449" s="327"/>
      <c r="B449" s="327"/>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c r="AA449" s="327"/>
      <c r="AB449" s="327"/>
      <c r="AC449" s="327"/>
      <c r="AD449" s="327"/>
      <c r="AE449" s="327"/>
    </row>
    <row r="450" spans="1:31" ht="11.25" customHeight="1" x14ac:dyDescent="0.2">
      <c r="A450" s="327"/>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c r="AB450" s="327"/>
      <c r="AC450" s="327"/>
      <c r="AD450" s="327"/>
      <c r="AE450" s="327"/>
    </row>
    <row r="451" spans="1:31" ht="11.25" customHeight="1" x14ac:dyDescent="0.2">
      <c r="A451" s="327"/>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c r="AA451" s="327"/>
      <c r="AB451" s="327"/>
      <c r="AC451" s="327"/>
      <c r="AD451" s="327"/>
      <c r="AE451" s="327"/>
    </row>
    <row r="452" spans="1:31" ht="11.25" customHeight="1" x14ac:dyDescent="0.2">
      <c r="A452" s="327"/>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c r="AA452" s="327"/>
      <c r="AB452" s="327"/>
      <c r="AC452" s="327"/>
      <c r="AD452" s="327"/>
      <c r="AE452" s="327"/>
    </row>
    <row r="453" spans="1:31" ht="11.25" customHeight="1" x14ac:dyDescent="0.2">
      <c r="A453" s="327"/>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c r="AA453" s="327"/>
      <c r="AB453" s="327"/>
      <c r="AC453" s="327"/>
      <c r="AD453" s="327"/>
      <c r="AE453" s="327"/>
    </row>
    <row r="454" spans="1:31" ht="11.25" customHeight="1" x14ac:dyDescent="0.2">
      <c r="A454" s="327"/>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c r="AA454" s="327"/>
      <c r="AB454" s="327"/>
      <c r="AC454" s="327"/>
      <c r="AD454" s="327"/>
      <c r="AE454" s="327"/>
    </row>
    <row r="455" spans="1:31" ht="11.25" customHeight="1" x14ac:dyDescent="0.2">
      <c r="A455" s="327"/>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c r="AA455" s="327"/>
      <c r="AB455" s="327"/>
      <c r="AC455" s="327"/>
      <c r="AD455" s="327"/>
      <c r="AE455" s="327"/>
    </row>
    <row r="456" spans="1:31" ht="11.25" customHeight="1" x14ac:dyDescent="0.2">
      <c r="A456" s="327"/>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c r="AB456" s="327"/>
      <c r="AC456" s="327"/>
      <c r="AD456" s="327"/>
      <c r="AE456" s="327"/>
    </row>
    <row r="457" spans="1:31" ht="11.25" customHeight="1" x14ac:dyDescent="0.2">
      <c r="A457" s="327"/>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c r="AA457" s="327"/>
      <c r="AB457" s="327"/>
      <c r="AC457" s="327"/>
      <c r="AD457" s="327"/>
      <c r="AE457" s="327"/>
    </row>
    <row r="458" spans="1:31" ht="11.25" customHeight="1" x14ac:dyDescent="0.2">
      <c r="A458" s="327"/>
      <c r="B458" s="327"/>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c r="AA458" s="327"/>
      <c r="AB458" s="327"/>
      <c r="AC458" s="327"/>
      <c r="AD458" s="327"/>
      <c r="AE458" s="327"/>
    </row>
    <row r="459" spans="1:31" ht="11.25" customHeight="1" x14ac:dyDescent="0.2">
      <c r="A459" s="327"/>
      <c r="B459" s="327"/>
      <c r="C459" s="327"/>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c r="AA459" s="327"/>
      <c r="AB459" s="327"/>
      <c r="AC459" s="327"/>
      <c r="AD459" s="327"/>
      <c r="AE459" s="327"/>
    </row>
    <row r="460" spans="1:31" ht="11.25" customHeight="1" x14ac:dyDescent="0.2">
      <c r="A460" s="327"/>
      <c r="B460" s="327"/>
      <c r="C460" s="327"/>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c r="AA460" s="327"/>
      <c r="AB460" s="327"/>
      <c r="AC460" s="327"/>
      <c r="AD460" s="327"/>
      <c r="AE460" s="327"/>
    </row>
    <row r="461" spans="1:31" ht="11.25" customHeight="1" x14ac:dyDescent="0.2">
      <c r="A461" s="327"/>
      <c r="B461" s="327"/>
      <c r="C461" s="327"/>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c r="AA461" s="327"/>
      <c r="AB461" s="327"/>
      <c r="AC461" s="327"/>
      <c r="AD461" s="327"/>
      <c r="AE461" s="327"/>
    </row>
    <row r="462" spans="1:31" ht="11.25" customHeight="1" x14ac:dyDescent="0.2">
      <c r="A462" s="327"/>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c r="AA462" s="327"/>
      <c r="AB462" s="327"/>
      <c r="AC462" s="327"/>
      <c r="AD462" s="327"/>
      <c r="AE462" s="327"/>
    </row>
    <row r="463" spans="1:31" ht="11.25" customHeight="1" x14ac:dyDescent="0.2">
      <c r="A463" s="327"/>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c r="AA463" s="327"/>
      <c r="AB463" s="327"/>
      <c r="AC463" s="327"/>
      <c r="AD463" s="327"/>
      <c r="AE463" s="327"/>
    </row>
    <row r="464" spans="1:31" ht="11.25" customHeight="1" x14ac:dyDescent="0.2">
      <c r="A464" s="327"/>
      <c r="B464" s="327"/>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c r="AA464" s="327"/>
      <c r="AB464" s="327"/>
      <c r="AC464" s="327"/>
      <c r="AD464" s="327"/>
      <c r="AE464" s="327"/>
    </row>
    <row r="465" spans="1:31" ht="11.25" customHeight="1" x14ac:dyDescent="0.2">
      <c r="A465" s="327"/>
      <c r="B465" s="327"/>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c r="AA465" s="327"/>
      <c r="AB465" s="327"/>
      <c r="AC465" s="327"/>
      <c r="AD465" s="327"/>
      <c r="AE465" s="327"/>
    </row>
    <row r="466" spans="1:31" ht="11.25" customHeight="1" x14ac:dyDescent="0.2">
      <c r="A466" s="327"/>
      <c r="B466" s="327"/>
      <c r="C466" s="327"/>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c r="AA466" s="327"/>
      <c r="AB466" s="327"/>
      <c r="AC466" s="327"/>
      <c r="AD466" s="327"/>
      <c r="AE466" s="327"/>
    </row>
    <row r="467" spans="1:31" ht="11.25" customHeight="1" x14ac:dyDescent="0.2">
      <c r="A467" s="327"/>
      <c r="B467" s="327"/>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c r="AA467" s="327"/>
      <c r="AB467" s="327"/>
      <c r="AC467" s="327"/>
      <c r="AD467" s="327"/>
      <c r="AE467" s="327"/>
    </row>
    <row r="468" spans="1:31" ht="11.25" customHeight="1" x14ac:dyDescent="0.2">
      <c r="A468" s="327"/>
      <c r="B468" s="327"/>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c r="AA468" s="327"/>
      <c r="AB468" s="327"/>
      <c r="AC468" s="327"/>
      <c r="AD468" s="327"/>
      <c r="AE468" s="327"/>
    </row>
    <row r="469" spans="1:31" ht="11.25" customHeight="1" x14ac:dyDescent="0.2">
      <c r="A469" s="327"/>
      <c r="B469" s="327"/>
      <c r="C469" s="327"/>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c r="AA469" s="327"/>
      <c r="AB469" s="327"/>
      <c r="AC469" s="327"/>
      <c r="AD469" s="327"/>
      <c r="AE469" s="327"/>
    </row>
    <row r="470" spans="1:31" ht="11.25" customHeight="1" x14ac:dyDescent="0.2">
      <c r="A470" s="327"/>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327"/>
      <c r="AE470" s="327"/>
    </row>
    <row r="471" spans="1:31" ht="11.25" customHeight="1" x14ac:dyDescent="0.2">
      <c r="A471" s="327"/>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327"/>
      <c r="AE471" s="327"/>
    </row>
    <row r="472" spans="1:31" ht="11.25" customHeight="1" x14ac:dyDescent="0.2">
      <c r="A472" s="327"/>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c r="AA472" s="327"/>
      <c r="AB472" s="327"/>
      <c r="AC472" s="327"/>
      <c r="AD472" s="327"/>
      <c r="AE472" s="327"/>
    </row>
    <row r="473" spans="1:31" ht="11.25" customHeight="1" x14ac:dyDescent="0.2">
      <c r="A473" s="327"/>
      <c r="B473" s="327"/>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c r="AA473" s="327"/>
      <c r="AB473" s="327"/>
      <c r="AC473" s="327"/>
      <c r="AD473" s="327"/>
      <c r="AE473" s="327"/>
    </row>
    <row r="474" spans="1:31" ht="11.25" customHeight="1" x14ac:dyDescent="0.2">
      <c r="A474" s="327"/>
      <c r="B474" s="327"/>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c r="AA474" s="327"/>
      <c r="AB474" s="327"/>
      <c r="AC474" s="327"/>
      <c r="AD474" s="327"/>
      <c r="AE474" s="327"/>
    </row>
    <row r="475" spans="1:31" ht="11.25" customHeight="1" x14ac:dyDescent="0.2">
      <c r="A475" s="327"/>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c r="AC475" s="327"/>
      <c r="AD475" s="327"/>
      <c r="AE475" s="327"/>
    </row>
    <row r="476" spans="1:31" ht="11.25" customHeight="1" x14ac:dyDescent="0.2">
      <c r="A476" s="327"/>
      <c r="B476" s="327"/>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c r="AA476" s="327"/>
      <c r="AB476" s="327"/>
      <c r="AC476" s="327"/>
      <c r="AD476" s="327"/>
      <c r="AE476" s="327"/>
    </row>
    <row r="477" spans="1:31" ht="11.25" customHeight="1" x14ac:dyDescent="0.2">
      <c r="A477" s="327"/>
      <c r="B477" s="327"/>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c r="AA477" s="327"/>
      <c r="AB477" s="327"/>
      <c r="AC477" s="327"/>
      <c r="AD477" s="327"/>
      <c r="AE477" s="327"/>
    </row>
    <row r="478" spans="1:31" ht="11.25" customHeight="1" x14ac:dyDescent="0.2">
      <c r="A478" s="327"/>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c r="AA478" s="327"/>
      <c r="AB478" s="327"/>
      <c r="AC478" s="327"/>
      <c r="AD478" s="327"/>
      <c r="AE478" s="327"/>
    </row>
    <row r="479" spans="1:31" ht="11.25" customHeight="1" x14ac:dyDescent="0.2">
      <c r="A479" s="327"/>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c r="AB479" s="327"/>
      <c r="AC479" s="327"/>
      <c r="AD479" s="327"/>
      <c r="AE479" s="327"/>
    </row>
    <row r="480" spans="1:31" ht="11.25" customHeight="1" x14ac:dyDescent="0.2">
      <c r="A480" s="327"/>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c r="AA480" s="327"/>
      <c r="AB480" s="327"/>
      <c r="AC480" s="327"/>
      <c r="AD480" s="327"/>
      <c r="AE480" s="327"/>
    </row>
    <row r="481" spans="1:31" ht="11.25" customHeight="1" x14ac:dyDescent="0.2">
      <c r="A481" s="327"/>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327"/>
      <c r="AE481" s="327"/>
    </row>
    <row r="482" spans="1:31" ht="11.25" customHeight="1" x14ac:dyDescent="0.2">
      <c r="A482" s="327"/>
      <c r="B482" s="327"/>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c r="AA482" s="327"/>
      <c r="AB482" s="327"/>
      <c r="AC482" s="327"/>
      <c r="AD482" s="327"/>
      <c r="AE482" s="327"/>
    </row>
    <row r="483" spans="1:31" ht="11.25" customHeight="1" x14ac:dyDescent="0.2">
      <c r="A483" s="327"/>
      <c r="B483" s="327"/>
      <c r="C483" s="327"/>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c r="AA483" s="327"/>
      <c r="AB483" s="327"/>
      <c r="AC483" s="327"/>
      <c r="AD483" s="327"/>
      <c r="AE483" s="327"/>
    </row>
    <row r="484" spans="1:31" ht="11.25" customHeight="1" x14ac:dyDescent="0.2">
      <c r="A484" s="327"/>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c r="AB484" s="327"/>
      <c r="AC484" s="327"/>
      <c r="AD484" s="327"/>
      <c r="AE484" s="327"/>
    </row>
    <row r="485" spans="1:31" ht="11.25" customHeight="1" x14ac:dyDescent="0.2">
      <c r="A485" s="327"/>
      <c r="B485" s="327"/>
      <c r="C485" s="327"/>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c r="AA485" s="327"/>
      <c r="AB485" s="327"/>
      <c r="AC485" s="327"/>
      <c r="AD485" s="327"/>
      <c r="AE485" s="327"/>
    </row>
    <row r="486" spans="1:31" ht="11.25" customHeight="1" x14ac:dyDescent="0.2">
      <c r="A486" s="327"/>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c r="AA486" s="327"/>
      <c r="AB486" s="327"/>
      <c r="AC486" s="327"/>
      <c r="AD486" s="327"/>
      <c r="AE486" s="327"/>
    </row>
    <row r="487" spans="1:31" ht="11.25" customHeight="1" x14ac:dyDescent="0.2">
      <c r="A487" s="327"/>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c r="AB487" s="327"/>
      <c r="AC487" s="327"/>
      <c r="AD487" s="327"/>
      <c r="AE487" s="327"/>
    </row>
    <row r="488" spans="1:31" ht="11.25" customHeight="1" x14ac:dyDescent="0.2">
      <c r="A488" s="327"/>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c r="AA488" s="327"/>
      <c r="AB488" s="327"/>
      <c r="AC488" s="327"/>
      <c r="AD488" s="327"/>
      <c r="AE488" s="327"/>
    </row>
    <row r="489" spans="1:31" ht="11.25" customHeight="1" x14ac:dyDescent="0.2">
      <c r="A489" s="327"/>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c r="AA489" s="327"/>
      <c r="AB489" s="327"/>
      <c r="AC489" s="327"/>
      <c r="AD489" s="327"/>
      <c r="AE489" s="327"/>
    </row>
    <row r="490" spans="1:31" ht="11.25" customHeight="1" x14ac:dyDescent="0.2">
      <c r="A490" s="327"/>
      <c r="B490" s="327"/>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c r="AA490" s="327"/>
      <c r="AB490" s="327"/>
      <c r="AC490" s="327"/>
      <c r="AD490" s="327"/>
      <c r="AE490" s="327"/>
    </row>
    <row r="491" spans="1:31" ht="11.25" customHeight="1" x14ac:dyDescent="0.2">
      <c r="A491" s="327"/>
      <c r="B491" s="327"/>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c r="AA491" s="327"/>
      <c r="AB491" s="327"/>
      <c r="AC491" s="327"/>
      <c r="AD491" s="327"/>
      <c r="AE491" s="327"/>
    </row>
    <row r="492" spans="1:31" ht="11.25" customHeight="1" x14ac:dyDescent="0.2">
      <c r="A492" s="327"/>
      <c r="B492" s="327"/>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c r="AA492" s="327"/>
      <c r="AB492" s="327"/>
      <c r="AC492" s="327"/>
      <c r="AD492" s="327"/>
      <c r="AE492" s="327"/>
    </row>
    <row r="493" spans="1:31" ht="11.25" customHeight="1" x14ac:dyDescent="0.2">
      <c r="A493" s="327"/>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c r="AA493" s="327"/>
      <c r="AB493" s="327"/>
      <c r="AC493" s="327"/>
      <c r="AD493" s="327"/>
      <c r="AE493" s="327"/>
    </row>
    <row r="494" spans="1:31" ht="11.25" customHeight="1" x14ac:dyDescent="0.2">
      <c r="A494" s="327"/>
      <c r="B494" s="327"/>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c r="AA494" s="327"/>
      <c r="AB494" s="327"/>
      <c r="AC494" s="327"/>
      <c r="AD494" s="327"/>
      <c r="AE494" s="327"/>
    </row>
    <row r="495" spans="1:31" ht="11.25" customHeight="1" x14ac:dyDescent="0.2">
      <c r="A495" s="327"/>
      <c r="B495" s="327"/>
      <c r="C495" s="327"/>
      <c r="D495" s="327"/>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c r="AA495" s="327"/>
      <c r="AB495" s="327"/>
      <c r="AC495" s="327"/>
      <c r="AD495" s="327"/>
      <c r="AE495" s="327"/>
    </row>
    <row r="496" spans="1:31" ht="11.25" customHeight="1" x14ac:dyDescent="0.2">
      <c r="A496" s="327"/>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327"/>
      <c r="AE496" s="327"/>
    </row>
    <row r="497" spans="1:31" ht="11.25" customHeight="1" x14ac:dyDescent="0.2">
      <c r="A497" s="327"/>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c r="AA497" s="327"/>
      <c r="AB497" s="327"/>
      <c r="AC497" s="327"/>
      <c r="AD497" s="327"/>
      <c r="AE497" s="327"/>
    </row>
    <row r="498" spans="1:31" ht="11.25" customHeight="1" x14ac:dyDescent="0.2">
      <c r="A498" s="327"/>
      <c r="B498" s="327"/>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c r="AA498" s="327"/>
      <c r="AB498" s="327"/>
      <c r="AC498" s="327"/>
      <c r="AD498" s="327"/>
      <c r="AE498" s="327"/>
    </row>
    <row r="499" spans="1:31" ht="11.25" customHeight="1" x14ac:dyDescent="0.2">
      <c r="A499" s="327"/>
      <c r="B499" s="327"/>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c r="AA499" s="327"/>
      <c r="AB499" s="327"/>
      <c r="AC499" s="327"/>
      <c r="AD499" s="327"/>
      <c r="AE499" s="327"/>
    </row>
    <row r="500" spans="1:31" ht="11.25" customHeight="1" x14ac:dyDescent="0.2">
      <c r="A500" s="327"/>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327"/>
      <c r="AE500" s="327"/>
    </row>
    <row r="501" spans="1:31" ht="11.25" customHeight="1" x14ac:dyDescent="0.2">
      <c r="A501" s="327"/>
      <c r="B501" s="327"/>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c r="AA501" s="327"/>
      <c r="AB501" s="327"/>
      <c r="AC501" s="327"/>
      <c r="AD501" s="327"/>
      <c r="AE501" s="327"/>
    </row>
    <row r="502" spans="1:31" ht="11.25" customHeight="1" x14ac:dyDescent="0.2">
      <c r="A502" s="327"/>
      <c r="B502" s="327"/>
      <c r="C502" s="327"/>
      <c r="D502" s="327"/>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c r="AA502" s="327"/>
      <c r="AB502" s="327"/>
      <c r="AC502" s="327"/>
      <c r="AD502" s="327"/>
      <c r="AE502" s="327"/>
    </row>
    <row r="503" spans="1:31" ht="11.25" customHeight="1" x14ac:dyDescent="0.2">
      <c r="A503" s="327"/>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c r="AB503" s="327"/>
      <c r="AC503" s="327"/>
      <c r="AD503" s="327"/>
      <c r="AE503" s="327"/>
    </row>
    <row r="504" spans="1:31" ht="11.25" customHeight="1" x14ac:dyDescent="0.2">
      <c r="A504" s="327"/>
      <c r="B504" s="327"/>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c r="AA504" s="327"/>
      <c r="AB504" s="327"/>
      <c r="AC504" s="327"/>
      <c r="AD504" s="327"/>
      <c r="AE504" s="327"/>
    </row>
    <row r="505" spans="1:31" ht="11.25" customHeight="1" x14ac:dyDescent="0.2">
      <c r="A505" s="327"/>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c r="AA505" s="327"/>
      <c r="AB505" s="327"/>
      <c r="AC505" s="327"/>
      <c r="AD505" s="327"/>
      <c r="AE505" s="327"/>
    </row>
    <row r="506" spans="1:31" ht="11.25" customHeight="1" x14ac:dyDescent="0.2">
      <c r="A506" s="327"/>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c r="AA506" s="327"/>
      <c r="AB506" s="327"/>
      <c r="AC506" s="327"/>
      <c r="AD506" s="327"/>
      <c r="AE506" s="327"/>
    </row>
    <row r="507" spans="1:31" ht="11.25" customHeight="1" x14ac:dyDescent="0.2">
      <c r="A507" s="327"/>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c r="AA507" s="327"/>
      <c r="AB507" s="327"/>
      <c r="AC507" s="327"/>
      <c r="AD507" s="327"/>
      <c r="AE507" s="327"/>
    </row>
    <row r="508" spans="1:31" ht="11.25" customHeight="1" x14ac:dyDescent="0.2">
      <c r="A508" s="327"/>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327"/>
      <c r="AE508" s="327"/>
    </row>
    <row r="509" spans="1:31" ht="11.25" customHeight="1" x14ac:dyDescent="0.2">
      <c r="A509" s="327"/>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c r="AB509" s="327"/>
      <c r="AC509" s="327"/>
      <c r="AD509" s="327"/>
      <c r="AE509" s="327"/>
    </row>
    <row r="510" spans="1:31" ht="11.25" customHeight="1" x14ac:dyDescent="0.2">
      <c r="A510" s="327"/>
      <c r="B510" s="327"/>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c r="AA510" s="327"/>
      <c r="AB510" s="327"/>
      <c r="AC510" s="327"/>
      <c r="AD510" s="327"/>
      <c r="AE510" s="327"/>
    </row>
    <row r="511" spans="1:31" ht="11.25" customHeight="1" x14ac:dyDescent="0.2">
      <c r="A511" s="327"/>
      <c r="B511" s="327"/>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c r="AA511" s="327"/>
      <c r="AB511" s="327"/>
      <c r="AC511" s="327"/>
      <c r="AD511" s="327"/>
      <c r="AE511" s="327"/>
    </row>
    <row r="512" spans="1:31" ht="11.25" customHeight="1" x14ac:dyDescent="0.2">
      <c r="A512" s="327"/>
      <c r="B512" s="327"/>
      <c r="C512" s="327"/>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c r="AA512" s="327"/>
      <c r="AB512" s="327"/>
      <c r="AC512" s="327"/>
      <c r="AD512" s="327"/>
      <c r="AE512" s="327"/>
    </row>
    <row r="513" spans="1:31" ht="11.25" customHeight="1" x14ac:dyDescent="0.2">
      <c r="A513" s="327"/>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c r="AA513" s="327"/>
      <c r="AB513" s="327"/>
      <c r="AC513" s="327"/>
      <c r="AD513" s="327"/>
      <c r="AE513" s="327"/>
    </row>
    <row r="514" spans="1:31" ht="11.25" customHeight="1" x14ac:dyDescent="0.2">
      <c r="A514" s="327"/>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c r="AB514" s="327"/>
      <c r="AC514" s="327"/>
      <c r="AD514" s="327"/>
      <c r="AE514" s="327"/>
    </row>
    <row r="515" spans="1:31" ht="11.25" customHeight="1" x14ac:dyDescent="0.2">
      <c r="A515" s="327"/>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c r="AA515" s="327"/>
      <c r="AB515" s="327"/>
      <c r="AC515" s="327"/>
      <c r="AD515" s="327"/>
      <c r="AE515" s="327"/>
    </row>
    <row r="516" spans="1:31" ht="11.25" customHeight="1" x14ac:dyDescent="0.2">
      <c r="A516" s="327"/>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c r="AA516" s="327"/>
      <c r="AB516" s="327"/>
      <c r="AC516" s="327"/>
      <c r="AD516" s="327"/>
      <c r="AE516" s="327"/>
    </row>
    <row r="517" spans="1:31" ht="11.25" customHeight="1" x14ac:dyDescent="0.2">
      <c r="A517" s="327"/>
      <c r="B517" s="327"/>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c r="AA517" s="327"/>
      <c r="AB517" s="327"/>
      <c r="AC517" s="327"/>
      <c r="AD517" s="327"/>
      <c r="AE517" s="327"/>
    </row>
    <row r="518" spans="1:31" ht="11.25" customHeight="1" x14ac:dyDescent="0.2">
      <c r="A518" s="327"/>
      <c r="B518" s="327"/>
      <c r="C518" s="327"/>
      <c r="D518" s="327"/>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c r="AA518" s="327"/>
      <c r="AB518" s="327"/>
      <c r="AC518" s="327"/>
      <c r="AD518" s="327"/>
      <c r="AE518" s="327"/>
    </row>
    <row r="519" spans="1:31" ht="11.25" customHeight="1" x14ac:dyDescent="0.2">
      <c r="A519" s="327"/>
      <c r="B519" s="327"/>
      <c r="C519" s="327"/>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c r="AA519" s="327"/>
      <c r="AB519" s="327"/>
      <c r="AC519" s="327"/>
      <c r="AD519" s="327"/>
      <c r="AE519" s="327"/>
    </row>
    <row r="520" spans="1:31" ht="11.25" customHeight="1" x14ac:dyDescent="0.2">
      <c r="A520" s="327"/>
      <c r="B520" s="327"/>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c r="AA520" s="327"/>
      <c r="AB520" s="327"/>
      <c r="AC520" s="327"/>
      <c r="AD520" s="327"/>
      <c r="AE520" s="327"/>
    </row>
    <row r="521" spans="1:31" ht="11.25" customHeight="1" x14ac:dyDescent="0.2">
      <c r="A521" s="327"/>
      <c r="B521" s="327"/>
      <c r="C521" s="327"/>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c r="AA521" s="327"/>
      <c r="AB521" s="327"/>
      <c r="AC521" s="327"/>
      <c r="AD521" s="327"/>
      <c r="AE521" s="327"/>
    </row>
    <row r="522" spans="1:31" ht="11.25" customHeight="1" x14ac:dyDescent="0.2">
      <c r="A522" s="327"/>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c r="AA522" s="327"/>
      <c r="AB522" s="327"/>
      <c r="AC522" s="327"/>
      <c r="AD522" s="327"/>
      <c r="AE522" s="327"/>
    </row>
    <row r="523" spans="1:31" ht="11.25" customHeight="1" x14ac:dyDescent="0.2">
      <c r="A523" s="327"/>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327"/>
      <c r="AE523" s="327"/>
    </row>
    <row r="524" spans="1:31" ht="11.25" customHeight="1" x14ac:dyDescent="0.2">
      <c r="A524" s="327"/>
      <c r="B524" s="327"/>
      <c r="C524" s="327"/>
      <c r="D524" s="327"/>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c r="AA524" s="327"/>
      <c r="AB524" s="327"/>
      <c r="AC524" s="327"/>
      <c r="AD524" s="327"/>
      <c r="AE524" s="327"/>
    </row>
    <row r="525" spans="1:31" ht="11.25" customHeight="1" x14ac:dyDescent="0.2">
      <c r="A525" s="327"/>
      <c r="B525" s="327"/>
      <c r="C525" s="327"/>
      <c r="D525" s="327"/>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c r="AA525" s="327"/>
      <c r="AB525" s="327"/>
      <c r="AC525" s="327"/>
      <c r="AD525" s="327"/>
      <c r="AE525" s="327"/>
    </row>
    <row r="526" spans="1:31" ht="11.25" customHeight="1" x14ac:dyDescent="0.2">
      <c r="A526" s="327"/>
      <c r="B526" s="327"/>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c r="AA526" s="327"/>
      <c r="AB526" s="327"/>
      <c r="AC526" s="327"/>
      <c r="AD526" s="327"/>
      <c r="AE526" s="327"/>
    </row>
    <row r="527" spans="1:31" ht="11.25" customHeight="1" x14ac:dyDescent="0.2">
      <c r="A527" s="327"/>
      <c r="B527" s="327"/>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c r="AA527" s="327"/>
      <c r="AB527" s="327"/>
      <c r="AC527" s="327"/>
      <c r="AD527" s="327"/>
      <c r="AE527" s="327"/>
    </row>
    <row r="528" spans="1:31" ht="11.25" customHeight="1" x14ac:dyDescent="0.2">
      <c r="A528" s="327"/>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c r="AA528" s="327"/>
      <c r="AB528" s="327"/>
      <c r="AC528" s="327"/>
      <c r="AD528" s="327"/>
      <c r="AE528" s="327"/>
    </row>
    <row r="529" spans="1:31" ht="11.25" customHeight="1" x14ac:dyDescent="0.2">
      <c r="A529" s="327"/>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327"/>
      <c r="AE529" s="327"/>
    </row>
    <row r="530" spans="1:31" ht="11.25" customHeight="1" x14ac:dyDescent="0.2">
      <c r="A530" s="327"/>
      <c r="B530" s="327"/>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c r="AA530" s="327"/>
      <c r="AB530" s="327"/>
      <c r="AC530" s="327"/>
      <c r="AD530" s="327"/>
      <c r="AE530" s="327"/>
    </row>
    <row r="531" spans="1:31" ht="11.25" customHeight="1" x14ac:dyDescent="0.2">
      <c r="A531" s="327"/>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327"/>
      <c r="AE531" s="327"/>
    </row>
    <row r="532" spans="1:31" ht="11.25" customHeight="1" x14ac:dyDescent="0.2">
      <c r="A532" s="327"/>
      <c r="B532" s="327"/>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c r="AA532" s="327"/>
      <c r="AB532" s="327"/>
      <c r="AC532" s="327"/>
      <c r="AD532" s="327"/>
      <c r="AE532" s="327"/>
    </row>
    <row r="533" spans="1:31" ht="11.25" customHeight="1" x14ac:dyDescent="0.2">
      <c r="A533" s="327"/>
      <c r="B533" s="327"/>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c r="AA533" s="327"/>
      <c r="AB533" s="327"/>
      <c r="AC533" s="327"/>
      <c r="AD533" s="327"/>
      <c r="AE533" s="327"/>
    </row>
    <row r="534" spans="1:31" ht="11.25" customHeight="1" x14ac:dyDescent="0.2">
      <c r="A534" s="327"/>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c r="AA534" s="327"/>
      <c r="AB534" s="327"/>
      <c r="AC534" s="327"/>
      <c r="AD534" s="327"/>
      <c r="AE534" s="327"/>
    </row>
    <row r="535" spans="1:31" ht="11.25" customHeight="1" x14ac:dyDescent="0.2">
      <c r="A535" s="327"/>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c r="AA535" s="327"/>
      <c r="AB535" s="327"/>
      <c r="AC535" s="327"/>
      <c r="AD535" s="327"/>
      <c r="AE535" s="327"/>
    </row>
    <row r="536" spans="1:31" ht="11.25" customHeight="1" x14ac:dyDescent="0.2">
      <c r="A536" s="327"/>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c r="AA536" s="327"/>
      <c r="AB536" s="327"/>
      <c r="AC536" s="327"/>
      <c r="AD536" s="327"/>
      <c r="AE536" s="327"/>
    </row>
    <row r="537" spans="1:31" ht="11.25" customHeight="1" x14ac:dyDescent="0.2">
      <c r="A537" s="327"/>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c r="AE537" s="327"/>
    </row>
    <row r="538" spans="1:31" ht="11.25" customHeight="1" x14ac:dyDescent="0.2">
      <c r="A538" s="327"/>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c r="AA538" s="327"/>
      <c r="AB538" s="327"/>
      <c r="AC538" s="327"/>
      <c r="AD538" s="327"/>
      <c r="AE538" s="327"/>
    </row>
    <row r="539" spans="1:31" ht="11.25" customHeight="1" x14ac:dyDescent="0.2">
      <c r="A539" s="327"/>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327"/>
      <c r="AE539" s="327"/>
    </row>
    <row r="540" spans="1:31" ht="11.25" customHeight="1" x14ac:dyDescent="0.2">
      <c r="A540" s="327"/>
      <c r="B540" s="327"/>
      <c r="C540" s="327"/>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c r="AA540" s="327"/>
      <c r="AB540" s="327"/>
      <c r="AC540" s="327"/>
      <c r="AD540" s="327"/>
      <c r="AE540" s="327"/>
    </row>
    <row r="541" spans="1:31" ht="11.25" customHeight="1" x14ac:dyDescent="0.2">
      <c r="A541" s="327"/>
      <c r="B541" s="327"/>
      <c r="C541" s="327"/>
      <c r="D541" s="327"/>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c r="AA541" s="327"/>
      <c r="AB541" s="327"/>
      <c r="AC541" s="327"/>
      <c r="AD541" s="327"/>
      <c r="AE541" s="327"/>
    </row>
    <row r="542" spans="1:31" ht="11.25" customHeight="1" x14ac:dyDescent="0.2">
      <c r="A542" s="327"/>
      <c r="B542" s="327"/>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c r="AA542" s="327"/>
      <c r="AB542" s="327"/>
      <c r="AC542" s="327"/>
      <c r="AD542" s="327"/>
      <c r="AE542" s="327"/>
    </row>
    <row r="543" spans="1:31" ht="11.25" customHeight="1" x14ac:dyDescent="0.2">
      <c r="A543" s="327"/>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c r="AB543" s="327"/>
      <c r="AC543" s="327"/>
      <c r="AD543" s="327"/>
      <c r="AE543" s="327"/>
    </row>
    <row r="544" spans="1:31" ht="11.25" customHeight="1" x14ac:dyDescent="0.2">
      <c r="A544" s="327"/>
      <c r="B544" s="327"/>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c r="AA544" s="327"/>
      <c r="AB544" s="327"/>
      <c r="AC544" s="327"/>
      <c r="AD544" s="327"/>
      <c r="AE544" s="327"/>
    </row>
    <row r="545" spans="1:31" ht="11.25" customHeight="1" x14ac:dyDescent="0.2">
      <c r="A545" s="327"/>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c r="AA545" s="327"/>
      <c r="AB545" s="327"/>
      <c r="AC545" s="327"/>
      <c r="AD545" s="327"/>
      <c r="AE545" s="327"/>
    </row>
    <row r="546" spans="1:31" ht="11.25" customHeight="1" x14ac:dyDescent="0.2">
      <c r="A546" s="327"/>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327"/>
      <c r="AE546" s="327"/>
    </row>
    <row r="547" spans="1:31" ht="11.25" customHeight="1" x14ac:dyDescent="0.2">
      <c r="A547" s="327"/>
      <c r="B547" s="327"/>
      <c r="C547" s="327"/>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c r="AA547" s="327"/>
      <c r="AB547" s="327"/>
      <c r="AC547" s="327"/>
      <c r="AD547" s="327"/>
      <c r="AE547" s="327"/>
    </row>
    <row r="548" spans="1:31" ht="11.25" customHeight="1" x14ac:dyDescent="0.2">
      <c r="A548" s="327"/>
      <c r="B548" s="327"/>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c r="AA548" s="327"/>
      <c r="AB548" s="327"/>
      <c r="AC548" s="327"/>
      <c r="AD548" s="327"/>
      <c r="AE548" s="327"/>
    </row>
    <row r="549" spans="1:31" ht="11.25" customHeight="1" x14ac:dyDescent="0.2">
      <c r="A549" s="327"/>
      <c r="B549" s="327"/>
      <c r="C549" s="327"/>
      <c r="D549" s="327"/>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c r="AA549" s="327"/>
      <c r="AB549" s="327"/>
      <c r="AC549" s="327"/>
      <c r="AD549" s="327"/>
      <c r="AE549" s="327"/>
    </row>
    <row r="550" spans="1:31" ht="11.25" customHeight="1" x14ac:dyDescent="0.2">
      <c r="A550" s="327"/>
      <c r="B550" s="327"/>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c r="AA550" s="327"/>
      <c r="AB550" s="327"/>
      <c r="AC550" s="327"/>
      <c r="AD550" s="327"/>
      <c r="AE550" s="327"/>
    </row>
    <row r="551" spans="1:31" ht="11.25" customHeight="1" x14ac:dyDescent="0.2">
      <c r="A551" s="327"/>
      <c r="B551" s="327"/>
      <c r="C551" s="327"/>
      <c r="D551" s="327"/>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c r="AA551" s="327"/>
      <c r="AB551" s="327"/>
      <c r="AC551" s="327"/>
      <c r="AD551" s="327"/>
      <c r="AE551" s="327"/>
    </row>
    <row r="552" spans="1:31" ht="11.25" customHeight="1" x14ac:dyDescent="0.2">
      <c r="A552" s="327"/>
      <c r="B552" s="327"/>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c r="AA552" s="327"/>
      <c r="AB552" s="327"/>
      <c r="AC552" s="327"/>
      <c r="AD552" s="327"/>
      <c r="AE552" s="327"/>
    </row>
    <row r="553" spans="1:31" ht="11.25" customHeight="1" x14ac:dyDescent="0.2">
      <c r="A553" s="327"/>
      <c r="B553" s="327"/>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c r="AA553" s="327"/>
      <c r="AB553" s="327"/>
      <c r="AC553" s="327"/>
      <c r="AD553" s="327"/>
      <c r="AE553" s="327"/>
    </row>
    <row r="554" spans="1:31" ht="11.25" customHeight="1" x14ac:dyDescent="0.2">
      <c r="A554" s="327"/>
      <c r="B554" s="327"/>
      <c r="C554" s="327"/>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c r="AA554" s="327"/>
      <c r="AB554" s="327"/>
      <c r="AC554" s="327"/>
      <c r="AD554" s="327"/>
      <c r="AE554" s="327"/>
    </row>
    <row r="555" spans="1:31" ht="11.25" customHeight="1" x14ac:dyDescent="0.2">
      <c r="A555" s="327"/>
      <c r="B555" s="327"/>
      <c r="C555" s="327"/>
      <c r="D555" s="327"/>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c r="AA555" s="327"/>
      <c r="AB555" s="327"/>
      <c r="AC555" s="327"/>
      <c r="AD555" s="327"/>
      <c r="AE555" s="327"/>
    </row>
    <row r="556" spans="1:31" ht="11.25" customHeight="1" x14ac:dyDescent="0.2">
      <c r="A556" s="327"/>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c r="AA556" s="327"/>
      <c r="AB556" s="327"/>
      <c r="AC556" s="327"/>
      <c r="AD556" s="327"/>
      <c r="AE556" s="327"/>
    </row>
    <row r="557" spans="1:31" ht="11.25" customHeight="1" x14ac:dyDescent="0.2">
      <c r="A557" s="327"/>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c r="AA557" s="327"/>
      <c r="AB557" s="327"/>
      <c r="AC557" s="327"/>
      <c r="AD557" s="327"/>
      <c r="AE557" s="327"/>
    </row>
    <row r="558" spans="1:31" ht="11.25" customHeight="1" x14ac:dyDescent="0.2">
      <c r="A558" s="327"/>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c r="AA558" s="327"/>
      <c r="AB558" s="327"/>
      <c r="AC558" s="327"/>
      <c r="AD558" s="327"/>
      <c r="AE558" s="327"/>
    </row>
    <row r="559" spans="1:31" ht="11.25" customHeight="1" x14ac:dyDescent="0.2">
      <c r="A559" s="327"/>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c r="AA559" s="327"/>
      <c r="AB559" s="327"/>
      <c r="AC559" s="327"/>
      <c r="AD559" s="327"/>
      <c r="AE559" s="327"/>
    </row>
    <row r="560" spans="1:31" ht="11.25" customHeight="1" x14ac:dyDescent="0.2">
      <c r="A560" s="327"/>
      <c r="B560" s="327"/>
      <c r="C560" s="327"/>
      <c r="D560" s="327"/>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c r="AA560" s="327"/>
      <c r="AB560" s="327"/>
      <c r="AC560" s="327"/>
      <c r="AD560" s="327"/>
      <c r="AE560" s="327"/>
    </row>
    <row r="561" spans="1:31" ht="11.25" customHeight="1" x14ac:dyDescent="0.2">
      <c r="A561" s="327"/>
      <c r="B561" s="327"/>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c r="AA561" s="327"/>
      <c r="AB561" s="327"/>
      <c r="AC561" s="327"/>
      <c r="AD561" s="327"/>
      <c r="AE561" s="327"/>
    </row>
    <row r="562" spans="1:31" ht="11.25" customHeight="1" x14ac:dyDescent="0.2">
      <c r="A562" s="327"/>
      <c r="B562" s="327"/>
      <c r="C562" s="327"/>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c r="AA562" s="327"/>
      <c r="AB562" s="327"/>
      <c r="AC562" s="327"/>
      <c r="AD562" s="327"/>
      <c r="AE562" s="327"/>
    </row>
    <row r="563" spans="1:31" ht="11.25" customHeight="1" x14ac:dyDescent="0.2">
      <c r="A563" s="327"/>
      <c r="B563" s="327"/>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c r="AA563" s="327"/>
      <c r="AB563" s="327"/>
      <c r="AC563" s="327"/>
      <c r="AD563" s="327"/>
      <c r="AE563" s="327"/>
    </row>
    <row r="564" spans="1:31" ht="11.25" customHeight="1" x14ac:dyDescent="0.2">
      <c r="A564" s="327"/>
      <c r="B564" s="327"/>
      <c r="C564" s="327"/>
      <c r="D564" s="327"/>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c r="AA564" s="327"/>
      <c r="AB564" s="327"/>
      <c r="AC564" s="327"/>
      <c r="AD564" s="327"/>
      <c r="AE564" s="327"/>
    </row>
    <row r="565" spans="1:31" ht="11.25" customHeight="1" x14ac:dyDescent="0.2">
      <c r="A565" s="327"/>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c r="AB565" s="327"/>
      <c r="AC565" s="327"/>
      <c r="AD565" s="327"/>
      <c r="AE565" s="327"/>
    </row>
    <row r="566" spans="1:31" ht="11.25" customHeight="1" x14ac:dyDescent="0.2">
      <c r="A566" s="327"/>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c r="AA566" s="327"/>
      <c r="AB566" s="327"/>
      <c r="AC566" s="327"/>
      <c r="AD566" s="327"/>
      <c r="AE566" s="327"/>
    </row>
    <row r="567" spans="1:31" ht="11.25" customHeight="1" x14ac:dyDescent="0.2">
      <c r="A567" s="327"/>
      <c r="B567" s="327"/>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c r="AA567" s="327"/>
      <c r="AB567" s="327"/>
      <c r="AC567" s="327"/>
      <c r="AD567" s="327"/>
      <c r="AE567" s="327"/>
    </row>
    <row r="568" spans="1:31" ht="11.25" customHeight="1" x14ac:dyDescent="0.2">
      <c r="A568" s="327"/>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327"/>
      <c r="AE568" s="327"/>
    </row>
    <row r="569" spans="1:31" ht="11.25" customHeight="1" x14ac:dyDescent="0.2">
      <c r="A569" s="327"/>
      <c r="B569" s="327"/>
      <c r="C569" s="327"/>
      <c r="D569" s="327"/>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c r="AA569" s="327"/>
      <c r="AB569" s="327"/>
      <c r="AC569" s="327"/>
      <c r="AD569" s="327"/>
      <c r="AE569" s="327"/>
    </row>
    <row r="570" spans="1:31" ht="11.25" customHeight="1" x14ac:dyDescent="0.2">
      <c r="A570" s="327"/>
      <c r="B570" s="327"/>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c r="AA570" s="327"/>
      <c r="AB570" s="327"/>
      <c r="AC570" s="327"/>
      <c r="AD570" s="327"/>
      <c r="AE570" s="327"/>
    </row>
    <row r="571" spans="1:31" ht="11.25" customHeight="1" x14ac:dyDescent="0.2">
      <c r="A571" s="327"/>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c r="AA571" s="327"/>
      <c r="AB571" s="327"/>
      <c r="AC571" s="327"/>
      <c r="AD571" s="327"/>
      <c r="AE571" s="327"/>
    </row>
    <row r="572" spans="1:31" ht="11.25" customHeight="1" x14ac:dyDescent="0.2">
      <c r="A572" s="327"/>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c r="AA572" s="327"/>
      <c r="AB572" s="327"/>
      <c r="AC572" s="327"/>
      <c r="AD572" s="327"/>
      <c r="AE572" s="327"/>
    </row>
    <row r="573" spans="1:31" ht="11.25" customHeight="1" x14ac:dyDescent="0.2">
      <c r="A573" s="327"/>
      <c r="B573" s="327"/>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c r="AA573" s="327"/>
      <c r="AB573" s="327"/>
      <c r="AC573" s="327"/>
      <c r="AD573" s="327"/>
      <c r="AE573" s="327"/>
    </row>
    <row r="574" spans="1:31" ht="11.25" customHeight="1" x14ac:dyDescent="0.2">
      <c r="A574" s="327"/>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327"/>
      <c r="AE574" s="327"/>
    </row>
    <row r="575" spans="1:31" ht="11.25" customHeight="1" x14ac:dyDescent="0.2">
      <c r="A575" s="327"/>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327"/>
      <c r="AE575" s="327"/>
    </row>
    <row r="576" spans="1:31" ht="11.25" customHeight="1" x14ac:dyDescent="0.2">
      <c r="A576" s="327"/>
      <c r="B576" s="327"/>
      <c r="C576" s="327"/>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c r="AA576" s="327"/>
      <c r="AB576" s="327"/>
      <c r="AC576" s="327"/>
      <c r="AD576" s="327"/>
      <c r="AE576" s="327"/>
    </row>
    <row r="577" spans="1:31" ht="11.25" customHeight="1" x14ac:dyDescent="0.2">
      <c r="A577" s="327"/>
      <c r="B577" s="327"/>
      <c r="C577" s="327"/>
      <c r="D577" s="327"/>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c r="AA577" s="327"/>
      <c r="AB577" s="327"/>
      <c r="AC577" s="327"/>
      <c r="AD577" s="327"/>
      <c r="AE577" s="327"/>
    </row>
    <row r="578" spans="1:31" ht="11.25" customHeight="1" x14ac:dyDescent="0.2">
      <c r="A578" s="327"/>
      <c r="B578" s="327"/>
      <c r="C578" s="327"/>
      <c r="D578" s="327"/>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c r="AA578" s="327"/>
      <c r="AB578" s="327"/>
      <c r="AC578" s="327"/>
      <c r="AD578" s="327"/>
      <c r="AE578" s="327"/>
    </row>
    <row r="579" spans="1:31" ht="11.25" customHeight="1" x14ac:dyDescent="0.2">
      <c r="A579" s="327"/>
      <c r="B579" s="327"/>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c r="AA579" s="327"/>
      <c r="AB579" s="327"/>
      <c r="AC579" s="327"/>
      <c r="AD579" s="327"/>
      <c r="AE579" s="327"/>
    </row>
    <row r="580" spans="1:31" ht="11.25" customHeight="1" x14ac:dyDescent="0.2">
      <c r="A580" s="327"/>
      <c r="B580" s="327"/>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c r="AA580" s="327"/>
      <c r="AB580" s="327"/>
      <c r="AC580" s="327"/>
      <c r="AD580" s="327"/>
      <c r="AE580" s="327"/>
    </row>
    <row r="581" spans="1:31" ht="11.25" customHeight="1" x14ac:dyDescent="0.2">
      <c r="A581" s="327"/>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c r="AB581" s="327"/>
      <c r="AC581" s="327"/>
      <c r="AD581" s="327"/>
      <c r="AE581" s="327"/>
    </row>
    <row r="582" spans="1:31" ht="11.25" customHeight="1" x14ac:dyDescent="0.2">
      <c r="A582" s="327"/>
      <c r="B582" s="327"/>
      <c r="C582" s="327"/>
      <c r="D582" s="327"/>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c r="AA582" s="327"/>
      <c r="AB582" s="327"/>
      <c r="AC582" s="327"/>
      <c r="AD582" s="327"/>
      <c r="AE582" s="327"/>
    </row>
    <row r="583" spans="1:31" ht="11.25" customHeight="1" x14ac:dyDescent="0.2">
      <c r="A583" s="327"/>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c r="AA583" s="327"/>
      <c r="AB583" s="327"/>
      <c r="AC583" s="327"/>
      <c r="AD583" s="327"/>
      <c r="AE583" s="327"/>
    </row>
    <row r="584" spans="1:31" ht="11.25" customHeight="1" x14ac:dyDescent="0.2">
      <c r="A584" s="327"/>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c r="AA584" s="327"/>
      <c r="AB584" s="327"/>
      <c r="AC584" s="327"/>
      <c r="AD584" s="327"/>
      <c r="AE584" s="327"/>
    </row>
    <row r="585" spans="1:31" ht="11.25" customHeight="1" x14ac:dyDescent="0.2">
      <c r="A585" s="327"/>
      <c r="B585" s="327"/>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c r="AA585" s="327"/>
      <c r="AB585" s="327"/>
      <c r="AC585" s="327"/>
      <c r="AD585" s="327"/>
      <c r="AE585" s="327"/>
    </row>
    <row r="586" spans="1:31" ht="11.25" customHeight="1" x14ac:dyDescent="0.2">
      <c r="A586" s="327"/>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327"/>
      <c r="AE586" s="327"/>
    </row>
    <row r="587" spans="1:31" ht="11.25" customHeight="1" x14ac:dyDescent="0.2">
      <c r="A587" s="327"/>
      <c r="B587" s="327"/>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c r="AA587" s="327"/>
      <c r="AB587" s="327"/>
      <c r="AC587" s="327"/>
      <c r="AD587" s="327"/>
      <c r="AE587" s="327"/>
    </row>
    <row r="588" spans="1:31" ht="11.25" customHeight="1" x14ac:dyDescent="0.2">
      <c r="A588" s="327"/>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c r="AA588" s="327"/>
      <c r="AB588" s="327"/>
      <c r="AC588" s="327"/>
      <c r="AD588" s="327"/>
      <c r="AE588" s="327"/>
    </row>
    <row r="589" spans="1:31" ht="11.25" customHeight="1" x14ac:dyDescent="0.2">
      <c r="A589" s="327"/>
      <c r="B589" s="327"/>
      <c r="C589" s="327"/>
      <c r="D589" s="327"/>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c r="AA589" s="327"/>
      <c r="AB589" s="327"/>
      <c r="AC589" s="327"/>
      <c r="AD589" s="327"/>
      <c r="AE589" s="327"/>
    </row>
    <row r="590" spans="1:31" ht="11.25" customHeight="1" x14ac:dyDescent="0.2">
      <c r="A590" s="327"/>
      <c r="B590" s="327"/>
      <c r="C590" s="327"/>
      <c r="D590" s="327"/>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c r="AA590" s="327"/>
      <c r="AB590" s="327"/>
      <c r="AC590" s="327"/>
      <c r="AD590" s="327"/>
      <c r="AE590" s="327"/>
    </row>
    <row r="591" spans="1:31" ht="11.25" customHeight="1" x14ac:dyDescent="0.2">
      <c r="A591" s="327"/>
      <c r="B591" s="327"/>
      <c r="C591" s="327"/>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c r="AA591" s="327"/>
      <c r="AB591" s="327"/>
      <c r="AC591" s="327"/>
      <c r="AD591" s="327"/>
      <c r="AE591" s="327"/>
    </row>
    <row r="592" spans="1:31" ht="11.25" customHeight="1" x14ac:dyDescent="0.2">
      <c r="A592" s="327"/>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c r="AE592" s="327"/>
    </row>
    <row r="593" spans="1:31" ht="11.25" customHeight="1" x14ac:dyDescent="0.2">
      <c r="A593" s="327"/>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c r="AA593" s="327"/>
      <c r="AB593" s="327"/>
      <c r="AC593" s="327"/>
      <c r="AD593" s="327"/>
      <c r="AE593" s="327"/>
    </row>
    <row r="594" spans="1:31" ht="11.25" customHeight="1" x14ac:dyDescent="0.2">
      <c r="A594" s="327"/>
      <c r="B594" s="327"/>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c r="AA594" s="327"/>
      <c r="AB594" s="327"/>
      <c r="AC594" s="327"/>
      <c r="AD594" s="327"/>
      <c r="AE594" s="327"/>
    </row>
    <row r="595" spans="1:31" ht="11.25" customHeight="1" x14ac:dyDescent="0.2">
      <c r="A595" s="327"/>
      <c r="B595" s="327"/>
      <c r="C595" s="327"/>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c r="AA595" s="327"/>
      <c r="AB595" s="327"/>
      <c r="AC595" s="327"/>
      <c r="AD595" s="327"/>
      <c r="AE595" s="327"/>
    </row>
    <row r="596" spans="1:31" ht="11.25" customHeight="1" x14ac:dyDescent="0.2">
      <c r="A596" s="327"/>
      <c r="B596" s="327"/>
      <c r="C596" s="327"/>
      <c r="D596" s="327"/>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c r="AA596" s="327"/>
      <c r="AB596" s="327"/>
      <c r="AC596" s="327"/>
      <c r="AD596" s="327"/>
      <c r="AE596" s="327"/>
    </row>
    <row r="597" spans="1:31" ht="11.25" customHeight="1" x14ac:dyDescent="0.2">
      <c r="A597" s="327"/>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c r="AA597" s="327"/>
      <c r="AB597" s="327"/>
      <c r="AC597" s="327"/>
      <c r="AD597" s="327"/>
      <c r="AE597" s="327"/>
    </row>
    <row r="598" spans="1:31" ht="11.25" customHeight="1" x14ac:dyDescent="0.2">
      <c r="A598" s="327"/>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c r="AA598" s="327"/>
      <c r="AB598" s="327"/>
      <c r="AC598" s="327"/>
      <c r="AD598" s="327"/>
      <c r="AE598" s="327"/>
    </row>
    <row r="599" spans="1:31" ht="11.25" customHeight="1" x14ac:dyDescent="0.2">
      <c r="A599" s="327"/>
      <c r="B599" s="327"/>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c r="AA599" s="327"/>
      <c r="AB599" s="327"/>
      <c r="AC599" s="327"/>
      <c r="AD599" s="327"/>
      <c r="AE599" s="327"/>
    </row>
    <row r="600" spans="1:31" ht="11.25" customHeight="1" x14ac:dyDescent="0.2">
      <c r="A600" s="327"/>
      <c r="B600" s="327"/>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c r="AA600" s="327"/>
      <c r="AB600" s="327"/>
      <c r="AC600" s="327"/>
      <c r="AD600" s="327"/>
      <c r="AE600" s="327"/>
    </row>
    <row r="601" spans="1:31" ht="11.25" customHeight="1" x14ac:dyDescent="0.2">
      <c r="A601" s="327"/>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327"/>
      <c r="AE601" s="327"/>
    </row>
    <row r="602" spans="1:31" ht="11.25" customHeight="1" x14ac:dyDescent="0.2">
      <c r="A602" s="327"/>
      <c r="B602" s="327"/>
      <c r="C602" s="327"/>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c r="AA602" s="327"/>
      <c r="AB602" s="327"/>
      <c r="AC602" s="327"/>
      <c r="AD602" s="327"/>
      <c r="AE602" s="327"/>
    </row>
    <row r="603" spans="1:31" ht="11.25" customHeight="1" x14ac:dyDescent="0.2">
      <c r="A603" s="327"/>
      <c r="B603" s="327"/>
      <c r="C603" s="327"/>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c r="AA603" s="327"/>
      <c r="AB603" s="327"/>
      <c r="AC603" s="327"/>
      <c r="AD603" s="327"/>
      <c r="AE603" s="327"/>
    </row>
    <row r="604" spans="1:31" ht="11.25" customHeight="1" x14ac:dyDescent="0.2">
      <c r="A604" s="327"/>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327"/>
      <c r="AE604" s="327"/>
    </row>
    <row r="605" spans="1:31" ht="11.25" customHeight="1" x14ac:dyDescent="0.2">
      <c r="A605" s="327"/>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c r="AA605" s="327"/>
      <c r="AB605" s="327"/>
      <c r="AC605" s="327"/>
      <c r="AD605" s="327"/>
      <c r="AE605" s="327"/>
    </row>
    <row r="606" spans="1:31" ht="11.25" customHeight="1" x14ac:dyDescent="0.2">
      <c r="A606" s="327"/>
      <c r="B606" s="327"/>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c r="AA606" s="327"/>
      <c r="AB606" s="327"/>
      <c r="AC606" s="327"/>
      <c r="AD606" s="327"/>
      <c r="AE606" s="327"/>
    </row>
    <row r="607" spans="1:31" ht="11.25" customHeight="1" x14ac:dyDescent="0.2">
      <c r="A607" s="327"/>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c r="AB607" s="327"/>
      <c r="AC607" s="327"/>
      <c r="AD607" s="327"/>
      <c r="AE607" s="327"/>
    </row>
    <row r="608" spans="1:31" ht="11.25" customHeight="1" x14ac:dyDescent="0.2">
      <c r="A608" s="327"/>
      <c r="B608" s="327"/>
      <c r="C608" s="327"/>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c r="AA608" s="327"/>
      <c r="AB608" s="327"/>
      <c r="AC608" s="327"/>
      <c r="AD608" s="327"/>
      <c r="AE608" s="327"/>
    </row>
    <row r="609" spans="1:31" ht="11.25" customHeight="1" x14ac:dyDescent="0.2">
      <c r="A609" s="327"/>
      <c r="B609" s="327"/>
      <c r="C609" s="327"/>
      <c r="D609" s="327"/>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c r="AA609" s="327"/>
      <c r="AB609" s="327"/>
      <c r="AC609" s="327"/>
      <c r="AD609" s="327"/>
      <c r="AE609" s="327"/>
    </row>
    <row r="610" spans="1:31" ht="11.25" customHeight="1" x14ac:dyDescent="0.2">
      <c r="A610" s="327"/>
      <c r="B610" s="327"/>
      <c r="C610" s="327"/>
      <c r="D610" s="327"/>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c r="AA610" s="327"/>
      <c r="AB610" s="327"/>
      <c r="AC610" s="327"/>
      <c r="AD610" s="327"/>
      <c r="AE610" s="327"/>
    </row>
    <row r="611" spans="1:31" ht="11.25" customHeight="1" x14ac:dyDescent="0.2">
      <c r="A611" s="327"/>
      <c r="B611" s="327"/>
      <c r="C611" s="327"/>
      <c r="D611" s="327"/>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c r="AA611" s="327"/>
      <c r="AB611" s="327"/>
      <c r="AC611" s="327"/>
      <c r="AD611" s="327"/>
      <c r="AE611" s="327"/>
    </row>
    <row r="612" spans="1:31" ht="11.25" customHeight="1" x14ac:dyDescent="0.2">
      <c r="A612" s="327"/>
      <c r="B612" s="327"/>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c r="AA612" s="327"/>
      <c r="AB612" s="327"/>
      <c r="AC612" s="327"/>
      <c r="AD612" s="327"/>
      <c r="AE612" s="327"/>
    </row>
    <row r="613" spans="1:31" ht="11.25" customHeight="1" x14ac:dyDescent="0.2">
      <c r="A613" s="327"/>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c r="AB613" s="327"/>
      <c r="AC613" s="327"/>
      <c r="AD613" s="327"/>
      <c r="AE613" s="327"/>
    </row>
    <row r="614" spans="1:31" ht="11.25" customHeight="1" x14ac:dyDescent="0.2">
      <c r="A614" s="327"/>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c r="AA614" s="327"/>
      <c r="AB614" s="327"/>
      <c r="AC614" s="327"/>
      <c r="AD614" s="327"/>
      <c r="AE614" s="327"/>
    </row>
    <row r="615" spans="1:31" ht="11.25" customHeight="1" x14ac:dyDescent="0.2">
      <c r="A615" s="327"/>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c r="AA615" s="327"/>
      <c r="AB615" s="327"/>
      <c r="AC615" s="327"/>
      <c r="AD615" s="327"/>
      <c r="AE615" s="327"/>
    </row>
    <row r="616" spans="1:31" ht="11.25" customHeight="1" x14ac:dyDescent="0.2">
      <c r="A616" s="327"/>
      <c r="B616" s="327"/>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c r="AA616" s="327"/>
      <c r="AB616" s="327"/>
      <c r="AC616" s="327"/>
      <c r="AD616" s="327"/>
      <c r="AE616" s="327"/>
    </row>
    <row r="617" spans="1:31" ht="11.25" customHeight="1" x14ac:dyDescent="0.2">
      <c r="A617" s="327"/>
      <c r="B617" s="327"/>
      <c r="C617" s="327"/>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c r="AA617" s="327"/>
      <c r="AB617" s="327"/>
      <c r="AC617" s="327"/>
      <c r="AD617" s="327"/>
      <c r="AE617" s="327"/>
    </row>
    <row r="618" spans="1:31" ht="11.25" customHeight="1" x14ac:dyDescent="0.2">
      <c r="A618" s="327"/>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c r="AB618" s="327"/>
      <c r="AC618" s="327"/>
      <c r="AD618" s="327"/>
      <c r="AE618" s="327"/>
    </row>
    <row r="619" spans="1:31" ht="11.25" customHeight="1" x14ac:dyDescent="0.2">
      <c r="A619" s="327"/>
      <c r="B619" s="327"/>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c r="AA619" s="327"/>
      <c r="AB619" s="327"/>
      <c r="AC619" s="327"/>
      <c r="AD619" s="327"/>
      <c r="AE619" s="327"/>
    </row>
    <row r="620" spans="1:31" ht="11.25" customHeight="1" x14ac:dyDescent="0.2">
      <c r="A620" s="327"/>
      <c r="B620" s="327"/>
      <c r="C620" s="327"/>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c r="AA620" s="327"/>
      <c r="AB620" s="327"/>
      <c r="AC620" s="327"/>
      <c r="AD620" s="327"/>
      <c r="AE620" s="327"/>
    </row>
    <row r="621" spans="1:31" ht="11.25" customHeight="1" x14ac:dyDescent="0.2">
      <c r="A621" s="327"/>
      <c r="B621" s="327"/>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c r="AA621" s="327"/>
      <c r="AB621" s="327"/>
      <c r="AC621" s="327"/>
      <c r="AD621" s="327"/>
      <c r="AE621" s="327"/>
    </row>
    <row r="622" spans="1:31" ht="11.25" customHeight="1" x14ac:dyDescent="0.2">
      <c r="A622" s="327"/>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327"/>
      <c r="AE622" s="327"/>
    </row>
    <row r="623" spans="1:31" ht="11.25" customHeight="1" x14ac:dyDescent="0.2">
      <c r="A623" s="327"/>
      <c r="B623" s="327"/>
      <c r="C623" s="327"/>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c r="AA623" s="327"/>
      <c r="AB623" s="327"/>
      <c r="AC623" s="327"/>
      <c r="AD623" s="327"/>
      <c r="AE623" s="327"/>
    </row>
    <row r="624" spans="1:31" ht="11.25" customHeight="1" x14ac:dyDescent="0.2">
      <c r="A624" s="327"/>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c r="AB624" s="327"/>
      <c r="AC624" s="327"/>
      <c r="AD624" s="327"/>
      <c r="AE624" s="327"/>
    </row>
    <row r="625" spans="1:31" ht="11.25" customHeight="1" x14ac:dyDescent="0.2">
      <c r="A625" s="327"/>
      <c r="B625" s="327"/>
      <c r="C625" s="327"/>
      <c r="D625" s="327"/>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c r="AA625" s="327"/>
      <c r="AB625" s="327"/>
      <c r="AC625" s="327"/>
      <c r="AD625" s="327"/>
      <c r="AE625" s="327"/>
    </row>
    <row r="626" spans="1:31" ht="11.25" customHeight="1" x14ac:dyDescent="0.2">
      <c r="A626" s="327"/>
      <c r="B626" s="327"/>
      <c r="C626" s="327"/>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c r="AA626" s="327"/>
      <c r="AB626" s="327"/>
      <c r="AC626" s="327"/>
      <c r="AD626" s="327"/>
      <c r="AE626" s="327"/>
    </row>
    <row r="627" spans="1:31" ht="11.25" customHeight="1" x14ac:dyDescent="0.2">
      <c r="A627" s="327"/>
      <c r="B627" s="327"/>
      <c r="C627" s="327"/>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c r="AA627" s="327"/>
      <c r="AB627" s="327"/>
      <c r="AC627" s="327"/>
      <c r="AD627" s="327"/>
      <c r="AE627" s="327"/>
    </row>
    <row r="628" spans="1:31" ht="11.25" customHeight="1" x14ac:dyDescent="0.2">
      <c r="A628" s="327"/>
      <c r="B628" s="327"/>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c r="AA628" s="327"/>
      <c r="AB628" s="327"/>
      <c r="AC628" s="327"/>
      <c r="AD628" s="327"/>
      <c r="AE628" s="327"/>
    </row>
    <row r="629" spans="1:31" ht="11.25" customHeight="1" x14ac:dyDescent="0.2">
      <c r="A629" s="327"/>
      <c r="B629" s="327"/>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c r="AA629" s="327"/>
      <c r="AB629" s="327"/>
      <c r="AC629" s="327"/>
      <c r="AD629" s="327"/>
      <c r="AE629" s="327"/>
    </row>
    <row r="630" spans="1:31" ht="11.25" customHeight="1" x14ac:dyDescent="0.2">
      <c r="A630" s="327"/>
      <c r="B630" s="327"/>
      <c r="C630" s="327"/>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c r="AA630" s="327"/>
      <c r="AB630" s="327"/>
      <c r="AC630" s="327"/>
      <c r="AD630" s="327"/>
      <c r="AE630" s="327"/>
    </row>
    <row r="631" spans="1:31" ht="11.25" customHeight="1" x14ac:dyDescent="0.2">
      <c r="A631" s="327"/>
      <c r="B631" s="327"/>
      <c r="C631" s="327"/>
      <c r="D631" s="327"/>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c r="AA631" s="327"/>
      <c r="AB631" s="327"/>
      <c r="AC631" s="327"/>
      <c r="AD631" s="327"/>
      <c r="AE631" s="327"/>
    </row>
    <row r="632" spans="1:31" ht="11.25" customHeight="1" x14ac:dyDescent="0.2">
      <c r="A632" s="327"/>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c r="AE632" s="327"/>
    </row>
    <row r="633" spans="1:31" ht="11.25" customHeight="1" x14ac:dyDescent="0.2">
      <c r="A633" s="327"/>
      <c r="B633" s="327"/>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c r="AA633" s="327"/>
      <c r="AB633" s="327"/>
      <c r="AC633" s="327"/>
      <c r="AD633" s="327"/>
      <c r="AE633" s="327"/>
    </row>
    <row r="634" spans="1:31" ht="11.25" customHeight="1" x14ac:dyDescent="0.2">
      <c r="A634" s="327"/>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c r="AA634" s="327"/>
      <c r="AB634" s="327"/>
      <c r="AC634" s="327"/>
      <c r="AD634" s="327"/>
      <c r="AE634" s="327"/>
    </row>
    <row r="635" spans="1:31" ht="11.25" customHeight="1" x14ac:dyDescent="0.2">
      <c r="A635" s="327"/>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c r="AA635" s="327"/>
      <c r="AB635" s="327"/>
      <c r="AC635" s="327"/>
      <c r="AD635" s="327"/>
      <c r="AE635" s="327"/>
    </row>
    <row r="636" spans="1:31" ht="11.25" customHeight="1" x14ac:dyDescent="0.2">
      <c r="A636" s="327"/>
      <c r="B636" s="327"/>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c r="AA636" s="327"/>
      <c r="AB636" s="327"/>
      <c r="AC636" s="327"/>
      <c r="AD636" s="327"/>
      <c r="AE636" s="327"/>
    </row>
    <row r="637" spans="1:31" ht="11.25" customHeight="1" x14ac:dyDescent="0.2">
      <c r="A637" s="327"/>
      <c r="B637" s="327"/>
      <c r="C637" s="327"/>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c r="AA637" s="327"/>
      <c r="AB637" s="327"/>
      <c r="AC637" s="327"/>
      <c r="AD637" s="327"/>
      <c r="AE637" s="327"/>
    </row>
    <row r="638" spans="1:31" ht="11.25" customHeight="1" x14ac:dyDescent="0.2">
      <c r="A638" s="327"/>
      <c r="B638" s="327"/>
      <c r="C638" s="327"/>
      <c r="D638" s="327"/>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c r="AA638" s="327"/>
      <c r="AB638" s="327"/>
      <c r="AC638" s="327"/>
      <c r="AD638" s="327"/>
      <c r="AE638" s="327"/>
    </row>
    <row r="639" spans="1:31" ht="11.25" customHeight="1" x14ac:dyDescent="0.2">
      <c r="A639" s="327"/>
      <c r="B639" s="327"/>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c r="AA639" s="327"/>
      <c r="AB639" s="327"/>
      <c r="AC639" s="327"/>
      <c r="AD639" s="327"/>
      <c r="AE639" s="327"/>
    </row>
    <row r="640" spans="1:31" ht="11.25" customHeight="1" x14ac:dyDescent="0.2">
      <c r="A640" s="327"/>
      <c r="B640" s="327"/>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c r="AA640" s="327"/>
      <c r="AB640" s="327"/>
      <c r="AC640" s="327"/>
      <c r="AD640" s="327"/>
      <c r="AE640" s="327"/>
    </row>
    <row r="641" spans="1:31" ht="11.25" customHeight="1" x14ac:dyDescent="0.2">
      <c r="A641" s="327"/>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c r="AA641" s="327"/>
      <c r="AB641" s="327"/>
      <c r="AC641" s="327"/>
      <c r="AD641" s="327"/>
      <c r="AE641" s="327"/>
    </row>
    <row r="642" spans="1:31" ht="11.25" customHeight="1" x14ac:dyDescent="0.2">
      <c r="A642" s="327"/>
      <c r="B642" s="327"/>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c r="AA642" s="327"/>
      <c r="AB642" s="327"/>
      <c r="AC642" s="327"/>
      <c r="AD642" s="327"/>
      <c r="AE642" s="327"/>
    </row>
    <row r="643" spans="1:31" ht="11.25" customHeight="1" x14ac:dyDescent="0.2">
      <c r="A643" s="327"/>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c r="AA643" s="327"/>
      <c r="AB643" s="327"/>
      <c r="AC643" s="327"/>
      <c r="AD643" s="327"/>
      <c r="AE643" s="327"/>
    </row>
    <row r="644" spans="1:31" ht="11.25" customHeight="1" x14ac:dyDescent="0.2">
      <c r="A644" s="327"/>
      <c r="B644" s="327"/>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c r="AA644" s="327"/>
      <c r="AB644" s="327"/>
      <c r="AC644" s="327"/>
      <c r="AD644" s="327"/>
      <c r="AE644" s="327"/>
    </row>
    <row r="645" spans="1:31" ht="11.25" customHeight="1" x14ac:dyDescent="0.2">
      <c r="A645" s="327"/>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c r="AA645" s="327"/>
      <c r="AB645" s="327"/>
      <c r="AC645" s="327"/>
      <c r="AD645" s="327"/>
      <c r="AE645" s="327"/>
    </row>
    <row r="646" spans="1:31" ht="11.25" customHeight="1" x14ac:dyDescent="0.2">
      <c r="A646" s="327"/>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c r="AA646" s="327"/>
      <c r="AB646" s="327"/>
      <c r="AC646" s="327"/>
      <c r="AD646" s="327"/>
      <c r="AE646" s="327"/>
    </row>
    <row r="647" spans="1:31" ht="11.25" customHeight="1" x14ac:dyDescent="0.2">
      <c r="A647" s="327"/>
      <c r="B647" s="327"/>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c r="AA647" s="327"/>
      <c r="AB647" s="327"/>
      <c r="AC647" s="327"/>
      <c r="AD647" s="327"/>
      <c r="AE647" s="327"/>
    </row>
    <row r="648" spans="1:31" ht="11.25" customHeight="1" x14ac:dyDescent="0.2">
      <c r="A648" s="327"/>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327"/>
      <c r="AE648" s="327"/>
    </row>
    <row r="649" spans="1:31" ht="11.25" customHeight="1" x14ac:dyDescent="0.2">
      <c r="A649" s="327"/>
      <c r="B649" s="327"/>
      <c r="C649" s="327"/>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c r="AA649" s="327"/>
      <c r="AB649" s="327"/>
      <c r="AC649" s="327"/>
      <c r="AD649" s="327"/>
      <c r="AE649" s="327"/>
    </row>
    <row r="650" spans="1:31" ht="11.25" customHeight="1" x14ac:dyDescent="0.2">
      <c r="A650" s="327"/>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327"/>
      <c r="AE650" s="327"/>
    </row>
    <row r="651" spans="1:31" ht="11.25" customHeight="1" x14ac:dyDescent="0.2">
      <c r="A651" s="327"/>
      <c r="B651" s="327"/>
      <c r="C651" s="327"/>
      <c r="D651" s="327"/>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c r="AA651" s="327"/>
      <c r="AB651" s="327"/>
      <c r="AC651" s="327"/>
      <c r="AD651" s="327"/>
      <c r="AE651" s="327"/>
    </row>
    <row r="652" spans="1:31" ht="11.25" customHeight="1" x14ac:dyDescent="0.2">
      <c r="A652" s="327"/>
      <c r="B652" s="327"/>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c r="AA652" s="327"/>
      <c r="AB652" s="327"/>
      <c r="AC652" s="327"/>
      <c r="AD652" s="327"/>
      <c r="AE652" s="327"/>
    </row>
    <row r="653" spans="1:31" ht="11.25" customHeight="1" x14ac:dyDescent="0.2">
      <c r="A653" s="327"/>
      <c r="B653" s="327"/>
      <c r="C653" s="327"/>
      <c r="D653" s="327"/>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c r="AA653" s="327"/>
      <c r="AB653" s="327"/>
      <c r="AC653" s="327"/>
      <c r="AD653" s="327"/>
      <c r="AE653" s="327"/>
    </row>
    <row r="654" spans="1:31" ht="11.25" customHeight="1" x14ac:dyDescent="0.2">
      <c r="A654" s="327"/>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c r="AA654" s="327"/>
      <c r="AB654" s="327"/>
      <c r="AC654" s="327"/>
      <c r="AD654" s="327"/>
      <c r="AE654" s="327"/>
    </row>
    <row r="655" spans="1:31" ht="11.25" customHeight="1" x14ac:dyDescent="0.2">
      <c r="A655" s="327"/>
      <c r="B655" s="327"/>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c r="AA655" s="327"/>
      <c r="AB655" s="327"/>
      <c r="AC655" s="327"/>
      <c r="AD655" s="327"/>
      <c r="AE655" s="327"/>
    </row>
    <row r="656" spans="1:31" ht="11.25" customHeight="1" x14ac:dyDescent="0.2">
      <c r="A656" s="327"/>
      <c r="B656" s="327"/>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c r="AA656" s="327"/>
      <c r="AB656" s="327"/>
      <c r="AC656" s="327"/>
      <c r="AD656" s="327"/>
      <c r="AE656" s="327"/>
    </row>
    <row r="657" spans="1:31" ht="11.25" customHeight="1" x14ac:dyDescent="0.2">
      <c r="A657" s="327"/>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c r="AB657" s="327"/>
      <c r="AC657" s="327"/>
      <c r="AD657" s="327"/>
      <c r="AE657" s="327"/>
    </row>
    <row r="658" spans="1:31" ht="11.25" customHeight="1" x14ac:dyDescent="0.2">
      <c r="A658" s="327"/>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c r="AA658" s="327"/>
      <c r="AB658" s="327"/>
      <c r="AC658" s="327"/>
      <c r="AD658" s="327"/>
      <c r="AE658" s="327"/>
    </row>
    <row r="659" spans="1:31" ht="11.25" customHeight="1" x14ac:dyDescent="0.2">
      <c r="A659" s="327"/>
      <c r="B659" s="327"/>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c r="AA659" s="327"/>
      <c r="AB659" s="327"/>
      <c r="AC659" s="327"/>
      <c r="AD659" s="327"/>
      <c r="AE659" s="327"/>
    </row>
    <row r="660" spans="1:31" ht="11.25" customHeight="1" x14ac:dyDescent="0.2">
      <c r="A660" s="327"/>
      <c r="B660" s="327"/>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c r="AA660" s="327"/>
      <c r="AB660" s="327"/>
      <c r="AC660" s="327"/>
      <c r="AD660" s="327"/>
      <c r="AE660" s="327"/>
    </row>
    <row r="661" spans="1:31" ht="11.25" customHeight="1" x14ac:dyDescent="0.2">
      <c r="A661" s="327"/>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327"/>
      <c r="AE661" s="327"/>
    </row>
    <row r="662" spans="1:31" ht="11.25" customHeight="1" x14ac:dyDescent="0.2">
      <c r="A662" s="327"/>
      <c r="B662" s="327"/>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c r="AA662" s="327"/>
      <c r="AB662" s="327"/>
      <c r="AC662" s="327"/>
      <c r="AD662" s="327"/>
      <c r="AE662" s="327"/>
    </row>
    <row r="663" spans="1:31" ht="11.25" customHeight="1" x14ac:dyDescent="0.2">
      <c r="A663" s="327"/>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c r="AA663" s="327"/>
      <c r="AB663" s="327"/>
      <c r="AC663" s="327"/>
      <c r="AD663" s="327"/>
      <c r="AE663" s="327"/>
    </row>
    <row r="664" spans="1:31" ht="11.25" customHeight="1" x14ac:dyDescent="0.2">
      <c r="A664" s="327"/>
      <c r="B664" s="327"/>
      <c r="C664" s="327"/>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c r="AA664" s="327"/>
      <c r="AB664" s="327"/>
      <c r="AC664" s="327"/>
      <c r="AD664" s="327"/>
      <c r="AE664" s="327"/>
    </row>
    <row r="665" spans="1:31" ht="11.25" customHeight="1" x14ac:dyDescent="0.2">
      <c r="A665" s="327"/>
      <c r="B665" s="327"/>
      <c r="C665" s="327"/>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c r="AA665" s="327"/>
      <c r="AB665" s="327"/>
      <c r="AC665" s="327"/>
      <c r="AD665" s="327"/>
      <c r="AE665" s="327"/>
    </row>
    <row r="666" spans="1:31" ht="11.25" customHeight="1" x14ac:dyDescent="0.2">
      <c r="A666" s="327"/>
      <c r="B666" s="327"/>
      <c r="C666" s="327"/>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c r="AA666" s="327"/>
      <c r="AB666" s="327"/>
      <c r="AC666" s="327"/>
      <c r="AD666" s="327"/>
      <c r="AE666" s="327"/>
    </row>
    <row r="667" spans="1:31" ht="11.25" customHeight="1" x14ac:dyDescent="0.2">
      <c r="A667" s="327"/>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c r="AA667" s="327"/>
      <c r="AB667" s="327"/>
      <c r="AC667" s="327"/>
      <c r="AD667" s="327"/>
      <c r="AE667" s="327"/>
    </row>
    <row r="668" spans="1:31" ht="11.25" customHeight="1" x14ac:dyDescent="0.2">
      <c r="A668" s="327"/>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c r="AA668" s="327"/>
      <c r="AB668" s="327"/>
      <c r="AC668" s="327"/>
      <c r="AD668" s="327"/>
      <c r="AE668" s="327"/>
    </row>
    <row r="669" spans="1:31" ht="11.25" customHeight="1" x14ac:dyDescent="0.2">
      <c r="A669" s="327"/>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c r="AA669" s="327"/>
      <c r="AB669" s="327"/>
      <c r="AC669" s="327"/>
      <c r="AD669" s="327"/>
      <c r="AE669" s="327"/>
    </row>
    <row r="670" spans="1:31" ht="11.25" customHeight="1" x14ac:dyDescent="0.2">
      <c r="A670" s="327"/>
      <c r="B670" s="327"/>
      <c r="C670" s="327"/>
      <c r="D670" s="327"/>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c r="AA670" s="327"/>
      <c r="AB670" s="327"/>
      <c r="AC670" s="327"/>
      <c r="AD670" s="327"/>
      <c r="AE670" s="327"/>
    </row>
    <row r="671" spans="1:31" ht="11.25" customHeight="1" x14ac:dyDescent="0.2">
      <c r="A671" s="327"/>
      <c r="B671" s="327"/>
      <c r="C671" s="327"/>
      <c r="D671" s="327"/>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c r="AA671" s="327"/>
      <c r="AB671" s="327"/>
      <c r="AC671" s="327"/>
      <c r="AD671" s="327"/>
      <c r="AE671" s="327"/>
    </row>
    <row r="672" spans="1:31" ht="11.25" customHeight="1" x14ac:dyDescent="0.2">
      <c r="A672" s="327"/>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c r="AA672" s="327"/>
      <c r="AB672" s="327"/>
      <c r="AC672" s="327"/>
      <c r="AD672" s="327"/>
      <c r="AE672" s="327"/>
    </row>
    <row r="673" spans="1:31" ht="11.25" customHeight="1" x14ac:dyDescent="0.2">
      <c r="A673" s="327"/>
      <c r="B673" s="327"/>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c r="AA673" s="327"/>
      <c r="AB673" s="327"/>
      <c r="AC673" s="327"/>
      <c r="AD673" s="327"/>
      <c r="AE673" s="327"/>
    </row>
    <row r="674" spans="1:31" ht="11.25" customHeight="1" x14ac:dyDescent="0.2">
      <c r="A674" s="327"/>
      <c r="B674" s="327"/>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c r="AA674" s="327"/>
      <c r="AB674" s="327"/>
      <c r="AC674" s="327"/>
      <c r="AD674" s="327"/>
      <c r="AE674" s="327"/>
    </row>
    <row r="675" spans="1:31" ht="11.25" customHeight="1" x14ac:dyDescent="0.2">
      <c r="A675" s="327"/>
      <c r="B675" s="327"/>
      <c r="C675" s="327"/>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c r="AA675" s="327"/>
      <c r="AB675" s="327"/>
      <c r="AC675" s="327"/>
      <c r="AD675" s="327"/>
      <c r="AE675" s="327"/>
    </row>
    <row r="676" spans="1:31" ht="11.25" customHeight="1" x14ac:dyDescent="0.2">
      <c r="A676" s="327"/>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327"/>
      <c r="AE676" s="327"/>
    </row>
    <row r="677" spans="1:31" ht="11.25" customHeight="1" x14ac:dyDescent="0.2">
      <c r="A677" s="327"/>
      <c r="B677" s="327"/>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c r="AA677" s="327"/>
      <c r="AB677" s="327"/>
      <c r="AC677" s="327"/>
      <c r="AD677" s="327"/>
      <c r="AE677" s="327"/>
    </row>
    <row r="678" spans="1:31" ht="11.25" customHeight="1" x14ac:dyDescent="0.2">
      <c r="A678" s="327"/>
      <c r="B678" s="327"/>
      <c r="C678" s="327"/>
      <c r="D678" s="327"/>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c r="AA678" s="327"/>
      <c r="AB678" s="327"/>
      <c r="AC678" s="327"/>
      <c r="AD678" s="327"/>
      <c r="AE678" s="327"/>
    </row>
    <row r="679" spans="1:31" ht="11.25" customHeight="1" x14ac:dyDescent="0.2">
      <c r="A679" s="327"/>
      <c r="B679" s="327"/>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c r="AA679" s="327"/>
      <c r="AB679" s="327"/>
      <c r="AC679" s="327"/>
      <c r="AD679" s="327"/>
      <c r="AE679" s="327"/>
    </row>
    <row r="680" spans="1:31" ht="11.25" customHeight="1" x14ac:dyDescent="0.2">
      <c r="A680" s="327"/>
      <c r="B680" s="327"/>
      <c r="C680" s="327"/>
      <c r="D680" s="327"/>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c r="AA680" s="327"/>
      <c r="AB680" s="327"/>
      <c r="AC680" s="327"/>
      <c r="AD680" s="327"/>
      <c r="AE680" s="327"/>
    </row>
    <row r="681" spans="1:31" ht="11.25" customHeight="1" x14ac:dyDescent="0.2">
      <c r="A681" s="327"/>
      <c r="B681" s="327"/>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c r="AA681" s="327"/>
      <c r="AB681" s="327"/>
      <c r="AC681" s="327"/>
      <c r="AD681" s="327"/>
      <c r="AE681" s="327"/>
    </row>
    <row r="682" spans="1:31" ht="11.25" customHeight="1" x14ac:dyDescent="0.2">
      <c r="A682" s="327"/>
      <c r="B682" s="327"/>
      <c r="C682" s="327"/>
      <c r="D682" s="327"/>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c r="AA682" s="327"/>
      <c r="AB682" s="327"/>
      <c r="AC682" s="327"/>
      <c r="AD682" s="327"/>
      <c r="AE682" s="327"/>
    </row>
    <row r="683" spans="1:31" ht="11.25" customHeight="1" x14ac:dyDescent="0.2">
      <c r="A683" s="327"/>
      <c r="B683" s="327"/>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c r="AA683" s="327"/>
      <c r="AB683" s="327"/>
      <c r="AC683" s="327"/>
      <c r="AD683" s="327"/>
      <c r="AE683" s="327"/>
    </row>
    <row r="684" spans="1:31" ht="11.25" customHeight="1" x14ac:dyDescent="0.2">
      <c r="A684" s="327"/>
      <c r="B684" s="327"/>
      <c r="C684" s="327"/>
      <c r="D684" s="327"/>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c r="AA684" s="327"/>
      <c r="AB684" s="327"/>
      <c r="AC684" s="327"/>
      <c r="AD684" s="327"/>
      <c r="AE684" s="327"/>
    </row>
    <row r="685" spans="1:31" ht="11.25" customHeight="1" x14ac:dyDescent="0.2">
      <c r="A685" s="327"/>
      <c r="B685" s="327"/>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c r="AA685" s="327"/>
      <c r="AB685" s="327"/>
      <c r="AC685" s="327"/>
      <c r="AD685" s="327"/>
      <c r="AE685" s="327"/>
    </row>
    <row r="686" spans="1:31" ht="11.25" customHeight="1" x14ac:dyDescent="0.2">
      <c r="A686" s="327"/>
      <c r="B686" s="327"/>
      <c r="C686" s="327"/>
      <c r="D686" s="327"/>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c r="AA686" s="327"/>
      <c r="AB686" s="327"/>
      <c r="AC686" s="327"/>
      <c r="AD686" s="327"/>
      <c r="AE686" s="327"/>
    </row>
    <row r="687" spans="1:31" ht="11.25" customHeight="1" x14ac:dyDescent="0.2">
      <c r="A687" s="327"/>
      <c r="B687" s="327"/>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c r="AA687" s="327"/>
      <c r="AB687" s="327"/>
      <c r="AC687" s="327"/>
      <c r="AD687" s="327"/>
      <c r="AE687" s="327"/>
    </row>
    <row r="688" spans="1:31" ht="11.25" customHeight="1" x14ac:dyDescent="0.2">
      <c r="A688" s="327"/>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c r="AB688" s="327"/>
      <c r="AC688" s="327"/>
      <c r="AD688" s="327"/>
      <c r="AE688" s="327"/>
    </row>
    <row r="689" spans="1:31" ht="11.25" customHeight="1" x14ac:dyDescent="0.2">
      <c r="A689" s="327"/>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c r="AB689" s="327"/>
      <c r="AC689" s="327"/>
      <c r="AD689" s="327"/>
      <c r="AE689" s="327"/>
    </row>
    <row r="690" spans="1:31" ht="11.25" customHeight="1" x14ac:dyDescent="0.2">
      <c r="A690" s="327"/>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c r="AB690" s="327"/>
      <c r="AC690" s="327"/>
      <c r="AD690" s="327"/>
      <c r="AE690" s="327"/>
    </row>
    <row r="691" spans="1:31" ht="11.25" customHeight="1" x14ac:dyDescent="0.2">
      <c r="A691" s="327"/>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7"/>
      <c r="AD691" s="327"/>
      <c r="AE691" s="327"/>
    </row>
    <row r="692" spans="1:31" ht="11.25" customHeight="1" x14ac:dyDescent="0.2">
      <c r="A692" s="327"/>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327"/>
      <c r="AE692" s="327"/>
    </row>
    <row r="693" spans="1:31" ht="11.25" customHeight="1" x14ac:dyDescent="0.2">
      <c r="A693" s="327"/>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c r="AB693" s="327"/>
      <c r="AC693" s="327"/>
      <c r="AD693" s="327"/>
      <c r="AE693" s="327"/>
    </row>
    <row r="694" spans="1:31" ht="11.25" customHeight="1" x14ac:dyDescent="0.2">
      <c r="A694" s="327"/>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c r="AA694" s="327"/>
      <c r="AB694" s="327"/>
      <c r="AC694" s="327"/>
      <c r="AD694" s="327"/>
      <c r="AE694" s="327"/>
    </row>
    <row r="695" spans="1:31" ht="11.25" customHeight="1" x14ac:dyDescent="0.2">
      <c r="A695" s="327"/>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c r="AA695" s="327"/>
      <c r="AB695" s="327"/>
      <c r="AC695" s="327"/>
      <c r="AD695" s="327"/>
      <c r="AE695" s="327"/>
    </row>
    <row r="696" spans="1:31" ht="11.25" customHeight="1" x14ac:dyDescent="0.2">
      <c r="A696" s="327"/>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c r="AA696" s="327"/>
      <c r="AB696" s="327"/>
      <c r="AC696" s="327"/>
      <c r="AD696" s="327"/>
      <c r="AE696" s="327"/>
    </row>
    <row r="697" spans="1:31" ht="11.25" customHeight="1" x14ac:dyDescent="0.2">
      <c r="A697" s="327"/>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c r="AA697" s="327"/>
      <c r="AB697" s="327"/>
      <c r="AC697" s="327"/>
      <c r="AD697" s="327"/>
      <c r="AE697" s="327"/>
    </row>
    <row r="698" spans="1:31" ht="11.25" customHeight="1" x14ac:dyDescent="0.2">
      <c r="A698" s="327"/>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7"/>
      <c r="AD698" s="327"/>
      <c r="AE698" s="327"/>
    </row>
    <row r="699" spans="1:31" ht="11.25" customHeight="1" x14ac:dyDescent="0.2">
      <c r="A699" s="327"/>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c r="AB699" s="327"/>
      <c r="AC699" s="327"/>
      <c r="AD699" s="327"/>
      <c r="AE699" s="327"/>
    </row>
    <row r="700" spans="1:31" ht="11.25" customHeight="1" x14ac:dyDescent="0.2">
      <c r="A700" s="327"/>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7"/>
      <c r="AD700" s="327"/>
      <c r="AE700" s="327"/>
    </row>
    <row r="701" spans="1:31" ht="11.25" customHeight="1" x14ac:dyDescent="0.2">
      <c r="A701" s="327"/>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c r="AB701" s="327"/>
      <c r="AC701" s="327"/>
      <c r="AD701" s="327"/>
      <c r="AE701" s="327"/>
    </row>
    <row r="702" spans="1:31" ht="11.25" customHeight="1" x14ac:dyDescent="0.2">
      <c r="A702" s="327"/>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c r="AA702" s="327"/>
      <c r="AB702" s="327"/>
      <c r="AC702" s="327"/>
      <c r="AD702" s="327"/>
      <c r="AE702" s="327"/>
    </row>
    <row r="703" spans="1:31" ht="11.25" customHeight="1" x14ac:dyDescent="0.2">
      <c r="A703" s="327"/>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c r="AA703" s="327"/>
      <c r="AB703" s="327"/>
      <c r="AC703" s="327"/>
      <c r="AD703" s="327"/>
      <c r="AE703" s="327"/>
    </row>
    <row r="704" spans="1:31" ht="11.25" customHeight="1" x14ac:dyDescent="0.2">
      <c r="A704" s="327"/>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c r="AB704" s="327"/>
      <c r="AC704" s="327"/>
      <c r="AD704" s="327"/>
      <c r="AE704" s="327"/>
    </row>
    <row r="705" spans="1:31" ht="11.25" customHeight="1" x14ac:dyDescent="0.2">
      <c r="A705" s="327"/>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c r="AA705" s="327"/>
      <c r="AB705" s="327"/>
      <c r="AC705" s="327"/>
      <c r="AD705" s="327"/>
      <c r="AE705" s="327"/>
    </row>
    <row r="706" spans="1:31" ht="11.25" customHeight="1" x14ac:dyDescent="0.2">
      <c r="A706" s="327"/>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c r="AB706" s="327"/>
      <c r="AC706" s="327"/>
      <c r="AD706" s="327"/>
      <c r="AE706" s="327"/>
    </row>
    <row r="707" spans="1:31" ht="11.25" customHeight="1" x14ac:dyDescent="0.2">
      <c r="A707" s="327"/>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327"/>
      <c r="AE707" s="327"/>
    </row>
    <row r="708" spans="1:31" ht="11.25" customHeight="1" x14ac:dyDescent="0.2">
      <c r="A708" s="327"/>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7"/>
      <c r="AD708" s="327"/>
      <c r="AE708" s="327"/>
    </row>
    <row r="709" spans="1:31" ht="11.25" customHeight="1" x14ac:dyDescent="0.2">
      <c r="A709" s="327"/>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c r="AA709" s="327"/>
      <c r="AB709" s="327"/>
      <c r="AC709" s="327"/>
      <c r="AD709" s="327"/>
      <c r="AE709" s="327"/>
    </row>
    <row r="710" spans="1:31" ht="11.25" customHeight="1" x14ac:dyDescent="0.2">
      <c r="A710" s="327"/>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c r="AA710" s="327"/>
      <c r="AB710" s="327"/>
      <c r="AC710" s="327"/>
      <c r="AD710" s="327"/>
      <c r="AE710" s="327"/>
    </row>
    <row r="711" spans="1:31" ht="11.25" customHeight="1" x14ac:dyDescent="0.2">
      <c r="A711" s="327"/>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327"/>
      <c r="AE711" s="327"/>
    </row>
    <row r="712" spans="1:31" ht="11.25" customHeight="1" x14ac:dyDescent="0.2">
      <c r="A712" s="327"/>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c r="AA712" s="327"/>
      <c r="AB712" s="327"/>
      <c r="AC712" s="327"/>
      <c r="AD712" s="327"/>
      <c r="AE712" s="327"/>
    </row>
    <row r="713" spans="1:31" ht="11.25" customHeight="1" x14ac:dyDescent="0.2">
      <c r="A713" s="327"/>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c r="AA713" s="327"/>
      <c r="AB713" s="327"/>
      <c r="AC713" s="327"/>
      <c r="AD713" s="327"/>
      <c r="AE713" s="327"/>
    </row>
    <row r="714" spans="1:31" ht="11.25" customHeight="1" x14ac:dyDescent="0.2">
      <c r="A714" s="327"/>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c r="AA714" s="327"/>
      <c r="AB714" s="327"/>
      <c r="AC714" s="327"/>
      <c r="AD714" s="327"/>
      <c r="AE714" s="327"/>
    </row>
    <row r="715" spans="1:31" ht="11.25" customHeight="1" x14ac:dyDescent="0.2">
      <c r="A715" s="327"/>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7"/>
      <c r="AD715" s="327"/>
      <c r="AE715" s="327"/>
    </row>
    <row r="716" spans="1:31" ht="11.25" customHeight="1" x14ac:dyDescent="0.2">
      <c r="A716" s="327"/>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7"/>
      <c r="AD716" s="327"/>
      <c r="AE716" s="327"/>
    </row>
    <row r="717" spans="1:31" ht="11.25" customHeight="1" x14ac:dyDescent="0.2">
      <c r="A717" s="327"/>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7"/>
      <c r="AD717" s="327"/>
      <c r="AE717" s="327"/>
    </row>
    <row r="718" spans="1:31" ht="11.25" customHeight="1" x14ac:dyDescent="0.2">
      <c r="A718" s="327"/>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c r="AA718" s="327"/>
      <c r="AB718" s="327"/>
      <c r="AC718" s="327"/>
      <c r="AD718" s="327"/>
      <c r="AE718" s="327"/>
    </row>
    <row r="719" spans="1:31" ht="11.25" customHeight="1" x14ac:dyDescent="0.2">
      <c r="A719" s="327"/>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7"/>
      <c r="AD719" s="327"/>
      <c r="AE719" s="327"/>
    </row>
    <row r="720" spans="1:31" ht="11.25" customHeight="1" x14ac:dyDescent="0.2">
      <c r="A720" s="327"/>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c r="AB720" s="327"/>
      <c r="AC720" s="327"/>
      <c r="AD720" s="327"/>
      <c r="AE720" s="327"/>
    </row>
    <row r="721" spans="1:31" ht="11.25" customHeight="1" x14ac:dyDescent="0.2">
      <c r="A721" s="327"/>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c r="AA721" s="327"/>
      <c r="AB721" s="327"/>
      <c r="AC721" s="327"/>
      <c r="AD721" s="327"/>
      <c r="AE721" s="327"/>
    </row>
    <row r="722" spans="1:31" ht="11.25" customHeight="1" x14ac:dyDescent="0.2">
      <c r="A722" s="327"/>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c r="AA722" s="327"/>
      <c r="AB722" s="327"/>
      <c r="AC722" s="327"/>
      <c r="AD722" s="327"/>
      <c r="AE722" s="327"/>
    </row>
    <row r="723" spans="1:31" ht="11.25" customHeight="1" x14ac:dyDescent="0.2">
      <c r="A723" s="327"/>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c r="AA723" s="327"/>
      <c r="AB723" s="327"/>
      <c r="AC723" s="327"/>
      <c r="AD723" s="327"/>
      <c r="AE723" s="327"/>
    </row>
    <row r="724" spans="1:31" ht="11.25" customHeight="1" x14ac:dyDescent="0.2">
      <c r="A724" s="327"/>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c r="AA724" s="327"/>
      <c r="AB724" s="327"/>
      <c r="AC724" s="327"/>
      <c r="AD724" s="327"/>
      <c r="AE724" s="327"/>
    </row>
    <row r="725" spans="1:31" ht="11.25" customHeight="1" x14ac:dyDescent="0.2">
      <c r="A725" s="327"/>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c r="AB725" s="327"/>
      <c r="AC725" s="327"/>
      <c r="AD725" s="327"/>
      <c r="AE725" s="327"/>
    </row>
    <row r="726" spans="1:31" ht="11.25" customHeight="1" x14ac:dyDescent="0.2">
      <c r="A726" s="327"/>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c r="AA726" s="327"/>
      <c r="AB726" s="327"/>
      <c r="AC726" s="327"/>
      <c r="AD726" s="327"/>
      <c r="AE726" s="327"/>
    </row>
    <row r="727" spans="1:31" ht="11.25" customHeight="1" x14ac:dyDescent="0.2">
      <c r="A727" s="327"/>
      <c r="B727" s="327"/>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c r="AA727" s="327"/>
      <c r="AB727" s="327"/>
      <c r="AC727" s="327"/>
      <c r="AD727" s="327"/>
      <c r="AE727" s="327"/>
    </row>
    <row r="728" spans="1:31" ht="11.25" customHeight="1" x14ac:dyDescent="0.2">
      <c r="A728" s="327"/>
      <c r="B728" s="327"/>
      <c r="C728" s="327"/>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c r="AA728" s="327"/>
      <c r="AB728" s="327"/>
      <c r="AC728" s="327"/>
      <c r="AD728" s="327"/>
      <c r="AE728" s="327"/>
    </row>
    <row r="729" spans="1:31" ht="11.25" customHeight="1" x14ac:dyDescent="0.2">
      <c r="A729" s="327"/>
      <c r="B729" s="327"/>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c r="AA729" s="327"/>
      <c r="AB729" s="327"/>
      <c r="AC729" s="327"/>
      <c r="AD729" s="327"/>
      <c r="AE729" s="327"/>
    </row>
    <row r="730" spans="1:31" ht="11.25" customHeight="1" x14ac:dyDescent="0.2">
      <c r="A730" s="327"/>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c r="AA730" s="327"/>
      <c r="AB730" s="327"/>
      <c r="AC730" s="327"/>
      <c r="AD730" s="327"/>
      <c r="AE730" s="327"/>
    </row>
    <row r="731" spans="1:31" ht="11.25" customHeight="1" x14ac:dyDescent="0.2">
      <c r="A731" s="327"/>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c r="AB731" s="327"/>
      <c r="AC731" s="327"/>
      <c r="AD731" s="327"/>
      <c r="AE731" s="327"/>
    </row>
    <row r="732" spans="1:31" ht="11.25" customHeight="1" x14ac:dyDescent="0.2">
      <c r="A732" s="327"/>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c r="AA732" s="327"/>
      <c r="AB732" s="327"/>
      <c r="AC732" s="327"/>
      <c r="AD732" s="327"/>
      <c r="AE732" s="327"/>
    </row>
    <row r="733" spans="1:31" ht="11.25" customHeight="1" x14ac:dyDescent="0.2">
      <c r="A733" s="327"/>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c r="AB733" s="327"/>
      <c r="AC733" s="327"/>
      <c r="AD733" s="327"/>
      <c r="AE733" s="327"/>
    </row>
    <row r="734" spans="1:31" ht="11.25" customHeight="1" x14ac:dyDescent="0.2">
      <c r="A734" s="327"/>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327"/>
      <c r="AE734" s="327"/>
    </row>
    <row r="735" spans="1:31" ht="11.25" customHeight="1" x14ac:dyDescent="0.2">
      <c r="A735" s="327"/>
      <c r="B735" s="327"/>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c r="AA735" s="327"/>
      <c r="AB735" s="327"/>
      <c r="AC735" s="327"/>
      <c r="AD735" s="327"/>
      <c r="AE735" s="327"/>
    </row>
    <row r="736" spans="1:31" ht="11.25" customHeight="1" x14ac:dyDescent="0.2">
      <c r="A736" s="327"/>
      <c r="B736" s="327"/>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c r="AA736" s="327"/>
      <c r="AB736" s="327"/>
      <c r="AC736" s="327"/>
      <c r="AD736" s="327"/>
      <c r="AE736" s="327"/>
    </row>
    <row r="737" spans="1:31" ht="11.25" customHeight="1" x14ac:dyDescent="0.2">
      <c r="A737" s="327"/>
      <c r="B737" s="327"/>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c r="AA737" s="327"/>
      <c r="AB737" s="327"/>
      <c r="AC737" s="327"/>
      <c r="AD737" s="327"/>
      <c r="AE737" s="327"/>
    </row>
    <row r="738" spans="1:31" ht="11.25" customHeight="1" x14ac:dyDescent="0.2">
      <c r="A738" s="327"/>
      <c r="B738" s="327"/>
      <c r="C738" s="327"/>
      <c r="D738" s="327"/>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c r="AA738" s="327"/>
      <c r="AB738" s="327"/>
      <c r="AC738" s="327"/>
      <c r="AD738" s="327"/>
      <c r="AE738" s="327"/>
    </row>
    <row r="739" spans="1:31" ht="11.25" customHeight="1" x14ac:dyDescent="0.2">
      <c r="A739" s="327"/>
      <c r="B739" s="327"/>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c r="AA739" s="327"/>
      <c r="AB739" s="327"/>
      <c r="AC739" s="327"/>
      <c r="AD739" s="327"/>
      <c r="AE739" s="327"/>
    </row>
    <row r="740" spans="1:31" ht="11.25" customHeight="1" x14ac:dyDescent="0.2">
      <c r="A740" s="327"/>
      <c r="B740" s="327"/>
      <c r="C740" s="327"/>
      <c r="D740" s="327"/>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c r="AA740" s="327"/>
      <c r="AB740" s="327"/>
      <c r="AC740" s="327"/>
      <c r="AD740" s="327"/>
      <c r="AE740" s="327"/>
    </row>
    <row r="741" spans="1:31" ht="11.25" customHeight="1" x14ac:dyDescent="0.2">
      <c r="A741" s="327"/>
      <c r="B741" s="327"/>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c r="AA741" s="327"/>
      <c r="AB741" s="327"/>
      <c r="AC741" s="327"/>
      <c r="AD741" s="327"/>
      <c r="AE741" s="327"/>
    </row>
    <row r="742" spans="1:31" ht="11.25" customHeight="1" x14ac:dyDescent="0.2">
      <c r="A742" s="327"/>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c r="AB742" s="327"/>
      <c r="AC742" s="327"/>
      <c r="AD742" s="327"/>
      <c r="AE742" s="327"/>
    </row>
    <row r="743" spans="1:31" ht="11.25" customHeight="1" x14ac:dyDescent="0.2">
      <c r="A743" s="327"/>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c r="AB743" s="327"/>
      <c r="AC743" s="327"/>
      <c r="AD743" s="327"/>
      <c r="AE743" s="327"/>
    </row>
    <row r="744" spans="1:31" ht="11.25" customHeight="1" x14ac:dyDescent="0.2">
      <c r="A744" s="327"/>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7"/>
      <c r="AD744" s="327"/>
      <c r="AE744" s="327"/>
    </row>
    <row r="745" spans="1:31" ht="11.25" customHeight="1" x14ac:dyDescent="0.2">
      <c r="A745" s="327"/>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c r="AB745" s="327"/>
      <c r="AC745" s="327"/>
      <c r="AD745" s="327"/>
      <c r="AE745" s="327"/>
    </row>
    <row r="746" spans="1:31" ht="11.25" customHeight="1" x14ac:dyDescent="0.2">
      <c r="A746" s="327"/>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7"/>
      <c r="AD746" s="327"/>
      <c r="AE746" s="327"/>
    </row>
    <row r="747" spans="1:31" ht="11.25" customHeight="1" x14ac:dyDescent="0.2">
      <c r="A747" s="327"/>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7"/>
      <c r="AD747" s="327"/>
      <c r="AE747" s="327"/>
    </row>
    <row r="748" spans="1:31" ht="11.25" customHeight="1" x14ac:dyDescent="0.2">
      <c r="A748" s="327"/>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c r="AA748" s="327"/>
      <c r="AB748" s="327"/>
      <c r="AC748" s="327"/>
      <c r="AD748" s="327"/>
      <c r="AE748" s="327"/>
    </row>
    <row r="749" spans="1:31" ht="11.25" customHeight="1" x14ac:dyDescent="0.2">
      <c r="A749" s="327"/>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c r="AA749" s="327"/>
      <c r="AB749" s="327"/>
      <c r="AC749" s="327"/>
      <c r="AD749" s="327"/>
      <c r="AE749" s="327"/>
    </row>
    <row r="750" spans="1:31" ht="11.25" customHeight="1" x14ac:dyDescent="0.2">
      <c r="A750" s="327"/>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c r="AA750" s="327"/>
      <c r="AB750" s="327"/>
      <c r="AC750" s="327"/>
      <c r="AD750" s="327"/>
      <c r="AE750" s="327"/>
    </row>
    <row r="751" spans="1:31" ht="11.25" customHeight="1" x14ac:dyDescent="0.2">
      <c r="A751" s="327"/>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c r="AA751" s="327"/>
      <c r="AB751" s="327"/>
      <c r="AC751" s="327"/>
      <c r="AD751" s="327"/>
      <c r="AE751" s="327"/>
    </row>
    <row r="752" spans="1:31" ht="11.25" customHeight="1" x14ac:dyDescent="0.2">
      <c r="A752" s="327"/>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c r="AB752" s="327"/>
      <c r="AC752" s="327"/>
      <c r="AD752" s="327"/>
      <c r="AE752" s="327"/>
    </row>
    <row r="753" spans="1:31" ht="11.25" customHeight="1" x14ac:dyDescent="0.2">
      <c r="A753" s="327"/>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c r="AB753" s="327"/>
      <c r="AC753" s="327"/>
      <c r="AD753" s="327"/>
      <c r="AE753" s="327"/>
    </row>
    <row r="754" spans="1:31" ht="11.25" customHeight="1" x14ac:dyDescent="0.2">
      <c r="A754" s="327"/>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c r="AA754" s="327"/>
      <c r="AB754" s="327"/>
      <c r="AC754" s="327"/>
      <c r="AD754" s="327"/>
      <c r="AE754" s="327"/>
    </row>
    <row r="755" spans="1:31" ht="11.25" customHeight="1" x14ac:dyDescent="0.2">
      <c r="A755" s="327"/>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c r="AB755" s="327"/>
      <c r="AC755" s="327"/>
      <c r="AD755" s="327"/>
      <c r="AE755" s="327"/>
    </row>
    <row r="756" spans="1:31" ht="11.25" customHeight="1" x14ac:dyDescent="0.2">
      <c r="A756" s="327"/>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c r="AA756" s="327"/>
      <c r="AB756" s="327"/>
      <c r="AC756" s="327"/>
      <c r="AD756" s="327"/>
      <c r="AE756" s="327"/>
    </row>
    <row r="757" spans="1:31" ht="11.25" customHeight="1" x14ac:dyDescent="0.2">
      <c r="A757" s="327"/>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c r="AB757" s="327"/>
      <c r="AC757" s="327"/>
      <c r="AD757" s="327"/>
      <c r="AE757" s="327"/>
    </row>
    <row r="758" spans="1:31" ht="11.25" customHeight="1" x14ac:dyDescent="0.2">
      <c r="A758" s="327"/>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c r="AA758" s="327"/>
      <c r="AB758" s="327"/>
      <c r="AC758" s="327"/>
      <c r="AD758" s="327"/>
      <c r="AE758" s="327"/>
    </row>
    <row r="759" spans="1:31" ht="11.25" customHeight="1" x14ac:dyDescent="0.2">
      <c r="A759" s="327"/>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7"/>
      <c r="AD759" s="327"/>
      <c r="AE759" s="327"/>
    </row>
    <row r="760" spans="1:31" ht="11.25" customHeight="1" x14ac:dyDescent="0.2">
      <c r="A760" s="327"/>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c r="AA760" s="327"/>
      <c r="AB760" s="327"/>
      <c r="AC760" s="327"/>
      <c r="AD760" s="327"/>
      <c r="AE760" s="327"/>
    </row>
    <row r="761" spans="1:31" ht="11.25" customHeight="1" x14ac:dyDescent="0.2">
      <c r="A761" s="327"/>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c r="AA761" s="327"/>
      <c r="AB761" s="327"/>
      <c r="AC761" s="327"/>
      <c r="AD761" s="327"/>
      <c r="AE761" s="327"/>
    </row>
    <row r="762" spans="1:31" ht="11.25" customHeight="1" x14ac:dyDescent="0.2">
      <c r="A762" s="327"/>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327"/>
      <c r="AE762" s="327"/>
    </row>
    <row r="763" spans="1:31" ht="11.25" customHeight="1" x14ac:dyDescent="0.2">
      <c r="A763" s="327"/>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c r="AA763" s="327"/>
      <c r="AB763" s="327"/>
      <c r="AC763" s="327"/>
      <c r="AD763" s="327"/>
      <c r="AE763" s="327"/>
    </row>
    <row r="764" spans="1:31" ht="11.25" customHeight="1" x14ac:dyDescent="0.2">
      <c r="A764" s="327"/>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c r="AA764" s="327"/>
      <c r="AB764" s="327"/>
      <c r="AC764" s="327"/>
      <c r="AD764" s="327"/>
      <c r="AE764" s="327"/>
    </row>
    <row r="765" spans="1:31" ht="11.25" customHeight="1" x14ac:dyDescent="0.2">
      <c r="A765" s="327"/>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c r="AA765" s="327"/>
      <c r="AB765" s="327"/>
      <c r="AC765" s="327"/>
      <c r="AD765" s="327"/>
      <c r="AE765" s="327"/>
    </row>
    <row r="766" spans="1:31" ht="11.25" customHeight="1" x14ac:dyDescent="0.2">
      <c r="A766" s="327"/>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c r="AB766" s="327"/>
      <c r="AC766" s="327"/>
      <c r="AD766" s="327"/>
      <c r="AE766" s="327"/>
    </row>
    <row r="767" spans="1:31" ht="11.25" customHeight="1" x14ac:dyDescent="0.2">
      <c r="A767" s="327"/>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c r="AA767" s="327"/>
      <c r="AB767" s="327"/>
      <c r="AC767" s="327"/>
      <c r="AD767" s="327"/>
      <c r="AE767" s="327"/>
    </row>
    <row r="768" spans="1:31" ht="11.25" customHeight="1" x14ac:dyDescent="0.2">
      <c r="A768" s="327"/>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c r="AB768" s="327"/>
      <c r="AC768" s="327"/>
      <c r="AD768" s="327"/>
      <c r="AE768" s="327"/>
    </row>
    <row r="769" spans="1:31" ht="11.25" customHeight="1" x14ac:dyDescent="0.2">
      <c r="A769" s="327"/>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c r="AB769" s="327"/>
      <c r="AC769" s="327"/>
      <c r="AD769" s="327"/>
      <c r="AE769" s="327"/>
    </row>
    <row r="770" spans="1:31" ht="11.25" customHeight="1" x14ac:dyDescent="0.2">
      <c r="A770" s="327"/>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c r="AA770" s="327"/>
      <c r="AB770" s="327"/>
      <c r="AC770" s="327"/>
      <c r="AD770" s="327"/>
      <c r="AE770" s="327"/>
    </row>
    <row r="771" spans="1:31" ht="11.25" customHeight="1" x14ac:dyDescent="0.2">
      <c r="A771" s="327"/>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7"/>
      <c r="AD771" s="327"/>
      <c r="AE771" s="327"/>
    </row>
    <row r="772" spans="1:31" ht="11.25" customHeight="1" x14ac:dyDescent="0.2">
      <c r="A772" s="327"/>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7"/>
      <c r="AD772" s="327"/>
      <c r="AE772" s="327"/>
    </row>
    <row r="773" spans="1:31" ht="11.25" customHeight="1" x14ac:dyDescent="0.2">
      <c r="A773" s="327"/>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c r="AA773" s="327"/>
      <c r="AB773" s="327"/>
      <c r="AC773" s="327"/>
      <c r="AD773" s="327"/>
      <c r="AE773" s="327"/>
    </row>
    <row r="774" spans="1:31" ht="11.25" customHeight="1" x14ac:dyDescent="0.2">
      <c r="A774" s="327"/>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c r="AA774" s="327"/>
      <c r="AB774" s="327"/>
      <c r="AC774" s="327"/>
      <c r="AD774" s="327"/>
      <c r="AE774" s="327"/>
    </row>
    <row r="775" spans="1:31" ht="11.25" customHeight="1" x14ac:dyDescent="0.2">
      <c r="A775" s="327"/>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c r="AA775" s="327"/>
      <c r="AB775" s="327"/>
      <c r="AC775" s="327"/>
      <c r="AD775" s="327"/>
      <c r="AE775" s="327"/>
    </row>
    <row r="776" spans="1:31" ht="11.25" customHeight="1" x14ac:dyDescent="0.2">
      <c r="A776" s="327"/>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c r="AA776" s="327"/>
      <c r="AB776" s="327"/>
      <c r="AC776" s="327"/>
      <c r="AD776" s="327"/>
      <c r="AE776" s="327"/>
    </row>
    <row r="777" spans="1:31" ht="11.25" customHeight="1" x14ac:dyDescent="0.2">
      <c r="A777" s="327"/>
      <c r="B777" s="327"/>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c r="AA777" s="327"/>
      <c r="AB777" s="327"/>
      <c r="AC777" s="327"/>
      <c r="AD777" s="327"/>
      <c r="AE777" s="327"/>
    </row>
    <row r="778" spans="1:31" ht="11.25" customHeight="1" x14ac:dyDescent="0.2">
      <c r="A778" s="327"/>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c r="AB778" s="327"/>
      <c r="AC778" s="327"/>
      <c r="AD778" s="327"/>
      <c r="AE778" s="327"/>
    </row>
    <row r="779" spans="1:31" ht="11.25" customHeight="1" x14ac:dyDescent="0.2">
      <c r="A779" s="327"/>
      <c r="B779" s="327"/>
      <c r="C779" s="327"/>
      <c r="D779" s="327"/>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c r="AA779" s="327"/>
      <c r="AB779" s="327"/>
      <c r="AC779" s="327"/>
      <c r="AD779" s="327"/>
      <c r="AE779" s="327"/>
    </row>
    <row r="780" spans="1:31" ht="11.25" customHeight="1" x14ac:dyDescent="0.2">
      <c r="A780" s="327"/>
      <c r="B780" s="327"/>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c r="AA780" s="327"/>
      <c r="AB780" s="327"/>
      <c r="AC780" s="327"/>
      <c r="AD780" s="327"/>
      <c r="AE780" s="327"/>
    </row>
    <row r="781" spans="1:31" ht="11.25" customHeight="1" x14ac:dyDescent="0.2">
      <c r="A781" s="327"/>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c r="AA781" s="327"/>
      <c r="AB781" s="327"/>
      <c r="AC781" s="327"/>
      <c r="AD781" s="327"/>
      <c r="AE781" s="327"/>
    </row>
    <row r="782" spans="1:31" ht="11.25" customHeight="1" x14ac:dyDescent="0.2">
      <c r="A782" s="327"/>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c r="AA782" s="327"/>
      <c r="AB782" s="327"/>
      <c r="AC782" s="327"/>
      <c r="AD782" s="327"/>
      <c r="AE782" s="327"/>
    </row>
    <row r="783" spans="1:31" ht="11.25" customHeight="1" x14ac:dyDescent="0.2">
      <c r="A783" s="327"/>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c r="AA783" s="327"/>
      <c r="AB783" s="327"/>
      <c r="AC783" s="327"/>
      <c r="AD783" s="327"/>
      <c r="AE783" s="327"/>
    </row>
    <row r="784" spans="1:31" ht="11.25" customHeight="1" x14ac:dyDescent="0.2">
      <c r="A784" s="327"/>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c r="AB784" s="327"/>
      <c r="AC784" s="327"/>
      <c r="AD784" s="327"/>
      <c r="AE784" s="327"/>
    </row>
    <row r="785" spans="1:31" ht="11.25" customHeight="1" x14ac:dyDescent="0.2">
      <c r="A785" s="327"/>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c r="AB785" s="327"/>
      <c r="AC785" s="327"/>
      <c r="AD785" s="327"/>
      <c r="AE785" s="327"/>
    </row>
    <row r="786" spans="1:31" ht="11.25" customHeight="1" x14ac:dyDescent="0.2">
      <c r="A786" s="327"/>
      <c r="B786" s="327"/>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c r="AA786" s="327"/>
      <c r="AB786" s="327"/>
      <c r="AC786" s="327"/>
      <c r="AD786" s="327"/>
      <c r="AE786" s="327"/>
    </row>
    <row r="787" spans="1:31" ht="11.25" customHeight="1" x14ac:dyDescent="0.2">
      <c r="A787" s="327"/>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327"/>
      <c r="AE787" s="327"/>
    </row>
    <row r="788" spans="1:31" ht="11.25" customHeight="1" x14ac:dyDescent="0.2">
      <c r="A788" s="327"/>
      <c r="B788" s="327"/>
      <c r="C788" s="327"/>
      <c r="D788" s="327"/>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c r="AA788" s="327"/>
      <c r="AB788" s="327"/>
      <c r="AC788" s="327"/>
      <c r="AD788" s="327"/>
      <c r="AE788" s="327"/>
    </row>
    <row r="789" spans="1:31" ht="11.25" customHeight="1" x14ac:dyDescent="0.2">
      <c r="A789" s="327"/>
      <c r="B789" s="327"/>
      <c r="C789" s="327"/>
      <c r="D789" s="327"/>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c r="AA789" s="327"/>
      <c r="AB789" s="327"/>
      <c r="AC789" s="327"/>
      <c r="AD789" s="327"/>
      <c r="AE789" s="327"/>
    </row>
    <row r="790" spans="1:31" ht="11.25" customHeight="1" x14ac:dyDescent="0.2">
      <c r="A790" s="327"/>
      <c r="B790" s="327"/>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c r="AA790" s="327"/>
      <c r="AB790" s="327"/>
      <c r="AC790" s="327"/>
      <c r="AD790" s="327"/>
      <c r="AE790" s="327"/>
    </row>
    <row r="791" spans="1:31" ht="11.25" customHeight="1" x14ac:dyDescent="0.2">
      <c r="A791" s="327"/>
      <c r="B791" s="327"/>
      <c r="C791" s="327"/>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c r="AA791" s="327"/>
      <c r="AB791" s="327"/>
      <c r="AC791" s="327"/>
      <c r="AD791" s="327"/>
      <c r="AE791" s="327"/>
    </row>
    <row r="792" spans="1:31" ht="11.25" customHeight="1" x14ac:dyDescent="0.2">
      <c r="A792" s="327"/>
      <c r="B792" s="327"/>
      <c r="C792" s="327"/>
      <c r="D792" s="327"/>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c r="AA792" s="327"/>
      <c r="AB792" s="327"/>
      <c r="AC792" s="327"/>
      <c r="AD792" s="327"/>
      <c r="AE792" s="327"/>
    </row>
    <row r="793" spans="1:31" ht="11.25" customHeight="1" x14ac:dyDescent="0.2">
      <c r="A793" s="327"/>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327"/>
      <c r="AE793" s="327"/>
    </row>
    <row r="794" spans="1:31" ht="11.25" customHeight="1" x14ac:dyDescent="0.2">
      <c r="A794" s="327"/>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7"/>
      <c r="AD794" s="327"/>
      <c r="AE794" s="327"/>
    </row>
    <row r="795" spans="1:31" ht="11.25" customHeight="1" x14ac:dyDescent="0.2">
      <c r="A795" s="327"/>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7"/>
      <c r="AD795" s="327"/>
      <c r="AE795" s="327"/>
    </row>
    <row r="796" spans="1:31" ht="11.25" customHeight="1" x14ac:dyDescent="0.2">
      <c r="A796" s="327"/>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c r="AA796" s="327"/>
      <c r="AB796" s="327"/>
      <c r="AC796" s="327"/>
      <c r="AD796" s="327"/>
      <c r="AE796" s="327"/>
    </row>
    <row r="797" spans="1:31" ht="11.25" customHeight="1" x14ac:dyDescent="0.2">
      <c r="A797" s="327"/>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c r="AB797" s="327"/>
      <c r="AC797" s="327"/>
      <c r="AD797" s="327"/>
      <c r="AE797" s="327"/>
    </row>
    <row r="798" spans="1:31" ht="11.25" customHeight="1" x14ac:dyDescent="0.2">
      <c r="A798" s="327"/>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7"/>
      <c r="AD798" s="327"/>
      <c r="AE798" s="327"/>
    </row>
    <row r="799" spans="1:31" ht="11.25" customHeight="1" x14ac:dyDescent="0.2">
      <c r="A799" s="327"/>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c r="AA799" s="327"/>
      <c r="AB799" s="327"/>
      <c r="AC799" s="327"/>
      <c r="AD799" s="327"/>
      <c r="AE799" s="327"/>
    </row>
    <row r="800" spans="1:31" ht="11.25" customHeight="1" x14ac:dyDescent="0.2">
      <c r="A800" s="327"/>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c r="AA800" s="327"/>
      <c r="AB800" s="327"/>
      <c r="AC800" s="327"/>
      <c r="AD800" s="327"/>
      <c r="AE800" s="327"/>
    </row>
    <row r="801" spans="1:31" ht="11.25" customHeight="1" x14ac:dyDescent="0.2">
      <c r="A801" s="327"/>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c r="AA801" s="327"/>
      <c r="AB801" s="327"/>
      <c r="AC801" s="327"/>
      <c r="AD801" s="327"/>
      <c r="AE801" s="327"/>
    </row>
    <row r="802" spans="1:31" ht="11.25" customHeight="1" x14ac:dyDescent="0.2">
      <c r="A802" s="327"/>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7"/>
      <c r="AD802" s="327"/>
      <c r="AE802" s="327"/>
    </row>
    <row r="803" spans="1:31" ht="11.25" customHeight="1" x14ac:dyDescent="0.2">
      <c r="A803" s="327"/>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c r="AA803" s="327"/>
      <c r="AB803" s="327"/>
      <c r="AC803" s="327"/>
      <c r="AD803" s="327"/>
      <c r="AE803" s="327"/>
    </row>
    <row r="804" spans="1:31" ht="11.25" customHeight="1" x14ac:dyDescent="0.2">
      <c r="A804" s="327"/>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7"/>
      <c r="AD804" s="327"/>
      <c r="AE804" s="327"/>
    </row>
    <row r="805" spans="1:31" ht="11.25" customHeight="1" x14ac:dyDescent="0.2">
      <c r="A805" s="327"/>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c r="AA805" s="327"/>
      <c r="AB805" s="327"/>
      <c r="AC805" s="327"/>
      <c r="AD805" s="327"/>
      <c r="AE805" s="327"/>
    </row>
    <row r="806" spans="1:31" ht="11.25" customHeight="1" x14ac:dyDescent="0.2">
      <c r="A806" s="327"/>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c r="AA806" s="327"/>
      <c r="AB806" s="327"/>
      <c r="AC806" s="327"/>
      <c r="AD806" s="327"/>
      <c r="AE806" s="327"/>
    </row>
    <row r="807" spans="1:31" ht="11.25" customHeight="1" x14ac:dyDescent="0.2">
      <c r="A807" s="327"/>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c r="AA807" s="327"/>
      <c r="AB807" s="327"/>
      <c r="AC807" s="327"/>
      <c r="AD807" s="327"/>
      <c r="AE807" s="327"/>
    </row>
    <row r="808" spans="1:31" ht="11.25" customHeight="1" x14ac:dyDescent="0.2">
      <c r="A808" s="327"/>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c r="AA808" s="327"/>
      <c r="AB808" s="327"/>
      <c r="AC808" s="327"/>
      <c r="AD808" s="327"/>
      <c r="AE808" s="327"/>
    </row>
    <row r="809" spans="1:31" ht="11.25" customHeight="1" x14ac:dyDescent="0.2">
      <c r="A809" s="327"/>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c r="AB809" s="327"/>
      <c r="AC809" s="327"/>
      <c r="AD809" s="327"/>
      <c r="AE809" s="327"/>
    </row>
    <row r="810" spans="1:31" ht="11.25" customHeight="1" x14ac:dyDescent="0.2">
      <c r="A810" s="327"/>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327"/>
      <c r="AE810" s="327"/>
    </row>
    <row r="811" spans="1:31" ht="11.25" customHeight="1" x14ac:dyDescent="0.2">
      <c r="A811" s="327"/>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c r="AA811" s="327"/>
      <c r="AB811" s="327"/>
      <c r="AC811" s="327"/>
      <c r="AD811" s="327"/>
      <c r="AE811" s="327"/>
    </row>
    <row r="812" spans="1:31" ht="11.25" customHeight="1" x14ac:dyDescent="0.2">
      <c r="A812" s="327"/>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c r="AA812" s="327"/>
      <c r="AB812" s="327"/>
      <c r="AC812" s="327"/>
      <c r="AD812" s="327"/>
      <c r="AE812" s="327"/>
    </row>
    <row r="813" spans="1:31" ht="11.25" customHeight="1" x14ac:dyDescent="0.2">
      <c r="A813" s="327"/>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327"/>
      <c r="AE813" s="327"/>
    </row>
    <row r="814" spans="1:31" ht="11.25" customHeight="1" x14ac:dyDescent="0.2">
      <c r="A814" s="327"/>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c r="AB814" s="327"/>
      <c r="AC814" s="327"/>
      <c r="AD814" s="327"/>
      <c r="AE814" s="327"/>
    </row>
    <row r="815" spans="1:31" ht="11.25" customHeight="1" x14ac:dyDescent="0.2">
      <c r="A815" s="327"/>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c r="AA815" s="327"/>
      <c r="AB815" s="327"/>
      <c r="AC815" s="327"/>
      <c r="AD815" s="327"/>
      <c r="AE815" s="327"/>
    </row>
    <row r="816" spans="1:31" ht="11.25" customHeight="1" x14ac:dyDescent="0.2">
      <c r="A816" s="327"/>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c r="AA816" s="327"/>
      <c r="AB816" s="327"/>
      <c r="AC816" s="327"/>
      <c r="AD816" s="327"/>
      <c r="AE816" s="327"/>
    </row>
    <row r="817" spans="1:31" ht="11.25" customHeight="1" x14ac:dyDescent="0.2">
      <c r="A817" s="327"/>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c r="AA817" s="327"/>
      <c r="AB817" s="327"/>
      <c r="AC817" s="327"/>
      <c r="AD817" s="327"/>
      <c r="AE817" s="327"/>
    </row>
    <row r="818" spans="1:31" ht="11.25" customHeight="1" x14ac:dyDescent="0.2">
      <c r="A818" s="327"/>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c r="AA818" s="327"/>
      <c r="AB818" s="327"/>
      <c r="AC818" s="327"/>
      <c r="AD818" s="327"/>
      <c r="AE818" s="327"/>
    </row>
    <row r="819" spans="1:31" ht="11.25" customHeight="1" x14ac:dyDescent="0.2">
      <c r="A819" s="327"/>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7"/>
      <c r="AD819" s="327"/>
      <c r="AE819" s="327"/>
    </row>
    <row r="820" spans="1:31" ht="11.25" customHeight="1" x14ac:dyDescent="0.2">
      <c r="A820" s="327"/>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c r="AA820" s="327"/>
      <c r="AB820" s="327"/>
      <c r="AC820" s="327"/>
      <c r="AD820" s="327"/>
      <c r="AE820" s="327"/>
    </row>
    <row r="821" spans="1:31" ht="11.25" customHeight="1" x14ac:dyDescent="0.2">
      <c r="A821" s="327"/>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c r="AA821" s="327"/>
      <c r="AB821" s="327"/>
      <c r="AC821" s="327"/>
      <c r="AD821" s="327"/>
      <c r="AE821" s="327"/>
    </row>
    <row r="822" spans="1:31" ht="11.25" customHeight="1" x14ac:dyDescent="0.2">
      <c r="A822" s="327"/>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c r="AA822" s="327"/>
      <c r="AB822" s="327"/>
      <c r="AC822" s="327"/>
      <c r="AD822" s="327"/>
      <c r="AE822" s="327"/>
    </row>
    <row r="823" spans="1:31" ht="11.25" customHeight="1" x14ac:dyDescent="0.2">
      <c r="A823" s="327"/>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7"/>
      <c r="AD823" s="327"/>
      <c r="AE823" s="327"/>
    </row>
    <row r="824" spans="1:31" ht="11.25" customHeight="1" x14ac:dyDescent="0.2">
      <c r="A824" s="327"/>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c r="AA824" s="327"/>
      <c r="AB824" s="327"/>
      <c r="AC824" s="327"/>
      <c r="AD824" s="327"/>
      <c r="AE824" s="327"/>
    </row>
    <row r="825" spans="1:31" ht="11.25" customHeight="1" x14ac:dyDescent="0.2">
      <c r="A825" s="327"/>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7"/>
      <c r="AD825" s="327"/>
      <c r="AE825" s="327"/>
    </row>
    <row r="826" spans="1:31" ht="11.25" customHeight="1" x14ac:dyDescent="0.2">
      <c r="A826" s="327"/>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7"/>
      <c r="AD826" s="327"/>
      <c r="AE826" s="327"/>
    </row>
    <row r="827" spans="1:31" ht="11.25" customHeight="1" x14ac:dyDescent="0.2">
      <c r="A827" s="327"/>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c r="AA827" s="327"/>
      <c r="AB827" s="327"/>
      <c r="AC827" s="327"/>
      <c r="AD827" s="327"/>
      <c r="AE827" s="327"/>
    </row>
    <row r="828" spans="1:31" ht="11.25" customHeight="1" x14ac:dyDescent="0.2">
      <c r="A828" s="327"/>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c r="AA828" s="327"/>
      <c r="AB828" s="327"/>
      <c r="AC828" s="327"/>
      <c r="AD828" s="327"/>
      <c r="AE828" s="327"/>
    </row>
    <row r="829" spans="1:31" ht="11.25" customHeight="1" x14ac:dyDescent="0.2">
      <c r="A829" s="327"/>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c r="AA829" s="327"/>
      <c r="AB829" s="327"/>
      <c r="AC829" s="327"/>
      <c r="AD829" s="327"/>
      <c r="AE829" s="327"/>
    </row>
    <row r="830" spans="1:31" ht="11.25" customHeight="1" x14ac:dyDescent="0.2">
      <c r="A830" s="327"/>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c r="AE830" s="327"/>
    </row>
    <row r="831" spans="1:31" ht="11.25" customHeight="1" x14ac:dyDescent="0.2">
      <c r="A831" s="327"/>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c r="AA831" s="327"/>
      <c r="AB831" s="327"/>
      <c r="AC831" s="327"/>
      <c r="AD831" s="327"/>
      <c r="AE831" s="327"/>
    </row>
    <row r="832" spans="1:31" ht="11.25" customHeight="1" x14ac:dyDescent="0.2">
      <c r="A832" s="327"/>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c r="AE832" s="327"/>
    </row>
    <row r="833" spans="1:31" ht="11.25" customHeight="1" x14ac:dyDescent="0.2">
      <c r="A833" s="327"/>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c r="AA833" s="327"/>
      <c r="AB833" s="327"/>
      <c r="AC833" s="327"/>
      <c r="AD833" s="327"/>
      <c r="AE833" s="327"/>
    </row>
    <row r="834" spans="1:31" ht="11.25" customHeight="1" x14ac:dyDescent="0.2">
      <c r="A834" s="327"/>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7"/>
      <c r="AD834" s="327"/>
      <c r="AE834" s="327"/>
    </row>
    <row r="835" spans="1:31" ht="11.25" customHeight="1" x14ac:dyDescent="0.2">
      <c r="A835" s="327"/>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327"/>
      <c r="AE835" s="327"/>
    </row>
    <row r="836" spans="1:31" ht="11.25" customHeight="1" x14ac:dyDescent="0.2">
      <c r="A836" s="327"/>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c r="AB836" s="327"/>
      <c r="AC836" s="327"/>
      <c r="AD836" s="327"/>
      <c r="AE836" s="327"/>
    </row>
    <row r="837" spans="1:31" ht="11.25" customHeight="1" x14ac:dyDescent="0.2">
      <c r="A837" s="327"/>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c r="AA837" s="327"/>
      <c r="AB837" s="327"/>
      <c r="AC837" s="327"/>
      <c r="AD837" s="327"/>
      <c r="AE837" s="327"/>
    </row>
    <row r="838" spans="1:31" ht="11.25" customHeight="1" x14ac:dyDescent="0.2">
      <c r="A838" s="327"/>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7"/>
      <c r="AD838" s="327"/>
      <c r="AE838" s="327"/>
    </row>
    <row r="839" spans="1:31" ht="11.25" customHeight="1" x14ac:dyDescent="0.2">
      <c r="A839" s="327"/>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c r="AB839" s="327"/>
      <c r="AC839" s="327"/>
      <c r="AD839" s="327"/>
      <c r="AE839" s="327"/>
    </row>
    <row r="840" spans="1:31" ht="11.25" customHeight="1" x14ac:dyDescent="0.2">
      <c r="A840" s="327"/>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c r="AA840" s="327"/>
      <c r="AB840" s="327"/>
      <c r="AC840" s="327"/>
      <c r="AD840" s="327"/>
      <c r="AE840" s="327"/>
    </row>
    <row r="841" spans="1:31" ht="11.25" customHeight="1" x14ac:dyDescent="0.2">
      <c r="A841" s="327"/>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327"/>
      <c r="AE841" s="327"/>
    </row>
    <row r="842" spans="1:31" ht="11.25" customHeight="1" x14ac:dyDescent="0.2">
      <c r="A842" s="327"/>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c r="AA842" s="327"/>
      <c r="AB842" s="327"/>
      <c r="AC842" s="327"/>
      <c r="AD842" s="327"/>
      <c r="AE842" s="327"/>
    </row>
    <row r="843" spans="1:31" ht="11.25" customHeight="1" x14ac:dyDescent="0.2">
      <c r="A843" s="327"/>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c r="AA843" s="327"/>
      <c r="AB843" s="327"/>
      <c r="AC843" s="327"/>
      <c r="AD843" s="327"/>
      <c r="AE843" s="327"/>
    </row>
    <row r="844" spans="1:31" ht="11.25" customHeight="1" x14ac:dyDescent="0.2">
      <c r="A844" s="327"/>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c r="AA844" s="327"/>
      <c r="AB844" s="327"/>
      <c r="AC844" s="327"/>
      <c r="AD844" s="327"/>
      <c r="AE844" s="327"/>
    </row>
    <row r="845" spans="1:31" ht="11.25" customHeight="1" x14ac:dyDescent="0.2">
      <c r="A845" s="327"/>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c r="AB845" s="327"/>
      <c r="AC845" s="327"/>
      <c r="AD845" s="327"/>
      <c r="AE845" s="327"/>
    </row>
    <row r="846" spans="1:31" ht="11.25" customHeight="1" x14ac:dyDescent="0.2">
      <c r="A846" s="327"/>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7"/>
      <c r="AD846" s="327"/>
      <c r="AE846" s="327"/>
    </row>
    <row r="847" spans="1:31" ht="11.25" customHeight="1" x14ac:dyDescent="0.2">
      <c r="A847" s="327"/>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c r="AA847" s="327"/>
      <c r="AB847" s="327"/>
      <c r="AC847" s="327"/>
      <c r="AD847" s="327"/>
      <c r="AE847" s="327"/>
    </row>
    <row r="848" spans="1:31" ht="11.25" customHeight="1" x14ac:dyDescent="0.2">
      <c r="A848" s="327"/>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c r="AA848" s="327"/>
      <c r="AB848" s="327"/>
      <c r="AC848" s="327"/>
      <c r="AD848" s="327"/>
      <c r="AE848" s="327"/>
    </row>
    <row r="849" spans="1:31" ht="11.25" customHeight="1" x14ac:dyDescent="0.2">
      <c r="A849" s="327"/>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c r="AB849" s="327"/>
      <c r="AC849" s="327"/>
      <c r="AD849" s="327"/>
      <c r="AE849" s="327"/>
    </row>
    <row r="850" spans="1:31" ht="11.25" customHeight="1" x14ac:dyDescent="0.2">
      <c r="A850" s="327"/>
      <c r="B850" s="327"/>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c r="AA850" s="327"/>
      <c r="AB850" s="327"/>
      <c r="AC850" s="327"/>
      <c r="AD850" s="327"/>
      <c r="AE850" s="327"/>
    </row>
    <row r="851" spans="1:31" ht="11.25" customHeight="1" x14ac:dyDescent="0.2">
      <c r="A851" s="327"/>
      <c r="B851" s="327"/>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c r="AA851" s="327"/>
      <c r="AB851" s="327"/>
      <c r="AC851" s="327"/>
      <c r="AD851" s="327"/>
      <c r="AE851" s="327"/>
    </row>
    <row r="852" spans="1:31" ht="11.25" customHeight="1" x14ac:dyDescent="0.2">
      <c r="A852" s="327"/>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c r="AA852" s="327"/>
      <c r="AB852" s="327"/>
      <c r="AC852" s="327"/>
      <c r="AD852" s="327"/>
      <c r="AE852" s="327"/>
    </row>
    <row r="853" spans="1:31" ht="11.25" customHeight="1" x14ac:dyDescent="0.2">
      <c r="A853" s="327"/>
      <c r="B853" s="327"/>
      <c r="C853" s="327"/>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c r="AA853" s="327"/>
      <c r="AB853" s="327"/>
      <c r="AC853" s="327"/>
      <c r="AD853" s="327"/>
      <c r="AE853" s="327"/>
    </row>
    <row r="854" spans="1:31" ht="11.25" customHeight="1" x14ac:dyDescent="0.2">
      <c r="A854" s="327"/>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c r="AB854" s="327"/>
      <c r="AC854" s="327"/>
      <c r="AD854" s="327"/>
      <c r="AE854" s="327"/>
    </row>
    <row r="855" spans="1:31" ht="11.25" customHeight="1" x14ac:dyDescent="0.2">
      <c r="A855" s="327"/>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7"/>
      <c r="AD855" s="327"/>
      <c r="AE855" s="327"/>
    </row>
    <row r="856" spans="1:31" ht="11.25" customHeight="1" x14ac:dyDescent="0.2">
      <c r="A856" s="327"/>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7"/>
      <c r="AD856" s="327"/>
      <c r="AE856" s="327"/>
    </row>
    <row r="857" spans="1:31" ht="11.25" customHeight="1" x14ac:dyDescent="0.2">
      <c r="A857" s="327"/>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c r="AB857" s="327"/>
      <c r="AC857" s="327"/>
      <c r="AD857" s="327"/>
      <c r="AE857" s="327"/>
    </row>
    <row r="858" spans="1:31" ht="11.25" customHeight="1" x14ac:dyDescent="0.2">
      <c r="A858" s="327"/>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c r="AA858" s="327"/>
      <c r="AB858" s="327"/>
      <c r="AC858" s="327"/>
      <c r="AD858" s="327"/>
      <c r="AE858" s="327"/>
    </row>
    <row r="859" spans="1:31" ht="11.25" customHeight="1" x14ac:dyDescent="0.2">
      <c r="A859" s="327"/>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c r="AA859" s="327"/>
      <c r="AB859" s="327"/>
      <c r="AC859" s="327"/>
      <c r="AD859" s="327"/>
      <c r="AE859" s="327"/>
    </row>
    <row r="860" spans="1:31" ht="11.25" customHeight="1" x14ac:dyDescent="0.2">
      <c r="A860" s="327"/>
      <c r="B860" s="327"/>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c r="AA860" s="327"/>
      <c r="AB860" s="327"/>
      <c r="AC860" s="327"/>
      <c r="AD860" s="327"/>
      <c r="AE860" s="327"/>
    </row>
    <row r="861" spans="1:31" ht="11.25" customHeight="1" x14ac:dyDescent="0.2">
      <c r="A861" s="327"/>
      <c r="B861" s="327"/>
      <c r="C861" s="327"/>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c r="AA861" s="327"/>
      <c r="AB861" s="327"/>
      <c r="AC861" s="327"/>
      <c r="AD861" s="327"/>
      <c r="AE861" s="327"/>
    </row>
    <row r="862" spans="1:31" ht="11.25" customHeight="1" x14ac:dyDescent="0.2">
      <c r="A862" s="327"/>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327"/>
      <c r="AE862" s="327"/>
    </row>
    <row r="863" spans="1:31" ht="11.25" customHeight="1" x14ac:dyDescent="0.2">
      <c r="A863" s="327"/>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c r="AA863" s="327"/>
      <c r="AB863" s="327"/>
      <c r="AC863" s="327"/>
      <c r="AD863" s="327"/>
      <c r="AE863" s="327"/>
    </row>
    <row r="864" spans="1:31" ht="11.25" customHeight="1" x14ac:dyDescent="0.2">
      <c r="A864" s="327"/>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c r="AA864" s="327"/>
      <c r="AB864" s="327"/>
      <c r="AC864" s="327"/>
      <c r="AD864" s="327"/>
      <c r="AE864" s="327"/>
    </row>
    <row r="865" spans="1:31" ht="11.25" customHeight="1" x14ac:dyDescent="0.2">
      <c r="A865" s="327"/>
      <c r="B865" s="327"/>
      <c r="C865" s="327"/>
      <c r="D865" s="327"/>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c r="AA865" s="327"/>
      <c r="AB865" s="327"/>
      <c r="AC865" s="327"/>
      <c r="AD865" s="327"/>
      <c r="AE865" s="327"/>
    </row>
    <row r="866" spans="1:31" ht="11.25" customHeight="1" x14ac:dyDescent="0.2">
      <c r="A866" s="327"/>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327"/>
      <c r="AE866" s="327"/>
    </row>
    <row r="867" spans="1:31" ht="11.25" customHeight="1" x14ac:dyDescent="0.2">
      <c r="A867" s="327"/>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c r="AA867" s="327"/>
      <c r="AB867" s="327"/>
      <c r="AC867" s="327"/>
      <c r="AD867" s="327"/>
      <c r="AE867" s="327"/>
    </row>
    <row r="868" spans="1:31" ht="11.25" customHeight="1" x14ac:dyDescent="0.2">
      <c r="A868" s="327"/>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7"/>
      <c r="AD868" s="327"/>
      <c r="AE868" s="327"/>
    </row>
    <row r="869" spans="1:31" ht="11.25" customHeight="1" x14ac:dyDescent="0.2">
      <c r="A869" s="327"/>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c r="AA869" s="327"/>
      <c r="AB869" s="327"/>
      <c r="AC869" s="327"/>
      <c r="AD869" s="327"/>
      <c r="AE869" s="327"/>
    </row>
    <row r="870" spans="1:31" ht="11.25" customHeight="1" x14ac:dyDescent="0.2">
      <c r="A870" s="327"/>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c r="AA870" s="327"/>
      <c r="AB870" s="327"/>
      <c r="AC870" s="327"/>
      <c r="AD870" s="327"/>
      <c r="AE870" s="327"/>
    </row>
    <row r="871" spans="1:31" ht="11.25" customHeight="1" x14ac:dyDescent="0.2">
      <c r="A871" s="327"/>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c r="AA871" s="327"/>
      <c r="AB871" s="327"/>
      <c r="AC871" s="327"/>
      <c r="AD871" s="327"/>
      <c r="AE871" s="327"/>
    </row>
    <row r="872" spans="1:31" ht="11.25" customHeight="1" x14ac:dyDescent="0.2">
      <c r="A872" s="327"/>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c r="AB872" s="327"/>
      <c r="AC872" s="327"/>
      <c r="AD872" s="327"/>
      <c r="AE872" s="327"/>
    </row>
    <row r="873" spans="1:31" ht="11.25" customHeight="1" x14ac:dyDescent="0.2">
      <c r="A873" s="327"/>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c r="AA873" s="327"/>
      <c r="AB873" s="327"/>
      <c r="AC873" s="327"/>
      <c r="AD873" s="327"/>
      <c r="AE873" s="327"/>
    </row>
    <row r="874" spans="1:31" ht="11.25" customHeight="1" x14ac:dyDescent="0.2">
      <c r="A874" s="327"/>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c r="AA874" s="327"/>
      <c r="AB874" s="327"/>
      <c r="AC874" s="327"/>
      <c r="AD874" s="327"/>
      <c r="AE874" s="327"/>
    </row>
    <row r="875" spans="1:31" ht="11.25" customHeight="1" x14ac:dyDescent="0.2">
      <c r="A875" s="327"/>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c r="AB875" s="327"/>
      <c r="AC875" s="327"/>
      <c r="AD875" s="327"/>
      <c r="AE875" s="327"/>
    </row>
    <row r="876" spans="1:31" ht="11.25" customHeight="1" x14ac:dyDescent="0.2">
      <c r="A876" s="327"/>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c r="AA876" s="327"/>
      <c r="AB876" s="327"/>
      <c r="AC876" s="327"/>
      <c r="AD876" s="327"/>
      <c r="AE876" s="327"/>
    </row>
    <row r="877" spans="1:31" ht="11.25" customHeight="1" x14ac:dyDescent="0.2">
      <c r="A877" s="327"/>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c r="AE877" s="327"/>
    </row>
    <row r="878" spans="1:31" ht="11.25" customHeight="1" x14ac:dyDescent="0.2">
      <c r="A878" s="327"/>
      <c r="B878" s="327"/>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c r="AA878" s="327"/>
      <c r="AB878" s="327"/>
      <c r="AC878" s="327"/>
      <c r="AD878" s="327"/>
      <c r="AE878" s="327"/>
    </row>
    <row r="879" spans="1:31" ht="11.25" customHeight="1" x14ac:dyDescent="0.2">
      <c r="A879" s="327"/>
      <c r="B879" s="327"/>
      <c r="C879" s="327"/>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c r="AA879" s="327"/>
      <c r="AB879" s="327"/>
      <c r="AC879" s="327"/>
      <c r="AD879" s="327"/>
      <c r="AE879" s="327"/>
    </row>
    <row r="880" spans="1:31" ht="11.25" customHeight="1" x14ac:dyDescent="0.2">
      <c r="A880" s="327"/>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c r="AB880" s="327"/>
      <c r="AC880" s="327"/>
      <c r="AD880" s="327"/>
      <c r="AE880" s="327"/>
    </row>
    <row r="881" spans="1:31" ht="11.25" customHeight="1" x14ac:dyDescent="0.2">
      <c r="A881" s="327"/>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c r="AA881" s="327"/>
      <c r="AB881" s="327"/>
      <c r="AC881" s="327"/>
      <c r="AD881" s="327"/>
      <c r="AE881" s="327"/>
    </row>
    <row r="882" spans="1:31" ht="11.25" customHeight="1" x14ac:dyDescent="0.2">
      <c r="A882" s="327"/>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c r="AA882" s="327"/>
      <c r="AB882" s="327"/>
      <c r="AC882" s="327"/>
      <c r="AD882" s="327"/>
      <c r="AE882" s="327"/>
    </row>
    <row r="883" spans="1:31" ht="11.25" customHeight="1" x14ac:dyDescent="0.2">
      <c r="A883" s="327"/>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c r="AA883" s="327"/>
      <c r="AB883" s="327"/>
      <c r="AC883" s="327"/>
      <c r="AD883" s="327"/>
      <c r="AE883" s="327"/>
    </row>
    <row r="884" spans="1:31" ht="11.25" customHeight="1" x14ac:dyDescent="0.2">
      <c r="A884" s="327"/>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c r="AA884" s="327"/>
      <c r="AB884" s="327"/>
      <c r="AC884" s="327"/>
      <c r="AD884" s="327"/>
      <c r="AE884" s="327"/>
    </row>
    <row r="885" spans="1:31" ht="11.25" customHeight="1" x14ac:dyDescent="0.2">
      <c r="A885" s="327"/>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c r="AA885" s="327"/>
      <c r="AB885" s="327"/>
      <c r="AC885" s="327"/>
      <c r="AD885" s="327"/>
      <c r="AE885" s="327"/>
    </row>
    <row r="886" spans="1:31" ht="11.25" customHeight="1" x14ac:dyDescent="0.2">
      <c r="A886" s="327"/>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c r="AE886" s="327"/>
    </row>
    <row r="887" spans="1:31" ht="11.25" customHeight="1" x14ac:dyDescent="0.2">
      <c r="A887" s="327"/>
      <c r="B887" s="327"/>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c r="AA887" s="327"/>
      <c r="AB887" s="327"/>
      <c r="AC887" s="327"/>
      <c r="AD887" s="327"/>
      <c r="AE887" s="327"/>
    </row>
    <row r="888" spans="1:31" ht="11.25" customHeight="1" x14ac:dyDescent="0.2">
      <c r="A888" s="327"/>
      <c r="B888" s="327"/>
      <c r="C888" s="327"/>
      <c r="D888" s="327"/>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c r="AA888" s="327"/>
      <c r="AB888" s="327"/>
      <c r="AC888" s="327"/>
      <c r="AD888" s="327"/>
      <c r="AE888" s="327"/>
    </row>
    <row r="889" spans="1:31" ht="11.25" customHeight="1" x14ac:dyDescent="0.2">
      <c r="A889" s="327"/>
      <c r="B889" s="327"/>
      <c r="C889" s="327"/>
      <c r="D889" s="327"/>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c r="AA889" s="327"/>
      <c r="AB889" s="327"/>
      <c r="AC889" s="327"/>
      <c r="AD889" s="327"/>
      <c r="AE889" s="327"/>
    </row>
    <row r="890" spans="1:31" ht="11.25" customHeight="1" x14ac:dyDescent="0.2">
      <c r="A890" s="327"/>
      <c r="B890" s="327"/>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c r="AA890" s="327"/>
      <c r="AB890" s="327"/>
      <c r="AC890" s="327"/>
      <c r="AD890" s="327"/>
      <c r="AE890" s="327"/>
    </row>
    <row r="891" spans="1:31" ht="11.25" customHeight="1" x14ac:dyDescent="0.2">
      <c r="A891" s="327"/>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c r="AA891" s="327"/>
      <c r="AB891" s="327"/>
      <c r="AC891" s="327"/>
      <c r="AD891" s="327"/>
      <c r="AE891" s="327"/>
    </row>
    <row r="892" spans="1:31" ht="11.25" customHeight="1" x14ac:dyDescent="0.2">
      <c r="A892" s="327"/>
      <c r="B892" s="327"/>
      <c r="C892" s="327"/>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c r="AA892" s="327"/>
      <c r="AB892" s="327"/>
      <c r="AC892" s="327"/>
      <c r="AD892" s="327"/>
      <c r="AE892" s="327"/>
    </row>
    <row r="893" spans="1:31" ht="11.25" customHeight="1" x14ac:dyDescent="0.2">
      <c r="A893" s="327"/>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327"/>
      <c r="AE893" s="327"/>
    </row>
    <row r="894" spans="1:31" ht="11.25" customHeight="1" x14ac:dyDescent="0.2">
      <c r="A894" s="327"/>
      <c r="B894" s="327"/>
      <c r="C894" s="327"/>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c r="AA894" s="327"/>
      <c r="AB894" s="327"/>
      <c r="AC894" s="327"/>
      <c r="AD894" s="327"/>
      <c r="AE894" s="327"/>
    </row>
    <row r="895" spans="1:31" ht="11.25" customHeight="1" x14ac:dyDescent="0.2">
      <c r="A895" s="327"/>
      <c r="B895" s="327"/>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c r="AA895" s="327"/>
      <c r="AB895" s="327"/>
      <c r="AC895" s="327"/>
      <c r="AD895" s="327"/>
      <c r="AE895" s="327"/>
    </row>
    <row r="896" spans="1:31" ht="11.25" customHeight="1" x14ac:dyDescent="0.2">
      <c r="A896" s="327"/>
      <c r="B896" s="327"/>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c r="AA896" s="327"/>
      <c r="AB896" s="327"/>
      <c r="AC896" s="327"/>
      <c r="AD896" s="327"/>
      <c r="AE896" s="327"/>
    </row>
    <row r="897" spans="1:31" ht="11.25" customHeight="1" x14ac:dyDescent="0.2">
      <c r="A897" s="327"/>
      <c r="B897" s="327"/>
      <c r="C897" s="327"/>
      <c r="D897" s="327"/>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c r="AA897" s="327"/>
      <c r="AB897" s="327"/>
      <c r="AC897" s="327"/>
      <c r="AD897" s="327"/>
      <c r="AE897" s="327"/>
    </row>
    <row r="898" spans="1:31" ht="11.25" customHeight="1" x14ac:dyDescent="0.2">
      <c r="A898" s="327"/>
      <c r="B898" s="327"/>
      <c r="C898" s="327"/>
      <c r="D898" s="327"/>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c r="AA898" s="327"/>
      <c r="AB898" s="327"/>
      <c r="AC898" s="327"/>
      <c r="AD898" s="327"/>
      <c r="AE898" s="327"/>
    </row>
    <row r="899" spans="1:31" ht="11.25" customHeight="1" x14ac:dyDescent="0.2">
      <c r="A899" s="327"/>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c r="AA899" s="327"/>
      <c r="AB899" s="327"/>
      <c r="AC899" s="327"/>
      <c r="AD899" s="327"/>
      <c r="AE899" s="327"/>
    </row>
    <row r="900" spans="1:31" ht="11.25" customHeight="1" x14ac:dyDescent="0.2">
      <c r="A900" s="327"/>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c r="AA900" s="327"/>
      <c r="AB900" s="327"/>
      <c r="AC900" s="327"/>
      <c r="AD900" s="327"/>
      <c r="AE900" s="327"/>
    </row>
    <row r="901" spans="1:31" ht="11.25" customHeight="1" x14ac:dyDescent="0.2">
      <c r="A901" s="327"/>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c r="AA901" s="327"/>
      <c r="AB901" s="327"/>
      <c r="AC901" s="327"/>
      <c r="AD901" s="327"/>
      <c r="AE901" s="327"/>
    </row>
    <row r="902" spans="1:31" ht="11.25" customHeight="1" x14ac:dyDescent="0.2">
      <c r="A902" s="327"/>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c r="AB902" s="327"/>
      <c r="AC902" s="327"/>
      <c r="AD902" s="327"/>
      <c r="AE902" s="327"/>
    </row>
    <row r="903" spans="1:31" ht="11.25" customHeight="1" x14ac:dyDescent="0.2">
      <c r="A903" s="327"/>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c r="AA903" s="327"/>
      <c r="AB903" s="327"/>
      <c r="AC903" s="327"/>
      <c r="AD903" s="327"/>
      <c r="AE903" s="327"/>
    </row>
    <row r="904" spans="1:31" ht="11.25" customHeight="1" x14ac:dyDescent="0.2">
      <c r="A904" s="327"/>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c r="AA904" s="327"/>
      <c r="AB904" s="327"/>
      <c r="AC904" s="327"/>
      <c r="AD904" s="327"/>
      <c r="AE904" s="327"/>
    </row>
    <row r="905" spans="1:31" ht="11.25" customHeight="1" x14ac:dyDescent="0.2">
      <c r="A905" s="327"/>
      <c r="B905" s="327"/>
      <c r="C905" s="327"/>
      <c r="D905" s="327"/>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c r="AA905" s="327"/>
      <c r="AB905" s="327"/>
      <c r="AC905" s="327"/>
      <c r="AD905" s="327"/>
      <c r="AE905" s="327"/>
    </row>
    <row r="906" spans="1:31" ht="11.25" customHeight="1" x14ac:dyDescent="0.2">
      <c r="A906" s="327"/>
      <c r="B906" s="327"/>
      <c r="C906" s="327"/>
      <c r="D906" s="327"/>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c r="AA906" s="327"/>
      <c r="AB906" s="327"/>
      <c r="AC906" s="327"/>
      <c r="AD906" s="327"/>
      <c r="AE906" s="327"/>
    </row>
    <row r="907" spans="1:31" ht="11.25" customHeight="1" x14ac:dyDescent="0.2">
      <c r="A907" s="327"/>
      <c r="B907" s="327"/>
      <c r="C907" s="327"/>
      <c r="D907" s="327"/>
      <c r="E907" s="327"/>
      <c r="F907" s="327"/>
      <c r="G907" s="327"/>
      <c r="H907" s="327"/>
      <c r="I907" s="327"/>
      <c r="J907" s="327"/>
      <c r="K907" s="327"/>
      <c r="L907" s="327"/>
      <c r="M907" s="327"/>
      <c r="N907" s="327"/>
      <c r="O907" s="327"/>
      <c r="P907" s="327"/>
      <c r="Q907" s="327"/>
      <c r="R907" s="327"/>
      <c r="S907" s="327"/>
      <c r="T907" s="327"/>
      <c r="U907" s="327"/>
      <c r="V907" s="327"/>
      <c r="W907" s="327"/>
      <c r="X907" s="327"/>
      <c r="Y907" s="327"/>
      <c r="Z907" s="327"/>
      <c r="AA907" s="327"/>
      <c r="AB907" s="327"/>
      <c r="AC907" s="327"/>
      <c r="AD907" s="327"/>
      <c r="AE907" s="327"/>
    </row>
    <row r="908" spans="1:31" ht="11.25" customHeight="1" x14ac:dyDescent="0.2">
      <c r="A908" s="327"/>
      <c r="B908" s="327"/>
      <c r="C908" s="327"/>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c r="AA908" s="327"/>
      <c r="AB908" s="327"/>
      <c r="AC908" s="327"/>
      <c r="AD908" s="327"/>
      <c r="AE908" s="327"/>
    </row>
    <row r="909" spans="1:31" ht="11.25" customHeight="1" x14ac:dyDescent="0.2">
      <c r="A909" s="327"/>
      <c r="B909" s="327"/>
      <c r="C909" s="327"/>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c r="AA909" s="327"/>
      <c r="AB909" s="327"/>
      <c r="AC909" s="327"/>
      <c r="AD909" s="327"/>
      <c r="AE909" s="327"/>
    </row>
    <row r="910" spans="1:31" ht="11.25" customHeight="1" x14ac:dyDescent="0.2">
      <c r="A910" s="327"/>
      <c r="B910" s="327"/>
      <c r="C910" s="327"/>
      <c r="D910" s="327"/>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c r="AA910" s="327"/>
      <c r="AB910" s="327"/>
      <c r="AC910" s="327"/>
      <c r="AD910" s="327"/>
      <c r="AE910" s="327"/>
    </row>
    <row r="911" spans="1:31" ht="11.25" customHeight="1" x14ac:dyDescent="0.2">
      <c r="A911" s="327"/>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c r="AA911" s="327"/>
      <c r="AB911" s="327"/>
      <c r="AC911" s="327"/>
      <c r="AD911" s="327"/>
      <c r="AE911" s="327"/>
    </row>
    <row r="912" spans="1:31" ht="11.25" customHeight="1" x14ac:dyDescent="0.2">
      <c r="A912" s="327"/>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c r="AA912" s="327"/>
      <c r="AB912" s="327"/>
      <c r="AC912" s="327"/>
      <c r="AD912" s="327"/>
      <c r="AE912" s="327"/>
    </row>
    <row r="913" spans="1:31" ht="11.25" customHeight="1" x14ac:dyDescent="0.2">
      <c r="A913" s="327"/>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c r="AB913" s="327"/>
      <c r="AC913" s="327"/>
      <c r="AD913" s="327"/>
      <c r="AE913" s="327"/>
    </row>
    <row r="914" spans="1:31" ht="11.25" customHeight="1" x14ac:dyDescent="0.2">
      <c r="A914" s="327"/>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c r="AA914" s="327"/>
      <c r="AB914" s="327"/>
      <c r="AC914" s="327"/>
      <c r="AD914" s="327"/>
      <c r="AE914" s="327"/>
    </row>
    <row r="915" spans="1:31" ht="11.25" customHeight="1" x14ac:dyDescent="0.2">
      <c r="A915" s="327"/>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c r="AA915" s="327"/>
      <c r="AB915" s="327"/>
      <c r="AC915" s="327"/>
      <c r="AD915" s="327"/>
      <c r="AE915" s="327"/>
    </row>
    <row r="916" spans="1:31" ht="11.25" customHeight="1" x14ac:dyDescent="0.2">
      <c r="A916" s="327"/>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c r="AA916" s="327"/>
      <c r="AB916" s="327"/>
      <c r="AC916" s="327"/>
      <c r="AD916" s="327"/>
      <c r="AE916" s="327"/>
    </row>
    <row r="917" spans="1:31" ht="11.25" customHeight="1" x14ac:dyDescent="0.2">
      <c r="A917" s="327"/>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c r="AA917" s="327"/>
      <c r="AB917" s="327"/>
      <c r="AC917" s="327"/>
      <c r="AD917" s="327"/>
      <c r="AE917" s="327"/>
    </row>
    <row r="918" spans="1:31" ht="11.25" customHeight="1" x14ac:dyDescent="0.2">
      <c r="A918" s="327"/>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c r="AA918" s="327"/>
      <c r="AB918" s="327"/>
      <c r="AC918" s="327"/>
      <c r="AD918" s="327"/>
      <c r="AE918" s="327"/>
    </row>
    <row r="919" spans="1:31" ht="11.25" customHeight="1" x14ac:dyDescent="0.2">
      <c r="A919" s="327"/>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c r="AA919" s="327"/>
      <c r="AB919" s="327"/>
      <c r="AC919" s="327"/>
      <c r="AD919" s="327"/>
      <c r="AE919" s="327"/>
    </row>
    <row r="920" spans="1:31" ht="11.25" customHeight="1" x14ac:dyDescent="0.2">
      <c r="A920" s="327"/>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7"/>
      <c r="AD920" s="327"/>
      <c r="AE920" s="327"/>
    </row>
    <row r="921" spans="1:31" ht="11.25" customHeight="1" x14ac:dyDescent="0.2">
      <c r="A921" s="327"/>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c r="AA921" s="327"/>
      <c r="AB921" s="327"/>
      <c r="AC921" s="327"/>
      <c r="AD921" s="327"/>
      <c r="AE921" s="327"/>
    </row>
    <row r="922" spans="1:31" ht="11.25" customHeight="1" x14ac:dyDescent="0.2">
      <c r="A922" s="327"/>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c r="AA922" s="327"/>
      <c r="AB922" s="327"/>
      <c r="AC922" s="327"/>
      <c r="AD922" s="327"/>
      <c r="AE922" s="327"/>
    </row>
    <row r="923" spans="1:31" ht="11.25" customHeight="1" x14ac:dyDescent="0.2">
      <c r="A923" s="327"/>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7"/>
      <c r="AD923" s="327"/>
      <c r="AE923" s="327"/>
    </row>
    <row r="924" spans="1:31" ht="11.25" customHeight="1" x14ac:dyDescent="0.2">
      <c r="A924" s="327"/>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c r="AA924" s="327"/>
      <c r="AB924" s="327"/>
      <c r="AC924" s="327"/>
      <c r="AD924" s="327"/>
      <c r="AE924" s="327"/>
    </row>
    <row r="925" spans="1:31" ht="11.25" customHeight="1" x14ac:dyDescent="0.2">
      <c r="A925" s="327"/>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c r="AA925" s="327"/>
      <c r="AB925" s="327"/>
      <c r="AC925" s="327"/>
      <c r="AD925" s="327"/>
      <c r="AE925" s="327"/>
    </row>
    <row r="926" spans="1:31" ht="11.25" customHeight="1" x14ac:dyDescent="0.2">
      <c r="A926" s="327"/>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c r="AA926" s="327"/>
      <c r="AB926" s="327"/>
      <c r="AC926" s="327"/>
      <c r="AD926" s="327"/>
      <c r="AE926" s="327"/>
    </row>
    <row r="927" spans="1:31" ht="11.25" customHeight="1" x14ac:dyDescent="0.2">
      <c r="A927" s="327"/>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c r="AA927" s="327"/>
      <c r="AB927" s="327"/>
      <c r="AC927" s="327"/>
      <c r="AD927" s="327"/>
      <c r="AE927" s="327"/>
    </row>
    <row r="928" spans="1:31" ht="11.25" customHeight="1" x14ac:dyDescent="0.2">
      <c r="A928" s="327"/>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c r="AA928" s="327"/>
      <c r="AB928" s="327"/>
      <c r="AC928" s="327"/>
      <c r="AD928" s="327"/>
      <c r="AE928" s="327"/>
    </row>
    <row r="929" spans="1:31" ht="11.25" customHeight="1" x14ac:dyDescent="0.2">
      <c r="A929" s="327"/>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7"/>
      <c r="AD929" s="327"/>
      <c r="AE929" s="327"/>
    </row>
    <row r="930" spans="1:31" ht="11.25" customHeight="1" x14ac:dyDescent="0.2">
      <c r="A930" s="327"/>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c r="AA930" s="327"/>
      <c r="AB930" s="327"/>
      <c r="AC930" s="327"/>
      <c r="AD930" s="327"/>
      <c r="AE930" s="327"/>
    </row>
    <row r="931" spans="1:31" ht="11.25" customHeight="1" x14ac:dyDescent="0.2">
      <c r="A931" s="327"/>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c r="AB931" s="327"/>
      <c r="AC931" s="327"/>
      <c r="AD931" s="327"/>
      <c r="AE931" s="327"/>
    </row>
    <row r="932" spans="1:31" ht="11.25" customHeight="1" x14ac:dyDescent="0.2">
      <c r="A932" s="327"/>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c r="AA932" s="327"/>
      <c r="AB932" s="327"/>
      <c r="AC932" s="327"/>
      <c r="AD932" s="327"/>
      <c r="AE932" s="327"/>
    </row>
    <row r="933" spans="1:31" ht="11.25" customHeight="1" x14ac:dyDescent="0.2">
      <c r="A933" s="327"/>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c r="AA933" s="327"/>
      <c r="AB933" s="327"/>
      <c r="AC933" s="327"/>
      <c r="AD933" s="327"/>
      <c r="AE933" s="327"/>
    </row>
    <row r="934" spans="1:31" ht="11.25" customHeight="1" x14ac:dyDescent="0.2">
      <c r="A934" s="327"/>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c r="AA934" s="327"/>
      <c r="AB934" s="327"/>
      <c r="AC934" s="327"/>
      <c r="AD934" s="327"/>
      <c r="AE934" s="327"/>
    </row>
    <row r="935" spans="1:31" ht="11.25" customHeight="1" x14ac:dyDescent="0.2">
      <c r="A935" s="327"/>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c r="AA935" s="327"/>
      <c r="AB935" s="327"/>
      <c r="AC935" s="327"/>
      <c r="AD935" s="327"/>
      <c r="AE935" s="327"/>
    </row>
    <row r="936" spans="1:31" ht="11.25" customHeight="1" x14ac:dyDescent="0.2">
      <c r="A936" s="327"/>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c r="AA936" s="327"/>
      <c r="AB936" s="327"/>
      <c r="AC936" s="327"/>
      <c r="AD936" s="327"/>
      <c r="AE936" s="327"/>
    </row>
    <row r="937" spans="1:31" ht="11.25" customHeight="1" x14ac:dyDescent="0.2">
      <c r="A937" s="327"/>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c r="AA937" s="327"/>
      <c r="AB937" s="327"/>
      <c r="AC937" s="327"/>
      <c r="AD937" s="327"/>
      <c r="AE937" s="327"/>
    </row>
    <row r="938" spans="1:31" ht="11.25" customHeight="1" x14ac:dyDescent="0.2">
      <c r="A938" s="327"/>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c r="AA938" s="327"/>
      <c r="AB938" s="327"/>
      <c r="AC938" s="327"/>
      <c r="AD938" s="327"/>
      <c r="AE938" s="327"/>
    </row>
    <row r="939" spans="1:31" ht="11.25" customHeight="1" x14ac:dyDescent="0.2">
      <c r="A939" s="327"/>
      <c r="B939" s="327"/>
      <c r="C939" s="327"/>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c r="AA939" s="327"/>
      <c r="AB939" s="327"/>
      <c r="AC939" s="327"/>
      <c r="AD939" s="327"/>
      <c r="AE939" s="327"/>
    </row>
    <row r="940" spans="1:31" ht="11.25" customHeight="1" x14ac:dyDescent="0.2">
      <c r="A940" s="327"/>
      <c r="B940" s="327"/>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c r="AA940" s="327"/>
      <c r="AB940" s="327"/>
      <c r="AC940" s="327"/>
      <c r="AD940" s="327"/>
      <c r="AE940" s="327"/>
    </row>
    <row r="941" spans="1:31" ht="11.25" customHeight="1" x14ac:dyDescent="0.2">
      <c r="A941" s="327"/>
      <c r="B941" s="327"/>
      <c r="C941" s="327"/>
      <c r="D941" s="327"/>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c r="AA941" s="327"/>
      <c r="AB941" s="327"/>
      <c r="AC941" s="327"/>
      <c r="AD941" s="327"/>
      <c r="AE941" s="327"/>
    </row>
    <row r="942" spans="1:31" ht="11.25" customHeight="1" x14ac:dyDescent="0.2">
      <c r="A942" s="327"/>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c r="AA942" s="327"/>
      <c r="AB942" s="327"/>
      <c r="AC942" s="327"/>
      <c r="AD942" s="327"/>
      <c r="AE942" s="327"/>
    </row>
    <row r="943" spans="1:31" ht="11.25" customHeight="1" x14ac:dyDescent="0.2">
      <c r="A943" s="327"/>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c r="AA943" s="327"/>
      <c r="AB943" s="327"/>
      <c r="AC943" s="327"/>
      <c r="AD943" s="327"/>
      <c r="AE943" s="327"/>
    </row>
    <row r="944" spans="1:31" ht="11.25" customHeight="1" x14ac:dyDescent="0.2">
      <c r="A944" s="327"/>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c r="AA944" s="327"/>
      <c r="AB944" s="327"/>
      <c r="AC944" s="327"/>
      <c r="AD944" s="327"/>
      <c r="AE944" s="327"/>
    </row>
    <row r="945" spans="1:31" ht="11.25" customHeight="1" x14ac:dyDescent="0.2">
      <c r="A945" s="327"/>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c r="AA945" s="327"/>
      <c r="AB945" s="327"/>
      <c r="AC945" s="327"/>
      <c r="AD945" s="327"/>
      <c r="AE945" s="327"/>
    </row>
    <row r="946" spans="1:31" ht="11.25" customHeight="1" x14ac:dyDescent="0.2">
      <c r="A946" s="327"/>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c r="AB946" s="327"/>
      <c r="AC946" s="327"/>
      <c r="AD946" s="327"/>
      <c r="AE946" s="327"/>
    </row>
    <row r="947" spans="1:31" ht="11.25" customHeight="1" x14ac:dyDescent="0.2">
      <c r="A947" s="327"/>
      <c r="B947" s="327"/>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c r="AA947" s="327"/>
      <c r="AB947" s="327"/>
      <c r="AC947" s="327"/>
      <c r="AD947" s="327"/>
      <c r="AE947" s="327"/>
    </row>
    <row r="948" spans="1:31" ht="11.25" customHeight="1" x14ac:dyDescent="0.2">
      <c r="A948" s="327"/>
      <c r="B948" s="327"/>
      <c r="C948" s="327"/>
      <c r="D948" s="327"/>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c r="AA948" s="327"/>
      <c r="AB948" s="327"/>
      <c r="AC948" s="327"/>
      <c r="AD948" s="327"/>
      <c r="AE948" s="327"/>
    </row>
    <row r="949" spans="1:31" ht="11.25" customHeight="1" x14ac:dyDescent="0.2">
      <c r="A949" s="327"/>
      <c r="B949" s="327"/>
      <c r="C949" s="327"/>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c r="AA949" s="327"/>
      <c r="AB949" s="327"/>
      <c r="AC949" s="327"/>
      <c r="AD949" s="327"/>
      <c r="AE949" s="327"/>
    </row>
    <row r="950" spans="1:31" ht="11.25" customHeight="1" x14ac:dyDescent="0.2">
      <c r="A950" s="327"/>
      <c r="B950" s="327"/>
      <c r="C950" s="327"/>
      <c r="D950" s="327"/>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c r="AA950" s="327"/>
      <c r="AB950" s="327"/>
      <c r="AC950" s="327"/>
      <c r="AD950" s="327"/>
      <c r="AE950" s="327"/>
    </row>
    <row r="951" spans="1:31" ht="11.25" customHeight="1" x14ac:dyDescent="0.2">
      <c r="A951" s="327"/>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c r="AA951" s="327"/>
      <c r="AB951" s="327"/>
      <c r="AC951" s="327"/>
      <c r="AD951" s="327"/>
      <c r="AE951" s="327"/>
    </row>
    <row r="952" spans="1:31" ht="11.25" customHeight="1" x14ac:dyDescent="0.2">
      <c r="A952" s="327"/>
      <c r="B952" s="327"/>
      <c r="C952" s="327"/>
      <c r="D952" s="327"/>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c r="AA952" s="327"/>
      <c r="AB952" s="327"/>
      <c r="AC952" s="327"/>
      <c r="AD952" s="327"/>
      <c r="AE952" s="327"/>
    </row>
    <row r="953" spans="1:31" ht="11.25" customHeight="1" x14ac:dyDescent="0.2">
      <c r="A953" s="327"/>
      <c r="B953" s="327"/>
      <c r="C953" s="327"/>
      <c r="D953" s="327"/>
      <c r="E953" s="327"/>
      <c r="F953" s="327"/>
      <c r="G953" s="327"/>
      <c r="H953" s="327"/>
      <c r="I953" s="327"/>
      <c r="J953" s="327"/>
      <c r="K953" s="327"/>
      <c r="L953" s="327"/>
      <c r="M953" s="327"/>
      <c r="N953" s="327"/>
      <c r="O953" s="327"/>
      <c r="P953" s="327"/>
      <c r="Q953" s="327"/>
      <c r="R953" s="327"/>
      <c r="S953" s="327"/>
      <c r="T953" s="327"/>
      <c r="U953" s="327"/>
      <c r="V953" s="327"/>
      <c r="W953" s="327"/>
      <c r="X953" s="327"/>
      <c r="Y953" s="327"/>
      <c r="Z953" s="327"/>
      <c r="AA953" s="327"/>
      <c r="AB953" s="327"/>
      <c r="AC953" s="327"/>
      <c r="AD953" s="327"/>
      <c r="AE953" s="327"/>
    </row>
    <row r="954" spans="1:31" ht="11.25" customHeight="1" x14ac:dyDescent="0.2">
      <c r="A954" s="327"/>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c r="AA954" s="327"/>
      <c r="AB954" s="327"/>
      <c r="AC954" s="327"/>
      <c r="AD954" s="327"/>
      <c r="AE954" s="327"/>
    </row>
    <row r="955" spans="1:31" ht="11.25" customHeight="1" x14ac:dyDescent="0.2">
      <c r="A955" s="327"/>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c r="AA955" s="327"/>
      <c r="AB955" s="327"/>
      <c r="AC955" s="327"/>
      <c r="AD955" s="327"/>
      <c r="AE955" s="327"/>
    </row>
    <row r="956" spans="1:31" ht="11.25" customHeight="1" x14ac:dyDescent="0.2">
      <c r="A956" s="327"/>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c r="AA956" s="327"/>
      <c r="AB956" s="327"/>
      <c r="AC956" s="327"/>
      <c r="AD956" s="327"/>
      <c r="AE956" s="327"/>
    </row>
    <row r="957" spans="1:31" ht="11.25" customHeight="1" x14ac:dyDescent="0.2">
      <c r="A957" s="327"/>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c r="AA957" s="327"/>
      <c r="AB957" s="327"/>
      <c r="AC957" s="327"/>
      <c r="AD957" s="327"/>
      <c r="AE957" s="327"/>
    </row>
    <row r="958" spans="1:31" ht="11.25" customHeight="1" x14ac:dyDescent="0.2">
      <c r="A958" s="327"/>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c r="AA958" s="327"/>
      <c r="AB958" s="327"/>
      <c r="AC958" s="327"/>
      <c r="AD958" s="327"/>
      <c r="AE958" s="327"/>
    </row>
    <row r="959" spans="1:31" ht="11.25" customHeight="1" x14ac:dyDescent="0.2">
      <c r="A959" s="327"/>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c r="AA959" s="327"/>
      <c r="AB959" s="327"/>
      <c r="AC959" s="327"/>
      <c r="AD959" s="327"/>
      <c r="AE959" s="327"/>
    </row>
    <row r="960" spans="1:31" ht="11.25" customHeight="1" x14ac:dyDescent="0.2">
      <c r="A960" s="327"/>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c r="AA960" s="327"/>
      <c r="AB960" s="327"/>
      <c r="AC960" s="327"/>
      <c r="AD960" s="327"/>
      <c r="AE960" s="327"/>
    </row>
    <row r="961" spans="1:31" ht="11.25" customHeight="1" x14ac:dyDescent="0.2">
      <c r="A961" s="327"/>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c r="AA961" s="327"/>
      <c r="AB961" s="327"/>
      <c r="AC961" s="327"/>
      <c r="AD961" s="327"/>
      <c r="AE961" s="327"/>
    </row>
    <row r="962" spans="1:31" ht="11.25" customHeight="1" x14ac:dyDescent="0.2">
      <c r="A962" s="327"/>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c r="AA962" s="327"/>
      <c r="AB962" s="327"/>
      <c r="AC962" s="327"/>
      <c r="AD962" s="327"/>
      <c r="AE962" s="327"/>
    </row>
    <row r="963" spans="1:31" ht="11.25" customHeight="1" x14ac:dyDescent="0.2">
      <c r="A963" s="327"/>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c r="AA963" s="327"/>
      <c r="AB963" s="327"/>
      <c r="AC963" s="327"/>
      <c r="AD963" s="327"/>
      <c r="AE963" s="327"/>
    </row>
    <row r="964" spans="1:31" ht="11.25" customHeight="1" x14ac:dyDescent="0.2">
      <c r="A964" s="327"/>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c r="AA964" s="327"/>
      <c r="AB964" s="327"/>
      <c r="AC964" s="327"/>
      <c r="AD964" s="327"/>
      <c r="AE964" s="327"/>
    </row>
    <row r="965" spans="1:31" ht="11.25" customHeight="1" x14ac:dyDescent="0.2">
      <c r="A965" s="327"/>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c r="AA965" s="327"/>
      <c r="AB965" s="327"/>
      <c r="AC965" s="327"/>
      <c r="AD965" s="327"/>
      <c r="AE965" s="327"/>
    </row>
    <row r="966" spans="1:31" ht="11.25" customHeight="1" x14ac:dyDescent="0.2">
      <c r="A966" s="327"/>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c r="AA966" s="327"/>
      <c r="AB966" s="327"/>
      <c r="AC966" s="327"/>
      <c r="AD966" s="327"/>
      <c r="AE966" s="327"/>
    </row>
    <row r="967" spans="1:31" ht="11.25" customHeight="1" x14ac:dyDescent="0.2">
      <c r="A967" s="327"/>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c r="AB967" s="327"/>
      <c r="AC967" s="327"/>
      <c r="AD967" s="327"/>
      <c r="AE967" s="327"/>
    </row>
    <row r="968" spans="1:31" ht="11.25" customHeight="1" x14ac:dyDescent="0.2">
      <c r="A968" s="327"/>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c r="AA968" s="327"/>
      <c r="AB968" s="327"/>
      <c r="AC968" s="327"/>
      <c r="AD968" s="327"/>
      <c r="AE968" s="327"/>
    </row>
    <row r="969" spans="1:31" ht="11.25" customHeight="1" x14ac:dyDescent="0.2">
      <c r="A969" s="327"/>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c r="AA969" s="327"/>
      <c r="AB969" s="327"/>
      <c r="AC969" s="327"/>
      <c r="AD969" s="327"/>
      <c r="AE969" s="327"/>
    </row>
    <row r="970" spans="1:31" ht="11.25" customHeight="1" x14ac:dyDescent="0.2">
      <c r="A970" s="327"/>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c r="AA970" s="327"/>
      <c r="AB970" s="327"/>
      <c r="AC970" s="327"/>
      <c r="AD970" s="327"/>
      <c r="AE970" s="327"/>
    </row>
    <row r="971" spans="1:31" ht="11.25" customHeight="1" x14ac:dyDescent="0.2">
      <c r="A971" s="327"/>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c r="AA971" s="327"/>
      <c r="AB971" s="327"/>
      <c r="AC971" s="327"/>
      <c r="AD971" s="327"/>
      <c r="AE971" s="327"/>
    </row>
    <row r="972" spans="1:31" ht="11.25" customHeight="1" x14ac:dyDescent="0.2">
      <c r="A972" s="327"/>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c r="AA972" s="327"/>
      <c r="AB972" s="327"/>
      <c r="AC972" s="327"/>
      <c r="AD972" s="327"/>
      <c r="AE972" s="327"/>
    </row>
    <row r="973" spans="1:31" ht="11.25" customHeight="1" x14ac:dyDescent="0.2">
      <c r="A973" s="327"/>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c r="AA973" s="327"/>
      <c r="AB973" s="327"/>
      <c r="AC973" s="327"/>
      <c r="AD973" s="327"/>
      <c r="AE973" s="327"/>
    </row>
    <row r="974" spans="1:31" ht="11.25" customHeight="1" x14ac:dyDescent="0.2">
      <c r="A974" s="327"/>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c r="AA974" s="327"/>
      <c r="AB974" s="327"/>
      <c r="AC974" s="327"/>
      <c r="AD974" s="327"/>
      <c r="AE974" s="327"/>
    </row>
    <row r="975" spans="1:31" ht="11.25" customHeight="1" x14ac:dyDescent="0.2">
      <c r="A975" s="327"/>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c r="AA975" s="327"/>
      <c r="AB975" s="327"/>
      <c r="AC975" s="327"/>
      <c r="AD975" s="327"/>
      <c r="AE975" s="327"/>
    </row>
    <row r="976" spans="1:31" ht="11.25" customHeight="1" x14ac:dyDescent="0.2">
      <c r="A976" s="327"/>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c r="AA976" s="327"/>
      <c r="AB976" s="327"/>
      <c r="AC976" s="327"/>
      <c r="AD976" s="327"/>
      <c r="AE976" s="327"/>
    </row>
    <row r="977" spans="1:31" ht="11.25" customHeight="1" x14ac:dyDescent="0.2">
      <c r="A977" s="327"/>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c r="AA977" s="327"/>
      <c r="AB977" s="327"/>
      <c r="AC977" s="327"/>
      <c r="AD977" s="327"/>
      <c r="AE977" s="327"/>
    </row>
    <row r="978" spans="1:31" ht="11.25" customHeight="1" x14ac:dyDescent="0.2">
      <c r="A978" s="327"/>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c r="AA978" s="327"/>
      <c r="AB978" s="327"/>
      <c r="AC978" s="327"/>
      <c r="AD978" s="327"/>
      <c r="AE978" s="327"/>
    </row>
    <row r="979" spans="1:31" ht="11.25" customHeight="1" x14ac:dyDescent="0.2">
      <c r="A979" s="327"/>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c r="AA979" s="327"/>
      <c r="AB979" s="327"/>
      <c r="AC979" s="327"/>
      <c r="AD979" s="327"/>
      <c r="AE979" s="327"/>
    </row>
    <row r="980" spans="1:31" ht="11.25" customHeight="1" x14ac:dyDescent="0.2">
      <c r="A980" s="327"/>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c r="AA980" s="327"/>
      <c r="AB980" s="327"/>
      <c r="AC980" s="327"/>
      <c r="AD980" s="327"/>
      <c r="AE980" s="327"/>
    </row>
    <row r="981" spans="1:31" ht="11.25" customHeight="1" x14ac:dyDescent="0.2">
      <c r="A981" s="327"/>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c r="AA981" s="327"/>
      <c r="AB981" s="327"/>
      <c r="AC981" s="327"/>
      <c r="AD981" s="327"/>
      <c r="AE981" s="327"/>
    </row>
    <row r="982" spans="1:31" ht="11.25" customHeight="1" x14ac:dyDescent="0.2">
      <c r="A982" s="327"/>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c r="AA982" s="327"/>
      <c r="AB982" s="327"/>
      <c r="AC982" s="327"/>
      <c r="AD982" s="327"/>
      <c r="AE982" s="327"/>
    </row>
    <row r="983" spans="1:31" ht="11.25" customHeight="1" x14ac:dyDescent="0.2">
      <c r="A983" s="327"/>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c r="AA983" s="327"/>
      <c r="AB983" s="327"/>
      <c r="AC983" s="327"/>
      <c r="AD983" s="327"/>
      <c r="AE983" s="327"/>
    </row>
    <row r="984" spans="1:31" ht="11.25" customHeight="1" x14ac:dyDescent="0.2">
      <c r="A984" s="327"/>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c r="AA984" s="327"/>
      <c r="AB984" s="327"/>
      <c r="AC984" s="327"/>
      <c r="AD984" s="327"/>
      <c r="AE984" s="327"/>
    </row>
    <row r="985" spans="1:31" ht="11.25" customHeight="1" x14ac:dyDescent="0.2">
      <c r="A985" s="327"/>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c r="AA985" s="327"/>
      <c r="AB985" s="327"/>
      <c r="AC985" s="327"/>
      <c r="AD985" s="327"/>
      <c r="AE985" s="327"/>
    </row>
    <row r="986" spans="1:31" ht="11.25" customHeight="1" x14ac:dyDescent="0.2">
      <c r="A986" s="327"/>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c r="AA986" s="327"/>
      <c r="AB986" s="327"/>
      <c r="AC986" s="327"/>
      <c r="AD986" s="327"/>
      <c r="AE986" s="327"/>
    </row>
    <row r="987" spans="1:31" ht="11.25" customHeight="1" x14ac:dyDescent="0.2">
      <c r="A987" s="327"/>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c r="AA987" s="327"/>
      <c r="AB987" s="327"/>
      <c r="AC987" s="327"/>
      <c r="AD987" s="327"/>
      <c r="AE987" s="327"/>
    </row>
    <row r="988" spans="1:31" ht="11.25" customHeight="1" x14ac:dyDescent="0.2">
      <c r="A988" s="327"/>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c r="AA988" s="327"/>
      <c r="AB988" s="327"/>
      <c r="AC988" s="327"/>
      <c r="AD988" s="327"/>
      <c r="AE988" s="327"/>
    </row>
    <row r="989" spans="1:31" ht="11.25" customHeight="1" x14ac:dyDescent="0.2">
      <c r="A989" s="327"/>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c r="AA989" s="327"/>
      <c r="AB989" s="327"/>
      <c r="AC989" s="327"/>
      <c r="AD989" s="327"/>
      <c r="AE989" s="327"/>
    </row>
    <row r="990" spans="1:31" ht="11.25" customHeight="1" x14ac:dyDescent="0.2">
      <c r="A990" s="327"/>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c r="AA990" s="327"/>
      <c r="AB990" s="327"/>
      <c r="AC990" s="327"/>
      <c r="AD990" s="327"/>
      <c r="AE990" s="327"/>
    </row>
    <row r="991" spans="1:31" ht="11.25" customHeight="1" x14ac:dyDescent="0.2">
      <c r="A991" s="327"/>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c r="AA991" s="327"/>
      <c r="AB991" s="327"/>
      <c r="AC991" s="327"/>
      <c r="AD991" s="327"/>
      <c r="AE991" s="327"/>
    </row>
    <row r="992" spans="1:31" ht="11.25" customHeight="1" x14ac:dyDescent="0.2">
      <c r="A992" s="327"/>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c r="AA992" s="327"/>
      <c r="AB992" s="327"/>
      <c r="AC992" s="327"/>
      <c r="AD992" s="327"/>
      <c r="AE992" s="327"/>
    </row>
    <row r="993" spans="1:31" ht="11.25" customHeight="1" x14ac:dyDescent="0.2">
      <c r="A993" s="327"/>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c r="AA993" s="327"/>
      <c r="AB993" s="327"/>
      <c r="AC993" s="327"/>
      <c r="AD993" s="327"/>
      <c r="AE993" s="327"/>
    </row>
    <row r="994" spans="1:31" ht="11.25" customHeight="1" x14ac:dyDescent="0.2">
      <c r="A994" s="327"/>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c r="AA994" s="327"/>
      <c r="AB994" s="327"/>
      <c r="AC994" s="327"/>
      <c r="AD994" s="327"/>
      <c r="AE994" s="327"/>
    </row>
    <row r="995" spans="1:31" ht="11.25" customHeight="1" x14ac:dyDescent="0.2">
      <c r="A995" s="327"/>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c r="AA995" s="327"/>
      <c r="AB995" s="327"/>
      <c r="AC995" s="327"/>
      <c r="AD995" s="327"/>
      <c r="AE995" s="327"/>
    </row>
    <row r="996" spans="1:31" ht="11.25" customHeight="1" x14ac:dyDescent="0.2">
      <c r="A996" s="327"/>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c r="AA996" s="327"/>
      <c r="AB996" s="327"/>
      <c r="AC996" s="327"/>
      <c r="AD996" s="327"/>
      <c r="AE996" s="327"/>
    </row>
    <row r="997" spans="1:31" ht="11.25" customHeight="1" x14ac:dyDescent="0.2">
      <c r="A997" s="327"/>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c r="AA997" s="327"/>
      <c r="AB997" s="327"/>
      <c r="AC997" s="327"/>
      <c r="AD997" s="327"/>
      <c r="AE997" s="327"/>
    </row>
    <row r="998" spans="1:31" ht="11.25" customHeight="1" x14ac:dyDescent="0.2">
      <c r="A998" s="327"/>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7"/>
      <c r="AD998" s="327"/>
      <c r="AE998" s="327"/>
    </row>
    <row r="999" spans="1:31" ht="11.25" customHeight="1" x14ac:dyDescent="0.2">
      <c r="A999" s="327"/>
      <c r="B999" s="327"/>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c r="AA999" s="327"/>
      <c r="AB999" s="327"/>
      <c r="AC999" s="327"/>
      <c r="AD999" s="327"/>
      <c r="AE999" s="327"/>
    </row>
    <row r="1000" spans="1:31" ht="11.25" customHeight="1" x14ac:dyDescent="0.2">
      <c r="A1000" s="327"/>
      <c r="B1000" s="327"/>
      <c r="C1000" s="327"/>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c r="AA1000" s="327"/>
      <c r="AB1000" s="327"/>
      <c r="AC1000" s="327"/>
      <c r="AD1000" s="327"/>
      <c r="AE1000" s="327"/>
    </row>
    <row r="1001" spans="1:31" ht="11.25" customHeight="1" x14ac:dyDescent="0.2">
      <c r="A1001" s="327"/>
      <c r="B1001" s="327"/>
      <c r="C1001" s="327"/>
      <c r="D1001" s="327"/>
      <c r="E1001" s="327"/>
      <c r="F1001" s="327"/>
      <c r="G1001" s="327"/>
      <c r="H1001" s="327"/>
      <c r="I1001" s="327"/>
      <c r="J1001" s="327"/>
      <c r="K1001" s="327"/>
      <c r="L1001" s="327"/>
      <c r="M1001" s="327"/>
      <c r="N1001" s="327"/>
      <c r="O1001" s="327"/>
      <c r="P1001" s="327"/>
      <c r="Q1001" s="327"/>
      <c r="R1001" s="327"/>
      <c r="S1001" s="327"/>
      <c r="T1001" s="327"/>
      <c r="U1001" s="327"/>
      <c r="V1001" s="327"/>
      <c r="W1001" s="327"/>
      <c r="X1001" s="327"/>
      <c r="Y1001" s="327"/>
      <c r="Z1001" s="327"/>
      <c r="AA1001" s="327"/>
      <c r="AB1001" s="327"/>
      <c r="AC1001" s="327"/>
      <c r="AD1001" s="327"/>
      <c r="AE1001" s="327"/>
    </row>
  </sheetData>
  <mergeCells count="12">
    <mergeCell ref="B3:C3"/>
    <mergeCell ref="B4:C4"/>
    <mergeCell ref="B5:C5"/>
    <mergeCell ref="B6:C6"/>
    <mergeCell ref="B7:C7"/>
    <mergeCell ref="B9:C9"/>
    <mergeCell ref="M21:O21"/>
    <mergeCell ref="B11:C11"/>
    <mergeCell ref="B13:C13"/>
    <mergeCell ref="B17:C17"/>
    <mergeCell ref="C21:E21"/>
    <mergeCell ref="I21:K21"/>
  </mergeCells>
  <printOptions gridLines="1"/>
  <pageMargins left="0.2" right="0.2" top="0.25" bottom="0.25" header="0" footer="0"/>
  <pageSetup paperSize="5" scale="55" orientation="landscape"/>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O1000"/>
  <sheetViews>
    <sheetView workbookViewId="0">
      <selection activeCell="G11" sqref="G11"/>
    </sheetView>
  </sheetViews>
  <sheetFormatPr defaultColWidth="16.85546875" defaultRowHeight="15" customHeight="1" x14ac:dyDescent="0.2"/>
  <cols>
    <col min="1" max="1" width="3.85546875" customWidth="1"/>
    <col min="2" max="2" width="25.85546875" customWidth="1"/>
    <col min="3" max="3" width="15.7109375" customWidth="1"/>
    <col min="4" max="4" width="2.85546875" customWidth="1"/>
    <col min="5" max="5" width="16" customWidth="1"/>
    <col min="6" max="6" width="2" customWidth="1"/>
    <col min="7" max="7" width="22.42578125" customWidth="1"/>
    <col min="8" max="8" width="2" customWidth="1"/>
    <col min="9" max="9" width="15.28515625" customWidth="1"/>
    <col min="10" max="10" width="2.42578125" customWidth="1"/>
    <col min="11" max="11" width="18.85546875" customWidth="1"/>
    <col min="12" max="12" width="2.42578125" customWidth="1"/>
    <col min="13" max="13" width="14.85546875" customWidth="1"/>
    <col min="14" max="14" width="2.7109375" customWidth="1"/>
    <col min="15" max="15" width="17.28515625" customWidth="1"/>
    <col min="16" max="16" width="1.85546875" customWidth="1"/>
    <col min="17" max="17" width="16.28515625" customWidth="1"/>
    <col min="18" max="18" width="3.7109375" customWidth="1"/>
    <col min="19" max="19" width="14.140625" customWidth="1"/>
    <col min="20" max="20" width="2.7109375" customWidth="1"/>
    <col min="21" max="21" width="16" customWidth="1"/>
    <col min="22" max="22" width="2.28515625" customWidth="1"/>
    <col min="23" max="23" width="10.85546875" customWidth="1"/>
    <col min="24" max="24" width="2.7109375" customWidth="1"/>
    <col min="26" max="26" width="2.85546875" customWidth="1"/>
    <col min="27" max="27" width="15.140625" customWidth="1"/>
    <col min="28" max="28" width="1.85546875" customWidth="1"/>
    <col min="29" max="29" width="13.42578125" customWidth="1"/>
    <col min="30" max="30" width="1.7109375" customWidth="1"/>
    <col min="31" max="31" width="8.85546875" customWidth="1"/>
    <col min="32" max="32" width="2" customWidth="1"/>
    <col min="33" max="33" width="12.7109375" customWidth="1"/>
    <col min="34" max="34" width="1.85546875" customWidth="1"/>
    <col min="35" max="35" width="12.42578125" customWidth="1"/>
    <col min="36" max="36" width="1.7109375" customWidth="1"/>
    <col min="37" max="37" width="10.7109375" customWidth="1"/>
    <col min="38" max="38" width="2.140625" customWidth="1"/>
    <col min="39" max="39" width="13.85546875" customWidth="1"/>
  </cols>
  <sheetData>
    <row r="1" spans="1:41" ht="13.2" x14ac:dyDescent="0.25">
      <c r="A1" s="2487"/>
      <c r="B1" s="2487"/>
      <c r="C1" s="2487"/>
      <c r="D1" s="2487"/>
      <c r="E1" s="2487"/>
      <c r="F1" s="2487"/>
      <c r="G1" s="2487"/>
      <c r="H1" s="2487"/>
      <c r="I1" s="2487"/>
      <c r="J1" s="2487"/>
      <c r="K1" s="2487"/>
      <c r="L1" s="2487"/>
      <c r="M1" s="2487"/>
      <c r="N1" s="2487"/>
      <c r="O1" s="2487"/>
      <c r="P1" s="2487"/>
      <c r="Q1" s="2487"/>
      <c r="R1" s="2487"/>
      <c r="S1" s="2487"/>
      <c r="T1" s="2487"/>
      <c r="U1" s="2487"/>
      <c r="V1" s="2487"/>
      <c r="W1" s="2487"/>
      <c r="X1" s="2487"/>
      <c r="Y1" s="2487"/>
      <c r="Z1" s="2487"/>
      <c r="AA1" s="2487"/>
      <c r="AB1" s="2487"/>
      <c r="AC1" s="2487"/>
      <c r="AD1" s="2487"/>
      <c r="AE1" s="2487"/>
      <c r="AF1" s="2487"/>
      <c r="AG1" s="2487"/>
      <c r="AH1" s="2487"/>
      <c r="AI1" s="2487"/>
      <c r="AJ1" s="2487"/>
      <c r="AK1" s="2487"/>
      <c r="AL1" s="2487"/>
      <c r="AM1" s="2487"/>
    </row>
    <row r="2" spans="1:41" ht="31.5" customHeight="1" x14ac:dyDescent="0.45">
      <c r="A2" s="2487"/>
      <c r="B2" s="2488" t="s">
        <v>1985</v>
      </c>
      <c r="C2" s="2489"/>
      <c r="D2" s="143"/>
      <c r="E2" s="143"/>
      <c r="F2" s="2487"/>
      <c r="G2" s="2487"/>
      <c r="H2" s="2487"/>
      <c r="I2" s="2487"/>
      <c r="J2" s="2487"/>
      <c r="K2" s="2487"/>
      <c r="L2" s="2487"/>
      <c r="M2" s="2487"/>
      <c r="N2" s="2487"/>
      <c r="O2" s="2490"/>
      <c r="P2" s="2487"/>
      <c r="Q2" s="2487"/>
      <c r="R2" s="2487"/>
      <c r="S2" s="2487"/>
      <c r="T2" s="2487"/>
      <c r="U2" s="2487"/>
      <c r="V2" s="2487"/>
      <c r="W2" s="2487"/>
      <c r="X2" s="2487"/>
      <c r="Y2" s="2487"/>
      <c r="Z2" s="2487"/>
      <c r="AA2" s="2487"/>
      <c r="AB2" s="2487"/>
      <c r="AC2" s="2487"/>
      <c r="AD2" s="2487"/>
      <c r="AE2" s="2487"/>
      <c r="AF2" s="2487"/>
      <c r="AG2" s="2487"/>
      <c r="AH2" s="2487"/>
      <c r="AI2" s="2487"/>
      <c r="AJ2" s="2487"/>
      <c r="AK2" s="2487"/>
      <c r="AL2" s="2487"/>
      <c r="AM2" s="2487"/>
    </row>
    <row r="3" spans="1:41" ht="294" customHeight="1" x14ac:dyDescent="0.25">
      <c r="A3" s="2487"/>
      <c r="B3" s="2487"/>
      <c r="C3" s="2487"/>
      <c r="D3" s="2487"/>
      <c r="E3" s="2487"/>
      <c r="F3" s="2487"/>
      <c r="G3" s="2487"/>
      <c r="H3" s="2487"/>
      <c r="I3" s="2487"/>
      <c r="J3" s="2487"/>
      <c r="K3" s="2487"/>
      <c r="L3" s="2487"/>
      <c r="M3" s="2487"/>
      <c r="N3" s="2487"/>
      <c r="O3" s="2487"/>
      <c r="P3" s="2487"/>
      <c r="Q3" s="2487"/>
      <c r="R3" s="2487"/>
      <c r="S3" s="2487"/>
      <c r="T3" s="2487"/>
      <c r="U3" s="2487"/>
      <c r="V3" s="2487"/>
      <c r="W3" s="2487"/>
      <c r="X3" s="2487"/>
      <c r="Y3" s="2487"/>
      <c r="Z3" s="2487"/>
      <c r="AA3" s="2487"/>
      <c r="AB3" s="2487"/>
      <c r="AC3" s="2487"/>
      <c r="AD3" s="2487"/>
      <c r="AE3" s="2487"/>
      <c r="AF3" s="2487"/>
      <c r="AG3" s="2487"/>
      <c r="AH3" s="2487"/>
      <c r="AI3" s="2487"/>
      <c r="AJ3" s="2487"/>
      <c r="AK3" s="2487"/>
      <c r="AL3" s="2487"/>
      <c r="AM3" s="2487"/>
    </row>
    <row r="4" spans="1:41" ht="22.5" customHeight="1" x14ac:dyDescent="0.25">
      <c r="A4" s="2487"/>
      <c r="B4" s="3048" t="s">
        <v>1986</v>
      </c>
      <c r="C4" s="3049"/>
      <c r="D4" s="3049"/>
      <c r="E4" s="3049"/>
      <c r="F4" s="3049"/>
      <c r="G4" s="3049"/>
      <c r="H4" s="3049"/>
      <c r="I4" s="3049"/>
      <c r="J4" s="2491"/>
      <c r="K4" s="2491"/>
      <c r="L4" s="2491"/>
      <c r="M4" s="2491"/>
      <c r="N4" s="2491"/>
      <c r="O4" s="2491"/>
      <c r="P4" s="2491"/>
      <c r="Q4" s="2491"/>
      <c r="R4" s="2491"/>
      <c r="S4" s="2491"/>
      <c r="T4" s="2491"/>
      <c r="U4" s="2491"/>
      <c r="V4" s="2491"/>
      <c r="W4" s="2491"/>
      <c r="X4" s="2491"/>
      <c r="Y4" s="2492"/>
      <c r="Z4" s="2487"/>
      <c r="AA4" s="2487"/>
      <c r="AB4" s="2487"/>
      <c r="AC4" s="2487"/>
      <c r="AD4" s="2487"/>
      <c r="AE4" s="2487"/>
      <c r="AF4" s="2487"/>
      <c r="AG4" s="2487"/>
      <c r="AH4" s="2487"/>
      <c r="AI4" s="2487"/>
      <c r="AJ4" s="2487"/>
      <c r="AK4" s="2487"/>
      <c r="AL4" s="2487"/>
      <c r="AM4" s="2487"/>
    </row>
    <row r="5" spans="1:41" ht="52.5" customHeight="1" x14ac:dyDescent="0.3">
      <c r="A5" s="138"/>
      <c r="B5" s="2493" t="s">
        <v>49</v>
      </c>
      <c r="C5" s="2494" t="s">
        <v>1459</v>
      </c>
      <c r="D5" s="2495"/>
      <c r="E5" s="2494" t="s">
        <v>1987</v>
      </c>
      <c r="F5" s="2496"/>
      <c r="G5" s="2494" t="s">
        <v>1988</v>
      </c>
      <c r="H5" s="2496"/>
      <c r="I5" s="2494" t="s">
        <v>1989</v>
      </c>
      <c r="J5" s="2496"/>
      <c r="K5" s="2494" t="s">
        <v>1990</v>
      </c>
      <c r="L5" s="2496"/>
      <c r="M5" s="2495" t="s">
        <v>1991</v>
      </c>
      <c r="N5" s="2496"/>
      <c r="O5" s="2494" t="s">
        <v>1992</v>
      </c>
      <c r="P5" s="2496"/>
      <c r="Q5" s="2494" t="s">
        <v>1993</v>
      </c>
      <c r="R5" s="2496"/>
      <c r="S5" s="2494" t="s">
        <v>1994</v>
      </c>
      <c r="T5" s="2495"/>
      <c r="U5" s="2494" t="s">
        <v>1995</v>
      </c>
      <c r="V5" s="2496"/>
      <c r="W5" s="2494" t="s">
        <v>1524</v>
      </c>
      <c r="X5" s="2497"/>
      <c r="Y5" s="2498" t="s">
        <v>1996</v>
      </c>
      <c r="Z5" s="138"/>
      <c r="AA5" s="138"/>
      <c r="AB5" s="138"/>
      <c r="AC5" s="138"/>
      <c r="AD5" s="138"/>
      <c r="AE5" s="138"/>
      <c r="AF5" s="138"/>
      <c r="AG5" s="138"/>
      <c r="AH5" s="138"/>
      <c r="AI5" s="138"/>
      <c r="AJ5" s="138"/>
      <c r="AK5" s="138"/>
      <c r="AL5" s="138"/>
      <c r="AM5" s="138"/>
      <c r="AN5" s="2933" t="s">
        <v>1</v>
      </c>
      <c r="AO5" s="2934"/>
    </row>
    <row r="6" spans="1:41" ht="11.25" customHeight="1" x14ac:dyDescent="0.3">
      <c r="A6" s="487"/>
      <c r="B6" s="2499">
        <v>2020</v>
      </c>
      <c r="C6" s="2500">
        <v>6177225</v>
      </c>
      <c r="D6" s="2501" t="s">
        <v>1235</v>
      </c>
      <c r="E6" s="1067">
        <v>0.09</v>
      </c>
      <c r="F6" s="2501" t="s">
        <v>1235</v>
      </c>
      <c r="G6" s="2502">
        <v>365</v>
      </c>
      <c r="H6" s="2501" t="s">
        <v>1235</v>
      </c>
      <c r="I6" s="2503">
        <v>1E-3</v>
      </c>
      <c r="J6" s="2501" t="s">
        <v>1235</v>
      </c>
      <c r="K6" s="2504">
        <v>0.6</v>
      </c>
      <c r="L6" s="2501" t="s">
        <v>1235</v>
      </c>
      <c r="M6" s="2505">
        <v>0.16250000000000001</v>
      </c>
      <c r="N6" s="2506" t="s">
        <v>1236</v>
      </c>
      <c r="O6" s="2504">
        <f>C6*$E$6*$G$6*$M$6*$K$6*$I$6</f>
        <v>19784.879521874998</v>
      </c>
      <c r="P6" s="2501" t="s">
        <v>1235</v>
      </c>
      <c r="Q6" s="2639">
        <f>AO8</f>
        <v>28</v>
      </c>
      <c r="R6" s="2501" t="s">
        <v>1235</v>
      </c>
      <c r="S6" s="2507">
        <v>9.9999999999999995E-7</v>
      </c>
      <c r="T6" s="2501" t="s">
        <v>1235</v>
      </c>
      <c r="U6" s="2504">
        <f>12/44</f>
        <v>0.27272727272727271</v>
      </c>
      <c r="V6" s="2501" t="s">
        <v>1236</v>
      </c>
      <c r="W6" s="1069">
        <f>O6*Q$6*S$6*U$6</f>
        <v>0.1510845345306818</v>
      </c>
      <c r="X6" s="2501" t="s">
        <v>1236</v>
      </c>
      <c r="Y6" s="2508">
        <f>W6*44/12</f>
        <v>0.55397662661249991</v>
      </c>
      <c r="Z6" s="487"/>
      <c r="AA6" s="487"/>
      <c r="AB6" s="487"/>
      <c r="AC6" s="487"/>
      <c r="AD6" s="487"/>
      <c r="AE6" s="487"/>
      <c r="AF6" s="487"/>
      <c r="AG6" s="487"/>
      <c r="AH6" s="487"/>
      <c r="AI6" s="487"/>
      <c r="AJ6" s="487"/>
      <c r="AK6" s="487"/>
      <c r="AL6" s="487"/>
      <c r="AM6" s="487"/>
      <c r="AN6" s="2641"/>
      <c r="AO6" s="2642" t="str">
        <f>Summary!E3</f>
        <v>AR5 100-yr GWP</v>
      </c>
    </row>
    <row r="7" spans="1:41" ht="11.25" customHeight="1" x14ac:dyDescent="0.25">
      <c r="A7" s="2487"/>
      <c r="B7" s="2509"/>
      <c r="C7" s="2510"/>
      <c r="D7" s="2510"/>
      <c r="E7" s="2510"/>
      <c r="F7" s="2510"/>
      <c r="G7" s="2510"/>
      <c r="H7" s="2510"/>
      <c r="I7" s="2510"/>
      <c r="J7" s="2510"/>
      <c r="K7" s="2510"/>
      <c r="L7" s="2510"/>
      <c r="M7" s="2510"/>
      <c r="N7" s="2510"/>
      <c r="O7" s="2510"/>
      <c r="P7" s="2510"/>
      <c r="Q7" s="2510"/>
      <c r="R7" s="2510"/>
      <c r="S7" s="2510"/>
      <c r="T7" s="2510"/>
      <c r="U7" s="2510"/>
      <c r="V7" s="2510"/>
      <c r="W7" s="2510"/>
      <c r="X7" s="2510"/>
      <c r="Y7" s="2511"/>
      <c r="Z7" s="2487"/>
      <c r="AA7" s="2487"/>
      <c r="AB7" s="2487"/>
      <c r="AC7" s="2487"/>
      <c r="AD7" s="2487"/>
      <c r="AE7" s="2487"/>
      <c r="AF7" s="2487"/>
      <c r="AG7" s="2487"/>
      <c r="AH7" s="2487"/>
      <c r="AI7" s="2487"/>
      <c r="AJ7" s="2487"/>
      <c r="AK7" s="2487"/>
      <c r="AL7" s="2487"/>
      <c r="AM7" s="2487"/>
      <c r="AN7" s="2641" t="s">
        <v>521</v>
      </c>
      <c r="AO7" s="2642">
        <f>Summary!E4</f>
        <v>1</v>
      </c>
    </row>
    <row r="8" spans="1:41" ht="11.25" customHeight="1" x14ac:dyDescent="0.25">
      <c r="A8" s="2487"/>
      <c r="B8" s="143"/>
      <c r="C8" s="143"/>
      <c r="D8" s="143"/>
      <c r="E8" s="143"/>
      <c r="F8" s="143"/>
      <c r="G8" s="143"/>
      <c r="H8" s="143"/>
      <c r="I8" s="143"/>
      <c r="J8" s="143"/>
      <c r="K8" s="143"/>
      <c r="L8" s="143"/>
      <c r="M8" s="143"/>
      <c r="N8" s="143"/>
      <c r="O8" s="143"/>
      <c r="P8" s="143"/>
      <c r="Q8" s="143"/>
      <c r="R8" s="143"/>
      <c r="S8" s="143"/>
      <c r="T8" s="143"/>
      <c r="U8" s="143"/>
      <c r="V8" s="143"/>
      <c r="W8" s="143"/>
      <c r="X8" s="143"/>
      <c r="Y8" s="143"/>
      <c r="Z8" s="2487"/>
      <c r="AA8" s="2487"/>
      <c r="AB8" s="2487"/>
      <c r="AC8" s="2487"/>
      <c r="AD8" s="2487"/>
      <c r="AE8" s="2487"/>
      <c r="AF8" s="2487"/>
      <c r="AG8" s="2487"/>
      <c r="AH8" s="2487"/>
      <c r="AI8" s="2487"/>
      <c r="AJ8" s="2487"/>
      <c r="AK8" s="2487"/>
      <c r="AL8" s="2487"/>
      <c r="AM8" s="2487"/>
      <c r="AN8" s="2641" t="s">
        <v>523</v>
      </c>
      <c r="AO8" s="2642">
        <f>Summary!E5</f>
        <v>28</v>
      </c>
    </row>
    <row r="9" spans="1:41" ht="11.25" customHeight="1" x14ac:dyDescent="0.25">
      <c r="A9" s="2487"/>
      <c r="B9" s="143"/>
      <c r="C9" s="143"/>
      <c r="D9" s="143"/>
      <c r="E9" s="143"/>
      <c r="F9" s="143"/>
      <c r="G9" s="143"/>
      <c r="H9" s="143"/>
      <c r="I9" s="143"/>
      <c r="J9" s="143"/>
      <c r="K9" s="143"/>
      <c r="L9" s="143"/>
      <c r="M9" s="143"/>
      <c r="N9" s="143"/>
      <c r="O9" s="143"/>
      <c r="P9" s="143"/>
      <c r="Q9" s="143"/>
      <c r="R9" s="143"/>
      <c r="S9" s="143"/>
      <c r="T9" s="143"/>
      <c r="U9" s="143"/>
      <c r="V9" s="143"/>
      <c r="W9" s="143"/>
      <c r="X9" s="143"/>
      <c r="Y9" s="143"/>
      <c r="Z9" s="2487"/>
      <c r="AA9" s="2487"/>
      <c r="AB9" s="2487"/>
      <c r="AC9" s="2487"/>
      <c r="AD9" s="2487"/>
      <c r="AE9" s="2487"/>
      <c r="AF9" s="2487"/>
      <c r="AG9" s="2487"/>
      <c r="AH9" s="2487"/>
      <c r="AI9" s="2487"/>
      <c r="AJ9" s="2487"/>
      <c r="AK9" s="2487"/>
      <c r="AL9" s="2487"/>
      <c r="AM9" s="2487"/>
      <c r="AN9" s="2641" t="s">
        <v>525</v>
      </c>
      <c r="AO9" s="2642">
        <f>Summary!E6</f>
        <v>265</v>
      </c>
    </row>
    <row r="10" spans="1:41" ht="18" customHeight="1" x14ac:dyDescent="0.25">
      <c r="A10" s="2487"/>
      <c r="B10" s="2512" t="s">
        <v>1997</v>
      </c>
      <c r="C10" s="2491"/>
      <c r="D10" s="2491"/>
      <c r="E10" s="2491"/>
      <c r="F10" s="2491"/>
      <c r="G10" s="2491"/>
      <c r="H10" s="2491"/>
      <c r="I10" s="2491"/>
      <c r="J10" s="2491"/>
      <c r="K10" s="2491"/>
      <c r="L10" s="2491"/>
      <c r="M10" s="2491"/>
      <c r="N10" s="2491"/>
      <c r="O10" s="2491"/>
      <c r="P10" s="2491"/>
      <c r="Q10" s="2491"/>
      <c r="R10" s="2491"/>
      <c r="S10" s="2491"/>
      <c r="T10" s="2491"/>
      <c r="U10" s="2491"/>
      <c r="V10" s="2491"/>
      <c r="W10" s="2491"/>
      <c r="X10" s="2491"/>
      <c r="Y10" s="2492"/>
      <c r="Z10" s="2487"/>
      <c r="AA10" s="2487"/>
      <c r="AB10" s="2487"/>
      <c r="AC10" s="2487"/>
      <c r="AD10" s="2487"/>
      <c r="AE10" s="2487"/>
      <c r="AF10" s="2487"/>
      <c r="AG10" s="2487"/>
      <c r="AH10" s="2487"/>
      <c r="AI10" s="2487"/>
      <c r="AJ10" s="2487"/>
      <c r="AK10" s="2487"/>
      <c r="AL10" s="2487"/>
      <c r="AM10" s="2487"/>
      <c r="AN10" s="2641" t="s">
        <v>526</v>
      </c>
      <c r="AO10" s="2643">
        <f>Summary!E7</f>
        <v>23500</v>
      </c>
    </row>
    <row r="11" spans="1:41" ht="81" customHeight="1" x14ac:dyDescent="0.3">
      <c r="A11" s="2487"/>
      <c r="B11" s="2493" t="s">
        <v>49</v>
      </c>
      <c r="C11" s="2494" t="s">
        <v>1459</v>
      </c>
      <c r="D11" s="2497"/>
      <c r="E11" s="2494" t="s">
        <v>1998</v>
      </c>
      <c r="F11" s="2496"/>
      <c r="G11" s="2494" t="s">
        <v>1999</v>
      </c>
      <c r="H11" s="2496"/>
      <c r="I11" s="2494" t="s">
        <v>2000</v>
      </c>
      <c r="J11" s="2495"/>
      <c r="K11" s="2494" t="s">
        <v>2001</v>
      </c>
      <c r="L11" s="2496"/>
      <c r="M11" s="2494" t="s">
        <v>2002</v>
      </c>
      <c r="N11" s="2496"/>
      <c r="O11" s="2494" t="s">
        <v>2003</v>
      </c>
      <c r="P11" s="2495"/>
      <c r="Q11" s="2494" t="s">
        <v>2004</v>
      </c>
      <c r="R11" s="2496"/>
      <c r="S11" s="2494" t="s">
        <v>1524</v>
      </c>
      <c r="T11" s="2497"/>
      <c r="U11" s="2494" t="s">
        <v>2005</v>
      </c>
      <c r="V11" s="138"/>
      <c r="W11" s="138"/>
      <c r="X11" s="138"/>
      <c r="Y11" s="996"/>
      <c r="Z11" s="138"/>
      <c r="AA11" s="138"/>
      <c r="AB11" s="138"/>
      <c r="AC11" s="138"/>
      <c r="AD11" s="138"/>
      <c r="AE11" s="2487"/>
      <c r="AF11" s="2487"/>
      <c r="AG11" s="2487"/>
      <c r="AH11" s="2487"/>
      <c r="AI11" s="2487"/>
      <c r="AJ11" s="2487"/>
      <c r="AK11" s="2487"/>
      <c r="AL11" s="2487"/>
      <c r="AM11" s="2487"/>
    </row>
    <row r="12" spans="1:41" ht="11.25" customHeight="1" x14ac:dyDescent="0.3">
      <c r="A12" s="301"/>
      <c r="B12" s="2499">
        <v>2020</v>
      </c>
      <c r="C12" s="2513">
        <v>6177225</v>
      </c>
      <c r="D12" s="2501" t="s">
        <v>1235</v>
      </c>
      <c r="E12" s="2514">
        <v>0.81169999999999998</v>
      </c>
      <c r="F12" s="2501" t="s">
        <v>1235</v>
      </c>
      <c r="G12" s="2515">
        <v>4</v>
      </c>
      <c r="H12" s="2501" t="s">
        <v>1235</v>
      </c>
      <c r="I12" s="2516">
        <v>9.9999999999999995E-7</v>
      </c>
      <c r="J12" s="2506" t="s">
        <v>1236</v>
      </c>
      <c r="K12" s="2517">
        <f>$C$12*$E$12*$G$12*$I$12</f>
        <v>20.056214129999997</v>
      </c>
      <c r="L12" s="2501" t="s">
        <v>1235</v>
      </c>
      <c r="M12" s="2640">
        <f>AO9</f>
        <v>265</v>
      </c>
      <c r="N12" s="2501" t="s">
        <v>1235</v>
      </c>
      <c r="O12" s="2518">
        <f>1/1000000</f>
        <v>9.9999999999999995E-7</v>
      </c>
      <c r="P12" s="2501" t="s">
        <v>1235</v>
      </c>
      <c r="Q12" s="2519">
        <f>12/44</f>
        <v>0.27272727272727271</v>
      </c>
      <c r="R12" s="2506" t="s">
        <v>1236</v>
      </c>
      <c r="S12" s="2520">
        <f>K12*M12*O12*Q12</f>
        <v>1.4495172939409089E-3</v>
      </c>
      <c r="T12" s="2506" t="s">
        <v>1236</v>
      </c>
      <c r="U12" s="2520">
        <f>S12*44/12</f>
        <v>5.3148967444499986E-3</v>
      </c>
      <c r="V12" s="487"/>
      <c r="W12" s="487"/>
      <c r="X12" s="487"/>
      <c r="Y12" s="2521"/>
      <c r="Z12" s="487"/>
      <c r="AA12" s="487"/>
      <c r="AB12" s="487"/>
      <c r="AC12" s="487"/>
      <c r="AD12" s="487"/>
      <c r="AE12" s="301"/>
      <c r="AF12" s="301"/>
      <c r="AG12" s="301"/>
      <c r="AH12" s="301"/>
      <c r="AI12" s="301"/>
      <c r="AJ12" s="301"/>
      <c r="AK12" s="301"/>
      <c r="AL12" s="301"/>
      <c r="AM12" s="301"/>
    </row>
    <row r="13" spans="1:41" ht="11.25" customHeight="1" x14ac:dyDescent="0.3">
      <c r="A13" s="2487"/>
      <c r="B13" s="2522"/>
      <c r="C13" s="2523"/>
      <c r="D13" s="2523"/>
      <c r="E13" s="2523"/>
      <c r="F13" s="2523"/>
      <c r="G13" s="2523"/>
      <c r="H13" s="2523"/>
      <c r="I13" s="2523"/>
      <c r="J13" s="2523"/>
      <c r="K13" s="2523"/>
      <c r="L13" s="2523"/>
      <c r="M13" s="2523"/>
      <c r="N13" s="2523"/>
      <c r="O13" s="2523"/>
      <c r="P13" s="2523"/>
      <c r="Q13" s="2523"/>
      <c r="R13" s="2523"/>
      <c r="S13" s="2523"/>
      <c r="T13" s="2523"/>
      <c r="U13" s="2523"/>
      <c r="V13" s="2523"/>
      <c r="W13" s="2523"/>
      <c r="X13" s="2523"/>
      <c r="Y13" s="2524"/>
      <c r="Z13" s="138"/>
      <c r="AA13" s="138"/>
      <c r="AB13" s="138"/>
      <c r="AC13" s="138"/>
      <c r="AD13" s="138"/>
      <c r="AE13" s="2487"/>
      <c r="AF13" s="2487"/>
      <c r="AG13" s="2487"/>
      <c r="AH13" s="2487"/>
      <c r="AI13" s="2487"/>
      <c r="AJ13" s="2487"/>
      <c r="AK13" s="2487"/>
      <c r="AL13" s="2487"/>
      <c r="AM13" s="2487"/>
    </row>
    <row r="14" spans="1:41" ht="11.25" customHeight="1" x14ac:dyDescent="0.3">
      <c r="A14" s="2487"/>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2487"/>
      <c r="AF14" s="2487"/>
      <c r="AG14" s="2487"/>
      <c r="AH14" s="2487"/>
      <c r="AI14" s="2487"/>
      <c r="AJ14" s="2487"/>
      <c r="AK14" s="2487"/>
      <c r="AL14" s="2487"/>
      <c r="AM14" s="2487"/>
    </row>
    <row r="15" spans="1:41" ht="11.25" customHeight="1" x14ac:dyDescent="0.3">
      <c r="A15" s="2487"/>
      <c r="B15" s="138"/>
      <c r="C15" s="138"/>
      <c r="D15" s="138"/>
      <c r="E15" s="138"/>
      <c r="F15" s="138"/>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2487"/>
      <c r="AF15" s="2487"/>
      <c r="AG15" s="2487"/>
      <c r="AH15" s="2487"/>
      <c r="AI15" s="2487"/>
      <c r="AJ15" s="2487"/>
      <c r="AK15" s="2487"/>
      <c r="AL15" s="2487"/>
      <c r="AM15" s="2487"/>
    </row>
    <row r="16" spans="1:41" ht="18" customHeight="1" x14ac:dyDescent="0.25">
      <c r="A16" s="2487"/>
      <c r="B16" s="2512" t="s">
        <v>2006</v>
      </c>
      <c r="C16" s="2491"/>
      <c r="D16" s="2491"/>
      <c r="E16" s="2491"/>
      <c r="F16" s="2491"/>
      <c r="G16" s="2491"/>
      <c r="H16" s="2491"/>
      <c r="I16" s="2491"/>
      <c r="J16" s="2491"/>
      <c r="K16" s="2491"/>
      <c r="L16" s="2491"/>
      <c r="M16" s="2491"/>
      <c r="N16" s="2491"/>
      <c r="O16" s="2491"/>
      <c r="P16" s="2491"/>
      <c r="Q16" s="2491"/>
      <c r="R16" s="2491"/>
      <c r="S16" s="2491"/>
      <c r="T16" s="2491"/>
      <c r="U16" s="2491"/>
      <c r="V16" s="2491"/>
      <c r="W16" s="2491"/>
      <c r="X16" s="2491"/>
      <c r="Y16" s="2491"/>
      <c r="Z16" s="2491"/>
      <c r="AA16" s="2491"/>
      <c r="AB16" s="2491"/>
      <c r="AC16" s="2491"/>
      <c r="AD16" s="2491"/>
      <c r="AE16" s="2491"/>
      <c r="AF16" s="2491"/>
      <c r="AG16" s="2491"/>
      <c r="AH16" s="2491"/>
      <c r="AI16" s="2491"/>
      <c r="AJ16" s="2491"/>
      <c r="AK16" s="2491"/>
      <c r="AL16" s="2491"/>
      <c r="AM16" s="2492"/>
    </row>
    <row r="17" spans="1:39" ht="88.5" customHeight="1" x14ac:dyDescent="0.45">
      <c r="A17" s="2487"/>
      <c r="B17" s="2493" t="s">
        <v>49</v>
      </c>
      <c r="C17" s="2525" t="s">
        <v>1459</v>
      </c>
      <c r="D17" s="2526"/>
      <c r="E17" s="2525" t="s">
        <v>2007</v>
      </c>
      <c r="F17" s="2527"/>
      <c r="G17" s="2525" t="s">
        <v>2008</v>
      </c>
      <c r="H17" s="2527"/>
      <c r="I17" s="2528" t="s">
        <v>2009</v>
      </c>
      <c r="J17" s="2527"/>
      <c r="K17" s="2528" t="s">
        <v>1989</v>
      </c>
      <c r="L17" s="2528"/>
      <c r="M17" s="2528" t="s">
        <v>2010</v>
      </c>
      <c r="N17" s="2528"/>
      <c r="O17" s="2528" t="s">
        <v>2011</v>
      </c>
      <c r="P17" s="2526"/>
      <c r="Q17" s="2528" t="s">
        <v>2012</v>
      </c>
      <c r="R17" s="2528"/>
      <c r="S17" s="2528" t="s">
        <v>2013</v>
      </c>
      <c r="T17" s="2528"/>
      <c r="U17" s="2528" t="s">
        <v>2014</v>
      </c>
      <c r="V17" s="2527"/>
      <c r="W17" s="2525" t="s">
        <v>2015</v>
      </c>
      <c r="X17" s="2527"/>
      <c r="Y17" s="2525" t="s">
        <v>2016</v>
      </c>
      <c r="Z17" s="2527"/>
      <c r="AA17" s="2525" t="s">
        <v>2017</v>
      </c>
      <c r="AB17" s="2527"/>
      <c r="AC17" s="2525" t="s">
        <v>1994</v>
      </c>
      <c r="AD17" s="2528"/>
      <c r="AE17" s="2525" t="s">
        <v>2018</v>
      </c>
      <c r="AF17" s="2527"/>
      <c r="AG17" s="2525" t="s">
        <v>2019</v>
      </c>
      <c r="AH17" s="2528"/>
      <c r="AI17" s="2525" t="s">
        <v>2020</v>
      </c>
      <c r="AJ17" s="2528"/>
      <c r="AK17" s="2525" t="s">
        <v>2021</v>
      </c>
      <c r="AL17" s="2526"/>
      <c r="AM17" s="2529" t="s">
        <v>2022</v>
      </c>
    </row>
    <row r="18" spans="1:39" ht="11.25" customHeight="1" x14ac:dyDescent="0.4">
      <c r="A18" s="2487"/>
      <c r="B18" s="2530"/>
      <c r="C18" s="2531"/>
      <c r="D18" s="2531"/>
      <c r="E18" s="2532"/>
      <c r="F18" s="2533"/>
      <c r="G18" s="2532"/>
      <c r="H18" s="2533"/>
      <c r="I18" s="2533"/>
      <c r="J18" s="2533"/>
      <c r="K18" s="2533"/>
      <c r="L18" s="2533"/>
      <c r="M18" s="2533"/>
      <c r="N18" s="2533"/>
      <c r="O18" s="2533"/>
      <c r="P18" s="2533"/>
      <c r="Q18" s="2533"/>
      <c r="R18" s="2533"/>
      <c r="S18" s="2533"/>
      <c r="T18" s="2533"/>
      <c r="U18" s="2532"/>
      <c r="V18" s="2533"/>
      <c r="W18" s="2533"/>
      <c r="X18" s="2533"/>
      <c r="Y18" s="2533"/>
      <c r="Z18" s="2533"/>
      <c r="AA18" s="2533"/>
      <c r="AB18" s="2533"/>
      <c r="AC18" s="2533" t="s">
        <v>2023</v>
      </c>
      <c r="AD18" s="2531"/>
      <c r="AE18" s="2531"/>
      <c r="AF18" s="2531"/>
      <c r="AG18" s="2533"/>
      <c r="AH18" s="2533"/>
      <c r="AI18" s="2533"/>
      <c r="AJ18" s="2533"/>
      <c r="AK18" s="2533"/>
      <c r="AL18" s="2531"/>
      <c r="AM18" s="2534"/>
    </row>
    <row r="19" spans="1:39" ht="11.25" customHeight="1" x14ac:dyDescent="0.3">
      <c r="A19" s="487"/>
      <c r="B19" s="2499">
        <v>2020</v>
      </c>
      <c r="C19" s="2500">
        <v>6177225</v>
      </c>
      <c r="D19" s="2501" t="s">
        <v>1235</v>
      </c>
      <c r="E19" s="2504">
        <v>44.3</v>
      </c>
      <c r="F19" s="2501" t="s">
        <v>1235</v>
      </c>
      <c r="G19" s="2535">
        <v>0.16</v>
      </c>
      <c r="H19" s="2501" t="s">
        <v>1235</v>
      </c>
      <c r="I19" s="2536">
        <v>1.75</v>
      </c>
      <c r="J19" s="2501" t="s">
        <v>1235</v>
      </c>
      <c r="K19" s="2503">
        <v>1E-3</v>
      </c>
      <c r="L19" s="2506" t="s">
        <v>1236</v>
      </c>
      <c r="M19" s="2500">
        <f>C19*E19*G19*I19*K19</f>
        <v>76622.298900000009</v>
      </c>
      <c r="N19" s="2537" t="s">
        <v>1347</v>
      </c>
      <c r="O19" s="2504">
        <f>K12</f>
        <v>20.056214129999997</v>
      </c>
      <c r="P19" s="2506" t="s">
        <v>1236</v>
      </c>
      <c r="Q19" s="2500">
        <f>M19-O19</f>
        <v>76602.242685870006</v>
      </c>
      <c r="R19" s="2500" t="s">
        <v>1235</v>
      </c>
      <c r="S19" s="2535">
        <v>0</v>
      </c>
      <c r="T19" s="2501" t="s">
        <v>1235</v>
      </c>
      <c r="U19" s="2536">
        <v>5.0000000000000001E-3</v>
      </c>
      <c r="V19" s="2501" t="s">
        <v>1235</v>
      </c>
      <c r="W19" s="2538">
        <f>44/28</f>
        <v>1.5714285714285714</v>
      </c>
      <c r="X19" s="2506" t="s">
        <v>1236</v>
      </c>
      <c r="Y19" s="2504">
        <f>Q19*(1-S19)*U19*W19</f>
        <v>601.87476396040722</v>
      </c>
      <c r="Z19" s="2501" t="s">
        <v>1235</v>
      </c>
      <c r="AA19" s="2639">
        <f>AO9</f>
        <v>265</v>
      </c>
      <c r="AB19" s="2501" t="s">
        <v>1235</v>
      </c>
      <c r="AC19" s="2507">
        <f>1/1000000</f>
        <v>9.9999999999999995E-7</v>
      </c>
      <c r="AD19" s="2501" t="s">
        <v>1235</v>
      </c>
      <c r="AE19" s="2504">
        <f>12/44</f>
        <v>0.27272727272727271</v>
      </c>
      <c r="AF19" s="2506" t="s">
        <v>1236</v>
      </c>
      <c r="AG19" s="2538">
        <f>Y19*AA$19*AC$19*AE$19</f>
        <v>4.34991306680476E-2</v>
      </c>
      <c r="AH19" s="2539" t="s">
        <v>1346</v>
      </c>
      <c r="AI19" s="2538">
        <f>S12</f>
        <v>1.4495172939409089E-3</v>
      </c>
      <c r="AJ19" s="2520" t="s">
        <v>1236</v>
      </c>
      <c r="AK19" s="2538">
        <f>AG19+AI19</f>
        <v>4.4948647961988511E-2</v>
      </c>
      <c r="AL19" s="2520" t="s">
        <v>1236</v>
      </c>
      <c r="AM19" s="2508">
        <f>AK19*(44/12)</f>
        <v>0.16481170919395788</v>
      </c>
    </row>
    <row r="20" spans="1:39" ht="11.25" customHeight="1" x14ac:dyDescent="0.3">
      <c r="A20" s="487"/>
      <c r="B20" s="2540"/>
      <c r="C20" s="2541"/>
      <c r="D20" s="2542"/>
      <c r="E20" s="2543"/>
      <c r="F20" s="2542"/>
      <c r="G20" s="2544"/>
      <c r="H20" s="2542"/>
      <c r="I20" s="2545"/>
      <c r="J20" s="2542"/>
      <c r="K20" s="2546"/>
      <c r="L20" s="2542"/>
      <c r="M20" s="2541"/>
      <c r="N20" s="2547"/>
      <c r="O20" s="2541"/>
      <c r="P20" s="2542"/>
      <c r="Q20" s="2541"/>
      <c r="R20" s="2541"/>
      <c r="S20" s="2544"/>
      <c r="T20" s="2542"/>
      <c r="U20" s="2545"/>
      <c r="V20" s="2542"/>
      <c r="W20" s="2548"/>
      <c r="X20" s="2542"/>
      <c r="Y20" s="2543"/>
      <c r="Z20" s="2542"/>
      <c r="AA20" s="2541"/>
      <c r="AB20" s="2542"/>
      <c r="AC20" s="2549"/>
      <c r="AD20" s="2542"/>
      <c r="AE20" s="2543"/>
      <c r="AF20" s="2542"/>
      <c r="AG20" s="2548"/>
      <c r="AH20" s="2550"/>
      <c r="AI20" s="2548"/>
      <c r="AJ20" s="2550"/>
      <c r="AK20" s="2548"/>
      <c r="AL20" s="2550"/>
      <c r="AM20" s="2551"/>
    </row>
    <row r="21" spans="1:39" ht="11.25" customHeight="1" x14ac:dyDescent="0.3">
      <c r="A21" s="487"/>
      <c r="B21" s="1229"/>
      <c r="C21" s="2552"/>
      <c r="D21" s="1229"/>
      <c r="E21" s="1250"/>
      <c r="F21" s="1229"/>
      <c r="G21" s="2553"/>
      <c r="H21" s="1229"/>
      <c r="I21" s="2554"/>
      <c r="J21" s="1229"/>
      <c r="K21" s="2555"/>
      <c r="L21" s="1229"/>
      <c r="M21" s="2552"/>
      <c r="N21" s="2556"/>
      <c r="O21" s="2552"/>
      <c r="P21" s="1229"/>
      <c r="Q21" s="2552"/>
      <c r="R21" s="2552"/>
      <c r="S21" s="2553"/>
      <c r="T21" s="1229"/>
      <c r="U21" s="2554"/>
      <c r="V21" s="1229"/>
      <c r="W21" s="2557"/>
      <c r="X21" s="1229"/>
      <c r="Y21" s="1250"/>
      <c r="Z21" s="1229"/>
      <c r="AA21" s="2552"/>
      <c r="AB21" s="1229"/>
      <c r="AC21" s="2558"/>
      <c r="AD21" s="1229"/>
      <c r="AE21" s="1250"/>
      <c r="AF21" s="1229"/>
      <c r="AG21" s="2557"/>
      <c r="AH21" s="2559"/>
      <c r="AI21" s="2557"/>
      <c r="AJ21" s="2559"/>
      <c r="AK21" s="2557"/>
      <c r="AL21" s="2559"/>
      <c r="AM21" s="2560"/>
    </row>
    <row r="22" spans="1:39" ht="11.25" customHeight="1" x14ac:dyDescent="0.3">
      <c r="A22" s="2487"/>
      <c r="B22" s="138"/>
      <c r="C22" s="138"/>
      <c r="D22" s="138"/>
      <c r="E22" s="138"/>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2487"/>
      <c r="AF22" s="2487"/>
      <c r="AG22" s="2487"/>
      <c r="AH22" s="2487"/>
      <c r="AI22" s="2487"/>
      <c r="AJ22" s="2487"/>
      <c r="AK22" s="2487"/>
      <c r="AL22" s="2487"/>
      <c r="AM22" s="2487"/>
    </row>
    <row r="23" spans="1:39" ht="19.5" customHeight="1" x14ac:dyDescent="0.3">
      <c r="A23" s="2487"/>
      <c r="B23" s="2512" t="s">
        <v>2024</v>
      </c>
      <c r="C23" s="2561"/>
      <c r="D23" s="2561"/>
      <c r="E23" s="2561"/>
      <c r="F23" s="2561"/>
      <c r="G23" s="2561"/>
      <c r="H23" s="2561"/>
      <c r="I23" s="2561"/>
      <c r="J23" s="2561"/>
      <c r="K23" s="2561"/>
      <c r="L23" s="2561"/>
      <c r="M23" s="2561"/>
      <c r="N23" s="2561"/>
      <c r="O23" s="2561"/>
      <c r="P23" s="2561"/>
      <c r="Q23" s="2561"/>
      <c r="R23" s="2561"/>
      <c r="S23" s="2561"/>
      <c r="T23" s="2561"/>
      <c r="U23" s="2561"/>
      <c r="V23" s="2561"/>
      <c r="W23" s="2561"/>
      <c r="X23" s="2561"/>
      <c r="Y23" s="2561"/>
      <c r="Z23" s="2561"/>
      <c r="AA23" s="2562"/>
      <c r="AB23" s="138"/>
      <c r="AC23" s="138"/>
      <c r="AD23" s="138"/>
      <c r="AE23" s="2487"/>
      <c r="AF23" s="2487"/>
      <c r="AG23" s="2487"/>
      <c r="AH23" s="2487"/>
      <c r="AI23" s="2487"/>
      <c r="AJ23" s="2487"/>
      <c r="AK23" s="2487"/>
      <c r="AL23" s="2487"/>
      <c r="AM23" s="2487"/>
    </row>
    <row r="24" spans="1:39" ht="44.25" customHeight="1" x14ac:dyDescent="0.45">
      <c r="A24" s="2487"/>
      <c r="B24" s="2563" t="s">
        <v>49</v>
      </c>
      <c r="C24" s="2528" t="s">
        <v>2025</v>
      </c>
      <c r="D24" s="2528"/>
      <c r="E24" s="2528" t="s">
        <v>2026</v>
      </c>
      <c r="F24" s="2527"/>
      <c r="G24" s="2528" t="s">
        <v>2027</v>
      </c>
      <c r="H24" s="2527"/>
      <c r="I24" s="2528" t="s">
        <v>2028</v>
      </c>
      <c r="J24" s="2527"/>
      <c r="K24" s="2528" t="s">
        <v>700</v>
      </c>
      <c r="L24" s="2527"/>
      <c r="M24" s="2528" t="s">
        <v>2029</v>
      </c>
      <c r="N24" s="2527"/>
      <c r="O24" s="2528" t="s">
        <v>529</v>
      </c>
      <c r="P24" s="2527"/>
      <c r="Q24" s="2528" t="s">
        <v>2027</v>
      </c>
      <c r="R24" s="2527"/>
      <c r="S24" s="2528" t="s">
        <v>529</v>
      </c>
      <c r="T24" s="2527"/>
      <c r="U24" s="2528" t="s">
        <v>2030</v>
      </c>
      <c r="V24" s="2528"/>
      <c r="W24" s="2528" t="s">
        <v>2031</v>
      </c>
      <c r="X24" s="2527"/>
      <c r="Y24" s="2528" t="s">
        <v>529</v>
      </c>
      <c r="Z24" s="2526"/>
      <c r="AA24" s="2564" t="s">
        <v>529</v>
      </c>
      <c r="AB24" s="138"/>
      <c r="AC24" s="138"/>
      <c r="AD24" s="138"/>
      <c r="AE24" s="2487"/>
      <c r="AF24" s="2487"/>
      <c r="AG24" s="2487"/>
      <c r="AH24" s="2487"/>
      <c r="AI24" s="2487"/>
      <c r="AJ24" s="2487"/>
      <c r="AK24" s="2487"/>
      <c r="AL24" s="2487"/>
      <c r="AM24" s="2487"/>
    </row>
    <row r="25" spans="1:39" ht="27.75" customHeight="1" x14ac:dyDescent="0.4">
      <c r="A25" s="2487"/>
      <c r="B25" s="2530"/>
      <c r="C25" s="2531" t="s">
        <v>518</v>
      </c>
      <c r="D25" s="2565"/>
      <c r="E25" s="2531" t="s">
        <v>2032</v>
      </c>
      <c r="F25" s="2531"/>
      <c r="G25" s="2531" t="s">
        <v>2033</v>
      </c>
      <c r="H25" s="2531"/>
      <c r="I25" s="2531" t="s">
        <v>2034</v>
      </c>
      <c r="J25" s="2531"/>
      <c r="K25" s="2531" t="s">
        <v>2035</v>
      </c>
      <c r="L25" s="2531"/>
      <c r="M25" s="2531" t="s">
        <v>2036</v>
      </c>
      <c r="N25" s="2531"/>
      <c r="O25" s="2531" t="s">
        <v>2037</v>
      </c>
      <c r="P25" s="2531"/>
      <c r="Q25" s="2531" t="s">
        <v>2038</v>
      </c>
      <c r="R25" s="2531"/>
      <c r="S25" s="2531" t="s">
        <v>2039</v>
      </c>
      <c r="T25" s="2531"/>
      <c r="U25" s="2531" t="s">
        <v>2040</v>
      </c>
      <c r="V25" s="2531"/>
      <c r="W25" s="2531"/>
      <c r="X25" s="2531"/>
      <c r="Y25" s="2531" t="s">
        <v>1222</v>
      </c>
      <c r="Z25" s="2565"/>
      <c r="AA25" s="2566" t="s">
        <v>2041</v>
      </c>
      <c r="AB25" s="138"/>
      <c r="AC25" s="138"/>
      <c r="AD25" s="138"/>
      <c r="AE25" s="2487"/>
      <c r="AF25" s="2487"/>
      <c r="AG25" s="2487"/>
      <c r="AH25" s="2487"/>
      <c r="AI25" s="2487"/>
      <c r="AJ25" s="2487"/>
      <c r="AK25" s="2487"/>
      <c r="AL25" s="2487"/>
      <c r="AM25" s="2487"/>
    </row>
    <row r="26" spans="1:39" ht="11.25" customHeight="1" x14ac:dyDescent="0.3">
      <c r="A26" s="487"/>
      <c r="B26" s="2499">
        <v>2020</v>
      </c>
      <c r="C26" s="2504">
        <v>16284.24</v>
      </c>
      <c r="D26" s="2501" t="s">
        <v>1235</v>
      </c>
      <c r="E26" s="2502">
        <v>7.9</v>
      </c>
      <c r="F26" s="2501" t="s">
        <v>1235</v>
      </c>
      <c r="G26" s="2500">
        <v>1000</v>
      </c>
      <c r="H26" s="2501" t="s">
        <v>1235</v>
      </c>
      <c r="I26" s="2567">
        <v>4.0999999999999996</v>
      </c>
      <c r="J26" s="2501" t="s">
        <v>1235</v>
      </c>
      <c r="K26" s="2504">
        <v>0.25</v>
      </c>
      <c r="L26" s="2501" t="s">
        <v>1235</v>
      </c>
      <c r="M26" s="2535">
        <v>0.33</v>
      </c>
      <c r="N26" s="2501" t="s">
        <v>1236</v>
      </c>
      <c r="O26" s="2568">
        <f>C26*$E$26*$I$26*$M$26*$K$26*$G$26</f>
        <v>43514339.022</v>
      </c>
      <c r="P26" s="2501" t="s">
        <v>1235</v>
      </c>
      <c r="Q26" s="2569">
        <v>9.9999999999999998E-13</v>
      </c>
      <c r="R26" s="2506" t="s">
        <v>1236</v>
      </c>
      <c r="S26" s="2504">
        <f>O26*Q26</f>
        <v>4.3514339021999998E-5</v>
      </c>
      <c r="T26" s="2501" t="s">
        <v>1235</v>
      </c>
      <c r="U26" s="2639">
        <f>AO8</f>
        <v>28</v>
      </c>
      <c r="V26" s="2501" t="s">
        <v>1235</v>
      </c>
      <c r="W26" s="2504">
        <f>12/44</f>
        <v>0.27272727272727271</v>
      </c>
      <c r="X26" s="2506" t="s">
        <v>1236</v>
      </c>
      <c r="Y26" s="2538">
        <f>S26*U$26*W$26</f>
        <v>3.3229131616799995E-4</v>
      </c>
      <c r="Z26" s="2506" t="s">
        <v>1236</v>
      </c>
      <c r="AA26" s="2570">
        <f>Y26*44/12</f>
        <v>1.2184014926159999E-3</v>
      </c>
      <c r="AB26" s="138"/>
      <c r="AC26" s="138"/>
      <c r="AD26" s="138"/>
      <c r="AE26" s="143"/>
      <c r="AF26" s="143"/>
      <c r="AG26" s="143"/>
      <c r="AH26" s="143"/>
      <c r="AI26" s="143"/>
      <c r="AJ26" s="143"/>
      <c r="AK26" s="143"/>
      <c r="AL26" s="143"/>
      <c r="AM26" s="143"/>
    </row>
    <row r="27" spans="1:39" ht="11.25" customHeight="1" x14ac:dyDescent="0.3">
      <c r="A27" s="2487"/>
      <c r="B27" s="2522"/>
      <c r="C27" s="2523"/>
      <c r="D27" s="2523"/>
      <c r="E27" s="2523"/>
      <c r="F27" s="2523"/>
      <c r="G27" s="2523"/>
      <c r="H27" s="2523"/>
      <c r="I27" s="2523"/>
      <c r="J27" s="2523"/>
      <c r="K27" s="2523"/>
      <c r="L27" s="2523"/>
      <c r="M27" s="2523"/>
      <c r="N27" s="2523"/>
      <c r="O27" s="2523"/>
      <c r="P27" s="2523"/>
      <c r="Q27" s="2523"/>
      <c r="R27" s="2523"/>
      <c r="S27" s="2523"/>
      <c r="T27" s="2523"/>
      <c r="U27" s="2523"/>
      <c r="V27" s="2523"/>
      <c r="W27" s="2523"/>
      <c r="X27" s="2523"/>
      <c r="Y27" s="2523"/>
      <c r="Z27" s="2523"/>
      <c r="AA27" s="2524"/>
      <c r="AB27" s="138"/>
      <c r="AC27" s="138"/>
      <c r="AD27" s="138"/>
      <c r="AE27" s="2487"/>
      <c r="AF27" s="2487"/>
      <c r="AG27" s="2487"/>
      <c r="AH27" s="2487"/>
      <c r="AI27" s="2487"/>
      <c r="AJ27" s="2487"/>
      <c r="AK27" s="2487"/>
      <c r="AL27" s="2487"/>
      <c r="AM27" s="2487"/>
    </row>
    <row r="28" spans="1:39" ht="11.25" customHeight="1" x14ac:dyDescent="0.3">
      <c r="A28" s="2487"/>
      <c r="B28" s="138"/>
      <c r="C28" s="138"/>
      <c r="D28" s="138"/>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2487"/>
      <c r="AF28" s="2487"/>
      <c r="AG28" s="2487"/>
      <c r="AH28" s="2487"/>
      <c r="AI28" s="2487"/>
      <c r="AJ28" s="2487"/>
      <c r="AK28" s="2487"/>
      <c r="AL28" s="2487"/>
      <c r="AM28" s="2487"/>
    </row>
    <row r="29" spans="1:39" ht="11.25" customHeight="1" x14ac:dyDescent="0.3">
      <c r="A29" s="2487"/>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2487"/>
      <c r="AF29" s="2487"/>
      <c r="AG29" s="2487"/>
      <c r="AH29" s="2487"/>
      <c r="AI29" s="2487"/>
      <c r="AJ29" s="2487"/>
      <c r="AK29" s="2487"/>
      <c r="AL29" s="2487"/>
      <c r="AM29" s="2487"/>
    </row>
    <row r="30" spans="1:39" ht="11.25" customHeight="1" x14ac:dyDescent="0.3">
      <c r="A30" s="2487"/>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2487"/>
      <c r="AF30" s="2487"/>
      <c r="AG30" s="2487"/>
      <c r="AH30" s="2487"/>
      <c r="AI30" s="2487"/>
      <c r="AJ30" s="2487"/>
      <c r="AK30" s="2487"/>
      <c r="AL30" s="2487"/>
      <c r="AM30" s="2487"/>
    </row>
    <row r="31" spans="1:39" ht="11.25" customHeight="1" x14ac:dyDescent="0.25">
      <c r="A31" s="2487"/>
      <c r="B31" s="2487"/>
      <c r="C31" s="2487"/>
      <c r="D31" s="2487"/>
      <c r="E31" s="2487"/>
      <c r="F31" s="2487"/>
      <c r="G31" s="2487"/>
      <c r="H31" s="2487"/>
      <c r="I31" s="2487"/>
      <c r="J31" s="2487"/>
      <c r="K31" s="2487"/>
      <c r="L31" s="2487"/>
      <c r="M31" s="2487"/>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c r="AJ31" s="2487"/>
      <c r="AK31" s="2487"/>
      <c r="AL31" s="2487"/>
      <c r="AM31" s="2487"/>
    </row>
    <row r="32" spans="1:39" ht="13.5" customHeight="1" x14ac:dyDescent="0.4">
      <c r="A32" s="2487"/>
      <c r="B32" s="3050" t="s">
        <v>2042</v>
      </c>
      <c r="C32" s="2943"/>
      <c r="D32" s="2943"/>
      <c r="E32" s="2943"/>
      <c r="F32" s="2943"/>
      <c r="G32" s="2943"/>
      <c r="H32" s="2943"/>
      <c r="I32" s="2943"/>
      <c r="J32" s="2943"/>
      <c r="K32" s="2943"/>
      <c r="L32" s="2943"/>
      <c r="M32" s="2943"/>
      <c r="N32" s="2943"/>
      <c r="O32" s="2487"/>
      <c r="P32" s="2487"/>
      <c r="Q32" s="2487"/>
      <c r="R32" s="2487"/>
      <c r="S32" s="2487"/>
      <c r="T32" s="2487"/>
      <c r="U32" s="2487"/>
      <c r="V32" s="2487"/>
      <c r="W32" s="2487"/>
      <c r="X32" s="2487"/>
      <c r="Y32" s="2487"/>
      <c r="Z32" s="2487"/>
      <c r="AA32" s="2487"/>
      <c r="AB32" s="2487"/>
      <c r="AC32" s="2487"/>
      <c r="AD32" s="2487"/>
      <c r="AE32" s="2487"/>
      <c r="AF32" s="2487"/>
      <c r="AG32" s="2487"/>
      <c r="AH32" s="2487"/>
      <c r="AI32" s="2487"/>
      <c r="AJ32" s="2487"/>
      <c r="AK32" s="2487"/>
      <c r="AL32" s="2487"/>
      <c r="AM32" s="2487"/>
    </row>
    <row r="33" spans="1:39" ht="11.25" customHeight="1" x14ac:dyDescent="0.25">
      <c r="A33" s="2487"/>
      <c r="B33" s="2487"/>
      <c r="C33" s="2487"/>
      <c r="D33" s="2487"/>
      <c r="E33" s="2487"/>
      <c r="F33" s="2487"/>
      <c r="G33" s="2487"/>
      <c r="H33" s="2487"/>
      <c r="I33" s="2487"/>
      <c r="J33" s="2487"/>
      <c r="K33" s="2487"/>
      <c r="L33" s="2487"/>
      <c r="M33" s="2487"/>
      <c r="N33" s="2487"/>
      <c r="O33" s="2487"/>
      <c r="P33" s="2487"/>
      <c r="Q33" s="2487"/>
      <c r="R33" s="2487"/>
      <c r="S33" s="2487"/>
      <c r="T33" s="2487"/>
      <c r="U33" s="2487"/>
      <c r="V33" s="2487"/>
      <c r="W33" s="2487"/>
      <c r="X33" s="2487"/>
      <c r="Y33" s="2487"/>
      <c r="Z33" s="2487"/>
      <c r="AA33" s="2487"/>
      <c r="AB33" s="2487"/>
      <c r="AC33" s="2487"/>
      <c r="AD33" s="2487"/>
      <c r="AE33" s="2487"/>
      <c r="AF33" s="2487"/>
      <c r="AG33" s="2487"/>
      <c r="AH33" s="2487"/>
      <c r="AI33" s="2487"/>
      <c r="AJ33" s="2487"/>
      <c r="AK33" s="2487"/>
      <c r="AL33" s="2487"/>
      <c r="AM33" s="2487"/>
    </row>
    <row r="34" spans="1:39" ht="18.75" customHeight="1" x14ac:dyDescent="0.45">
      <c r="A34" s="2487"/>
      <c r="B34" s="2571" t="s">
        <v>2043</v>
      </c>
      <c r="C34" s="2572">
        <v>2020</v>
      </c>
      <c r="D34" s="2487"/>
      <c r="E34" s="2487"/>
      <c r="F34" s="2487"/>
      <c r="G34" s="2487"/>
      <c r="H34" s="2487"/>
      <c r="I34" s="2487"/>
      <c r="J34" s="2487"/>
      <c r="K34" s="2487"/>
      <c r="L34" s="2487"/>
      <c r="M34" s="2487"/>
      <c r="N34" s="2487"/>
      <c r="O34" s="2487"/>
      <c r="P34" s="2487"/>
      <c r="Q34" s="2487"/>
      <c r="R34" s="2487"/>
      <c r="S34" s="2487"/>
      <c r="T34" s="2487"/>
      <c r="U34" s="2487"/>
      <c r="V34" s="2487"/>
      <c r="W34" s="2487"/>
      <c r="X34" s="2487"/>
      <c r="Y34" s="431"/>
      <c r="Z34" s="2487"/>
      <c r="AA34" s="2487"/>
      <c r="AB34" s="2487"/>
      <c r="AC34" s="2487"/>
      <c r="AD34" s="2487"/>
      <c r="AE34" s="2487"/>
      <c r="AF34" s="2487"/>
      <c r="AG34" s="2487"/>
      <c r="AH34" s="2487"/>
      <c r="AI34" s="2487"/>
      <c r="AJ34" s="2487"/>
      <c r="AK34" s="2487"/>
      <c r="AL34" s="2487"/>
      <c r="AM34" s="2487"/>
    </row>
    <row r="35" spans="1:39" ht="15.75" customHeight="1" x14ac:dyDescent="0.4">
      <c r="A35" s="2487"/>
      <c r="B35" s="2573" t="s">
        <v>2044</v>
      </c>
      <c r="C35" s="2574">
        <f>Y6</f>
        <v>0.55397662661249991</v>
      </c>
      <c r="D35" s="2575"/>
      <c r="E35" s="2487"/>
      <c r="F35" s="2487"/>
      <c r="G35" s="2487"/>
      <c r="H35" s="2487"/>
      <c r="I35" s="2487"/>
      <c r="J35" s="2487"/>
      <c r="K35" s="2487"/>
      <c r="L35" s="2487"/>
      <c r="M35" s="2487"/>
      <c r="N35" s="2487"/>
      <c r="O35" s="2487"/>
      <c r="P35" s="2487"/>
      <c r="Q35" s="2487"/>
      <c r="R35" s="2487"/>
      <c r="S35" s="2487"/>
      <c r="T35" s="2487"/>
      <c r="U35" s="2487"/>
      <c r="V35" s="2487"/>
      <c r="W35" s="2487"/>
      <c r="X35" s="2487"/>
      <c r="Y35" s="2487"/>
      <c r="Z35" s="2487"/>
      <c r="AA35" s="2487"/>
      <c r="AB35" s="2487"/>
      <c r="AC35" s="2487"/>
      <c r="AD35" s="2487"/>
      <c r="AE35" s="2487"/>
      <c r="AF35" s="2487"/>
      <c r="AG35" s="2487"/>
      <c r="AH35" s="2487"/>
      <c r="AI35" s="2487"/>
      <c r="AJ35" s="2487"/>
      <c r="AK35" s="2487"/>
      <c r="AL35" s="2487"/>
      <c r="AM35" s="2487"/>
    </row>
    <row r="36" spans="1:39" ht="15.75" customHeight="1" x14ac:dyDescent="0.4">
      <c r="A36" s="2487"/>
      <c r="B36" s="2573" t="s">
        <v>2045</v>
      </c>
      <c r="C36" s="2576">
        <f>AM19</f>
        <v>0.16481170919395788</v>
      </c>
      <c r="D36" s="2575"/>
      <c r="E36" s="2487"/>
      <c r="F36" s="2487"/>
      <c r="G36" s="2487"/>
      <c r="H36" s="2487"/>
      <c r="I36" s="2487"/>
      <c r="J36" s="2487"/>
      <c r="K36" s="2487"/>
      <c r="L36" s="2487"/>
      <c r="M36" s="2487"/>
      <c r="N36" s="2487"/>
      <c r="O36" s="2487"/>
      <c r="P36" s="2487"/>
      <c r="Q36" s="2487"/>
      <c r="R36" s="2487"/>
      <c r="S36" s="2487"/>
      <c r="T36" s="2487"/>
      <c r="U36" s="2487"/>
      <c r="V36" s="2487"/>
      <c r="W36" s="2487"/>
      <c r="X36" s="2487"/>
      <c r="Y36" s="2487"/>
      <c r="Z36" s="2487"/>
      <c r="AA36" s="2487"/>
      <c r="AB36" s="2487"/>
      <c r="AC36" s="2487"/>
      <c r="AD36" s="2487"/>
      <c r="AE36" s="2487"/>
      <c r="AF36" s="2487"/>
      <c r="AG36" s="2487"/>
      <c r="AH36" s="2487"/>
      <c r="AI36" s="2487"/>
      <c r="AJ36" s="2487"/>
      <c r="AK36" s="2487"/>
      <c r="AL36" s="2487"/>
      <c r="AM36" s="2487"/>
    </row>
    <row r="37" spans="1:39" ht="15.75" customHeight="1" x14ac:dyDescent="0.4">
      <c r="A37" s="2487"/>
      <c r="B37" s="2573" t="s">
        <v>2046</v>
      </c>
      <c r="C37" s="2574">
        <f>SUM(C38:C41)</f>
        <v>1.2184014926159999E-3</v>
      </c>
      <c r="D37" s="2575"/>
      <c r="E37" s="2487"/>
      <c r="F37" s="2487"/>
      <c r="G37" s="2487"/>
      <c r="H37" s="2487"/>
      <c r="I37" s="2487"/>
      <c r="J37" s="2487"/>
      <c r="K37" s="2487"/>
      <c r="L37" s="2487"/>
      <c r="M37" s="2487"/>
      <c r="N37" s="2487"/>
      <c r="O37" s="2487"/>
      <c r="P37" s="2487"/>
      <c r="Q37" s="2487"/>
      <c r="R37" s="2487"/>
      <c r="S37" s="2487"/>
      <c r="T37" s="2487"/>
      <c r="U37" s="2487"/>
      <c r="V37" s="2487"/>
      <c r="W37" s="2487"/>
      <c r="X37" s="2487"/>
      <c r="Y37" s="2487"/>
      <c r="Z37" s="2487"/>
      <c r="AA37" s="2487"/>
      <c r="AB37" s="2487"/>
      <c r="AC37" s="2487"/>
      <c r="AD37" s="2487"/>
      <c r="AE37" s="2487"/>
      <c r="AF37" s="2487"/>
      <c r="AG37" s="2487"/>
      <c r="AH37" s="2487"/>
      <c r="AI37" s="2487"/>
      <c r="AJ37" s="2487"/>
      <c r="AK37" s="2487"/>
      <c r="AL37" s="2487"/>
      <c r="AM37" s="2487"/>
    </row>
    <row r="38" spans="1:39" ht="15" customHeight="1" x14ac:dyDescent="0.4">
      <c r="A38" s="2487"/>
      <c r="B38" s="2577" t="s">
        <v>2047</v>
      </c>
      <c r="C38" s="2578">
        <f>0</f>
        <v>0</v>
      </c>
      <c r="D38" s="2575"/>
      <c r="E38" s="2487"/>
      <c r="F38" s="2487"/>
      <c r="G38" s="2487"/>
      <c r="H38" s="2487"/>
      <c r="I38" s="2487"/>
      <c r="J38" s="2487"/>
      <c r="K38" s="2487"/>
      <c r="L38" s="2487"/>
      <c r="M38" s="2487"/>
      <c r="N38" s="2487"/>
      <c r="O38" s="2487"/>
      <c r="P38" s="2487"/>
      <c r="Q38" s="2487"/>
      <c r="R38" s="2487"/>
      <c r="S38" s="2487"/>
      <c r="T38" s="2487"/>
      <c r="U38" s="2487"/>
      <c r="V38" s="2487"/>
      <c r="W38" s="2487"/>
      <c r="X38" s="2487"/>
      <c r="Y38" s="2487"/>
      <c r="Z38" s="2487"/>
      <c r="AA38" s="2487"/>
      <c r="AB38" s="2487"/>
      <c r="AC38" s="2487"/>
      <c r="AD38" s="2487"/>
      <c r="AE38" s="2487"/>
      <c r="AF38" s="2487"/>
      <c r="AG38" s="2487"/>
      <c r="AH38" s="2487"/>
      <c r="AI38" s="2487"/>
      <c r="AJ38" s="2487"/>
      <c r="AK38" s="2487"/>
      <c r="AL38" s="2487"/>
      <c r="AM38" s="2487"/>
    </row>
    <row r="39" spans="1:39" ht="15.75" customHeight="1" x14ac:dyDescent="0.4">
      <c r="A39" s="2487"/>
      <c r="B39" s="2577" t="s">
        <v>2048</v>
      </c>
      <c r="C39" s="2574">
        <f>AA26</f>
        <v>1.2184014926159999E-3</v>
      </c>
      <c r="D39" s="2575"/>
      <c r="E39" s="2487"/>
      <c r="F39" s="2487"/>
      <c r="G39" s="2487"/>
      <c r="H39" s="2487"/>
      <c r="I39" s="2487"/>
      <c r="J39" s="2487"/>
      <c r="K39" s="2487"/>
      <c r="L39" s="2487"/>
      <c r="M39" s="2487"/>
      <c r="N39" s="2487"/>
      <c r="O39" s="2487"/>
      <c r="P39" s="2487"/>
      <c r="Q39" s="2487"/>
      <c r="R39" s="2487"/>
      <c r="S39" s="2487"/>
      <c r="T39" s="2487"/>
      <c r="U39" s="2487"/>
      <c r="V39" s="2487"/>
      <c r="W39" s="2487"/>
      <c r="X39" s="2487"/>
      <c r="Y39" s="2487"/>
      <c r="Z39" s="2487"/>
      <c r="AA39" s="2487"/>
      <c r="AB39" s="2487"/>
      <c r="AC39" s="2487"/>
      <c r="AD39" s="2487"/>
      <c r="AE39" s="2487"/>
      <c r="AF39" s="2487"/>
      <c r="AG39" s="2487"/>
      <c r="AH39" s="2487"/>
      <c r="AI39" s="2487"/>
      <c r="AJ39" s="2487"/>
      <c r="AK39" s="2487"/>
      <c r="AL39" s="2487"/>
      <c r="AM39" s="2487"/>
    </row>
    <row r="40" spans="1:39" ht="16.5" customHeight="1" x14ac:dyDescent="0.4">
      <c r="A40" s="2487"/>
      <c r="B40" s="2577" t="s">
        <v>1562</v>
      </c>
      <c r="C40" s="2574">
        <v>0</v>
      </c>
      <c r="D40" s="2575"/>
      <c r="E40" s="2487"/>
      <c r="F40" s="2487"/>
      <c r="G40" s="2487"/>
      <c r="H40" s="2487"/>
      <c r="I40" s="2487"/>
      <c r="J40" s="2487"/>
      <c r="K40" s="2487"/>
      <c r="L40" s="2487"/>
      <c r="M40" s="2487"/>
      <c r="N40" s="2487"/>
      <c r="O40" s="2487"/>
      <c r="P40" s="2487"/>
      <c r="Q40" s="2487"/>
      <c r="R40" s="2487"/>
      <c r="S40" s="2487"/>
      <c r="T40" s="2487"/>
      <c r="U40" s="2487"/>
      <c r="V40" s="2487"/>
      <c r="W40" s="2487"/>
      <c r="X40" s="2487"/>
      <c r="Y40" s="2487"/>
      <c r="Z40" s="2487"/>
      <c r="AA40" s="2487"/>
      <c r="AB40" s="2487"/>
      <c r="AC40" s="2487"/>
      <c r="AD40" s="2487"/>
      <c r="AE40" s="2487"/>
      <c r="AF40" s="2487"/>
      <c r="AG40" s="2487"/>
      <c r="AH40" s="2487"/>
      <c r="AI40" s="2487"/>
      <c r="AJ40" s="2487"/>
      <c r="AK40" s="2487"/>
      <c r="AL40" s="2487"/>
      <c r="AM40" s="2487"/>
    </row>
    <row r="41" spans="1:39" ht="16.5" customHeight="1" x14ac:dyDescent="0.4">
      <c r="A41" s="2487"/>
      <c r="B41" s="2577" t="s">
        <v>2049</v>
      </c>
      <c r="C41" s="2574">
        <v>0</v>
      </c>
      <c r="D41" s="2575"/>
      <c r="E41" s="2487"/>
      <c r="F41" s="2487"/>
      <c r="G41" s="2487"/>
      <c r="H41" s="2487"/>
      <c r="I41" s="2487"/>
      <c r="J41" s="2487"/>
      <c r="K41" s="2487"/>
      <c r="L41" s="2487"/>
      <c r="M41" s="2487"/>
      <c r="N41" s="2487"/>
      <c r="O41" s="2487"/>
      <c r="P41" s="2487"/>
      <c r="Q41" s="2487"/>
      <c r="R41" s="2487"/>
      <c r="S41" s="2487"/>
      <c r="T41" s="2487"/>
      <c r="U41" s="2487"/>
      <c r="V41" s="2487"/>
      <c r="W41" s="2487"/>
      <c r="X41" s="2487"/>
      <c r="Y41" s="2487"/>
      <c r="Z41" s="2487"/>
      <c r="AA41" s="2487"/>
      <c r="AB41" s="2487"/>
      <c r="AC41" s="2487"/>
      <c r="AD41" s="2487"/>
      <c r="AE41" s="2487"/>
      <c r="AF41" s="2487"/>
      <c r="AG41" s="2487"/>
      <c r="AH41" s="2487"/>
      <c r="AI41" s="2487"/>
      <c r="AJ41" s="2487"/>
      <c r="AK41" s="2487"/>
      <c r="AL41" s="2487"/>
      <c r="AM41" s="2487"/>
    </row>
    <row r="42" spans="1:39" ht="19.5" customHeight="1" x14ac:dyDescent="0.45">
      <c r="A42" s="2487"/>
      <c r="B42" s="2579" t="s">
        <v>2050</v>
      </c>
      <c r="C42" s="2580">
        <f>SUM(C35:C37)</f>
        <v>0.72000673729907372</v>
      </c>
      <c r="D42" s="2575"/>
      <c r="E42" s="2487"/>
      <c r="F42" s="2487"/>
      <c r="G42" s="2487"/>
      <c r="H42" s="2487"/>
      <c r="I42" s="2487"/>
      <c r="J42" s="2487"/>
      <c r="K42" s="2487"/>
      <c r="L42" s="2487"/>
      <c r="M42" s="2487"/>
      <c r="N42" s="2487"/>
      <c r="O42" s="2487"/>
      <c r="P42" s="2487"/>
      <c r="Q42" s="2487"/>
      <c r="R42" s="2487"/>
      <c r="S42" s="2487"/>
      <c r="T42" s="2487"/>
      <c r="U42" s="2487"/>
      <c r="V42" s="2487"/>
      <c r="W42" s="2487"/>
      <c r="X42" s="2487"/>
      <c r="Y42" s="2487"/>
      <c r="Z42" s="2487"/>
      <c r="AA42" s="2487"/>
      <c r="AB42" s="2487"/>
      <c r="AC42" s="2487"/>
      <c r="AD42" s="2487"/>
      <c r="AE42" s="2487"/>
      <c r="AF42" s="2487"/>
      <c r="AG42" s="2487"/>
      <c r="AH42" s="2487"/>
      <c r="AI42" s="2487"/>
      <c r="AJ42" s="2487"/>
      <c r="AK42" s="2487"/>
      <c r="AL42" s="2487"/>
      <c r="AM42" s="2487"/>
    </row>
    <row r="43" spans="1:39" ht="11.25" customHeight="1" x14ac:dyDescent="0.25">
      <c r="A43" s="2487"/>
      <c r="B43" s="2487"/>
      <c r="C43" s="2487"/>
      <c r="D43" s="2487"/>
      <c r="E43" s="2487"/>
      <c r="F43" s="2487"/>
      <c r="G43" s="2487"/>
      <c r="H43" s="2487"/>
      <c r="I43" s="2487"/>
      <c r="J43" s="2487"/>
      <c r="K43" s="2487"/>
      <c r="L43" s="2487"/>
      <c r="M43" s="2487"/>
      <c r="N43" s="2487"/>
      <c r="O43" s="2487"/>
      <c r="P43" s="2487"/>
      <c r="Q43" s="2487"/>
      <c r="R43" s="2487"/>
      <c r="S43" s="2581"/>
      <c r="T43" s="2487"/>
      <c r="U43" s="2487"/>
      <c r="V43" s="2487"/>
      <c r="W43" s="2487"/>
      <c r="X43" s="2487"/>
      <c r="Y43" s="2487"/>
      <c r="Z43" s="2487"/>
      <c r="AA43" s="2487"/>
      <c r="AB43" s="2487"/>
      <c r="AC43" s="2487"/>
      <c r="AD43" s="2487"/>
      <c r="AE43" s="2487"/>
      <c r="AF43" s="2487"/>
      <c r="AG43" s="2487"/>
      <c r="AH43" s="2487"/>
      <c r="AI43" s="2487"/>
      <c r="AJ43" s="2487"/>
      <c r="AK43" s="2487"/>
      <c r="AL43" s="2487"/>
      <c r="AM43" s="2487"/>
    </row>
    <row r="44" spans="1:39" ht="11.25" customHeight="1" x14ac:dyDescent="0.25">
      <c r="A44" s="2487"/>
      <c r="B44" s="2487"/>
      <c r="C44" s="2487"/>
      <c r="D44" s="2487"/>
      <c r="E44" s="2487"/>
      <c r="F44" s="2487"/>
      <c r="G44" s="2487"/>
      <c r="H44" s="2487"/>
      <c r="I44" s="2487"/>
      <c r="J44" s="2487"/>
      <c r="K44" s="2487"/>
      <c r="L44" s="2487"/>
      <c r="M44" s="2487"/>
      <c r="N44" s="2487"/>
      <c r="O44" s="2487"/>
      <c r="P44" s="2487"/>
      <c r="Q44" s="2487"/>
      <c r="R44" s="2487"/>
      <c r="S44" s="2487"/>
      <c r="T44" s="2487"/>
      <c r="U44" s="2487"/>
      <c r="V44" s="2487"/>
      <c r="W44" s="2487"/>
      <c r="X44" s="2487"/>
      <c r="Y44" s="2487"/>
      <c r="Z44" s="2487"/>
      <c r="AA44" s="2487"/>
      <c r="AB44" s="2487"/>
      <c r="AC44" s="2487"/>
      <c r="AD44" s="2487"/>
      <c r="AE44" s="2487"/>
      <c r="AF44" s="2487"/>
      <c r="AG44" s="2487"/>
      <c r="AH44" s="2487"/>
      <c r="AI44" s="2487"/>
      <c r="AJ44" s="2487"/>
      <c r="AK44" s="2487"/>
      <c r="AL44" s="2487"/>
      <c r="AM44" s="2487"/>
    </row>
    <row r="45" spans="1:39" ht="11.25" customHeight="1" x14ac:dyDescent="0.25">
      <c r="A45" s="2487"/>
      <c r="B45" s="2487"/>
      <c r="C45" s="2487"/>
      <c r="D45" s="2487"/>
      <c r="E45" s="2487"/>
      <c r="F45" s="2487"/>
      <c r="G45" s="2487"/>
      <c r="H45" s="2487"/>
      <c r="I45" s="2487"/>
      <c r="J45" s="2487"/>
      <c r="K45" s="2487"/>
      <c r="L45" s="2487"/>
      <c r="M45" s="2487"/>
      <c r="N45" s="2487"/>
      <c r="O45" s="2487"/>
      <c r="P45" s="2487"/>
      <c r="Q45" s="2487"/>
      <c r="R45" s="2487"/>
      <c r="S45" s="2487"/>
      <c r="T45" s="2487"/>
      <c r="U45" s="2487"/>
      <c r="V45" s="2487"/>
      <c r="W45" s="2487"/>
      <c r="X45" s="2487"/>
      <c r="Y45" s="2487"/>
      <c r="Z45" s="2487"/>
      <c r="AA45" s="2487"/>
      <c r="AB45" s="2487"/>
      <c r="AC45" s="2487"/>
      <c r="AD45" s="2487"/>
      <c r="AE45" s="2487"/>
      <c r="AF45" s="2487"/>
      <c r="AG45" s="2487"/>
      <c r="AH45" s="2487"/>
      <c r="AI45" s="2487"/>
      <c r="AJ45" s="2487"/>
      <c r="AK45" s="2487"/>
      <c r="AL45" s="2487"/>
      <c r="AM45" s="2487"/>
    </row>
    <row r="46" spans="1:39" ht="11.25" customHeight="1" x14ac:dyDescent="0.25">
      <c r="A46" s="2487"/>
      <c r="B46" s="2487"/>
      <c r="C46" s="2487"/>
      <c r="D46" s="2487"/>
      <c r="E46" s="2487"/>
      <c r="F46" s="2487"/>
      <c r="G46" s="2487"/>
      <c r="H46" s="2487"/>
      <c r="I46" s="2487"/>
      <c r="J46" s="2487"/>
      <c r="K46" s="2487"/>
      <c r="L46" s="2487"/>
      <c r="M46" s="2487"/>
      <c r="N46" s="2487"/>
      <c r="O46" s="2487"/>
      <c r="P46" s="2487"/>
      <c r="Q46" s="2487"/>
      <c r="R46" s="2487"/>
      <c r="S46" s="2487"/>
      <c r="T46" s="2487"/>
      <c r="U46" s="2487"/>
      <c r="V46" s="2487"/>
      <c r="W46" s="2487"/>
      <c r="X46" s="2487"/>
      <c r="Y46" s="2487"/>
      <c r="Z46" s="2487"/>
      <c r="AA46" s="2487"/>
      <c r="AB46" s="2487"/>
      <c r="AC46" s="2487"/>
      <c r="AD46" s="2487"/>
      <c r="AE46" s="2487"/>
      <c r="AF46" s="2487"/>
      <c r="AG46" s="2487"/>
      <c r="AH46" s="2487"/>
      <c r="AI46" s="2487"/>
      <c r="AJ46" s="2487"/>
      <c r="AK46" s="2487"/>
      <c r="AL46" s="2487"/>
      <c r="AM46" s="2487"/>
    </row>
    <row r="47" spans="1:39" ht="11.25" customHeight="1" x14ac:dyDescent="0.25">
      <c r="A47" s="2487"/>
      <c r="B47" s="2487"/>
      <c r="C47" s="2487"/>
      <c r="D47" s="2487"/>
      <c r="E47" s="2487"/>
      <c r="F47" s="2487"/>
      <c r="G47" s="2487"/>
      <c r="H47" s="2487"/>
      <c r="I47" s="2487"/>
      <c r="J47" s="2487"/>
      <c r="K47" s="2487"/>
      <c r="L47" s="2487"/>
      <c r="M47" s="2487"/>
      <c r="N47" s="2487"/>
      <c r="O47" s="2487"/>
      <c r="P47" s="2487"/>
      <c r="Q47" s="2487"/>
      <c r="R47" s="2487"/>
      <c r="S47" s="2487"/>
      <c r="T47" s="2487"/>
      <c r="U47" s="2487"/>
      <c r="V47" s="2487"/>
      <c r="W47" s="2487"/>
      <c r="X47" s="2487"/>
      <c r="Y47" s="2487"/>
      <c r="Z47" s="2487"/>
      <c r="AA47" s="2487"/>
      <c r="AB47" s="2487"/>
      <c r="AC47" s="2487"/>
      <c r="AD47" s="2487"/>
      <c r="AE47" s="2487"/>
      <c r="AF47" s="2487"/>
      <c r="AG47" s="2487"/>
      <c r="AH47" s="2487"/>
      <c r="AI47" s="2487"/>
      <c r="AJ47" s="2487"/>
      <c r="AK47" s="2487"/>
      <c r="AL47" s="2487"/>
      <c r="AM47" s="2487"/>
    </row>
    <row r="48" spans="1:39" ht="11.25" customHeight="1" x14ac:dyDescent="0.25">
      <c r="A48" s="2487"/>
      <c r="B48" s="2487"/>
      <c r="C48" s="2487"/>
      <c r="D48" s="2487"/>
      <c r="E48" s="2487"/>
      <c r="F48" s="2487"/>
      <c r="G48" s="2487"/>
      <c r="H48" s="2487"/>
      <c r="I48" s="2487"/>
      <c r="J48" s="2487"/>
      <c r="K48" s="2487"/>
      <c r="L48" s="2487"/>
      <c r="M48" s="2487"/>
      <c r="N48" s="2487"/>
      <c r="O48" s="2487"/>
      <c r="P48" s="2487"/>
      <c r="Q48" s="2487"/>
      <c r="R48" s="2487"/>
      <c r="S48" s="2487"/>
      <c r="T48" s="2487"/>
      <c r="U48" s="2487"/>
      <c r="V48" s="2487"/>
      <c r="W48" s="2487"/>
      <c r="X48" s="2487"/>
      <c r="Y48" s="2487"/>
      <c r="Z48" s="2487"/>
      <c r="AA48" s="2487"/>
      <c r="AB48" s="2487"/>
      <c r="AC48" s="2487"/>
      <c r="AD48" s="2487"/>
      <c r="AE48" s="2487"/>
      <c r="AF48" s="2487"/>
      <c r="AG48" s="2487"/>
      <c r="AH48" s="2487"/>
      <c r="AI48" s="2487"/>
      <c r="AJ48" s="2487"/>
      <c r="AK48" s="2487"/>
      <c r="AL48" s="2487"/>
      <c r="AM48" s="2487"/>
    </row>
    <row r="49" spans="1:39" ht="11.25" customHeight="1" x14ac:dyDescent="0.25">
      <c r="A49" s="2487"/>
      <c r="B49" s="2487"/>
      <c r="C49" s="2487"/>
      <c r="D49" s="2487"/>
      <c r="E49" s="2487"/>
      <c r="F49" s="2487"/>
      <c r="G49" s="2487"/>
      <c r="H49" s="2487"/>
      <c r="I49" s="2487"/>
      <c r="J49" s="2487"/>
      <c r="K49" s="2487"/>
      <c r="L49" s="2487"/>
      <c r="M49" s="2487"/>
      <c r="N49" s="2487"/>
      <c r="O49" s="2487"/>
      <c r="P49" s="2487"/>
      <c r="Q49" s="2487"/>
      <c r="R49" s="2487"/>
      <c r="S49" s="2487"/>
      <c r="T49" s="2487"/>
      <c r="U49" s="2487"/>
      <c r="V49" s="2487"/>
      <c r="W49" s="2487"/>
      <c r="X49" s="2487"/>
      <c r="Y49" s="2487"/>
      <c r="Z49" s="2487"/>
      <c r="AA49" s="2487"/>
      <c r="AB49" s="2487"/>
      <c r="AC49" s="2487"/>
      <c r="AD49" s="2487"/>
      <c r="AE49" s="2487"/>
      <c r="AF49" s="2487"/>
      <c r="AG49" s="2487"/>
      <c r="AH49" s="2487"/>
      <c r="AI49" s="2487"/>
      <c r="AJ49" s="2487"/>
      <c r="AK49" s="2487"/>
      <c r="AL49" s="2487"/>
      <c r="AM49" s="2487"/>
    </row>
    <row r="50" spans="1:39" ht="11.25" customHeight="1" x14ac:dyDescent="0.25">
      <c r="A50" s="2487"/>
      <c r="B50" s="2487"/>
      <c r="C50" s="2487"/>
      <c r="D50" s="2487"/>
      <c r="E50" s="2487"/>
      <c r="F50" s="2487"/>
      <c r="G50" s="2487"/>
      <c r="H50" s="2487"/>
      <c r="I50" s="2487"/>
      <c r="J50" s="2487"/>
      <c r="K50" s="2487"/>
      <c r="L50" s="2487"/>
      <c r="M50" s="2487"/>
      <c r="N50" s="2487"/>
      <c r="O50" s="2487"/>
      <c r="P50" s="2487"/>
      <c r="Q50" s="2487"/>
      <c r="R50" s="2487"/>
      <c r="S50" s="2487"/>
      <c r="T50" s="2487"/>
      <c r="U50" s="2487"/>
      <c r="V50" s="2487"/>
      <c r="W50" s="2487"/>
      <c r="X50" s="2487"/>
      <c r="Y50" s="2487"/>
      <c r="Z50" s="2487"/>
      <c r="AA50" s="2487"/>
      <c r="AB50" s="2487"/>
      <c r="AC50" s="2487"/>
      <c r="AD50" s="2487"/>
      <c r="AE50" s="2487"/>
      <c r="AF50" s="2487"/>
      <c r="AG50" s="2487"/>
      <c r="AH50" s="2487"/>
      <c r="AI50" s="2487"/>
      <c r="AJ50" s="2487"/>
      <c r="AK50" s="2487"/>
      <c r="AL50" s="2487"/>
      <c r="AM50" s="2487"/>
    </row>
    <row r="51" spans="1:39" ht="11.25" customHeight="1" x14ac:dyDescent="0.25">
      <c r="A51" s="2487"/>
      <c r="B51" s="2487"/>
      <c r="C51" s="2487"/>
      <c r="D51" s="2487"/>
      <c r="E51" s="2487"/>
      <c r="F51" s="2487"/>
      <c r="G51" s="2487"/>
      <c r="H51" s="2487"/>
      <c r="I51" s="2487"/>
      <c r="J51" s="2487"/>
      <c r="K51" s="2487"/>
      <c r="L51" s="2487"/>
      <c r="M51" s="2487"/>
      <c r="N51" s="2487"/>
      <c r="O51" s="2487"/>
      <c r="P51" s="2487"/>
      <c r="Q51" s="2487"/>
      <c r="R51" s="2487"/>
      <c r="S51" s="2487"/>
      <c r="T51" s="2487"/>
      <c r="U51" s="2487"/>
      <c r="V51" s="2487"/>
      <c r="W51" s="2487"/>
      <c r="X51" s="2487"/>
      <c r="Y51" s="2487"/>
      <c r="Z51" s="2487"/>
      <c r="AA51" s="2487"/>
      <c r="AB51" s="2487"/>
      <c r="AC51" s="2487"/>
      <c r="AD51" s="2487"/>
      <c r="AE51" s="2487"/>
      <c r="AF51" s="2487"/>
      <c r="AG51" s="2487"/>
      <c r="AH51" s="2487"/>
      <c r="AI51" s="2487"/>
      <c r="AJ51" s="2487"/>
      <c r="AK51" s="2487"/>
      <c r="AL51" s="2487"/>
      <c r="AM51" s="2487"/>
    </row>
    <row r="52" spans="1:39" ht="11.25" customHeight="1" x14ac:dyDescent="0.25">
      <c r="A52" s="2487"/>
      <c r="B52" s="2487"/>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7"/>
      <c r="AC52" s="2487"/>
      <c r="AD52" s="2487"/>
      <c r="AE52" s="2487"/>
      <c r="AF52" s="2487"/>
      <c r="AG52" s="2487"/>
      <c r="AH52" s="2487"/>
      <c r="AI52" s="2487"/>
      <c r="AJ52" s="2487"/>
      <c r="AK52" s="2487"/>
      <c r="AL52" s="2487"/>
      <c r="AM52" s="2487"/>
    </row>
    <row r="53" spans="1:39" ht="11.25" customHeight="1" x14ac:dyDescent="0.25">
      <c r="A53" s="2487"/>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7"/>
      <c r="AC53" s="2487"/>
      <c r="AD53" s="2487"/>
      <c r="AE53" s="2487"/>
      <c r="AF53" s="2487"/>
      <c r="AG53" s="2487"/>
      <c r="AH53" s="2487"/>
      <c r="AI53" s="2487"/>
      <c r="AJ53" s="2487"/>
      <c r="AK53" s="2487"/>
      <c r="AL53" s="2487"/>
      <c r="AM53" s="2487"/>
    </row>
    <row r="54" spans="1:39" ht="11.25" customHeight="1" x14ac:dyDescent="0.25">
      <c r="A54" s="2487"/>
      <c r="B54" s="2487"/>
      <c r="C54" s="2487"/>
      <c r="D54" s="2487"/>
      <c r="E54" s="2487"/>
      <c r="F54" s="2487"/>
      <c r="G54" s="2487"/>
      <c r="H54" s="2487"/>
      <c r="I54" s="2487"/>
      <c r="J54" s="2487"/>
      <c r="K54" s="2487"/>
      <c r="L54" s="2487"/>
      <c r="M54" s="2487"/>
      <c r="N54" s="2487"/>
      <c r="O54" s="2487"/>
      <c r="P54" s="2487"/>
      <c r="Q54" s="2487"/>
      <c r="R54" s="2487"/>
      <c r="S54" s="2487"/>
      <c r="T54" s="2487"/>
      <c r="U54" s="2487"/>
      <c r="V54" s="2487"/>
      <c r="W54" s="2487"/>
      <c r="X54" s="2487"/>
      <c r="Y54" s="2487"/>
      <c r="Z54" s="2487"/>
      <c r="AA54" s="2487"/>
      <c r="AB54" s="2487"/>
      <c r="AC54" s="2487"/>
      <c r="AD54" s="2487"/>
      <c r="AE54" s="2487"/>
      <c r="AF54" s="2487"/>
      <c r="AG54" s="2487"/>
      <c r="AH54" s="2487"/>
      <c r="AI54" s="2487"/>
      <c r="AJ54" s="2487"/>
      <c r="AK54" s="2487"/>
      <c r="AL54" s="2487"/>
      <c r="AM54" s="2487"/>
    </row>
    <row r="55" spans="1:39" ht="11.25" customHeight="1" x14ac:dyDescent="0.25">
      <c r="A55" s="2487"/>
      <c r="B55" s="2487"/>
      <c r="C55" s="2487"/>
      <c r="D55" s="2487"/>
      <c r="E55" s="2487"/>
      <c r="F55" s="2487"/>
      <c r="G55" s="2487"/>
      <c r="H55" s="2487"/>
      <c r="I55" s="2487"/>
      <c r="J55" s="2487"/>
      <c r="K55" s="2487"/>
      <c r="L55" s="2487"/>
      <c r="M55" s="2487"/>
      <c r="N55" s="2487"/>
      <c r="O55" s="2487"/>
      <c r="P55" s="2487"/>
      <c r="Q55" s="2487"/>
      <c r="R55" s="2487"/>
      <c r="S55" s="2487"/>
      <c r="T55" s="2487"/>
      <c r="U55" s="2487"/>
      <c r="V55" s="2487"/>
      <c r="W55" s="2487"/>
      <c r="X55" s="2487"/>
      <c r="Y55" s="2487"/>
      <c r="Z55" s="2487"/>
      <c r="AA55" s="2487"/>
      <c r="AB55" s="2487"/>
      <c r="AC55" s="2487"/>
      <c r="AD55" s="2487"/>
      <c r="AE55" s="2487"/>
      <c r="AF55" s="2487"/>
      <c r="AG55" s="2487"/>
      <c r="AH55" s="2487"/>
      <c r="AI55" s="2487"/>
      <c r="AJ55" s="2487"/>
      <c r="AK55" s="2487"/>
      <c r="AL55" s="2487"/>
      <c r="AM55" s="2487"/>
    </row>
    <row r="56" spans="1:39" ht="11.25" customHeight="1" x14ac:dyDescent="0.25">
      <c r="A56" s="2487"/>
      <c r="B56" s="2487"/>
      <c r="C56" s="2487"/>
      <c r="D56" s="2487"/>
      <c r="E56" s="2487"/>
      <c r="F56" s="2487"/>
      <c r="G56" s="2487"/>
      <c r="H56" s="2487"/>
      <c r="I56" s="2487"/>
      <c r="J56" s="2487"/>
      <c r="K56" s="2487"/>
      <c r="L56" s="2487"/>
      <c r="M56" s="2487"/>
      <c r="N56" s="2487"/>
      <c r="O56" s="2487"/>
      <c r="P56" s="2487"/>
      <c r="Q56" s="2487"/>
      <c r="R56" s="2487"/>
      <c r="S56" s="2487"/>
      <c r="T56" s="2487"/>
      <c r="U56" s="2487"/>
      <c r="V56" s="2487"/>
      <c r="W56" s="2487"/>
      <c r="X56" s="2487"/>
      <c r="Y56" s="2487"/>
      <c r="Z56" s="2487"/>
      <c r="AA56" s="2487"/>
      <c r="AB56" s="2487"/>
      <c r="AC56" s="2487"/>
      <c r="AD56" s="2487"/>
      <c r="AE56" s="2487"/>
      <c r="AF56" s="2487"/>
      <c r="AG56" s="2487"/>
      <c r="AH56" s="2487"/>
      <c r="AI56" s="2487"/>
      <c r="AJ56" s="2487"/>
      <c r="AK56" s="2487"/>
      <c r="AL56" s="2487"/>
      <c r="AM56" s="2487"/>
    </row>
    <row r="57" spans="1:39" ht="11.25" customHeight="1" x14ac:dyDescent="0.25">
      <c r="A57" s="2487"/>
      <c r="B57" s="2487"/>
      <c r="C57" s="2487"/>
      <c r="D57" s="2487"/>
      <c r="E57" s="2487"/>
      <c r="F57" s="2487"/>
      <c r="G57" s="2487"/>
      <c r="H57" s="2487"/>
      <c r="I57" s="2487"/>
      <c r="J57" s="2487"/>
      <c r="K57" s="2487"/>
      <c r="L57" s="2487"/>
      <c r="M57" s="2487"/>
      <c r="N57" s="2487"/>
      <c r="O57" s="2487"/>
      <c r="P57" s="2487"/>
      <c r="Q57" s="2487"/>
      <c r="R57" s="2487"/>
      <c r="S57" s="2487"/>
      <c r="T57" s="2487"/>
      <c r="U57" s="2487"/>
      <c r="V57" s="2487"/>
      <c r="W57" s="2487"/>
      <c r="X57" s="2487"/>
      <c r="Y57" s="2487"/>
      <c r="Z57" s="2487"/>
      <c r="AA57" s="2487"/>
      <c r="AB57" s="2487"/>
      <c r="AC57" s="2487"/>
      <c r="AD57" s="2487"/>
      <c r="AE57" s="2487"/>
      <c r="AF57" s="2487"/>
      <c r="AG57" s="2487"/>
      <c r="AH57" s="2487"/>
      <c r="AI57" s="2487"/>
      <c r="AJ57" s="2487"/>
      <c r="AK57" s="2487"/>
      <c r="AL57" s="2487"/>
      <c r="AM57" s="2487"/>
    </row>
    <row r="58" spans="1:39" ht="11.25" customHeight="1" x14ac:dyDescent="0.25">
      <c r="A58" s="2487"/>
      <c r="B58" s="2487"/>
      <c r="C58" s="2487"/>
      <c r="D58" s="2487"/>
      <c r="E58" s="2487"/>
      <c r="F58" s="2487"/>
      <c r="G58" s="2487"/>
      <c r="H58" s="2487"/>
      <c r="I58" s="2487"/>
      <c r="J58" s="2487"/>
      <c r="K58" s="2487"/>
      <c r="L58" s="2487"/>
      <c r="M58" s="2487"/>
      <c r="N58" s="2487"/>
      <c r="O58" s="2487"/>
      <c r="P58" s="2487"/>
      <c r="Q58" s="2487"/>
      <c r="R58" s="2487"/>
      <c r="S58" s="2487"/>
      <c r="T58" s="2487"/>
      <c r="U58" s="2487"/>
      <c r="V58" s="2487"/>
      <c r="W58" s="2487"/>
      <c r="X58" s="2487"/>
      <c r="Y58" s="2487"/>
      <c r="Z58" s="2487"/>
      <c r="AA58" s="2487"/>
      <c r="AB58" s="2487"/>
      <c r="AC58" s="2487"/>
      <c r="AD58" s="2487"/>
      <c r="AE58" s="2487"/>
      <c r="AF58" s="2487"/>
      <c r="AG58" s="2487"/>
      <c r="AH58" s="2487"/>
      <c r="AI58" s="2487"/>
      <c r="AJ58" s="2487"/>
      <c r="AK58" s="2487"/>
      <c r="AL58" s="2487"/>
      <c r="AM58" s="2487"/>
    </row>
    <row r="59" spans="1:39" ht="11.25" customHeight="1" x14ac:dyDescent="0.25">
      <c r="A59" s="2487"/>
      <c r="B59" s="2487"/>
      <c r="C59" s="2487"/>
      <c r="D59" s="2487"/>
      <c r="E59" s="2487"/>
      <c r="F59" s="2487"/>
      <c r="G59" s="2487"/>
      <c r="H59" s="2487"/>
      <c r="I59" s="2487"/>
      <c r="J59" s="2487"/>
      <c r="K59" s="2487"/>
      <c r="L59" s="2487"/>
      <c r="M59" s="2487"/>
      <c r="N59" s="2487"/>
      <c r="O59" s="2487"/>
      <c r="P59" s="2487"/>
      <c r="Q59" s="2487"/>
      <c r="R59" s="2487"/>
      <c r="S59" s="2487"/>
      <c r="T59" s="2487"/>
      <c r="U59" s="2487"/>
      <c r="V59" s="2487"/>
      <c r="W59" s="2487"/>
      <c r="X59" s="2487"/>
      <c r="Y59" s="2487"/>
      <c r="Z59" s="2487"/>
      <c r="AA59" s="2487"/>
      <c r="AB59" s="2487"/>
      <c r="AC59" s="2487"/>
      <c r="AD59" s="2487"/>
      <c r="AE59" s="2487"/>
      <c r="AF59" s="2487"/>
      <c r="AG59" s="2487"/>
      <c r="AH59" s="2487"/>
      <c r="AI59" s="2487"/>
      <c r="AJ59" s="2487"/>
      <c r="AK59" s="2487"/>
      <c r="AL59" s="2487"/>
      <c r="AM59" s="2487"/>
    </row>
    <row r="60" spans="1:39" ht="11.25" customHeight="1" x14ac:dyDescent="0.25">
      <c r="A60" s="2487"/>
      <c r="B60" s="2487"/>
      <c r="C60" s="2487"/>
      <c r="D60" s="2487"/>
      <c r="E60" s="2487"/>
      <c r="F60" s="2487"/>
      <c r="G60" s="2487"/>
      <c r="H60" s="2487"/>
      <c r="I60" s="2487"/>
      <c r="J60" s="2487"/>
      <c r="K60" s="2487"/>
      <c r="L60" s="2487"/>
      <c r="M60" s="2487"/>
      <c r="N60" s="2487"/>
      <c r="O60" s="2487"/>
      <c r="P60" s="2487"/>
      <c r="Q60" s="2487"/>
      <c r="R60" s="2487"/>
      <c r="S60" s="2487"/>
      <c r="T60" s="2487"/>
      <c r="U60" s="2487"/>
      <c r="V60" s="2487"/>
      <c r="W60" s="2487"/>
      <c r="X60" s="2487"/>
      <c r="Y60" s="2487"/>
      <c r="Z60" s="2487"/>
      <c r="AA60" s="2487"/>
      <c r="AB60" s="2487"/>
      <c r="AC60" s="2487"/>
      <c r="AD60" s="2487"/>
      <c r="AE60" s="2487"/>
      <c r="AF60" s="2487"/>
      <c r="AG60" s="2487"/>
      <c r="AH60" s="2487"/>
      <c r="AI60" s="2487"/>
      <c r="AJ60" s="2487"/>
      <c r="AK60" s="2487"/>
      <c r="AL60" s="2487"/>
      <c r="AM60" s="2487"/>
    </row>
    <row r="61" spans="1:39" ht="11.25" customHeight="1" x14ac:dyDescent="0.25">
      <c r="A61" s="2487"/>
      <c r="B61" s="2487"/>
      <c r="C61" s="2487"/>
      <c r="D61" s="2487"/>
      <c r="E61" s="2487"/>
      <c r="F61" s="2487"/>
      <c r="G61" s="2487"/>
      <c r="H61" s="2487"/>
      <c r="I61" s="2487"/>
      <c r="J61" s="2487"/>
      <c r="K61" s="2487"/>
      <c r="L61" s="2487"/>
      <c r="M61" s="2487"/>
      <c r="N61" s="2487"/>
      <c r="O61" s="2487"/>
      <c r="P61" s="2487"/>
      <c r="Q61" s="2487"/>
      <c r="R61" s="2487"/>
      <c r="S61" s="2487"/>
      <c r="T61" s="2487"/>
      <c r="U61" s="2487"/>
      <c r="V61" s="2487"/>
      <c r="W61" s="2487"/>
      <c r="X61" s="2487"/>
      <c r="Y61" s="2487"/>
      <c r="Z61" s="2487"/>
      <c r="AA61" s="2487"/>
      <c r="AB61" s="2487"/>
      <c r="AC61" s="2487"/>
      <c r="AD61" s="2487"/>
      <c r="AE61" s="2487"/>
      <c r="AF61" s="2487"/>
      <c r="AG61" s="2487"/>
      <c r="AH61" s="2487"/>
      <c r="AI61" s="2487"/>
      <c r="AJ61" s="2487"/>
      <c r="AK61" s="2487"/>
      <c r="AL61" s="2487"/>
      <c r="AM61" s="2487"/>
    </row>
    <row r="62" spans="1:39" ht="11.25" customHeight="1" x14ac:dyDescent="0.25">
      <c r="A62" s="2487"/>
      <c r="B62" s="2487"/>
      <c r="C62" s="2487"/>
      <c r="D62" s="2487"/>
      <c r="E62" s="2487"/>
      <c r="F62" s="2487"/>
      <c r="G62" s="2487"/>
      <c r="H62" s="2487"/>
      <c r="I62" s="2487"/>
      <c r="J62" s="2487"/>
      <c r="K62" s="2487"/>
      <c r="L62" s="2487"/>
      <c r="M62" s="2487"/>
      <c r="N62" s="2487"/>
      <c r="O62" s="2487"/>
      <c r="P62" s="2487"/>
      <c r="Q62" s="2487"/>
      <c r="R62" s="2487"/>
      <c r="S62" s="2487"/>
      <c r="T62" s="2487"/>
      <c r="U62" s="2487"/>
      <c r="V62" s="2487"/>
      <c r="W62" s="2487"/>
      <c r="X62" s="2487"/>
      <c r="Y62" s="2487"/>
      <c r="Z62" s="2487"/>
      <c r="AA62" s="2487"/>
      <c r="AB62" s="2487"/>
      <c r="AC62" s="2487"/>
      <c r="AD62" s="2487"/>
      <c r="AE62" s="2487"/>
      <c r="AF62" s="2487"/>
      <c r="AG62" s="2487"/>
      <c r="AH62" s="2487"/>
      <c r="AI62" s="2487"/>
      <c r="AJ62" s="2487"/>
      <c r="AK62" s="2487"/>
      <c r="AL62" s="2487"/>
      <c r="AM62" s="2487"/>
    </row>
    <row r="63" spans="1:39" ht="11.25" customHeight="1" x14ac:dyDescent="0.25">
      <c r="A63" s="2487"/>
      <c r="B63" s="2487"/>
      <c r="C63" s="2487"/>
      <c r="D63" s="2487"/>
      <c r="E63" s="2487"/>
      <c r="F63" s="2487"/>
      <c r="G63" s="2487"/>
      <c r="H63" s="2487"/>
      <c r="I63" s="2487"/>
      <c r="J63" s="2487"/>
      <c r="K63" s="2487"/>
      <c r="L63" s="2487"/>
      <c r="M63" s="2487"/>
      <c r="N63" s="2487"/>
      <c r="O63" s="2487"/>
      <c r="P63" s="2487"/>
      <c r="Q63" s="2487"/>
      <c r="R63" s="2487"/>
      <c r="S63" s="2487"/>
      <c r="T63" s="2487"/>
      <c r="U63" s="2487"/>
      <c r="V63" s="2487"/>
      <c r="W63" s="2487"/>
      <c r="X63" s="2487"/>
      <c r="Y63" s="2487"/>
      <c r="Z63" s="2487"/>
      <c r="AA63" s="2487"/>
      <c r="AB63" s="2487"/>
      <c r="AC63" s="2487"/>
      <c r="AD63" s="2487"/>
      <c r="AE63" s="2487"/>
      <c r="AF63" s="2487"/>
      <c r="AG63" s="2487"/>
      <c r="AH63" s="2487"/>
      <c r="AI63" s="2487"/>
      <c r="AJ63" s="2487"/>
      <c r="AK63" s="2487"/>
      <c r="AL63" s="2487"/>
      <c r="AM63" s="2487"/>
    </row>
    <row r="64" spans="1:39" ht="11.25" customHeight="1" x14ac:dyDescent="0.25">
      <c r="A64" s="2487"/>
      <c r="B64" s="2487"/>
      <c r="C64" s="2487"/>
      <c r="D64" s="2487"/>
      <c r="E64" s="2487"/>
      <c r="F64" s="2487"/>
      <c r="G64" s="2487"/>
      <c r="H64" s="2487"/>
      <c r="I64" s="2487"/>
      <c r="J64" s="2487"/>
      <c r="K64" s="2487"/>
      <c r="L64" s="2487"/>
      <c r="M64" s="2487"/>
      <c r="N64" s="2487"/>
      <c r="O64" s="2487"/>
      <c r="P64" s="2487"/>
      <c r="Q64" s="2487"/>
      <c r="R64" s="2487"/>
      <c r="S64" s="2487"/>
      <c r="T64" s="2487"/>
      <c r="U64" s="2487"/>
      <c r="V64" s="2487"/>
      <c r="W64" s="2487"/>
      <c r="X64" s="2487"/>
      <c r="Y64" s="2487"/>
      <c r="Z64" s="2487"/>
      <c r="AA64" s="2487"/>
      <c r="AB64" s="2487"/>
      <c r="AC64" s="2487"/>
      <c r="AD64" s="2487"/>
      <c r="AE64" s="2487"/>
      <c r="AF64" s="2487"/>
      <c r="AG64" s="2487"/>
      <c r="AH64" s="2487"/>
      <c r="AI64" s="2487"/>
      <c r="AJ64" s="2487"/>
      <c r="AK64" s="2487"/>
      <c r="AL64" s="2487"/>
      <c r="AM64" s="2487"/>
    </row>
    <row r="65" spans="1:39" ht="11.25" customHeight="1" x14ac:dyDescent="0.25">
      <c r="A65" s="2487"/>
      <c r="B65" s="2487"/>
      <c r="C65" s="2487"/>
      <c r="D65" s="2487"/>
      <c r="E65" s="2487"/>
      <c r="F65" s="2487"/>
      <c r="G65" s="2487"/>
      <c r="H65" s="2487"/>
      <c r="I65" s="2487"/>
      <c r="J65" s="2487"/>
      <c r="K65" s="2487"/>
      <c r="L65" s="2487"/>
      <c r="M65" s="2487"/>
      <c r="N65" s="2487"/>
      <c r="O65" s="2487"/>
      <c r="P65" s="2487"/>
      <c r="Q65" s="2487"/>
      <c r="R65" s="2487"/>
      <c r="S65" s="2487"/>
      <c r="T65" s="2487"/>
      <c r="U65" s="2487"/>
      <c r="V65" s="2487"/>
      <c r="W65" s="2487"/>
      <c r="X65" s="2487"/>
      <c r="Y65" s="2487"/>
      <c r="Z65" s="2487"/>
      <c r="AA65" s="2487"/>
      <c r="AB65" s="2487"/>
      <c r="AC65" s="2487"/>
      <c r="AD65" s="2487"/>
      <c r="AE65" s="2487"/>
      <c r="AF65" s="2487"/>
      <c r="AG65" s="2487"/>
      <c r="AH65" s="2487"/>
      <c r="AI65" s="2487"/>
      <c r="AJ65" s="2487"/>
      <c r="AK65" s="2487"/>
      <c r="AL65" s="2487"/>
      <c r="AM65" s="2487"/>
    </row>
    <row r="66" spans="1:39" ht="11.25" customHeight="1" x14ac:dyDescent="0.25">
      <c r="A66" s="2487"/>
      <c r="B66" s="2487"/>
      <c r="C66" s="2487"/>
      <c r="D66" s="2487"/>
      <c r="E66" s="2487"/>
      <c r="F66" s="2487"/>
      <c r="G66" s="2487"/>
      <c r="H66" s="2487"/>
      <c r="I66" s="2487"/>
      <c r="J66" s="2487"/>
      <c r="K66" s="2487"/>
      <c r="L66" s="2487"/>
      <c r="M66" s="2487"/>
      <c r="N66" s="2487"/>
      <c r="O66" s="2487"/>
      <c r="P66" s="2487"/>
      <c r="Q66" s="2487"/>
      <c r="R66" s="2487"/>
      <c r="S66" s="2487"/>
      <c r="T66" s="2487"/>
      <c r="U66" s="2487"/>
      <c r="V66" s="2487"/>
      <c r="W66" s="2487"/>
      <c r="X66" s="2487"/>
      <c r="Y66" s="2487"/>
      <c r="Z66" s="2487"/>
      <c r="AA66" s="2487"/>
      <c r="AB66" s="2487"/>
      <c r="AC66" s="2487"/>
      <c r="AD66" s="2487"/>
      <c r="AE66" s="2487"/>
      <c r="AF66" s="2487"/>
      <c r="AG66" s="2487"/>
      <c r="AH66" s="2487"/>
      <c r="AI66" s="2487"/>
      <c r="AJ66" s="2487"/>
      <c r="AK66" s="2487"/>
      <c r="AL66" s="2487"/>
      <c r="AM66" s="2487"/>
    </row>
    <row r="67" spans="1:39" ht="11.25" customHeight="1" x14ac:dyDescent="0.25">
      <c r="A67" s="2487"/>
      <c r="B67" s="2487"/>
      <c r="C67" s="2487"/>
      <c r="D67" s="2487"/>
      <c r="E67" s="2487"/>
      <c r="F67" s="2487"/>
      <c r="G67" s="2487"/>
      <c r="H67" s="2487"/>
      <c r="I67" s="2487"/>
      <c r="J67" s="2487"/>
      <c r="K67" s="2487"/>
      <c r="L67" s="2487"/>
      <c r="M67" s="2487"/>
      <c r="N67" s="2487"/>
      <c r="O67" s="2487"/>
      <c r="P67" s="2487"/>
      <c r="Q67" s="2487"/>
      <c r="R67" s="2487"/>
      <c r="S67" s="2487"/>
      <c r="T67" s="2487"/>
      <c r="U67" s="2487"/>
      <c r="V67" s="2487"/>
      <c r="W67" s="2487"/>
      <c r="X67" s="2487"/>
      <c r="Y67" s="2487"/>
      <c r="Z67" s="2487"/>
      <c r="AA67" s="2487"/>
      <c r="AB67" s="2487"/>
      <c r="AC67" s="2487"/>
      <c r="AD67" s="2487"/>
      <c r="AE67" s="2487"/>
      <c r="AF67" s="2487"/>
      <c r="AG67" s="2487"/>
      <c r="AH67" s="2487"/>
      <c r="AI67" s="2487"/>
      <c r="AJ67" s="2487"/>
      <c r="AK67" s="2487"/>
      <c r="AL67" s="2487"/>
      <c r="AM67" s="2487"/>
    </row>
    <row r="68" spans="1:39" ht="11.25" customHeight="1" x14ac:dyDescent="0.25">
      <c r="A68" s="2487"/>
      <c r="B68" s="2487"/>
      <c r="C68" s="2487"/>
      <c r="D68" s="2487"/>
      <c r="E68" s="2487"/>
      <c r="F68" s="2487"/>
      <c r="G68" s="2487"/>
      <c r="H68" s="2487"/>
      <c r="I68" s="2487"/>
      <c r="J68" s="2487"/>
      <c r="K68" s="2487"/>
      <c r="L68" s="2487"/>
      <c r="M68" s="2487"/>
      <c r="N68" s="2487"/>
      <c r="O68" s="2487"/>
      <c r="P68" s="2487"/>
      <c r="Q68" s="2487"/>
      <c r="R68" s="2487"/>
      <c r="S68" s="2487"/>
      <c r="T68" s="2487"/>
      <c r="U68" s="2487"/>
      <c r="V68" s="2487"/>
      <c r="W68" s="2487"/>
      <c r="X68" s="2487"/>
      <c r="Y68" s="2487"/>
      <c r="Z68" s="2487"/>
      <c r="AA68" s="2487"/>
      <c r="AB68" s="2487"/>
      <c r="AC68" s="2487"/>
      <c r="AD68" s="2487"/>
      <c r="AE68" s="2487"/>
      <c r="AF68" s="2487"/>
      <c r="AG68" s="2487"/>
      <c r="AH68" s="2487"/>
      <c r="AI68" s="2487"/>
      <c r="AJ68" s="2487"/>
      <c r="AK68" s="2487"/>
      <c r="AL68" s="2487"/>
      <c r="AM68" s="2487"/>
    </row>
    <row r="69" spans="1:39" ht="11.25" customHeight="1" x14ac:dyDescent="0.25">
      <c r="A69" s="2487"/>
      <c r="B69" s="2487"/>
      <c r="C69" s="2487"/>
      <c r="D69" s="2487"/>
      <c r="E69" s="2487"/>
      <c r="F69" s="2487"/>
      <c r="G69" s="2487"/>
      <c r="H69" s="2487"/>
      <c r="I69" s="2487"/>
      <c r="J69" s="2487"/>
      <c r="K69" s="2487"/>
      <c r="L69" s="2487"/>
      <c r="M69" s="2487"/>
      <c r="N69" s="2487"/>
      <c r="O69" s="2487"/>
      <c r="P69" s="2487"/>
      <c r="Q69" s="2487"/>
      <c r="R69" s="2487"/>
      <c r="S69" s="2487"/>
      <c r="T69" s="2487"/>
      <c r="U69" s="2487"/>
      <c r="V69" s="2487"/>
      <c r="W69" s="2487"/>
      <c r="X69" s="2487"/>
      <c r="Y69" s="2487"/>
      <c r="Z69" s="2487"/>
      <c r="AA69" s="2487"/>
      <c r="AB69" s="2487"/>
      <c r="AC69" s="2487"/>
      <c r="AD69" s="2487"/>
      <c r="AE69" s="2487"/>
      <c r="AF69" s="2487"/>
      <c r="AG69" s="2487"/>
      <c r="AH69" s="2487"/>
      <c r="AI69" s="2487"/>
      <c r="AJ69" s="2487"/>
      <c r="AK69" s="2487"/>
      <c r="AL69" s="2487"/>
      <c r="AM69" s="2487"/>
    </row>
    <row r="70" spans="1:39" ht="11.25" customHeight="1" x14ac:dyDescent="0.25">
      <c r="A70" s="2487"/>
      <c r="B70" s="2487"/>
      <c r="C70" s="2487"/>
      <c r="D70" s="2487"/>
      <c r="E70" s="2487"/>
      <c r="F70" s="2487"/>
      <c r="G70" s="2487"/>
      <c r="H70" s="2487"/>
      <c r="I70" s="2487"/>
      <c r="J70" s="2487"/>
      <c r="K70" s="2487"/>
      <c r="L70" s="2487"/>
      <c r="M70" s="2487"/>
      <c r="N70" s="2487"/>
      <c r="O70" s="2487"/>
      <c r="P70" s="2487"/>
      <c r="Q70" s="2487"/>
      <c r="R70" s="2487"/>
      <c r="S70" s="2487"/>
      <c r="T70" s="2487"/>
      <c r="U70" s="2487"/>
      <c r="V70" s="2487"/>
      <c r="W70" s="2487"/>
      <c r="X70" s="2487"/>
      <c r="Y70" s="2487"/>
      <c r="Z70" s="2487"/>
      <c r="AA70" s="2487"/>
      <c r="AB70" s="2487"/>
      <c r="AC70" s="2487"/>
      <c r="AD70" s="2487"/>
      <c r="AE70" s="2487"/>
      <c r="AF70" s="2487"/>
      <c r="AG70" s="2487"/>
      <c r="AH70" s="2487"/>
      <c r="AI70" s="2487"/>
      <c r="AJ70" s="2487"/>
      <c r="AK70" s="2487"/>
      <c r="AL70" s="2487"/>
      <c r="AM70" s="2487"/>
    </row>
    <row r="71" spans="1:39" ht="11.25" customHeight="1" x14ac:dyDescent="0.25">
      <c r="A71" s="2487"/>
      <c r="B71" s="2487"/>
      <c r="C71" s="2487"/>
      <c r="D71" s="2487"/>
      <c r="E71" s="2487"/>
      <c r="F71" s="2487"/>
      <c r="G71" s="2487"/>
      <c r="H71" s="2487"/>
      <c r="I71" s="2487"/>
      <c r="J71" s="2487"/>
      <c r="K71" s="2487"/>
      <c r="L71" s="2487"/>
      <c r="M71" s="2487"/>
      <c r="N71" s="2487"/>
      <c r="O71" s="2487"/>
      <c r="P71" s="2487"/>
      <c r="Q71" s="2487"/>
      <c r="R71" s="2487"/>
      <c r="S71" s="2487"/>
      <c r="T71" s="2487"/>
      <c r="U71" s="2487"/>
      <c r="V71" s="2487"/>
      <c r="W71" s="2487"/>
      <c r="X71" s="2487"/>
      <c r="Y71" s="2487"/>
      <c r="Z71" s="2487"/>
      <c r="AA71" s="2487"/>
      <c r="AB71" s="2487"/>
      <c r="AC71" s="2487"/>
      <c r="AD71" s="2487"/>
      <c r="AE71" s="2487"/>
      <c r="AF71" s="2487"/>
      <c r="AG71" s="2487"/>
      <c r="AH71" s="2487"/>
      <c r="AI71" s="2487"/>
      <c r="AJ71" s="2487"/>
      <c r="AK71" s="2487"/>
      <c r="AL71" s="2487"/>
      <c r="AM71" s="2487"/>
    </row>
    <row r="72" spans="1:39" ht="11.25" customHeight="1" x14ac:dyDescent="0.25">
      <c r="A72" s="2487"/>
      <c r="B72" s="2487"/>
      <c r="C72" s="2487"/>
      <c r="D72" s="2487"/>
      <c r="E72" s="2487"/>
      <c r="F72" s="2487"/>
      <c r="G72" s="2487"/>
      <c r="H72" s="2487"/>
      <c r="I72" s="2487"/>
      <c r="J72" s="2487"/>
      <c r="K72" s="2487"/>
      <c r="L72" s="2487"/>
      <c r="M72" s="2487"/>
      <c r="N72" s="2487"/>
      <c r="O72" s="2487"/>
      <c r="P72" s="2487"/>
      <c r="Q72" s="2487"/>
      <c r="R72" s="2487"/>
      <c r="S72" s="2487"/>
      <c r="T72" s="2487"/>
      <c r="U72" s="2487"/>
      <c r="V72" s="2487"/>
      <c r="W72" s="2487"/>
      <c r="X72" s="2487"/>
      <c r="Y72" s="2487"/>
      <c r="Z72" s="2487"/>
      <c r="AA72" s="2487"/>
      <c r="AB72" s="2487"/>
      <c r="AC72" s="2487"/>
      <c r="AD72" s="2487"/>
      <c r="AE72" s="2487"/>
      <c r="AF72" s="2487"/>
      <c r="AG72" s="2487"/>
      <c r="AH72" s="2487"/>
      <c r="AI72" s="2487"/>
      <c r="AJ72" s="2487"/>
      <c r="AK72" s="2487"/>
      <c r="AL72" s="2487"/>
      <c r="AM72" s="2487"/>
    </row>
    <row r="73" spans="1:39" ht="11.25" customHeight="1" x14ac:dyDescent="0.25">
      <c r="A73" s="2487"/>
      <c r="B73" s="2487"/>
      <c r="C73" s="2487"/>
      <c r="D73" s="2487"/>
      <c r="E73" s="2487"/>
      <c r="F73" s="2487"/>
      <c r="G73" s="2487"/>
      <c r="H73" s="2487"/>
      <c r="I73" s="2487"/>
      <c r="J73" s="2487"/>
      <c r="K73" s="2487"/>
      <c r="L73" s="2487"/>
      <c r="M73" s="2487"/>
      <c r="N73" s="2487"/>
      <c r="O73" s="2487"/>
      <c r="P73" s="2487"/>
      <c r="Q73" s="2487"/>
      <c r="R73" s="2487"/>
      <c r="S73" s="2487"/>
      <c r="T73" s="2487"/>
      <c r="U73" s="2487"/>
      <c r="V73" s="2487"/>
      <c r="W73" s="2487"/>
      <c r="X73" s="2487"/>
      <c r="Y73" s="2487"/>
      <c r="Z73" s="2487"/>
      <c r="AA73" s="2487"/>
      <c r="AB73" s="2487"/>
      <c r="AC73" s="2487"/>
      <c r="AD73" s="2487"/>
      <c r="AE73" s="2487"/>
      <c r="AF73" s="2487"/>
      <c r="AG73" s="2487"/>
      <c r="AH73" s="2487"/>
      <c r="AI73" s="2487"/>
      <c r="AJ73" s="2487"/>
      <c r="AK73" s="2487"/>
      <c r="AL73" s="2487"/>
      <c r="AM73" s="2487"/>
    </row>
    <row r="74" spans="1:39" ht="11.25" customHeight="1" x14ac:dyDescent="0.25">
      <c r="A74" s="2487"/>
      <c r="B74" s="2487"/>
      <c r="C74" s="2487"/>
      <c r="D74" s="2487"/>
      <c r="E74" s="2487"/>
      <c r="F74" s="2487"/>
      <c r="G74" s="2487"/>
      <c r="H74" s="2487"/>
      <c r="I74" s="2487"/>
      <c r="J74" s="2487"/>
      <c r="K74" s="2487"/>
      <c r="L74" s="2487"/>
      <c r="M74" s="2487"/>
      <c r="N74" s="2487"/>
      <c r="O74" s="2487"/>
      <c r="P74" s="2487"/>
      <c r="Q74" s="2487"/>
      <c r="R74" s="2487"/>
      <c r="S74" s="2487"/>
      <c r="T74" s="2487"/>
      <c r="U74" s="2487"/>
      <c r="V74" s="2487"/>
      <c r="W74" s="2487"/>
      <c r="X74" s="2487"/>
      <c r="Y74" s="2487"/>
      <c r="Z74" s="2487"/>
      <c r="AA74" s="2487"/>
      <c r="AB74" s="2487"/>
      <c r="AC74" s="2487"/>
      <c r="AD74" s="2487"/>
      <c r="AE74" s="2487"/>
      <c r="AF74" s="2487"/>
      <c r="AG74" s="2487"/>
      <c r="AH74" s="2487"/>
      <c r="AI74" s="2487"/>
      <c r="AJ74" s="2487"/>
      <c r="AK74" s="2487"/>
      <c r="AL74" s="2487"/>
      <c r="AM74" s="2487"/>
    </row>
    <row r="75" spans="1:39" ht="11.25" customHeight="1" x14ac:dyDescent="0.25">
      <c r="A75" s="2487"/>
      <c r="B75" s="2487"/>
      <c r="C75" s="2487"/>
      <c r="D75" s="2487"/>
      <c r="E75" s="2487"/>
      <c r="F75" s="2487"/>
      <c r="G75" s="2487"/>
      <c r="H75" s="2487"/>
      <c r="I75" s="2487"/>
      <c r="J75" s="2487"/>
      <c r="K75" s="2487"/>
      <c r="L75" s="2487"/>
      <c r="M75" s="2487"/>
      <c r="N75" s="2487"/>
      <c r="O75" s="2487"/>
      <c r="P75" s="2487"/>
      <c r="Q75" s="2487"/>
      <c r="R75" s="2487"/>
      <c r="S75" s="2487"/>
      <c r="T75" s="2487"/>
      <c r="U75" s="2487"/>
      <c r="V75" s="2487"/>
      <c r="W75" s="2487"/>
      <c r="X75" s="2487"/>
      <c r="Y75" s="2487"/>
      <c r="Z75" s="2487"/>
      <c r="AA75" s="2487"/>
      <c r="AB75" s="2487"/>
      <c r="AC75" s="2487"/>
      <c r="AD75" s="2487"/>
      <c r="AE75" s="2487"/>
      <c r="AF75" s="2487"/>
      <c r="AG75" s="2487"/>
      <c r="AH75" s="2487"/>
      <c r="AI75" s="2487"/>
      <c r="AJ75" s="2487"/>
      <c r="AK75" s="2487"/>
      <c r="AL75" s="2487"/>
      <c r="AM75" s="2487"/>
    </row>
    <row r="76" spans="1:39" ht="11.25" customHeight="1" x14ac:dyDescent="0.25">
      <c r="A76" s="2487"/>
      <c r="B76" s="2487"/>
      <c r="C76" s="2487"/>
      <c r="D76" s="2487"/>
      <c r="E76" s="2487"/>
      <c r="F76" s="2487"/>
      <c r="G76" s="2487"/>
      <c r="H76" s="2487"/>
      <c r="I76" s="2487"/>
      <c r="J76" s="2487"/>
      <c r="K76" s="2487"/>
      <c r="L76" s="2487"/>
      <c r="M76" s="2487"/>
      <c r="N76" s="2487"/>
      <c r="O76" s="2487"/>
      <c r="P76" s="2487"/>
      <c r="Q76" s="2487"/>
      <c r="R76" s="2487"/>
      <c r="S76" s="2487"/>
      <c r="T76" s="2487"/>
      <c r="U76" s="2487"/>
      <c r="V76" s="2487"/>
      <c r="W76" s="2487"/>
      <c r="X76" s="2487"/>
      <c r="Y76" s="2487"/>
      <c r="Z76" s="2487"/>
      <c r="AA76" s="2487"/>
      <c r="AB76" s="2487"/>
      <c r="AC76" s="2487"/>
      <c r="AD76" s="2487"/>
      <c r="AE76" s="2487"/>
      <c r="AF76" s="2487"/>
      <c r="AG76" s="2487"/>
      <c r="AH76" s="2487"/>
      <c r="AI76" s="2487"/>
      <c r="AJ76" s="2487"/>
      <c r="AK76" s="2487"/>
      <c r="AL76" s="2487"/>
      <c r="AM76" s="2487"/>
    </row>
    <row r="77" spans="1:39" ht="11.25" customHeight="1" x14ac:dyDescent="0.25">
      <c r="A77" s="2487"/>
      <c r="B77" s="2487"/>
      <c r="C77" s="2487"/>
      <c r="D77" s="2487"/>
      <c r="E77" s="2487"/>
      <c r="F77" s="2487"/>
      <c r="G77" s="2487"/>
      <c r="H77" s="2487"/>
      <c r="I77" s="2487"/>
      <c r="J77" s="2487"/>
      <c r="K77" s="2487"/>
      <c r="L77" s="2487"/>
      <c r="M77" s="2487"/>
      <c r="N77" s="2487"/>
      <c r="O77" s="2487"/>
      <c r="P77" s="2487"/>
      <c r="Q77" s="2487"/>
      <c r="R77" s="2487"/>
      <c r="S77" s="2487"/>
      <c r="T77" s="2487"/>
      <c r="U77" s="2487"/>
      <c r="V77" s="2487"/>
      <c r="W77" s="2487"/>
      <c r="X77" s="2487"/>
      <c r="Y77" s="2487"/>
      <c r="Z77" s="2487"/>
      <c r="AA77" s="2487"/>
      <c r="AB77" s="2487"/>
      <c r="AC77" s="2487"/>
      <c r="AD77" s="2487"/>
      <c r="AE77" s="2487"/>
      <c r="AF77" s="2487"/>
      <c r="AG77" s="2487"/>
      <c r="AH77" s="2487"/>
      <c r="AI77" s="2487"/>
      <c r="AJ77" s="2487"/>
      <c r="AK77" s="2487"/>
      <c r="AL77" s="2487"/>
      <c r="AM77" s="2487"/>
    </row>
    <row r="78" spans="1:39" ht="11.25" customHeight="1" x14ac:dyDescent="0.25">
      <c r="A78" s="2487"/>
      <c r="B78" s="2487"/>
      <c r="C78" s="2487"/>
      <c r="D78" s="2487"/>
      <c r="E78" s="2487"/>
      <c r="F78" s="2487"/>
      <c r="G78" s="2487"/>
      <c r="H78" s="2487"/>
      <c r="I78" s="2487"/>
      <c r="J78" s="2487"/>
      <c r="K78" s="2487"/>
      <c r="L78" s="2487"/>
      <c r="M78" s="2487"/>
      <c r="N78" s="2487"/>
      <c r="O78" s="2487"/>
      <c r="P78" s="2487"/>
      <c r="Q78" s="2487"/>
      <c r="R78" s="2487"/>
      <c r="S78" s="2487"/>
      <c r="T78" s="2487"/>
      <c r="U78" s="2487"/>
      <c r="V78" s="2487"/>
      <c r="W78" s="2487"/>
      <c r="X78" s="2487"/>
      <c r="Y78" s="2487"/>
      <c r="Z78" s="2487"/>
      <c r="AA78" s="2487"/>
      <c r="AB78" s="2487"/>
      <c r="AC78" s="2487"/>
      <c r="AD78" s="2487"/>
      <c r="AE78" s="2487"/>
      <c r="AF78" s="2487"/>
      <c r="AG78" s="2487"/>
      <c r="AH78" s="2487"/>
      <c r="AI78" s="2487"/>
      <c r="AJ78" s="2487"/>
      <c r="AK78" s="2487"/>
      <c r="AL78" s="2487"/>
      <c r="AM78" s="2487"/>
    </row>
    <row r="79" spans="1:39" ht="11.25" customHeight="1" x14ac:dyDescent="0.25">
      <c r="A79" s="2487"/>
      <c r="B79" s="2487"/>
      <c r="C79" s="2487"/>
      <c r="D79" s="2487"/>
      <c r="E79" s="2487"/>
      <c r="F79" s="2487"/>
      <c r="G79" s="2487"/>
      <c r="H79" s="2487"/>
      <c r="I79" s="2487"/>
      <c r="J79" s="2487"/>
      <c r="K79" s="2487"/>
      <c r="L79" s="2487"/>
      <c r="M79" s="2487"/>
      <c r="N79" s="2487"/>
      <c r="O79" s="2487"/>
      <c r="P79" s="2487"/>
      <c r="Q79" s="2487"/>
      <c r="R79" s="2487"/>
      <c r="S79" s="2487"/>
      <c r="T79" s="2487"/>
      <c r="U79" s="2487"/>
      <c r="V79" s="2487"/>
      <c r="W79" s="2487"/>
      <c r="X79" s="2487"/>
      <c r="Y79" s="2487"/>
      <c r="Z79" s="2487"/>
      <c r="AA79" s="2487"/>
      <c r="AB79" s="2487"/>
      <c r="AC79" s="2487"/>
      <c r="AD79" s="2487"/>
      <c r="AE79" s="2487"/>
      <c r="AF79" s="2487"/>
      <c r="AG79" s="2487"/>
      <c r="AH79" s="2487"/>
      <c r="AI79" s="2487"/>
      <c r="AJ79" s="2487"/>
      <c r="AK79" s="2487"/>
      <c r="AL79" s="2487"/>
      <c r="AM79" s="2487"/>
    </row>
    <row r="80" spans="1:39" ht="11.25" customHeight="1" x14ac:dyDescent="0.25">
      <c r="A80" s="2487"/>
      <c r="B80" s="2487"/>
      <c r="C80" s="2487"/>
      <c r="D80" s="2487"/>
      <c r="E80" s="2487"/>
      <c r="F80" s="2487"/>
      <c r="G80" s="2487"/>
      <c r="H80" s="2487"/>
      <c r="I80" s="2487"/>
      <c r="J80" s="2487"/>
      <c r="K80" s="2487"/>
      <c r="L80" s="2487"/>
      <c r="M80" s="2487"/>
      <c r="N80" s="2487"/>
      <c r="O80" s="2487"/>
      <c r="P80" s="2487"/>
      <c r="Q80" s="2487"/>
      <c r="R80" s="2487"/>
      <c r="S80" s="2487"/>
      <c r="T80" s="2487"/>
      <c r="U80" s="2487"/>
      <c r="V80" s="2487"/>
      <c r="W80" s="2487"/>
      <c r="X80" s="2487"/>
      <c r="Y80" s="2487"/>
      <c r="Z80" s="2487"/>
      <c r="AA80" s="2487"/>
      <c r="AB80" s="2487"/>
      <c r="AC80" s="2487"/>
      <c r="AD80" s="2487"/>
      <c r="AE80" s="2487"/>
      <c r="AF80" s="2487"/>
      <c r="AG80" s="2487"/>
      <c r="AH80" s="2487"/>
      <c r="AI80" s="2487"/>
      <c r="AJ80" s="2487"/>
      <c r="AK80" s="2487"/>
      <c r="AL80" s="2487"/>
      <c r="AM80" s="2487"/>
    </row>
    <row r="81" spans="1:39" ht="11.25" customHeight="1" x14ac:dyDescent="0.25">
      <c r="A81" s="2487"/>
      <c r="B81" s="2487"/>
      <c r="C81" s="2487"/>
      <c r="D81" s="2487"/>
      <c r="E81" s="2487"/>
      <c r="F81" s="2487"/>
      <c r="G81" s="2487"/>
      <c r="H81" s="2487"/>
      <c r="I81" s="2487"/>
      <c r="J81" s="2487"/>
      <c r="K81" s="2487"/>
      <c r="L81" s="2487"/>
      <c r="M81" s="2487"/>
      <c r="N81" s="2487"/>
      <c r="O81" s="2487"/>
      <c r="P81" s="2487"/>
      <c r="Q81" s="2487"/>
      <c r="R81" s="2487"/>
      <c r="S81" s="2487"/>
      <c r="T81" s="2487"/>
      <c r="U81" s="2487"/>
      <c r="V81" s="2487"/>
      <c r="W81" s="2487"/>
      <c r="X81" s="2487"/>
      <c r="Y81" s="2487"/>
      <c r="Z81" s="2487"/>
      <c r="AA81" s="2487"/>
      <c r="AB81" s="2487"/>
      <c r="AC81" s="2487"/>
      <c r="AD81" s="2487"/>
      <c r="AE81" s="2487"/>
      <c r="AF81" s="2487"/>
      <c r="AG81" s="2487"/>
      <c r="AH81" s="2487"/>
      <c r="AI81" s="2487"/>
      <c r="AJ81" s="2487"/>
      <c r="AK81" s="2487"/>
      <c r="AL81" s="2487"/>
      <c r="AM81" s="2487"/>
    </row>
    <row r="82" spans="1:39" ht="11.25" customHeight="1" x14ac:dyDescent="0.25">
      <c r="A82" s="2487"/>
      <c r="B82" s="2487"/>
      <c r="C82" s="2487"/>
      <c r="D82" s="2487"/>
      <c r="E82" s="2487"/>
      <c r="F82" s="2487"/>
      <c r="G82" s="2487"/>
      <c r="H82" s="2487"/>
      <c r="I82" s="2487"/>
      <c r="J82" s="2487"/>
      <c r="K82" s="2487"/>
      <c r="L82" s="2487"/>
      <c r="M82" s="2487"/>
      <c r="N82" s="2487"/>
      <c r="O82" s="2487"/>
      <c r="P82" s="2487"/>
      <c r="Q82" s="2487"/>
      <c r="R82" s="2487"/>
      <c r="S82" s="2487"/>
      <c r="T82" s="2487"/>
      <c r="U82" s="2487"/>
      <c r="V82" s="2487"/>
      <c r="W82" s="2487"/>
      <c r="X82" s="2487"/>
      <c r="Y82" s="2487"/>
      <c r="Z82" s="2487"/>
      <c r="AA82" s="2487"/>
      <c r="AB82" s="2487"/>
      <c r="AC82" s="2487"/>
      <c r="AD82" s="2487"/>
      <c r="AE82" s="2487"/>
      <c r="AF82" s="2487"/>
      <c r="AG82" s="2487"/>
      <c r="AH82" s="2487"/>
      <c r="AI82" s="2487"/>
      <c r="AJ82" s="2487"/>
      <c r="AK82" s="2487"/>
      <c r="AL82" s="2487"/>
      <c r="AM82" s="2487"/>
    </row>
    <row r="83" spans="1:39" ht="11.25" customHeight="1" x14ac:dyDescent="0.25">
      <c r="A83" s="2487"/>
      <c r="B83" s="2487"/>
      <c r="C83" s="2487"/>
      <c r="D83" s="2487"/>
      <c r="E83" s="2487"/>
      <c r="F83" s="2487"/>
      <c r="G83" s="2487"/>
      <c r="H83" s="2487"/>
      <c r="I83" s="2487"/>
      <c r="J83" s="2487"/>
      <c r="K83" s="2487"/>
      <c r="L83" s="2487"/>
      <c r="M83" s="2487"/>
      <c r="N83" s="2487"/>
      <c r="O83" s="2487"/>
      <c r="P83" s="2487"/>
      <c r="Q83" s="2487"/>
      <c r="R83" s="2487"/>
      <c r="S83" s="2487"/>
      <c r="T83" s="2487"/>
      <c r="U83" s="2487"/>
      <c r="V83" s="2487"/>
      <c r="W83" s="2487"/>
      <c r="X83" s="2487"/>
      <c r="Y83" s="2487"/>
      <c r="Z83" s="2487"/>
      <c r="AA83" s="2487"/>
      <c r="AB83" s="2487"/>
      <c r="AC83" s="2487"/>
      <c r="AD83" s="2487"/>
      <c r="AE83" s="2487"/>
      <c r="AF83" s="2487"/>
      <c r="AG83" s="2487"/>
      <c r="AH83" s="2487"/>
      <c r="AI83" s="2487"/>
      <c r="AJ83" s="2487"/>
      <c r="AK83" s="2487"/>
      <c r="AL83" s="2487"/>
      <c r="AM83" s="2487"/>
    </row>
    <row r="84" spans="1:39" ht="11.25" customHeight="1" x14ac:dyDescent="0.25">
      <c r="A84" s="2487"/>
      <c r="B84" s="2487"/>
      <c r="C84" s="2487"/>
      <c r="D84" s="2487"/>
      <c r="E84" s="2487"/>
      <c r="F84" s="2487"/>
      <c r="G84" s="2487"/>
      <c r="H84" s="2487"/>
      <c r="I84" s="2487"/>
      <c r="J84" s="2487"/>
      <c r="K84" s="2487"/>
      <c r="L84" s="2487"/>
      <c r="M84" s="2487"/>
      <c r="N84" s="2487"/>
      <c r="O84" s="2487"/>
      <c r="P84" s="2487"/>
      <c r="Q84" s="2487"/>
      <c r="R84" s="2487"/>
      <c r="S84" s="2487"/>
      <c r="T84" s="2487"/>
      <c r="U84" s="2487"/>
      <c r="V84" s="2487"/>
      <c r="W84" s="2487"/>
      <c r="X84" s="2487"/>
      <c r="Y84" s="2487"/>
      <c r="Z84" s="2487"/>
      <c r="AA84" s="2487"/>
      <c r="AB84" s="2487"/>
      <c r="AC84" s="2487"/>
      <c r="AD84" s="2487"/>
      <c r="AE84" s="2487"/>
      <c r="AF84" s="2487"/>
      <c r="AG84" s="2487"/>
      <c r="AH84" s="2487"/>
      <c r="AI84" s="2487"/>
      <c r="AJ84" s="2487"/>
      <c r="AK84" s="2487"/>
      <c r="AL84" s="2487"/>
      <c r="AM84" s="2487"/>
    </row>
    <row r="85" spans="1:39" ht="11.25" customHeight="1" x14ac:dyDescent="0.25">
      <c r="A85" s="2487"/>
      <c r="B85" s="2487"/>
      <c r="C85" s="2487"/>
      <c r="D85" s="2487"/>
      <c r="E85" s="2487"/>
      <c r="F85" s="2487"/>
      <c r="G85" s="2487"/>
      <c r="H85" s="2487"/>
      <c r="I85" s="2487"/>
      <c r="J85" s="2487"/>
      <c r="K85" s="2487"/>
      <c r="L85" s="2487"/>
      <c r="M85" s="2487"/>
      <c r="N85" s="2487"/>
      <c r="O85" s="2487"/>
      <c r="P85" s="2487"/>
      <c r="Q85" s="2487"/>
      <c r="R85" s="2487"/>
      <c r="S85" s="2487"/>
      <c r="T85" s="2487"/>
      <c r="U85" s="2487"/>
      <c r="V85" s="2487"/>
      <c r="W85" s="2487"/>
      <c r="X85" s="2487"/>
      <c r="Y85" s="2487"/>
      <c r="Z85" s="2487"/>
      <c r="AA85" s="2487"/>
      <c r="AB85" s="2487"/>
      <c r="AC85" s="2487"/>
      <c r="AD85" s="2487"/>
      <c r="AE85" s="2487"/>
      <c r="AF85" s="2487"/>
      <c r="AG85" s="2487"/>
      <c r="AH85" s="2487"/>
      <c r="AI85" s="2487"/>
      <c r="AJ85" s="2487"/>
      <c r="AK85" s="2487"/>
      <c r="AL85" s="2487"/>
      <c r="AM85" s="2487"/>
    </row>
    <row r="86" spans="1:39" ht="11.25" customHeight="1" x14ac:dyDescent="0.25">
      <c r="A86" s="2487"/>
      <c r="B86" s="2487"/>
      <c r="C86" s="2487"/>
      <c r="D86" s="2487"/>
      <c r="E86" s="2487"/>
      <c r="F86" s="2487"/>
      <c r="G86" s="2487"/>
      <c r="H86" s="2487"/>
      <c r="I86" s="2487"/>
      <c r="J86" s="2487"/>
      <c r="K86" s="2487"/>
      <c r="L86" s="2487"/>
      <c r="M86" s="2487"/>
      <c r="N86" s="2487"/>
      <c r="O86" s="2487"/>
      <c r="P86" s="2487"/>
      <c r="Q86" s="2487"/>
      <c r="R86" s="2487"/>
      <c r="S86" s="2487"/>
      <c r="T86" s="2487"/>
      <c r="U86" s="2487"/>
      <c r="V86" s="2487"/>
      <c r="W86" s="2487"/>
      <c r="X86" s="2487"/>
      <c r="Y86" s="2487"/>
      <c r="Z86" s="2487"/>
      <c r="AA86" s="2487"/>
      <c r="AB86" s="2487"/>
      <c r="AC86" s="2487"/>
      <c r="AD86" s="2487"/>
      <c r="AE86" s="2487"/>
      <c r="AF86" s="2487"/>
      <c r="AG86" s="2487"/>
      <c r="AH86" s="2487"/>
      <c r="AI86" s="2487"/>
      <c r="AJ86" s="2487"/>
      <c r="AK86" s="2487"/>
      <c r="AL86" s="2487"/>
      <c r="AM86" s="2487"/>
    </row>
    <row r="87" spans="1:39" ht="11.25" customHeight="1" x14ac:dyDescent="0.25">
      <c r="A87" s="2487"/>
      <c r="B87" s="2487"/>
      <c r="C87" s="2487"/>
      <c r="D87" s="2487"/>
      <c r="E87" s="2487"/>
      <c r="F87" s="2487"/>
      <c r="G87" s="2487"/>
      <c r="H87" s="2487"/>
      <c r="I87" s="2487"/>
      <c r="J87" s="2487"/>
      <c r="K87" s="2487"/>
      <c r="L87" s="2487"/>
      <c r="M87" s="2487"/>
      <c r="N87" s="2487"/>
      <c r="O87" s="2487"/>
      <c r="P87" s="2487"/>
      <c r="Q87" s="2487"/>
      <c r="R87" s="2487"/>
      <c r="S87" s="2487"/>
      <c r="T87" s="2487"/>
      <c r="U87" s="2487"/>
      <c r="V87" s="2487"/>
      <c r="W87" s="2487"/>
      <c r="X87" s="2487"/>
      <c r="Y87" s="2487"/>
      <c r="Z87" s="2487"/>
      <c r="AA87" s="2487"/>
      <c r="AB87" s="2487"/>
      <c r="AC87" s="2487"/>
      <c r="AD87" s="2487"/>
      <c r="AE87" s="2487"/>
      <c r="AF87" s="2487"/>
      <c r="AG87" s="2487"/>
      <c r="AH87" s="2487"/>
      <c r="AI87" s="2487"/>
      <c r="AJ87" s="2487"/>
      <c r="AK87" s="2487"/>
      <c r="AL87" s="2487"/>
      <c r="AM87" s="2487"/>
    </row>
    <row r="88" spans="1:39" ht="11.25" customHeight="1" x14ac:dyDescent="0.25">
      <c r="A88" s="2487"/>
      <c r="B88" s="2487"/>
      <c r="C88" s="2487"/>
      <c r="D88" s="2487"/>
      <c r="E88" s="2487"/>
      <c r="F88" s="2487"/>
      <c r="G88" s="2487"/>
      <c r="H88" s="2487"/>
      <c r="I88" s="2487"/>
      <c r="J88" s="2487"/>
      <c r="K88" s="2487"/>
      <c r="L88" s="2487"/>
      <c r="M88" s="2487"/>
      <c r="N88" s="2487"/>
      <c r="O88" s="2487"/>
      <c r="P88" s="2487"/>
      <c r="Q88" s="2487"/>
      <c r="R88" s="2487"/>
      <c r="S88" s="2487"/>
      <c r="T88" s="2487"/>
      <c r="U88" s="2487"/>
      <c r="V88" s="2487"/>
      <c r="W88" s="2487"/>
      <c r="X88" s="2487"/>
      <c r="Y88" s="2487"/>
      <c r="Z88" s="2487"/>
      <c r="AA88" s="2487"/>
      <c r="AB88" s="2487"/>
      <c r="AC88" s="2487"/>
      <c r="AD88" s="2487"/>
      <c r="AE88" s="2487"/>
      <c r="AF88" s="2487"/>
      <c r="AG88" s="2487"/>
      <c r="AH88" s="2487"/>
      <c r="AI88" s="2487"/>
      <c r="AJ88" s="2487"/>
      <c r="AK88" s="2487"/>
      <c r="AL88" s="2487"/>
      <c r="AM88" s="2487"/>
    </row>
    <row r="89" spans="1:39" ht="11.25" customHeight="1" x14ac:dyDescent="0.25">
      <c r="A89" s="2487"/>
      <c r="B89" s="2487"/>
      <c r="C89" s="2487"/>
      <c r="D89" s="2487"/>
      <c r="E89" s="2487"/>
      <c r="F89" s="2487"/>
      <c r="G89" s="2487"/>
      <c r="H89" s="2487"/>
      <c r="I89" s="2487"/>
      <c r="J89" s="2487"/>
      <c r="K89" s="2487"/>
      <c r="L89" s="2487"/>
      <c r="M89" s="2487"/>
      <c r="N89" s="2487"/>
      <c r="O89" s="2487"/>
      <c r="P89" s="2487"/>
      <c r="Q89" s="2487"/>
      <c r="R89" s="2487"/>
      <c r="S89" s="2487"/>
      <c r="T89" s="2487"/>
      <c r="U89" s="2487"/>
      <c r="V89" s="2487"/>
      <c r="W89" s="2487"/>
      <c r="X89" s="2487"/>
      <c r="Y89" s="2487"/>
      <c r="Z89" s="2487"/>
      <c r="AA89" s="2487"/>
      <c r="AB89" s="2487"/>
      <c r="AC89" s="2487"/>
      <c r="AD89" s="2487"/>
      <c r="AE89" s="2487"/>
      <c r="AF89" s="2487"/>
      <c r="AG89" s="2487"/>
      <c r="AH89" s="2487"/>
      <c r="AI89" s="2487"/>
      <c r="AJ89" s="2487"/>
      <c r="AK89" s="2487"/>
      <c r="AL89" s="2487"/>
      <c r="AM89" s="2487"/>
    </row>
    <row r="90" spans="1:39" ht="11.25" customHeight="1" x14ac:dyDescent="0.25">
      <c r="A90" s="2487"/>
      <c r="B90" s="2487"/>
      <c r="C90" s="2487"/>
      <c r="D90" s="2487"/>
      <c r="E90" s="2487"/>
      <c r="F90" s="2487"/>
      <c r="G90" s="2487"/>
      <c r="H90" s="2487"/>
      <c r="I90" s="2487"/>
      <c r="J90" s="2487"/>
      <c r="K90" s="2487"/>
      <c r="L90" s="2487"/>
      <c r="M90" s="2487"/>
      <c r="N90" s="2487"/>
      <c r="O90" s="2487"/>
      <c r="P90" s="2487"/>
      <c r="Q90" s="2487"/>
      <c r="R90" s="2487"/>
      <c r="S90" s="2487"/>
      <c r="T90" s="2487"/>
      <c r="U90" s="2487"/>
      <c r="V90" s="2487"/>
      <c r="W90" s="2487"/>
      <c r="X90" s="2487"/>
      <c r="Y90" s="2487"/>
      <c r="Z90" s="2487"/>
      <c r="AA90" s="2487"/>
      <c r="AB90" s="2487"/>
      <c r="AC90" s="2487"/>
      <c r="AD90" s="2487"/>
      <c r="AE90" s="2487"/>
      <c r="AF90" s="2487"/>
      <c r="AG90" s="2487"/>
      <c r="AH90" s="2487"/>
      <c r="AI90" s="2487"/>
      <c r="AJ90" s="2487"/>
      <c r="AK90" s="2487"/>
      <c r="AL90" s="2487"/>
      <c r="AM90" s="2487"/>
    </row>
    <row r="91" spans="1:39" ht="11.25" customHeight="1" x14ac:dyDescent="0.25">
      <c r="A91" s="2487"/>
      <c r="B91" s="2487"/>
      <c r="C91" s="2487"/>
      <c r="D91" s="2487"/>
      <c r="E91" s="2487"/>
      <c r="F91" s="2487"/>
      <c r="G91" s="2487"/>
      <c r="H91" s="2487"/>
      <c r="I91" s="2487"/>
      <c r="J91" s="2487"/>
      <c r="K91" s="2487"/>
      <c r="L91" s="2487"/>
      <c r="M91" s="2487"/>
      <c r="N91" s="2487"/>
      <c r="O91" s="2487"/>
      <c r="P91" s="2487"/>
      <c r="Q91" s="2487"/>
      <c r="R91" s="2487"/>
      <c r="S91" s="2487"/>
      <c r="T91" s="2487"/>
      <c r="U91" s="2487"/>
      <c r="V91" s="2487"/>
      <c r="W91" s="2487"/>
      <c r="X91" s="2487"/>
      <c r="Y91" s="2487"/>
      <c r="Z91" s="2487"/>
      <c r="AA91" s="2487"/>
      <c r="AB91" s="2487"/>
      <c r="AC91" s="2487"/>
      <c r="AD91" s="2487"/>
      <c r="AE91" s="2487"/>
      <c r="AF91" s="2487"/>
      <c r="AG91" s="2487"/>
      <c r="AH91" s="2487"/>
      <c r="AI91" s="2487"/>
      <c r="AJ91" s="2487"/>
      <c r="AK91" s="2487"/>
      <c r="AL91" s="2487"/>
      <c r="AM91" s="2487"/>
    </row>
    <row r="92" spans="1:39" ht="11.25" customHeight="1" x14ac:dyDescent="0.25">
      <c r="A92" s="2487"/>
      <c r="B92" s="2487"/>
      <c r="C92" s="2487"/>
      <c r="D92" s="2487"/>
      <c r="E92" s="2487"/>
      <c r="F92" s="2487"/>
      <c r="G92" s="2487"/>
      <c r="H92" s="2487"/>
      <c r="I92" s="2487"/>
      <c r="J92" s="2487"/>
      <c r="K92" s="2487"/>
      <c r="L92" s="2487"/>
      <c r="M92" s="2487"/>
      <c r="N92" s="2487"/>
      <c r="O92" s="2487"/>
      <c r="P92" s="2487"/>
      <c r="Q92" s="2487"/>
      <c r="R92" s="2487"/>
      <c r="S92" s="2487"/>
      <c r="T92" s="2487"/>
      <c r="U92" s="2487"/>
      <c r="V92" s="2487"/>
      <c r="W92" s="2487"/>
      <c r="X92" s="2487"/>
      <c r="Y92" s="2487"/>
      <c r="Z92" s="2487"/>
      <c r="AA92" s="2487"/>
      <c r="AB92" s="2487"/>
      <c r="AC92" s="2487"/>
      <c r="AD92" s="2487"/>
      <c r="AE92" s="2487"/>
      <c r="AF92" s="2487"/>
      <c r="AG92" s="2487"/>
      <c r="AH92" s="2487"/>
      <c r="AI92" s="2487"/>
      <c r="AJ92" s="2487"/>
      <c r="AK92" s="2487"/>
      <c r="AL92" s="2487"/>
      <c r="AM92" s="2487"/>
    </row>
    <row r="93" spans="1:39" ht="11.25" customHeight="1" x14ac:dyDescent="0.25">
      <c r="A93" s="2487"/>
      <c r="B93" s="2487"/>
      <c r="C93" s="2487"/>
      <c r="D93" s="2487"/>
      <c r="E93" s="2487"/>
      <c r="F93" s="2487"/>
      <c r="G93" s="2487"/>
      <c r="H93" s="2487"/>
      <c r="I93" s="2487"/>
      <c r="J93" s="2487"/>
      <c r="K93" s="2487"/>
      <c r="L93" s="2487"/>
      <c r="M93" s="2487"/>
      <c r="N93" s="2487"/>
      <c r="O93" s="2487"/>
      <c r="P93" s="2487"/>
      <c r="Q93" s="2487"/>
      <c r="R93" s="2487"/>
      <c r="S93" s="2487"/>
      <c r="T93" s="2487"/>
      <c r="U93" s="2487"/>
      <c r="V93" s="2487"/>
      <c r="W93" s="2487"/>
      <c r="X93" s="2487"/>
      <c r="Y93" s="2487"/>
      <c r="Z93" s="2487"/>
      <c r="AA93" s="2487"/>
      <c r="AB93" s="2487"/>
      <c r="AC93" s="2487"/>
      <c r="AD93" s="2487"/>
      <c r="AE93" s="2487"/>
      <c r="AF93" s="2487"/>
      <c r="AG93" s="2487"/>
      <c r="AH93" s="2487"/>
      <c r="AI93" s="2487"/>
      <c r="AJ93" s="2487"/>
      <c r="AK93" s="2487"/>
      <c r="AL93" s="2487"/>
      <c r="AM93" s="2487"/>
    </row>
    <row r="94" spans="1:39" ht="11.25" customHeight="1" x14ac:dyDescent="0.25">
      <c r="A94" s="2487"/>
      <c r="B94" s="2487"/>
      <c r="C94" s="2487"/>
      <c r="D94" s="2487"/>
      <c r="E94" s="2487"/>
      <c r="F94" s="2487"/>
      <c r="G94" s="2487"/>
      <c r="H94" s="2487"/>
      <c r="I94" s="2487"/>
      <c r="J94" s="2487"/>
      <c r="K94" s="2487"/>
      <c r="L94" s="2487"/>
      <c r="M94" s="2487"/>
      <c r="N94" s="2487"/>
      <c r="O94" s="2487"/>
      <c r="P94" s="2487"/>
      <c r="Q94" s="2487"/>
      <c r="R94" s="2487"/>
      <c r="S94" s="2487"/>
      <c r="T94" s="2487"/>
      <c r="U94" s="2487"/>
      <c r="V94" s="2487"/>
      <c r="W94" s="2487"/>
      <c r="X94" s="2487"/>
      <c r="Y94" s="2487"/>
      <c r="Z94" s="2487"/>
      <c r="AA94" s="2487"/>
      <c r="AB94" s="2487"/>
      <c r="AC94" s="2487"/>
      <c r="AD94" s="2487"/>
      <c r="AE94" s="2487"/>
      <c r="AF94" s="2487"/>
      <c r="AG94" s="2487"/>
      <c r="AH94" s="2487"/>
      <c r="AI94" s="2487"/>
      <c r="AJ94" s="2487"/>
      <c r="AK94" s="2487"/>
      <c r="AL94" s="2487"/>
      <c r="AM94" s="2487"/>
    </row>
    <row r="95" spans="1:39" ht="11.25" customHeight="1" x14ac:dyDescent="0.25">
      <c r="A95" s="2487"/>
      <c r="B95" s="2487"/>
      <c r="C95" s="2487"/>
      <c r="D95" s="2487"/>
      <c r="E95" s="2487"/>
      <c r="F95" s="2487"/>
      <c r="G95" s="2487"/>
      <c r="H95" s="2487"/>
      <c r="I95" s="2487"/>
      <c r="J95" s="2487"/>
      <c r="K95" s="2487"/>
      <c r="L95" s="2487"/>
      <c r="M95" s="2487"/>
      <c r="N95" s="2487"/>
      <c r="O95" s="2487"/>
      <c r="P95" s="2487"/>
      <c r="Q95" s="2487"/>
      <c r="R95" s="2487"/>
      <c r="S95" s="2487"/>
      <c r="T95" s="2487"/>
      <c r="U95" s="2487"/>
      <c r="V95" s="2487"/>
      <c r="W95" s="2487"/>
      <c r="X95" s="2487"/>
      <c r="Y95" s="2487"/>
      <c r="Z95" s="2487"/>
      <c r="AA95" s="2487"/>
      <c r="AB95" s="2487"/>
      <c r="AC95" s="2487"/>
      <c r="AD95" s="2487"/>
      <c r="AE95" s="2487"/>
      <c r="AF95" s="2487"/>
      <c r="AG95" s="2487"/>
      <c r="AH95" s="2487"/>
      <c r="AI95" s="2487"/>
      <c r="AJ95" s="2487"/>
      <c r="AK95" s="2487"/>
      <c r="AL95" s="2487"/>
      <c r="AM95" s="2487"/>
    </row>
    <row r="96" spans="1:39" ht="11.25" customHeight="1" x14ac:dyDescent="0.25">
      <c r="A96" s="2487"/>
      <c r="B96" s="2487"/>
      <c r="C96" s="2487"/>
      <c r="D96" s="2487"/>
      <c r="E96" s="2487"/>
      <c r="F96" s="2487"/>
      <c r="G96" s="2487"/>
      <c r="H96" s="2487"/>
      <c r="I96" s="2487"/>
      <c r="J96" s="2487"/>
      <c r="K96" s="2487"/>
      <c r="L96" s="2487"/>
      <c r="M96" s="2487"/>
      <c r="N96" s="2487"/>
      <c r="O96" s="2487"/>
      <c r="P96" s="2487"/>
      <c r="Q96" s="2487"/>
      <c r="R96" s="2487"/>
      <c r="S96" s="2487"/>
      <c r="T96" s="2487"/>
      <c r="U96" s="2487"/>
      <c r="V96" s="2487"/>
      <c r="W96" s="2487"/>
      <c r="X96" s="2487"/>
      <c r="Y96" s="2487"/>
      <c r="Z96" s="2487"/>
      <c r="AA96" s="2487"/>
      <c r="AB96" s="2487"/>
      <c r="AC96" s="2487"/>
      <c r="AD96" s="2487"/>
      <c r="AE96" s="2487"/>
      <c r="AF96" s="2487"/>
      <c r="AG96" s="2487"/>
      <c r="AH96" s="2487"/>
      <c r="AI96" s="2487"/>
      <c r="AJ96" s="2487"/>
      <c r="AK96" s="2487"/>
      <c r="AL96" s="2487"/>
      <c r="AM96" s="2487"/>
    </row>
    <row r="97" spans="1:39" ht="11.25" customHeight="1" x14ac:dyDescent="0.25">
      <c r="A97" s="2487"/>
      <c r="B97" s="2487"/>
      <c r="C97" s="2487"/>
      <c r="D97" s="2487"/>
      <c r="E97" s="2487"/>
      <c r="F97" s="2487"/>
      <c r="G97" s="2487"/>
      <c r="H97" s="2487"/>
      <c r="I97" s="2487"/>
      <c r="J97" s="2487"/>
      <c r="K97" s="2487"/>
      <c r="L97" s="2487"/>
      <c r="M97" s="2487"/>
      <c r="N97" s="2487"/>
      <c r="O97" s="2487"/>
      <c r="P97" s="2487"/>
      <c r="Q97" s="2487"/>
      <c r="R97" s="2487"/>
      <c r="S97" s="2487"/>
      <c r="T97" s="2487"/>
      <c r="U97" s="2487"/>
      <c r="V97" s="2487"/>
      <c r="W97" s="2487"/>
      <c r="X97" s="2487"/>
      <c r="Y97" s="2487"/>
      <c r="Z97" s="2487"/>
      <c r="AA97" s="2487"/>
      <c r="AB97" s="2487"/>
      <c r="AC97" s="2487"/>
      <c r="AD97" s="2487"/>
      <c r="AE97" s="2487"/>
      <c r="AF97" s="2487"/>
      <c r="AG97" s="2487"/>
      <c r="AH97" s="2487"/>
      <c r="AI97" s="2487"/>
      <c r="AJ97" s="2487"/>
      <c r="AK97" s="2487"/>
      <c r="AL97" s="2487"/>
      <c r="AM97" s="2487"/>
    </row>
    <row r="98" spans="1:39" ht="11.25" customHeight="1" x14ac:dyDescent="0.25">
      <c r="A98" s="2487"/>
      <c r="B98" s="2487"/>
      <c r="C98" s="2487"/>
      <c r="D98" s="2487"/>
      <c r="E98" s="2487"/>
      <c r="F98" s="2487"/>
      <c r="G98" s="2487"/>
      <c r="H98" s="2487"/>
      <c r="I98" s="2487"/>
      <c r="J98" s="2487"/>
      <c r="K98" s="2487"/>
      <c r="L98" s="2487"/>
      <c r="M98" s="2487"/>
      <c r="N98" s="2487"/>
      <c r="O98" s="2487"/>
      <c r="P98" s="2487"/>
      <c r="Q98" s="2487"/>
      <c r="R98" s="2487"/>
      <c r="S98" s="2487"/>
      <c r="T98" s="2487"/>
      <c r="U98" s="2487"/>
      <c r="V98" s="2487"/>
      <c r="W98" s="2487"/>
      <c r="X98" s="2487"/>
      <c r="Y98" s="2487"/>
      <c r="Z98" s="2487"/>
      <c r="AA98" s="2487"/>
      <c r="AB98" s="2487"/>
      <c r="AC98" s="2487"/>
      <c r="AD98" s="2487"/>
      <c r="AE98" s="2487"/>
      <c r="AF98" s="2487"/>
      <c r="AG98" s="2487"/>
      <c r="AH98" s="2487"/>
      <c r="AI98" s="2487"/>
      <c r="AJ98" s="2487"/>
      <c r="AK98" s="2487"/>
      <c r="AL98" s="2487"/>
      <c r="AM98" s="2487"/>
    </row>
    <row r="99" spans="1:39" ht="11.25" customHeight="1" x14ac:dyDescent="0.25">
      <c r="A99" s="2487"/>
      <c r="B99" s="2487"/>
      <c r="C99" s="2487"/>
      <c r="D99" s="2487"/>
      <c r="E99" s="2487"/>
      <c r="F99" s="2487"/>
      <c r="G99" s="2487"/>
      <c r="H99" s="2487"/>
      <c r="I99" s="2487"/>
      <c r="J99" s="2487"/>
      <c r="K99" s="2487"/>
      <c r="L99" s="2487"/>
      <c r="M99" s="2487"/>
      <c r="N99" s="2487"/>
      <c r="O99" s="2487"/>
      <c r="P99" s="2487"/>
      <c r="Q99" s="2487"/>
      <c r="R99" s="2487"/>
      <c r="S99" s="2487"/>
      <c r="T99" s="2487"/>
      <c r="U99" s="2487"/>
      <c r="V99" s="2487"/>
      <c r="W99" s="2487"/>
      <c r="X99" s="2487"/>
      <c r="Y99" s="2487"/>
      <c r="Z99" s="2487"/>
      <c r="AA99" s="2487"/>
      <c r="AB99" s="2487"/>
      <c r="AC99" s="2487"/>
      <c r="AD99" s="2487"/>
      <c r="AE99" s="2487"/>
      <c r="AF99" s="2487"/>
      <c r="AG99" s="2487"/>
      <c r="AH99" s="2487"/>
      <c r="AI99" s="2487"/>
      <c r="AJ99" s="2487"/>
      <c r="AK99" s="2487"/>
      <c r="AL99" s="2487"/>
      <c r="AM99" s="2487"/>
    </row>
    <row r="100" spans="1:39" ht="11.25" customHeight="1" x14ac:dyDescent="0.25">
      <c r="A100" s="2487"/>
      <c r="B100" s="2487"/>
      <c r="C100" s="2487"/>
      <c r="D100" s="2487"/>
      <c r="E100" s="2487"/>
      <c r="F100" s="2487"/>
      <c r="G100" s="2487"/>
      <c r="H100" s="2487"/>
      <c r="I100" s="2487"/>
      <c r="J100" s="2487"/>
      <c r="K100" s="2487"/>
      <c r="L100" s="2487"/>
      <c r="M100" s="2487"/>
      <c r="N100" s="2487"/>
      <c r="O100" s="2487"/>
      <c r="P100" s="2487"/>
      <c r="Q100" s="2487"/>
      <c r="R100" s="2487"/>
      <c r="S100" s="2487"/>
      <c r="T100" s="2487"/>
      <c r="U100" s="2487"/>
      <c r="V100" s="2487"/>
      <c r="W100" s="2487"/>
      <c r="X100" s="2487"/>
      <c r="Y100" s="2487"/>
      <c r="Z100" s="2487"/>
      <c r="AA100" s="2487"/>
      <c r="AB100" s="2487"/>
      <c r="AC100" s="2487"/>
      <c r="AD100" s="2487"/>
      <c r="AE100" s="2487"/>
      <c r="AF100" s="2487"/>
      <c r="AG100" s="2487"/>
      <c r="AH100" s="2487"/>
      <c r="AI100" s="2487"/>
      <c r="AJ100" s="2487"/>
      <c r="AK100" s="2487"/>
      <c r="AL100" s="2487"/>
      <c r="AM100" s="2487"/>
    </row>
    <row r="101" spans="1:39" ht="11.25" customHeight="1" x14ac:dyDescent="0.25">
      <c r="A101" s="2487"/>
      <c r="B101" s="2487"/>
      <c r="C101" s="2487"/>
      <c r="D101" s="2487"/>
      <c r="E101" s="2487"/>
      <c r="F101" s="2487"/>
      <c r="G101" s="2487"/>
      <c r="H101" s="2487"/>
      <c r="I101" s="2487"/>
      <c r="J101" s="2487"/>
      <c r="K101" s="2487"/>
      <c r="L101" s="2487"/>
      <c r="M101" s="2487"/>
      <c r="N101" s="2487"/>
      <c r="O101" s="2487"/>
      <c r="P101" s="2487"/>
      <c r="Q101" s="2487"/>
      <c r="R101" s="2487"/>
      <c r="S101" s="2487"/>
      <c r="T101" s="2487"/>
      <c r="U101" s="2487"/>
      <c r="V101" s="2487"/>
      <c r="W101" s="2487"/>
      <c r="X101" s="2487"/>
      <c r="Y101" s="2487"/>
      <c r="Z101" s="2487"/>
      <c r="AA101" s="2487"/>
      <c r="AB101" s="2487"/>
      <c r="AC101" s="2487"/>
      <c r="AD101" s="2487"/>
      <c r="AE101" s="2487"/>
      <c r="AF101" s="2487"/>
      <c r="AG101" s="2487"/>
      <c r="AH101" s="2487"/>
      <c r="AI101" s="2487"/>
      <c r="AJ101" s="2487"/>
      <c r="AK101" s="2487"/>
      <c r="AL101" s="2487"/>
      <c r="AM101" s="2487"/>
    </row>
    <row r="102" spans="1:39" ht="11.25" customHeight="1" x14ac:dyDescent="0.25">
      <c r="A102" s="2487"/>
      <c r="B102" s="2487"/>
      <c r="C102" s="2487"/>
      <c r="D102" s="2487"/>
      <c r="E102" s="2487"/>
      <c r="F102" s="2487"/>
      <c r="G102" s="2487"/>
      <c r="H102" s="2487"/>
      <c r="I102" s="2487"/>
      <c r="J102" s="2487"/>
      <c r="K102" s="2487"/>
      <c r="L102" s="2487"/>
      <c r="M102" s="2487"/>
      <c r="N102" s="2487"/>
      <c r="O102" s="2487"/>
      <c r="P102" s="2487"/>
      <c r="Q102" s="2487"/>
      <c r="R102" s="2487"/>
      <c r="S102" s="2487"/>
      <c r="T102" s="2487"/>
      <c r="U102" s="2487"/>
      <c r="V102" s="2487"/>
      <c r="W102" s="2487"/>
      <c r="X102" s="2487"/>
      <c r="Y102" s="2487"/>
      <c r="Z102" s="2487"/>
      <c r="AA102" s="2487"/>
      <c r="AB102" s="2487"/>
      <c r="AC102" s="2487"/>
      <c r="AD102" s="2487"/>
      <c r="AE102" s="2487"/>
      <c r="AF102" s="2487"/>
      <c r="AG102" s="2487"/>
      <c r="AH102" s="2487"/>
      <c r="AI102" s="2487"/>
      <c r="AJ102" s="2487"/>
      <c r="AK102" s="2487"/>
      <c r="AL102" s="2487"/>
      <c r="AM102" s="2487"/>
    </row>
    <row r="103" spans="1:39" ht="11.25" customHeight="1" x14ac:dyDescent="0.25">
      <c r="A103" s="2487"/>
      <c r="B103" s="2487"/>
      <c r="C103" s="2487"/>
      <c r="D103" s="2487"/>
      <c r="E103" s="2487"/>
      <c r="F103" s="2487"/>
      <c r="G103" s="2487"/>
      <c r="H103" s="2487"/>
      <c r="I103" s="2487"/>
      <c r="J103" s="2487"/>
      <c r="K103" s="2487"/>
      <c r="L103" s="2487"/>
      <c r="M103" s="2487"/>
      <c r="N103" s="2487"/>
      <c r="O103" s="2487"/>
      <c r="P103" s="2487"/>
      <c r="Q103" s="2487"/>
      <c r="R103" s="2487"/>
      <c r="S103" s="2487"/>
      <c r="T103" s="2487"/>
      <c r="U103" s="2487"/>
      <c r="V103" s="2487"/>
      <c r="W103" s="2487"/>
      <c r="X103" s="2487"/>
      <c r="Y103" s="2487"/>
      <c r="Z103" s="2487"/>
      <c r="AA103" s="2487"/>
      <c r="AB103" s="2487"/>
      <c r="AC103" s="2487"/>
      <c r="AD103" s="2487"/>
      <c r="AE103" s="2487"/>
      <c r="AF103" s="2487"/>
      <c r="AG103" s="2487"/>
      <c r="AH103" s="2487"/>
      <c r="AI103" s="2487"/>
      <c r="AJ103" s="2487"/>
      <c r="AK103" s="2487"/>
      <c r="AL103" s="2487"/>
      <c r="AM103" s="2487"/>
    </row>
    <row r="104" spans="1:39" ht="11.25" customHeight="1" x14ac:dyDescent="0.25">
      <c r="A104" s="2487"/>
      <c r="B104" s="2487"/>
      <c r="C104" s="2487"/>
      <c r="D104" s="2487"/>
      <c r="E104" s="2487"/>
      <c r="F104" s="2487"/>
      <c r="G104" s="2487"/>
      <c r="H104" s="2487"/>
      <c r="I104" s="2487"/>
      <c r="J104" s="2487"/>
      <c r="K104" s="2487"/>
      <c r="L104" s="2487"/>
      <c r="M104" s="2487"/>
      <c r="N104" s="2487"/>
      <c r="O104" s="2487"/>
      <c r="P104" s="2487"/>
      <c r="Q104" s="2487"/>
      <c r="R104" s="2487"/>
      <c r="S104" s="2487"/>
      <c r="T104" s="2487"/>
      <c r="U104" s="2487"/>
      <c r="V104" s="2487"/>
      <c r="W104" s="2487"/>
      <c r="X104" s="2487"/>
      <c r="Y104" s="2487"/>
      <c r="Z104" s="2487"/>
      <c r="AA104" s="2487"/>
      <c r="AB104" s="2487"/>
      <c r="AC104" s="2487"/>
      <c r="AD104" s="2487"/>
      <c r="AE104" s="2487"/>
      <c r="AF104" s="2487"/>
      <c r="AG104" s="2487"/>
      <c r="AH104" s="2487"/>
      <c r="AI104" s="2487"/>
      <c r="AJ104" s="2487"/>
      <c r="AK104" s="2487"/>
      <c r="AL104" s="2487"/>
      <c r="AM104" s="2487"/>
    </row>
    <row r="105" spans="1:39" ht="11.25" customHeight="1" x14ac:dyDescent="0.25">
      <c r="A105" s="2487"/>
      <c r="B105" s="2487"/>
      <c r="C105" s="2487"/>
      <c r="D105" s="2487"/>
      <c r="E105" s="2487"/>
      <c r="F105" s="2487"/>
      <c r="G105" s="2487"/>
      <c r="H105" s="2487"/>
      <c r="I105" s="2487"/>
      <c r="J105" s="2487"/>
      <c r="K105" s="2487"/>
      <c r="L105" s="2487"/>
      <c r="M105" s="2487"/>
      <c r="N105" s="2487"/>
      <c r="O105" s="2487"/>
      <c r="P105" s="2487"/>
      <c r="Q105" s="2487"/>
      <c r="R105" s="2487"/>
      <c r="S105" s="2487"/>
      <c r="T105" s="2487"/>
      <c r="U105" s="2487"/>
      <c r="V105" s="2487"/>
      <c r="W105" s="2487"/>
      <c r="X105" s="2487"/>
      <c r="Y105" s="2487"/>
      <c r="Z105" s="2487"/>
      <c r="AA105" s="2487"/>
      <c r="AB105" s="2487"/>
      <c r="AC105" s="2487"/>
      <c r="AD105" s="2487"/>
      <c r="AE105" s="2487"/>
      <c r="AF105" s="2487"/>
      <c r="AG105" s="2487"/>
      <c r="AH105" s="2487"/>
      <c r="AI105" s="2487"/>
      <c r="AJ105" s="2487"/>
      <c r="AK105" s="2487"/>
      <c r="AL105" s="2487"/>
      <c r="AM105" s="2487"/>
    </row>
    <row r="106" spans="1:39" ht="11.25" customHeight="1" x14ac:dyDescent="0.25">
      <c r="A106" s="2487"/>
      <c r="B106" s="2487"/>
      <c r="C106" s="2487"/>
      <c r="D106" s="2487"/>
      <c r="E106" s="2487"/>
      <c r="F106" s="2487"/>
      <c r="G106" s="2487"/>
      <c r="H106" s="2487"/>
      <c r="I106" s="2487"/>
      <c r="J106" s="2487"/>
      <c r="K106" s="2487"/>
      <c r="L106" s="2487"/>
      <c r="M106" s="2487"/>
      <c r="N106" s="2487"/>
      <c r="O106" s="2487"/>
      <c r="P106" s="2487"/>
      <c r="Q106" s="2487"/>
      <c r="R106" s="2487"/>
      <c r="S106" s="2487"/>
      <c r="T106" s="2487"/>
      <c r="U106" s="2487"/>
      <c r="V106" s="2487"/>
      <c r="W106" s="2487"/>
      <c r="X106" s="2487"/>
      <c r="Y106" s="2487"/>
      <c r="Z106" s="2487"/>
      <c r="AA106" s="2487"/>
      <c r="AB106" s="2487"/>
      <c r="AC106" s="2487"/>
      <c r="AD106" s="2487"/>
      <c r="AE106" s="2487"/>
      <c r="AF106" s="2487"/>
      <c r="AG106" s="2487"/>
      <c r="AH106" s="2487"/>
      <c r="AI106" s="2487"/>
      <c r="AJ106" s="2487"/>
      <c r="AK106" s="2487"/>
      <c r="AL106" s="2487"/>
      <c r="AM106" s="2487"/>
    </row>
    <row r="107" spans="1:39" ht="11.25" customHeight="1" x14ac:dyDescent="0.25">
      <c r="A107" s="2487"/>
      <c r="B107" s="2487"/>
      <c r="C107" s="2487"/>
      <c r="D107" s="2487"/>
      <c r="E107" s="2487"/>
      <c r="F107" s="2487"/>
      <c r="G107" s="2487"/>
      <c r="H107" s="2487"/>
      <c r="I107" s="2487"/>
      <c r="J107" s="2487"/>
      <c r="K107" s="2487"/>
      <c r="L107" s="2487"/>
      <c r="M107" s="2487"/>
      <c r="N107" s="2487"/>
      <c r="O107" s="2487"/>
      <c r="P107" s="2487"/>
      <c r="Q107" s="2487"/>
      <c r="R107" s="2487"/>
      <c r="S107" s="2487"/>
      <c r="T107" s="2487"/>
      <c r="U107" s="2487"/>
      <c r="V107" s="2487"/>
      <c r="W107" s="2487"/>
      <c r="X107" s="2487"/>
      <c r="Y107" s="2487"/>
      <c r="Z107" s="2487"/>
      <c r="AA107" s="2487"/>
      <c r="AB107" s="2487"/>
      <c r="AC107" s="2487"/>
      <c r="AD107" s="2487"/>
      <c r="AE107" s="2487"/>
      <c r="AF107" s="2487"/>
      <c r="AG107" s="2487"/>
      <c r="AH107" s="2487"/>
      <c r="AI107" s="2487"/>
      <c r="AJ107" s="2487"/>
      <c r="AK107" s="2487"/>
      <c r="AL107" s="2487"/>
      <c r="AM107" s="2487"/>
    </row>
    <row r="108" spans="1:39" ht="11.25" customHeight="1" x14ac:dyDescent="0.25">
      <c r="A108" s="2487"/>
      <c r="B108" s="2487"/>
      <c r="C108" s="2487"/>
      <c r="D108" s="2487"/>
      <c r="E108" s="2487"/>
      <c r="F108" s="2487"/>
      <c r="G108" s="2487"/>
      <c r="H108" s="2487"/>
      <c r="I108" s="2487"/>
      <c r="J108" s="2487"/>
      <c r="K108" s="2487"/>
      <c r="L108" s="2487"/>
      <c r="M108" s="2487"/>
      <c r="N108" s="2487"/>
      <c r="O108" s="2487"/>
      <c r="P108" s="2487"/>
      <c r="Q108" s="2487"/>
      <c r="R108" s="2487"/>
      <c r="S108" s="2487"/>
      <c r="T108" s="2487"/>
      <c r="U108" s="2487"/>
      <c r="V108" s="2487"/>
      <c r="W108" s="2487"/>
      <c r="X108" s="2487"/>
      <c r="Y108" s="2487"/>
      <c r="Z108" s="2487"/>
      <c r="AA108" s="2487"/>
      <c r="AB108" s="2487"/>
      <c r="AC108" s="2487"/>
      <c r="AD108" s="2487"/>
      <c r="AE108" s="2487"/>
      <c r="AF108" s="2487"/>
      <c r="AG108" s="2487"/>
      <c r="AH108" s="2487"/>
      <c r="AI108" s="2487"/>
      <c r="AJ108" s="2487"/>
      <c r="AK108" s="2487"/>
      <c r="AL108" s="2487"/>
      <c r="AM108" s="2487"/>
    </row>
    <row r="109" spans="1:39" ht="11.25" customHeight="1" x14ac:dyDescent="0.25">
      <c r="A109" s="2487"/>
      <c r="B109" s="2487"/>
      <c r="C109" s="2487"/>
      <c r="D109" s="2487"/>
      <c r="E109" s="2487"/>
      <c r="F109" s="2487"/>
      <c r="G109" s="2487"/>
      <c r="H109" s="2487"/>
      <c r="I109" s="2487"/>
      <c r="J109" s="2487"/>
      <c r="K109" s="2487"/>
      <c r="L109" s="2487"/>
      <c r="M109" s="2487"/>
      <c r="N109" s="2487"/>
      <c r="O109" s="2487"/>
      <c r="P109" s="2487"/>
      <c r="Q109" s="2487"/>
      <c r="R109" s="2487"/>
      <c r="S109" s="2487"/>
      <c r="T109" s="2487"/>
      <c r="U109" s="2487"/>
      <c r="V109" s="2487"/>
      <c r="W109" s="2487"/>
      <c r="X109" s="2487"/>
      <c r="Y109" s="2487"/>
      <c r="Z109" s="2487"/>
      <c r="AA109" s="2487"/>
      <c r="AB109" s="2487"/>
      <c r="AC109" s="2487"/>
      <c r="AD109" s="2487"/>
      <c r="AE109" s="2487"/>
      <c r="AF109" s="2487"/>
      <c r="AG109" s="2487"/>
      <c r="AH109" s="2487"/>
      <c r="AI109" s="2487"/>
      <c r="AJ109" s="2487"/>
      <c r="AK109" s="2487"/>
      <c r="AL109" s="2487"/>
      <c r="AM109" s="2487"/>
    </row>
    <row r="110" spans="1:39" ht="11.25" customHeight="1" x14ac:dyDescent="0.25">
      <c r="A110" s="2487"/>
      <c r="B110" s="2487"/>
      <c r="C110" s="2487"/>
      <c r="D110" s="2487"/>
      <c r="E110" s="2487"/>
      <c r="F110" s="2487"/>
      <c r="G110" s="2487"/>
      <c r="H110" s="2487"/>
      <c r="I110" s="2487"/>
      <c r="J110" s="2487"/>
      <c r="K110" s="2487"/>
      <c r="L110" s="2487"/>
      <c r="M110" s="2487"/>
      <c r="N110" s="2487"/>
      <c r="O110" s="2487"/>
      <c r="P110" s="2487"/>
      <c r="Q110" s="2487"/>
      <c r="R110" s="2487"/>
      <c r="S110" s="2487"/>
      <c r="T110" s="2487"/>
      <c r="U110" s="2487"/>
      <c r="V110" s="2487"/>
      <c r="W110" s="2487"/>
      <c r="X110" s="2487"/>
      <c r="Y110" s="2487"/>
      <c r="Z110" s="2487"/>
      <c r="AA110" s="2487"/>
      <c r="AB110" s="2487"/>
      <c r="AC110" s="2487"/>
      <c r="AD110" s="2487"/>
      <c r="AE110" s="2487"/>
      <c r="AF110" s="2487"/>
      <c r="AG110" s="2487"/>
      <c r="AH110" s="2487"/>
      <c r="AI110" s="2487"/>
      <c r="AJ110" s="2487"/>
      <c r="AK110" s="2487"/>
      <c r="AL110" s="2487"/>
      <c r="AM110" s="2487"/>
    </row>
    <row r="111" spans="1:39" ht="11.25" customHeight="1" x14ac:dyDescent="0.25">
      <c r="A111" s="2487"/>
      <c r="B111" s="2487"/>
      <c r="C111" s="2487"/>
      <c r="D111" s="2487"/>
      <c r="E111" s="2487"/>
      <c r="F111" s="2487"/>
      <c r="G111" s="2487"/>
      <c r="H111" s="2487"/>
      <c r="I111" s="2487"/>
      <c r="J111" s="2487"/>
      <c r="K111" s="2487"/>
      <c r="L111" s="2487"/>
      <c r="M111" s="2487"/>
      <c r="N111" s="2487"/>
      <c r="O111" s="2487"/>
      <c r="P111" s="2487"/>
      <c r="Q111" s="2487"/>
      <c r="R111" s="2487"/>
      <c r="S111" s="2487"/>
      <c r="T111" s="2487"/>
      <c r="U111" s="2487"/>
      <c r="V111" s="2487"/>
      <c r="W111" s="2487"/>
      <c r="X111" s="2487"/>
      <c r="Y111" s="2487"/>
      <c r="Z111" s="2487"/>
      <c r="AA111" s="2487"/>
      <c r="AB111" s="2487"/>
      <c r="AC111" s="2487"/>
      <c r="AD111" s="2487"/>
      <c r="AE111" s="2487"/>
      <c r="AF111" s="2487"/>
      <c r="AG111" s="2487"/>
      <c r="AH111" s="2487"/>
      <c r="AI111" s="2487"/>
      <c r="AJ111" s="2487"/>
      <c r="AK111" s="2487"/>
      <c r="AL111" s="2487"/>
      <c r="AM111" s="2487"/>
    </row>
    <row r="112" spans="1:39" ht="11.25" customHeight="1" x14ac:dyDescent="0.25">
      <c r="A112" s="2487"/>
      <c r="B112" s="2487"/>
      <c r="C112" s="2487"/>
      <c r="D112" s="2487"/>
      <c r="E112" s="2487"/>
      <c r="F112" s="2487"/>
      <c r="G112" s="2487"/>
      <c r="H112" s="2487"/>
      <c r="I112" s="2487"/>
      <c r="J112" s="2487"/>
      <c r="K112" s="2487"/>
      <c r="L112" s="2487"/>
      <c r="M112" s="2487"/>
      <c r="N112" s="2487"/>
      <c r="O112" s="2487"/>
      <c r="P112" s="2487"/>
      <c r="Q112" s="2487"/>
      <c r="R112" s="2487"/>
      <c r="S112" s="2487"/>
      <c r="T112" s="2487"/>
      <c r="U112" s="2487"/>
      <c r="V112" s="2487"/>
      <c r="W112" s="2487"/>
      <c r="X112" s="2487"/>
      <c r="Y112" s="2487"/>
      <c r="Z112" s="2487"/>
      <c r="AA112" s="2487"/>
      <c r="AB112" s="2487"/>
      <c r="AC112" s="2487"/>
      <c r="AD112" s="2487"/>
      <c r="AE112" s="2487"/>
      <c r="AF112" s="2487"/>
      <c r="AG112" s="2487"/>
      <c r="AH112" s="2487"/>
      <c r="AI112" s="2487"/>
      <c r="AJ112" s="2487"/>
      <c r="AK112" s="2487"/>
      <c r="AL112" s="2487"/>
      <c r="AM112" s="2487"/>
    </row>
    <row r="113" spans="1:39" ht="11.25" customHeight="1" x14ac:dyDescent="0.25">
      <c r="A113" s="2487"/>
      <c r="B113" s="2487"/>
      <c r="C113" s="2487"/>
      <c r="D113" s="2487"/>
      <c r="E113" s="2487"/>
      <c r="F113" s="2487"/>
      <c r="G113" s="2487"/>
      <c r="H113" s="2487"/>
      <c r="I113" s="2487"/>
      <c r="J113" s="2487"/>
      <c r="K113" s="2487"/>
      <c r="L113" s="2487"/>
      <c r="M113" s="2487"/>
      <c r="N113" s="2487"/>
      <c r="O113" s="2487"/>
      <c r="P113" s="2487"/>
      <c r="Q113" s="2487"/>
      <c r="R113" s="2487"/>
      <c r="S113" s="2487"/>
      <c r="T113" s="2487"/>
      <c r="U113" s="2487"/>
      <c r="V113" s="2487"/>
      <c r="W113" s="2487"/>
      <c r="X113" s="2487"/>
      <c r="Y113" s="2487"/>
      <c r="Z113" s="2487"/>
      <c r="AA113" s="2487"/>
      <c r="AB113" s="2487"/>
      <c r="AC113" s="2487"/>
      <c r="AD113" s="2487"/>
      <c r="AE113" s="2487"/>
      <c r="AF113" s="2487"/>
      <c r="AG113" s="2487"/>
      <c r="AH113" s="2487"/>
      <c r="AI113" s="2487"/>
      <c r="AJ113" s="2487"/>
      <c r="AK113" s="2487"/>
      <c r="AL113" s="2487"/>
      <c r="AM113" s="2487"/>
    </row>
    <row r="114" spans="1:39" ht="11.25" customHeight="1" x14ac:dyDescent="0.25">
      <c r="A114" s="2487"/>
      <c r="B114" s="2487"/>
      <c r="C114" s="2487"/>
      <c r="D114" s="2487"/>
      <c r="E114" s="2487"/>
      <c r="F114" s="2487"/>
      <c r="G114" s="2487"/>
      <c r="H114" s="2487"/>
      <c r="I114" s="2487"/>
      <c r="J114" s="2487"/>
      <c r="K114" s="2487"/>
      <c r="L114" s="2487"/>
      <c r="M114" s="2487"/>
      <c r="N114" s="2487"/>
      <c r="O114" s="2487"/>
      <c r="P114" s="2487"/>
      <c r="Q114" s="2487"/>
      <c r="R114" s="2487"/>
      <c r="S114" s="2487"/>
      <c r="T114" s="2487"/>
      <c r="U114" s="2487"/>
      <c r="V114" s="2487"/>
      <c r="W114" s="2487"/>
      <c r="X114" s="2487"/>
      <c r="Y114" s="2487"/>
      <c r="Z114" s="2487"/>
      <c r="AA114" s="2487"/>
      <c r="AB114" s="2487"/>
      <c r="AC114" s="2487"/>
      <c r="AD114" s="2487"/>
      <c r="AE114" s="2487"/>
      <c r="AF114" s="2487"/>
      <c r="AG114" s="2487"/>
      <c r="AH114" s="2487"/>
      <c r="AI114" s="2487"/>
      <c r="AJ114" s="2487"/>
      <c r="AK114" s="2487"/>
      <c r="AL114" s="2487"/>
      <c r="AM114" s="2487"/>
    </row>
    <row r="115" spans="1:39" ht="11.25" customHeight="1" x14ac:dyDescent="0.25">
      <c r="A115" s="2487"/>
      <c r="B115" s="2487"/>
      <c r="C115" s="2487"/>
      <c r="D115" s="2487"/>
      <c r="E115" s="2487"/>
      <c r="F115" s="2487"/>
      <c r="G115" s="2487"/>
      <c r="H115" s="2487"/>
      <c r="I115" s="2487"/>
      <c r="J115" s="2487"/>
      <c r="K115" s="2487"/>
      <c r="L115" s="2487"/>
      <c r="M115" s="2487"/>
      <c r="N115" s="2487"/>
      <c r="O115" s="2487"/>
      <c r="P115" s="2487"/>
      <c r="Q115" s="2487"/>
      <c r="R115" s="2487"/>
      <c r="S115" s="2487"/>
      <c r="T115" s="2487"/>
      <c r="U115" s="2487"/>
      <c r="V115" s="2487"/>
      <c r="W115" s="2487"/>
      <c r="X115" s="2487"/>
      <c r="Y115" s="2487"/>
      <c r="Z115" s="2487"/>
      <c r="AA115" s="2487"/>
      <c r="AB115" s="2487"/>
      <c r="AC115" s="2487"/>
      <c r="AD115" s="2487"/>
      <c r="AE115" s="2487"/>
      <c r="AF115" s="2487"/>
      <c r="AG115" s="2487"/>
      <c r="AH115" s="2487"/>
      <c r="AI115" s="2487"/>
      <c r="AJ115" s="2487"/>
      <c r="AK115" s="2487"/>
      <c r="AL115" s="2487"/>
      <c r="AM115" s="2487"/>
    </row>
    <row r="116" spans="1:39" ht="11.25" customHeight="1" x14ac:dyDescent="0.25">
      <c r="A116" s="2487"/>
      <c r="B116" s="2487"/>
      <c r="C116" s="2487"/>
      <c r="D116" s="2487"/>
      <c r="E116" s="2487"/>
      <c r="F116" s="2487"/>
      <c r="G116" s="2487"/>
      <c r="H116" s="2487"/>
      <c r="I116" s="2487"/>
      <c r="J116" s="2487"/>
      <c r="K116" s="2487"/>
      <c r="L116" s="2487"/>
      <c r="M116" s="2487"/>
      <c r="N116" s="2487"/>
      <c r="O116" s="2487"/>
      <c r="P116" s="2487"/>
      <c r="Q116" s="2487"/>
      <c r="R116" s="2487"/>
      <c r="S116" s="2487"/>
      <c r="T116" s="2487"/>
      <c r="U116" s="2487"/>
      <c r="V116" s="2487"/>
      <c r="W116" s="2487"/>
      <c r="X116" s="2487"/>
      <c r="Y116" s="2487"/>
      <c r="Z116" s="2487"/>
      <c r="AA116" s="2487"/>
      <c r="AB116" s="2487"/>
      <c r="AC116" s="2487"/>
      <c r="AD116" s="2487"/>
      <c r="AE116" s="2487"/>
      <c r="AF116" s="2487"/>
      <c r="AG116" s="2487"/>
      <c r="AH116" s="2487"/>
      <c r="AI116" s="2487"/>
      <c r="AJ116" s="2487"/>
      <c r="AK116" s="2487"/>
      <c r="AL116" s="2487"/>
      <c r="AM116" s="2487"/>
    </row>
    <row r="117" spans="1:39" ht="11.25" customHeight="1" x14ac:dyDescent="0.25">
      <c r="A117" s="2487"/>
      <c r="B117" s="2487"/>
      <c r="C117" s="2487"/>
      <c r="D117" s="2487"/>
      <c r="E117" s="2487"/>
      <c r="F117" s="2487"/>
      <c r="G117" s="2487"/>
      <c r="H117" s="2487"/>
      <c r="I117" s="2487"/>
      <c r="J117" s="2487"/>
      <c r="K117" s="2487"/>
      <c r="L117" s="2487"/>
      <c r="M117" s="2487"/>
      <c r="N117" s="2487"/>
      <c r="O117" s="2487"/>
      <c r="P117" s="2487"/>
      <c r="Q117" s="2487"/>
      <c r="R117" s="2487"/>
      <c r="S117" s="2487"/>
      <c r="T117" s="2487"/>
      <c r="U117" s="2487"/>
      <c r="V117" s="2487"/>
      <c r="W117" s="2487"/>
      <c r="X117" s="2487"/>
      <c r="Y117" s="2487"/>
      <c r="Z117" s="2487"/>
      <c r="AA117" s="2487"/>
      <c r="AB117" s="2487"/>
      <c r="AC117" s="2487"/>
      <c r="AD117" s="2487"/>
      <c r="AE117" s="2487"/>
      <c r="AF117" s="2487"/>
      <c r="AG117" s="2487"/>
      <c r="AH117" s="2487"/>
      <c r="AI117" s="2487"/>
      <c r="AJ117" s="2487"/>
      <c r="AK117" s="2487"/>
      <c r="AL117" s="2487"/>
      <c r="AM117" s="2487"/>
    </row>
    <row r="118" spans="1:39" ht="11.25" customHeight="1" x14ac:dyDescent="0.25">
      <c r="A118" s="2487"/>
      <c r="B118" s="2487"/>
      <c r="C118" s="2487"/>
      <c r="D118" s="2487"/>
      <c r="E118" s="2487"/>
      <c r="F118" s="2487"/>
      <c r="G118" s="2487"/>
      <c r="H118" s="2487"/>
      <c r="I118" s="2487"/>
      <c r="J118" s="2487"/>
      <c r="K118" s="2487"/>
      <c r="L118" s="2487"/>
      <c r="M118" s="2487"/>
      <c r="N118" s="2487"/>
      <c r="O118" s="2487"/>
      <c r="P118" s="2487"/>
      <c r="Q118" s="2487"/>
      <c r="R118" s="2487"/>
      <c r="S118" s="2487"/>
      <c r="T118" s="2487"/>
      <c r="U118" s="2487"/>
      <c r="V118" s="2487"/>
      <c r="W118" s="2487"/>
      <c r="X118" s="2487"/>
      <c r="Y118" s="2487"/>
      <c r="Z118" s="2487"/>
      <c r="AA118" s="2487"/>
      <c r="AB118" s="2487"/>
      <c r="AC118" s="2487"/>
      <c r="AD118" s="2487"/>
      <c r="AE118" s="2487"/>
      <c r="AF118" s="2487"/>
      <c r="AG118" s="2487"/>
      <c r="AH118" s="2487"/>
      <c r="AI118" s="2487"/>
      <c r="AJ118" s="2487"/>
      <c r="AK118" s="2487"/>
      <c r="AL118" s="2487"/>
      <c r="AM118" s="2487"/>
    </row>
    <row r="119" spans="1:39" ht="11.25" customHeight="1" x14ac:dyDescent="0.25">
      <c r="A119" s="2487"/>
      <c r="B119" s="2487"/>
      <c r="C119" s="2487"/>
      <c r="D119" s="2487"/>
      <c r="E119" s="2487"/>
      <c r="F119" s="2487"/>
      <c r="G119" s="2487"/>
      <c r="H119" s="2487"/>
      <c r="I119" s="2487"/>
      <c r="J119" s="2487"/>
      <c r="K119" s="2487"/>
      <c r="L119" s="2487"/>
      <c r="M119" s="2487"/>
      <c r="N119" s="2487"/>
      <c r="O119" s="2487"/>
      <c r="P119" s="2487"/>
      <c r="Q119" s="2487"/>
      <c r="R119" s="2487"/>
      <c r="S119" s="2487"/>
      <c r="T119" s="2487"/>
      <c r="U119" s="2487"/>
      <c r="V119" s="2487"/>
      <c r="W119" s="2487"/>
      <c r="X119" s="2487"/>
      <c r="Y119" s="2487"/>
      <c r="Z119" s="2487"/>
      <c r="AA119" s="2487"/>
      <c r="AB119" s="2487"/>
      <c r="AC119" s="2487"/>
      <c r="AD119" s="2487"/>
      <c r="AE119" s="2487"/>
      <c r="AF119" s="2487"/>
      <c r="AG119" s="2487"/>
      <c r="AH119" s="2487"/>
      <c r="AI119" s="2487"/>
      <c r="AJ119" s="2487"/>
      <c r="AK119" s="2487"/>
      <c r="AL119" s="2487"/>
      <c r="AM119" s="2487"/>
    </row>
    <row r="120" spans="1:39" ht="11.25" customHeight="1" x14ac:dyDescent="0.25">
      <c r="A120" s="2487"/>
      <c r="B120" s="2487"/>
      <c r="C120" s="2487"/>
      <c r="D120" s="2487"/>
      <c r="E120" s="2487"/>
      <c r="F120" s="2487"/>
      <c r="G120" s="2487"/>
      <c r="H120" s="2487"/>
      <c r="I120" s="2487"/>
      <c r="J120" s="2487"/>
      <c r="K120" s="2487"/>
      <c r="L120" s="2487"/>
      <c r="M120" s="2487"/>
      <c r="N120" s="2487"/>
      <c r="O120" s="2487"/>
      <c r="P120" s="2487"/>
      <c r="Q120" s="2487"/>
      <c r="R120" s="2487"/>
      <c r="S120" s="2487"/>
      <c r="T120" s="2487"/>
      <c r="U120" s="2487"/>
      <c r="V120" s="2487"/>
      <c r="W120" s="2487"/>
      <c r="X120" s="2487"/>
      <c r="Y120" s="2487"/>
      <c r="Z120" s="2487"/>
      <c r="AA120" s="2487"/>
      <c r="AB120" s="2487"/>
      <c r="AC120" s="2487"/>
      <c r="AD120" s="2487"/>
      <c r="AE120" s="2487"/>
      <c r="AF120" s="2487"/>
      <c r="AG120" s="2487"/>
      <c r="AH120" s="2487"/>
      <c r="AI120" s="2487"/>
      <c r="AJ120" s="2487"/>
      <c r="AK120" s="2487"/>
      <c r="AL120" s="2487"/>
      <c r="AM120" s="2487"/>
    </row>
    <row r="121" spans="1:39" ht="11.25" customHeight="1" x14ac:dyDescent="0.25">
      <c r="A121" s="2487"/>
      <c r="B121" s="2487"/>
      <c r="C121" s="2487"/>
      <c r="D121" s="2487"/>
      <c r="E121" s="2487"/>
      <c r="F121" s="2487"/>
      <c r="G121" s="2487"/>
      <c r="H121" s="2487"/>
      <c r="I121" s="2487"/>
      <c r="J121" s="2487"/>
      <c r="K121" s="2487"/>
      <c r="L121" s="2487"/>
      <c r="M121" s="2487"/>
      <c r="N121" s="2487"/>
      <c r="O121" s="2487"/>
      <c r="P121" s="2487"/>
      <c r="Q121" s="2487"/>
      <c r="R121" s="2487"/>
      <c r="S121" s="2487"/>
      <c r="T121" s="2487"/>
      <c r="U121" s="2487"/>
      <c r="V121" s="2487"/>
      <c r="W121" s="2487"/>
      <c r="X121" s="2487"/>
      <c r="Y121" s="2487"/>
      <c r="Z121" s="2487"/>
      <c r="AA121" s="2487"/>
      <c r="AB121" s="2487"/>
      <c r="AC121" s="2487"/>
      <c r="AD121" s="2487"/>
      <c r="AE121" s="2487"/>
      <c r="AF121" s="2487"/>
      <c r="AG121" s="2487"/>
      <c r="AH121" s="2487"/>
      <c r="AI121" s="2487"/>
      <c r="AJ121" s="2487"/>
      <c r="AK121" s="2487"/>
      <c r="AL121" s="2487"/>
      <c r="AM121" s="2487"/>
    </row>
    <row r="122" spans="1:39" ht="11.25" customHeight="1" x14ac:dyDescent="0.25">
      <c r="A122" s="2487"/>
      <c r="B122" s="2487"/>
      <c r="C122" s="2487"/>
      <c r="D122" s="2487"/>
      <c r="E122" s="2487"/>
      <c r="F122" s="2487"/>
      <c r="G122" s="2487"/>
      <c r="H122" s="2487"/>
      <c r="I122" s="2487"/>
      <c r="J122" s="2487"/>
      <c r="K122" s="2487"/>
      <c r="L122" s="2487"/>
      <c r="M122" s="2487"/>
      <c r="N122" s="2487"/>
      <c r="O122" s="2487"/>
      <c r="P122" s="2487"/>
      <c r="Q122" s="2487"/>
      <c r="R122" s="2487"/>
      <c r="S122" s="2487"/>
      <c r="T122" s="2487"/>
      <c r="U122" s="2487"/>
      <c r="V122" s="2487"/>
      <c r="W122" s="2487"/>
      <c r="X122" s="2487"/>
      <c r="Y122" s="2487"/>
      <c r="Z122" s="2487"/>
      <c r="AA122" s="2487"/>
      <c r="AB122" s="2487"/>
      <c r="AC122" s="2487"/>
      <c r="AD122" s="2487"/>
      <c r="AE122" s="2487"/>
      <c r="AF122" s="2487"/>
      <c r="AG122" s="2487"/>
      <c r="AH122" s="2487"/>
      <c r="AI122" s="2487"/>
      <c r="AJ122" s="2487"/>
      <c r="AK122" s="2487"/>
      <c r="AL122" s="2487"/>
      <c r="AM122" s="2487"/>
    </row>
    <row r="123" spans="1:39" ht="11.25" customHeight="1" x14ac:dyDescent="0.25">
      <c r="A123" s="2487"/>
      <c r="B123" s="2487"/>
      <c r="C123" s="2487"/>
      <c r="D123" s="2487"/>
      <c r="E123" s="2487"/>
      <c r="F123" s="2487"/>
      <c r="G123" s="2487"/>
      <c r="H123" s="2487"/>
      <c r="I123" s="2487"/>
      <c r="J123" s="2487"/>
      <c r="K123" s="2487"/>
      <c r="L123" s="2487"/>
      <c r="M123" s="2487"/>
      <c r="N123" s="2487"/>
      <c r="O123" s="2487"/>
      <c r="P123" s="2487"/>
      <c r="Q123" s="2487"/>
      <c r="R123" s="2487"/>
      <c r="S123" s="2487"/>
      <c r="T123" s="2487"/>
      <c r="U123" s="2487"/>
      <c r="V123" s="2487"/>
      <c r="W123" s="2487"/>
      <c r="X123" s="2487"/>
      <c r="Y123" s="2487"/>
      <c r="Z123" s="2487"/>
      <c r="AA123" s="2487"/>
      <c r="AB123" s="2487"/>
      <c r="AC123" s="2487"/>
      <c r="AD123" s="2487"/>
      <c r="AE123" s="2487"/>
      <c r="AF123" s="2487"/>
      <c r="AG123" s="2487"/>
      <c r="AH123" s="2487"/>
      <c r="AI123" s="2487"/>
      <c r="AJ123" s="2487"/>
      <c r="AK123" s="2487"/>
      <c r="AL123" s="2487"/>
      <c r="AM123" s="2487"/>
    </row>
    <row r="124" spans="1:39" ht="11.25" customHeight="1" x14ac:dyDescent="0.25">
      <c r="A124" s="2487"/>
      <c r="B124" s="2487"/>
      <c r="C124" s="2487"/>
      <c r="D124" s="2487"/>
      <c r="E124" s="2487"/>
      <c r="F124" s="2487"/>
      <c r="G124" s="2487"/>
      <c r="H124" s="2487"/>
      <c r="I124" s="2487"/>
      <c r="J124" s="2487"/>
      <c r="K124" s="2487"/>
      <c r="L124" s="2487"/>
      <c r="M124" s="2487"/>
      <c r="N124" s="2487"/>
      <c r="O124" s="2487"/>
      <c r="P124" s="2487"/>
      <c r="Q124" s="2487"/>
      <c r="R124" s="2487"/>
      <c r="S124" s="2487"/>
      <c r="T124" s="2487"/>
      <c r="U124" s="2487"/>
      <c r="V124" s="2487"/>
      <c r="W124" s="2487"/>
      <c r="X124" s="2487"/>
      <c r="Y124" s="2487"/>
      <c r="Z124" s="2487"/>
      <c r="AA124" s="2487"/>
      <c r="AB124" s="2487"/>
      <c r="AC124" s="2487"/>
      <c r="AD124" s="2487"/>
      <c r="AE124" s="2487"/>
      <c r="AF124" s="2487"/>
      <c r="AG124" s="2487"/>
      <c r="AH124" s="2487"/>
      <c r="AI124" s="2487"/>
      <c r="AJ124" s="2487"/>
      <c r="AK124" s="2487"/>
      <c r="AL124" s="2487"/>
      <c r="AM124" s="2487"/>
    </row>
    <row r="125" spans="1:39" ht="11.25" customHeight="1" x14ac:dyDescent="0.25">
      <c r="A125" s="2487"/>
      <c r="B125" s="2487"/>
      <c r="C125" s="2487"/>
      <c r="D125" s="2487"/>
      <c r="E125" s="2487"/>
      <c r="F125" s="2487"/>
      <c r="G125" s="2487"/>
      <c r="H125" s="2487"/>
      <c r="I125" s="2487"/>
      <c r="J125" s="2487"/>
      <c r="K125" s="2487"/>
      <c r="L125" s="2487"/>
      <c r="M125" s="2487"/>
      <c r="N125" s="2487"/>
      <c r="O125" s="2487"/>
      <c r="P125" s="2487"/>
      <c r="Q125" s="2487"/>
      <c r="R125" s="2487"/>
      <c r="S125" s="2487"/>
      <c r="T125" s="2487"/>
      <c r="U125" s="2487"/>
      <c r="V125" s="2487"/>
      <c r="W125" s="2487"/>
      <c r="X125" s="2487"/>
      <c r="Y125" s="2487"/>
      <c r="Z125" s="2487"/>
      <c r="AA125" s="2487"/>
      <c r="AB125" s="2487"/>
      <c r="AC125" s="2487"/>
      <c r="AD125" s="2487"/>
      <c r="AE125" s="2487"/>
      <c r="AF125" s="2487"/>
      <c r="AG125" s="2487"/>
      <c r="AH125" s="2487"/>
      <c r="AI125" s="2487"/>
      <c r="AJ125" s="2487"/>
      <c r="AK125" s="2487"/>
      <c r="AL125" s="2487"/>
      <c r="AM125" s="2487"/>
    </row>
    <row r="126" spans="1:39" ht="11.25" customHeight="1" x14ac:dyDescent="0.25">
      <c r="A126" s="2487"/>
      <c r="B126" s="2487"/>
      <c r="C126" s="2487"/>
      <c r="D126" s="2487"/>
      <c r="E126" s="2487"/>
      <c r="F126" s="2487"/>
      <c r="G126" s="2487"/>
      <c r="H126" s="2487"/>
      <c r="I126" s="2487"/>
      <c r="J126" s="2487"/>
      <c r="K126" s="2487"/>
      <c r="L126" s="2487"/>
      <c r="M126" s="2487"/>
      <c r="N126" s="2487"/>
      <c r="O126" s="2487"/>
      <c r="P126" s="2487"/>
      <c r="Q126" s="2487"/>
      <c r="R126" s="2487"/>
      <c r="S126" s="2487"/>
      <c r="T126" s="2487"/>
      <c r="U126" s="2487"/>
      <c r="V126" s="2487"/>
      <c r="W126" s="2487"/>
      <c r="X126" s="2487"/>
      <c r="Y126" s="2487"/>
      <c r="Z126" s="2487"/>
      <c r="AA126" s="2487"/>
      <c r="AB126" s="2487"/>
      <c r="AC126" s="2487"/>
      <c r="AD126" s="2487"/>
      <c r="AE126" s="2487"/>
      <c r="AF126" s="2487"/>
      <c r="AG126" s="2487"/>
      <c r="AH126" s="2487"/>
      <c r="AI126" s="2487"/>
      <c r="AJ126" s="2487"/>
      <c r="AK126" s="2487"/>
      <c r="AL126" s="2487"/>
      <c r="AM126" s="2487"/>
    </row>
    <row r="127" spans="1:39" ht="11.25" customHeight="1" x14ac:dyDescent="0.25">
      <c r="A127" s="2487"/>
      <c r="B127" s="2487"/>
      <c r="C127" s="2487"/>
      <c r="D127" s="2487"/>
      <c r="E127" s="2487"/>
      <c r="F127" s="2487"/>
      <c r="G127" s="2487"/>
      <c r="H127" s="2487"/>
      <c r="I127" s="2487"/>
      <c r="J127" s="2487"/>
      <c r="K127" s="2487"/>
      <c r="L127" s="2487"/>
      <c r="M127" s="2487"/>
      <c r="N127" s="2487"/>
      <c r="O127" s="2487"/>
      <c r="P127" s="2487"/>
      <c r="Q127" s="2487"/>
      <c r="R127" s="2487"/>
      <c r="S127" s="2487"/>
      <c r="T127" s="2487"/>
      <c r="U127" s="2487"/>
      <c r="V127" s="2487"/>
      <c r="W127" s="2487"/>
      <c r="X127" s="2487"/>
      <c r="Y127" s="2487"/>
      <c r="Z127" s="2487"/>
      <c r="AA127" s="2487"/>
      <c r="AB127" s="2487"/>
      <c r="AC127" s="2487"/>
      <c r="AD127" s="2487"/>
      <c r="AE127" s="2487"/>
      <c r="AF127" s="2487"/>
      <c r="AG127" s="2487"/>
      <c r="AH127" s="2487"/>
      <c r="AI127" s="2487"/>
      <c r="AJ127" s="2487"/>
      <c r="AK127" s="2487"/>
      <c r="AL127" s="2487"/>
      <c r="AM127" s="2487"/>
    </row>
    <row r="128" spans="1:39" ht="11.25" customHeight="1" x14ac:dyDescent="0.25">
      <c r="A128" s="2487"/>
      <c r="B128" s="2487"/>
      <c r="C128" s="2487"/>
      <c r="D128" s="2487"/>
      <c r="E128" s="2487"/>
      <c r="F128" s="2487"/>
      <c r="G128" s="2487"/>
      <c r="H128" s="2487"/>
      <c r="I128" s="2487"/>
      <c r="J128" s="2487"/>
      <c r="K128" s="2487"/>
      <c r="L128" s="2487"/>
      <c r="M128" s="2487"/>
      <c r="N128" s="2487"/>
      <c r="O128" s="2487"/>
      <c r="P128" s="2487"/>
      <c r="Q128" s="2487"/>
      <c r="R128" s="2487"/>
      <c r="S128" s="2487"/>
      <c r="T128" s="2487"/>
      <c r="U128" s="2487"/>
      <c r="V128" s="2487"/>
      <c r="W128" s="2487"/>
      <c r="X128" s="2487"/>
      <c r="Y128" s="2487"/>
      <c r="Z128" s="2487"/>
      <c r="AA128" s="2487"/>
      <c r="AB128" s="2487"/>
      <c r="AC128" s="2487"/>
      <c r="AD128" s="2487"/>
      <c r="AE128" s="2487"/>
      <c r="AF128" s="2487"/>
      <c r="AG128" s="2487"/>
      <c r="AH128" s="2487"/>
      <c r="AI128" s="2487"/>
      <c r="AJ128" s="2487"/>
      <c r="AK128" s="2487"/>
      <c r="AL128" s="2487"/>
      <c r="AM128" s="2487"/>
    </row>
    <row r="129" spans="1:39" ht="11.25" customHeight="1" x14ac:dyDescent="0.25">
      <c r="A129" s="2487"/>
      <c r="B129" s="2487"/>
      <c r="C129" s="2487"/>
      <c r="D129" s="2487"/>
      <c r="E129" s="2487"/>
      <c r="F129" s="2487"/>
      <c r="G129" s="2487"/>
      <c r="H129" s="2487"/>
      <c r="I129" s="2487"/>
      <c r="J129" s="2487"/>
      <c r="K129" s="2487"/>
      <c r="L129" s="2487"/>
      <c r="M129" s="2487"/>
      <c r="N129" s="2487"/>
      <c r="O129" s="2487"/>
      <c r="P129" s="2487"/>
      <c r="Q129" s="2487"/>
      <c r="R129" s="2487"/>
      <c r="S129" s="2487"/>
      <c r="T129" s="2487"/>
      <c r="U129" s="2487"/>
      <c r="V129" s="2487"/>
      <c r="W129" s="2487"/>
      <c r="X129" s="2487"/>
      <c r="Y129" s="2487"/>
      <c r="Z129" s="2487"/>
      <c r="AA129" s="2487"/>
      <c r="AB129" s="2487"/>
      <c r="AC129" s="2487"/>
      <c r="AD129" s="2487"/>
      <c r="AE129" s="2487"/>
      <c r="AF129" s="2487"/>
      <c r="AG129" s="2487"/>
      <c r="AH129" s="2487"/>
      <c r="AI129" s="2487"/>
      <c r="AJ129" s="2487"/>
      <c r="AK129" s="2487"/>
      <c r="AL129" s="2487"/>
      <c r="AM129" s="2487"/>
    </row>
    <row r="130" spans="1:39" ht="11.25" customHeight="1" x14ac:dyDescent="0.25">
      <c r="A130" s="2487"/>
      <c r="B130" s="2487"/>
      <c r="C130" s="2487"/>
      <c r="D130" s="2487"/>
      <c r="E130" s="2487"/>
      <c r="F130" s="2487"/>
      <c r="G130" s="2487"/>
      <c r="H130" s="2487"/>
      <c r="I130" s="2487"/>
      <c r="J130" s="2487"/>
      <c r="K130" s="2487"/>
      <c r="L130" s="2487"/>
      <c r="M130" s="2487"/>
      <c r="N130" s="2487"/>
      <c r="O130" s="2487"/>
      <c r="P130" s="2487"/>
      <c r="Q130" s="2487"/>
      <c r="R130" s="2487"/>
      <c r="S130" s="2487"/>
      <c r="T130" s="2487"/>
      <c r="U130" s="2487"/>
      <c r="V130" s="2487"/>
      <c r="W130" s="2487"/>
      <c r="X130" s="2487"/>
      <c r="Y130" s="2487"/>
      <c r="Z130" s="2487"/>
      <c r="AA130" s="2487"/>
      <c r="AB130" s="2487"/>
      <c r="AC130" s="2487"/>
      <c r="AD130" s="2487"/>
      <c r="AE130" s="2487"/>
      <c r="AF130" s="2487"/>
      <c r="AG130" s="2487"/>
      <c r="AH130" s="2487"/>
      <c r="AI130" s="2487"/>
      <c r="AJ130" s="2487"/>
      <c r="AK130" s="2487"/>
      <c r="AL130" s="2487"/>
      <c r="AM130" s="2487"/>
    </row>
    <row r="131" spans="1:39" ht="11.25" customHeight="1" x14ac:dyDescent="0.25">
      <c r="A131" s="2487"/>
      <c r="B131" s="2487"/>
      <c r="C131" s="2487"/>
      <c r="D131" s="2487"/>
      <c r="E131" s="2487"/>
      <c r="F131" s="2487"/>
      <c r="G131" s="2487"/>
      <c r="H131" s="2487"/>
      <c r="I131" s="2487"/>
      <c r="J131" s="2487"/>
      <c r="K131" s="2487"/>
      <c r="L131" s="2487"/>
      <c r="M131" s="2487"/>
      <c r="N131" s="2487"/>
      <c r="O131" s="2487"/>
      <c r="P131" s="2487"/>
      <c r="Q131" s="2487"/>
      <c r="R131" s="2487"/>
      <c r="S131" s="2487"/>
      <c r="T131" s="2487"/>
      <c r="U131" s="2487"/>
      <c r="V131" s="2487"/>
      <c r="W131" s="2487"/>
      <c r="X131" s="2487"/>
      <c r="Y131" s="2487"/>
      <c r="Z131" s="2487"/>
      <c r="AA131" s="2487"/>
      <c r="AB131" s="2487"/>
      <c r="AC131" s="2487"/>
      <c r="AD131" s="2487"/>
      <c r="AE131" s="2487"/>
      <c r="AF131" s="2487"/>
      <c r="AG131" s="2487"/>
      <c r="AH131" s="2487"/>
      <c r="AI131" s="2487"/>
      <c r="AJ131" s="2487"/>
      <c r="AK131" s="2487"/>
      <c r="AL131" s="2487"/>
      <c r="AM131" s="2487"/>
    </row>
    <row r="132" spans="1:39" ht="11.25" customHeight="1" x14ac:dyDescent="0.25">
      <c r="A132" s="2487"/>
      <c r="B132" s="2487"/>
      <c r="C132" s="2487"/>
      <c r="D132" s="2487"/>
      <c r="E132" s="2487"/>
      <c r="F132" s="2487"/>
      <c r="G132" s="2487"/>
      <c r="H132" s="2487"/>
      <c r="I132" s="2487"/>
      <c r="J132" s="2487"/>
      <c r="K132" s="2487"/>
      <c r="L132" s="2487"/>
      <c r="M132" s="2487"/>
      <c r="N132" s="2487"/>
      <c r="O132" s="2487"/>
      <c r="P132" s="2487"/>
      <c r="Q132" s="2487"/>
      <c r="R132" s="2487"/>
      <c r="S132" s="2487"/>
      <c r="T132" s="2487"/>
      <c r="U132" s="2487"/>
      <c r="V132" s="2487"/>
      <c r="W132" s="2487"/>
      <c r="X132" s="2487"/>
      <c r="Y132" s="2487"/>
      <c r="Z132" s="2487"/>
      <c r="AA132" s="2487"/>
      <c r="AB132" s="2487"/>
      <c r="AC132" s="2487"/>
      <c r="AD132" s="2487"/>
      <c r="AE132" s="2487"/>
      <c r="AF132" s="2487"/>
      <c r="AG132" s="2487"/>
      <c r="AH132" s="2487"/>
      <c r="AI132" s="2487"/>
      <c r="AJ132" s="2487"/>
      <c r="AK132" s="2487"/>
      <c r="AL132" s="2487"/>
      <c r="AM132" s="2487"/>
    </row>
    <row r="133" spans="1:39" ht="11.25" customHeight="1" x14ac:dyDescent="0.25">
      <c r="A133" s="2487"/>
      <c r="B133" s="2487"/>
      <c r="C133" s="2487"/>
      <c r="D133" s="2487"/>
      <c r="E133" s="2487"/>
      <c r="F133" s="2487"/>
      <c r="G133" s="2487"/>
      <c r="H133" s="2487"/>
      <c r="I133" s="2487"/>
      <c r="J133" s="2487"/>
      <c r="K133" s="2487"/>
      <c r="L133" s="2487"/>
      <c r="M133" s="2487"/>
      <c r="N133" s="2487"/>
      <c r="O133" s="2487"/>
      <c r="P133" s="2487"/>
      <c r="Q133" s="2487"/>
      <c r="R133" s="2487"/>
      <c r="S133" s="2487"/>
      <c r="T133" s="2487"/>
      <c r="U133" s="2487"/>
      <c r="V133" s="2487"/>
      <c r="W133" s="2487"/>
      <c r="X133" s="2487"/>
      <c r="Y133" s="2487"/>
      <c r="Z133" s="2487"/>
      <c r="AA133" s="2487"/>
      <c r="AB133" s="2487"/>
      <c r="AC133" s="2487"/>
      <c r="AD133" s="2487"/>
      <c r="AE133" s="2487"/>
      <c r="AF133" s="2487"/>
      <c r="AG133" s="2487"/>
      <c r="AH133" s="2487"/>
      <c r="AI133" s="2487"/>
      <c r="AJ133" s="2487"/>
      <c r="AK133" s="2487"/>
      <c r="AL133" s="2487"/>
      <c r="AM133" s="2487"/>
    </row>
    <row r="134" spans="1:39" ht="11.25" customHeight="1" x14ac:dyDescent="0.25">
      <c r="A134" s="2487"/>
      <c r="B134" s="2487"/>
      <c r="C134" s="2487"/>
      <c r="D134" s="2487"/>
      <c r="E134" s="2487"/>
      <c r="F134" s="2487"/>
      <c r="G134" s="2487"/>
      <c r="H134" s="2487"/>
      <c r="I134" s="2487"/>
      <c r="J134" s="2487"/>
      <c r="K134" s="2487"/>
      <c r="L134" s="2487"/>
      <c r="M134" s="2487"/>
      <c r="N134" s="2487"/>
      <c r="O134" s="2487"/>
      <c r="P134" s="2487"/>
      <c r="Q134" s="2487"/>
      <c r="R134" s="2487"/>
      <c r="S134" s="2487"/>
      <c r="T134" s="2487"/>
      <c r="U134" s="2487"/>
      <c r="V134" s="2487"/>
      <c r="W134" s="2487"/>
      <c r="X134" s="2487"/>
      <c r="Y134" s="2487"/>
      <c r="Z134" s="2487"/>
      <c r="AA134" s="2487"/>
      <c r="AB134" s="2487"/>
      <c r="AC134" s="2487"/>
      <c r="AD134" s="2487"/>
      <c r="AE134" s="2487"/>
      <c r="AF134" s="2487"/>
      <c r="AG134" s="2487"/>
      <c r="AH134" s="2487"/>
      <c r="AI134" s="2487"/>
      <c r="AJ134" s="2487"/>
      <c r="AK134" s="2487"/>
      <c r="AL134" s="2487"/>
      <c r="AM134" s="2487"/>
    </row>
    <row r="135" spans="1:39" ht="11.25" customHeight="1" x14ac:dyDescent="0.25">
      <c r="A135" s="2487"/>
      <c r="B135" s="2487"/>
      <c r="C135" s="2487"/>
      <c r="D135" s="2487"/>
      <c r="E135" s="2487"/>
      <c r="F135" s="2487"/>
      <c r="G135" s="2487"/>
      <c r="H135" s="2487"/>
      <c r="I135" s="2487"/>
      <c r="J135" s="2487"/>
      <c r="K135" s="2487"/>
      <c r="L135" s="2487"/>
      <c r="M135" s="2487"/>
      <c r="N135" s="2487"/>
      <c r="O135" s="2487"/>
      <c r="P135" s="2487"/>
      <c r="Q135" s="2487"/>
      <c r="R135" s="2487"/>
      <c r="S135" s="2487"/>
      <c r="T135" s="2487"/>
      <c r="U135" s="2487"/>
      <c r="V135" s="2487"/>
      <c r="W135" s="2487"/>
      <c r="X135" s="2487"/>
      <c r="Y135" s="2487"/>
      <c r="Z135" s="2487"/>
      <c r="AA135" s="2487"/>
      <c r="AB135" s="2487"/>
      <c r="AC135" s="2487"/>
      <c r="AD135" s="2487"/>
      <c r="AE135" s="2487"/>
      <c r="AF135" s="2487"/>
      <c r="AG135" s="2487"/>
      <c r="AH135" s="2487"/>
      <c r="AI135" s="2487"/>
      <c r="AJ135" s="2487"/>
      <c r="AK135" s="2487"/>
      <c r="AL135" s="2487"/>
      <c r="AM135" s="2487"/>
    </row>
    <row r="136" spans="1:39" ht="11.25" customHeight="1" x14ac:dyDescent="0.25">
      <c r="A136" s="2487"/>
      <c r="B136" s="2487"/>
      <c r="C136" s="2487"/>
      <c r="D136" s="2487"/>
      <c r="E136" s="2487"/>
      <c r="F136" s="2487"/>
      <c r="G136" s="2487"/>
      <c r="H136" s="2487"/>
      <c r="I136" s="2487"/>
      <c r="J136" s="2487"/>
      <c r="K136" s="2487"/>
      <c r="L136" s="2487"/>
      <c r="M136" s="2487"/>
      <c r="N136" s="2487"/>
      <c r="O136" s="2487"/>
      <c r="P136" s="2487"/>
      <c r="Q136" s="2487"/>
      <c r="R136" s="2487"/>
      <c r="S136" s="2487"/>
      <c r="T136" s="2487"/>
      <c r="U136" s="2487"/>
      <c r="V136" s="2487"/>
      <c r="W136" s="2487"/>
      <c r="X136" s="2487"/>
      <c r="Y136" s="2487"/>
      <c r="Z136" s="2487"/>
      <c r="AA136" s="2487"/>
      <c r="AB136" s="2487"/>
      <c r="AC136" s="2487"/>
      <c r="AD136" s="2487"/>
      <c r="AE136" s="2487"/>
      <c r="AF136" s="2487"/>
      <c r="AG136" s="2487"/>
      <c r="AH136" s="2487"/>
      <c r="AI136" s="2487"/>
      <c r="AJ136" s="2487"/>
      <c r="AK136" s="2487"/>
      <c r="AL136" s="2487"/>
      <c r="AM136" s="2487"/>
    </row>
    <row r="137" spans="1:39" ht="11.25" customHeight="1" x14ac:dyDescent="0.25">
      <c r="A137" s="2487"/>
      <c r="B137" s="2487"/>
      <c r="C137" s="2487"/>
      <c r="D137" s="2487"/>
      <c r="E137" s="2487"/>
      <c r="F137" s="2487"/>
      <c r="G137" s="2487"/>
      <c r="H137" s="2487"/>
      <c r="I137" s="2487"/>
      <c r="J137" s="2487"/>
      <c r="K137" s="2487"/>
      <c r="L137" s="2487"/>
      <c r="M137" s="2487"/>
      <c r="N137" s="2487"/>
      <c r="O137" s="2487"/>
      <c r="P137" s="2487"/>
      <c r="Q137" s="2487"/>
      <c r="R137" s="2487"/>
      <c r="S137" s="2487"/>
      <c r="T137" s="2487"/>
      <c r="U137" s="2487"/>
      <c r="V137" s="2487"/>
      <c r="W137" s="2487"/>
      <c r="X137" s="2487"/>
      <c r="Y137" s="2487"/>
      <c r="Z137" s="2487"/>
      <c r="AA137" s="2487"/>
      <c r="AB137" s="2487"/>
      <c r="AC137" s="2487"/>
      <c r="AD137" s="2487"/>
      <c r="AE137" s="2487"/>
      <c r="AF137" s="2487"/>
      <c r="AG137" s="2487"/>
      <c r="AH137" s="2487"/>
      <c r="AI137" s="2487"/>
      <c r="AJ137" s="2487"/>
      <c r="AK137" s="2487"/>
      <c r="AL137" s="2487"/>
      <c r="AM137" s="2487"/>
    </row>
    <row r="138" spans="1:39" ht="11.25" customHeight="1" x14ac:dyDescent="0.25">
      <c r="A138" s="2487"/>
      <c r="B138" s="2487"/>
      <c r="C138" s="2487"/>
      <c r="D138" s="2487"/>
      <c r="E138" s="2487"/>
      <c r="F138" s="2487"/>
      <c r="G138" s="2487"/>
      <c r="H138" s="2487"/>
      <c r="I138" s="2487"/>
      <c r="J138" s="2487"/>
      <c r="K138" s="2487"/>
      <c r="L138" s="2487"/>
      <c r="M138" s="2487"/>
      <c r="N138" s="2487"/>
      <c r="O138" s="2487"/>
      <c r="P138" s="2487"/>
      <c r="Q138" s="2487"/>
      <c r="R138" s="2487"/>
      <c r="S138" s="2487"/>
      <c r="T138" s="2487"/>
      <c r="U138" s="2487"/>
      <c r="V138" s="2487"/>
      <c r="W138" s="2487"/>
      <c r="X138" s="2487"/>
      <c r="Y138" s="2487"/>
      <c r="Z138" s="2487"/>
      <c r="AA138" s="2487"/>
      <c r="AB138" s="2487"/>
      <c r="AC138" s="2487"/>
      <c r="AD138" s="2487"/>
      <c r="AE138" s="2487"/>
      <c r="AF138" s="2487"/>
      <c r="AG138" s="2487"/>
      <c r="AH138" s="2487"/>
      <c r="AI138" s="2487"/>
      <c r="AJ138" s="2487"/>
      <c r="AK138" s="2487"/>
      <c r="AL138" s="2487"/>
      <c r="AM138" s="2487"/>
    </row>
    <row r="139" spans="1:39" ht="11.25" customHeight="1" x14ac:dyDescent="0.25">
      <c r="A139" s="2487"/>
      <c r="B139" s="2487"/>
      <c r="C139" s="2487"/>
      <c r="D139" s="2487"/>
      <c r="E139" s="2487"/>
      <c r="F139" s="2487"/>
      <c r="G139" s="2487"/>
      <c r="H139" s="2487"/>
      <c r="I139" s="2487"/>
      <c r="J139" s="2487"/>
      <c r="K139" s="2487"/>
      <c r="L139" s="2487"/>
      <c r="M139" s="2487"/>
      <c r="N139" s="2487"/>
      <c r="O139" s="2487"/>
      <c r="P139" s="2487"/>
      <c r="Q139" s="2487"/>
      <c r="R139" s="2487"/>
      <c r="S139" s="2487"/>
      <c r="T139" s="2487"/>
      <c r="U139" s="2487"/>
      <c r="V139" s="2487"/>
      <c r="W139" s="2487"/>
      <c r="X139" s="2487"/>
      <c r="Y139" s="2487"/>
      <c r="Z139" s="2487"/>
      <c r="AA139" s="2487"/>
      <c r="AB139" s="2487"/>
      <c r="AC139" s="2487"/>
      <c r="AD139" s="2487"/>
      <c r="AE139" s="2487"/>
      <c r="AF139" s="2487"/>
      <c r="AG139" s="2487"/>
      <c r="AH139" s="2487"/>
      <c r="AI139" s="2487"/>
      <c r="AJ139" s="2487"/>
      <c r="AK139" s="2487"/>
      <c r="AL139" s="2487"/>
      <c r="AM139" s="2487"/>
    </row>
    <row r="140" spans="1:39" ht="11.25" customHeight="1" x14ac:dyDescent="0.25">
      <c r="A140" s="2487"/>
      <c r="B140" s="2487"/>
      <c r="C140" s="2487"/>
      <c r="D140" s="2487"/>
      <c r="E140" s="2487"/>
      <c r="F140" s="2487"/>
      <c r="G140" s="2487"/>
      <c r="H140" s="2487"/>
      <c r="I140" s="2487"/>
      <c r="J140" s="2487"/>
      <c r="K140" s="2487"/>
      <c r="L140" s="2487"/>
      <c r="M140" s="2487"/>
      <c r="N140" s="2487"/>
      <c r="O140" s="2487"/>
      <c r="P140" s="2487"/>
      <c r="Q140" s="2487"/>
      <c r="R140" s="2487"/>
      <c r="S140" s="2487"/>
      <c r="T140" s="2487"/>
      <c r="U140" s="2487"/>
      <c r="V140" s="2487"/>
      <c r="W140" s="2487"/>
      <c r="X140" s="2487"/>
      <c r="Y140" s="2487"/>
      <c r="Z140" s="2487"/>
      <c r="AA140" s="2487"/>
      <c r="AB140" s="2487"/>
      <c r="AC140" s="2487"/>
      <c r="AD140" s="2487"/>
      <c r="AE140" s="2487"/>
      <c r="AF140" s="2487"/>
      <c r="AG140" s="2487"/>
      <c r="AH140" s="2487"/>
      <c r="AI140" s="2487"/>
      <c r="AJ140" s="2487"/>
      <c r="AK140" s="2487"/>
      <c r="AL140" s="2487"/>
      <c r="AM140" s="2487"/>
    </row>
    <row r="141" spans="1:39" ht="11.25" customHeight="1" x14ac:dyDescent="0.25">
      <c r="A141" s="2487"/>
      <c r="B141" s="2487"/>
      <c r="C141" s="2487"/>
      <c r="D141" s="2487"/>
      <c r="E141" s="2487"/>
      <c r="F141" s="2487"/>
      <c r="G141" s="2487"/>
      <c r="H141" s="2487"/>
      <c r="I141" s="2487"/>
      <c r="J141" s="2487"/>
      <c r="K141" s="2487"/>
      <c r="L141" s="2487"/>
      <c r="M141" s="2487"/>
      <c r="N141" s="2487"/>
      <c r="O141" s="2487"/>
      <c r="P141" s="2487"/>
      <c r="Q141" s="2487"/>
      <c r="R141" s="2487"/>
      <c r="S141" s="2487"/>
      <c r="T141" s="2487"/>
      <c r="U141" s="2487"/>
      <c r="V141" s="2487"/>
      <c r="W141" s="2487"/>
      <c r="X141" s="2487"/>
      <c r="Y141" s="2487"/>
      <c r="Z141" s="2487"/>
      <c r="AA141" s="2487"/>
      <c r="AB141" s="2487"/>
      <c r="AC141" s="2487"/>
      <c r="AD141" s="2487"/>
      <c r="AE141" s="2487"/>
      <c r="AF141" s="2487"/>
      <c r="AG141" s="2487"/>
      <c r="AH141" s="2487"/>
      <c r="AI141" s="2487"/>
      <c r="AJ141" s="2487"/>
      <c r="AK141" s="2487"/>
      <c r="AL141" s="2487"/>
      <c r="AM141" s="2487"/>
    </row>
    <row r="142" spans="1:39" ht="11.25" customHeight="1" x14ac:dyDescent="0.25">
      <c r="A142" s="2487"/>
      <c r="B142" s="2487"/>
      <c r="C142" s="2487"/>
      <c r="D142" s="2487"/>
      <c r="E142" s="2487"/>
      <c r="F142" s="2487"/>
      <c r="G142" s="2487"/>
      <c r="H142" s="2487"/>
      <c r="I142" s="2487"/>
      <c r="J142" s="2487"/>
      <c r="K142" s="2487"/>
      <c r="L142" s="2487"/>
      <c r="M142" s="2487"/>
      <c r="N142" s="2487"/>
      <c r="O142" s="2487"/>
      <c r="P142" s="2487"/>
      <c r="Q142" s="2487"/>
      <c r="R142" s="2487"/>
      <c r="S142" s="2487"/>
      <c r="T142" s="2487"/>
      <c r="U142" s="2487"/>
      <c r="V142" s="2487"/>
      <c r="W142" s="2487"/>
      <c r="X142" s="2487"/>
      <c r="Y142" s="2487"/>
      <c r="Z142" s="2487"/>
      <c r="AA142" s="2487"/>
      <c r="AB142" s="2487"/>
      <c r="AC142" s="2487"/>
      <c r="AD142" s="2487"/>
      <c r="AE142" s="2487"/>
      <c r="AF142" s="2487"/>
      <c r="AG142" s="2487"/>
      <c r="AH142" s="2487"/>
      <c r="AI142" s="2487"/>
      <c r="AJ142" s="2487"/>
      <c r="AK142" s="2487"/>
      <c r="AL142" s="2487"/>
      <c r="AM142" s="2487"/>
    </row>
    <row r="143" spans="1:39" ht="11.25" customHeight="1" x14ac:dyDescent="0.25">
      <c r="A143" s="2487"/>
      <c r="B143" s="2487"/>
      <c r="C143" s="2487"/>
      <c r="D143" s="2487"/>
      <c r="E143" s="2487"/>
      <c r="F143" s="2487"/>
      <c r="G143" s="2487"/>
      <c r="H143" s="2487"/>
      <c r="I143" s="2487"/>
      <c r="J143" s="2487"/>
      <c r="K143" s="2487"/>
      <c r="L143" s="2487"/>
      <c r="M143" s="2487"/>
      <c r="N143" s="2487"/>
      <c r="O143" s="2487"/>
      <c r="P143" s="2487"/>
      <c r="Q143" s="2487"/>
      <c r="R143" s="2487"/>
      <c r="S143" s="2487"/>
      <c r="T143" s="2487"/>
      <c r="U143" s="2487"/>
      <c r="V143" s="2487"/>
      <c r="W143" s="2487"/>
      <c r="X143" s="2487"/>
      <c r="Y143" s="2487"/>
      <c r="Z143" s="2487"/>
      <c r="AA143" s="2487"/>
      <c r="AB143" s="2487"/>
      <c r="AC143" s="2487"/>
      <c r="AD143" s="2487"/>
      <c r="AE143" s="2487"/>
      <c r="AF143" s="2487"/>
      <c r="AG143" s="2487"/>
      <c r="AH143" s="2487"/>
      <c r="AI143" s="2487"/>
      <c r="AJ143" s="2487"/>
      <c r="AK143" s="2487"/>
      <c r="AL143" s="2487"/>
      <c r="AM143" s="2487"/>
    </row>
    <row r="144" spans="1:39" ht="11.25" customHeight="1" x14ac:dyDescent="0.25">
      <c r="A144" s="2487"/>
      <c r="B144" s="2487"/>
      <c r="C144" s="2487"/>
      <c r="D144" s="2487"/>
      <c r="E144" s="2487"/>
      <c r="F144" s="2487"/>
      <c r="G144" s="2487"/>
      <c r="H144" s="2487"/>
      <c r="I144" s="2487"/>
      <c r="J144" s="2487"/>
      <c r="K144" s="2487"/>
      <c r="L144" s="2487"/>
      <c r="M144" s="2487"/>
      <c r="N144" s="2487"/>
      <c r="O144" s="2487"/>
      <c r="P144" s="2487"/>
      <c r="Q144" s="2487"/>
      <c r="R144" s="2487"/>
      <c r="S144" s="2487"/>
      <c r="T144" s="2487"/>
      <c r="U144" s="2487"/>
      <c r="V144" s="2487"/>
      <c r="W144" s="2487"/>
      <c r="X144" s="2487"/>
      <c r="Y144" s="2487"/>
      <c r="Z144" s="2487"/>
      <c r="AA144" s="2487"/>
      <c r="AB144" s="2487"/>
      <c r="AC144" s="2487"/>
      <c r="AD144" s="2487"/>
      <c r="AE144" s="2487"/>
      <c r="AF144" s="2487"/>
      <c r="AG144" s="2487"/>
      <c r="AH144" s="2487"/>
      <c r="AI144" s="2487"/>
      <c r="AJ144" s="2487"/>
      <c r="AK144" s="2487"/>
      <c r="AL144" s="2487"/>
      <c r="AM144" s="2487"/>
    </row>
    <row r="145" spans="1:39" ht="11.25" customHeight="1" x14ac:dyDescent="0.25">
      <c r="A145" s="2487"/>
      <c r="B145" s="2487"/>
      <c r="C145" s="2487"/>
      <c r="D145" s="2487"/>
      <c r="E145" s="2487"/>
      <c r="F145" s="2487"/>
      <c r="G145" s="2487"/>
      <c r="H145" s="2487"/>
      <c r="I145" s="2487"/>
      <c r="J145" s="2487"/>
      <c r="K145" s="2487"/>
      <c r="L145" s="2487"/>
      <c r="M145" s="2487"/>
      <c r="N145" s="2487"/>
      <c r="O145" s="2487"/>
      <c r="P145" s="2487"/>
      <c r="Q145" s="2487"/>
      <c r="R145" s="2487"/>
      <c r="S145" s="2487"/>
      <c r="T145" s="2487"/>
      <c r="U145" s="2487"/>
      <c r="V145" s="2487"/>
      <c r="W145" s="2487"/>
      <c r="X145" s="2487"/>
      <c r="Y145" s="2487"/>
      <c r="Z145" s="2487"/>
      <c r="AA145" s="2487"/>
      <c r="AB145" s="2487"/>
      <c r="AC145" s="2487"/>
      <c r="AD145" s="2487"/>
      <c r="AE145" s="2487"/>
      <c r="AF145" s="2487"/>
      <c r="AG145" s="2487"/>
      <c r="AH145" s="2487"/>
      <c r="AI145" s="2487"/>
      <c r="AJ145" s="2487"/>
      <c r="AK145" s="2487"/>
      <c r="AL145" s="2487"/>
      <c r="AM145" s="2487"/>
    </row>
    <row r="146" spans="1:39" ht="11.25" customHeight="1" x14ac:dyDescent="0.25">
      <c r="A146" s="2487"/>
      <c r="B146" s="2487"/>
      <c r="C146" s="2487"/>
      <c r="D146" s="2487"/>
      <c r="E146" s="2487"/>
      <c r="F146" s="2487"/>
      <c r="G146" s="2487"/>
      <c r="H146" s="2487"/>
      <c r="I146" s="2487"/>
      <c r="J146" s="2487"/>
      <c r="K146" s="2487"/>
      <c r="L146" s="2487"/>
      <c r="M146" s="2487"/>
      <c r="N146" s="2487"/>
      <c r="O146" s="2487"/>
      <c r="P146" s="2487"/>
      <c r="Q146" s="2487"/>
      <c r="R146" s="2487"/>
      <c r="S146" s="2487"/>
      <c r="T146" s="2487"/>
      <c r="U146" s="2487"/>
      <c r="V146" s="2487"/>
      <c r="W146" s="2487"/>
      <c r="X146" s="2487"/>
      <c r="Y146" s="2487"/>
      <c r="Z146" s="2487"/>
      <c r="AA146" s="2487"/>
      <c r="AB146" s="2487"/>
      <c r="AC146" s="2487"/>
      <c r="AD146" s="2487"/>
      <c r="AE146" s="2487"/>
      <c r="AF146" s="2487"/>
      <c r="AG146" s="2487"/>
      <c r="AH146" s="2487"/>
      <c r="AI146" s="2487"/>
      <c r="AJ146" s="2487"/>
      <c r="AK146" s="2487"/>
      <c r="AL146" s="2487"/>
      <c r="AM146" s="2487"/>
    </row>
    <row r="147" spans="1:39" ht="11.25" customHeight="1" x14ac:dyDescent="0.25">
      <c r="A147" s="2487"/>
      <c r="B147" s="2487"/>
      <c r="C147" s="2487"/>
      <c r="D147" s="2487"/>
      <c r="E147" s="2487"/>
      <c r="F147" s="2487"/>
      <c r="G147" s="2487"/>
      <c r="H147" s="2487"/>
      <c r="I147" s="2487"/>
      <c r="J147" s="2487"/>
      <c r="K147" s="2487"/>
      <c r="L147" s="2487"/>
      <c r="M147" s="2487"/>
      <c r="N147" s="2487"/>
      <c r="O147" s="2487"/>
      <c r="P147" s="2487"/>
      <c r="Q147" s="2487"/>
      <c r="R147" s="2487"/>
      <c r="S147" s="2487"/>
      <c r="T147" s="2487"/>
      <c r="U147" s="2487"/>
      <c r="V147" s="2487"/>
      <c r="W147" s="2487"/>
      <c r="X147" s="2487"/>
      <c r="Y147" s="2487"/>
      <c r="Z147" s="2487"/>
      <c r="AA147" s="2487"/>
      <c r="AB147" s="2487"/>
      <c r="AC147" s="2487"/>
      <c r="AD147" s="2487"/>
      <c r="AE147" s="2487"/>
      <c r="AF147" s="2487"/>
      <c r="AG147" s="2487"/>
      <c r="AH147" s="2487"/>
      <c r="AI147" s="2487"/>
      <c r="AJ147" s="2487"/>
      <c r="AK147" s="2487"/>
      <c r="AL147" s="2487"/>
      <c r="AM147" s="2487"/>
    </row>
    <row r="148" spans="1:39" ht="11.25" customHeight="1" x14ac:dyDescent="0.25">
      <c r="A148" s="2487"/>
      <c r="B148" s="2487"/>
      <c r="C148" s="2487"/>
      <c r="D148" s="2487"/>
      <c r="E148" s="2487"/>
      <c r="F148" s="2487"/>
      <c r="G148" s="2487"/>
      <c r="H148" s="2487"/>
      <c r="I148" s="2487"/>
      <c r="J148" s="2487"/>
      <c r="K148" s="2487"/>
      <c r="L148" s="2487"/>
      <c r="M148" s="2487"/>
      <c r="N148" s="2487"/>
      <c r="O148" s="2487"/>
      <c r="P148" s="2487"/>
      <c r="Q148" s="2487"/>
      <c r="R148" s="2487"/>
      <c r="S148" s="2487"/>
      <c r="T148" s="2487"/>
      <c r="U148" s="2487"/>
      <c r="V148" s="2487"/>
      <c r="W148" s="2487"/>
      <c r="X148" s="2487"/>
      <c r="Y148" s="2487"/>
      <c r="Z148" s="2487"/>
      <c r="AA148" s="2487"/>
      <c r="AB148" s="2487"/>
      <c r="AC148" s="2487"/>
      <c r="AD148" s="2487"/>
      <c r="AE148" s="2487"/>
      <c r="AF148" s="2487"/>
      <c r="AG148" s="2487"/>
      <c r="AH148" s="2487"/>
      <c r="AI148" s="2487"/>
      <c r="AJ148" s="2487"/>
      <c r="AK148" s="2487"/>
      <c r="AL148" s="2487"/>
      <c r="AM148" s="2487"/>
    </row>
    <row r="149" spans="1:39" ht="11.25" customHeight="1" x14ac:dyDescent="0.25">
      <c r="A149" s="2487"/>
      <c r="B149" s="2487"/>
      <c r="C149" s="2487"/>
      <c r="D149" s="2487"/>
      <c r="E149" s="2487"/>
      <c r="F149" s="2487"/>
      <c r="G149" s="2487"/>
      <c r="H149" s="2487"/>
      <c r="I149" s="2487"/>
      <c r="J149" s="2487"/>
      <c r="K149" s="2487"/>
      <c r="L149" s="2487"/>
      <c r="M149" s="2487"/>
      <c r="N149" s="2487"/>
      <c r="O149" s="2487"/>
      <c r="P149" s="2487"/>
      <c r="Q149" s="2487"/>
      <c r="R149" s="2487"/>
      <c r="S149" s="2487"/>
      <c r="T149" s="2487"/>
      <c r="U149" s="2487"/>
      <c r="V149" s="2487"/>
      <c r="W149" s="2487"/>
      <c r="X149" s="2487"/>
      <c r="Y149" s="2487"/>
      <c r="Z149" s="2487"/>
      <c r="AA149" s="2487"/>
      <c r="AB149" s="2487"/>
      <c r="AC149" s="2487"/>
      <c r="AD149" s="2487"/>
      <c r="AE149" s="2487"/>
      <c r="AF149" s="2487"/>
      <c r="AG149" s="2487"/>
      <c r="AH149" s="2487"/>
      <c r="AI149" s="2487"/>
      <c r="AJ149" s="2487"/>
      <c r="AK149" s="2487"/>
      <c r="AL149" s="2487"/>
      <c r="AM149" s="2487"/>
    </row>
    <row r="150" spans="1:39" ht="11.25" customHeight="1" x14ac:dyDescent="0.25">
      <c r="A150" s="2487"/>
      <c r="B150" s="2487"/>
      <c r="C150" s="2487"/>
      <c r="D150" s="2487"/>
      <c r="E150" s="2487"/>
      <c r="F150" s="2487"/>
      <c r="G150" s="2487"/>
      <c r="H150" s="2487"/>
      <c r="I150" s="2487"/>
      <c r="J150" s="2487"/>
      <c r="K150" s="2487"/>
      <c r="L150" s="2487"/>
      <c r="M150" s="2487"/>
      <c r="N150" s="2487"/>
      <c r="O150" s="2487"/>
      <c r="P150" s="2487"/>
      <c r="Q150" s="2487"/>
      <c r="R150" s="2487"/>
      <c r="S150" s="2487"/>
      <c r="T150" s="2487"/>
      <c r="U150" s="2487"/>
      <c r="V150" s="2487"/>
      <c r="W150" s="2487"/>
      <c r="X150" s="2487"/>
      <c r="Y150" s="2487"/>
      <c r="Z150" s="2487"/>
      <c r="AA150" s="2487"/>
      <c r="AB150" s="2487"/>
      <c r="AC150" s="2487"/>
      <c r="AD150" s="2487"/>
      <c r="AE150" s="2487"/>
      <c r="AF150" s="2487"/>
      <c r="AG150" s="2487"/>
      <c r="AH150" s="2487"/>
      <c r="AI150" s="2487"/>
      <c r="AJ150" s="2487"/>
      <c r="AK150" s="2487"/>
      <c r="AL150" s="2487"/>
      <c r="AM150" s="2487"/>
    </row>
    <row r="151" spans="1:39" ht="11.25" customHeight="1" x14ac:dyDescent="0.25">
      <c r="A151" s="2487"/>
      <c r="B151" s="2487"/>
      <c r="C151" s="2487"/>
      <c r="D151" s="2487"/>
      <c r="E151" s="2487"/>
      <c r="F151" s="2487"/>
      <c r="G151" s="2487"/>
      <c r="H151" s="2487"/>
      <c r="I151" s="2487"/>
      <c r="J151" s="2487"/>
      <c r="K151" s="2487"/>
      <c r="L151" s="2487"/>
      <c r="M151" s="2487"/>
      <c r="N151" s="2487"/>
      <c r="O151" s="2487"/>
      <c r="P151" s="2487"/>
      <c r="Q151" s="2487"/>
      <c r="R151" s="2487"/>
      <c r="S151" s="2487"/>
      <c r="T151" s="2487"/>
      <c r="U151" s="2487"/>
      <c r="V151" s="2487"/>
      <c r="W151" s="2487"/>
      <c r="X151" s="2487"/>
      <c r="Y151" s="2487"/>
      <c r="Z151" s="2487"/>
      <c r="AA151" s="2487"/>
      <c r="AB151" s="2487"/>
      <c r="AC151" s="2487"/>
      <c r="AD151" s="2487"/>
      <c r="AE151" s="2487"/>
      <c r="AF151" s="2487"/>
      <c r="AG151" s="2487"/>
      <c r="AH151" s="2487"/>
      <c r="AI151" s="2487"/>
      <c r="AJ151" s="2487"/>
      <c r="AK151" s="2487"/>
      <c r="AL151" s="2487"/>
      <c r="AM151" s="2487"/>
    </row>
    <row r="152" spans="1:39" ht="11.25" customHeight="1" x14ac:dyDescent="0.25">
      <c r="A152" s="2487"/>
      <c r="B152" s="2487"/>
      <c r="C152" s="2487"/>
      <c r="D152" s="2487"/>
      <c r="E152" s="2487"/>
      <c r="F152" s="2487"/>
      <c r="G152" s="2487"/>
      <c r="H152" s="2487"/>
      <c r="I152" s="2487"/>
      <c r="J152" s="2487"/>
      <c r="K152" s="2487"/>
      <c r="L152" s="2487"/>
      <c r="M152" s="2487"/>
      <c r="N152" s="2487"/>
      <c r="O152" s="2487"/>
      <c r="P152" s="2487"/>
      <c r="Q152" s="2487"/>
      <c r="R152" s="2487"/>
      <c r="S152" s="2487"/>
      <c r="T152" s="2487"/>
      <c r="U152" s="2487"/>
      <c r="V152" s="2487"/>
      <c r="W152" s="2487"/>
      <c r="X152" s="2487"/>
      <c r="Y152" s="2487"/>
      <c r="Z152" s="2487"/>
      <c r="AA152" s="2487"/>
      <c r="AB152" s="2487"/>
      <c r="AC152" s="2487"/>
      <c r="AD152" s="2487"/>
      <c r="AE152" s="2487"/>
      <c r="AF152" s="2487"/>
      <c r="AG152" s="2487"/>
      <c r="AH152" s="2487"/>
      <c r="AI152" s="2487"/>
      <c r="AJ152" s="2487"/>
      <c r="AK152" s="2487"/>
      <c r="AL152" s="2487"/>
      <c r="AM152" s="2487"/>
    </row>
    <row r="153" spans="1:39" ht="11.25" customHeight="1" x14ac:dyDescent="0.25">
      <c r="A153" s="2487"/>
      <c r="B153" s="2487"/>
      <c r="C153" s="2487"/>
      <c r="D153" s="2487"/>
      <c r="E153" s="2487"/>
      <c r="F153" s="2487"/>
      <c r="G153" s="2487"/>
      <c r="H153" s="2487"/>
      <c r="I153" s="2487"/>
      <c r="J153" s="2487"/>
      <c r="K153" s="2487"/>
      <c r="L153" s="2487"/>
      <c r="M153" s="2487"/>
      <c r="N153" s="2487"/>
      <c r="O153" s="2487"/>
      <c r="P153" s="2487"/>
      <c r="Q153" s="2487"/>
      <c r="R153" s="2487"/>
      <c r="S153" s="2487"/>
      <c r="T153" s="2487"/>
      <c r="U153" s="2487"/>
      <c r="V153" s="2487"/>
      <c r="W153" s="2487"/>
      <c r="X153" s="2487"/>
      <c r="Y153" s="2487"/>
      <c r="Z153" s="2487"/>
      <c r="AA153" s="2487"/>
      <c r="AB153" s="2487"/>
      <c r="AC153" s="2487"/>
      <c r="AD153" s="2487"/>
      <c r="AE153" s="2487"/>
      <c r="AF153" s="2487"/>
      <c r="AG153" s="2487"/>
      <c r="AH153" s="2487"/>
      <c r="AI153" s="2487"/>
      <c r="AJ153" s="2487"/>
      <c r="AK153" s="2487"/>
      <c r="AL153" s="2487"/>
      <c r="AM153" s="2487"/>
    </row>
    <row r="154" spans="1:39" ht="11.25" customHeight="1" x14ac:dyDescent="0.25">
      <c r="A154" s="2487"/>
      <c r="B154" s="2487"/>
      <c r="C154" s="2487"/>
      <c r="D154" s="2487"/>
      <c r="E154" s="2487"/>
      <c r="F154" s="2487"/>
      <c r="G154" s="2487"/>
      <c r="H154" s="2487"/>
      <c r="I154" s="2487"/>
      <c r="J154" s="2487"/>
      <c r="K154" s="2487"/>
      <c r="L154" s="2487"/>
      <c r="M154" s="2487"/>
      <c r="N154" s="2487"/>
      <c r="O154" s="2487"/>
      <c r="P154" s="2487"/>
      <c r="Q154" s="2487"/>
      <c r="R154" s="2487"/>
      <c r="S154" s="2487"/>
      <c r="T154" s="2487"/>
      <c r="U154" s="2487"/>
      <c r="V154" s="2487"/>
      <c r="W154" s="2487"/>
      <c r="X154" s="2487"/>
      <c r="Y154" s="2487"/>
      <c r="Z154" s="2487"/>
      <c r="AA154" s="2487"/>
      <c r="AB154" s="2487"/>
      <c r="AC154" s="2487"/>
      <c r="AD154" s="2487"/>
      <c r="AE154" s="2487"/>
      <c r="AF154" s="2487"/>
      <c r="AG154" s="2487"/>
      <c r="AH154" s="2487"/>
      <c r="AI154" s="2487"/>
      <c r="AJ154" s="2487"/>
      <c r="AK154" s="2487"/>
      <c r="AL154" s="2487"/>
      <c r="AM154" s="2487"/>
    </row>
    <row r="155" spans="1:39" ht="11.25" customHeight="1" x14ac:dyDescent="0.25">
      <c r="A155" s="2487"/>
      <c r="B155" s="2487"/>
      <c r="C155" s="2487"/>
      <c r="D155" s="2487"/>
      <c r="E155" s="2487"/>
      <c r="F155" s="2487"/>
      <c r="G155" s="2487"/>
      <c r="H155" s="2487"/>
      <c r="I155" s="2487"/>
      <c r="J155" s="2487"/>
      <c r="K155" s="2487"/>
      <c r="L155" s="2487"/>
      <c r="M155" s="2487"/>
      <c r="N155" s="2487"/>
      <c r="O155" s="2487"/>
      <c r="P155" s="2487"/>
      <c r="Q155" s="2487"/>
      <c r="R155" s="2487"/>
      <c r="S155" s="2487"/>
      <c r="T155" s="2487"/>
      <c r="U155" s="2487"/>
      <c r="V155" s="2487"/>
      <c r="W155" s="2487"/>
      <c r="X155" s="2487"/>
      <c r="Y155" s="2487"/>
      <c r="Z155" s="2487"/>
      <c r="AA155" s="2487"/>
      <c r="AB155" s="2487"/>
      <c r="AC155" s="2487"/>
      <c r="AD155" s="2487"/>
      <c r="AE155" s="2487"/>
      <c r="AF155" s="2487"/>
      <c r="AG155" s="2487"/>
      <c r="AH155" s="2487"/>
      <c r="AI155" s="2487"/>
      <c r="AJ155" s="2487"/>
      <c r="AK155" s="2487"/>
      <c r="AL155" s="2487"/>
      <c r="AM155" s="2487"/>
    </row>
    <row r="156" spans="1:39" ht="11.25" customHeight="1" x14ac:dyDescent="0.25">
      <c r="A156" s="2487"/>
      <c r="B156" s="2487"/>
      <c r="C156" s="2487"/>
      <c r="D156" s="2487"/>
      <c r="E156" s="2487"/>
      <c r="F156" s="2487"/>
      <c r="G156" s="2487"/>
      <c r="H156" s="2487"/>
      <c r="I156" s="2487"/>
      <c r="J156" s="2487"/>
      <c r="K156" s="2487"/>
      <c r="L156" s="2487"/>
      <c r="M156" s="2487"/>
      <c r="N156" s="2487"/>
      <c r="O156" s="2487"/>
      <c r="P156" s="2487"/>
      <c r="Q156" s="2487"/>
      <c r="R156" s="2487"/>
      <c r="S156" s="2487"/>
      <c r="T156" s="2487"/>
      <c r="U156" s="2487"/>
      <c r="V156" s="2487"/>
      <c r="W156" s="2487"/>
      <c r="X156" s="2487"/>
      <c r="Y156" s="2487"/>
      <c r="Z156" s="2487"/>
      <c r="AA156" s="2487"/>
      <c r="AB156" s="2487"/>
      <c r="AC156" s="2487"/>
      <c r="AD156" s="2487"/>
      <c r="AE156" s="2487"/>
      <c r="AF156" s="2487"/>
      <c r="AG156" s="2487"/>
      <c r="AH156" s="2487"/>
      <c r="AI156" s="2487"/>
      <c r="AJ156" s="2487"/>
      <c r="AK156" s="2487"/>
      <c r="AL156" s="2487"/>
      <c r="AM156" s="2487"/>
    </row>
    <row r="157" spans="1:39" ht="11.25" customHeight="1" x14ac:dyDescent="0.25">
      <c r="A157" s="2487"/>
      <c r="B157" s="2487"/>
      <c r="C157" s="2487"/>
      <c r="D157" s="2487"/>
      <c r="E157" s="2487"/>
      <c r="F157" s="2487"/>
      <c r="G157" s="2487"/>
      <c r="H157" s="2487"/>
      <c r="I157" s="2487"/>
      <c r="J157" s="2487"/>
      <c r="K157" s="2487"/>
      <c r="L157" s="2487"/>
      <c r="M157" s="2487"/>
      <c r="N157" s="2487"/>
      <c r="O157" s="2487"/>
      <c r="P157" s="2487"/>
      <c r="Q157" s="2487"/>
      <c r="R157" s="2487"/>
      <c r="S157" s="2487"/>
      <c r="T157" s="2487"/>
      <c r="U157" s="2487"/>
      <c r="V157" s="2487"/>
      <c r="W157" s="2487"/>
      <c r="X157" s="2487"/>
      <c r="Y157" s="2487"/>
      <c r="Z157" s="2487"/>
      <c r="AA157" s="2487"/>
      <c r="AB157" s="2487"/>
      <c r="AC157" s="2487"/>
      <c r="AD157" s="2487"/>
      <c r="AE157" s="2487"/>
      <c r="AF157" s="2487"/>
      <c r="AG157" s="2487"/>
      <c r="AH157" s="2487"/>
      <c r="AI157" s="2487"/>
      <c r="AJ157" s="2487"/>
      <c r="AK157" s="2487"/>
      <c r="AL157" s="2487"/>
      <c r="AM157" s="2487"/>
    </row>
    <row r="158" spans="1:39" ht="11.25" customHeight="1" x14ac:dyDescent="0.25">
      <c r="A158" s="2487"/>
      <c r="B158" s="2487"/>
      <c r="C158" s="2487"/>
      <c r="D158" s="2487"/>
      <c r="E158" s="2487"/>
      <c r="F158" s="2487"/>
      <c r="G158" s="2487"/>
      <c r="H158" s="2487"/>
      <c r="I158" s="2487"/>
      <c r="J158" s="2487"/>
      <c r="K158" s="2487"/>
      <c r="L158" s="2487"/>
      <c r="M158" s="2487"/>
      <c r="N158" s="2487"/>
      <c r="O158" s="2487"/>
      <c r="P158" s="2487"/>
      <c r="Q158" s="2487"/>
      <c r="R158" s="2487"/>
      <c r="S158" s="2487"/>
      <c r="T158" s="2487"/>
      <c r="U158" s="2487"/>
      <c r="V158" s="2487"/>
      <c r="W158" s="2487"/>
      <c r="X158" s="2487"/>
      <c r="Y158" s="2487"/>
      <c r="Z158" s="2487"/>
      <c r="AA158" s="2487"/>
      <c r="AB158" s="2487"/>
      <c r="AC158" s="2487"/>
      <c r="AD158" s="2487"/>
      <c r="AE158" s="2487"/>
      <c r="AF158" s="2487"/>
      <c r="AG158" s="2487"/>
      <c r="AH158" s="2487"/>
      <c r="AI158" s="2487"/>
      <c r="AJ158" s="2487"/>
      <c r="AK158" s="2487"/>
      <c r="AL158" s="2487"/>
      <c r="AM158" s="2487"/>
    </row>
    <row r="159" spans="1:39" ht="11.25" customHeight="1" x14ac:dyDescent="0.25">
      <c r="A159" s="2487"/>
      <c r="B159" s="2487"/>
      <c r="C159" s="2487"/>
      <c r="D159" s="2487"/>
      <c r="E159" s="2487"/>
      <c r="F159" s="2487"/>
      <c r="G159" s="2487"/>
      <c r="H159" s="2487"/>
      <c r="I159" s="2487"/>
      <c r="J159" s="2487"/>
      <c r="K159" s="2487"/>
      <c r="L159" s="2487"/>
      <c r="M159" s="2487"/>
      <c r="N159" s="2487"/>
      <c r="O159" s="2487"/>
      <c r="P159" s="2487"/>
      <c r="Q159" s="2487"/>
      <c r="R159" s="2487"/>
      <c r="S159" s="2487"/>
      <c r="T159" s="2487"/>
      <c r="U159" s="2487"/>
      <c r="V159" s="2487"/>
      <c r="W159" s="2487"/>
      <c r="X159" s="2487"/>
      <c r="Y159" s="2487"/>
      <c r="Z159" s="2487"/>
      <c r="AA159" s="2487"/>
      <c r="AB159" s="2487"/>
      <c r="AC159" s="2487"/>
      <c r="AD159" s="2487"/>
      <c r="AE159" s="2487"/>
      <c r="AF159" s="2487"/>
      <c r="AG159" s="2487"/>
      <c r="AH159" s="2487"/>
      <c r="AI159" s="2487"/>
      <c r="AJ159" s="2487"/>
      <c r="AK159" s="2487"/>
      <c r="AL159" s="2487"/>
      <c r="AM159" s="2487"/>
    </row>
    <row r="160" spans="1:39" ht="11.25" customHeight="1" x14ac:dyDescent="0.25">
      <c r="A160" s="2487"/>
      <c r="B160" s="2487"/>
      <c r="C160" s="2487"/>
      <c r="D160" s="2487"/>
      <c r="E160" s="2487"/>
      <c r="F160" s="2487"/>
      <c r="G160" s="2487"/>
      <c r="H160" s="2487"/>
      <c r="I160" s="2487"/>
      <c r="J160" s="2487"/>
      <c r="K160" s="2487"/>
      <c r="L160" s="2487"/>
      <c r="M160" s="2487"/>
      <c r="N160" s="2487"/>
      <c r="O160" s="2487"/>
      <c r="P160" s="2487"/>
      <c r="Q160" s="2487"/>
      <c r="R160" s="2487"/>
      <c r="S160" s="2487"/>
      <c r="T160" s="2487"/>
      <c r="U160" s="2487"/>
      <c r="V160" s="2487"/>
      <c r="W160" s="2487"/>
      <c r="X160" s="2487"/>
      <c r="Y160" s="2487"/>
      <c r="Z160" s="2487"/>
      <c r="AA160" s="2487"/>
      <c r="AB160" s="2487"/>
      <c r="AC160" s="2487"/>
      <c r="AD160" s="2487"/>
      <c r="AE160" s="2487"/>
      <c r="AF160" s="2487"/>
      <c r="AG160" s="2487"/>
      <c r="AH160" s="2487"/>
      <c r="AI160" s="2487"/>
      <c r="AJ160" s="2487"/>
      <c r="AK160" s="2487"/>
      <c r="AL160" s="2487"/>
      <c r="AM160" s="2487"/>
    </row>
    <row r="161" spans="1:39" ht="11.25" customHeight="1" x14ac:dyDescent="0.25">
      <c r="A161" s="2487"/>
      <c r="B161" s="2487"/>
      <c r="C161" s="2487"/>
      <c r="D161" s="2487"/>
      <c r="E161" s="2487"/>
      <c r="F161" s="2487"/>
      <c r="G161" s="2487"/>
      <c r="H161" s="2487"/>
      <c r="I161" s="2487"/>
      <c r="J161" s="2487"/>
      <c r="K161" s="2487"/>
      <c r="L161" s="2487"/>
      <c r="M161" s="2487"/>
      <c r="N161" s="2487"/>
      <c r="O161" s="2487"/>
      <c r="P161" s="2487"/>
      <c r="Q161" s="2487"/>
      <c r="R161" s="2487"/>
      <c r="S161" s="2487"/>
      <c r="T161" s="2487"/>
      <c r="U161" s="2487"/>
      <c r="V161" s="2487"/>
      <c r="W161" s="2487"/>
      <c r="X161" s="2487"/>
      <c r="Y161" s="2487"/>
      <c r="Z161" s="2487"/>
      <c r="AA161" s="2487"/>
      <c r="AB161" s="2487"/>
      <c r="AC161" s="2487"/>
      <c r="AD161" s="2487"/>
      <c r="AE161" s="2487"/>
      <c r="AF161" s="2487"/>
      <c r="AG161" s="2487"/>
      <c r="AH161" s="2487"/>
      <c r="AI161" s="2487"/>
      <c r="AJ161" s="2487"/>
      <c r="AK161" s="2487"/>
      <c r="AL161" s="2487"/>
      <c r="AM161" s="2487"/>
    </row>
    <row r="162" spans="1:39" ht="11.25" customHeight="1" x14ac:dyDescent="0.25">
      <c r="A162" s="2487"/>
      <c r="B162" s="2487"/>
      <c r="C162" s="2487"/>
      <c r="D162" s="2487"/>
      <c r="E162" s="2487"/>
      <c r="F162" s="2487"/>
      <c r="G162" s="2487"/>
      <c r="H162" s="2487"/>
      <c r="I162" s="2487"/>
      <c r="J162" s="2487"/>
      <c r="K162" s="2487"/>
      <c r="L162" s="2487"/>
      <c r="M162" s="2487"/>
      <c r="N162" s="2487"/>
      <c r="O162" s="2487"/>
      <c r="P162" s="2487"/>
      <c r="Q162" s="2487"/>
      <c r="R162" s="2487"/>
      <c r="S162" s="2487"/>
      <c r="T162" s="2487"/>
      <c r="U162" s="2487"/>
      <c r="V162" s="2487"/>
      <c r="W162" s="2487"/>
      <c r="X162" s="2487"/>
      <c r="Y162" s="2487"/>
      <c r="Z162" s="2487"/>
      <c r="AA162" s="2487"/>
      <c r="AB162" s="2487"/>
      <c r="AC162" s="2487"/>
      <c r="AD162" s="2487"/>
      <c r="AE162" s="2487"/>
      <c r="AF162" s="2487"/>
      <c r="AG162" s="2487"/>
      <c r="AH162" s="2487"/>
      <c r="AI162" s="2487"/>
      <c r="AJ162" s="2487"/>
      <c r="AK162" s="2487"/>
      <c r="AL162" s="2487"/>
      <c r="AM162" s="2487"/>
    </row>
    <row r="163" spans="1:39" ht="11.25" customHeight="1" x14ac:dyDescent="0.25">
      <c r="A163" s="2487"/>
      <c r="B163" s="2487"/>
      <c r="C163" s="2487"/>
      <c r="D163" s="2487"/>
      <c r="E163" s="2487"/>
      <c r="F163" s="2487"/>
      <c r="G163" s="2487"/>
      <c r="H163" s="2487"/>
      <c r="I163" s="2487"/>
      <c r="J163" s="2487"/>
      <c r="K163" s="2487"/>
      <c r="L163" s="2487"/>
      <c r="M163" s="2487"/>
      <c r="N163" s="2487"/>
      <c r="O163" s="2487"/>
      <c r="P163" s="2487"/>
      <c r="Q163" s="2487"/>
      <c r="R163" s="2487"/>
      <c r="S163" s="2487"/>
      <c r="T163" s="2487"/>
      <c r="U163" s="2487"/>
      <c r="V163" s="2487"/>
      <c r="W163" s="2487"/>
      <c r="X163" s="2487"/>
      <c r="Y163" s="2487"/>
      <c r="Z163" s="2487"/>
      <c r="AA163" s="2487"/>
      <c r="AB163" s="2487"/>
      <c r="AC163" s="2487"/>
      <c r="AD163" s="2487"/>
      <c r="AE163" s="2487"/>
      <c r="AF163" s="2487"/>
      <c r="AG163" s="2487"/>
      <c r="AH163" s="2487"/>
      <c r="AI163" s="2487"/>
      <c r="AJ163" s="2487"/>
      <c r="AK163" s="2487"/>
      <c r="AL163" s="2487"/>
      <c r="AM163" s="2487"/>
    </row>
    <row r="164" spans="1:39" ht="11.25" customHeight="1" x14ac:dyDescent="0.25">
      <c r="A164" s="2487"/>
      <c r="B164" s="2487"/>
      <c r="C164" s="2487"/>
      <c r="D164" s="2487"/>
      <c r="E164" s="2487"/>
      <c r="F164" s="2487"/>
      <c r="G164" s="2487"/>
      <c r="H164" s="2487"/>
      <c r="I164" s="2487"/>
      <c r="J164" s="2487"/>
      <c r="K164" s="2487"/>
      <c r="L164" s="2487"/>
      <c r="M164" s="2487"/>
      <c r="N164" s="2487"/>
      <c r="O164" s="2487"/>
      <c r="P164" s="2487"/>
      <c r="Q164" s="2487"/>
      <c r="R164" s="2487"/>
      <c r="S164" s="2487"/>
      <c r="T164" s="2487"/>
      <c r="U164" s="2487"/>
      <c r="V164" s="2487"/>
      <c r="W164" s="2487"/>
      <c r="X164" s="2487"/>
      <c r="Y164" s="2487"/>
      <c r="Z164" s="2487"/>
      <c r="AA164" s="2487"/>
      <c r="AB164" s="2487"/>
      <c r="AC164" s="2487"/>
      <c r="AD164" s="2487"/>
      <c r="AE164" s="2487"/>
      <c r="AF164" s="2487"/>
      <c r="AG164" s="2487"/>
      <c r="AH164" s="2487"/>
      <c r="AI164" s="2487"/>
      <c r="AJ164" s="2487"/>
      <c r="AK164" s="2487"/>
      <c r="AL164" s="2487"/>
      <c r="AM164" s="2487"/>
    </row>
    <row r="165" spans="1:39" ht="11.25" customHeight="1" x14ac:dyDescent="0.25">
      <c r="A165" s="2487"/>
      <c r="B165" s="2487"/>
      <c r="C165" s="2487"/>
      <c r="D165" s="2487"/>
      <c r="E165" s="2487"/>
      <c r="F165" s="2487"/>
      <c r="G165" s="2487"/>
      <c r="H165" s="2487"/>
      <c r="I165" s="2487"/>
      <c r="J165" s="2487"/>
      <c r="K165" s="2487"/>
      <c r="L165" s="2487"/>
      <c r="M165" s="2487"/>
      <c r="N165" s="2487"/>
      <c r="O165" s="2487"/>
      <c r="P165" s="2487"/>
      <c r="Q165" s="2487"/>
      <c r="R165" s="2487"/>
      <c r="S165" s="2487"/>
      <c r="T165" s="2487"/>
      <c r="U165" s="2487"/>
      <c r="V165" s="2487"/>
      <c r="W165" s="2487"/>
      <c r="X165" s="2487"/>
      <c r="Y165" s="2487"/>
      <c r="Z165" s="2487"/>
      <c r="AA165" s="2487"/>
      <c r="AB165" s="2487"/>
      <c r="AC165" s="2487"/>
      <c r="AD165" s="2487"/>
      <c r="AE165" s="2487"/>
      <c r="AF165" s="2487"/>
      <c r="AG165" s="2487"/>
      <c r="AH165" s="2487"/>
      <c r="AI165" s="2487"/>
      <c r="AJ165" s="2487"/>
      <c r="AK165" s="2487"/>
      <c r="AL165" s="2487"/>
      <c r="AM165" s="2487"/>
    </row>
    <row r="166" spans="1:39" ht="11.25" customHeight="1" x14ac:dyDescent="0.25">
      <c r="A166" s="2487"/>
      <c r="B166" s="2487"/>
      <c r="C166" s="2487"/>
      <c r="D166" s="2487"/>
      <c r="E166" s="2487"/>
      <c r="F166" s="2487"/>
      <c r="G166" s="2487"/>
      <c r="H166" s="2487"/>
      <c r="I166" s="2487"/>
      <c r="J166" s="2487"/>
      <c r="K166" s="2487"/>
      <c r="L166" s="2487"/>
      <c r="M166" s="2487"/>
      <c r="N166" s="2487"/>
      <c r="O166" s="2487"/>
      <c r="P166" s="2487"/>
      <c r="Q166" s="2487"/>
      <c r="R166" s="2487"/>
      <c r="S166" s="2487"/>
      <c r="T166" s="2487"/>
      <c r="U166" s="2487"/>
      <c r="V166" s="2487"/>
      <c r="W166" s="2487"/>
      <c r="X166" s="2487"/>
      <c r="Y166" s="2487"/>
      <c r="Z166" s="2487"/>
      <c r="AA166" s="2487"/>
      <c r="AB166" s="2487"/>
      <c r="AC166" s="2487"/>
      <c r="AD166" s="2487"/>
      <c r="AE166" s="2487"/>
      <c r="AF166" s="2487"/>
      <c r="AG166" s="2487"/>
      <c r="AH166" s="2487"/>
      <c r="AI166" s="2487"/>
      <c r="AJ166" s="2487"/>
      <c r="AK166" s="2487"/>
      <c r="AL166" s="2487"/>
      <c r="AM166" s="2487"/>
    </row>
    <row r="167" spans="1:39" ht="11.25" customHeight="1" x14ac:dyDescent="0.25">
      <c r="A167" s="2487"/>
      <c r="B167" s="2487"/>
      <c r="C167" s="2487"/>
      <c r="D167" s="2487"/>
      <c r="E167" s="2487"/>
      <c r="F167" s="2487"/>
      <c r="G167" s="2487"/>
      <c r="H167" s="2487"/>
      <c r="I167" s="2487"/>
      <c r="J167" s="2487"/>
      <c r="K167" s="2487"/>
      <c r="L167" s="2487"/>
      <c r="M167" s="2487"/>
      <c r="N167" s="2487"/>
      <c r="O167" s="2487"/>
      <c r="P167" s="2487"/>
      <c r="Q167" s="2487"/>
      <c r="R167" s="2487"/>
      <c r="S167" s="2487"/>
      <c r="T167" s="2487"/>
      <c r="U167" s="2487"/>
      <c r="V167" s="2487"/>
      <c r="W167" s="2487"/>
      <c r="X167" s="2487"/>
      <c r="Y167" s="2487"/>
      <c r="Z167" s="2487"/>
      <c r="AA167" s="2487"/>
      <c r="AB167" s="2487"/>
      <c r="AC167" s="2487"/>
      <c r="AD167" s="2487"/>
      <c r="AE167" s="2487"/>
      <c r="AF167" s="2487"/>
      <c r="AG167" s="2487"/>
      <c r="AH167" s="2487"/>
      <c r="AI167" s="2487"/>
      <c r="AJ167" s="2487"/>
      <c r="AK167" s="2487"/>
      <c r="AL167" s="2487"/>
      <c r="AM167" s="2487"/>
    </row>
    <row r="168" spans="1:39" ht="11.25" customHeight="1" x14ac:dyDescent="0.25">
      <c r="A168" s="2487"/>
      <c r="B168" s="2487"/>
      <c r="C168" s="2487"/>
      <c r="D168" s="2487"/>
      <c r="E168" s="2487"/>
      <c r="F168" s="2487"/>
      <c r="G168" s="2487"/>
      <c r="H168" s="2487"/>
      <c r="I168" s="2487"/>
      <c r="J168" s="2487"/>
      <c r="K168" s="2487"/>
      <c r="L168" s="2487"/>
      <c r="M168" s="2487"/>
      <c r="N168" s="2487"/>
      <c r="O168" s="2487"/>
      <c r="P168" s="2487"/>
      <c r="Q168" s="2487"/>
      <c r="R168" s="2487"/>
      <c r="S168" s="2487"/>
      <c r="T168" s="2487"/>
      <c r="U168" s="2487"/>
      <c r="V168" s="2487"/>
      <c r="W168" s="2487"/>
      <c r="X168" s="2487"/>
      <c r="Y168" s="2487"/>
      <c r="Z168" s="2487"/>
      <c r="AA168" s="2487"/>
      <c r="AB168" s="2487"/>
      <c r="AC168" s="2487"/>
      <c r="AD168" s="2487"/>
      <c r="AE168" s="2487"/>
      <c r="AF168" s="2487"/>
      <c r="AG168" s="2487"/>
      <c r="AH168" s="2487"/>
      <c r="AI168" s="2487"/>
      <c r="AJ168" s="2487"/>
      <c r="AK168" s="2487"/>
      <c r="AL168" s="2487"/>
      <c r="AM168" s="2487"/>
    </row>
    <row r="169" spans="1:39" ht="11.25" customHeight="1" x14ac:dyDescent="0.25">
      <c r="A169" s="2487"/>
      <c r="B169" s="2487"/>
      <c r="C169" s="2487"/>
      <c r="D169" s="2487"/>
      <c r="E169" s="2487"/>
      <c r="F169" s="2487"/>
      <c r="G169" s="2487"/>
      <c r="H169" s="2487"/>
      <c r="I169" s="2487"/>
      <c r="J169" s="2487"/>
      <c r="K169" s="2487"/>
      <c r="L169" s="2487"/>
      <c r="M169" s="2487"/>
      <c r="N169" s="2487"/>
      <c r="O169" s="2487"/>
      <c r="P169" s="2487"/>
      <c r="Q169" s="2487"/>
      <c r="R169" s="2487"/>
      <c r="S169" s="2487"/>
      <c r="T169" s="2487"/>
      <c r="U169" s="2487"/>
      <c r="V169" s="2487"/>
      <c r="W169" s="2487"/>
      <c r="X169" s="2487"/>
      <c r="Y169" s="2487"/>
      <c r="Z169" s="2487"/>
      <c r="AA169" s="2487"/>
      <c r="AB169" s="2487"/>
      <c r="AC169" s="2487"/>
      <c r="AD169" s="2487"/>
      <c r="AE169" s="2487"/>
      <c r="AF169" s="2487"/>
      <c r="AG169" s="2487"/>
      <c r="AH169" s="2487"/>
      <c r="AI169" s="2487"/>
      <c r="AJ169" s="2487"/>
      <c r="AK169" s="2487"/>
      <c r="AL169" s="2487"/>
      <c r="AM169" s="2487"/>
    </row>
    <row r="170" spans="1:39" ht="11.25" customHeight="1" x14ac:dyDescent="0.25">
      <c r="A170" s="2487"/>
      <c r="B170" s="2487"/>
      <c r="C170" s="2487"/>
      <c r="D170" s="2487"/>
      <c r="E170" s="2487"/>
      <c r="F170" s="2487"/>
      <c r="G170" s="2487"/>
      <c r="H170" s="2487"/>
      <c r="I170" s="2487"/>
      <c r="J170" s="2487"/>
      <c r="K170" s="2487"/>
      <c r="L170" s="2487"/>
      <c r="M170" s="2487"/>
      <c r="N170" s="2487"/>
      <c r="O170" s="2487"/>
      <c r="P170" s="2487"/>
      <c r="Q170" s="2487"/>
      <c r="R170" s="2487"/>
      <c r="S170" s="2487"/>
      <c r="T170" s="2487"/>
      <c r="U170" s="2487"/>
      <c r="V170" s="2487"/>
      <c r="W170" s="2487"/>
      <c r="X170" s="2487"/>
      <c r="Y170" s="2487"/>
      <c r="Z170" s="2487"/>
      <c r="AA170" s="2487"/>
      <c r="AB170" s="2487"/>
      <c r="AC170" s="2487"/>
      <c r="AD170" s="2487"/>
      <c r="AE170" s="2487"/>
      <c r="AF170" s="2487"/>
      <c r="AG170" s="2487"/>
      <c r="AH170" s="2487"/>
      <c r="AI170" s="2487"/>
      <c r="AJ170" s="2487"/>
      <c r="AK170" s="2487"/>
      <c r="AL170" s="2487"/>
      <c r="AM170" s="2487"/>
    </row>
    <row r="171" spans="1:39" ht="11.25" customHeight="1" x14ac:dyDescent="0.25">
      <c r="A171" s="2487"/>
      <c r="B171" s="2487"/>
      <c r="C171" s="2487"/>
      <c r="D171" s="2487"/>
      <c r="E171" s="2487"/>
      <c r="F171" s="2487"/>
      <c r="G171" s="2487"/>
      <c r="H171" s="2487"/>
      <c r="I171" s="2487"/>
      <c r="J171" s="2487"/>
      <c r="K171" s="2487"/>
      <c r="L171" s="2487"/>
      <c r="M171" s="2487"/>
      <c r="N171" s="2487"/>
      <c r="O171" s="2487"/>
      <c r="P171" s="2487"/>
      <c r="Q171" s="2487"/>
      <c r="R171" s="2487"/>
      <c r="S171" s="2487"/>
      <c r="T171" s="2487"/>
      <c r="U171" s="2487"/>
      <c r="V171" s="2487"/>
      <c r="W171" s="2487"/>
      <c r="X171" s="2487"/>
      <c r="Y171" s="2487"/>
      <c r="Z171" s="2487"/>
      <c r="AA171" s="2487"/>
      <c r="AB171" s="2487"/>
      <c r="AC171" s="2487"/>
      <c r="AD171" s="2487"/>
      <c r="AE171" s="2487"/>
      <c r="AF171" s="2487"/>
      <c r="AG171" s="2487"/>
      <c r="AH171" s="2487"/>
      <c r="AI171" s="2487"/>
      <c r="AJ171" s="2487"/>
      <c r="AK171" s="2487"/>
      <c r="AL171" s="2487"/>
      <c r="AM171" s="2487"/>
    </row>
    <row r="172" spans="1:39" ht="11.25" customHeight="1" x14ac:dyDescent="0.25">
      <c r="A172" s="2487"/>
      <c r="B172" s="2487"/>
      <c r="C172" s="2487"/>
      <c r="D172" s="2487"/>
      <c r="E172" s="2487"/>
      <c r="F172" s="2487"/>
      <c r="G172" s="2487"/>
      <c r="H172" s="2487"/>
      <c r="I172" s="2487"/>
      <c r="J172" s="2487"/>
      <c r="K172" s="2487"/>
      <c r="L172" s="2487"/>
      <c r="M172" s="2487"/>
      <c r="N172" s="2487"/>
      <c r="O172" s="2487"/>
      <c r="P172" s="2487"/>
      <c r="Q172" s="2487"/>
      <c r="R172" s="2487"/>
      <c r="S172" s="2487"/>
      <c r="T172" s="2487"/>
      <c r="U172" s="2487"/>
      <c r="V172" s="2487"/>
      <c r="W172" s="2487"/>
      <c r="X172" s="2487"/>
      <c r="Y172" s="2487"/>
      <c r="Z172" s="2487"/>
      <c r="AA172" s="2487"/>
      <c r="AB172" s="2487"/>
      <c r="AC172" s="2487"/>
      <c r="AD172" s="2487"/>
      <c r="AE172" s="2487"/>
      <c r="AF172" s="2487"/>
      <c r="AG172" s="2487"/>
      <c r="AH172" s="2487"/>
      <c r="AI172" s="2487"/>
      <c r="AJ172" s="2487"/>
      <c r="AK172" s="2487"/>
      <c r="AL172" s="2487"/>
      <c r="AM172" s="2487"/>
    </row>
    <row r="173" spans="1:39" ht="11.25" customHeight="1" x14ac:dyDescent="0.25">
      <c r="A173" s="2487"/>
      <c r="B173" s="2487"/>
      <c r="C173" s="2487"/>
      <c r="D173" s="2487"/>
      <c r="E173" s="2487"/>
      <c r="F173" s="2487"/>
      <c r="G173" s="2487"/>
      <c r="H173" s="2487"/>
      <c r="I173" s="2487"/>
      <c r="J173" s="2487"/>
      <c r="K173" s="2487"/>
      <c r="L173" s="2487"/>
      <c r="M173" s="2487"/>
      <c r="N173" s="2487"/>
      <c r="O173" s="2487"/>
      <c r="P173" s="2487"/>
      <c r="Q173" s="2487"/>
      <c r="R173" s="2487"/>
      <c r="S173" s="2487"/>
      <c r="T173" s="2487"/>
      <c r="U173" s="2487"/>
      <c r="V173" s="2487"/>
      <c r="W173" s="2487"/>
      <c r="X173" s="2487"/>
      <c r="Y173" s="2487"/>
      <c r="Z173" s="2487"/>
      <c r="AA173" s="2487"/>
      <c r="AB173" s="2487"/>
      <c r="AC173" s="2487"/>
      <c r="AD173" s="2487"/>
      <c r="AE173" s="2487"/>
      <c r="AF173" s="2487"/>
      <c r="AG173" s="2487"/>
      <c r="AH173" s="2487"/>
      <c r="AI173" s="2487"/>
      <c r="AJ173" s="2487"/>
      <c r="AK173" s="2487"/>
      <c r="AL173" s="2487"/>
      <c r="AM173" s="2487"/>
    </row>
    <row r="174" spans="1:39" ht="11.25" customHeight="1" x14ac:dyDescent="0.25">
      <c r="A174" s="2487"/>
      <c r="B174" s="2487"/>
      <c r="C174" s="2487"/>
      <c r="D174" s="2487"/>
      <c r="E174" s="2487"/>
      <c r="F174" s="2487"/>
      <c r="G174" s="2487"/>
      <c r="H174" s="2487"/>
      <c r="I174" s="2487"/>
      <c r="J174" s="2487"/>
      <c r="K174" s="2487"/>
      <c r="L174" s="2487"/>
      <c r="M174" s="2487"/>
      <c r="N174" s="2487"/>
      <c r="O174" s="2487"/>
      <c r="P174" s="2487"/>
      <c r="Q174" s="2487"/>
      <c r="R174" s="2487"/>
      <c r="S174" s="2487"/>
      <c r="T174" s="2487"/>
      <c r="U174" s="2487"/>
      <c r="V174" s="2487"/>
      <c r="W174" s="2487"/>
      <c r="X174" s="2487"/>
      <c r="Y174" s="2487"/>
      <c r="Z174" s="2487"/>
      <c r="AA174" s="2487"/>
      <c r="AB174" s="2487"/>
      <c r="AC174" s="2487"/>
      <c r="AD174" s="2487"/>
      <c r="AE174" s="2487"/>
      <c r="AF174" s="2487"/>
      <c r="AG174" s="2487"/>
      <c r="AH174" s="2487"/>
      <c r="AI174" s="2487"/>
      <c r="AJ174" s="2487"/>
      <c r="AK174" s="2487"/>
      <c r="AL174" s="2487"/>
      <c r="AM174" s="2487"/>
    </row>
    <row r="175" spans="1:39" ht="11.25" customHeight="1" x14ac:dyDescent="0.25">
      <c r="A175" s="2487"/>
      <c r="B175" s="2487"/>
      <c r="C175" s="2487"/>
      <c r="D175" s="2487"/>
      <c r="E175" s="2487"/>
      <c r="F175" s="2487"/>
      <c r="G175" s="2487"/>
      <c r="H175" s="2487"/>
      <c r="I175" s="2487"/>
      <c r="J175" s="2487"/>
      <c r="K175" s="2487"/>
      <c r="L175" s="2487"/>
      <c r="M175" s="2487"/>
      <c r="N175" s="2487"/>
      <c r="O175" s="2487"/>
      <c r="P175" s="2487"/>
      <c r="Q175" s="2487"/>
      <c r="R175" s="2487"/>
      <c r="S175" s="2487"/>
      <c r="T175" s="2487"/>
      <c r="U175" s="2487"/>
      <c r="V175" s="2487"/>
      <c r="W175" s="2487"/>
      <c r="X175" s="2487"/>
      <c r="Y175" s="2487"/>
      <c r="Z175" s="2487"/>
      <c r="AA175" s="2487"/>
      <c r="AB175" s="2487"/>
      <c r="AC175" s="2487"/>
      <c r="AD175" s="2487"/>
      <c r="AE175" s="2487"/>
      <c r="AF175" s="2487"/>
      <c r="AG175" s="2487"/>
      <c r="AH175" s="2487"/>
      <c r="AI175" s="2487"/>
      <c r="AJ175" s="2487"/>
      <c r="AK175" s="2487"/>
      <c r="AL175" s="2487"/>
      <c r="AM175" s="2487"/>
    </row>
    <row r="176" spans="1:39" ht="11.25" customHeight="1" x14ac:dyDescent="0.25">
      <c r="A176" s="2487"/>
      <c r="B176" s="2487"/>
      <c r="C176" s="2487"/>
      <c r="D176" s="2487"/>
      <c r="E176" s="2487"/>
      <c r="F176" s="2487"/>
      <c r="G176" s="2487"/>
      <c r="H176" s="2487"/>
      <c r="I176" s="2487"/>
      <c r="J176" s="2487"/>
      <c r="K176" s="2487"/>
      <c r="L176" s="2487"/>
      <c r="M176" s="2487"/>
      <c r="N176" s="2487"/>
      <c r="O176" s="2487"/>
      <c r="P176" s="2487"/>
      <c r="Q176" s="2487"/>
      <c r="R176" s="2487"/>
      <c r="S176" s="2487"/>
      <c r="T176" s="2487"/>
      <c r="U176" s="2487"/>
      <c r="V176" s="2487"/>
      <c r="W176" s="2487"/>
      <c r="X176" s="2487"/>
      <c r="Y176" s="2487"/>
      <c r="Z176" s="2487"/>
      <c r="AA176" s="2487"/>
      <c r="AB176" s="2487"/>
      <c r="AC176" s="2487"/>
      <c r="AD176" s="2487"/>
      <c r="AE176" s="2487"/>
      <c r="AF176" s="2487"/>
      <c r="AG176" s="2487"/>
      <c r="AH176" s="2487"/>
      <c r="AI176" s="2487"/>
      <c r="AJ176" s="2487"/>
      <c r="AK176" s="2487"/>
      <c r="AL176" s="2487"/>
      <c r="AM176" s="2487"/>
    </row>
    <row r="177" spans="1:39" ht="11.25" customHeight="1" x14ac:dyDescent="0.25">
      <c r="A177" s="2487"/>
      <c r="B177" s="2487"/>
      <c r="C177" s="2487"/>
      <c r="D177" s="2487"/>
      <c r="E177" s="2487"/>
      <c r="F177" s="2487"/>
      <c r="G177" s="2487"/>
      <c r="H177" s="2487"/>
      <c r="I177" s="2487"/>
      <c r="J177" s="2487"/>
      <c r="K177" s="2487"/>
      <c r="L177" s="2487"/>
      <c r="M177" s="2487"/>
      <c r="N177" s="2487"/>
      <c r="O177" s="2487"/>
      <c r="P177" s="2487"/>
      <c r="Q177" s="2487"/>
      <c r="R177" s="2487"/>
      <c r="S177" s="2487"/>
      <c r="T177" s="2487"/>
      <c r="U177" s="2487"/>
      <c r="V177" s="2487"/>
      <c r="W177" s="2487"/>
      <c r="X177" s="2487"/>
      <c r="Y177" s="2487"/>
      <c r="Z177" s="2487"/>
      <c r="AA177" s="2487"/>
      <c r="AB177" s="2487"/>
      <c r="AC177" s="2487"/>
      <c r="AD177" s="2487"/>
      <c r="AE177" s="2487"/>
      <c r="AF177" s="2487"/>
      <c r="AG177" s="2487"/>
      <c r="AH177" s="2487"/>
      <c r="AI177" s="2487"/>
      <c r="AJ177" s="2487"/>
      <c r="AK177" s="2487"/>
      <c r="AL177" s="2487"/>
      <c r="AM177" s="2487"/>
    </row>
    <row r="178" spans="1:39" ht="11.25" customHeight="1" x14ac:dyDescent="0.25">
      <c r="A178" s="2487"/>
      <c r="B178" s="2487"/>
      <c r="C178" s="2487"/>
      <c r="D178" s="2487"/>
      <c r="E178" s="2487"/>
      <c r="F178" s="2487"/>
      <c r="G178" s="2487"/>
      <c r="H178" s="2487"/>
      <c r="I178" s="2487"/>
      <c r="J178" s="2487"/>
      <c r="K178" s="2487"/>
      <c r="L178" s="2487"/>
      <c r="M178" s="2487"/>
      <c r="N178" s="2487"/>
      <c r="O178" s="2487"/>
      <c r="P178" s="2487"/>
      <c r="Q178" s="2487"/>
      <c r="R178" s="2487"/>
      <c r="S178" s="2487"/>
      <c r="T178" s="2487"/>
      <c r="U178" s="2487"/>
      <c r="V178" s="2487"/>
      <c r="W178" s="2487"/>
      <c r="X178" s="2487"/>
      <c r="Y178" s="2487"/>
      <c r="Z178" s="2487"/>
      <c r="AA178" s="2487"/>
      <c r="AB178" s="2487"/>
      <c r="AC178" s="2487"/>
      <c r="AD178" s="2487"/>
      <c r="AE178" s="2487"/>
      <c r="AF178" s="2487"/>
      <c r="AG178" s="2487"/>
      <c r="AH178" s="2487"/>
      <c r="AI178" s="2487"/>
      <c r="AJ178" s="2487"/>
      <c r="AK178" s="2487"/>
      <c r="AL178" s="2487"/>
      <c r="AM178" s="2487"/>
    </row>
    <row r="179" spans="1:39" ht="11.25" customHeight="1" x14ac:dyDescent="0.25">
      <c r="A179" s="2487"/>
      <c r="B179" s="2487"/>
      <c r="C179" s="2487"/>
      <c r="D179" s="2487"/>
      <c r="E179" s="2487"/>
      <c r="F179" s="2487"/>
      <c r="G179" s="2487"/>
      <c r="H179" s="2487"/>
      <c r="I179" s="2487"/>
      <c r="J179" s="2487"/>
      <c r="K179" s="2487"/>
      <c r="L179" s="2487"/>
      <c r="M179" s="2487"/>
      <c r="N179" s="2487"/>
      <c r="O179" s="2487"/>
      <c r="P179" s="2487"/>
      <c r="Q179" s="2487"/>
      <c r="R179" s="2487"/>
      <c r="S179" s="2487"/>
      <c r="T179" s="2487"/>
      <c r="U179" s="2487"/>
      <c r="V179" s="2487"/>
      <c r="W179" s="2487"/>
      <c r="X179" s="2487"/>
      <c r="Y179" s="2487"/>
      <c r="Z179" s="2487"/>
      <c r="AA179" s="2487"/>
      <c r="AB179" s="2487"/>
      <c r="AC179" s="2487"/>
      <c r="AD179" s="2487"/>
      <c r="AE179" s="2487"/>
      <c r="AF179" s="2487"/>
      <c r="AG179" s="2487"/>
      <c r="AH179" s="2487"/>
      <c r="AI179" s="2487"/>
      <c r="AJ179" s="2487"/>
      <c r="AK179" s="2487"/>
      <c r="AL179" s="2487"/>
      <c r="AM179" s="2487"/>
    </row>
    <row r="180" spans="1:39" ht="11.25" customHeight="1" x14ac:dyDescent="0.25">
      <c r="A180" s="2487"/>
      <c r="B180" s="2487"/>
      <c r="C180" s="2487"/>
      <c r="D180" s="2487"/>
      <c r="E180" s="2487"/>
      <c r="F180" s="2487"/>
      <c r="G180" s="2487"/>
      <c r="H180" s="2487"/>
      <c r="I180" s="2487"/>
      <c r="J180" s="2487"/>
      <c r="K180" s="2487"/>
      <c r="L180" s="2487"/>
      <c r="M180" s="2487"/>
      <c r="N180" s="2487"/>
      <c r="O180" s="2487"/>
      <c r="P180" s="2487"/>
      <c r="Q180" s="2487"/>
      <c r="R180" s="2487"/>
      <c r="S180" s="2487"/>
      <c r="T180" s="2487"/>
      <c r="U180" s="2487"/>
      <c r="V180" s="2487"/>
      <c r="W180" s="2487"/>
      <c r="X180" s="2487"/>
      <c r="Y180" s="2487"/>
      <c r="Z180" s="2487"/>
      <c r="AA180" s="2487"/>
      <c r="AB180" s="2487"/>
      <c r="AC180" s="2487"/>
      <c r="AD180" s="2487"/>
      <c r="AE180" s="2487"/>
      <c r="AF180" s="2487"/>
      <c r="AG180" s="2487"/>
      <c r="AH180" s="2487"/>
      <c r="AI180" s="2487"/>
      <c r="AJ180" s="2487"/>
      <c r="AK180" s="2487"/>
      <c r="AL180" s="2487"/>
      <c r="AM180" s="2487"/>
    </row>
    <row r="181" spans="1:39" ht="11.25" customHeight="1" x14ac:dyDescent="0.25">
      <c r="A181" s="2487"/>
      <c r="B181" s="2487"/>
      <c r="C181" s="2487"/>
      <c r="D181" s="2487"/>
      <c r="E181" s="2487"/>
      <c r="F181" s="2487"/>
      <c r="G181" s="2487"/>
      <c r="H181" s="2487"/>
      <c r="I181" s="2487"/>
      <c r="J181" s="2487"/>
      <c r="K181" s="2487"/>
      <c r="L181" s="2487"/>
      <c r="M181" s="2487"/>
      <c r="N181" s="2487"/>
      <c r="O181" s="2487"/>
      <c r="P181" s="2487"/>
      <c r="Q181" s="2487"/>
      <c r="R181" s="2487"/>
      <c r="S181" s="2487"/>
      <c r="T181" s="2487"/>
      <c r="U181" s="2487"/>
      <c r="V181" s="2487"/>
      <c r="W181" s="2487"/>
      <c r="X181" s="2487"/>
      <c r="Y181" s="2487"/>
      <c r="Z181" s="2487"/>
      <c r="AA181" s="2487"/>
      <c r="AB181" s="2487"/>
      <c r="AC181" s="2487"/>
      <c r="AD181" s="2487"/>
      <c r="AE181" s="2487"/>
      <c r="AF181" s="2487"/>
      <c r="AG181" s="2487"/>
      <c r="AH181" s="2487"/>
      <c r="AI181" s="2487"/>
      <c r="AJ181" s="2487"/>
      <c r="AK181" s="2487"/>
      <c r="AL181" s="2487"/>
      <c r="AM181" s="2487"/>
    </row>
    <row r="182" spans="1:39" ht="11.25" customHeight="1" x14ac:dyDescent="0.25">
      <c r="A182" s="2487"/>
      <c r="B182" s="2487"/>
      <c r="C182" s="2487"/>
      <c r="D182" s="2487"/>
      <c r="E182" s="2487"/>
      <c r="F182" s="2487"/>
      <c r="G182" s="2487"/>
      <c r="H182" s="2487"/>
      <c r="I182" s="2487"/>
      <c r="J182" s="2487"/>
      <c r="K182" s="2487"/>
      <c r="L182" s="2487"/>
      <c r="M182" s="2487"/>
      <c r="N182" s="2487"/>
      <c r="O182" s="2487"/>
      <c r="P182" s="2487"/>
      <c r="Q182" s="2487"/>
      <c r="R182" s="2487"/>
      <c r="S182" s="2487"/>
      <c r="T182" s="2487"/>
      <c r="U182" s="2487"/>
      <c r="V182" s="2487"/>
      <c r="W182" s="2487"/>
      <c r="X182" s="2487"/>
      <c r="Y182" s="2487"/>
      <c r="Z182" s="2487"/>
      <c r="AA182" s="2487"/>
      <c r="AB182" s="2487"/>
      <c r="AC182" s="2487"/>
      <c r="AD182" s="2487"/>
      <c r="AE182" s="2487"/>
      <c r="AF182" s="2487"/>
      <c r="AG182" s="2487"/>
      <c r="AH182" s="2487"/>
      <c r="AI182" s="2487"/>
      <c r="AJ182" s="2487"/>
      <c r="AK182" s="2487"/>
      <c r="AL182" s="2487"/>
      <c r="AM182" s="2487"/>
    </row>
    <row r="183" spans="1:39" ht="11.25" customHeight="1" x14ac:dyDescent="0.25">
      <c r="A183" s="2487"/>
      <c r="B183" s="2487"/>
      <c r="C183" s="2487"/>
      <c r="D183" s="2487"/>
      <c r="E183" s="2487"/>
      <c r="F183" s="2487"/>
      <c r="G183" s="2487"/>
      <c r="H183" s="2487"/>
      <c r="I183" s="2487"/>
      <c r="J183" s="2487"/>
      <c r="K183" s="2487"/>
      <c r="L183" s="2487"/>
      <c r="M183" s="2487"/>
      <c r="N183" s="2487"/>
      <c r="O183" s="2487"/>
      <c r="P183" s="2487"/>
      <c r="Q183" s="2487"/>
      <c r="R183" s="2487"/>
      <c r="S183" s="2487"/>
      <c r="T183" s="2487"/>
      <c r="U183" s="2487"/>
      <c r="V183" s="2487"/>
      <c r="W183" s="2487"/>
      <c r="X183" s="2487"/>
      <c r="Y183" s="2487"/>
      <c r="Z183" s="2487"/>
      <c r="AA183" s="2487"/>
      <c r="AB183" s="2487"/>
      <c r="AC183" s="2487"/>
      <c r="AD183" s="2487"/>
      <c r="AE183" s="2487"/>
      <c r="AF183" s="2487"/>
      <c r="AG183" s="2487"/>
      <c r="AH183" s="2487"/>
      <c r="AI183" s="2487"/>
      <c r="AJ183" s="2487"/>
      <c r="AK183" s="2487"/>
      <c r="AL183" s="2487"/>
      <c r="AM183" s="2487"/>
    </row>
    <row r="184" spans="1:39" ht="11.25" customHeight="1" x14ac:dyDescent="0.25">
      <c r="A184" s="2487"/>
      <c r="B184" s="2487"/>
      <c r="C184" s="2487"/>
      <c r="D184" s="2487"/>
      <c r="E184" s="2487"/>
      <c r="F184" s="2487"/>
      <c r="G184" s="2487"/>
      <c r="H184" s="2487"/>
      <c r="I184" s="2487"/>
      <c r="J184" s="2487"/>
      <c r="K184" s="2487"/>
      <c r="L184" s="2487"/>
      <c r="M184" s="2487"/>
      <c r="N184" s="2487"/>
      <c r="O184" s="2487"/>
      <c r="P184" s="2487"/>
      <c r="Q184" s="2487"/>
      <c r="R184" s="2487"/>
      <c r="S184" s="2487"/>
      <c r="T184" s="2487"/>
      <c r="U184" s="2487"/>
      <c r="V184" s="2487"/>
      <c r="W184" s="2487"/>
      <c r="X184" s="2487"/>
      <c r="Y184" s="2487"/>
      <c r="Z184" s="2487"/>
      <c r="AA184" s="2487"/>
      <c r="AB184" s="2487"/>
      <c r="AC184" s="2487"/>
      <c r="AD184" s="2487"/>
      <c r="AE184" s="2487"/>
      <c r="AF184" s="2487"/>
      <c r="AG184" s="2487"/>
      <c r="AH184" s="2487"/>
      <c r="AI184" s="2487"/>
      <c r="AJ184" s="2487"/>
      <c r="AK184" s="2487"/>
      <c r="AL184" s="2487"/>
      <c r="AM184" s="2487"/>
    </row>
    <row r="185" spans="1:39" ht="11.25" customHeight="1" x14ac:dyDescent="0.25">
      <c r="A185" s="2487"/>
      <c r="B185" s="2487"/>
      <c r="C185" s="2487"/>
      <c r="D185" s="2487"/>
      <c r="E185" s="2487"/>
      <c r="F185" s="2487"/>
      <c r="G185" s="2487"/>
      <c r="H185" s="2487"/>
      <c r="I185" s="2487"/>
      <c r="J185" s="2487"/>
      <c r="K185" s="2487"/>
      <c r="L185" s="2487"/>
      <c r="M185" s="2487"/>
      <c r="N185" s="2487"/>
      <c r="O185" s="2487"/>
      <c r="P185" s="2487"/>
      <c r="Q185" s="2487"/>
      <c r="R185" s="2487"/>
      <c r="S185" s="2487"/>
      <c r="T185" s="2487"/>
      <c r="U185" s="2487"/>
      <c r="V185" s="2487"/>
      <c r="W185" s="2487"/>
      <c r="X185" s="2487"/>
      <c r="Y185" s="2487"/>
      <c r="Z185" s="2487"/>
      <c r="AA185" s="2487"/>
      <c r="AB185" s="2487"/>
      <c r="AC185" s="2487"/>
      <c r="AD185" s="2487"/>
      <c r="AE185" s="2487"/>
      <c r="AF185" s="2487"/>
      <c r="AG185" s="2487"/>
      <c r="AH185" s="2487"/>
      <c r="AI185" s="2487"/>
      <c r="AJ185" s="2487"/>
      <c r="AK185" s="2487"/>
      <c r="AL185" s="2487"/>
      <c r="AM185" s="2487"/>
    </row>
    <row r="186" spans="1:39" ht="11.25" customHeight="1" x14ac:dyDescent="0.25">
      <c r="A186" s="2487"/>
      <c r="B186" s="2487"/>
      <c r="C186" s="2487"/>
      <c r="D186" s="2487"/>
      <c r="E186" s="2487"/>
      <c r="F186" s="2487"/>
      <c r="G186" s="2487"/>
      <c r="H186" s="2487"/>
      <c r="I186" s="2487"/>
      <c r="J186" s="2487"/>
      <c r="K186" s="2487"/>
      <c r="L186" s="2487"/>
      <c r="M186" s="2487"/>
      <c r="N186" s="2487"/>
      <c r="O186" s="2487"/>
      <c r="P186" s="2487"/>
      <c r="Q186" s="2487"/>
      <c r="R186" s="2487"/>
      <c r="S186" s="2487"/>
      <c r="T186" s="2487"/>
      <c r="U186" s="2487"/>
      <c r="V186" s="2487"/>
      <c r="W186" s="2487"/>
      <c r="X186" s="2487"/>
      <c r="Y186" s="2487"/>
      <c r="Z186" s="2487"/>
      <c r="AA186" s="2487"/>
      <c r="AB186" s="2487"/>
      <c r="AC186" s="2487"/>
      <c r="AD186" s="2487"/>
      <c r="AE186" s="2487"/>
      <c r="AF186" s="2487"/>
      <c r="AG186" s="2487"/>
      <c r="AH186" s="2487"/>
      <c r="AI186" s="2487"/>
      <c r="AJ186" s="2487"/>
      <c r="AK186" s="2487"/>
      <c r="AL186" s="2487"/>
      <c r="AM186" s="2487"/>
    </row>
    <row r="187" spans="1:39" ht="11.25" customHeight="1" x14ac:dyDescent="0.25">
      <c r="A187" s="2487"/>
      <c r="B187" s="2487"/>
      <c r="C187" s="2487"/>
      <c r="D187" s="2487"/>
      <c r="E187" s="2487"/>
      <c r="F187" s="2487"/>
      <c r="G187" s="2487"/>
      <c r="H187" s="2487"/>
      <c r="I187" s="2487"/>
      <c r="J187" s="2487"/>
      <c r="K187" s="2487"/>
      <c r="L187" s="2487"/>
      <c r="M187" s="2487"/>
      <c r="N187" s="2487"/>
      <c r="O187" s="2487"/>
      <c r="P187" s="2487"/>
      <c r="Q187" s="2487"/>
      <c r="R187" s="2487"/>
      <c r="S187" s="2487"/>
      <c r="T187" s="2487"/>
      <c r="U187" s="2487"/>
      <c r="V187" s="2487"/>
      <c r="W187" s="2487"/>
      <c r="X187" s="2487"/>
      <c r="Y187" s="2487"/>
      <c r="Z187" s="2487"/>
      <c r="AA187" s="2487"/>
      <c r="AB187" s="2487"/>
      <c r="AC187" s="2487"/>
      <c r="AD187" s="2487"/>
      <c r="AE187" s="2487"/>
      <c r="AF187" s="2487"/>
      <c r="AG187" s="2487"/>
      <c r="AH187" s="2487"/>
      <c r="AI187" s="2487"/>
      <c r="AJ187" s="2487"/>
      <c r="AK187" s="2487"/>
      <c r="AL187" s="2487"/>
      <c r="AM187" s="2487"/>
    </row>
    <row r="188" spans="1:39" ht="11.25" customHeight="1" x14ac:dyDescent="0.25">
      <c r="A188" s="2487"/>
      <c r="B188" s="2487"/>
      <c r="C188" s="2487"/>
      <c r="D188" s="2487"/>
      <c r="E188" s="2487"/>
      <c r="F188" s="2487"/>
      <c r="G188" s="2487"/>
      <c r="H188" s="2487"/>
      <c r="I188" s="2487"/>
      <c r="J188" s="2487"/>
      <c r="K188" s="2487"/>
      <c r="L188" s="2487"/>
      <c r="M188" s="2487"/>
      <c r="N188" s="2487"/>
      <c r="O188" s="2487"/>
      <c r="P188" s="2487"/>
      <c r="Q188" s="2487"/>
      <c r="R188" s="2487"/>
      <c r="S188" s="2487"/>
      <c r="T188" s="2487"/>
      <c r="U188" s="2487"/>
      <c r="V188" s="2487"/>
      <c r="W188" s="2487"/>
      <c r="X188" s="2487"/>
      <c r="Y188" s="2487"/>
      <c r="Z188" s="2487"/>
      <c r="AA188" s="2487"/>
      <c r="AB188" s="2487"/>
      <c r="AC188" s="2487"/>
      <c r="AD188" s="2487"/>
      <c r="AE188" s="2487"/>
      <c r="AF188" s="2487"/>
      <c r="AG188" s="2487"/>
      <c r="AH188" s="2487"/>
      <c r="AI188" s="2487"/>
      <c r="AJ188" s="2487"/>
      <c r="AK188" s="2487"/>
      <c r="AL188" s="2487"/>
      <c r="AM188" s="2487"/>
    </row>
    <row r="189" spans="1:39" ht="11.25" customHeight="1" x14ac:dyDescent="0.25">
      <c r="A189" s="2487"/>
      <c r="B189" s="2487"/>
      <c r="C189" s="2487"/>
      <c r="D189" s="2487"/>
      <c r="E189" s="2487"/>
      <c r="F189" s="2487"/>
      <c r="G189" s="2487"/>
      <c r="H189" s="2487"/>
      <c r="I189" s="2487"/>
      <c r="J189" s="2487"/>
      <c r="K189" s="2487"/>
      <c r="L189" s="2487"/>
      <c r="M189" s="2487"/>
      <c r="N189" s="2487"/>
      <c r="O189" s="2487"/>
      <c r="P189" s="2487"/>
      <c r="Q189" s="2487"/>
      <c r="R189" s="2487"/>
      <c r="S189" s="2487"/>
      <c r="T189" s="2487"/>
      <c r="U189" s="2487"/>
      <c r="V189" s="2487"/>
      <c r="W189" s="2487"/>
      <c r="X189" s="2487"/>
      <c r="Y189" s="2487"/>
      <c r="Z189" s="2487"/>
      <c r="AA189" s="2487"/>
      <c r="AB189" s="2487"/>
      <c r="AC189" s="2487"/>
      <c r="AD189" s="2487"/>
      <c r="AE189" s="2487"/>
      <c r="AF189" s="2487"/>
      <c r="AG189" s="2487"/>
      <c r="AH189" s="2487"/>
      <c r="AI189" s="2487"/>
      <c r="AJ189" s="2487"/>
      <c r="AK189" s="2487"/>
      <c r="AL189" s="2487"/>
      <c r="AM189" s="2487"/>
    </row>
    <row r="190" spans="1:39" ht="11.25" customHeight="1" x14ac:dyDescent="0.25">
      <c r="A190" s="2487"/>
      <c r="B190" s="2487"/>
      <c r="C190" s="2487"/>
      <c r="D190" s="2487"/>
      <c r="E190" s="2487"/>
      <c r="F190" s="2487"/>
      <c r="G190" s="2487"/>
      <c r="H190" s="2487"/>
      <c r="I190" s="2487"/>
      <c r="J190" s="2487"/>
      <c r="K190" s="2487"/>
      <c r="L190" s="2487"/>
      <c r="M190" s="2487"/>
      <c r="N190" s="2487"/>
      <c r="O190" s="2487"/>
      <c r="P190" s="2487"/>
      <c r="Q190" s="2487"/>
      <c r="R190" s="2487"/>
      <c r="S190" s="2487"/>
      <c r="T190" s="2487"/>
      <c r="U190" s="2487"/>
      <c r="V190" s="2487"/>
      <c r="W190" s="2487"/>
      <c r="X190" s="2487"/>
      <c r="Y190" s="2487"/>
      <c r="Z190" s="2487"/>
      <c r="AA190" s="2487"/>
      <c r="AB190" s="2487"/>
      <c r="AC190" s="2487"/>
      <c r="AD190" s="2487"/>
      <c r="AE190" s="2487"/>
      <c r="AF190" s="2487"/>
      <c r="AG190" s="2487"/>
      <c r="AH190" s="2487"/>
      <c r="AI190" s="2487"/>
      <c r="AJ190" s="2487"/>
      <c r="AK190" s="2487"/>
      <c r="AL190" s="2487"/>
      <c r="AM190" s="2487"/>
    </row>
    <row r="191" spans="1:39" ht="11.25" customHeight="1" x14ac:dyDescent="0.25">
      <c r="A191" s="2487"/>
      <c r="B191" s="2487"/>
      <c r="C191" s="2487"/>
      <c r="D191" s="2487"/>
      <c r="E191" s="2487"/>
      <c r="F191" s="2487"/>
      <c r="G191" s="2487"/>
      <c r="H191" s="2487"/>
      <c r="I191" s="2487"/>
      <c r="J191" s="2487"/>
      <c r="K191" s="2487"/>
      <c r="L191" s="2487"/>
      <c r="M191" s="2487"/>
      <c r="N191" s="2487"/>
      <c r="O191" s="2487"/>
      <c r="P191" s="2487"/>
      <c r="Q191" s="2487"/>
      <c r="R191" s="2487"/>
      <c r="S191" s="2487"/>
      <c r="T191" s="2487"/>
      <c r="U191" s="2487"/>
      <c r="V191" s="2487"/>
      <c r="W191" s="2487"/>
      <c r="X191" s="2487"/>
      <c r="Y191" s="2487"/>
      <c r="Z191" s="2487"/>
      <c r="AA191" s="2487"/>
      <c r="AB191" s="2487"/>
      <c r="AC191" s="2487"/>
      <c r="AD191" s="2487"/>
      <c r="AE191" s="2487"/>
      <c r="AF191" s="2487"/>
      <c r="AG191" s="2487"/>
      <c r="AH191" s="2487"/>
      <c r="AI191" s="2487"/>
      <c r="AJ191" s="2487"/>
      <c r="AK191" s="2487"/>
      <c r="AL191" s="2487"/>
      <c r="AM191" s="2487"/>
    </row>
    <row r="192" spans="1:39" ht="11.25" customHeight="1" x14ac:dyDescent="0.25">
      <c r="A192" s="2487"/>
      <c r="B192" s="2487"/>
      <c r="C192" s="2487"/>
      <c r="D192" s="2487"/>
      <c r="E192" s="2487"/>
      <c r="F192" s="2487"/>
      <c r="G192" s="2487"/>
      <c r="H192" s="2487"/>
      <c r="I192" s="2487"/>
      <c r="J192" s="2487"/>
      <c r="K192" s="2487"/>
      <c r="L192" s="2487"/>
      <c r="M192" s="2487"/>
      <c r="N192" s="2487"/>
      <c r="O192" s="2487"/>
      <c r="P192" s="2487"/>
      <c r="Q192" s="2487"/>
      <c r="R192" s="2487"/>
      <c r="S192" s="2487"/>
      <c r="T192" s="2487"/>
      <c r="U192" s="2487"/>
      <c r="V192" s="2487"/>
      <c r="W192" s="2487"/>
      <c r="X192" s="2487"/>
      <c r="Y192" s="2487"/>
      <c r="Z192" s="2487"/>
      <c r="AA192" s="2487"/>
      <c r="AB192" s="2487"/>
      <c r="AC192" s="2487"/>
      <c r="AD192" s="2487"/>
      <c r="AE192" s="2487"/>
      <c r="AF192" s="2487"/>
      <c r="AG192" s="2487"/>
      <c r="AH192" s="2487"/>
      <c r="AI192" s="2487"/>
      <c r="AJ192" s="2487"/>
      <c r="AK192" s="2487"/>
      <c r="AL192" s="2487"/>
      <c r="AM192" s="2487"/>
    </row>
    <row r="193" spans="1:39" ht="11.25" customHeight="1" x14ac:dyDescent="0.25">
      <c r="A193" s="2487"/>
      <c r="B193" s="2487"/>
      <c r="C193" s="2487"/>
      <c r="D193" s="2487"/>
      <c r="E193" s="2487"/>
      <c r="F193" s="2487"/>
      <c r="G193" s="2487"/>
      <c r="H193" s="2487"/>
      <c r="I193" s="2487"/>
      <c r="J193" s="2487"/>
      <c r="K193" s="2487"/>
      <c r="L193" s="2487"/>
      <c r="M193" s="2487"/>
      <c r="N193" s="2487"/>
      <c r="O193" s="2487"/>
      <c r="P193" s="2487"/>
      <c r="Q193" s="2487"/>
      <c r="R193" s="2487"/>
      <c r="S193" s="2487"/>
      <c r="T193" s="2487"/>
      <c r="U193" s="2487"/>
      <c r="V193" s="2487"/>
      <c r="W193" s="2487"/>
      <c r="X193" s="2487"/>
      <c r="Y193" s="2487"/>
      <c r="Z193" s="2487"/>
      <c r="AA193" s="2487"/>
      <c r="AB193" s="2487"/>
      <c r="AC193" s="2487"/>
      <c r="AD193" s="2487"/>
      <c r="AE193" s="2487"/>
      <c r="AF193" s="2487"/>
      <c r="AG193" s="2487"/>
      <c r="AH193" s="2487"/>
      <c r="AI193" s="2487"/>
      <c r="AJ193" s="2487"/>
      <c r="AK193" s="2487"/>
      <c r="AL193" s="2487"/>
      <c r="AM193" s="2487"/>
    </row>
    <row r="194" spans="1:39" ht="11.25" customHeight="1" x14ac:dyDescent="0.25">
      <c r="A194" s="2487"/>
      <c r="B194" s="2487"/>
      <c r="C194" s="2487"/>
      <c r="D194" s="2487"/>
      <c r="E194" s="2487"/>
      <c r="F194" s="2487"/>
      <c r="G194" s="2487"/>
      <c r="H194" s="2487"/>
      <c r="I194" s="2487"/>
      <c r="J194" s="2487"/>
      <c r="K194" s="2487"/>
      <c r="L194" s="2487"/>
      <c r="M194" s="2487"/>
      <c r="N194" s="2487"/>
      <c r="O194" s="2487"/>
      <c r="P194" s="2487"/>
      <c r="Q194" s="2487"/>
      <c r="R194" s="2487"/>
      <c r="S194" s="2487"/>
      <c r="T194" s="2487"/>
      <c r="U194" s="2487"/>
      <c r="V194" s="2487"/>
      <c r="W194" s="2487"/>
      <c r="X194" s="2487"/>
      <c r="Y194" s="2487"/>
      <c r="Z194" s="2487"/>
      <c r="AA194" s="2487"/>
      <c r="AB194" s="2487"/>
      <c r="AC194" s="2487"/>
      <c r="AD194" s="2487"/>
      <c r="AE194" s="2487"/>
      <c r="AF194" s="2487"/>
      <c r="AG194" s="2487"/>
      <c r="AH194" s="2487"/>
      <c r="AI194" s="2487"/>
      <c r="AJ194" s="2487"/>
      <c r="AK194" s="2487"/>
      <c r="AL194" s="2487"/>
      <c r="AM194" s="2487"/>
    </row>
    <row r="195" spans="1:39" ht="11.25" customHeight="1" x14ac:dyDescent="0.25">
      <c r="A195" s="2487"/>
      <c r="B195" s="2487"/>
      <c r="C195" s="2487"/>
      <c r="D195" s="2487"/>
      <c r="E195" s="2487"/>
      <c r="F195" s="2487"/>
      <c r="G195" s="2487"/>
      <c r="H195" s="2487"/>
      <c r="I195" s="2487"/>
      <c r="J195" s="2487"/>
      <c r="K195" s="2487"/>
      <c r="L195" s="2487"/>
      <c r="M195" s="2487"/>
      <c r="N195" s="2487"/>
      <c r="O195" s="2487"/>
      <c r="P195" s="2487"/>
      <c r="Q195" s="2487"/>
      <c r="R195" s="2487"/>
      <c r="S195" s="2487"/>
      <c r="T195" s="2487"/>
      <c r="U195" s="2487"/>
      <c r="V195" s="2487"/>
      <c r="W195" s="2487"/>
      <c r="X195" s="2487"/>
      <c r="Y195" s="2487"/>
      <c r="Z195" s="2487"/>
      <c r="AA195" s="2487"/>
      <c r="AB195" s="2487"/>
      <c r="AC195" s="2487"/>
      <c r="AD195" s="2487"/>
      <c r="AE195" s="2487"/>
      <c r="AF195" s="2487"/>
      <c r="AG195" s="2487"/>
      <c r="AH195" s="2487"/>
      <c r="AI195" s="2487"/>
      <c r="AJ195" s="2487"/>
      <c r="AK195" s="2487"/>
      <c r="AL195" s="2487"/>
      <c r="AM195" s="2487"/>
    </row>
    <row r="196" spans="1:39" ht="11.25" customHeight="1" x14ac:dyDescent="0.25">
      <c r="A196" s="2487"/>
      <c r="B196" s="2487"/>
      <c r="C196" s="2487"/>
      <c r="D196" s="2487"/>
      <c r="E196" s="2487"/>
      <c r="F196" s="2487"/>
      <c r="G196" s="2487"/>
      <c r="H196" s="2487"/>
      <c r="I196" s="2487"/>
      <c r="J196" s="2487"/>
      <c r="K196" s="2487"/>
      <c r="L196" s="2487"/>
      <c r="M196" s="2487"/>
      <c r="N196" s="2487"/>
      <c r="O196" s="2487"/>
      <c r="P196" s="2487"/>
      <c r="Q196" s="2487"/>
      <c r="R196" s="2487"/>
      <c r="S196" s="2487"/>
      <c r="T196" s="2487"/>
      <c r="U196" s="2487"/>
      <c r="V196" s="2487"/>
      <c r="W196" s="2487"/>
      <c r="X196" s="2487"/>
      <c r="Y196" s="2487"/>
      <c r="Z196" s="2487"/>
      <c r="AA196" s="2487"/>
      <c r="AB196" s="2487"/>
      <c r="AC196" s="2487"/>
      <c r="AD196" s="2487"/>
      <c r="AE196" s="2487"/>
      <c r="AF196" s="2487"/>
      <c r="AG196" s="2487"/>
      <c r="AH196" s="2487"/>
      <c r="AI196" s="2487"/>
      <c r="AJ196" s="2487"/>
      <c r="AK196" s="2487"/>
      <c r="AL196" s="2487"/>
      <c r="AM196" s="2487"/>
    </row>
    <row r="197" spans="1:39" ht="11.25" customHeight="1" x14ac:dyDescent="0.25">
      <c r="A197" s="2487"/>
      <c r="B197" s="2487"/>
      <c r="C197" s="2487"/>
      <c r="D197" s="2487"/>
      <c r="E197" s="2487"/>
      <c r="F197" s="2487"/>
      <c r="G197" s="2487"/>
      <c r="H197" s="2487"/>
      <c r="I197" s="2487"/>
      <c r="J197" s="2487"/>
      <c r="K197" s="2487"/>
      <c r="L197" s="2487"/>
      <c r="M197" s="2487"/>
      <c r="N197" s="2487"/>
      <c r="O197" s="2487"/>
      <c r="P197" s="2487"/>
      <c r="Q197" s="2487"/>
      <c r="R197" s="2487"/>
      <c r="S197" s="2487"/>
      <c r="T197" s="2487"/>
      <c r="U197" s="2487"/>
      <c r="V197" s="2487"/>
      <c r="W197" s="2487"/>
      <c r="X197" s="2487"/>
      <c r="Y197" s="2487"/>
      <c r="Z197" s="2487"/>
      <c r="AA197" s="2487"/>
      <c r="AB197" s="2487"/>
      <c r="AC197" s="2487"/>
      <c r="AD197" s="2487"/>
      <c r="AE197" s="2487"/>
      <c r="AF197" s="2487"/>
      <c r="AG197" s="2487"/>
      <c r="AH197" s="2487"/>
      <c r="AI197" s="2487"/>
      <c r="AJ197" s="2487"/>
      <c r="AK197" s="2487"/>
      <c r="AL197" s="2487"/>
      <c r="AM197" s="2487"/>
    </row>
    <row r="198" spans="1:39" ht="11.25" customHeight="1" x14ac:dyDescent="0.25">
      <c r="A198" s="2487"/>
      <c r="B198" s="2487"/>
      <c r="C198" s="2487"/>
      <c r="D198" s="2487"/>
      <c r="E198" s="2487"/>
      <c r="F198" s="2487"/>
      <c r="G198" s="2487"/>
      <c r="H198" s="2487"/>
      <c r="I198" s="2487"/>
      <c r="J198" s="2487"/>
      <c r="K198" s="2487"/>
      <c r="L198" s="2487"/>
      <c r="M198" s="2487"/>
      <c r="N198" s="2487"/>
      <c r="O198" s="2487"/>
      <c r="P198" s="2487"/>
      <c r="Q198" s="2487"/>
      <c r="R198" s="2487"/>
      <c r="S198" s="2487"/>
      <c r="T198" s="2487"/>
      <c r="U198" s="2487"/>
      <c r="V198" s="2487"/>
      <c r="W198" s="2487"/>
      <c r="X198" s="2487"/>
      <c r="Y198" s="2487"/>
      <c r="Z198" s="2487"/>
      <c r="AA198" s="2487"/>
      <c r="AB198" s="2487"/>
      <c r="AC198" s="2487"/>
      <c r="AD198" s="2487"/>
      <c r="AE198" s="2487"/>
      <c r="AF198" s="2487"/>
      <c r="AG198" s="2487"/>
      <c r="AH198" s="2487"/>
      <c r="AI198" s="2487"/>
      <c r="AJ198" s="2487"/>
      <c r="AK198" s="2487"/>
      <c r="AL198" s="2487"/>
      <c r="AM198" s="2487"/>
    </row>
    <row r="199" spans="1:39" ht="11.25" customHeight="1" x14ac:dyDescent="0.25">
      <c r="A199" s="2487"/>
      <c r="B199" s="2487"/>
      <c r="C199" s="2487"/>
      <c r="D199" s="2487"/>
      <c r="E199" s="2487"/>
      <c r="F199" s="2487"/>
      <c r="G199" s="2487"/>
      <c r="H199" s="2487"/>
      <c r="I199" s="2487"/>
      <c r="J199" s="2487"/>
      <c r="K199" s="2487"/>
      <c r="L199" s="2487"/>
      <c r="M199" s="2487"/>
      <c r="N199" s="2487"/>
      <c r="O199" s="2487"/>
      <c r="P199" s="2487"/>
      <c r="Q199" s="2487"/>
      <c r="R199" s="2487"/>
      <c r="S199" s="2487"/>
      <c r="T199" s="2487"/>
      <c r="U199" s="2487"/>
      <c r="V199" s="2487"/>
      <c r="W199" s="2487"/>
      <c r="X199" s="2487"/>
      <c r="Y199" s="2487"/>
      <c r="Z199" s="2487"/>
      <c r="AA199" s="2487"/>
      <c r="AB199" s="2487"/>
      <c r="AC199" s="2487"/>
      <c r="AD199" s="2487"/>
      <c r="AE199" s="2487"/>
      <c r="AF199" s="2487"/>
      <c r="AG199" s="2487"/>
      <c r="AH199" s="2487"/>
      <c r="AI199" s="2487"/>
      <c r="AJ199" s="2487"/>
      <c r="AK199" s="2487"/>
      <c r="AL199" s="2487"/>
      <c r="AM199" s="2487"/>
    </row>
    <row r="200" spans="1:39" ht="11.25" customHeight="1" x14ac:dyDescent="0.25">
      <c r="A200" s="2487"/>
      <c r="B200" s="2487"/>
      <c r="C200" s="2487"/>
      <c r="D200" s="2487"/>
      <c r="E200" s="2487"/>
      <c r="F200" s="2487"/>
      <c r="G200" s="2487"/>
      <c r="H200" s="2487"/>
      <c r="I200" s="2487"/>
      <c r="J200" s="2487"/>
      <c r="K200" s="2487"/>
      <c r="L200" s="2487"/>
      <c r="M200" s="2487"/>
      <c r="N200" s="2487"/>
      <c r="O200" s="2487"/>
      <c r="P200" s="2487"/>
      <c r="Q200" s="2487"/>
      <c r="R200" s="2487"/>
      <c r="S200" s="2487"/>
      <c r="T200" s="2487"/>
      <c r="U200" s="2487"/>
      <c r="V200" s="2487"/>
      <c r="W200" s="2487"/>
      <c r="X200" s="2487"/>
      <c r="Y200" s="2487"/>
      <c r="Z200" s="2487"/>
      <c r="AA200" s="2487"/>
      <c r="AB200" s="2487"/>
      <c r="AC200" s="2487"/>
      <c r="AD200" s="2487"/>
      <c r="AE200" s="2487"/>
      <c r="AF200" s="2487"/>
      <c r="AG200" s="2487"/>
      <c r="AH200" s="2487"/>
      <c r="AI200" s="2487"/>
      <c r="AJ200" s="2487"/>
      <c r="AK200" s="2487"/>
      <c r="AL200" s="2487"/>
      <c r="AM200" s="2487"/>
    </row>
    <row r="201" spans="1:39" ht="11.25" customHeight="1" x14ac:dyDescent="0.25">
      <c r="A201" s="2487"/>
      <c r="B201" s="2487"/>
      <c r="C201" s="2487"/>
      <c r="D201" s="2487"/>
      <c r="E201" s="2487"/>
      <c r="F201" s="2487"/>
      <c r="G201" s="2487"/>
      <c r="H201" s="2487"/>
      <c r="I201" s="2487"/>
      <c r="J201" s="2487"/>
      <c r="K201" s="2487"/>
      <c r="L201" s="2487"/>
      <c r="M201" s="2487"/>
      <c r="N201" s="2487"/>
      <c r="O201" s="2487"/>
      <c r="P201" s="2487"/>
      <c r="Q201" s="2487"/>
      <c r="R201" s="2487"/>
      <c r="S201" s="2487"/>
      <c r="T201" s="2487"/>
      <c r="U201" s="2487"/>
      <c r="V201" s="2487"/>
      <c r="W201" s="2487"/>
      <c r="X201" s="2487"/>
      <c r="Y201" s="2487"/>
      <c r="Z201" s="2487"/>
      <c r="AA201" s="2487"/>
      <c r="AB201" s="2487"/>
      <c r="AC201" s="2487"/>
      <c r="AD201" s="2487"/>
      <c r="AE201" s="2487"/>
      <c r="AF201" s="2487"/>
      <c r="AG201" s="2487"/>
      <c r="AH201" s="2487"/>
      <c r="AI201" s="2487"/>
      <c r="AJ201" s="2487"/>
      <c r="AK201" s="2487"/>
      <c r="AL201" s="2487"/>
      <c r="AM201" s="2487"/>
    </row>
    <row r="202" spans="1:39" ht="11.25" customHeight="1" x14ac:dyDescent="0.25">
      <c r="A202" s="2487"/>
      <c r="B202" s="2487"/>
      <c r="C202" s="2487"/>
      <c r="D202" s="2487"/>
      <c r="E202" s="2487"/>
      <c r="F202" s="2487"/>
      <c r="G202" s="2487"/>
      <c r="H202" s="2487"/>
      <c r="I202" s="2487"/>
      <c r="J202" s="2487"/>
      <c r="K202" s="2487"/>
      <c r="L202" s="2487"/>
      <c r="M202" s="2487"/>
      <c r="N202" s="2487"/>
      <c r="O202" s="2487"/>
      <c r="P202" s="2487"/>
      <c r="Q202" s="2487"/>
      <c r="R202" s="2487"/>
      <c r="S202" s="2487"/>
      <c r="T202" s="2487"/>
      <c r="U202" s="2487"/>
      <c r="V202" s="2487"/>
      <c r="W202" s="2487"/>
      <c r="X202" s="2487"/>
      <c r="Y202" s="2487"/>
      <c r="Z202" s="2487"/>
      <c r="AA202" s="2487"/>
      <c r="AB202" s="2487"/>
      <c r="AC202" s="2487"/>
      <c r="AD202" s="2487"/>
      <c r="AE202" s="2487"/>
      <c r="AF202" s="2487"/>
      <c r="AG202" s="2487"/>
      <c r="AH202" s="2487"/>
      <c r="AI202" s="2487"/>
      <c r="AJ202" s="2487"/>
      <c r="AK202" s="2487"/>
      <c r="AL202" s="2487"/>
      <c r="AM202" s="2487"/>
    </row>
    <row r="203" spans="1:39" ht="11.25" customHeight="1" x14ac:dyDescent="0.25">
      <c r="A203" s="2487"/>
      <c r="B203" s="2487"/>
      <c r="C203" s="2487"/>
      <c r="D203" s="2487"/>
      <c r="E203" s="2487"/>
      <c r="F203" s="2487"/>
      <c r="G203" s="2487"/>
      <c r="H203" s="2487"/>
      <c r="I203" s="2487"/>
      <c r="J203" s="2487"/>
      <c r="K203" s="2487"/>
      <c r="L203" s="2487"/>
      <c r="M203" s="2487"/>
      <c r="N203" s="2487"/>
      <c r="O203" s="2487"/>
      <c r="P203" s="2487"/>
      <c r="Q203" s="2487"/>
      <c r="R203" s="2487"/>
      <c r="S203" s="2487"/>
      <c r="T203" s="2487"/>
      <c r="U203" s="2487"/>
      <c r="V203" s="2487"/>
      <c r="W203" s="2487"/>
      <c r="X203" s="2487"/>
      <c r="Y203" s="2487"/>
      <c r="Z203" s="2487"/>
      <c r="AA203" s="2487"/>
      <c r="AB203" s="2487"/>
      <c r="AC203" s="2487"/>
      <c r="AD203" s="2487"/>
      <c r="AE203" s="2487"/>
      <c r="AF203" s="2487"/>
      <c r="AG203" s="2487"/>
      <c r="AH203" s="2487"/>
      <c r="AI203" s="2487"/>
      <c r="AJ203" s="2487"/>
      <c r="AK203" s="2487"/>
      <c r="AL203" s="2487"/>
      <c r="AM203" s="2487"/>
    </row>
    <row r="204" spans="1:39" ht="11.25" customHeight="1" x14ac:dyDescent="0.25">
      <c r="A204" s="2487"/>
      <c r="B204" s="2487"/>
      <c r="C204" s="2487"/>
      <c r="D204" s="2487"/>
      <c r="E204" s="2487"/>
      <c r="F204" s="2487"/>
      <c r="G204" s="2487"/>
      <c r="H204" s="2487"/>
      <c r="I204" s="2487"/>
      <c r="J204" s="2487"/>
      <c r="K204" s="2487"/>
      <c r="L204" s="2487"/>
      <c r="M204" s="2487"/>
      <c r="N204" s="2487"/>
      <c r="O204" s="2487"/>
      <c r="P204" s="2487"/>
      <c r="Q204" s="2487"/>
      <c r="R204" s="2487"/>
      <c r="S204" s="2487"/>
      <c r="T204" s="2487"/>
      <c r="U204" s="2487"/>
      <c r="V204" s="2487"/>
      <c r="W204" s="2487"/>
      <c r="X204" s="2487"/>
      <c r="Y204" s="2487"/>
      <c r="Z204" s="2487"/>
      <c r="AA204" s="2487"/>
      <c r="AB204" s="2487"/>
      <c r="AC204" s="2487"/>
      <c r="AD204" s="2487"/>
      <c r="AE204" s="2487"/>
      <c r="AF204" s="2487"/>
      <c r="AG204" s="2487"/>
      <c r="AH204" s="2487"/>
      <c r="AI204" s="2487"/>
      <c r="AJ204" s="2487"/>
      <c r="AK204" s="2487"/>
      <c r="AL204" s="2487"/>
      <c r="AM204" s="2487"/>
    </row>
    <row r="205" spans="1:39" ht="11.25" customHeight="1" x14ac:dyDescent="0.25">
      <c r="A205" s="2487"/>
      <c r="B205" s="2487"/>
      <c r="C205" s="2487"/>
      <c r="D205" s="2487"/>
      <c r="E205" s="2487"/>
      <c r="F205" s="2487"/>
      <c r="G205" s="2487"/>
      <c r="H205" s="2487"/>
      <c r="I205" s="2487"/>
      <c r="J205" s="2487"/>
      <c r="K205" s="2487"/>
      <c r="L205" s="2487"/>
      <c r="M205" s="2487"/>
      <c r="N205" s="2487"/>
      <c r="O205" s="2487"/>
      <c r="P205" s="2487"/>
      <c r="Q205" s="2487"/>
      <c r="R205" s="2487"/>
      <c r="S205" s="2487"/>
      <c r="T205" s="2487"/>
      <c r="U205" s="2487"/>
      <c r="V205" s="2487"/>
      <c r="W205" s="2487"/>
      <c r="X205" s="2487"/>
      <c r="Y205" s="2487"/>
      <c r="Z205" s="2487"/>
      <c r="AA205" s="2487"/>
      <c r="AB205" s="2487"/>
      <c r="AC205" s="2487"/>
      <c r="AD205" s="2487"/>
      <c r="AE205" s="2487"/>
      <c r="AF205" s="2487"/>
      <c r="AG205" s="2487"/>
      <c r="AH205" s="2487"/>
      <c r="AI205" s="2487"/>
      <c r="AJ205" s="2487"/>
      <c r="AK205" s="2487"/>
      <c r="AL205" s="2487"/>
      <c r="AM205" s="2487"/>
    </row>
    <row r="206" spans="1:39" ht="11.25" customHeight="1" x14ac:dyDescent="0.25">
      <c r="A206" s="2487"/>
      <c r="B206" s="2487"/>
      <c r="C206" s="2487"/>
      <c r="D206" s="2487"/>
      <c r="E206" s="2487"/>
      <c r="F206" s="2487"/>
      <c r="G206" s="2487"/>
      <c r="H206" s="2487"/>
      <c r="I206" s="2487"/>
      <c r="J206" s="2487"/>
      <c r="K206" s="2487"/>
      <c r="L206" s="2487"/>
      <c r="M206" s="2487"/>
      <c r="N206" s="2487"/>
      <c r="O206" s="2487"/>
      <c r="P206" s="2487"/>
      <c r="Q206" s="2487"/>
      <c r="R206" s="2487"/>
      <c r="S206" s="2487"/>
      <c r="T206" s="2487"/>
      <c r="U206" s="2487"/>
      <c r="V206" s="2487"/>
      <c r="W206" s="2487"/>
      <c r="X206" s="2487"/>
      <c r="Y206" s="2487"/>
      <c r="Z206" s="2487"/>
      <c r="AA206" s="2487"/>
      <c r="AB206" s="2487"/>
      <c r="AC206" s="2487"/>
      <c r="AD206" s="2487"/>
      <c r="AE206" s="2487"/>
      <c r="AF206" s="2487"/>
      <c r="AG206" s="2487"/>
      <c r="AH206" s="2487"/>
      <c r="AI206" s="2487"/>
      <c r="AJ206" s="2487"/>
      <c r="AK206" s="2487"/>
      <c r="AL206" s="2487"/>
      <c r="AM206" s="2487"/>
    </row>
    <row r="207" spans="1:39" ht="11.25" customHeight="1" x14ac:dyDescent="0.25">
      <c r="A207" s="2487"/>
      <c r="B207" s="2487"/>
      <c r="C207" s="2487"/>
      <c r="D207" s="2487"/>
      <c r="E207" s="2487"/>
      <c r="F207" s="2487"/>
      <c r="G207" s="2487"/>
      <c r="H207" s="2487"/>
      <c r="I207" s="2487"/>
      <c r="J207" s="2487"/>
      <c r="K207" s="2487"/>
      <c r="L207" s="2487"/>
      <c r="M207" s="2487"/>
      <c r="N207" s="2487"/>
      <c r="O207" s="2487"/>
      <c r="P207" s="2487"/>
      <c r="Q207" s="2487"/>
      <c r="R207" s="2487"/>
      <c r="S207" s="2487"/>
      <c r="T207" s="2487"/>
      <c r="U207" s="2487"/>
      <c r="V207" s="2487"/>
      <c r="W207" s="2487"/>
      <c r="X207" s="2487"/>
      <c r="Y207" s="2487"/>
      <c r="Z207" s="2487"/>
      <c r="AA207" s="2487"/>
      <c r="AB207" s="2487"/>
      <c r="AC207" s="2487"/>
      <c r="AD207" s="2487"/>
      <c r="AE207" s="2487"/>
      <c r="AF207" s="2487"/>
      <c r="AG207" s="2487"/>
      <c r="AH207" s="2487"/>
      <c r="AI207" s="2487"/>
      <c r="AJ207" s="2487"/>
      <c r="AK207" s="2487"/>
      <c r="AL207" s="2487"/>
      <c r="AM207" s="2487"/>
    </row>
    <row r="208" spans="1:39" ht="11.25" customHeight="1" x14ac:dyDescent="0.25">
      <c r="A208" s="2487"/>
      <c r="B208" s="2487"/>
      <c r="C208" s="2487"/>
      <c r="D208" s="2487"/>
      <c r="E208" s="2487"/>
      <c r="F208" s="2487"/>
      <c r="G208" s="2487"/>
      <c r="H208" s="2487"/>
      <c r="I208" s="2487"/>
      <c r="J208" s="2487"/>
      <c r="K208" s="2487"/>
      <c r="L208" s="2487"/>
      <c r="M208" s="2487"/>
      <c r="N208" s="2487"/>
      <c r="O208" s="2487"/>
      <c r="P208" s="2487"/>
      <c r="Q208" s="2487"/>
      <c r="R208" s="2487"/>
      <c r="S208" s="2487"/>
      <c r="T208" s="2487"/>
      <c r="U208" s="2487"/>
      <c r="V208" s="2487"/>
      <c r="W208" s="2487"/>
      <c r="X208" s="2487"/>
      <c r="Y208" s="2487"/>
      <c r="Z208" s="2487"/>
      <c r="AA208" s="2487"/>
      <c r="AB208" s="2487"/>
      <c r="AC208" s="2487"/>
      <c r="AD208" s="2487"/>
      <c r="AE208" s="2487"/>
      <c r="AF208" s="2487"/>
      <c r="AG208" s="2487"/>
      <c r="AH208" s="2487"/>
      <c r="AI208" s="2487"/>
      <c r="AJ208" s="2487"/>
      <c r="AK208" s="2487"/>
      <c r="AL208" s="2487"/>
      <c r="AM208" s="2487"/>
    </row>
    <row r="209" spans="1:39" ht="11.25" customHeight="1" x14ac:dyDescent="0.25">
      <c r="A209" s="2487"/>
      <c r="B209" s="2487"/>
      <c r="C209" s="2487"/>
      <c r="D209" s="2487"/>
      <c r="E209" s="2487"/>
      <c r="F209" s="2487"/>
      <c r="G209" s="2487"/>
      <c r="H209" s="2487"/>
      <c r="I209" s="2487"/>
      <c r="J209" s="2487"/>
      <c r="K209" s="2487"/>
      <c r="L209" s="2487"/>
      <c r="M209" s="2487"/>
      <c r="N209" s="2487"/>
      <c r="O209" s="2487"/>
      <c r="P209" s="2487"/>
      <c r="Q209" s="2487"/>
      <c r="R209" s="2487"/>
      <c r="S209" s="2487"/>
      <c r="T209" s="2487"/>
      <c r="U209" s="2487"/>
      <c r="V209" s="2487"/>
      <c r="W209" s="2487"/>
      <c r="X209" s="2487"/>
      <c r="Y209" s="2487"/>
      <c r="Z209" s="2487"/>
      <c r="AA209" s="2487"/>
      <c r="AB209" s="2487"/>
      <c r="AC209" s="2487"/>
      <c r="AD209" s="2487"/>
      <c r="AE209" s="2487"/>
      <c r="AF209" s="2487"/>
      <c r="AG209" s="2487"/>
      <c r="AH209" s="2487"/>
      <c r="AI209" s="2487"/>
      <c r="AJ209" s="2487"/>
      <c r="AK209" s="2487"/>
      <c r="AL209" s="2487"/>
      <c r="AM209" s="2487"/>
    </row>
    <row r="210" spans="1:39" ht="11.25" customHeight="1" x14ac:dyDescent="0.25">
      <c r="A210" s="2487"/>
      <c r="B210" s="2487"/>
      <c r="C210" s="2487"/>
      <c r="D210" s="2487"/>
      <c r="E210" s="2487"/>
      <c r="F210" s="2487"/>
      <c r="G210" s="2487"/>
      <c r="H210" s="2487"/>
      <c r="I210" s="2487"/>
      <c r="J210" s="2487"/>
      <c r="K210" s="2487"/>
      <c r="L210" s="2487"/>
      <c r="M210" s="2487"/>
      <c r="N210" s="2487"/>
      <c r="O210" s="2487"/>
      <c r="P210" s="2487"/>
      <c r="Q210" s="2487"/>
      <c r="R210" s="2487"/>
      <c r="S210" s="2487"/>
      <c r="T210" s="2487"/>
      <c r="U210" s="2487"/>
      <c r="V210" s="2487"/>
      <c r="W210" s="2487"/>
      <c r="X210" s="2487"/>
      <c r="Y210" s="2487"/>
      <c r="Z210" s="2487"/>
      <c r="AA210" s="2487"/>
      <c r="AB210" s="2487"/>
      <c r="AC210" s="2487"/>
      <c r="AD210" s="2487"/>
      <c r="AE210" s="2487"/>
      <c r="AF210" s="2487"/>
      <c r="AG210" s="2487"/>
      <c r="AH210" s="2487"/>
      <c r="AI210" s="2487"/>
      <c r="AJ210" s="2487"/>
      <c r="AK210" s="2487"/>
      <c r="AL210" s="2487"/>
      <c r="AM210" s="2487"/>
    </row>
    <row r="211" spans="1:39" ht="11.25" customHeight="1" x14ac:dyDescent="0.25">
      <c r="A211" s="2487"/>
      <c r="B211" s="2487"/>
      <c r="C211" s="2487"/>
      <c r="D211" s="2487"/>
      <c r="E211" s="2487"/>
      <c r="F211" s="2487"/>
      <c r="G211" s="2487"/>
      <c r="H211" s="2487"/>
      <c r="I211" s="2487"/>
      <c r="J211" s="2487"/>
      <c r="K211" s="2487"/>
      <c r="L211" s="2487"/>
      <c r="M211" s="2487"/>
      <c r="N211" s="2487"/>
      <c r="O211" s="2487"/>
      <c r="P211" s="2487"/>
      <c r="Q211" s="2487"/>
      <c r="R211" s="2487"/>
      <c r="S211" s="2487"/>
      <c r="T211" s="2487"/>
      <c r="U211" s="2487"/>
      <c r="V211" s="2487"/>
      <c r="W211" s="2487"/>
      <c r="X211" s="2487"/>
      <c r="Y211" s="2487"/>
      <c r="Z211" s="2487"/>
      <c r="AA211" s="2487"/>
      <c r="AB211" s="2487"/>
      <c r="AC211" s="2487"/>
      <c r="AD211" s="2487"/>
      <c r="AE211" s="2487"/>
      <c r="AF211" s="2487"/>
      <c r="AG211" s="2487"/>
      <c r="AH211" s="2487"/>
      <c r="AI211" s="2487"/>
      <c r="AJ211" s="2487"/>
      <c r="AK211" s="2487"/>
      <c r="AL211" s="2487"/>
      <c r="AM211" s="2487"/>
    </row>
    <row r="212" spans="1:39" ht="11.25" customHeight="1" x14ac:dyDescent="0.25">
      <c r="A212" s="2487"/>
      <c r="B212" s="2487"/>
      <c r="C212" s="2487"/>
      <c r="D212" s="2487"/>
      <c r="E212" s="2487"/>
      <c r="F212" s="2487"/>
      <c r="G212" s="2487"/>
      <c r="H212" s="2487"/>
      <c r="I212" s="2487"/>
      <c r="J212" s="2487"/>
      <c r="K212" s="2487"/>
      <c r="L212" s="2487"/>
      <c r="M212" s="2487"/>
      <c r="N212" s="2487"/>
      <c r="O212" s="2487"/>
      <c r="P212" s="2487"/>
      <c r="Q212" s="2487"/>
      <c r="R212" s="2487"/>
      <c r="S212" s="2487"/>
      <c r="T212" s="2487"/>
      <c r="U212" s="2487"/>
      <c r="V212" s="2487"/>
      <c r="W212" s="2487"/>
      <c r="X212" s="2487"/>
      <c r="Y212" s="2487"/>
      <c r="Z212" s="2487"/>
      <c r="AA212" s="2487"/>
      <c r="AB212" s="2487"/>
      <c r="AC212" s="2487"/>
      <c r="AD212" s="2487"/>
      <c r="AE212" s="2487"/>
      <c r="AF212" s="2487"/>
      <c r="AG212" s="2487"/>
      <c r="AH212" s="2487"/>
      <c r="AI212" s="2487"/>
      <c r="AJ212" s="2487"/>
      <c r="AK212" s="2487"/>
      <c r="AL212" s="2487"/>
      <c r="AM212" s="2487"/>
    </row>
    <row r="213" spans="1:39" ht="11.25" customHeight="1" x14ac:dyDescent="0.25">
      <c r="A213" s="2487"/>
      <c r="B213" s="2487"/>
      <c r="C213" s="2487"/>
      <c r="D213" s="2487"/>
      <c r="E213" s="2487"/>
      <c r="F213" s="2487"/>
      <c r="G213" s="2487"/>
      <c r="H213" s="2487"/>
      <c r="I213" s="2487"/>
      <c r="J213" s="2487"/>
      <c r="K213" s="2487"/>
      <c r="L213" s="2487"/>
      <c r="M213" s="2487"/>
      <c r="N213" s="2487"/>
      <c r="O213" s="2487"/>
      <c r="P213" s="2487"/>
      <c r="Q213" s="2487"/>
      <c r="R213" s="2487"/>
      <c r="S213" s="2487"/>
      <c r="T213" s="2487"/>
      <c r="U213" s="2487"/>
      <c r="V213" s="2487"/>
      <c r="W213" s="2487"/>
      <c r="X213" s="2487"/>
      <c r="Y213" s="2487"/>
      <c r="Z213" s="2487"/>
      <c r="AA213" s="2487"/>
      <c r="AB213" s="2487"/>
      <c r="AC213" s="2487"/>
      <c r="AD213" s="2487"/>
      <c r="AE213" s="2487"/>
      <c r="AF213" s="2487"/>
      <c r="AG213" s="2487"/>
      <c r="AH213" s="2487"/>
      <c r="AI213" s="2487"/>
      <c r="AJ213" s="2487"/>
      <c r="AK213" s="2487"/>
      <c r="AL213" s="2487"/>
      <c r="AM213" s="2487"/>
    </row>
    <row r="214" spans="1:39" ht="11.25" customHeight="1" x14ac:dyDescent="0.25">
      <c r="A214" s="2487"/>
      <c r="B214" s="2487"/>
      <c r="C214" s="2487"/>
      <c r="D214" s="2487"/>
      <c r="E214" s="2487"/>
      <c r="F214" s="2487"/>
      <c r="G214" s="2487"/>
      <c r="H214" s="2487"/>
      <c r="I214" s="2487"/>
      <c r="J214" s="2487"/>
      <c r="K214" s="2487"/>
      <c r="L214" s="2487"/>
      <c r="M214" s="2487"/>
      <c r="N214" s="2487"/>
      <c r="O214" s="2487"/>
      <c r="P214" s="2487"/>
      <c r="Q214" s="2487"/>
      <c r="R214" s="2487"/>
      <c r="S214" s="2487"/>
      <c r="T214" s="2487"/>
      <c r="U214" s="2487"/>
      <c r="V214" s="2487"/>
      <c r="W214" s="2487"/>
      <c r="X214" s="2487"/>
      <c r="Y214" s="2487"/>
      <c r="Z214" s="2487"/>
      <c r="AA214" s="2487"/>
      <c r="AB214" s="2487"/>
      <c r="AC214" s="2487"/>
      <c r="AD214" s="2487"/>
      <c r="AE214" s="2487"/>
      <c r="AF214" s="2487"/>
      <c r="AG214" s="2487"/>
      <c r="AH214" s="2487"/>
      <c r="AI214" s="2487"/>
      <c r="AJ214" s="2487"/>
      <c r="AK214" s="2487"/>
      <c r="AL214" s="2487"/>
      <c r="AM214" s="2487"/>
    </row>
    <row r="215" spans="1:39" ht="11.25" customHeight="1" x14ac:dyDescent="0.25">
      <c r="A215" s="2487"/>
      <c r="B215" s="2487"/>
      <c r="C215" s="2487"/>
      <c r="D215" s="2487"/>
      <c r="E215" s="2487"/>
      <c r="F215" s="2487"/>
      <c r="G215" s="2487"/>
      <c r="H215" s="2487"/>
      <c r="I215" s="2487"/>
      <c r="J215" s="2487"/>
      <c r="K215" s="2487"/>
      <c r="L215" s="2487"/>
      <c r="M215" s="2487"/>
      <c r="N215" s="2487"/>
      <c r="O215" s="2487"/>
      <c r="P215" s="2487"/>
      <c r="Q215" s="2487"/>
      <c r="R215" s="2487"/>
      <c r="S215" s="2487"/>
      <c r="T215" s="2487"/>
      <c r="U215" s="2487"/>
      <c r="V215" s="2487"/>
      <c r="W215" s="2487"/>
      <c r="X215" s="2487"/>
      <c r="Y215" s="2487"/>
      <c r="Z215" s="2487"/>
      <c r="AA215" s="2487"/>
      <c r="AB215" s="2487"/>
      <c r="AC215" s="2487"/>
      <c r="AD215" s="2487"/>
      <c r="AE215" s="2487"/>
      <c r="AF215" s="2487"/>
      <c r="AG215" s="2487"/>
      <c r="AH215" s="2487"/>
      <c r="AI215" s="2487"/>
      <c r="AJ215" s="2487"/>
      <c r="AK215" s="2487"/>
      <c r="AL215" s="2487"/>
      <c r="AM215" s="2487"/>
    </row>
    <row r="216" spans="1:39" ht="11.25" customHeight="1" x14ac:dyDescent="0.25">
      <c r="A216" s="2487"/>
      <c r="B216" s="2487"/>
      <c r="C216" s="2487"/>
      <c r="D216" s="2487"/>
      <c r="E216" s="2487"/>
      <c r="F216" s="2487"/>
      <c r="G216" s="2487"/>
      <c r="H216" s="2487"/>
      <c r="I216" s="2487"/>
      <c r="J216" s="2487"/>
      <c r="K216" s="2487"/>
      <c r="L216" s="2487"/>
      <c r="M216" s="2487"/>
      <c r="N216" s="2487"/>
      <c r="O216" s="2487"/>
      <c r="P216" s="2487"/>
      <c r="Q216" s="2487"/>
      <c r="R216" s="2487"/>
      <c r="S216" s="2487"/>
      <c r="T216" s="2487"/>
      <c r="U216" s="2487"/>
      <c r="V216" s="2487"/>
      <c r="W216" s="2487"/>
      <c r="X216" s="2487"/>
      <c r="Y216" s="2487"/>
      <c r="Z216" s="2487"/>
      <c r="AA216" s="2487"/>
      <c r="AB216" s="2487"/>
      <c r="AC216" s="2487"/>
      <c r="AD216" s="2487"/>
      <c r="AE216" s="2487"/>
      <c r="AF216" s="2487"/>
      <c r="AG216" s="2487"/>
      <c r="AH216" s="2487"/>
      <c r="AI216" s="2487"/>
      <c r="AJ216" s="2487"/>
      <c r="AK216" s="2487"/>
      <c r="AL216" s="2487"/>
      <c r="AM216" s="2487"/>
    </row>
    <row r="217" spans="1:39" ht="11.25" customHeight="1" x14ac:dyDescent="0.25">
      <c r="A217" s="2487"/>
      <c r="B217" s="2487"/>
      <c r="C217" s="2487"/>
      <c r="D217" s="2487"/>
      <c r="E217" s="2487"/>
      <c r="F217" s="2487"/>
      <c r="G217" s="2487"/>
      <c r="H217" s="2487"/>
      <c r="I217" s="2487"/>
      <c r="J217" s="2487"/>
      <c r="K217" s="2487"/>
      <c r="L217" s="2487"/>
      <c r="M217" s="2487"/>
      <c r="N217" s="2487"/>
      <c r="O217" s="2487"/>
      <c r="P217" s="2487"/>
      <c r="Q217" s="2487"/>
      <c r="R217" s="2487"/>
      <c r="S217" s="2487"/>
      <c r="T217" s="2487"/>
      <c r="U217" s="2487"/>
      <c r="V217" s="2487"/>
      <c r="W217" s="2487"/>
      <c r="X217" s="2487"/>
      <c r="Y217" s="2487"/>
      <c r="Z217" s="2487"/>
      <c r="AA217" s="2487"/>
      <c r="AB217" s="2487"/>
      <c r="AC217" s="2487"/>
      <c r="AD217" s="2487"/>
      <c r="AE217" s="2487"/>
      <c r="AF217" s="2487"/>
      <c r="AG217" s="2487"/>
      <c r="AH217" s="2487"/>
      <c r="AI217" s="2487"/>
      <c r="AJ217" s="2487"/>
      <c r="AK217" s="2487"/>
      <c r="AL217" s="2487"/>
      <c r="AM217" s="2487"/>
    </row>
    <row r="218" spans="1:39" ht="11.25" customHeight="1" x14ac:dyDescent="0.25">
      <c r="A218" s="2487"/>
      <c r="B218" s="2487"/>
      <c r="C218" s="2487"/>
      <c r="D218" s="2487"/>
      <c r="E218" s="2487"/>
      <c r="F218" s="2487"/>
      <c r="G218" s="2487"/>
      <c r="H218" s="2487"/>
      <c r="I218" s="2487"/>
      <c r="J218" s="2487"/>
      <c r="K218" s="2487"/>
      <c r="L218" s="2487"/>
      <c r="M218" s="2487"/>
      <c r="N218" s="2487"/>
      <c r="O218" s="2487"/>
      <c r="P218" s="2487"/>
      <c r="Q218" s="2487"/>
      <c r="R218" s="2487"/>
      <c r="S218" s="2487"/>
      <c r="T218" s="2487"/>
      <c r="U218" s="2487"/>
      <c r="V218" s="2487"/>
      <c r="W218" s="2487"/>
      <c r="X218" s="2487"/>
      <c r="Y218" s="2487"/>
      <c r="Z218" s="2487"/>
      <c r="AA218" s="2487"/>
      <c r="AB218" s="2487"/>
      <c r="AC218" s="2487"/>
      <c r="AD218" s="2487"/>
      <c r="AE218" s="2487"/>
      <c r="AF218" s="2487"/>
      <c r="AG218" s="2487"/>
      <c r="AH218" s="2487"/>
      <c r="AI218" s="2487"/>
      <c r="AJ218" s="2487"/>
      <c r="AK218" s="2487"/>
      <c r="AL218" s="2487"/>
      <c r="AM218" s="2487"/>
    </row>
    <row r="219" spans="1:39" ht="11.25" customHeight="1" x14ac:dyDescent="0.25">
      <c r="A219" s="2487"/>
      <c r="B219" s="2487"/>
      <c r="C219" s="2487"/>
      <c r="D219" s="2487"/>
      <c r="E219" s="2487"/>
      <c r="F219" s="2487"/>
      <c r="G219" s="2487"/>
      <c r="H219" s="2487"/>
      <c r="I219" s="2487"/>
      <c r="J219" s="2487"/>
      <c r="K219" s="2487"/>
      <c r="L219" s="2487"/>
      <c r="M219" s="2487"/>
      <c r="N219" s="2487"/>
      <c r="O219" s="2487"/>
      <c r="P219" s="2487"/>
      <c r="Q219" s="2487"/>
      <c r="R219" s="2487"/>
      <c r="S219" s="2487"/>
      <c r="T219" s="2487"/>
      <c r="U219" s="2487"/>
      <c r="V219" s="2487"/>
      <c r="W219" s="2487"/>
      <c r="X219" s="2487"/>
      <c r="Y219" s="2487"/>
      <c r="Z219" s="2487"/>
      <c r="AA219" s="2487"/>
      <c r="AB219" s="2487"/>
      <c r="AC219" s="2487"/>
      <c r="AD219" s="2487"/>
      <c r="AE219" s="2487"/>
      <c r="AF219" s="2487"/>
      <c r="AG219" s="2487"/>
      <c r="AH219" s="2487"/>
      <c r="AI219" s="2487"/>
      <c r="AJ219" s="2487"/>
      <c r="AK219" s="2487"/>
      <c r="AL219" s="2487"/>
      <c r="AM219" s="2487"/>
    </row>
    <row r="220" spans="1:39" ht="11.25" customHeight="1" x14ac:dyDescent="0.25">
      <c r="A220" s="2487"/>
      <c r="B220" s="2487"/>
      <c r="C220" s="2487"/>
      <c r="D220" s="2487"/>
      <c r="E220" s="2487"/>
      <c r="F220" s="2487"/>
      <c r="G220" s="2487"/>
      <c r="H220" s="2487"/>
      <c r="I220" s="2487"/>
      <c r="J220" s="2487"/>
      <c r="K220" s="2487"/>
      <c r="L220" s="2487"/>
      <c r="M220" s="2487"/>
      <c r="N220" s="2487"/>
      <c r="O220" s="2487"/>
      <c r="P220" s="2487"/>
      <c r="Q220" s="2487"/>
      <c r="R220" s="2487"/>
      <c r="S220" s="2487"/>
      <c r="T220" s="2487"/>
      <c r="U220" s="2487"/>
      <c r="V220" s="2487"/>
      <c r="W220" s="2487"/>
      <c r="X220" s="2487"/>
      <c r="Y220" s="2487"/>
      <c r="Z220" s="2487"/>
      <c r="AA220" s="2487"/>
      <c r="AB220" s="2487"/>
      <c r="AC220" s="2487"/>
      <c r="AD220" s="2487"/>
      <c r="AE220" s="2487"/>
      <c r="AF220" s="2487"/>
      <c r="AG220" s="2487"/>
      <c r="AH220" s="2487"/>
      <c r="AI220" s="2487"/>
      <c r="AJ220" s="2487"/>
      <c r="AK220" s="2487"/>
      <c r="AL220" s="2487"/>
      <c r="AM220" s="2487"/>
    </row>
    <row r="221" spans="1:39" ht="11.25" customHeight="1" x14ac:dyDescent="0.25">
      <c r="A221" s="2487"/>
      <c r="B221" s="2487"/>
      <c r="C221" s="2487"/>
      <c r="D221" s="2487"/>
      <c r="E221" s="2487"/>
      <c r="F221" s="2487"/>
      <c r="G221" s="2487"/>
      <c r="H221" s="2487"/>
      <c r="I221" s="2487"/>
      <c r="J221" s="2487"/>
      <c r="K221" s="2487"/>
      <c r="L221" s="2487"/>
      <c r="M221" s="2487"/>
      <c r="N221" s="2487"/>
      <c r="O221" s="2487"/>
      <c r="P221" s="2487"/>
      <c r="Q221" s="2487"/>
      <c r="R221" s="2487"/>
      <c r="S221" s="2487"/>
      <c r="T221" s="2487"/>
      <c r="U221" s="2487"/>
      <c r="V221" s="2487"/>
      <c r="W221" s="2487"/>
      <c r="X221" s="2487"/>
      <c r="Y221" s="2487"/>
      <c r="Z221" s="2487"/>
      <c r="AA221" s="2487"/>
      <c r="AB221" s="2487"/>
      <c r="AC221" s="2487"/>
      <c r="AD221" s="2487"/>
      <c r="AE221" s="2487"/>
      <c r="AF221" s="2487"/>
      <c r="AG221" s="2487"/>
      <c r="AH221" s="2487"/>
      <c r="AI221" s="2487"/>
      <c r="AJ221" s="2487"/>
      <c r="AK221" s="2487"/>
      <c r="AL221" s="2487"/>
      <c r="AM221" s="2487"/>
    </row>
    <row r="222" spans="1:39" ht="11.25" customHeight="1" x14ac:dyDescent="0.25">
      <c r="A222" s="2487"/>
      <c r="B222" s="2487"/>
      <c r="C222" s="2487"/>
      <c r="D222" s="2487"/>
      <c r="E222" s="2487"/>
      <c r="F222" s="2487"/>
      <c r="G222" s="2487"/>
      <c r="H222" s="2487"/>
      <c r="I222" s="2487"/>
      <c r="J222" s="2487"/>
      <c r="K222" s="2487"/>
      <c r="L222" s="2487"/>
      <c r="M222" s="2487"/>
      <c r="N222" s="2487"/>
      <c r="O222" s="2487"/>
      <c r="P222" s="2487"/>
      <c r="Q222" s="2487"/>
      <c r="R222" s="2487"/>
      <c r="S222" s="2487"/>
      <c r="T222" s="2487"/>
      <c r="U222" s="2487"/>
      <c r="V222" s="2487"/>
      <c r="W222" s="2487"/>
      <c r="X222" s="2487"/>
      <c r="Y222" s="2487"/>
      <c r="Z222" s="2487"/>
      <c r="AA222" s="2487"/>
      <c r="AB222" s="2487"/>
      <c r="AC222" s="2487"/>
      <c r="AD222" s="2487"/>
      <c r="AE222" s="2487"/>
      <c r="AF222" s="2487"/>
      <c r="AG222" s="2487"/>
      <c r="AH222" s="2487"/>
      <c r="AI222" s="2487"/>
      <c r="AJ222" s="2487"/>
      <c r="AK222" s="2487"/>
      <c r="AL222" s="2487"/>
      <c r="AM222" s="2487"/>
    </row>
    <row r="223" spans="1:39" ht="11.25" customHeight="1" x14ac:dyDescent="0.25">
      <c r="A223" s="2487"/>
      <c r="B223" s="2487"/>
      <c r="C223" s="2487"/>
      <c r="D223" s="2487"/>
      <c r="E223" s="2487"/>
      <c r="F223" s="2487"/>
      <c r="G223" s="2487"/>
      <c r="H223" s="2487"/>
      <c r="I223" s="2487"/>
      <c r="J223" s="2487"/>
      <c r="K223" s="2487"/>
      <c r="L223" s="2487"/>
      <c r="M223" s="2487"/>
      <c r="N223" s="2487"/>
      <c r="O223" s="2487"/>
      <c r="P223" s="2487"/>
      <c r="Q223" s="2487"/>
      <c r="R223" s="2487"/>
      <c r="S223" s="2487"/>
      <c r="T223" s="2487"/>
      <c r="U223" s="2487"/>
      <c r="V223" s="2487"/>
      <c r="W223" s="2487"/>
      <c r="X223" s="2487"/>
      <c r="Y223" s="2487"/>
      <c r="Z223" s="2487"/>
      <c r="AA223" s="2487"/>
      <c r="AB223" s="2487"/>
      <c r="AC223" s="2487"/>
      <c r="AD223" s="2487"/>
      <c r="AE223" s="2487"/>
      <c r="AF223" s="2487"/>
      <c r="AG223" s="2487"/>
      <c r="AH223" s="2487"/>
      <c r="AI223" s="2487"/>
      <c r="AJ223" s="2487"/>
      <c r="AK223" s="2487"/>
      <c r="AL223" s="2487"/>
      <c r="AM223" s="2487"/>
    </row>
    <row r="224" spans="1:39" ht="11.25" customHeight="1" x14ac:dyDescent="0.25">
      <c r="A224" s="2487"/>
      <c r="B224" s="2487"/>
      <c r="C224" s="2487"/>
      <c r="D224" s="2487"/>
      <c r="E224" s="2487"/>
      <c r="F224" s="2487"/>
      <c r="G224" s="2487"/>
      <c r="H224" s="2487"/>
      <c r="I224" s="2487"/>
      <c r="J224" s="2487"/>
      <c r="K224" s="2487"/>
      <c r="L224" s="2487"/>
      <c r="M224" s="2487"/>
      <c r="N224" s="2487"/>
      <c r="O224" s="2487"/>
      <c r="P224" s="2487"/>
      <c r="Q224" s="2487"/>
      <c r="R224" s="2487"/>
      <c r="S224" s="2487"/>
      <c r="T224" s="2487"/>
      <c r="U224" s="2487"/>
      <c r="V224" s="2487"/>
      <c r="W224" s="2487"/>
      <c r="X224" s="2487"/>
      <c r="Y224" s="2487"/>
      <c r="Z224" s="2487"/>
      <c r="AA224" s="2487"/>
      <c r="AB224" s="2487"/>
      <c r="AC224" s="2487"/>
      <c r="AD224" s="2487"/>
      <c r="AE224" s="2487"/>
      <c r="AF224" s="2487"/>
      <c r="AG224" s="2487"/>
      <c r="AH224" s="2487"/>
      <c r="AI224" s="2487"/>
      <c r="AJ224" s="2487"/>
      <c r="AK224" s="2487"/>
      <c r="AL224" s="2487"/>
      <c r="AM224" s="2487"/>
    </row>
    <row r="225" spans="1:39" ht="11.25" customHeight="1" x14ac:dyDescent="0.25">
      <c r="A225" s="2487"/>
      <c r="B225" s="2487"/>
      <c r="C225" s="2487"/>
      <c r="D225" s="2487"/>
      <c r="E225" s="2487"/>
      <c r="F225" s="2487"/>
      <c r="G225" s="2487"/>
      <c r="H225" s="2487"/>
      <c r="I225" s="2487"/>
      <c r="J225" s="2487"/>
      <c r="K225" s="2487"/>
      <c r="L225" s="2487"/>
      <c r="M225" s="2487"/>
      <c r="N225" s="2487"/>
      <c r="O225" s="2487"/>
      <c r="P225" s="2487"/>
      <c r="Q225" s="2487"/>
      <c r="R225" s="2487"/>
      <c r="S225" s="2487"/>
      <c r="T225" s="2487"/>
      <c r="U225" s="2487"/>
      <c r="V225" s="2487"/>
      <c r="W225" s="2487"/>
      <c r="X225" s="2487"/>
      <c r="Y225" s="2487"/>
      <c r="Z225" s="2487"/>
      <c r="AA225" s="2487"/>
      <c r="AB225" s="2487"/>
      <c r="AC225" s="2487"/>
      <c r="AD225" s="2487"/>
      <c r="AE225" s="2487"/>
      <c r="AF225" s="2487"/>
      <c r="AG225" s="2487"/>
      <c r="AH225" s="2487"/>
      <c r="AI225" s="2487"/>
      <c r="AJ225" s="2487"/>
      <c r="AK225" s="2487"/>
      <c r="AL225" s="2487"/>
      <c r="AM225" s="2487"/>
    </row>
    <row r="226" spans="1:39" ht="11.25" customHeight="1" x14ac:dyDescent="0.25">
      <c r="A226" s="2487"/>
      <c r="B226" s="2487"/>
      <c r="C226" s="2487"/>
      <c r="D226" s="2487"/>
      <c r="E226" s="2487"/>
      <c r="F226" s="2487"/>
      <c r="G226" s="2487"/>
      <c r="H226" s="2487"/>
      <c r="I226" s="2487"/>
      <c r="J226" s="2487"/>
      <c r="K226" s="2487"/>
      <c r="L226" s="2487"/>
      <c r="M226" s="2487"/>
      <c r="N226" s="2487"/>
      <c r="O226" s="2487"/>
      <c r="P226" s="2487"/>
      <c r="Q226" s="2487"/>
      <c r="R226" s="2487"/>
      <c r="S226" s="2487"/>
      <c r="T226" s="2487"/>
      <c r="U226" s="2487"/>
      <c r="V226" s="2487"/>
      <c r="W226" s="2487"/>
      <c r="X226" s="2487"/>
      <c r="Y226" s="2487"/>
      <c r="Z226" s="2487"/>
      <c r="AA226" s="2487"/>
      <c r="AB226" s="2487"/>
      <c r="AC226" s="2487"/>
      <c r="AD226" s="2487"/>
      <c r="AE226" s="2487"/>
      <c r="AF226" s="2487"/>
      <c r="AG226" s="2487"/>
      <c r="AH226" s="2487"/>
      <c r="AI226" s="2487"/>
      <c r="AJ226" s="2487"/>
      <c r="AK226" s="2487"/>
      <c r="AL226" s="2487"/>
      <c r="AM226" s="2487"/>
    </row>
    <row r="227" spans="1:39" ht="11.25" customHeight="1" x14ac:dyDescent="0.25">
      <c r="A227" s="2487"/>
      <c r="B227" s="2487"/>
      <c r="C227" s="2487"/>
      <c r="D227" s="2487"/>
      <c r="E227" s="2487"/>
      <c r="F227" s="2487"/>
      <c r="G227" s="2487"/>
      <c r="H227" s="2487"/>
      <c r="I227" s="2487"/>
      <c r="J227" s="2487"/>
      <c r="K227" s="2487"/>
      <c r="L227" s="2487"/>
      <c r="M227" s="2487"/>
      <c r="N227" s="2487"/>
      <c r="O227" s="2487"/>
      <c r="P227" s="2487"/>
      <c r="Q227" s="2487"/>
      <c r="R227" s="2487"/>
      <c r="S227" s="2487"/>
      <c r="T227" s="2487"/>
      <c r="U227" s="2487"/>
      <c r="V227" s="2487"/>
      <c r="W227" s="2487"/>
      <c r="X227" s="2487"/>
      <c r="Y227" s="2487"/>
      <c r="Z227" s="2487"/>
      <c r="AA227" s="2487"/>
      <c r="AB227" s="2487"/>
      <c r="AC227" s="2487"/>
      <c r="AD227" s="2487"/>
      <c r="AE227" s="2487"/>
      <c r="AF227" s="2487"/>
      <c r="AG227" s="2487"/>
      <c r="AH227" s="2487"/>
      <c r="AI227" s="2487"/>
      <c r="AJ227" s="2487"/>
      <c r="AK227" s="2487"/>
      <c r="AL227" s="2487"/>
      <c r="AM227" s="2487"/>
    </row>
    <row r="228" spans="1:39" ht="11.25" customHeight="1" x14ac:dyDescent="0.25">
      <c r="A228" s="2487"/>
      <c r="B228" s="2487"/>
      <c r="C228" s="2487"/>
      <c r="D228" s="2487"/>
      <c r="E228" s="2487"/>
      <c r="F228" s="2487"/>
      <c r="G228" s="2487"/>
      <c r="H228" s="2487"/>
      <c r="I228" s="2487"/>
      <c r="J228" s="2487"/>
      <c r="K228" s="2487"/>
      <c r="L228" s="2487"/>
      <c r="M228" s="2487"/>
      <c r="N228" s="2487"/>
      <c r="O228" s="2487"/>
      <c r="P228" s="2487"/>
      <c r="Q228" s="2487"/>
      <c r="R228" s="2487"/>
      <c r="S228" s="2487"/>
      <c r="T228" s="2487"/>
      <c r="U228" s="2487"/>
      <c r="V228" s="2487"/>
      <c r="W228" s="2487"/>
      <c r="X228" s="2487"/>
      <c r="Y228" s="2487"/>
      <c r="Z228" s="2487"/>
      <c r="AA228" s="2487"/>
      <c r="AB228" s="2487"/>
      <c r="AC228" s="2487"/>
      <c r="AD228" s="2487"/>
      <c r="AE228" s="2487"/>
      <c r="AF228" s="2487"/>
      <c r="AG228" s="2487"/>
      <c r="AH228" s="2487"/>
      <c r="AI228" s="2487"/>
      <c r="AJ228" s="2487"/>
      <c r="AK228" s="2487"/>
      <c r="AL228" s="2487"/>
      <c r="AM228" s="2487"/>
    </row>
    <row r="229" spans="1:39" ht="11.25" customHeight="1" x14ac:dyDescent="0.25">
      <c r="A229" s="2487"/>
      <c r="B229" s="2487"/>
      <c r="C229" s="2487"/>
      <c r="D229" s="2487"/>
      <c r="E229" s="2487"/>
      <c r="F229" s="2487"/>
      <c r="G229" s="2487"/>
      <c r="H229" s="2487"/>
      <c r="I229" s="2487"/>
      <c r="J229" s="2487"/>
      <c r="K229" s="2487"/>
      <c r="L229" s="2487"/>
      <c r="M229" s="2487"/>
      <c r="N229" s="2487"/>
      <c r="O229" s="2487"/>
      <c r="P229" s="2487"/>
      <c r="Q229" s="2487"/>
      <c r="R229" s="2487"/>
      <c r="S229" s="2487"/>
      <c r="T229" s="2487"/>
      <c r="U229" s="2487"/>
      <c r="V229" s="2487"/>
      <c r="W229" s="2487"/>
      <c r="X229" s="2487"/>
      <c r="Y229" s="2487"/>
      <c r="Z229" s="2487"/>
      <c r="AA229" s="2487"/>
      <c r="AB229" s="2487"/>
      <c r="AC229" s="2487"/>
      <c r="AD229" s="2487"/>
      <c r="AE229" s="2487"/>
      <c r="AF229" s="2487"/>
      <c r="AG229" s="2487"/>
      <c r="AH229" s="2487"/>
      <c r="AI229" s="2487"/>
      <c r="AJ229" s="2487"/>
      <c r="AK229" s="2487"/>
      <c r="AL229" s="2487"/>
      <c r="AM229" s="2487"/>
    </row>
    <row r="230" spans="1:39" ht="11.25" customHeight="1" x14ac:dyDescent="0.25">
      <c r="A230" s="2487"/>
      <c r="B230" s="2487"/>
      <c r="C230" s="2487"/>
      <c r="D230" s="2487"/>
      <c r="E230" s="2487"/>
      <c r="F230" s="2487"/>
      <c r="G230" s="2487"/>
      <c r="H230" s="2487"/>
      <c r="I230" s="2487"/>
      <c r="J230" s="2487"/>
      <c r="K230" s="2487"/>
      <c r="L230" s="2487"/>
      <c r="M230" s="2487"/>
      <c r="N230" s="2487"/>
      <c r="O230" s="2487"/>
      <c r="P230" s="2487"/>
      <c r="Q230" s="2487"/>
      <c r="R230" s="2487"/>
      <c r="S230" s="2487"/>
      <c r="T230" s="2487"/>
      <c r="U230" s="2487"/>
      <c r="V230" s="2487"/>
      <c r="W230" s="2487"/>
      <c r="X230" s="2487"/>
      <c r="Y230" s="2487"/>
      <c r="Z230" s="2487"/>
      <c r="AA230" s="2487"/>
      <c r="AB230" s="2487"/>
      <c r="AC230" s="2487"/>
      <c r="AD230" s="2487"/>
      <c r="AE230" s="2487"/>
      <c r="AF230" s="2487"/>
      <c r="AG230" s="2487"/>
      <c r="AH230" s="2487"/>
      <c r="AI230" s="2487"/>
      <c r="AJ230" s="2487"/>
      <c r="AK230" s="2487"/>
      <c r="AL230" s="2487"/>
      <c r="AM230" s="2487"/>
    </row>
    <row r="231" spans="1:39" ht="11.25" customHeight="1" x14ac:dyDescent="0.25">
      <c r="A231" s="2487"/>
      <c r="B231" s="2487"/>
      <c r="C231" s="2487"/>
      <c r="D231" s="2487"/>
      <c r="E231" s="2487"/>
      <c r="F231" s="2487"/>
      <c r="G231" s="2487"/>
      <c r="H231" s="2487"/>
      <c r="I231" s="2487"/>
      <c r="J231" s="2487"/>
      <c r="K231" s="2487"/>
      <c r="L231" s="2487"/>
      <c r="M231" s="2487"/>
      <c r="N231" s="2487"/>
      <c r="O231" s="2487"/>
      <c r="P231" s="2487"/>
      <c r="Q231" s="2487"/>
      <c r="R231" s="2487"/>
      <c r="S231" s="2487"/>
      <c r="T231" s="2487"/>
      <c r="U231" s="2487"/>
      <c r="V231" s="2487"/>
      <c r="W231" s="2487"/>
      <c r="X231" s="2487"/>
      <c r="Y231" s="2487"/>
      <c r="Z231" s="2487"/>
      <c r="AA231" s="2487"/>
      <c r="AB231" s="2487"/>
      <c r="AC231" s="2487"/>
      <c r="AD231" s="2487"/>
      <c r="AE231" s="2487"/>
      <c r="AF231" s="2487"/>
      <c r="AG231" s="2487"/>
      <c r="AH231" s="2487"/>
      <c r="AI231" s="2487"/>
      <c r="AJ231" s="2487"/>
      <c r="AK231" s="2487"/>
      <c r="AL231" s="2487"/>
      <c r="AM231" s="2487"/>
    </row>
    <row r="232" spans="1:39" ht="11.25" customHeight="1" x14ac:dyDescent="0.25">
      <c r="A232" s="2487"/>
      <c r="B232" s="2487"/>
      <c r="C232" s="2487"/>
      <c r="D232" s="2487"/>
      <c r="E232" s="2487"/>
      <c r="F232" s="2487"/>
      <c r="G232" s="2487"/>
      <c r="H232" s="2487"/>
      <c r="I232" s="2487"/>
      <c r="J232" s="2487"/>
      <c r="K232" s="2487"/>
      <c r="L232" s="2487"/>
      <c r="M232" s="2487"/>
      <c r="N232" s="2487"/>
      <c r="O232" s="2487"/>
      <c r="P232" s="2487"/>
      <c r="Q232" s="2487"/>
      <c r="R232" s="2487"/>
      <c r="S232" s="2487"/>
      <c r="T232" s="2487"/>
      <c r="U232" s="2487"/>
      <c r="V232" s="2487"/>
      <c r="W232" s="2487"/>
      <c r="X232" s="2487"/>
      <c r="Y232" s="2487"/>
      <c r="Z232" s="2487"/>
      <c r="AA232" s="2487"/>
      <c r="AB232" s="2487"/>
      <c r="AC232" s="2487"/>
      <c r="AD232" s="2487"/>
      <c r="AE232" s="2487"/>
      <c r="AF232" s="2487"/>
      <c r="AG232" s="2487"/>
      <c r="AH232" s="2487"/>
      <c r="AI232" s="2487"/>
      <c r="AJ232" s="2487"/>
      <c r="AK232" s="2487"/>
      <c r="AL232" s="2487"/>
      <c r="AM232" s="2487"/>
    </row>
    <row r="233" spans="1:39" ht="11.25" customHeight="1" x14ac:dyDescent="0.25">
      <c r="A233" s="2487"/>
      <c r="B233" s="2487"/>
      <c r="C233" s="2487"/>
      <c r="D233" s="2487"/>
      <c r="E233" s="2487"/>
      <c r="F233" s="2487"/>
      <c r="G233" s="2487"/>
      <c r="H233" s="2487"/>
      <c r="I233" s="2487"/>
      <c r="J233" s="2487"/>
      <c r="K233" s="2487"/>
      <c r="L233" s="2487"/>
      <c r="M233" s="2487"/>
      <c r="N233" s="2487"/>
      <c r="O233" s="2487"/>
      <c r="P233" s="2487"/>
      <c r="Q233" s="2487"/>
      <c r="R233" s="2487"/>
      <c r="S233" s="2487"/>
      <c r="T233" s="2487"/>
      <c r="U233" s="2487"/>
      <c r="V233" s="2487"/>
      <c r="W233" s="2487"/>
      <c r="X233" s="2487"/>
      <c r="Y233" s="2487"/>
      <c r="Z233" s="2487"/>
      <c r="AA233" s="2487"/>
      <c r="AB233" s="2487"/>
      <c r="AC233" s="2487"/>
      <c r="AD233" s="2487"/>
      <c r="AE233" s="2487"/>
      <c r="AF233" s="2487"/>
      <c r="AG233" s="2487"/>
      <c r="AH233" s="2487"/>
      <c r="AI233" s="2487"/>
      <c r="AJ233" s="2487"/>
      <c r="AK233" s="2487"/>
      <c r="AL233" s="2487"/>
      <c r="AM233" s="2487"/>
    </row>
    <row r="234" spans="1:39" ht="11.25" customHeight="1" x14ac:dyDescent="0.25">
      <c r="A234" s="2487"/>
      <c r="B234" s="2487"/>
      <c r="C234" s="2487"/>
      <c r="D234" s="2487"/>
      <c r="E234" s="2487"/>
      <c r="F234" s="2487"/>
      <c r="G234" s="2487"/>
      <c r="H234" s="2487"/>
      <c r="I234" s="2487"/>
      <c r="J234" s="2487"/>
      <c r="K234" s="2487"/>
      <c r="L234" s="2487"/>
      <c r="M234" s="2487"/>
      <c r="N234" s="2487"/>
      <c r="O234" s="2487"/>
      <c r="P234" s="2487"/>
      <c r="Q234" s="2487"/>
      <c r="R234" s="2487"/>
      <c r="S234" s="2487"/>
      <c r="T234" s="2487"/>
      <c r="U234" s="2487"/>
      <c r="V234" s="2487"/>
      <c r="W234" s="2487"/>
      <c r="X234" s="2487"/>
      <c r="Y234" s="2487"/>
      <c r="Z234" s="2487"/>
      <c r="AA234" s="2487"/>
      <c r="AB234" s="2487"/>
      <c r="AC234" s="2487"/>
      <c r="AD234" s="2487"/>
      <c r="AE234" s="2487"/>
      <c r="AF234" s="2487"/>
      <c r="AG234" s="2487"/>
      <c r="AH234" s="2487"/>
      <c r="AI234" s="2487"/>
      <c r="AJ234" s="2487"/>
      <c r="AK234" s="2487"/>
      <c r="AL234" s="2487"/>
      <c r="AM234" s="2487"/>
    </row>
    <row r="235" spans="1:39" ht="11.25" customHeight="1" x14ac:dyDescent="0.25">
      <c r="A235" s="2487"/>
      <c r="B235" s="2487"/>
      <c r="C235" s="2487"/>
      <c r="D235" s="2487"/>
      <c r="E235" s="2487"/>
      <c r="F235" s="2487"/>
      <c r="G235" s="2487"/>
      <c r="H235" s="2487"/>
      <c r="I235" s="2487"/>
      <c r="J235" s="2487"/>
      <c r="K235" s="2487"/>
      <c r="L235" s="2487"/>
      <c r="M235" s="2487"/>
      <c r="N235" s="2487"/>
      <c r="O235" s="2487"/>
      <c r="P235" s="2487"/>
      <c r="Q235" s="2487"/>
      <c r="R235" s="2487"/>
      <c r="S235" s="2487"/>
      <c r="T235" s="2487"/>
      <c r="U235" s="2487"/>
      <c r="V235" s="2487"/>
      <c r="W235" s="2487"/>
      <c r="X235" s="2487"/>
      <c r="Y235" s="2487"/>
      <c r="Z235" s="2487"/>
      <c r="AA235" s="2487"/>
      <c r="AB235" s="2487"/>
      <c r="AC235" s="2487"/>
      <c r="AD235" s="2487"/>
      <c r="AE235" s="2487"/>
      <c r="AF235" s="2487"/>
      <c r="AG235" s="2487"/>
      <c r="AH235" s="2487"/>
      <c r="AI235" s="2487"/>
      <c r="AJ235" s="2487"/>
      <c r="AK235" s="2487"/>
      <c r="AL235" s="2487"/>
      <c r="AM235" s="2487"/>
    </row>
    <row r="236" spans="1:39" ht="11.25" customHeight="1" x14ac:dyDescent="0.25">
      <c r="A236" s="2487"/>
      <c r="B236" s="2487"/>
      <c r="C236" s="2487"/>
      <c r="D236" s="2487"/>
      <c r="E236" s="2487"/>
      <c r="F236" s="2487"/>
      <c r="G236" s="2487"/>
      <c r="H236" s="2487"/>
      <c r="I236" s="2487"/>
      <c r="J236" s="2487"/>
      <c r="K236" s="2487"/>
      <c r="L236" s="2487"/>
      <c r="M236" s="2487"/>
      <c r="N236" s="2487"/>
      <c r="O236" s="2487"/>
      <c r="P236" s="2487"/>
      <c r="Q236" s="2487"/>
      <c r="R236" s="2487"/>
      <c r="S236" s="2487"/>
      <c r="T236" s="2487"/>
      <c r="U236" s="2487"/>
      <c r="V236" s="2487"/>
      <c r="W236" s="2487"/>
      <c r="X236" s="2487"/>
      <c r="Y236" s="2487"/>
      <c r="Z236" s="2487"/>
      <c r="AA236" s="2487"/>
      <c r="AB236" s="2487"/>
      <c r="AC236" s="2487"/>
      <c r="AD236" s="2487"/>
      <c r="AE236" s="2487"/>
      <c r="AF236" s="2487"/>
      <c r="AG236" s="2487"/>
      <c r="AH236" s="2487"/>
      <c r="AI236" s="2487"/>
      <c r="AJ236" s="2487"/>
      <c r="AK236" s="2487"/>
      <c r="AL236" s="2487"/>
      <c r="AM236" s="2487"/>
    </row>
    <row r="237" spans="1:39" ht="11.25" customHeight="1" x14ac:dyDescent="0.25">
      <c r="A237" s="2487"/>
      <c r="B237" s="2487"/>
      <c r="C237" s="2487"/>
      <c r="D237" s="2487"/>
      <c r="E237" s="2487"/>
      <c r="F237" s="2487"/>
      <c r="G237" s="2487"/>
      <c r="H237" s="2487"/>
      <c r="I237" s="2487"/>
      <c r="J237" s="2487"/>
      <c r="K237" s="2487"/>
      <c r="L237" s="2487"/>
      <c r="M237" s="2487"/>
      <c r="N237" s="2487"/>
      <c r="O237" s="2487"/>
      <c r="P237" s="2487"/>
      <c r="Q237" s="2487"/>
      <c r="R237" s="2487"/>
      <c r="S237" s="2487"/>
      <c r="T237" s="2487"/>
      <c r="U237" s="2487"/>
      <c r="V237" s="2487"/>
      <c r="W237" s="2487"/>
      <c r="X237" s="2487"/>
      <c r="Y237" s="2487"/>
      <c r="Z237" s="2487"/>
      <c r="AA237" s="2487"/>
      <c r="AB237" s="2487"/>
      <c r="AC237" s="2487"/>
      <c r="AD237" s="2487"/>
      <c r="AE237" s="2487"/>
      <c r="AF237" s="2487"/>
      <c r="AG237" s="2487"/>
      <c r="AH237" s="2487"/>
      <c r="AI237" s="2487"/>
      <c r="AJ237" s="2487"/>
      <c r="AK237" s="2487"/>
      <c r="AL237" s="2487"/>
      <c r="AM237" s="2487"/>
    </row>
    <row r="238" spans="1:39" ht="11.25" customHeight="1" x14ac:dyDescent="0.25">
      <c r="A238" s="2487"/>
      <c r="B238" s="2487"/>
      <c r="C238" s="2487"/>
      <c r="D238" s="2487"/>
      <c r="E238" s="2487"/>
      <c r="F238" s="2487"/>
      <c r="G238" s="2487"/>
      <c r="H238" s="2487"/>
      <c r="I238" s="2487"/>
      <c r="J238" s="2487"/>
      <c r="K238" s="2487"/>
      <c r="L238" s="2487"/>
      <c r="M238" s="2487"/>
      <c r="N238" s="2487"/>
      <c r="O238" s="2487"/>
      <c r="P238" s="2487"/>
      <c r="Q238" s="2487"/>
      <c r="R238" s="2487"/>
      <c r="S238" s="2487"/>
      <c r="T238" s="2487"/>
      <c r="U238" s="2487"/>
      <c r="V238" s="2487"/>
      <c r="W238" s="2487"/>
      <c r="X238" s="2487"/>
      <c r="Y238" s="2487"/>
      <c r="Z238" s="2487"/>
      <c r="AA238" s="2487"/>
      <c r="AB238" s="2487"/>
      <c r="AC238" s="2487"/>
      <c r="AD238" s="2487"/>
      <c r="AE238" s="2487"/>
      <c r="AF238" s="2487"/>
      <c r="AG238" s="2487"/>
      <c r="AH238" s="2487"/>
      <c r="AI238" s="2487"/>
      <c r="AJ238" s="2487"/>
      <c r="AK238" s="2487"/>
      <c r="AL238" s="2487"/>
      <c r="AM238" s="2487"/>
    </row>
    <row r="239" spans="1:39" ht="11.25" customHeight="1" x14ac:dyDescent="0.25">
      <c r="A239" s="2487"/>
      <c r="B239" s="2487"/>
      <c r="C239" s="2487"/>
      <c r="D239" s="2487"/>
      <c r="E239" s="2487"/>
      <c r="F239" s="2487"/>
      <c r="G239" s="2487"/>
      <c r="H239" s="2487"/>
      <c r="I239" s="2487"/>
      <c r="J239" s="2487"/>
      <c r="K239" s="2487"/>
      <c r="L239" s="2487"/>
      <c r="M239" s="2487"/>
      <c r="N239" s="2487"/>
      <c r="O239" s="2487"/>
      <c r="P239" s="2487"/>
      <c r="Q239" s="2487"/>
      <c r="R239" s="2487"/>
      <c r="S239" s="2487"/>
      <c r="T239" s="2487"/>
      <c r="U239" s="2487"/>
      <c r="V239" s="2487"/>
      <c r="W239" s="2487"/>
      <c r="X239" s="2487"/>
      <c r="Y239" s="2487"/>
      <c r="Z239" s="2487"/>
      <c r="AA239" s="2487"/>
      <c r="AB239" s="2487"/>
      <c r="AC239" s="2487"/>
      <c r="AD239" s="2487"/>
      <c r="AE239" s="2487"/>
      <c r="AF239" s="2487"/>
      <c r="AG239" s="2487"/>
      <c r="AH239" s="2487"/>
      <c r="AI239" s="2487"/>
      <c r="AJ239" s="2487"/>
      <c r="AK239" s="2487"/>
      <c r="AL239" s="2487"/>
      <c r="AM239" s="2487"/>
    </row>
    <row r="240" spans="1:39" ht="11.25" customHeight="1" x14ac:dyDescent="0.25">
      <c r="A240" s="2487"/>
      <c r="B240" s="2487"/>
      <c r="C240" s="2487"/>
      <c r="D240" s="2487"/>
      <c r="E240" s="2487"/>
      <c r="F240" s="2487"/>
      <c r="G240" s="2487"/>
      <c r="H240" s="2487"/>
      <c r="I240" s="2487"/>
      <c r="J240" s="2487"/>
      <c r="K240" s="2487"/>
      <c r="L240" s="2487"/>
      <c r="M240" s="2487"/>
      <c r="N240" s="2487"/>
      <c r="O240" s="2487"/>
      <c r="P240" s="2487"/>
      <c r="Q240" s="2487"/>
      <c r="R240" s="2487"/>
      <c r="S240" s="2487"/>
      <c r="T240" s="2487"/>
      <c r="U240" s="2487"/>
      <c r="V240" s="2487"/>
      <c r="W240" s="2487"/>
      <c r="X240" s="2487"/>
      <c r="Y240" s="2487"/>
      <c r="Z240" s="2487"/>
      <c r="AA240" s="2487"/>
      <c r="AB240" s="2487"/>
      <c r="AC240" s="2487"/>
      <c r="AD240" s="2487"/>
      <c r="AE240" s="2487"/>
      <c r="AF240" s="2487"/>
      <c r="AG240" s="2487"/>
      <c r="AH240" s="2487"/>
      <c r="AI240" s="2487"/>
      <c r="AJ240" s="2487"/>
      <c r="AK240" s="2487"/>
      <c r="AL240" s="2487"/>
      <c r="AM240" s="2487"/>
    </row>
    <row r="241" spans="1:39" ht="11.25" customHeight="1" x14ac:dyDescent="0.25">
      <c r="A241" s="2487"/>
      <c r="B241" s="2487"/>
      <c r="C241" s="2487"/>
      <c r="D241" s="2487"/>
      <c r="E241" s="2487"/>
      <c r="F241" s="2487"/>
      <c r="G241" s="2487"/>
      <c r="H241" s="2487"/>
      <c r="I241" s="2487"/>
      <c r="J241" s="2487"/>
      <c r="K241" s="2487"/>
      <c r="L241" s="2487"/>
      <c r="M241" s="2487"/>
      <c r="N241" s="2487"/>
      <c r="O241" s="2487"/>
      <c r="P241" s="2487"/>
      <c r="Q241" s="2487"/>
      <c r="R241" s="2487"/>
      <c r="S241" s="2487"/>
      <c r="T241" s="2487"/>
      <c r="U241" s="2487"/>
      <c r="V241" s="2487"/>
      <c r="W241" s="2487"/>
      <c r="X241" s="2487"/>
      <c r="Y241" s="2487"/>
      <c r="Z241" s="2487"/>
      <c r="AA241" s="2487"/>
      <c r="AB241" s="2487"/>
      <c r="AC241" s="2487"/>
      <c r="AD241" s="2487"/>
      <c r="AE241" s="2487"/>
      <c r="AF241" s="2487"/>
      <c r="AG241" s="2487"/>
      <c r="AH241" s="2487"/>
      <c r="AI241" s="2487"/>
      <c r="AJ241" s="2487"/>
      <c r="AK241" s="2487"/>
      <c r="AL241" s="2487"/>
      <c r="AM241" s="2487"/>
    </row>
    <row r="242" spans="1:39" ht="11.25" customHeight="1" x14ac:dyDescent="0.25">
      <c r="A242" s="2487"/>
      <c r="B242" s="2487"/>
      <c r="C242" s="2487"/>
      <c r="D242" s="2487"/>
      <c r="E242" s="2487"/>
      <c r="F242" s="2487"/>
      <c r="G242" s="2487"/>
      <c r="H242" s="2487"/>
      <c r="I242" s="2487"/>
      <c r="J242" s="2487"/>
      <c r="K242" s="2487"/>
      <c r="L242" s="2487"/>
      <c r="M242" s="2487"/>
      <c r="N242" s="2487"/>
      <c r="O242" s="2487"/>
      <c r="P242" s="2487"/>
      <c r="Q242" s="2487"/>
      <c r="R242" s="2487"/>
      <c r="S242" s="2487"/>
      <c r="T242" s="2487"/>
      <c r="U242" s="2487"/>
      <c r="V242" s="2487"/>
      <c r="W242" s="2487"/>
      <c r="X242" s="2487"/>
      <c r="Y242" s="2487"/>
      <c r="Z242" s="2487"/>
      <c r="AA242" s="2487"/>
      <c r="AB242" s="2487"/>
      <c r="AC242" s="2487"/>
      <c r="AD242" s="2487"/>
      <c r="AE242" s="2487"/>
      <c r="AF242" s="2487"/>
      <c r="AG242" s="2487"/>
      <c r="AH242" s="2487"/>
      <c r="AI242" s="2487"/>
      <c r="AJ242" s="2487"/>
      <c r="AK242" s="2487"/>
      <c r="AL242" s="2487"/>
      <c r="AM242" s="2487"/>
    </row>
    <row r="243" spans="1:39" ht="11.25" customHeight="1" x14ac:dyDescent="0.25">
      <c r="A243" s="2487"/>
      <c r="B243" s="2487"/>
      <c r="C243" s="2487"/>
      <c r="D243" s="2487"/>
      <c r="E243" s="2487"/>
      <c r="F243" s="2487"/>
      <c r="G243" s="2487"/>
      <c r="H243" s="2487"/>
      <c r="I243" s="2487"/>
      <c r="J243" s="2487"/>
      <c r="K243" s="2487"/>
      <c r="L243" s="2487"/>
      <c r="M243" s="2487"/>
      <c r="N243" s="2487"/>
      <c r="O243" s="2487"/>
      <c r="P243" s="2487"/>
      <c r="Q243" s="2487"/>
      <c r="R243" s="2487"/>
      <c r="S243" s="2487"/>
      <c r="T243" s="2487"/>
      <c r="U243" s="2487"/>
      <c r="V243" s="2487"/>
      <c r="W243" s="2487"/>
      <c r="X243" s="2487"/>
      <c r="Y243" s="2487"/>
      <c r="Z243" s="2487"/>
      <c r="AA243" s="2487"/>
      <c r="AB243" s="2487"/>
      <c r="AC243" s="2487"/>
      <c r="AD243" s="2487"/>
      <c r="AE243" s="2487"/>
      <c r="AF243" s="2487"/>
      <c r="AG243" s="2487"/>
      <c r="AH243" s="2487"/>
      <c r="AI243" s="2487"/>
      <c r="AJ243" s="2487"/>
      <c r="AK243" s="2487"/>
      <c r="AL243" s="2487"/>
      <c r="AM243" s="2487"/>
    </row>
    <row r="244" spans="1:39" ht="15.75" customHeight="1" x14ac:dyDescent="0.25">
      <c r="A244" s="2487"/>
      <c r="B244" s="2487"/>
      <c r="C244" s="2487"/>
      <c r="D244" s="2487"/>
      <c r="E244" s="2487"/>
      <c r="F244" s="2487"/>
      <c r="G244" s="2487"/>
      <c r="H244" s="2487"/>
      <c r="I244" s="2487"/>
      <c r="J244" s="2487"/>
      <c r="K244" s="2487"/>
      <c r="L244" s="2487"/>
      <c r="M244" s="2487"/>
      <c r="N244" s="2487"/>
      <c r="O244" s="2487"/>
      <c r="P244" s="2487"/>
      <c r="Q244" s="2487"/>
      <c r="R244" s="2487"/>
      <c r="S244" s="2487"/>
      <c r="T244" s="2487"/>
      <c r="U244" s="2487"/>
      <c r="V244" s="2487"/>
      <c r="W244" s="2487"/>
      <c r="X244" s="2487"/>
      <c r="Y244" s="2487"/>
      <c r="Z244" s="2487"/>
      <c r="AA244" s="2487"/>
      <c r="AB244" s="2487"/>
      <c r="AC244" s="2487"/>
      <c r="AD244" s="2487"/>
      <c r="AE244" s="2487"/>
      <c r="AF244" s="2487"/>
      <c r="AG244" s="2487"/>
      <c r="AH244" s="2487"/>
      <c r="AI244" s="2487"/>
      <c r="AJ244" s="2487"/>
      <c r="AK244" s="2487"/>
      <c r="AL244" s="2487"/>
      <c r="AM244" s="2487"/>
    </row>
    <row r="245" spans="1:39" ht="15.75" customHeight="1" x14ac:dyDescent="0.25">
      <c r="A245" s="2487"/>
      <c r="B245" s="2487"/>
      <c r="C245" s="2487"/>
      <c r="D245" s="2487"/>
      <c r="E245" s="2487"/>
      <c r="F245" s="2487"/>
      <c r="G245" s="2487"/>
      <c r="H245" s="2487"/>
      <c r="I245" s="2487"/>
      <c r="J245" s="2487"/>
      <c r="K245" s="2487"/>
      <c r="L245" s="2487"/>
      <c r="M245" s="2487"/>
      <c r="N245" s="2487"/>
      <c r="O245" s="2487"/>
      <c r="P245" s="2487"/>
      <c r="Q245" s="2487"/>
      <c r="R245" s="2487"/>
      <c r="S245" s="2487"/>
      <c r="T245" s="2487"/>
      <c r="U245" s="2487"/>
      <c r="V245" s="2487"/>
      <c r="W245" s="2487"/>
      <c r="X245" s="2487"/>
      <c r="Y245" s="2487"/>
      <c r="Z245" s="2487"/>
      <c r="AA245" s="2487"/>
      <c r="AB245" s="2487"/>
      <c r="AC245" s="2487"/>
      <c r="AD245" s="2487"/>
      <c r="AE245" s="2487"/>
      <c r="AF245" s="2487"/>
      <c r="AG245" s="2487"/>
      <c r="AH245" s="2487"/>
      <c r="AI245" s="2487"/>
      <c r="AJ245" s="2487"/>
      <c r="AK245" s="2487"/>
      <c r="AL245" s="2487"/>
      <c r="AM245" s="2487"/>
    </row>
    <row r="246" spans="1:39" ht="15.75" customHeight="1" x14ac:dyDescent="0.25">
      <c r="A246" s="2487"/>
      <c r="B246" s="2487"/>
      <c r="C246" s="2487"/>
      <c r="D246" s="2487"/>
      <c r="E246" s="2487"/>
      <c r="F246" s="2487"/>
      <c r="G246" s="2487"/>
      <c r="H246" s="2487"/>
      <c r="I246" s="2487"/>
      <c r="J246" s="2487"/>
      <c r="K246" s="2487"/>
      <c r="L246" s="2487"/>
      <c r="M246" s="2487"/>
      <c r="N246" s="2487"/>
      <c r="O246" s="2487"/>
      <c r="P246" s="2487"/>
      <c r="Q246" s="2487"/>
      <c r="R246" s="2487"/>
      <c r="S246" s="2487"/>
      <c r="T246" s="2487"/>
      <c r="U246" s="2487"/>
      <c r="V246" s="2487"/>
      <c r="W246" s="2487"/>
      <c r="X246" s="2487"/>
      <c r="Y246" s="2487"/>
      <c r="Z246" s="2487"/>
      <c r="AA246" s="2487"/>
      <c r="AB246" s="2487"/>
      <c r="AC246" s="2487"/>
      <c r="AD246" s="2487"/>
      <c r="AE246" s="2487"/>
      <c r="AF246" s="2487"/>
      <c r="AG246" s="2487"/>
      <c r="AH246" s="2487"/>
      <c r="AI246" s="2487"/>
      <c r="AJ246" s="2487"/>
      <c r="AK246" s="2487"/>
      <c r="AL246" s="2487"/>
      <c r="AM246" s="2487"/>
    </row>
    <row r="247" spans="1:39" ht="15.75" customHeight="1" x14ac:dyDescent="0.25">
      <c r="A247" s="2487"/>
      <c r="B247" s="2487"/>
      <c r="C247" s="2487"/>
      <c r="D247" s="2487"/>
      <c r="E247" s="2487"/>
      <c r="F247" s="2487"/>
      <c r="G247" s="2487"/>
      <c r="H247" s="2487"/>
      <c r="I247" s="2487"/>
      <c r="J247" s="2487"/>
      <c r="K247" s="2487"/>
      <c r="L247" s="2487"/>
      <c r="M247" s="2487"/>
      <c r="N247" s="2487"/>
      <c r="O247" s="2487"/>
      <c r="P247" s="2487"/>
      <c r="Q247" s="2487"/>
      <c r="R247" s="2487"/>
      <c r="S247" s="2487"/>
      <c r="T247" s="2487"/>
      <c r="U247" s="2487"/>
      <c r="V247" s="2487"/>
      <c r="W247" s="2487"/>
      <c r="X247" s="2487"/>
      <c r="Y247" s="2487"/>
      <c r="Z247" s="2487"/>
      <c r="AA247" s="2487"/>
      <c r="AB247" s="2487"/>
      <c r="AC247" s="2487"/>
      <c r="AD247" s="2487"/>
      <c r="AE247" s="2487"/>
      <c r="AF247" s="2487"/>
      <c r="AG247" s="2487"/>
      <c r="AH247" s="2487"/>
      <c r="AI247" s="2487"/>
      <c r="AJ247" s="2487"/>
      <c r="AK247" s="2487"/>
      <c r="AL247" s="2487"/>
      <c r="AM247" s="2487"/>
    </row>
    <row r="248" spans="1:39" ht="15.75" customHeight="1" x14ac:dyDescent="0.25">
      <c r="A248" s="2487"/>
      <c r="B248" s="2487"/>
      <c r="C248" s="2487"/>
      <c r="D248" s="2487"/>
      <c r="E248" s="2487"/>
      <c r="F248" s="2487"/>
      <c r="G248" s="2487"/>
      <c r="H248" s="2487"/>
      <c r="I248" s="2487"/>
      <c r="J248" s="2487"/>
      <c r="K248" s="2487"/>
      <c r="L248" s="2487"/>
      <c r="M248" s="2487"/>
      <c r="N248" s="2487"/>
      <c r="O248" s="2487"/>
      <c r="P248" s="2487"/>
      <c r="Q248" s="2487"/>
      <c r="R248" s="2487"/>
      <c r="S248" s="2487"/>
      <c r="T248" s="2487"/>
      <c r="U248" s="2487"/>
      <c r="V248" s="2487"/>
      <c r="W248" s="2487"/>
      <c r="X248" s="2487"/>
      <c r="Y248" s="2487"/>
      <c r="Z248" s="2487"/>
      <c r="AA248" s="2487"/>
      <c r="AB248" s="2487"/>
      <c r="AC248" s="2487"/>
      <c r="AD248" s="2487"/>
      <c r="AE248" s="2487"/>
      <c r="AF248" s="2487"/>
      <c r="AG248" s="2487"/>
      <c r="AH248" s="2487"/>
      <c r="AI248" s="2487"/>
      <c r="AJ248" s="2487"/>
      <c r="AK248" s="2487"/>
      <c r="AL248" s="2487"/>
      <c r="AM248" s="2487"/>
    </row>
    <row r="249" spans="1:39" ht="15.75" customHeight="1" x14ac:dyDescent="0.25">
      <c r="A249" s="2487"/>
      <c r="B249" s="2487"/>
      <c r="C249" s="2487"/>
      <c r="D249" s="2487"/>
      <c r="E249" s="2487"/>
      <c r="F249" s="2487"/>
      <c r="G249" s="2487"/>
      <c r="H249" s="2487"/>
      <c r="I249" s="2487"/>
      <c r="J249" s="2487"/>
      <c r="K249" s="2487"/>
      <c r="L249" s="2487"/>
      <c r="M249" s="2487"/>
      <c r="N249" s="2487"/>
      <c r="O249" s="2487"/>
      <c r="P249" s="2487"/>
      <c r="Q249" s="2487"/>
      <c r="R249" s="2487"/>
      <c r="S249" s="2487"/>
      <c r="T249" s="2487"/>
      <c r="U249" s="2487"/>
      <c r="V249" s="2487"/>
      <c r="W249" s="2487"/>
      <c r="X249" s="2487"/>
      <c r="Y249" s="2487"/>
      <c r="Z249" s="2487"/>
      <c r="AA249" s="2487"/>
      <c r="AB249" s="2487"/>
      <c r="AC249" s="2487"/>
      <c r="AD249" s="2487"/>
      <c r="AE249" s="2487"/>
      <c r="AF249" s="2487"/>
      <c r="AG249" s="2487"/>
      <c r="AH249" s="2487"/>
      <c r="AI249" s="2487"/>
      <c r="AJ249" s="2487"/>
      <c r="AK249" s="2487"/>
      <c r="AL249" s="2487"/>
      <c r="AM249" s="2487"/>
    </row>
    <row r="250" spans="1:39" ht="15.75" customHeight="1" x14ac:dyDescent="0.25">
      <c r="A250" s="2487"/>
      <c r="B250" s="2487"/>
      <c r="C250" s="2487"/>
      <c r="D250" s="2487"/>
      <c r="E250" s="2487"/>
      <c r="F250" s="2487"/>
      <c r="G250" s="2487"/>
      <c r="H250" s="2487"/>
      <c r="I250" s="2487"/>
      <c r="J250" s="2487"/>
      <c r="K250" s="2487"/>
      <c r="L250" s="2487"/>
      <c r="M250" s="2487"/>
      <c r="N250" s="2487"/>
      <c r="O250" s="2487"/>
      <c r="P250" s="2487"/>
      <c r="Q250" s="2487"/>
      <c r="R250" s="2487"/>
      <c r="S250" s="2487"/>
      <c r="T250" s="2487"/>
      <c r="U250" s="2487"/>
      <c r="V250" s="2487"/>
      <c r="W250" s="2487"/>
      <c r="X250" s="2487"/>
      <c r="Y250" s="2487"/>
      <c r="Z250" s="2487"/>
      <c r="AA250" s="2487"/>
      <c r="AB250" s="2487"/>
      <c r="AC250" s="2487"/>
      <c r="AD250" s="2487"/>
      <c r="AE250" s="2487"/>
      <c r="AF250" s="2487"/>
      <c r="AG250" s="2487"/>
      <c r="AH250" s="2487"/>
      <c r="AI250" s="2487"/>
      <c r="AJ250" s="2487"/>
      <c r="AK250" s="2487"/>
      <c r="AL250" s="2487"/>
      <c r="AM250" s="2487"/>
    </row>
    <row r="251" spans="1:39" ht="15.75" customHeight="1" x14ac:dyDescent="0.25">
      <c r="A251" s="2487"/>
      <c r="B251" s="2487"/>
      <c r="C251" s="2487"/>
      <c r="D251" s="2487"/>
      <c r="E251" s="2487"/>
      <c r="F251" s="2487"/>
      <c r="G251" s="2487"/>
      <c r="H251" s="2487"/>
      <c r="I251" s="2487"/>
      <c r="J251" s="2487"/>
      <c r="K251" s="2487"/>
      <c r="L251" s="2487"/>
      <c r="M251" s="2487"/>
      <c r="N251" s="2487"/>
      <c r="O251" s="2487"/>
      <c r="P251" s="2487"/>
      <c r="Q251" s="2487"/>
      <c r="R251" s="2487"/>
      <c r="S251" s="2487"/>
      <c r="T251" s="2487"/>
      <c r="U251" s="2487"/>
      <c r="V251" s="2487"/>
      <c r="W251" s="2487"/>
      <c r="X251" s="2487"/>
      <c r="Y251" s="2487"/>
      <c r="Z251" s="2487"/>
      <c r="AA251" s="2487"/>
      <c r="AB251" s="2487"/>
      <c r="AC251" s="2487"/>
      <c r="AD251" s="2487"/>
      <c r="AE251" s="2487"/>
      <c r="AF251" s="2487"/>
      <c r="AG251" s="2487"/>
      <c r="AH251" s="2487"/>
      <c r="AI251" s="2487"/>
      <c r="AJ251" s="2487"/>
      <c r="AK251" s="2487"/>
      <c r="AL251" s="2487"/>
      <c r="AM251" s="2487"/>
    </row>
    <row r="252" spans="1:39" ht="15.75" customHeight="1" x14ac:dyDescent="0.25">
      <c r="A252" s="2487"/>
      <c r="B252" s="2487"/>
      <c r="C252" s="2487"/>
      <c r="D252" s="2487"/>
      <c r="E252" s="2487"/>
      <c r="F252" s="2487"/>
      <c r="G252" s="2487"/>
      <c r="H252" s="2487"/>
      <c r="I252" s="2487"/>
      <c r="J252" s="2487"/>
      <c r="K252" s="2487"/>
      <c r="L252" s="2487"/>
      <c r="M252" s="2487"/>
      <c r="N252" s="2487"/>
      <c r="O252" s="2487"/>
      <c r="P252" s="2487"/>
      <c r="Q252" s="2487"/>
      <c r="R252" s="2487"/>
      <c r="S252" s="2487"/>
      <c r="T252" s="2487"/>
      <c r="U252" s="2487"/>
      <c r="V252" s="2487"/>
      <c r="W252" s="2487"/>
      <c r="X252" s="2487"/>
      <c r="Y252" s="2487"/>
      <c r="Z252" s="2487"/>
      <c r="AA252" s="2487"/>
      <c r="AB252" s="2487"/>
      <c r="AC252" s="2487"/>
      <c r="AD252" s="2487"/>
      <c r="AE252" s="2487"/>
      <c r="AF252" s="2487"/>
      <c r="AG252" s="2487"/>
      <c r="AH252" s="2487"/>
      <c r="AI252" s="2487"/>
      <c r="AJ252" s="2487"/>
      <c r="AK252" s="2487"/>
      <c r="AL252" s="2487"/>
      <c r="AM252" s="2487"/>
    </row>
    <row r="253" spans="1:39" ht="15.75" customHeight="1" x14ac:dyDescent="0.25">
      <c r="A253" s="2487"/>
      <c r="B253" s="2487"/>
      <c r="C253" s="2487"/>
      <c r="D253" s="2487"/>
      <c r="E253" s="2487"/>
      <c r="F253" s="2487"/>
      <c r="G253" s="2487"/>
      <c r="H253" s="2487"/>
      <c r="I253" s="2487"/>
      <c r="J253" s="2487"/>
      <c r="K253" s="2487"/>
      <c r="L253" s="2487"/>
      <c r="M253" s="2487"/>
      <c r="N253" s="2487"/>
      <c r="O253" s="2487"/>
      <c r="P253" s="2487"/>
      <c r="Q253" s="2487"/>
      <c r="R253" s="2487"/>
      <c r="S253" s="2487"/>
      <c r="T253" s="2487"/>
      <c r="U253" s="2487"/>
      <c r="V253" s="2487"/>
      <c r="W253" s="2487"/>
      <c r="X253" s="2487"/>
      <c r="Y253" s="2487"/>
      <c r="Z253" s="2487"/>
      <c r="AA253" s="2487"/>
      <c r="AB253" s="2487"/>
      <c r="AC253" s="2487"/>
      <c r="AD253" s="2487"/>
      <c r="AE253" s="2487"/>
      <c r="AF253" s="2487"/>
      <c r="AG253" s="2487"/>
      <c r="AH253" s="2487"/>
      <c r="AI253" s="2487"/>
      <c r="AJ253" s="2487"/>
      <c r="AK253" s="2487"/>
      <c r="AL253" s="2487"/>
      <c r="AM253" s="2487"/>
    </row>
    <row r="254" spans="1:39" ht="15.75" customHeight="1" x14ac:dyDescent="0.25">
      <c r="A254" s="2487"/>
      <c r="B254" s="2487"/>
      <c r="C254" s="2487"/>
      <c r="D254" s="2487"/>
      <c r="E254" s="2487"/>
      <c r="F254" s="2487"/>
      <c r="G254" s="2487"/>
      <c r="H254" s="2487"/>
      <c r="I254" s="2487"/>
      <c r="J254" s="2487"/>
      <c r="K254" s="2487"/>
      <c r="L254" s="2487"/>
      <c r="M254" s="2487"/>
      <c r="N254" s="2487"/>
      <c r="O254" s="2487"/>
      <c r="P254" s="2487"/>
      <c r="Q254" s="2487"/>
      <c r="R254" s="2487"/>
      <c r="S254" s="2487"/>
      <c r="T254" s="2487"/>
      <c r="U254" s="2487"/>
      <c r="V254" s="2487"/>
      <c r="W254" s="2487"/>
      <c r="X254" s="2487"/>
      <c r="Y254" s="2487"/>
      <c r="Z254" s="2487"/>
      <c r="AA254" s="2487"/>
      <c r="AB254" s="2487"/>
      <c r="AC254" s="2487"/>
      <c r="AD254" s="2487"/>
      <c r="AE254" s="2487"/>
      <c r="AF254" s="2487"/>
      <c r="AG254" s="2487"/>
      <c r="AH254" s="2487"/>
      <c r="AI254" s="2487"/>
      <c r="AJ254" s="2487"/>
      <c r="AK254" s="2487"/>
      <c r="AL254" s="2487"/>
      <c r="AM254" s="2487"/>
    </row>
    <row r="255" spans="1:39" ht="15.75" customHeight="1" x14ac:dyDescent="0.25">
      <c r="A255" s="2487"/>
      <c r="B255" s="2487"/>
      <c r="C255" s="2487"/>
      <c r="D255" s="2487"/>
      <c r="E255" s="2487"/>
      <c r="F255" s="2487"/>
      <c r="G255" s="2487"/>
      <c r="H255" s="2487"/>
      <c r="I255" s="2487"/>
      <c r="J255" s="2487"/>
      <c r="K255" s="2487"/>
      <c r="L255" s="2487"/>
      <c r="M255" s="2487"/>
      <c r="N255" s="2487"/>
      <c r="O255" s="2487"/>
      <c r="P255" s="2487"/>
      <c r="Q255" s="2487"/>
      <c r="R255" s="2487"/>
      <c r="S255" s="2487"/>
      <c r="T255" s="2487"/>
      <c r="U255" s="2487"/>
      <c r="V255" s="2487"/>
      <c r="W255" s="2487"/>
      <c r="X255" s="2487"/>
      <c r="Y255" s="2487"/>
      <c r="Z255" s="2487"/>
      <c r="AA255" s="2487"/>
      <c r="AB255" s="2487"/>
      <c r="AC255" s="2487"/>
      <c r="AD255" s="2487"/>
      <c r="AE255" s="2487"/>
      <c r="AF255" s="2487"/>
      <c r="AG255" s="2487"/>
      <c r="AH255" s="2487"/>
      <c r="AI255" s="2487"/>
      <c r="AJ255" s="2487"/>
      <c r="AK255" s="2487"/>
      <c r="AL255" s="2487"/>
      <c r="AM255" s="2487"/>
    </row>
    <row r="256" spans="1:39" ht="15.75" customHeight="1" x14ac:dyDescent="0.25">
      <c r="A256" s="2487"/>
      <c r="B256" s="2487"/>
      <c r="C256" s="2487"/>
      <c r="D256" s="2487"/>
      <c r="E256" s="2487"/>
      <c r="F256" s="2487"/>
      <c r="G256" s="2487"/>
      <c r="H256" s="2487"/>
      <c r="I256" s="2487"/>
      <c r="J256" s="2487"/>
      <c r="K256" s="2487"/>
      <c r="L256" s="2487"/>
      <c r="M256" s="2487"/>
      <c r="N256" s="2487"/>
      <c r="O256" s="2487"/>
      <c r="P256" s="2487"/>
      <c r="Q256" s="2487"/>
      <c r="R256" s="2487"/>
      <c r="S256" s="2487"/>
      <c r="T256" s="2487"/>
      <c r="U256" s="2487"/>
      <c r="V256" s="2487"/>
      <c r="W256" s="2487"/>
      <c r="X256" s="2487"/>
      <c r="Y256" s="2487"/>
      <c r="Z256" s="2487"/>
      <c r="AA256" s="2487"/>
      <c r="AB256" s="2487"/>
      <c r="AC256" s="2487"/>
      <c r="AD256" s="2487"/>
      <c r="AE256" s="2487"/>
      <c r="AF256" s="2487"/>
      <c r="AG256" s="2487"/>
      <c r="AH256" s="2487"/>
      <c r="AI256" s="2487"/>
      <c r="AJ256" s="2487"/>
      <c r="AK256" s="2487"/>
      <c r="AL256" s="2487"/>
      <c r="AM256" s="2487"/>
    </row>
    <row r="257" spans="1:39" ht="15.75" customHeight="1" x14ac:dyDescent="0.25">
      <c r="A257" s="2487"/>
      <c r="B257" s="2487"/>
      <c r="C257" s="2487"/>
      <c r="D257" s="2487"/>
      <c r="E257" s="2487"/>
      <c r="F257" s="2487"/>
      <c r="G257" s="2487"/>
      <c r="H257" s="2487"/>
      <c r="I257" s="2487"/>
      <c r="J257" s="2487"/>
      <c r="K257" s="2487"/>
      <c r="L257" s="2487"/>
      <c r="M257" s="2487"/>
      <c r="N257" s="2487"/>
      <c r="O257" s="2487"/>
      <c r="P257" s="2487"/>
      <c r="Q257" s="2487"/>
      <c r="R257" s="2487"/>
      <c r="S257" s="2487"/>
      <c r="T257" s="2487"/>
      <c r="U257" s="2487"/>
      <c r="V257" s="2487"/>
      <c r="W257" s="2487"/>
      <c r="X257" s="2487"/>
      <c r="Y257" s="2487"/>
      <c r="Z257" s="2487"/>
      <c r="AA257" s="2487"/>
      <c r="AB257" s="2487"/>
      <c r="AC257" s="2487"/>
      <c r="AD257" s="2487"/>
      <c r="AE257" s="2487"/>
      <c r="AF257" s="2487"/>
      <c r="AG257" s="2487"/>
      <c r="AH257" s="2487"/>
      <c r="AI257" s="2487"/>
      <c r="AJ257" s="2487"/>
      <c r="AK257" s="2487"/>
      <c r="AL257" s="2487"/>
      <c r="AM257" s="2487"/>
    </row>
    <row r="258" spans="1:39" ht="15.75" customHeight="1" x14ac:dyDescent="0.25">
      <c r="A258" s="2487"/>
      <c r="B258" s="2487"/>
      <c r="C258" s="2487"/>
      <c r="D258" s="2487"/>
      <c r="E258" s="2487"/>
      <c r="F258" s="2487"/>
      <c r="G258" s="2487"/>
      <c r="H258" s="2487"/>
      <c r="I258" s="2487"/>
      <c r="J258" s="2487"/>
      <c r="K258" s="2487"/>
      <c r="L258" s="2487"/>
      <c r="M258" s="2487"/>
      <c r="N258" s="2487"/>
      <c r="O258" s="2487"/>
      <c r="P258" s="2487"/>
      <c r="Q258" s="2487"/>
      <c r="R258" s="2487"/>
      <c r="S258" s="2487"/>
      <c r="T258" s="2487"/>
      <c r="U258" s="2487"/>
      <c r="V258" s="2487"/>
      <c r="W258" s="2487"/>
      <c r="X258" s="2487"/>
      <c r="Y258" s="2487"/>
      <c r="Z258" s="2487"/>
      <c r="AA258" s="2487"/>
      <c r="AB258" s="2487"/>
      <c r="AC258" s="2487"/>
      <c r="AD258" s="2487"/>
      <c r="AE258" s="2487"/>
      <c r="AF258" s="2487"/>
      <c r="AG258" s="2487"/>
      <c r="AH258" s="2487"/>
      <c r="AI258" s="2487"/>
      <c r="AJ258" s="2487"/>
      <c r="AK258" s="2487"/>
      <c r="AL258" s="2487"/>
      <c r="AM258" s="2487"/>
    </row>
    <row r="259" spans="1:39" ht="15.75" customHeight="1" x14ac:dyDescent="0.25">
      <c r="A259" s="2487"/>
      <c r="B259" s="2487"/>
      <c r="C259" s="2487"/>
      <c r="D259" s="2487"/>
      <c r="E259" s="2487"/>
      <c r="F259" s="2487"/>
      <c r="G259" s="2487"/>
      <c r="H259" s="2487"/>
      <c r="I259" s="2487"/>
      <c r="J259" s="2487"/>
      <c r="K259" s="2487"/>
      <c r="L259" s="2487"/>
      <c r="M259" s="2487"/>
      <c r="N259" s="2487"/>
      <c r="O259" s="2487"/>
      <c r="P259" s="2487"/>
      <c r="Q259" s="2487"/>
      <c r="R259" s="2487"/>
      <c r="S259" s="2487"/>
      <c r="T259" s="2487"/>
      <c r="U259" s="2487"/>
      <c r="V259" s="2487"/>
      <c r="W259" s="2487"/>
      <c r="X259" s="2487"/>
      <c r="Y259" s="2487"/>
      <c r="Z259" s="2487"/>
      <c r="AA259" s="2487"/>
      <c r="AB259" s="2487"/>
      <c r="AC259" s="2487"/>
      <c r="AD259" s="2487"/>
      <c r="AE259" s="2487"/>
      <c r="AF259" s="2487"/>
      <c r="AG259" s="2487"/>
      <c r="AH259" s="2487"/>
      <c r="AI259" s="2487"/>
      <c r="AJ259" s="2487"/>
      <c r="AK259" s="2487"/>
      <c r="AL259" s="2487"/>
      <c r="AM259" s="2487"/>
    </row>
    <row r="260" spans="1:39" ht="15.75" customHeight="1" x14ac:dyDescent="0.25">
      <c r="A260" s="2487"/>
      <c r="B260" s="2487"/>
      <c r="C260" s="2487"/>
      <c r="D260" s="2487"/>
      <c r="E260" s="2487"/>
      <c r="F260" s="2487"/>
      <c r="G260" s="2487"/>
      <c r="H260" s="2487"/>
      <c r="I260" s="2487"/>
      <c r="J260" s="2487"/>
      <c r="K260" s="2487"/>
      <c r="L260" s="2487"/>
      <c r="M260" s="2487"/>
      <c r="N260" s="2487"/>
      <c r="O260" s="2487"/>
      <c r="P260" s="2487"/>
      <c r="Q260" s="2487"/>
      <c r="R260" s="2487"/>
      <c r="S260" s="2487"/>
      <c r="T260" s="2487"/>
      <c r="U260" s="2487"/>
      <c r="V260" s="2487"/>
      <c r="W260" s="2487"/>
      <c r="X260" s="2487"/>
      <c r="Y260" s="2487"/>
      <c r="Z260" s="2487"/>
      <c r="AA260" s="2487"/>
      <c r="AB260" s="2487"/>
      <c r="AC260" s="2487"/>
      <c r="AD260" s="2487"/>
      <c r="AE260" s="2487"/>
      <c r="AF260" s="2487"/>
      <c r="AG260" s="2487"/>
      <c r="AH260" s="2487"/>
      <c r="AI260" s="2487"/>
      <c r="AJ260" s="2487"/>
      <c r="AK260" s="2487"/>
      <c r="AL260" s="2487"/>
      <c r="AM260" s="2487"/>
    </row>
    <row r="261" spans="1:39" ht="15.75" customHeight="1" x14ac:dyDescent="0.25">
      <c r="A261" s="2487"/>
      <c r="B261" s="2487"/>
      <c r="C261" s="2487"/>
      <c r="D261" s="2487"/>
      <c r="E261" s="2487"/>
      <c r="F261" s="2487"/>
      <c r="G261" s="2487"/>
      <c r="H261" s="2487"/>
      <c r="I261" s="2487"/>
      <c r="J261" s="2487"/>
      <c r="K261" s="2487"/>
      <c r="L261" s="2487"/>
      <c r="M261" s="2487"/>
      <c r="N261" s="2487"/>
      <c r="O261" s="2487"/>
      <c r="P261" s="2487"/>
      <c r="Q261" s="2487"/>
      <c r="R261" s="2487"/>
      <c r="S261" s="2487"/>
      <c r="T261" s="2487"/>
      <c r="U261" s="2487"/>
      <c r="V261" s="2487"/>
      <c r="W261" s="2487"/>
      <c r="X261" s="2487"/>
      <c r="Y261" s="2487"/>
      <c r="Z261" s="2487"/>
      <c r="AA261" s="2487"/>
      <c r="AB261" s="2487"/>
      <c r="AC261" s="2487"/>
      <c r="AD261" s="2487"/>
      <c r="AE261" s="2487"/>
      <c r="AF261" s="2487"/>
      <c r="AG261" s="2487"/>
      <c r="AH261" s="2487"/>
      <c r="AI261" s="2487"/>
      <c r="AJ261" s="2487"/>
      <c r="AK261" s="2487"/>
      <c r="AL261" s="2487"/>
      <c r="AM261" s="2487"/>
    </row>
    <row r="262" spans="1:39" ht="15.75" customHeight="1" x14ac:dyDescent="0.25">
      <c r="A262" s="2487"/>
      <c r="B262" s="2487"/>
      <c r="C262" s="2487"/>
      <c r="D262" s="2487"/>
      <c r="E262" s="2487"/>
      <c r="F262" s="2487"/>
      <c r="G262" s="2487"/>
      <c r="H262" s="2487"/>
      <c r="I262" s="2487"/>
      <c r="J262" s="2487"/>
      <c r="K262" s="2487"/>
      <c r="L262" s="2487"/>
      <c r="M262" s="2487"/>
      <c r="N262" s="2487"/>
      <c r="O262" s="2487"/>
      <c r="P262" s="2487"/>
      <c r="Q262" s="2487"/>
      <c r="R262" s="2487"/>
      <c r="S262" s="2487"/>
      <c r="T262" s="2487"/>
      <c r="U262" s="2487"/>
      <c r="V262" s="2487"/>
      <c r="W262" s="2487"/>
      <c r="X262" s="2487"/>
      <c r="Y262" s="2487"/>
      <c r="Z262" s="2487"/>
      <c r="AA262" s="2487"/>
      <c r="AB262" s="2487"/>
      <c r="AC262" s="2487"/>
      <c r="AD262" s="2487"/>
      <c r="AE262" s="2487"/>
      <c r="AF262" s="2487"/>
      <c r="AG262" s="2487"/>
      <c r="AH262" s="2487"/>
      <c r="AI262" s="2487"/>
      <c r="AJ262" s="2487"/>
      <c r="AK262" s="2487"/>
      <c r="AL262" s="2487"/>
      <c r="AM262" s="2487"/>
    </row>
    <row r="263" spans="1:39" ht="15.75" customHeight="1" x14ac:dyDescent="0.25">
      <c r="A263" s="2487"/>
      <c r="B263" s="2487"/>
      <c r="C263" s="2487"/>
      <c r="D263" s="2487"/>
      <c r="E263" s="2487"/>
      <c r="F263" s="2487"/>
      <c r="G263" s="2487"/>
      <c r="H263" s="2487"/>
      <c r="I263" s="2487"/>
      <c r="J263" s="2487"/>
      <c r="K263" s="2487"/>
      <c r="L263" s="2487"/>
      <c r="M263" s="2487"/>
      <c r="N263" s="2487"/>
      <c r="O263" s="2487"/>
      <c r="P263" s="2487"/>
      <c r="Q263" s="2487"/>
      <c r="R263" s="2487"/>
      <c r="S263" s="2487"/>
      <c r="T263" s="2487"/>
      <c r="U263" s="2487"/>
      <c r="V263" s="2487"/>
      <c r="W263" s="2487"/>
      <c r="X263" s="2487"/>
      <c r="Y263" s="2487"/>
      <c r="Z263" s="2487"/>
      <c r="AA263" s="2487"/>
      <c r="AB263" s="2487"/>
      <c r="AC263" s="2487"/>
      <c r="AD263" s="2487"/>
      <c r="AE263" s="2487"/>
      <c r="AF263" s="2487"/>
      <c r="AG263" s="2487"/>
      <c r="AH263" s="2487"/>
      <c r="AI263" s="2487"/>
      <c r="AJ263" s="2487"/>
      <c r="AK263" s="2487"/>
      <c r="AL263" s="2487"/>
      <c r="AM263" s="2487"/>
    </row>
    <row r="264" spans="1:39" ht="15.75" customHeight="1" x14ac:dyDescent="0.25">
      <c r="A264" s="2487"/>
      <c r="B264" s="2487"/>
      <c r="C264" s="2487"/>
      <c r="D264" s="2487"/>
      <c r="E264" s="2487"/>
      <c r="F264" s="2487"/>
      <c r="G264" s="2487"/>
      <c r="H264" s="2487"/>
      <c r="I264" s="2487"/>
      <c r="J264" s="2487"/>
      <c r="K264" s="2487"/>
      <c r="L264" s="2487"/>
      <c r="M264" s="2487"/>
      <c r="N264" s="2487"/>
      <c r="O264" s="2487"/>
      <c r="P264" s="2487"/>
      <c r="Q264" s="2487"/>
      <c r="R264" s="2487"/>
      <c r="S264" s="2487"/>
      <c r="T264" s="2487"/>
      <c r="U264" s="2487"/>
      <c r="V264" s="2487"/>
      <c r="W264" s="2487"/>
      <c r="X264" s="2487"/>
      <c r="Y264" s="2487"/>
      <c r="Z264" s="2487"/>
      <c r="AA264" s="2487"/>
      <c r="AB264" s="2487"/>
      <c r="AC264" s="2487"/>
      <c r="AD264" s="2487"/>
      <c r="AE264" s="2487"/>
      <c r="AF264" s="2487"/>
      <c r="AG264" s="2487"/>
      <c r="AH264" s="2487"/>
      <c r="AI264" s="2487"/>
      <c r="AJ264" s="2487"/>
      <c r="AK264" s="2487"/>
      <c r="AL264" s="2487"/>
      <c r="AM264" s="2487"/>
    </row>
    <row r="265" spans="1:39" ht="15.75" customHeight="1" x14ac:dyDescent="0.25">
      <c r="A265" s="2487"/>
      <c r="B265" s="2487"/>
      <c r="C265" s="2487"/>
      <c r="D265" s="2487"/>
      <c r="E265" s="2487"/>
      <c r="F265" s="2487"/>
      <c r="G265" s="2487"/>
      <c r="H265" s="2487"/>
      <c r="I265" s="2487"/>
      <c r="J265" s="2487"/>
      <c r="K265" s="2487"/>
      <c r="L265" s="2487"/>
      <c r="M265" s="2487"/>
      <c r="N265" s="2487"/>
      <c r="O265" s="2487"/>
      <c r="P265" s="2487"/>
      <c r="Q265" s="2487"/>
      <c r="R265" s="2487"/>
      <c r="S265" s="2487"/>
      <c r="T265" s="2487"/>
      <c r="U265" s="2487"/>
      <c r="V265" s="2487"/>
      <c r="W265" s="2487"/>
      <c r="X265" s="2487"/>
      <c r="Y265" s="2487"/>
      <c r="Z265" s="2487"/>
      <c r="AA265" s="2487"/>
      <c r="AB265" s="2487"/>
      <c r="AC265" s="2487"/>
      <c r="AD265" s="2487"/>
      <c r="AE265" s="2487"/>
      <c r="AF265" s="2487"/>
      <c r="AG265" s="2487"/>
      <c r="AH265" s="2487"/>
      <c r="AI265" s="2487"/>
      <c r="AJ265" s="2487"/>
      <c r="AK265" s="2487"/>
      <c r="AL265" s="2487"/>
      <c r="AM265" s="2487"/>
    </row>
    <row r="266" spans="1:39" ht="15.75" customHeight="1" x14ac:dyDescent="0.25">
      <c r="A266" s="2487"/>
      <c r="B266" s="2487"/>
      <c r="C266" s="2487"/>
      <c r="D266" s="2487"/>
      <c r="E266" s="2487"/>
      <c r="F266" s="2487"/>
      <c r="G266" s="2487"/>
      <c r="H266" s="2487"/>
      <c r="I266" s="2487"/>
      <c r="J266" s="2487"/>
      <c r="K266" s="2487"/>
      <c r="L266" s="2487"/>
      <c r="M266" s="2487"/>
      <c r="N266" s="2487"/>
      <c r="O266" s="2487"/>
      <c r="P266" s="2487"/>
      <c r="Q266" s="2487"/>
      <c r="R266" s="2487"/>
      <c r="S266" s="2487"/>
      <c r="T266" s="2487"/>
      <c r="U266" s="2487"/>
      <c r="V266" s="2487"/>
      <c r="W266" s="2487"/>
      <c r="X266" s="2487"/>
      <c r="Y266" s="2487"/>
      <c r="Z266" s="2487"/>
      <c r="AA266" s="2487"/>
      <c r="AB266" s="2487"/>
      <c r="AC266" s="2487"/>
      <c r="AD266" s="2487"/>
      <c r="AE266" s="2487"/>
      <c r="AF266" s="2487"/>
      <c r="AG266" s="2487"/>
      <c r="AH266" s="2487"/>
      <c r="AI266" s="2487"/>
      <c r="AJ266" s="2487"/>
      <c r="AK266" s="2487"/>
      <c r="AL266" s="2487"/>
      <c r="AM266" s="2487"/>
    </row>
    <row r="267" spans="1:39" ht="15.75" customHeight="1" x14ac:dyDescent="0.25">
      <c r="A267" s="2487"/>
      <c r="B267" s="2487"/>
      <c r="C267" s="2487"/>
      <c r="D267" s="2487"/>
      <c r="E267" s="2487"/>
      <c r="F267" s="2487"/>
      <c r="G267" s="2487"/>
      <c r="H267" s="2487"/>
      <c r="I267" s="2487"/>
      <c r="J267" s="2487"/>
      <c r="K267" s="2487"/>
      <c r="L267" s="2487"/>
      <c r="M267" s="2487"/>
      <c r="N267" s="2487"/>
      <c r="O267" s="2487"/>
      <c r="P267" s="2487"/>
      <c r="Q267" s="2487"/>
      <c r="R267" s="2487"/>
      <c r="S267" s="2487"/>
      <c r="T267" s="2487"/>
      <c r="U267" s="2487"/>
      <c r="V267" s="2487"/>
      <c r="W267" s="2487"/>
      <c r="X267" s="2487"/>
      <c r="Y267" s="2487"/>
      <c r="Z267" s="2487"/>
      <c r="AA267" s="2487"/>
      <c r="AB267" s="2487"/>
      <c r="AC267" s="2487"/>
      <c r="AD267" s="2487"/>
      <c r="AE267" s="2487"/>
      <c r="AF267" s="2487"/>
      <c r="AG267" s="2487"/>
      <c r="AH267" s="2487"/>
      <c r="AI267" s="2487"/>
      <c r="AJ267" s="2487"/>
      <c r="AK267" s="2487"/>
      <c r="AL267" s="2487"/>
      <c r="AM267" s="2487"/>
    </row>
    <row r="268" spans="1:39" ht="15.75" customHeight="1" x14ac:dyDescent="0.25">
      <c r="A268" s="2487"/>
      <c r="B268" s="2487"/>
      <c r="C268" s="2487"/>
      <c r="D268" s="2487"/>
      <c r="E268" s="2487"/>
      <c r="F268" s="2487"/>
      <c r="G268" s="2487"/>
      <c r="H268" s="2487"/>
      <c r="I268" s="2487"/>
      <c r="J268" s="2487"/>
      <c r="K268" s="2487"/>
      <c r="L268" s="2487"/>
      <c r="M268" s="2487"/>
      <c r="N268" s="2487"/>
      <c r="O268" s="2487"/>
      <c r="P268" s="2487"/>
      <c r="Q268" s="2487"/>
      <c r="R268" s="2487"/>
      <c r="S268" s="2487"/>
      <c r="T268" s="2487"/>
      <c r="U268" s="2487"/>
      <c r="V268" s="2487"/>
      <c r="W268" s="2487"/>
      <c r="X268" s="2487"/>
      <c r="Y268" s="2487"/>
      <c r="Z268" s="2487"/>
      <c r="AA268" s="2487"/>
      <c r="AB268" s="2487"/>
      <c r="AC268" s="2487"/>
      <c r="AD268" s="2487"/>
      <c r="AE268" s="2487"/>
      <c r="AF268" s="2487"/>
      <c r="AG268" s="2487"/>
      <c r="AH268" s="2487"/>
      <c r="AI268" s="2487"/>
      <c r="AJ268" s="2487"/>
      <c r="AK268" s="2487"/>
      <c r="AL268" s="2487"/>
      <c r="AM268" s="2487"/>
    </row>
    <row r="269" spans="1:39" ht="15.75" customHeight="1" x14ac:dyDescent="0.25">
      <c r="A269" s="2487"/>
      <c r="B269" s="2487"/>
      <c r="C269" s="2487"/>
      <c r="D269" s="2487"/>
      <c r="E269" s="2487"/>
      <c r="F269" s="2487"/>
      <c r="G269" s="2487"/>
      <c r="H269" s="2487"/>
      <c r="I269" s="2487"/>
      <c r="J269" s="2487"/>
      <c r="K269" s="2487"/>
      <c r="L269" s="2487"/>
      <c r="M269" s="2487"/>
      <c r="N269" s="2487"/>
      <c r="O269" s="2487"/>
      <c r="P269" s="2487"/>
      <c r="Q269" s="2487"/>
      <c r="R269" s="2487"/>
      <c r="S269" s="2487"/>
      <c r="T269" s="2487"/>
      <c r="U269" s="2487"/>
      <c r="V269" s="2487"/>
      <c r="W269" s="2487"/>
      <c r="X269" s="2487"/>
      <c r="Y269" s="2487"/>
      <c r="Z269" s="2487"/>
      <c r="AA269" s="2487"/>
      <c r="AB269" s="2487"/>
      <c r="AC269" s="2487"/>
      <c r="AD269" s="2487"/>
      <c r="AE269" s="2487"/>
      <c r="AF269" s="2487"/>
      <c r="AG269" s="2487"/>
      <c r="AH269" s="2487"/>
      <c r="AI269" s="2487"/>
      <c r="AJ269" s="2487"/>
      <c r="AK269" s="2487"/>
      <c r="AL269" s="2487"/>
      <c r="AM269" s="2487"/>
    </row>
    <row r="270" spans="1:39" ht="15.75" customHeight="1" x14ac:dyDescent="0.25">
      <c r="A270" s="2487"/>
      <c r="B270" s="2487"/>
      <c r="C270" s="2487"/>
      <c r="D270" s="2487"/>
      <c r="E270" s="2487"/>
      <c r="F270" s="2487"/>
      <c r="G270" s="2487"/>
      <c r="H270" s="2487"/>
      <c r="I270" s="2487"/>
      <c r="J270" s="2487"/>
      <c r="K270" s="2487"/>
      <c r="L270" s="2487"/>
      <c r="M270" s="2487"/>
      <c r="N270" s="2487"/>
      <c r="O270" s="2487"/>
      <c r="P270" s="2487"/>
      <c r="Q270" s="2487"/>
      <c r="R270" s="2487"/>
      <c r="S270" s="2487"/>
      <c r="T270" s="2487"/>
      <c r="U270" s="2487"/>
      <c r="V270" s="2487"/>
      <c r="W270" s="2487"/>
      <c r="X270" s="2487"/>
      <c r="Y270" s="2487"/>
      <c r="Z270" s="2487"/>
      <c r="AA270" s="2487"/>
      <c r="AB270" s="2487"/>
      <c r="AC270" s="2487"/>
      <c r="AD270" s="2487"/>
      <c r="AE270" s="2487"/>
      <c r="AF270" s="2487"/>
      <c r="AG270" s="2487"/>
      <c r="AH270" s="2487"/>
      <c r="AI270" s="2487"/>
      <c r="AJ270" s="2487"/>
      <c r="AK270" s="2487"/>
      <c r="AL270" s="2487"/>
      <c r="AM270" s="2487"/>
    </row>
    <row r="271" spans="1:39" ht="15.75" customHeight="1" x14ac:dyDescent="0.25">
      <c r="A271" s="2487"/>
      <c r="B271" s="2487"/>
      <c r="C271" s="2487"/>
      <c r="D271" s="2487"/>
      <c r="E271" s="2487"/>
      <c r="F271" s="2487"/>
      <c r="G271" s="2487"/>
      <c r="H271" s="2487"/>
      <c r="I271" s="2487"/>
      <c r="J271" s="2487"/>
      <c r="K271" s="2487"/>
      <c r="L271" s="2487"/>
      <c r="M271" s="2487"/>
      <c r="N271" s="2487"/>
      <c r="O271" s="2487"/>
      <c r="P271" s="2487"/>
      <c r="Q271" s="2487"/>
      <c r="R271" s="2487"/>
      <c r="S271" s="2487"/>
      <c r="T271" s="2487"/>
      <c r="U271" s="2487"/>
      <c r="V271" s="2487"/>
      <c r="W271" s="2487"/>
      <c r="X271" s="2487"/>
      <c r="Y271" s="2487"/>
      <c r="Z271" s="2487"/>
      <c r="AA271" s="2487"/>
      <c r="AB271" s="2487"/>
      <c r="AC271" s="2487"/>
      <c r="AD271" s="2487"/>
      <c r="AE271" s="2487"/>
      <c r="AF271" s="2487"/>
      <c r="AG271" s="2487"/>
      <c r="AH271" s="2487"/>
      <c r="AI271" s="2487"/>
      <c r="AJ271" s="2487"/>
      <c r="AK271" s="2487"/>
      <c r="AL271" s="2487"/>
      <c r="AM271" s="2487"/>
    </row>
    <row r="272" spans="1:39" ht="15.75" customHeight="1" x14ac:dyDescent="0.25">
      <c r="A272" s="2487"/>
      <c r="B272" s="2487"/>
      <c r="C272" s="2487"/>
      <c r="D272" s="2487"/>
      <c r="E272" s="2487"/>
      <c r="F272" s="2487"/>
      <c r="G272" s="2487"/>
      <c r="H272" s="2487"/>
      <c r="I272" s="2487"/>
      <c r="J272" s="2487"/>
      <c r="K272" s="2487"/>
      <c r="L272" s="2487"/>
      <c r="M272" s="2487"/>
      <c r="N272" s="2487"/>
      <c r="O272" s="2487"/>
      <c r="P272" s="2487"/>
      <c r="Q272" s="2487"/>
      <c r="R272" s="2487"/>
      <c r="S272" s="2487"/>
      <c r="T272" s="2487"/>
      <c r="U272" s="2487"/>
      <c r="V272" s="2487"/>
      <c r="W272" s="2487"/>
      <c r="X272" s="2487"/>
      <c r="Y272" s="2487"/>
      <c r="Z272" s="2487"/>
      <c r="AA272" s="2487"/>
      <c r="AB272" s="2487"/>
      <c r="AC272" s="2487"/>
      <c r="AD272" s="2487"/>
      <c r="AE272" s="2487"/>
      <c r="AF272" s="2487"/>
      <c r="AG272" s="2487"/>
      <c r="AH272" s="2487"/>
      <c r="AI272" s="2487"/>
      <c r="AJ272" s="2487"/>
      <c r="AK272" s="2487"/>
      <c r="AL272" s="2487"/>
      <c r="AM272" s="2487"/>
    </row>
    <row r="273" spans="1:39" ht="15.75" customHeight="1" x14ac:dyDescent="0.25">
      <c r="A273" s="2487"/>
      <c r="B273" s="2487"/>
      <c r="C273" s="2487"/>
      <c r="D273" s="2487"/>
      <c r="E273" s="2487"/>
      <c r="F273" s="2487"/>
      <c r="G273" s="2487"/>
      <c r="H273" s="2487"/>
      <c r="I273" s="2487"/>
      <c r="J273" s="2487"/>
      <c r="K273" s="2487"/>
      <c r="L273" s="2487"/>
      <c r="M273" s="2487"/>
      <c r="N273" s="2487"/>
      <c r="O273" s="2487"/>
      <c r="P273" s="2487"/>
      <c r="Q273" s="2487"/>
      <c r="R273" s="2487"/>
      <c r="S273" s="2487"/>
      <c r="T273" s="2487"/>
      <c r="U273" s="2487"/>
      <c r="V273" s="2487"/>
      <c r="W273" s="2487"/>
      <c r="X273" s="2487"/>
      <c r="Y273" s="2487"/>
      <c r="Z273" s="2487"/>
      <c r="AA273" s="2487"/>
      <c r="AB273" s="2487"/>
      <c r="AC273" s="2487"/>
      <c r="AD273" s="2487"/>
      <c r="AE273" s="2487"/>
      <c r="AF273" s="2487"/>
      <c r="AG273" s="2487"/>
      <c r="AH273" s="2487"/>
      <c r="AI273" s="2487"/>
      <c r="AJ273" s="2487"/>
      <c r="AK273" s="2487"/>
      <c r="AL273" s="2487"/>
      <c r="AM273" s="2487"/>
    </row>
    <row r="274" spans="1:39" ht="15.75" customHeight="1" x14ac:dyDescent="0.25">
      <c r="A274" s="2487"/>
      <c r="B274" s="2487"/>
      <c r="C274" s="2487"/>
      <c r="D274" s="2487"/>
      <c r="E274" s="2487"/>
      <c r="F274" s="2487"/>
      <c r="G274" s="2487"/>
      <c r="H274" s="2487"/>
      <c r="I274" s="2487"/>
      <c r="J274" s="2487"/>
      <c r="K274" s="2487"/>
      <c r="L274" s="2487"/>
      <c r="M274" s="2487"/>
      <c r="N274" s="2487"/>
      <c r="O274" s="2487"/>
      <c r="P274" s="2487"/>
      <c r="Q274" s="2487"/>
      <c r="R274" s="2487"/>
      <c r="S274" s="2487"/>
      <c r="T274" s="2487"/>
      <c r="U274" s="2487"/>
      <c r="V274" s="2487"/>
      <c r="W274" s="2487"/>
      <c r="X274" s="2487"/>
      <c r="Y274" s="2487"/>
      <c r="Z274" s="2487"/>
      <c r="AA274" s="2487"/>
      <c r="AB274" s="2487"/>
      <c r="AC274" s="2487"/>
      <c r="AD274" s="2487"/>
      <c r="AE274" s="2487"/>
      <c r="AF274" s="2487"/>
      <c r="AG274" s="2487"/>
      <c r="AH274" s="2487"/>
      <c r="AI274" s="2487"/>
      <c r="AJ274" s="2487"/>
      <c r="AK274" s="2487"/>
      <c r="AL274" s="2487"/>
      <c r="AM274" s="2487"/>
    </row>
    <row r="275" spans="1:39" ht="15.75" customHeight="1" x14ac:dyDescent="0.25">
      <c r="A275" s="2487"/>
      <c r="B275" s="2487"/>
      <c r="C275" s="2487"/>
      <c r="D275" s="2487"/>
      <c r="E275" s="2487"/>
      <c r="F275" s="2487"/>
      <c r="G275" s="2487"/>
      <c r="H275" s="2487"/>
      <c r="I275" s="2487"/>
      <c r="J275" s="2487"/>
      <c r="K275" s="2487"/>
      <c r="L275" s="2487"/>
      <c r="M275" s="2487"/>
      <c r="N275" s="2487"/>
      <c r="O275" s="2487"/>
      <c r="P275" s="2487"/>
      <c r="Q275" s="2487"/>
      <c r="R275" s="2487"/>
      <c r="S275" s="2487"/>
      <c r="T275" s="2487"/>
      <c r="U275" s="2487"/>
      <c r="V275" s="2487"/>
      <c r="W275" s="2487"/>
      <c r="X275" s="2487"/>
      <c r="Y275" s="2487"/>
      <c r="Z275" s="2487"/>
      <c r="AA275" s="2487"/>
      <c r="AB275" s="2487"/>
      <c r="AC275" s="2487"/>
      <c r="AD275" s="2487"/>
      <c r="AE275" s="2487"/>
      <c r="AF275" s="2487"/>
      <c r="AG275" s="2487"/>
      <c r="AH275" s="2487"/>
      <c r="AI275" s="2487"/>
      <c r="AJ275" s="2487"/>
      <c r="AK275" s="2487"/>
      <c r="AL275" s="2487"/>
      <c r="AM275" s="2487"/>
    </row>
    <row r="276" spans="1:39" ht="15.75" customHeight="1" x14ac:dyDescent="0.25">
      <c r="A276" s="2487"/>
      <c r="B276" s="2487"/>
      <c r="C276" s="2487"/>
      <c r="D276" s="2487"/>
      <c r="E276" s="2487"/>
      <c r="F276" s="2487"/>
      <c r="G276" s="2487"/>
      <c r="H276" s="2487"/>
      <c r="I276" s="2487"/>
      <c r="J276" s="2487"/>
      <c r="K276" s="2487"/>
      <c r="L276" s="2487"/>
      <c r="M276" s="2487"/>
      <c r="N276" s="2487"/>
      <c r="O276" s="2487"/>
      <c r="P276" s="2487"/>
      <c r="Q276" s="2487"/>
      <c r="R276" s="2487"/>
      <c r="S276" s="2487"/>
      <c r="T276" s="2487"/>
      <c r="U276" s="2487"/>
      <c r="V276" s="2487"/>
      <c r="W276" s="2487"/>
      <c r="X276" s="2487"/>
      <c r="Y276" s="2487"/>
      <c r="Z276" s="2487"/>
      <c r="AA276" s="2487"/>
      <c r="AB276" s="2487"/>
      <c r="AC276" s="2487"/>
      <c r="AD276" s="2487"/>
      <c r="AE276" s="2487"/>
      <c r="AF276" s="2487"/>
      <c r="AG276" s="2487"/>
      <c r="AH276" s="2487"/>
      <c r="AI276" s="2487"/>
      <c r="AJ276" s="2487"/>
      <c r="AK276" s="2487"/>
      <c r="AL276" s="2487"/>
      <c r="AM276" s="2487"/>
    </row>
    <row r="277" spans="1:39" ht="15.75" customHeight="1" x14ac:dyDescent="0.25">
      <c r="A277" s="2487"/>
      <c r="B277" s="2487"/>
      <c r="C277" s="2487"/>
      <c r="D277" s="2487"/>
      <c r="E277" s="2487"/>
      <c r="F277" s="2487"/>
      <c r="G277" s="2487"/>
      <c r="H277" s="2487"/>
      <c r="I277" s="2487"/>
      <c r="J277" s="2487"/>
      <c r="K277" s="2487"/>
      <c r="L277" s="2487"/>
      <c r="M277" s="2487"/>
      <c r="N277" s="2487"/>
      <c r="O277" s="2487"/>
      <c r="P277" s="2487"/>
      <c r="Q277" s="2487"/>
      <c r="R277" s="2487"/>
      <c r="S277" s="2487"/>
      <c r="T277" s="2487"/>
      <c r="U277" s="2487"/>
      <c r="V277" s="2487"/>
      <c r="W277" s="2487"/>
      <c r="X277" s="2487"/>
      <c r="Y277" s="2487"/>
      <c r="Z277" s="2487"/>
      <c r="AA277" s="2487"/>
      <c r="AB277" s="2487"/>
      <c r="AC277" s="2487"/>
      <c r="AD277" s="2487"/>
      <c r="AE277" s="2487"/>
      <c r="AF277" s="2487"/>
      <c r="AG277" s="2487"/>
      <c r="AH277" s="2487"/>
      <c r="AI277" s="2487"/>
      <c r="AJ277" s="2487"/>
      <c r="AK277" s="2487"/>
      <c r="AL277" s="2487"/>
      <c r="AM277" s="2487"/>
    </row>
    <row r="278" spans="1:39" ht="15.75" customHeight="1" x14ac:dyDescent="0.25">
      <c r="A278" s="2487"/>
      <c r="B278" s="2487"/>
      <c r="C278" s="2487"/>
      <c r="D278" s="2487"/>
      <c r="E278" s="2487"/>
      <c r="F278" s="2487"/>
      <c r="G278" s="2487"/>
      <c r="H278" s="2487"/>
      <c r="I278" s="2487"/>
      <c r="J278" s="2487"/>
      <c r="K278" s="2487"/>
      <c r="L278" s="2487"/>
      <c r="M278" s="2487"/>
      <c r="N278" s="2487"/>
      <c r="O278" s="2487"/>
      <c r="P278" s="2487"/>
      <c r="Q278" s="2487"/>
      <c r="R278" s="2487"/>
      <c r="S278" s="2487"/>
      <c r="T278" s="2487"/>
      <c r="U278" s="2487"/>
      <c r="V278" s="2487"/>
      <c r="W278" s="2487"/>
      <c r="X278" s="2487"/>
      <c r="Y278" s="2487"/>
      <c r="Z278" s="2487"/>
      <c r="AA278" s="2487"/>
      <c r="AB278" s="2487"/>
      <c r="AC278" s="2487"/>
      <c r="AD278" s="2487"/>
      <c r="AE278" s="2487"/>
      <c r="AF278" s="2487"/>
      <c r="AG278" s="2487"/>
      <c r="AH278" s="2487"/>
      <c r="AI278" s="2487"/>
      <c r="AJ278" s="2487"/>
      <c r="AK278" s="2487"/>
      <c r="AL278" s="2487"/>
      <c r="AM278" s="2487"/>
    </row>
    <row r="279" spans="1:39" ht="15.75" customHeight="1" x14ac:dyDescent="0.25">
      <c r="A279" s="2487"/>
      <c r="B279" s="2487"/>
      <c r="C279" s="2487"/>
      <c r="D279" s="2487"/>
      <c r="E279" s="2487"/>
      <c r="F279" s="2487"/>
      <c r="G279" s="2487"/>
      <c r="H279" s="2487"/>
      <c r="I279" s="2487"/>
      <c r="J279" s="2487"/>
      <c r="K279" s="2487"/>
      <c r="L279" s="2487"/>
      <c r="M279" s="2487"/>
      <c r="N279" s="2487"/>
      <c r="O279" s="2487"/>
      <c r="P279" s="2487"/>
      <c r="Q279" s="2487"/>
      <c r="R279" s="2487"/>
      <c r="S279" s="2487"/>
      <c r="T279" s="2487"/>
      <c r="U279" s="2487"/>
      <c r="V279" s="2487"/>
      <c r="W279" s="2487"/>
      <c r="X279" s="2487"/>
      <c r="Y279" s="2487"/>
      <c r="Z279" s="2487"/>
      <c r="AA279" s="2487"/>
      <c r="AB279" s="2487"/>
      <c r="AC279" s="2487"/>
      <c r="AD279" s="2487"/>
      <c r="AE279" s="2487"/>
      <c r="AF279" s="2487"/>
      <c r="AG279" s="2487"/>
      <c r="AH279" s="2487"/>
      <c r="AI279" s="2487"/>
      <c r="AJ279" s="2487"/>
      <c r="AK279" s="2487"/>
      <c r="AL279" s="2487"/>
      <c r="AM279" s="2487"/>
    </row>
    <row r="280" spans="1:39" ht="15.75" customHeight="1" x14ac:dyDescent="0.25">
      <c r="A280" s="2487"/>
      <c r="B280" s="2487"/>
      <c r="C280" s="2487"/>
      <c r="D280" s="2487"/>
      <c r="E280" s="2487"/>
      <c r="F280" s="2487"/>
      <c r="G280" s="2487"/>
      <c r="H280" s="2487"/>
      <c r="I280" s="2487"/>
      <c r="J280" s="2487"/>
      <c r="K280" s="2487"/>
      <c r="L280" s="2487"/>
      <c r="M280" s="2487"/>
      <c r="N280" s="2487"/>
      <c r="O280" s="2487"/>
      <c r="P280" s="2487"/>
      <c r="Q280" s="2487"/>
      <c r="R280" s="2487"/>
      <c r="S280" s="2487"/>
      <c r="T280" s="2487"/>
      <c r="U280" s="2487"/>
      <c r="V280" s="2487"/>
      <c r="W280" s="2487"/>
      <c r="X280" s="2487"/>
      <c r="Y280" s="2487"/>
      <c r="Z280" s="2487"/>
      <c r="AA280" s="2487"/>
      <c r="AB280" s="2487"/>
      <c r="AC280" s="2487"/>
      <c r="AD280" s="2487"/>
      <c r="AE280" s="2487"/>
      <c r="AF280" s="2487"/>
      <c r="AG280" s="2487"/>
      <c r="AH280" s="2487"/>
      <c r="AI280" s="2487"/>
      <c r="AJ280" s="2487"/>
      <c r="AK280" s="2487"/>
      <c r="AL280" s="2487"/>
      <c r="AM280" s="2487"/>
    </row>
    <row r="281" spans="1:39" ht="15.75" customHeight="1" x14ac:dyDescent="0.25">
      <c r="A281" s="2487"/>
      <c r="B281" s="2487"/>
      <c r="C281" s="2487"/>
      <c r="D281" s="2487"/>
      <c r="E281" s="2487"/>
      <c r="F281" s="2487"/>
      <c r="G281" s="2487"/>
      <c r="H281" s="2487"/>
      <c r="I281" s="2487"/>
      <c r="J281" s="2487"/>
      <c r="K281" s="2487"/>
      <c r="L281" s="2487"/>
      <c r="M281" s="2487"/>
      <c r="N281" s="2487"/>
      <c r="O281" s="2487"/>
      <c r="P281" s="2487"/>
      <c r="Q281" s="2487"/>
      <c r="R281" s="2487"/>
      <c r="S281" s="2487"/>
      <c r="T281" s="2487"/>
      <c r="U281" s="2487"/>
      <c r="V281" s="2487"/>
      <c r="W281" s="2487"/>
      <c r="X281" s="2487"/>
      <c r="Y281" s="2487"/>
      <c r="Z281" s="2487"/>
      <c r="AA281" s="2487"/>
      <c r="AB281" s="2487"/>
      <c r="AC281" s="2487"/>
      <c r="AD281" s="2487"/>
      <c r="AE281" s="2487"/>
      <c r="AF281" s="2487"/>
      <c r="AG281" s="2487"/>
      <c r="AH281" s="2487"/>
      <c r="AI281" s="2487"/>
      <c r="AJ281" s="2487"/>
      <c r="AK281" s="2487"/>
      <c r="AL281" s="2487"/>
      <c r="AM281" s="2487"/>
    </row>
    <row r="282" spans="1:39" ht="15.75" customHeight="1" x14ac:dyDescent="0.25">
      <c r="A282" s="2487"/>
      <c r="B282" s="2487"/>
      <c r="C282" s="2487"/>
      <c r="D282" s="2487"/>
      <c r="E282" s="2487"/>
      <c r="F282" s="2487"/>
      <c r="G282" s="2487"/>
      <c r="H282" s="2487"/>
      <c r="I282" s="2487"/>
      <c r="J282" s="2487"/>
      <c r="K282" s="2487"/>
      <c r="L282" s="2487"/>
      <c r="M282" s="2487"/>
      <c r="N282" s="2487"/>
      <c r="O282" s="2487"/>
      <c r="P282" s="2487"/>
      <c r="Q282" s="2487"/>
      <c r="R282" s="2487"/>
      <c r="S282" s="2487"/>
      <c r="T282" s="2487"/>
      <c r="U282" s="2487"/>
      <c r="V282" s="2487"/>
      <c r="W282" s="2487"/>
      <c r="X282" s="2487"/>
      <c r="Y282" s="2487"/>
      <c r="Z282" s="2487"/>
      <c r="AA282" s="2487"/>
      <c r="AB282" s="2487"/>
      <c r="AC282" s="2487"/>
      <c r="AD282" s="2487"/>
      <c r="AE282" s="2487"/>
      <c r="AF282" s="2487"/>
      <c r="AG282" s="2487"/>
      <c r="AH282" s="2487"/>
      <c r="AI282" s="2487"/>
      <c r="AJ282" s="2487"/>
      <c r="AK282" s="2487"/>
      <c r="AL282" s="2487"/>
      <c r="AM282" s="2487"/>
    </row>
    <row r="283" spans="1:39" ht="15.75" customHeight="1" x14ac:dyDescent="0.25">
      <c r="A283" s="2487"/>
      <c r="B283" s="2487"/>
      <c r="C283" s="2487"/>
      <c r="D283" s="2487"/>
      <c r="E283" s="2487"/>
      <c r="F283" s="2487"/>
      <c r="G283" s="2487"/>
      <c r="H283" s="2487"/>
      <c r="I283" s="2487"/>
      <c r="J283" s="2487"/>
      <c r="K283" s="2487"/>
      <c r="L283" s="2487"/>
      <c r="M283" s="2487"/>
      <c r="N283" s="2487"/>
      <c r="O283" s="2487"/>
      <c r="P283" s="2487"/>
      <c r="Q283" s="2487"/>
      <c r="R283" s="2487"/>
      <c r="S283" s="2487"/>
      <c r="T283" s="2487"/>
      <c r="U283" s="2487"/>
      <c r="V283" s="2487"/>
      <c r="W283" s="2487"/>
      <c r="X283" s="2487"/>
      <c r="Y283" s="2487"/>
      <c r="Z283" s="2487"/>
      <c r="AA283" s="2487"/>
      <c r="AB283" s="2487"/>
      <c r="AC283" s="2487"/>
      <c r="AD283" s="2487"/>
      <c r="AE283" s="2487"/>
      <c r="AF283" s="2487"/>
      <c r="AG283" s="2487"/>
      <c r="AH283" s="2487"/>
      <c r="AI283" s="2487"/>
      <c r="AJ283" s="2487"/>
      <c r="AK283" s="2487"/>
      <c r="AL283" s="2487"/>
      <c r="AM283" s="2487"/>
    </row>
    <row r="284" spans="1:39" ht="15.75" customHeight="1" x14ac:dyDescent="0.25">
      <c r="A284" s="2487"/>
      <c r="B284" s="2487"/>
      <c r="C284" s="2487"/>
      <c r="D284" s="2487"/>
      <c r="E284" s="2487"/>
      <c r="F284" s="2487"/>
      <c r="G284" s="2487"/>
      <c r="H284" s="2487"/>
      <c r="I284" s="2487"/>
      <c r="J284" s="2487"/>
      <c r="K284" s="2487"/>
      <c r="L284" s="2487"/>
      <c r="M284" s="2487"/>
      <c r="N284" s="2487"/>
      <c r="O284" s="2487"/>
      <c r="P284" s="2487"/>
      <c r="Q284" s="2487"/>
      <c r="R284" s="2487"/>
      <c r="S284" s="2487"/>
      <c r="T284" s="2487"/>
      <c r="U284" s="2487"/>
      <c r="V284" s="2487"/>
      <c r="W284" s="2487"/>
      <c r="X284" s="2487"/>
      <c r="Y284" s="2487"/>
      <c r="Z284" s="2487"/>
      <c r="AA284" s="2487"/>
      <c r="AB284" s="2487"/>
      <c r="AC284" s="2487"/>
      <c r="AD284" s="2487"/>
      <c r="AE284" s="2487"/>
      <c r="AF284" s="2487"/>
      <c r="AG284" s="2487"/>
      <c r="AH284" s="2487"/>
      <c r="AI284" s="2487"/>
      <c r="AJ284" s="2487"/>
      <c r="AK284" s="2487"/>
      <c r="AL284" s="2487"/>
      <c r="AM284" s="2487"/>
    </row>
    <row r="285" spans="1:39" ht="15.75" customHeight="1" x14ac:dyDescent="0.25">
      <c r="A285" s="2487"/>
      <c r="B285" s="2487"/>
      <c r="C285" s="2487"/>
      <c r="D285" s="2487"/>
      <c r="E285" s="2487"/>
      <c r="F285" s="2487"/>
      <c r="G285" s="2487"/>
      <c r="H285" s="2487"/>
      <c r="I285" s="2487"/>
      <c r="J285" s="2487"/>
      <c r="K285" s="2487"/>
      <c r="L285" s="2487"/>
      <c r="M285" s="2487"/>
      <c r="N285" s="2487"/>
      <c r="O285" s="2487"/>
      <c r="P285" s="2487"/>
      <c r="Q285" s="2487"/>
      <c r="R285" s="2487"/>
      <c r="S285" s="2487"/>
      <c r="T285" s="2487"/>
      <c r="U285" s="2487"/>
      <c r="V285" s="2487"/>
      <c r="W285" s="2487"/>
      <c r="X285" s="2487"/>
      <c r="Y285" s="2487"/>
      <c r="Z285" s="2487"/>
      <c r="AA285" s="2487"/>
      <c r="AB285" s="2487"/>
      <c r="AC285" s="2487"/>
      <c r="AD285" s="2487"/>
      <c r="AE285" s="2487"/>
      <c r="AF285" s="2487"/>
      <c r="AG285" s="2487"/>
      <c r="AH285" s="2487"/>
      <c r="AI285" s="2487"/>
      <c r="AJ285" s="2487"/>
      <c r="AK285" s="2487"/>
      <c r="AL285" s="2487"/>
      <c r="AM285" s="2487"/>
    </row>
    <row r="286" spans="1:39" ht="15.75" customHeight="1" x14ac:dyDescent="0.25">
      <c r="A286" s="2487"/>
      <c r="B286" s="2487"/>
      <c r="C286" s="2487"/>
      <c r="D286" s="2487"/>
      <c r="E286" s="2487"/>
      <c r="F286" s="2487"/>
      <c r="G286" s="2487"/>
      <c r="H286" s="2487"/>
      <c r="I286" s="2487"/>
      <c r="J286" s="2487"/>
      <c r="K286" s="2487"/>
      <c r="L286" s="2487"/>
      <c r="M286" s="2487"/>
      <c r="N286" s="2487"/>
      <c r="O286" s="2487"/>
      <c r="P286" s="2487"/>
      <c r="Q286" s="2487"/>
      <c r="R286" s="2487"/>
      <c r="S286" s="2487"/>
      <c r="T286" s="2487"/>
      <c r="U286" s="2487"/>
      <c r="V286" s="2487"/>
      <c r="W286" s="2487"/>
      <c r="X286" s="2487"/>
      <c r="Y286" s="2487"/>
      <c r="Z286" s="2487"/>
      <c r="AA286" s="2487"/>
      <c r="AB286" s="2487"/>
      <c r="AC286" s="2487"/>
      <c r="AD286" s="2487"/>
      <c r="AE286" s="2487"/>
      <c r="AF286" s="2487"/>
      <c r="AG286" s="2487"/>
      <c r="AH286" s="2487"/>
      <c r="AI286" s="2487"/>
      <c r="AJ286" s="2487"/>
      <c r="AK286" s="2487"/>
      <c r="AL286" s="2487"/>
      <c r="AM286" s="2487"/>
    </row>
    <row r="287" spans="1:39" ht="15.75" customHeight="1" x14ac:dyDescent="0.25">
      <c r="A287" s="2487"/>
      <c r="B287" s="2487"/>
      <c r="C287" s="2487"/>
      <c r="D287" s="2487"/>
      <c r="E287" s="2487"/>
      <c r="F287" s="2487"/>
      <c r="G287" s="2487"/>
      <c r="H287" s="2487"/>
      <c r="I287" s="2487"/>
      <c r="J287" s="2487"/>
      <c r="K287" s="2487"/>
      <c r="L287" s="2487"/>
      <c r="M287" s="2487"/>
      <c r="N287" s="2487"/>
      <c r="O287" s="2487"/>
      <c r="P287" s="2487"/>
      <c r="Q287" s="2487"/>
      <c r="R287" s="2487"/>
      <c r="S287" s="2487"/>
      <c r="T287" s="2487"/>
      <c r="U287" s="2487"/>
      <c r="V287" s="2487"/>
      <c r="W287" s="2487"/>
      <c r="X287" s="2487"/>
      <c r="Y287" s="2487"/>
      <c r="Z287" s="2487"/>
      <c r="AA287" s="2487"/>
      <c r="AB287" s="2487"/>
      <c r="AC287" s="2487"/>
      <c r="AD287" s="2487"/>
      <c r="AE287" s="2487"/>
      <c r="AF287" s="2487"/>
      <c r="AG287" s="2487"/>
      <c r="AH287" s="2487"/>
      <c r="AI287" s="2487"/>
      <c r="AJ287" s="2487"/>
      <c r="AK287" s="2487"/>
      <c r="AL287" s="2487"/>
      <c r="AM287" s="2487"/>
    </row>
    <row r="288" spans="1:39" ht="15.75" customHeight="1" x14ac:dyDescent="0.25">
      <c r="A288" s="2487"/>
      <c r="B288" s="2487"/>
      <c r="C288" s="2487"/>
      <c r="D288" s="2487"/>
      <c r="E288" s="2487"/>
      <c r="F288" s="2487"/>
      <c r="G288" s="2487"/>
      <c r="H288" s="2487"/>
      <c r="I288" s="2487"/>
      <c r="J288" s="2487"/>
      <c r="K288" s="2487"/>
      <c r="L288" s="2487"/>
      <c r="M288" s="2487"/>
      <c r="N288" s="2487"/>
      <c r="O288" s="2487"/>
      <c r="P288" s="2487"/>
      <c r="Q288" s="2487"/>
      <c r="R288" s="2487"/>
      <c r="S288" s="2487"/>
      <c r="T288" s="2487"/>
      <c r="U288" s="2487"/>
      <c r="V288" s="2487"/>
      <c r="W288" s="2487"/>
      <c r="X288" s="2487"/>
      <c r="Y288" s="2487"/>
      <c r="Z288" s="2487"/>
      <c r="AA288" s="2487"/>
      <c r="AB288" s="2487"/>
      <c r="AC288" s="2487"/>
      <c r="AD288" s="2487"/>
      <c r="AE288" s="2487"/>
      <c r="AF288" s="2487"/>
      <c r="AG288" s="2487"/>
      <c r="AH288" s="2487"/>
      <c r="AI288" s="2487"/>
      <c r="AJ288" s="2487"/>
      <c r="AK288" s="2487"/>
      <c r="AL288" s="2487"/>
      <c r="AM288" s="2487"/>
    </row>
    <row r="289" spans="1:39" ht="15.75" customHeight="1" x14ac:dyDescent="0.25">
      <c r="A289" s="2487"/>
      <c r="B289" s="2487"/>
      <c r="C289" s="2487"/>
      <c r="D289" s="2487"/>
      <c r="E289" s="2487"/>
      <c r="F289" s="2487"/>
      <c r="G289" s="2487"/>
      <c r="H289" s="2487"/>
      <c r="I289" s="2487"/>
      <c r="J289" s="2487"/>
      <c r="K289" s="2487"/>
      <c r="L289" s="2487"/>
      <c r="M289" s="2487"/>
      <c r="N289" s="2487"/>
      <c r="O289" s="2487"/>
      <c r="P289" s="2487"/>
      <c r="Q289" s="2487"/>
      <c r="R289" s="2487"/>
      <c r="S289" s="2487"/>
      <c r="T289" s="2487"/>
      <c r="U289" s="2487"/>
      <c r="V289" s="2487"/>
      <c r="W289" s="2487"/>
      <c r="X289" s="2487"/>
      <c r="Y289" s="2487"/>
      <c r="Z289" s="2487"/>
      <c r="AA289" s="2487"/>
      <c r="AB289" s="2487"/>
      <c r="AC289" s="2487"/>
      <c r="AD289" s="2487"/>
      <c r="AE289" s="2487"/>
      <c r="AF289" s="2487"/>
      <c r="AG289" s="2487"/>
      <c r="AH289" s="2487"/>
      <c r="AI289" s="2487"/>
      <c r="AJ289" s="2487"/>
      <c r="AK289" s="2487"/>
      <c r="AL289" s="2487"/>
      <c r="AM289" s="2487"/>
    </row>
    <row r="290" spans="1:39" ht="15.75" customHeight="1" x14ac:dyDescent="0.25">
      <c r="A290" s="2487"/>
      <c r="B290" s="2487"/>
      <c r="C290" s="2487"/>
      <c r="D290" s="2487"/>
      <c r="E290" s="2487"/>
      <c r="F290" s="2487"/>
      <c r="G290" s="2487"/>
      <c r="H290" s="2487"/>
      <c r="I290" s="2487"/>
      <c r="J290" s="2487"/>
      <c r="K290" s="2487"/>
      <c r="L290" s="2487"/>
      <c r="M290" s="2487"/>
      <c r="N290" s="2487"/>
      <c r="O290" s="2487"/>
      <c r="P290" s="2487"/>
      <c r="Q290" s="2487"/>
      <c r="R290" s="2487"/>
      <c r="S290" s="2487"/>
      <c r="T290" s="2487"/>
      <c r="U290" s="2487"/>
      <c r="V290" s="2487"/>
      <c r="W290" s="2487"/>
      <c r="X290" s="2487"/>
      <c r="Y290" s="2487"/>
      <c r="Z290" s="2487"/>
      <c r="AA290" s="2487"/>
      <c r="AB290" s="2487"/>
      <c r="AC290" s="2487"/>
      <c r="AD290" s="2487"/>
      <c r="AE290" s="2487"/>
      <c r="AF290" s="2487"/>
      <c r="AG290" s="2487"/>
      <c r="AH290" s="2487"/>
      <c r="AI290" s="2487"/>
      <c r="AJ290" s="2487"/>
      <c r="AK290" s="2487"/>
      <c r="AL290" s="2487"/>
      <c r="AM290" s="2487"/>
    </row>
    <row r="291" spans="1:39" ht="15.75" customHeight="1" x14ac:dyDescent="0.25">
      <c r="A291" s="2487"/>
      <c r="B291" s="2487"/>
      <c r="C291" s="2487"/>
      <c r="D291" s="2487"/>
      <c r="E291" s="2487"/>
      <c r="F291" s="2487"/>
      <c r="G291" s="2487"/>
      <c r="H291" s="2487"/>
      <c r="I291" s="2487"/>
      <c r="J291" s="2487"/>
      <c r="K291" s="2487"/>
      <c r="L291" s="2487"/>
      <c r="M291" s="2487"/>
      <c r="N291" s="2487"/>
      <c r="O291" s="2487"/>
      <c r="P291" s="2487"/>
      <c r="Q291" s="2487"/>
      <c r="R291" s="2487"/>
      <c r="S291" s="2487"/>
      <c r="T291" s="2487"/>
      <c r="U291" s="2487"/>
      <c r="V291" s="2487"/>
      <c r="W291" s="2487"/>
      <c r="X291" s="2487"/>
      <c r="Y291" s="2487"/>
      <c r="Z291" s="2487"/>
      <c r="AA291" s="2487"/>
      <c r="AB291" s="2487"/>
      <c r="AC291" s="2487"/>
      <c r="AD291" s="2487"/>
      <c r="AE291" s="2487"/>
      <c r="AF291" s="2487"/>
      <c r="AG291" s="2487"/>
      <c r="AH291" s="2487"/>
      <c r="AI291" s="2487"/>
      <c r="AJ291" s="2487"/>
      <c r="AK291" s="2487"/>
      <c r="AL291" s="2487"/>
      <c r="AM291" s="2487"/>
    </row>
    <row r="292" spans="1:39" ht="15.75" customHeight="1" x14ac:dyDescent="0.25">
      <c r="A292" s="2487"/>
      <c r="B292" s="2487"/>
      <c r="C292" s="2487"/>
      <c r="D292" s="2487"/>
      <c r="E292" s="2487"/>
      <c r="F292" s="2487"/>
      <c r="G292" s="2487"/>
      <c r="H292" s="2487"/>
      <c r="I292" s="2487"/>
      <c r="J292" s="2487"/>
      <c r="K292" s="2487"/>
      <c r="L292" s="2487"/>
      <c r="M292" s="2487"/>
      <c r="N292" s="2487"/>
      <c r="O292" s="2487"/>
      <c r="P292" s="2487"/>
      <c r="Q292" s="2487"/>
      <c r="R292" s="2487"/>
      <c r="S292" s="2487"/>
      <c r="T292" s="2487"/>
      <c r="U292" s="2487"/>
      <c r="V292" s="2487"/>
      <c r="W292" s="2487"/>
      <c r="X292" s="2487"/>
      <c r="Y292" s="2487"/>
      <c r="Z292" s="2487"/>
      <c r="AA292" s="2487"/>
      <c r="AB292" s="2487"/>
      <c r="AC292" s="2487"/>
      <c r="AD292" s="2487"/>
      <c r="AE292" s="2487"/>
      <c r="AF292" s="2487"/>
      <c r="AG292" s="2487"/>
      <c r="AH292" s="2487"/>
      <c r="AI292" s="2487"/>
      <c r="AJ292" s="2487"/>
      <c r="AK292" s="2487"/>
      <c r="AL292" s="2487"/>
      <c r="AM292" s="2487"/>
    </row>
    <row r="293" spans="1:39" ht="15.75" customHeight="1" x14ac:dyDescent="0.25">
      <c r="A293" s="2487"/>
      <c r="B293" s="2487"/>
      <c r="C293" s="2487"/>
      <c r="D293" s="2487"/>
      <c r="E293" s="2487"/>
      <c r="F293" s="2487"/>
      <c r="G293" s="2487"/>
      <c r="H293" s="2487"/>
      <c r="I293" s="2487"/>
      <c r="J293" s="2487"/>
      <c r="K293" s="2487"/>
      <c r="L293" s="2487"/>
      <c r="M293" s="2487"/>
      <c r="N293" s="2487"/>
      <c r="O293" s="2487"/>
      <c r="P293" s="2487"/>
      <c r="Q293" s="2487"/>
      <c r="R293" s="2487"/>
      <c r="S293" s="2487"/>
      <c r="T293" s="2487"/>
      <c r="U293" s="2487"/>
      <c r="V293" s="2487"/>
      <c r="W293" s="2487"/>
      <c r="X293" s="2487"/>
      <c r="Y293" s="2487"/>
      <c r="Z293" s="2487"/>
      <c r="AA293" s="2487"/>
      <c r="AB293" s="2487"/>
      <c r="AC293" s="2487"/>
      <c r="AD293" s="2487"/>
      <c r="AE293" s="2487"/>
      <c r="AF293" s="2487"/>
      <c r="AG293" s="2487"/>
      <c r="AH293" s="2487"/>
      <c r="AI293" s="2487"/>
      <c r="AJ293" s="2487"/>
      <c r="AK293" s="2487"/>
      <c r="AL293" s="2487"/>
      <c r="AM293" s="2487"/>
    </row>
    <row r="294" spans="1:39" ht="15.75" customHeight="1" x14ac:dyDescent="0.25">
      <c r="A294" s="2487"/>
      <c r="B294" s="2487"/>
      <c r="C294" s="2487"/>
      <c r="D294" s="2487"/>
      <c r="E294" s="2487"/>
      <c r="F294" s="2487"/>
      <c r="G294" s="2487"/>
      <c r="H294" s="2487"/>
      <c r="I294" s="2487"/>
      <c r="J294" s="2487"/>
      <c r="K294" s="2487"/>
      <c r="L294" s="2487"/>
      <c r="M294" s="2487"/>
      <c r="N294" s="2487"/>
      <c r="O294" s="2487"/>
      <c r="P294" s="2487"/>
      <c r="Q294" s="2487"/>
      <c r="R294" s="2487"/>
      <c r="S294" s="2487"/>
      <c r="T294" s="2487"/>
      <c r="U294" s="2487"/>
      <c r="V294" s="2487"/>
      <c r="W294" s="2487"/>
      <c r="X294" s="2487"/>
      <c r="Y294" s="2487"/>
      <c r="Z294" s="2487"/>
      <c r="AA294" s="2487"/>
      <c r="AB294" s="2487"/>
      <c r="AC294" s="2487"/>
      <c r="AD294" s="2487"/>
      <c r="AE294" s="2487"/>
      <c r="AF294" s="2487"/>
      <c r="AG294" s="2487"/>
      <c r="AH294" s="2487"/>
      <c r="AI294" s="2487"/>
      <c r="AJ294" s="2487"/>
      <c r="AK294" s="2487"/>
      <c r="AL294" s="2487"/>
      <c r="AM294" s="2487"/>
    </row>
    <row r="295" spans="1:39" ht="15.75" customHeight="1" x14ac:dyDescent="0.25">
      <c r="A295" s="2487"/>
      <c r="B295" s="2487"/>
      <c r="C295" s="2487"/>
      <c r="D295" s="2487"/>
      <c r="E295" s="2487"/>
      <c r="F295" s="2487"/>
      <c r="G295" s="2487"/>
      <c r="H295" s="2487"/>
      <c r="I295" s="2487"/>
      <c r="J295" s="2487"/>
      <c r="K295" s="2487"/>
      <c r="L295" s="2487"/>
      <c r="M295" s="2487"/>
      <c r="N295" s="2487"/>
      <c r="O295" s="2487"/>
      <c r="P295" s="2487"/>
      <c r="Q295" s="2487"/>
      <c r="R295" s="2487"/>
      <c r="S295" s="2487"/>
      <c r="T295" s="2487"/>
      <c r="U295" s="2487"/>
      <c r="V295" s="2487"/>
      <c r="W295" s="2487"/>
      <c r="X295" s="2487"/>
      <c r="Y295" s="2487"/>
      <c r="Z295" s="2487"/>
      <c r="AA295" s="2487"/>
      <c r="AB295" s="2487"/>
      <c r="AC295" s="2487"/>
      <c r="AD295" s="2487"/>
      <c r="AE295" s="2487"/>
      <c r="AF295" s="2487"/>
      <c r="AG295" s="2487"/>
      <c r="AH295" s="2487"/>
      <c r="AI295" s="2487"/>
      <c r="AJ295" s="2487"/>
      <c r="AK295" s="2487"/>
      <c r="AL295" s="2487"/>
      <c r="AM295" s="2487"/>
    </row>
    <row r="296" spans="1:39" ht="15.75" customHeight="1" x14ac:dyDescent="0.25">
      <c r="A296" s="2487"/>
      <c r="B296" s="2487"/>
      <c r="C296" s="2487"/>
      <c r="D296" s="2487"/>
      <c r="E296" s="2487"/>
      <c r="F296" s="2487"/>
      <c r="G296" s="2487"/>
      <c r="H296" s="2487"/>
      <c r="I296" s="2487"/>
      <c r="J296" s="2487"/>
      <c r="K296" s="2487"/>
      <c r="L296" s="2487"/>
      <c r="M296" s="2487"/>
      <c r="N296" s="2487"/>
      <c r="O296" s="2487"/>
      <c r="P296" s="2487"/>
      <c r="Q296" s="2487"/>
      <c r="R296" s="2487"/>
      <c r="S296" s="2487"/>
      <c r="T296" s="2487"/>
      <c r="U296" s="2487"/>
      <c r="V296" s="2487"/>
      <c r="W296" s="2487"/>
      <c r="X296" s="2487"/>
      <c r="Y296" s="2487"/>
      <c r="Z296" s="2487"/>
      <c r="AA296" s="2487"/>
      <c r="AB296" s="2487"/>
      <c r="AC296" s="2487"/>
      <c r="AD296" s="2487"/>
      <c r="AE296" s="2487"/>
      <c r="AF296" s="2487"/>
      <c r="AG296" s="2487"/>
      <c r="AH296" s="2487"/>
      <c r="AI296" s="2487"/>
      <c r="AJ296" s="2487"/>
      <c r="AK296" s="2487"/>
      <c r="AL296" s="2487"/>
      <c r="AM296" s="2487"/>
    </row>
    <row r="297" spans="1:39" ht="15.75" customHeight="1" x14ac:dyDescent="0.25">
      <c r="A297" s="2487"/>
      <c r="B297" s="2487"/>
      <c r="C297" s="2487"/>
      <c r="D297" s="2487"/>
      <c r="E297" s="2487"/>
      <c r="F297" s="2487"/>
      <c r="G297" s="2487"/>
      <c r="H297" s="2487"/>
      <c r="I297" s="2487"/>
      <c r="J297" s="2487"/>
      <c r="K297" s="2487"/>
      <c r="L297" s="2487"/>
      <c r="M297" s="2487"/>
      <c r="N297" s="2487"/>
      <c r="O297" s="2487"/>
      <c r="P297" s="2487"/>
      <c r="Q297" s="2487"/>
      <c r="R297" s="2487"/>
      <c r="S297" s="2487"/>
      <c r="T297" s="2487"/>
      <c r="U297" s="2487"/>
      <c r="V297" s="2487"/>
      <c r="W297" s="2487"/>
      <c r="X297" s="2487"/>
      <c r="Y297" s="2487"/>
      <c r="Z297" s="2487"/>
      <c r="AA297" s="2487"/>
      <c r="AB297" s="2487"/>
      <c r="AC297" s="2487"/>
      <c r="AD297" s="2487"/>
      <c r="AE297" s="2487"/>
      <c r="AF297" s="2487"/>
      <c r="AG297" s="2487"/>
      <c r="AH297" s="2487"/>
      <c r="AI297" s="2487"/>
      <c r="AJ297" s="2487"/>
      <c r="AK297" s="2487"/>
      <c r="AL297" s="2487"/>
      <c r="AM297" s="2487"/>
    </row>
    <row r="298" spans="1:39" ht="15.75" customHeight="1" x14ac:dyDescent="0.25">
      <c r="A298" s="2487"/>
      <c r="B298" s="2487"/>
      <c r="C298" s="2487"/>
      <c r="D298" s="2487"/>
      <c r="E298" s="2487"/>
      <c r="F298" s="2487"/>
      <c r="G298" s="2487"/>
      <c r="H298" s="2487"/>
      <c r="I298" s="2487"/>
      <c r="J298" s="2487"/>
      <c r="K298" s="2487"/>
      <c r="L298" s="2487"/>
      <c r="M298" s="2487"/>
      <c r="N298" s="2487"/>
      <c r="O298" s="2487"/>
      <c r="P298" s="2487"/>
      <c r="Q298" s="2487"/>
      <c r="R298" s="2487"/>
      <c r="S298" s="2487"/>
      <c r="T298" s="2487"/>
      <c r="U298" s="2487"/>
      <c r="V298" s="2487"/>
      <c r="W298" s="2487"/>
      <c r="X298" s="2487"/>
      <c r="Y298" s="2487"/>
      <c r="Z298" s="2487"/>
      <c r="AA298" s="2487"/>
      <c r="AB298" s="2487"/>
      <c r="AC298" s="2487"/>
      <c r="AD298" s="2487"/>
      <c r="AE298" s="2487"/>
      <c r="AF298" s="2487"/>
      <c r="AG298" s="2487"/>
      <c r="AH298" s="2487"/>
      <c r="AI298" s="2487"/>
      <c r="AJ298" s="2487"/>
      <c r="AK298" s="2487"/>
      <c r="AL298" s="2487"/>
      <c r="AM298" s="2487"/>
    </row>
    <row r="299" spans="1:39" ht="15.75" customHeight="1" x14ac:dyDescent="0.25">
      <c r="A299" s="2487"/>
      <c r="B299" s="2487"/>
      <c r="C299" s="2487"/>
      <c r="D299" s="2487"/>
      <c r="E299" s="2487"/>
      <c r="F299" s="2487"/>
      <c r="G299" s="2487"/>
      <c r="H299" s="2487"/>
      <c r="I299" s="2487"/>
      <c r="J299" s="2487"/>
      <c r="K299" s="2487"/>
      <c r="L299" s="2487"/>
      <c r="M299" s="2487"/>
      <c r="N299" s="2487"/>
      <c r="O299" s="2487"/>
      <c r="P299" s="2487"/>
      <c r="Q299" s="2487"/>
      <c r="R299" s="2487"/>
      <c r="S299" s="2487"/>
      <c r="T299" s="2487"/>
      <c r="U299" s="2487"/>
      <c r="V299" s="2487"/>
      <c r="W299" s="2487"/>
      <c r="X299" s="2487"/>
      <c r="Y299" s="2487"/>
      <c r="Z299" s="2487"/>
      <c r="AA299" s="2487"/>
      <c r="AB299" s="2487"/>
      <c r="AC299" s="2487"/>
      <c r="AD299" s="2487"/>
      <c r="AE299" s="2487"/>
      <c r="AF299" s="2487"/>
      <c r="AG299" s="2487"/>
      <c r="AH299" s="2487"/>
      <c r="AI299" s="2487"/>
      <c r="AJ299" s="2487"/>
      <c r="AK299" s="2487"/>
      <c r="AL299" s="2487"/>
      <c r="AM299" s="2487"/>
    </row>
    <row r="300" spans="1:39" ht="15.75" customHeight="1" x14ac:dyDescent="0.25">
      <c r="A300" s="2487"/>
      <c r="B300" s="2487"/>
      <c r="C300" s="2487"/>
      <c r="D300" s="2487"/>
      <c r="E300" s="2487"/>
      <c r="F300" s="2487"/>
      <c r="G300" s="2487"/>
      <c r="H300" s="2487"/>
      <c r="I300" s="2487"/>
      <c r="J300" s="2487"/>
      <c r="K300" s="2487"/>
      <c r="L300" s="2487"/>
      <c r="M300" s="2487"/>
      <c r="N300" s="2487"/>
      <c r="O300" s="2487"/>
      <c r="P300" s="2487"/>
      <c r="Q300" s="2487"/>
      <c r="R300" s="2487"/>
      <c r="S300" s="2487"/>
      <c r="T300" s="2487"/>
      <c r="U300" s="2487"/>
      <c r="V300" s="2487"/>
      <c r="W300" s="2487"/>
      <c r="X300" s="2487"/>
      <c r="Y300" s="2487"/>
      <c r="Z300" s="2487"/>
      <c r="AA300" s="2487"/>
      <c r="AB300" s="2487"/>
      <c r="AC300" s="2487"/>
      <c r="AD300" s="2487"/>
      <c r="AE300" s="2487"/>
      <c r="AF300" s="2487"/>
      <c r="AG300" s="2487"/>
      <c r="AH300" s="2487"/>
      <c r="AI300" s="2487"/>
      <c r="AJ300" s="2487"/>
      <c r="AK300" s="2487"/>
      <c r="AL300" s="2487"/>
      <c r="AM300" s="2487"/>
    </row>
    <row r="301" spans="1:39" ht="15.75" customHeight="1" x14ac:dyDescent="0.25">
      <c r="A301" s="2487"/>
      <c r="B301" s="2487"/>
      <c r="C301" s="2487"/>
      <c r="D301" s="2487"/>
      <c r="E301" s="2487"/>
      <c r="F301" s="2487"/>
      <c r="G301" s="2487"/>
      <c r="H301" s="2487"/>
      <c r="I301" s="2487"/>
      <c r="J301" s="2487"/>
      <c r="K301" s="2487"/>
      <c r="L301" s="2487"/>
      <c r="M301" s="2487"/>
      <c r="N301" s="2487"/>
      <c r="O301" s="2487"/>
      <c r="P301" s="2487"/>
      <c r="Q301" s="2487"/>
      <c r="R301" s="2487"/>
      <c r="S301" s="2487"/>
      <c r="T301" s="2487"/>
      <c r="U301" s="2487"/>
      <c r="V301" s="2487"/>
      <c r="W301" s="2487"/>
      <c r="X301" s="2487"/>
      <c r="Y301" s="2487"/>
      <c r="Z301" s="2487"/>
      <c r="AA301" s="2487"/>
      <c r="AB301" s="2487"/>
      <c r="AC301" s="2487"/>
      <c r="AD301" s="2487"/>
      <c r="AE301" s="2487"/>
      <c r="AF301" s="2487"/>
      <c r="AG301" s="2487"/>
      <c r="AH301" s="2487"/>
      <c r="AI301" s="2487"/>
      <c r="AJ301" s="2487"/>
      <c r="AK301" s="2487"/>
      <c r="AL301" s="2487"/>
      <c r="AM301" s="2487"/>
    </row>
    <row r="302" spans="1:39" ht="15.75" customHeight="1" x14ac:dyDescent="0.25">
      <c r="A302" s="2487"/>
      <c r="B302" s="2487"/>
      <c r="C302" s="2487"/>
      <c r="D302" s="2487"/>
      <c r="E302" s="2487"/>
      <c r="F302" s="2487"/>
      <c r="G302" s="2487"/>
      <c r="H302" s="2487"/>
      <c r="I302" s="2487"/>
      <c r="J302" s="2487"/>
      <c r="K302" s="2487"/>
      <c r="L302" s="2487"/>
      <c r="M302" s="2487"/>
      <c r="N302" s="2487"/>
      <c r="O302" s="2487"/>
      <c r="P302" s="2487"/>
      <c r="Q302" s="2487"/>
      <c r="R302" s="2487"/>
      <c r="S302" s="2487"/>
      <c r="T302" s="2487"/>
      <c r="U302" s="2487"/>
      <c r="V302" s="2487"/>
      <c r="W302" s="2487"/>
      <c r="X302" s="2487"/>
      <c r="Y302" s="2487"/>
      <c r="Z302" s="2487"/>
      <c r="AA302" s="2487"/>
      <c r="AB302" s="2487"/>
      <c r="AC302" s="2487"/>
      <c r="AD302" s="2487"/>
      <c r="AE302" s="2487"/>
      <c r="AF302" s="2487"/>
      <c r="AG302" s="2487"/>
      <c r="AH302" s="2487"/>
      <c r="AI302" s="2487"/>
      <c r="AJ302" s="2487"/>
      <c r="AK302" s="2487"/>
      <c r="AL302" s="2487"/>
      <c r="AM302" s="2487"/>
    </row>
    <row r="303" spans="1:39" ht="15.75" customHeight="1" x14ac:dyDescent="0.25">
      <c r="A303" s="2487"/>
      <c r="B303" s="2487"/>
      <c r="C303" s="2487"/>
      <c r="D303" s="2487"/>
      <c r="E303" s="2487"/>
      <c r="F303" s="2487"/>
      <c r="G303" s="2487"/>
      <c r="H303" s="2487"/>
      <c r="I303" s="2487"/>
      <c r="J303" s="2487"/>
      <c r="K303" s="2487"/>
      <c r="L303" s="2487"/>
      <c r="M303" s="2487"/>
      <c r="N303" s="2487"/>
      <c r="O303" s="2487"/>
      <c r="P303" s="2487"/>
      <c r="Q303" s="2487"/>
      <c r="R303" s="2487"/>
      <c r="S303" s="2487"/>
      <c r="T303" s="2487"/>
      <c r="U303" s="2487"/>
      <c r="V303" s="2487"/>
      <c r="W303" s="2487"/>
      <c r="X303" s="2487"/>
      <c r="Y303" s="2487"/>
      <c r="Z303" s="2487"/>
      <c r="AA303" s="2487"/>
      <c r="AB303" s="2487"/>
      <c r="AC303" s="2487"/>
      <c r="AD303" s="2487"/>
      <c r="AE303" s="2487"/>
      <c r="AF303" s="2487"/>
      <c r="AG303" s="2487"/>
      <c r="AH303" s="2487"/>
      <c r="AI303" s="2487"/>
      <c r="AJ303" s="2487"/>
      <c r="AK303" s="2487"/>
      <c r="AL303" s="2487"/>
      <c r="AM303" s="2487"/>
    </row>
    <row r="304" spans="1:39" ht="15.75" customHeight="1" x14ac:dyDescent="0.25">
      <c r="A304" s="2487"/>
      <c r="B304" s="2487"/>
      <c r="C304" s="2487"/>
      <c r="D304" s="2487"/>
      <c r="E304" s="2487"/>
      <c r="F304" s="2487"/>
      <c r="G304" s="2487"/>
      <c r="H304" s="2487"/>
      <c r="I304" s="2487"/>
      <c r="J304" s="2487"/>
      <c r="K304" s="2487"/>
      <c r="L304" s="2487"/>
      <c r="M304" s="2487"/>
      <c r="N304" s="2487"/>
      <c r="O304" s="2487"/>
      <c r="P304" s="2487"/>
      <c r="Q304" s="2487"/>
      <c r="R304" s="2487"/>
      <c r="S304" s="2487"/>
      <c r="T304" s="2487"/>
      <c r="U304" s="2487"/>
      <c r="V304" s="2487"/>
      <c r="W304" s="2487"/>
      <c r="X304" s="2487"/>
      <c r="Y304" s="2487"/>
      <c r="Z304" s="2487"/>
      <c r="AA304" s="2487"/>
      <c r="AB304" s="2487"/>
      <c r="AC304" s="2487"/>
      <c r="AD304" s="2487"/>
      <c r="AE304" s="2487"/>
      <c r="AF304" s="2487"/>
      <c r="AG304" s="2487"/>
      <c r="AH304" s="2487"/>
      <c r="AI304" s="2487"/>
      <c r="AJ304" s="2487"/>
      <c r="AK304" s="2487"/>
      <c r="AL304" s="2487"/>
      <c r="AM304" s="2487"/>
    </row>
    <row r="305" spans="1:39" ht="15.75" customHeight="1" x14ac:dyDescent="0.25">
      <c r="A305" s="2487"/>
      <c r="B305" s="2487"/>
      <c r="C305" s="2487"/>
      <c r="D305" s="2487"/>
      <c r="E305" s="2487"/>
      <c r="F305" s="2487"/>
      <c r="G305" s="2487"/>
      <c r="H305" s="2487"/>
      <c r="I305" s="2487"/>
      <c r="J305" s="2487"/>
      <c r="K305" s="2487"/>
      <c r="L305" s="2487"/>
      <c r="M305" s="2487"/>
      <c r="N305" s="2487"/>
      <c r="O305" s="2487"/>
      <c r="P305" s="2487"/>
      <c r="Q305" s="2487"/>
      <c r="R305" s="2487"/>
      <c r="S305" s="2487"/>
      <c r="T305" s="2487"/>
      <c r="U305" s="2487"/>
      <c r="V305" s="2487"/>
      <c r="W305" s="2487"/>
      <c r="X305" s="2487"/>
      <c r="Y305" s="2487"/>
      <c r="Z305" s="2487"/>
      <c r="AA305" s="2487"/>
      <c r="AB305" s="2487"/>
      <c r="AC305" s="2487"/>
      <c r="AD305" s="2487"/>
      <c r="AE305" s="2487"/>
      <c r="AF305" s="2487"/>
      <c r="AG305" s="2487"/>
      <c r="AH305" s="2487"/>
      <c r="AI305" s="2487"/>
      <c r="AJ305" s="2487"/>
      <c r="AK305" s="2487"/>
      <c r="AL305" s="2487"/>
      <c r="AM305" s="2487"/>
    </row>
    <row r="306" spans="1:39" ht="15.75" customHeight="1" x14ac:dyDescent="0.25">
      <c r="A306" s="2487"/>
      <c r="B306" s="2487"/>
      <c r="C306" s="2487"/>
      <c r="D306" s="2487"/>
      <c r="E306" s="2487"/>
      <c r="F306" s="2487"/>
      <c r="G306" s="2487"/>
      <c r="H306" s="2487"/>
      <c r="I306" s="2487"/>
      <c r="J306" s="2487"/>
      <c r="K306" s="2487"/>
      <c r="L306" s="2487"/>
      <c r="M306" s="2487"/>
      <c r="N306" s="2487"/>
      <c r="O306" s="2487"/>
      <c r="P306" s="2487"/>
      <c r="Q306" s="2487"/>
      <c r="R306" s="2487"/>
      <c r="S306" s="2487"/>
      <c r="T306" s="2487"/>
      <c r="U306" s="2487"/>
      <c r="V306" s="2487"/>
      <c r="W306" s="2487"/>
      <c r="X306" s="2487"/>
      <c r="Y306" s="2487"/>
      <c r="Z306" s="2487"/>
      <c r="AA306" s="2487"/>
      <c r="AB306" s="2487"/>
      <c r="AC306" s="2487"/>
      <c r="AD306" s="2487"/>
      <c r="AE306" s="2487"/>
      <c r="AF306" s="2487"/>
      <c r="AG306" s="2487"/>
      <c r="AH306" s="2487"/>
      <c r="AI306" s="2487"/>
      <c r="AJ306" s="2487"/>
      <c r="AK306" s="2487"/>
      <c r="AL306" s="2487"/>
      <c r="AM306" s="2487"/>
    </row>
    <row r="307" spans="1:39" ht="15.75" customHeight="1" x14ac:dyDescent="0.25">
      <c r="A307" s="2487"/>
      <c r="B307" s="2487"/>
      <c r="C307" s="2487"/>
      <c r="D307" s="2487"/>
      <c r="E307" s="2487"/>
      <c r="F307" s="2487"/>
      <c r="G307" s="2487"/>
      <c r="H307" s="2487"/>
      <c r="I307" s="2487"/>
      <c r="J307" s="2487"/>
      <c r="K307" s="2487"/>
      <c r="L307" s="2487"/>
      <c r="M307" s="2487"/>
      <c r="N307" s="2487"/>
      <c r="O307" s="2487"/>
      <c r="P307" s="2487"/>
      <c r="Q307" s="2487"/>
      <c r="R307" s="2487"/>
      <c r="S307" s="2487"/>
      <c r="T307" s="2487"/>
      <c r="U307" s="2487"/>
      <c r="V307" s="2487"/>
      <c r="W307" s="2487"/>
      <c r="X307" s="2487"/>
      <c r="Y307" s="2487"/>
      <c r="Z307" s="2487"/>
      <c r="AA307" s="2487"/>
      <c r="AB307" s="2487"/>
      <c r="AC307" s="2487"/>
      <c r="AD307" s="2487"/>
      <c r="AE307" s="2487"/>
      <c r="AF307" s="2487"/>
      <c r="AG307" s="2487"/>
      <c r="AH307" s="2487"/>
      <c r="AI307" s="2487"/>
      <c r="AJ307" s="2487"/>
      <c r="AK307" s="2487"/>
      <c r="AL307" s="2487"/>
      <c r="AM307" s="2487"/>
    </row>
    <row r="308" spans="1:39" ht="15.75" customHeight="1" x14ac:dyDescent="0.25">
      <c r="A308" s="2487"/>
      <c r="B308" s="2487"/>
      <c r="C308" s="2487"/>
      <c r="D308" s="2487"/>
      <c r="E308" s="2487"/>
      <c r="F308" s="2487"/>
      <c r="G308" s="2487"/>
      <c r="H308" s="2487"/>
      <c r="I308" s="2487"/>
      <c r="J308" s="2487"/>
      <c r="K308" s="2487"/>
      <c r="L308" s="2487"/>
      <c r="M308" s="2487"/>
      <c r="N308" s="2487"/>
      <c r="O308" s="2487"/>
      <c r="P308" s="2487"/>
      <c r="Q308" s="2487"/>
      <c r="R308" s="2487"/>
      <c r="S308" s="2487"/>
      <c r="T308" s="2487"/>
      <c r="U308" s="2487"/>
      <c r="V308" s="2487"/>
      <c r="W308" s="2487"/>
      <c r="X308" s="2487"/>
      <c r="Y308" s="2487"/>
      <c r="Z308" s="2487"/>
      <c r="AA308" s="2487"/>
      <c r="AB308" s="2487"/>
      <c r="AC308" s="2487"/>
      <c r="AD308" s="2487"/>
      <c r="AE308" s="2487"/>
      <c r="AF308" s="2487"/>
      <c r="AG308" s="2487"/>
      <c r="AH308" s="2487"/>
      <c r="AI308" s="2487"/>
      <c r="AJ308" s="2487"/>
      <c r="AK308" s="2487"/>
      <c r="AL308" s="2487"/>
      <c r="AM308" s="2487"/>
    </row>
    <row r="309" spans="1:39" ht="15.75" customHeight="1" x14ac:dyDescent="0.25">
      <c r="A309" s="2487"/>
      <c r="B309" s="2487"/>
      <c r="C309" s="2487"/>
      <c r="D309" s="2487"/>
      <c r="E309" s="2487"/>
      <c r="F309" s="2487"/>
      <c r="G309" s="2487"/>
      <c r="H309" s="2487"/>
      <c r="I309" s="2487"/>
      <c r="J309" s="2487"/>
      <c r="K309" s="2487"/>
      <c r="L309" s="2487"/>
      <c r="M309" s="2487"/>
      <c r="N309" s="2487"/>
      <c r="O309" s="2487"/>
      <c r="P309" s="2487"/>
      <c r="Q309" s="2487"/>
      <c r="R309" s="2487"/>
      <c r="S309" s="2487"/>
      <c r="T309" s="2487"/>
      <c r="U309" s="2487"/>
      <c r="V309" s="2487"/>
      <c r="W309" s="2487"/>
      <c r="X309" s="2487"/>
      <c r="Y309" s="2487"/>
      <c r="Z309" s="2487"/>
      <c r="AA309" s="2487"/>
      <c r="AB309" s="2487"/>
      <c r="AC309" s="2487"/>
      <c r="AD309" s="2487"/>
      <c r="AE309" s="2487"/>
      <c r="AF309" s="2487"/>
      <c r="AG309" s="2487"/>
      <c r="AH309" s="2487"/>
      <c r="AI309" s="2487"/>
      <c r="AJ309" s="2487"/>
      <c r="AK309" s="2487"/>
      <c r="AL309" s="2487"/>
      <c r="AM309" s="2487"/>
    </row>
    <row r="310" spans="1:39" ht="15.75" customHeight="1" x14ac:dyDescent="0.25">
      <c r="A310" s="2487"/>
      <c r="B310" s="2487"/>
      <c r="C310" s="2487"/>
      <c r="D310" s="2487"/>
      <c r="E310" s="2487"/>
      <c r="F310" s="2487"/>
      <c r="G310" s="2487"/>
      <c r="H310" s="2487"/>
      <c r="I310" s="2487"/>
      <c r="J310" s="2487"/>
      <c r="K310" s="2487"/>
      <c r="L310" s="2487"/>
      <c r="M310" s="2487"/>
      <c r="N310" s="2487"/>
      <c r="O310" s="2487"/>
      <c r="P310" s="2487"/>
      <c r="Q310" s="2487"/>
      <c r="R310" s="2487"/>
      <c r="S310" s="2487"/>
      <c r="T310" s="2487"/>
      <c r="U310" s="2487"/>
      <c r="V310" s="2487"/>
      <c r="W310" s="2487"/>
      <c r="X310" s="2487"/>
      <c r="Y310" s="2487"/>
      <c r="Z310" s="2487"/>
      <c r="AA310" s="2487"/>
      <c r="AB310" s="2487"/>
      <c r="AC310" s="2487"/>
      <c r="AD310" s="2487"/>
      <c r="AE310" s="2487"/>
      <c r="AF310" s="2487"/>
      <c r="AG310" s="2487"/>
      <c r="AH310" s="2487"/>
      <c r="AI310" s="2487"/>
      <c r="AJ310" s="2487"/>
      <c r="AK310" s="2487"/>
      <c r="AL310" s="2487"/>
      <c r="AM310" s="2487"/>
    </row>
    <row r="311" spans="1:39" ht="15.75" customHeight="1" x14ac:dyDescent="0.25">
      <c r="A311" s="2487"/>
      <c r="B311" s="2487"/>
      <c r="C311" s="2487"/>
      <c r="D311" s="2487"/>
      <c r="E311" s="2487"/>
      <c r="F311" s="2487"/>
      <c r="G311" s="2487"/>
      <c r="H311" s="2487"/>
      <c r="I311" s="2487"/>
      <c r="J311" s="2487"/>
      <c r="K311" s="2487"/>
      <c r="L311" s="2487"/>
      <c r="M311" s="2487"/>
      <c r="N311" s="2487"/>
      <c r="O311" s="2487"/>
      <c r="P311" s="2487"/>
      <c r="Q311" s="2487"/>
      <c r="R311" s="2487"/>
      <c r="S311" s="2487"/>
      <c r="T311" s="2487"/>
      <c r="U311" s="2487"/>
      <c r="V311" s="2487"/>
      <c r="W311" s="2487"/>
      <c r="X311" s="2487"/>
      <c r="Y311" s="2487"/>
      <c r="Z311" s="2487"/>
      <c r="AA311" s="2487"/>
      <c r="AB311" s="2487"/>
      <c r="AC311" s="2487"/>
      <c r="AD311" s="2487"/>
      <c r="AE311" s="2487"/>
      <c r="AF311" s="2487"/>
      <c r="AG311" s="2487"/>
      <c r="AH311" s="2487"/>
      <c r="AI311" s="2487"/>
      <c r="AJ311" s="2487"/>
      <c r="AK311" s="2487"/>
      <c r="AL311" s="2487"/>
      <c r="AM311" s="2487"/>
    </row>
    <row r="312" spans="1:39" ht="15.75" customHeight="1" x14ac:dyDescent="0.25">
      <c r="A312" s="2487"/>
      <c r="B312" s="2487"/>
      <c r="C312" s="2487"/>
      <c r="D312" s="2487"/>
      <c r="E312" s="2487"/>
      <c r="F312" s="2487"/>
      <c r="G312" s="2487"/>
      <c r="H312" s="2487"/>
      <c r="I312" s="2487"/>
      <c r="J312" s="2487"/>
      <c r="K312" s="2487"/>
      <c r="L312" s="2487"/>
      <c r="M312" s="2487"/>
      <c r="N312" s="2487"/>
      <c r="O312" s="2487"/>
      <c r="P312" s="2487"/>
      <c r="Q312" s="2487"/>
      <c r="R312" s="2487"/>
      <c r="S312" s="2487"/>
      <c r="T312" s="2487"/>
      <c r="U312" s="2487"/>
      <c r="V312" s="2487"/>
      <c r="W312" s="2487"/>
      <c r="X312" s="2487"/>
      <c r="Y312" s="2487"/>
      <c r="Z312" s="2487"/>
      <c r="AA312" s="2487"/>
      <c r="AB312" s="2487"/>
      <c r="AC312" s="2487"/>
      <c r="AD312" s="2487"/>
      <c r="AE312" s="2487"/>
      <c r="AF312" s="2487"/>
      <c r="AG312" s="2487"/>
      <c r="AH312" s="2487"/>
      <c r="AI312" s="2487"/>
      <c r="AJ312" s="2487"/>
      <c r="AK312" s="2487"/>
      <c r="AL312" s="2487"/>
      <c r="AM312" s="2487"/>
    </row>
    <row r="313" spans="1:39" ht="15.75" customHeight="1" x14ac:dyDescent="0.25">
      <c r="A313" s="2487"/>
      <c r="B313" s="2487"/>
      <c r="C313" s="2487"/>
      <c r="D313" s="2487"/>
      <c r="E313" s="2487"/>
      <c r="F313" s="2487"/>
      <c r="G313" s="2487"/>
      <c r="H313" s="2487"/>
      <c r="I313" s="2487"/>
      <c r="J313" s="2487"/>
      <c r="K313" s="2487"/>
      <c r="L313" s="2487"/>
      <c r="M313" s="2487"/>
      <c r="N313" s="2487"/>
      <c r="O313" s="2487"/>
      <c r="P313" s="2487"/>
      <c r="Q313" s="2487"/>
      <c r="R313" s="2487"/>
      <c r="S313" s="2487"/>
      <c r="T313" s="2487"/>
      <c r="U313" s="2487"/>
      <c r="V313" s="2487"/>
      <c r="W313" s="2487"/>
      <c r="X313" s="2487"/>
      <c r="Y313" s="2487"/>
      <c r="Z313" s="2487"/>
      <c r="AA313" s="2487"/>
      <c r="AB313" s="2487"/>
      <c r="AC313" s="2487"/>
      <c r="AD313" s="2487"/>
      <c r="AE313" s="2487"/>
      <c r="AF313" s="2487"/>
      <c r="AG313" s="2487"/>
      <c r="AH313" s="2487"/>
      <c r="AI313" s="2487"/>
      <c r="AJ313" s="2487"/>
      <c r="AK313" s="2487"/>
      <c r="AL313" s="2487"/>
      <c r="AM313" s="2487"/>
    </row>
    <row r="314" spans="1:39" ht="15.75" customHeight="1" x14ac:dyDescent="0.25">
      <c r="A314" s="2487"/>
      <c r="B314" s="2487"/>
      <c r="C314" s="2487"/>
      <c r="D314" s="2487"/>
      <c r="E314" s="2487"/>
      <c r="F314" s="2487"/>
      <c r="G314" s="2487"/>
      <c r="H314" s="2487"/>
      <c r="I314" s="2487"/>
      <c r="J314" s="2487"/>
      <c r="K314" s="2487"/>
      <c r="L314" s="2487"/>
      <c r="M314" s="2487"/>
      <c r="N314" s="2487"/>
      <c r="O314" s="2487"/>
      <c r="P314" s="2487"/>
      <c r="Q314" s="2487"/>
      <c r="R314" s="2487"/>
      <c r="S314" s="2487"/>
      <c r="T314" s="2487"/>
      <c r="U314" s="2487"/>
      <c r="V314" s="2487"/>
      <c r="W314" s="2487"/>
      <c r="X314" s="2487"/>
      <c r="Y314" s="2487"/>
      <c r="Z314" s="2487"/>
      <c r="AA314" s="2487"/>
      <c r="AB314" s="2487"/>
      <c r="AC314" s="2487"/>
      <c r="AD314" s="2487"/>
      <c r="AE314" s="2487"/>
      <c r="AF314" s="2487"/>
      <c r="AG314" s="2487"/>
      <c r="AH314" s="2487"/>
      <c r="AI314" s="2487"/>
      <c r="AJ314" s="2487"/>
      <c r="AK314" s="2487"/>
      <c r="AL314" s="2487"/>
      <c r="AM314" s="2487"/>
    </row>
    <row r="315" spans="1:39" ht="15.75" customHeight="1" x14ac:dyDescent="0.25">
      <c r="A315" s="2487"/>
      <c r="B315" s="2487"/>
      <c r="C315" s="2487"/>
      <c r="D315" s="2487"/>
      <c r="E315" s="2487"/>
      <c r="F315" s="2487"/>
      <c r="G315" s="2487"/>
      <c r="H315" s="2487"/>
      <c r="I315" s="2487"/>
      <c r="J315" s="2487"/>
      <c r="K315" s="2487"/>
      <c r="L315" s="2487"/>
      <c r="M315" s="2487"/>
      <c r="N315" s="2487"/>
      <c r="O315" s="2487"/>
      <c r="P315" s="2487"/>
      <c r="Q315" s="2487"/>
      <c r="R315" s="2487"/>
      <c r="S315" s="2487"/>
      <c r="T315" s="2487"/>
      <c r="U315" s="2487"/>
      <c r="V315" s="2487"/>
      <c r="W315" s="2487"/>
      <c r="X315" s="2487"/>
      <c r="Y315" s="2487"/>
      <c r="Z315" s="2487"/>
      <c r="AA315" s="2487"/>
      <c r="AB315" s="2487"/>
      <c r="AC315" s="2487"/>
      <c r="AD315" s="2487"/>
      <c r="AE315" s="2487"/>
      <c r="AF315" s="2487"/>
      <c r="AG315" s="2487"/>
      <c r="AH315" s="2487"/>
      <c r="AI315" s="2487"/>
      <c r="AJ315" s="2487"/>
      <c r="AK315" s="2487"/>
      <c r="AL315" s="2487"/>
      <c r="AM315" s="2487"/>
    </row>
    <row r="316" spans="1:39" ht="15.75" customHeight="1" x14ac:dyDescent="0.25">
      <c r="A316" s="2487"/>
      <c r="B316" s="2487"/>
      <c r="C316" s="2487"/>
      <c r="D316" s="2487"/>
      <c r="E316" s="2487"/>
      <c r="F316" s="2487"/>
      <c r="G316" s="2487"/>
      <c r="H316" s="2487"/>
      <c r="I316" s="2487"/>
      <c r="J316" s="2487"/>
      <c r="K316" s="2487"/>
      <c r="L316" s="2487"/>
      <c r="M316" s="2487"/>
      <c r="N316" s="2487"/>
      <c r="O316" s="2487"/>
      <c r="P316" s="2487"/>
      <c r="Q316" s="2487"/>
      <c r="R316" s="2487"/>
      <c r="S316" s="2487"/>
      <c r="T316" s="2487"/>
      <c r="U316" s="2487"/>
      <c r="V316" s="2487"/>
      <c r="W316" s="2487"/>
      <c r="X316" s="2487"/>
      <c r="Y316" s="2487"/>
      <c r="Z316" s="2487"/>
      <c r="AA316" s="2487"/>
      <c r="AB316" s="2487"/>
      <c r="AC316" s="2487"/>
      <c r="AD316" s="2487"/>
      <c r="AE316" s="2487"/>
      <c r="AF316" s="2487"/>
      <c r="AG316" s="2487"/>
      <c r="AH316" s="2487"/>
      <c r="AI316" s="2487"/>
      <c r="AJ316" s="2487"/>
      <c r="AK316" s="2487"/>
      <c r="AL316" s="2487"/>
      <c r="AM316" s="2487"/>
    </row>
    <row r="317" spans="1:39" ht="15.75" customHeight="1" x14ac:dyDescent="0.25">
      <c r="A317" s="2487"/>
      <c r="B317" s="2487"/>
      <c r="C317" s="2487"/>
      <c r="D317" s="2487"/>
      <c r="E317" s="2487"/>
      <c r="F317" s="2487"/>
      <c r="G317" s="2487"/>
      <c r="H317" s="2487"/>
      <c r="I317" s="2487"/>
      <c r="J317" s="2487"/>
      <c r="K317" s="2487"/>
      <c r="L317" s="2487"/>
      <c r="M317" s="2487"/>
      <c r="N317" s="2487"/>
      <c r="O317" s="2487"/>
      <c r="P317" s="2487"/>
      <c r="Q317" s="2487"/>
      <c r="R317" s="2487"/>
      <c r="S317" s="2487"/>
      <c r="T317" s="2487"/>
      <c r="U317" s="2487"/>
      <c r="V317" s="2487"/>
      <c r="W317" s="2487"/>
      <c r="X317" s="2487"/>
      <c r="Y317" s="2487"/>
      <c r="Z317" s="2487"/>
      <c r="AA317" s="2487"/>
      <c r="AB317" s="2487"/>
      <c r="AC317" s="2487"/>
      <c r="AD317" s="2487"/>
      <c r="AE317" s="2487"/>
      <c r="AF317" s="2487"/>
      <c r="AG317" s="2487"/>
      <c r="AH317" s="2487"/>
      <c r="AI317" s="2487"/>
      <c r="AJ317" s="2487"/>
      <c r="AK317" s="2487"/>
      <c r="AL317" s="2487"/>
      <c r="AM317" s="2487"/>
    </row>
    <row r="318" spans="1:39" ht="15.75" customHeight="1" x14ac:dyDescent="0.25">
      <c r="A318" s="2487"/>
      <c r="B318" s="2487"/>
      <c r="C318" s="2487"/>
      <c r="D318" s="2487"/>
      <c r="E318" s="2487"/>
      <c r="F318" s="2487"/>
      <c r="G318" s="2487"/>
      <c r="H318" s="2487"/>
      <c r="I318" s="2487"/>
      <c r="J318" s="2487"/>
      <c r="K318" s="2487"/>
      <c r="L318" s="2487"/>
      <c r="M318" s="2487"/>
      <c r="N318" s="2487"/>
      <c r="O318" s="2487"/>
      <c r="P318" s="2487"/>
      <c r="Q318" s="2487"/>
      <c r="R318" s="2487"/>
      <c r="S318" s="2487"/>
      <c r="T318" s="2487"/>
      <c r="U318" s="2487"/>
      <c r="V318" s="2487"/>
      <c r="W318" s="2487"/>
      <c r="X318" s="2487"/>
      <c r="Y318" s="2487"/>
      <c r="Z318" s="2487"/>
      <c r="AA318" s="2487"/>
      <c r="AB318" s="2487"/>
      <c r="AC318" s="2487"/>
      <c r="AD318" s="2487"/>
      <c r="AE318" s="2487"/>
      <c r="AF318" s="2487"/>
      <c r="AG318" s="2487"/>
      <c r="AH318" s="2487"/>
      <c r="AI318" s="2487"/>
      <c r="AJ318" s="2487"/>
      <c r="AK318" s="2487"/>
      <c r="AL318" s="2487"/>
      <c r="AM318" s="2487"/>
    </row>
    <row r="319" spans="1:39" ht="15.75" customHeight="1" x14ac:dyDescent="0.25">
      <c r="A319" s="2487"/>
      <c r="B319" s="2487"/>
      <c r="C319" s="2487"/>
      <c r="D319" s="2487"/>
      <c r="E319" s="2487"/>
      <c r="F319" s="2487"/>
      <c r="G319" s="2487"/>
      <c r="H319" s="2487"/>
      <c r="I319" s="2487"/>
      <c r="J319" s="2487"/>
      <c r="K319" s="2487"/>
      <c r="L319" s="2487"/>
      <c r="M319" s="2487"/>
      <c r="N319" s="2487"/>
      <c r="O319" s="2487"/>
      <c r="P319" s="2487"/>
      <c r="Q319" s="2487"/>
      <c r="R319" s="2487"/>
      <c r="S319" s="2487"/>
      <c r="T319" s="2487"/>
      <c r="U319" s="2487"/>
      <c r="V319" s="2487"/>
      <c r="W319" s="2487"/>
      <c r="X319" s="2487"/>
      <c r="Y319" s="2487"/>
      <c r="Z319" s="2487"/>
      <c r="AA319" s="2487"/>
      <c r="AB319" s="2487"/>
      <c r="AC319" s="2487"/>
      <c r="AD319" s="2487"/>
      <c r="AE319" s="2487"/>
      <c r="AF319" s="2487"/>
      <c r="AG319" s="2487"/>
      <c r="AH319" s="2487"/>
      <c r="AI319" s="2487"/>
      <c r="AJ319" s="2487"/>
      <c r="AK319" s="2487"/>
      <c r="AL319" s="2487"/>
      <c r="AM319" s="2487"/>
    </row>
    <row r="320" spans="1:39" ht="15.75" customHeight="1" x14ac:dyDescent="0.25">
      <c r="A320" s="2487"/>
      <c r="B320" s="2487"/>
      <c r="C320" s="2487"/>
      <c r="D320" s="2487"/>
      <c r="E320" s="2487"/>
      <c r="F320" s="2487"/>
      <c r="G320" s="2487"/>
      <c r="H320" s="2487"/>
      <c r="I320" s="2487"/>
      <c r="J320" s="2487"/>
      <c r="K320" s="2487"/>
      <c r="L320" s="2487"/>
      <c r="M320" s="2487"/>
      <c r="N320" s="2487"/>
      <c r="O320" s="2487"/>
      <c r="P320" s="2487"/>
      <c r="Q320" s="2487"/>
      <c r="R320" s="2487"/>
      <c r="S320" s="2487"/>
      <c r="T320" s="2487"/>
      <c r="U320" s="2487"/>
      <c r="V320" s="2487"/>
      <c r="W320" s="2487"/>
      <c r="X320" s="2487"/>
      <c r="Y320" s="2487"/>
      <c r="Z320" s="2487"/>
      <c r="AA320" s="2487"/>
      <c r="AB320" s="2487"/>
      <c r="AC320" s="2487"/>
      <c r="AD320" s="2487"/>
      <c r="AE320" s="2487"/>
      <c r="AF320" s="2487"/>
      <c r="AG320" s="2487"/>
      <c r="AH320" s="2487"/>
      <c r="AI320" s="2487"/>
      <c r="AJ320" s="2487"/>
      <c r="AK320" s="2487"/>
      <c r="AL320" s="2487"/>
      <c r="AM320" s="2487"/>
    </row>
    <row r="321" spans="1:39" ht="15.75" customHeight="1" x14ac:dyDescent="0.25">
      <c r="A321" s="2487"/>
      <c r="B321" s="2487"/>
      <c r="C321" s="2487"/>
      <c r="D321" s="2487"/>
      <c r="E321" s="2487"/>
      <c r="F321" s="2487"/>
      <c r="G321" s="2487"/>
      <c r="H321" s="2487"/>
      <c r="I321" s="2487"/>
      <c r="J321" s="2487"/>
      <c r="K321" s="2487"/>
      <c r="L321" s="2487"/>
      <c r="M321" s="2487"/>
      <c r="N321" s="2487"/>
      <c r="O321" s="2487"/>
      <c r="P321" s="2487"/>
      <c r="Q321" s="2487"/>
      <c r="R321" s="2487"/>
      <c r="S321" s="2487"/>
      <c r="T321" s="2487"/>
      <c r="U321" s="2487"/>
      <c r="V321" s="2487"/>
      <c r="W321" s="2487"/>
      <c r="X321" s="2487"/>
      <c r="Y321" s="2487"/>
      <c r="Z321" s="2487"/>
      <c r="AA321" s="2487"/>
      <c r="AB321" s="2487"/>
      <c r="AC321" s="2487"/>
      <c r="AD321" s="2487"/>
      <c r="AE321" s="2487"/>
      <c r="AF321" s="2487"/>
      <c r="AG321" s="2487"/>
      <c r="AH321" s="2487"/>
      <c r="AI321" s="2487"/>
      <c r="AJ321" s="2487"/>
      <c r="AK321" s="2487"/>
      <c r="AL321" s="2487"/>
      <c r="AM321" s="2487"/>
    </row>
    <row r="322" spans="1:39" ht="15.75" customHeight="1" x14ac:dyDescent="0.25">
      <c r="A322" s="2487"/>
      <c r="B322" s="2487"/>
      <c r="C322" s="2487"/>
      <c r="D322" s="2487"/>
      <c r="E322" s="2487"/>
      <c r="F322" s="2487"/>
      <c r="G322" s="2487"/>
      <c r="H322" s="2487"/>
      <c r="I322" s="2487"/>
      <c r="J322" s="2487"/>
      <c r="K322" s="2487"/>
      <c r="L322" s="2487"/>
      <c r="M322" s="2487"/>
      <c r="N322" s="2487"/>
      <c r="O322" s="2487"/>
      <c r="P322" s="2487"/>
      <c r="Q322" s="2487"/>
      <c r="R322" s="2487"/>
      <c r="S322" s="2487"/>
      <c r="T322" s="2487"/>
      <c r="U322" s="2487"/>
      <c r="V322" s="2487"/>
      <c r="W322" s="2487"/>
      <c r="X322" s="2487"/>
      <c r="Y322" s="2487"/>
      <c r="Z322" s="2487"/>
      <c r="AA322" s="2487"/>
      <c r="AB322" s="2487"/>
      <c r="AC322" s="2487"/>
      <c r="AD322" s="2487"/>
      <c r="AE322" s="2487"/>
      <c r="AF322" s="2487"/>
      <c r="AG322" s="2487"/>
      <c r="AH322" s="2487"/>
      <c r="AI322" s="2487"/>
      <c r="AJ322" s="2487"/>
      <c r="AK322" s="2487"/>
      <c r="AL322" s="2487"/>
      <c r="AM322" s="2487"/>
    </row>
    <row r="323" spans="1:39" ht="15.75" customHeight="1" x14ac:dyDescent="0.25">
      <c r="A323" s="2487"/>
      <c r="B323" s="2487"/>
      <c r="C323" s="2487"/>
      <c r="D323" s="2487"/>
      <c r="E323" s="2487"/>
      <c r="F323" s="2487"/>
      <c r="G323" s="2487"/>
      <c r="H323" s="2487"/>
      <c r="I323" s="2487"/>
      <c r="J323" s="2487"/>
      <c r="K323" s="2487"/>
      <c r="L323" s="2487"/>
      <c r="M323" s="2487"/>
      <c r="N323" s="2487"/>
      <c r="O323" s="2487"/>
      <c r="P323" s="2487"/>
      <c r="Q323" s="2487"/>
      <c r="R323" s="2487"/>
      <c r="S323" s="2487"/>
      <c r="T323" s="2487"/>
      <c r="U323" s="2487"/>
      <c r="V323" s="2487"/>
      <c r="W323" s="2487"/>
      <c r="X323" s="2487"/>
      <c r="Y323" s="2487"/>
      <c r="Z323" s="2487"/>
      <c r="AA323" s="2487"/>
      <c r="AB323" s="2487"/>
      <c r="AC323" s="2487"/>
      <c r="AD323" s="2487"/>
      <c r="AE323" s="2487"/>
      <c r="AF323" s="2487"/>
      <c r="AG323" s="2487"/>
      <c r="AH323" s="2487"/>
      <c r="AI323" s="2487"/>
      <c r="AJ323" s="2487"/>
      <c r="AK323" s="2487"/>
      <c r="AL323" s="2487"/>
      <c r="AM323" s="2487"/>
    </row>
    <row r="324" spans="1:39" ht="15.75" customHeight="1" x14ac:dyDescent="0.25">
      <c r="A324" s="2487"/>
      <c r="B324" s="2487"/>
      <c r="C324" s="2487"/>
      <c r="D324" s="2487"/>
      <c r="E324" s="2487"/>
      <c r="F324" s="2487"/>
      <c r="G324" s="2487"/>
      <c r="H324" s="2487"/>
      <c r="I324" s="2487"/>
      <c r="J324" s="2487"/>
      <c r="K324" s="2487"/>
      <c r="L324" s="2487"/>
      <c r="M324" s="2487"/>
      <c r="N324" s="2487"/>
      <c r="O324" s="2487"/>
      <c r="P324" s="2487"/>
      <c r="Q324" s="2487"/>
      <c r="R324" s="2487"/>
      <c r="S324" s="2487"/>
      <c r="T324" s="2487"/>
      <c r="U324" s="2487"/>
      <c r="V324" s="2487"/>
      <c r="W324" s="2487"/>
      <c r="X324" s="2487"/>
      <c r="Y324" s="2487"/>
      <c r="Z324" s="2487"/>
      <c r="AA324" s="2487"/>
      <c r="AB324" s="2487"/>
      <c r="AC324" s="2487"/>
      <c r="AD324" s="2487"/>
      <c r="AE324" s="2487"/>
      <c r="AF324" s="2487"/>
      <c r="AG324" s="2487"/>
      <c r="AH324" s="2487"/>
      <c r="AI324" s="2487"/>
      <c r="AJ324" s="2487"/>
      <c r="AK324" s="2487"/>
      <c r="AL324" s="2487"/>
      <c r="AM324" s="2487"/>
    </row>
    <row r="325" spans="1:39" ht="15.75" customHeight="1" x14ac:dyDescent="0.25">
      <c r="A325" s="2487"/>
      <c r="B325" s="2487"/>
      <c r="C325" s="2487"/>
      <c r="D325" s="2487"/>
      <c r="E325" s="2487"/>
      <c r="F325" s="2487"/>
      <c r="G325" s="2487"/>
      <c r="H325" s="2487"/>
      <c r="I325" s="2487"/>
      <c r="J325" s="2487"/>
      <c r="K325" s="2487"/>
      <c r="L325" s="2487"/>
      <c r="M325" s="2487"/>
      <c r="N325" s="2487"/>
      <c r="O325" s="2487"/>
      <c r="P325" s="2487"/>
      <c r="Q325" s="2487"/>
      <c r="R325" s="2487"/>
      <c r="S325" s="2487"/>
      <c r="T325" s="2487"/>
      <c r="U325" s="2487"/>
      <c r="V325" s="2487"/>
      <c r="W325" s="2487"/>
      <c r="X325" s="2487"/>
      <c r="Y325" s="2487"/>
      <c r="Z325" s="2487"/>
      <c r="AA325" s="2487"/>
      <c r="AB325" s="2487"/>
      <c r="AC325" s="2487"/>
      <c r="AD325" s="2487"/>
      <c r="AE325" s="2487"/>
      <c r="AF325" s="2487"/>
      <c r="AG325" s="2487"/>
      <c r="AH325" s="2487"/>
      <c r="AI325" s="2487"/>
      <c r="AJ325" s="2487"/>
      <c r="AK325" s="2487"/>
      <c r="AL325" s="2487"/>
      <c r="AM325" s="2487"/>
    </row>
    <row r="326" spans="1:39" ht="15.75" customHeight="1" x14ac:dyDescent="0.25">
      <c r="A326" s="2487"/>
      <c r="B326" s="2487"/>
      <c r="C326" s="2487"/>
      <c r="D326" s="2487"/>
      <c r="E326" s="2487"/>
      <c r="F326" s="2487"/>
      <c r="G326" s="2487"/>
      <c r="H326" s="2487"/>
      <c r="I326" s="2487"/>
      <c r="J326" s="2487"/>
      <c r="K326" s="2487"/>
      <c r="L326" s="2487"/>
      <c r="M326" s="2487"/>
      <c r="N326" s="2487"/>
      <c r="O326" s="2487"/>
      <c r="P326" s="2487"/>
      <c r="Q326" s="2487"/>
      <c r="R326" s="2487"/>
      <c r="S326" s="2487"/>
      <c r="T326" s="2487"/>
      <c r="U326" s="2487"/>
      <c r="V326" s="2487"/>
      <c r="W326" s="2487"/>
      <c r="X326" s="2487"/>
      <c r="Y326" s="2487"/>
      <c r="Z326" s="2487"/>
      <c r="AA326" s="2487"/>
      <c r="AB326" s="2487"/>
      <c r="AC326" s="2487"/>
      <c r="AD326" s="2487"/>
      <c r="AE326" s="2487"/>
      <c r="AF326" s="2487"/>
      <c r="AG326" s="2487"/>
      <c r="AH326" s="2487"/>
      <c r="AI326" s="2487"/>
      <c r="AJ326" s="2487"/>
      <c r="AK326" s="2487"/>
      <c r="AL326" s="2487"/>
      <c r="AM326" s="2487"/>
    </row>
    <row r="327" spans="1:39" ht="15.75" customHeight="1" x14ac:dyDescent="0.25">
      <c r="A327" s="2487"/>
      <c r="B327" s="2487"/>
      <c r="C327" s="2487"/>
      <c r="D327" s="2487"/>
      <c r="E327" s="2487"/>
      <c r="F327" s="2487"/>
      <c r="G327" s="2487"/>
      <c r="H327" s="2487"/>
      <c r="I327" s="2487"/>
      <c r="J327" s="2487"/>
      <c r="K327" s="2487"/>
      <c r="L327" s="2487"/>
      <c r="M327" s="2487"/>
      <c r="N327" s="2487"/>
      <c r="O327" s="2487"/>
      <c r="P327" s="2487"/>
      <c r="Q327" s="2487"/>
      <c r="R327" s="2487"/>
      <c r="S327" s="2487"/>
      <c r="T327" s="2487"/>
      <c r="U327" s="2487"/>
      <c r="V327" s="2487"/>
      <c r="W327" s="2487"/>
      <c r="X327" s="2487"/>
      <c r="Y327" s="2487"/>
      <c r="Z327" s="2487"/>
      <c r="AA327" s="2487"/>
      <c r="AB327" s="2487"/>
      <c r="AC327" s="2487"/>
      <c r="AD327" s="2487"/>
      <c r="AE327" s="2487"/>
      <c r="AF327" s="2487"/>
      <c r="AG327" s="2487"/>
      <c r="AH327" s="2487"/>
      <c r="AI327" s="2487"/>
      <c r="AJ327" s="2487"/>
      <c r="AK327" s="2487"/>
      <c r="AL327" s="2487"/>
      <c r="AM327" s="2487"/>
    </row>
    <row r="328" spans="1:39" ht="15.75" customHeight="1" x14ac:dyDescent="0.25">
      <c r="A328" s="2487"/>
      <c r="B328" s="2487"/>
      <c r="C328" s="2487"/>
      <c r="D328" s="2487"/>
      <c r="E328" s="2487"/>
      <c r="F328" s="2487"/>
      <c r="G328" s="2487"/>
      <c r="H328" s="2487"/>
      <c r="I328" s="2487"/>
      <c r="J328" s="2487"/>
      <c r="K328" s="2487"/>
      <c r="L328" s="2487"/>
      <c r="M328" s="2487"/>
      <c r="N328" s="2487"/>
      <c r="O328" s="2487"/>
      <c r="P328" s="2487"/>
      <c r="Q328" s="2487"/>
      <c r="R328" s="2487"/>
      <c r="S328" s="2487"/>
      <c r="T328" s="2487"/>
      <c r="U328" s="2487"/>
      <c r="V328" s="2487"/>
      <c r="W328" s="2487"/>
      <c r="X328" s="2487"/>
      <c r="Y328" s="2487"/>
      <c r="Z328" s="2487"/>
      <c r="AA328" s="2487"/>
      <c r="AB328" s="2487"/>
      <c r="AC328" s="2487"/>
      <c r="AD328" s="2487"/>
      <c r="AE328" s="2487"/>
      <c r="AF328" s="2487"/>
      <c r="AG328" s="2487"/>
      <c r="AH328" s="2487"/>
      <c r="AI328" s="2487"/>
      <c r="AJ328" s="2487"/>
      <c r="AK328" s="2487"/>
      <c r="AL328" s="2487"/>
      <c r="AM328" s="2487"/>
    </row>
    <row r="329" spans="1:39" ht="15.75" customHeight="1" x14ac:dyDescent="0.25">
      <c r="A329" s="2487"/>
      <c r="B329" s="2487"/>
      <c r="C329" s="2487"/>
      <c r="D329" s="2487"/>
      <c r="E329" s="2487"/>
      <c r="F329" s="2487"/>
      <c r="G329" s="2487"/>
      <c r="H329" s="2487"/>
      <c r="I329" s="2487"/>
      <c r="J329" s="2487"/>
      <c r="K329" s="2487"/>
      <c r="L329" s="2487"/>
      <c r="M329" s="2487"/>
      <c r="N329" s="2487"/>
      <c r="O329" s="2487"/>
      <c r="P329" s="2487"/>
      <c r="Q329" s="2487"/>
      <c r="R329" s="2487"/>
      <c r="S329" s="2487"/>
      <c r="T329" s="2487"/>
      <c r="U329" s="2487"/>
      <c r="V329" s="2487"/>
      <c r="W329" s="2487"/>
      <c r="X329" s="2487"/>
      <c r="Y329" s="2487"/>
      <c r="Z329" s="2487"/>
      <c r="AA329" s="2487"/>
      <c r="AB329" s="2487"/>
      <c r="AC329" s="2487"/>
      <c r="AD329" s="2487"/>
      <c r="AE329" s="2487"/>
      <c r="AF329" s="2487"/>
      <c r="AG329" s="2487"/>
      <c r="AH329" s="2487"/>
      <c r="AI329" s="2487"/>
      <c r="AJ329" s="2487"/>
      <c r="AK329" s="2487"/>
      <c r="AL329" s="2487"/>
      <c r="AM329" s="2487"/>
    </row>
    <row r="330" spans="1:39" ht="15.75" customHeight="1" x14ac:dyDescent="0.25">
      <c r="A330" s="2487"/>
      <c r="B330" s="2487"/>
      <c r="C330" s="2487"/>
      <c r="D330" s="2487"/>
      <c r="E330" s="2487"/>
      <c r="F330" s="2487"/>
      <c r="G330" s="2487"/>
      <c r="H330" s="2487"/>
      <c r="I330" s="2487"/>
      <c r="J330" s="2487"/>
      <c r="K330" s="2487"/>
      <c r="L330" s="2487"/>
      <c r="M330" s="2487"/>
      <c r="N330" s="2487"/>
      <c r="O330" s="2487"/>
      <c r="P330" s="2487"/>
      <c r="Q330" s="2487"/>
      <c r="R330" s="2487"/>
      <c r="S330" s="2487"/>
      <c r="T330" s="2487"/>
      <c r="U330" s="2487"/>
      <c r="V330" s="2487"/>
      <c r="W330" s="2487"/>
      <c r="X330" s="2487"/>
      <c r="Y330" s="2487"/>
      <c r="Z330" s="2487"/>
      <c r="AA330" s="2487"/>
      <c r="AB330" s="2487"/>
      <c r="AC330" s="2487"/>
      <c r="AD330" s="2487"/>
      <c r="AE330" s="2487"/>
      <c r="AF330" s="2487"/>
      <c r="AG330" s="2487"/>
      <c r="AH330" s="2487"/>
      <c r="AI330" s="2487"/>
      <c r="AJ330" s="2487"/>
      <c r="AK330" s="2487"/>
      <c r="AL330" s="2487"/>
      <c r="AM330" s="2487"/>
    </row>
    <row r="331" spans="1:39" ht="15.75" customHeight="1" x14ac:dyDescent="0.25">
      <c r="A331" s="2487"/>
      <c r="B331" s="2487"/>
      <c r="C331" s="2487"/>
      <c r="D331" s="2487"/>
      <c r="E331" s="2487"/>
      <c r="F331" s="2487"/>
      <c r="G331" s="2487"/>
      <c r="H331" s="2487"/>
      <c r="I331" s="2487"/>
      <c r="J331" s="2487"/>
      <c r="K331" s="2487"/>
      <c r="L331" s="2487"/>
      <c r="M331" s="2487"/>
      <c r="N331" s="2487"/>
      <c r="O331" s="2487"/>
      <c r="P331" s="2487"/>
      <c r="Q331" s="2487"/>
      <c r="R331" s="2487"/>
      <c r="S331" s="2487"/>
      <c r="T331" s="2487"/>
      <c r="U331" s="2487"/>
      <c r="V331" s="2487"/>
      <c r="W331" s="2487"/>
      <c r="X331" s="2487"/>
      <c r="Y331" s="2487"/>
      <c r="Z331" s="2487"/>
      <c r="AA331" s="2487"/>
      <c r="AB331" s="2487"/>
      <c r="AC331" s="2487"/>
      <c r="AD331" s="2487"/>
      <c r="AE331" s="2487"/>
      <c r="AF331" s="2487"/>
      <c r="AG331" s="2487"/>
      <c r="AH331" s="2487"/>
      <c r="AI331" s="2487"/>
      <c r="AJ331" s="2487"/>
      <c r="AK331" s="2487"/>
      <c r="AL331" s="2487"/>
      <c r="AM331" s="2487"/>
    </row>
    <row r="332" spans="1:39" ht="15.75" customHeight="1" x14ac:dyDescent="0.25">
      <c r="A332" s="2487"/>
      <c r="B332" s="2487"/>
      <c r="C332" s="2487"/>
      <c r="D332" s="2487"/>
      <c r="E332" s="2487"/>
      <c r="F332" s="2487"/>
      <c r="G332" s="2487"/>
      <c r="H332" s="2487"/>
      <c r="I332" s="2487"/>
      <c r="J332" s="2487"/>
      <c r="K332" s="2487"/>
      <c r="L332" s="2487"/>
      <c r="M332" s="2487"/>
      <c r="N332" s="2487"/>
      <c r="O332" s="2487"/>
      <c r="P332" s="2487"/>
      <c r="Q332" s="2487"/>
      <c r="R332" s="2487"/>
      <c r="S332" s="2487"/>
      <c r="T332" s="2487"/>
      <c r="U332" s="2487"/>
      <c r="V332" s="2487"/>
      <c r="W332" s="2487"/>
      <c r="X332" s="2487"/>
      <c r="Y332" s="2487"/>
      <c r="Z332" s="2487"/>
      <c r="AA332" s="2487"/>
      <c r="AB332" s="2487"/>
      <c r="AC332" s="2487"/>
      <c r="AD332" s="2487"/>
      <c r="AE332" s="2487"/>
      <c r="AF332" s="2487"/>
      <c r="AG332" s="2487"/>
      <c r="AH332" s="2487"/>
      <c r="AI332" s="2487"/>
      <c r="AJ332" s="2487"/>
      <c r="AK332" s="2487"/>
      <c r="AL332" s="2487"/>
      <c r="AM332" s="2487"/>
    </row>
    <row r="333" spans="1:39" ht="15.75" customHeight="1" x14ac:dyDescent="0.25">
      <c r="A333" s="2487"/>
      <c r="B333" s="2487"/>
      <c r="C333" s="2487"/>
      <c r="D333" s="2487"/>
      <c r="E333" s="2487"/>
      <c r="F333" s="2487"/>
      <c r="G333" s="2487"/>
      <c r="H333" s="2487"/>
      <c r="I333" s="2487"/>
      <c r="J333" s="2487"/>
      <c r="K333" s="2487"/>
      <c r="L333" s="2487"/>
      <c r="M333" s="2487"/>
      <c r="N333" s="2487"/>
      <c r="O333" s="2487"/>
      <c r="P333" s="2487"/>
      <c r="Q333" s="2487"/>
      <c r="R333" s="2487"/>
      <c r="S333" s="2487"/>
      <c r="T333" s="2487"/>
      <c r="U333" s="2487"/>
      <c r="V333" s="2487"/>
      <c r="W333" s="2487"/>
      <c r="X333" s="2487"/>
      <c r="Y333" s="2487"/>
      <c r="Z333" s="2487"/>
      <c r="AA333" s="2487"/>
      <c r="AB333" s="2487"/>
      <c r="AC333" s="2487"/>
      <c r="AD333" s="2487"/>
      <c r="AE333" s="2487"/>
      <c r="AF333" s="2487"/>
      <c r="AG333" s="2487"/>
      <c r="AH333" s="2487"/>
      <c r="AI333" s="2487"/>
      <c r="AJ333" s="2487"/>
      <c r="AK333" s="2487"/>
      <c r="AL333" s="2487"/>
      <c r="AM333" s="2487"/>
    </row>
    <row r="334" spans="1:39" ht="15.75" customHeight="1" x14ac:dyDescent="0.25">
      <c r="A334" s="2487"/>
      <c r="B334" s="2487"/>
      <c r="C334" s="2487"/>
      <c r="D334" s="2487"/>
      <c r="E334" s="2487"/>
      <c r="F334" s="2487"/>
      <c r="G334" s="2487"/>
      <c r="H334" s="2487"/>
      <c r="I334" s="2487"/>
      <c r="J334" s="2487"/>
      <c r="K334" s="2487"/>
      <c r="L334" s="2487"/>
      <c r="M334" s="2487"/>
      <c r="N334" s="2487"/>
      <c r="O334" s="2487"/>
      <c r="P334" s="2487"/>
      <c r="Q334" s="2487"/>
      <c r="R334" s="2487"/>
      <c r="S334" s="2487"/>
      <c r="T334" s="2487"/>
      <c r="U334" s="2487"/>
      <c r="V334" s="2487"/>
      <c r="W334" s="2487"/>
      <c r="X334" s="2487"/>
      <c r="Y334" s="2487"/>
      <c r="Z334" s="2487"/>
      <c r="AA334" s="2487"/>
      <c r="AB334" s="2487"/>
      <c r="AC334" s="2487"/>
      <c r="AD334" s="2487"/>
      <c r="AE334" s="2487"/>
      <c r="AF334" s="2487"/>
      <c r="AG334" s="2487"/>
      <c r="AH334" s="2487"/>
      <c r="AI334" s="2487"/>
      <c r="AJ334" s="2487"/>
      <c r="AK334" s="2487"/>
      <c r="AL334" s="2487"/>
      <c r="AM334" s="2487"/>
    </row>
    <row r="335" spans="1:39" ht="15.75" customHeight="1" x14ac:dyDescent="0.25">
      <c r="A335" s="2487"/>
      <c r="B335" s="2487"/>
      <c r="C335" s="2487"/>
      <c r="D335" s="2487"/>
      <c r="E335" s="2487"/>
      <c r="F335" s="2487"/>
      <c r="G335" s="2487"/>
      <c r="H335" s="2487"/>
      <c r="I335" s="2487"/>
      <c r="J335" s="2487"/>
      <c r="K335" s="2487"/>
      <c r="L335" s="2487"/>
      <c r="M335" s="2487"/>
      <c r="N335" s="2487"/>
      <c r="O335" s="2487"/>
      <c r="P335" s="2487"/>
      <c r="Q335" s="2487"/>
      <c r="R335" s="2487"/>
      <c r="S335" s="2487"/>
      <c r="T335" s="2487"/>
      <c r="U335" s="2487"/>
      <c r="V335" s="2487"/>
      <c r="W335" s="2487"/>
      <c r="X335" s="2487"/>
      <c r="Y335" s="2487"/>
      <c r="Z335" s="2487"/>
      <c r="AA335" s="2487"/>
      <c r="AB335" s="2487"/>
      <c r="AC335" s="2487"/>
      <c r="AD335" s="2487"/>
      <c r="AE335" s="2487"/>
      <c r="AF335" s="2487"/>
      <c r="AG335" s="2487"/>
      <c r="AH335" s="2487"/>
      <c r="AI335" s="2487"/>
      <c r="AJ335" s="2487"/>
      <c r="AK335" s="2487"/>
      <c r="AL335" s="2487"/>
      <c r="AM335" s="2487"/>
    </row>
    <row r="336" spans="1:39" ht="15.75" customHeight="1" x14ac:dyDescent="0.25">
      <c r="A336" s="2487"/>
      <c r="B336" s="2487"/>
      <c r="C336" s="2487"/>
      <c r="D336" s="2487"/>
      <c r="E336" s="2487"/>
      <c r="F336" s="2487"/>
      <c r="G336" s="2487"/>
      <c r="H336" s="2487"/>
      <c r="I336" s="2487"/>
      <c r="J336" s="2487"/>
      <c r="K336" s="2487"/>
      <c r="L336" s="2487"/>
      <c r="M336" s="2487"/>
      <c r="N336" s="2487"/>
      <c r="O336" s="2487"/>
      <c r="P336" s="2487"/>
      <c r="Q336" s="2487"/>
      <c r="R336" s="2487"/>
      <c r="S336" s="2487"/>
      <c r="T336" s="2487"/>
      <c r="U336" s="2487"/>
      <c r="V336" s="2487"/>
      <c r="W336" s="2487"/>
      <c r="X336" s="2487"/>
      <c r="Y336" s="2487"/>
      <c r="Z336" s="2487"/>
      <c r="AA336" s="2487"/>
      <c r="AB336" s="2487"/>
      <c r="AC336" s="2487"/>
      <c r="AD336" s="2487"/>
      <c r="AE336" s="2487"/>
      <c r="AF336" s="2487"/>
      <c r="AG336" s="2487"/>
      <c r="AH336" s="2487"/>
      <c r="AI336" s="2487"/>
      <c r="AJ336" s="2487"/>
      <c r="AK336" s="2487"/>
      <c r="AL336" s="2487"/>
      <c r="AM336" s="2487"/>
    </row>
    <row r="337" spans="1:39" ht="15.75" customHeight="1" x14ac:dyDescent="0.25">
      <c r="A337" s="2487"/>
      <c r="B337" s="2487"/>
      <c r="C337" s="2487"/>
      <c r="D337" s="2487"/>
      <c r="E337" s="2487"/>
      <c r="F337" s="2487"/>
      <c r="G337" s="2487"/>
      <c r="H337" s="2487"/>
      <c r="I337" s="2487"/>
      <c r="J337" s="2487"/>
      <c r="K337" s="2487"/>
      <c r="L337" s="2487"/>
      <c r="M337" s="2487"/>
      <c r="N337" s="2487"/>
      <c r="O337" s="2487"/>
      <c r="P337" s="2487"/>
      <c r="Q337" s="2487"/>
      <c r="R337" s="2487"/>
      <c r="S337" s="2487"/>
      <c r="T337" s="2487"/>
      <c r="U337" s="2487"/>
      <c r="V337" s="2487"/>
      <c r="W337" s="2487"/>
      <c r="X337" s="2487"/>
      <c r="Y337" s="2487"/>
      <c r="Z337" s="2487"/>
      <c r="AA337" s="2487"/>
      <c r="AB337" s="2487"/>
      <c r="AC337" s="2487"/>
      <c r="AD337" s="2487"/>
      <c r="AE337" s="2487"/>
      <c r="AF337" s="2487"/>
      <c r="AG337" s="2487"/>
      <c r="AH337" s="2487"/>
      <c r="AI337" s="2487"/>
      <c r="AJ337" s="2487"/>
      <c r="AK337" s="2487"/>
      <c r="AL337" s="2487"/>
      <c r="AM337" s="2487"/>
    </row>
    <row r="338" spans="1:39" ht="15.75" customHeight="1" x14ac:dyDescent="0.25">
      <c r="A338" s="2487"/>
      <c r="B338" s="2487"/>
      <c r="C338" s="2487"/>
      <c r="D338" s="2487"/>
      <c r="E338" s="2487"/>
      <c r="F338" s="2487"/>
      <c r="G338" s="2487"/>
      <c r="H338" s="2487"/>
      <c r="I338" s="2487"/>
      <c r="J338" s="2487"/>
      <c r="K338" s="2487"/>
      <c r="L338" s="2487"/>
      <c r="M338" s="2487"/>
      <c r="N338" s="2487"/>
      <c r="O338" s="2487"/>
      <c r="P338" s="2487"/>
      <c r="Q338" s="2487"/>
      <c r="R338" s="2487"/>
      <c r="S338" s="2487"/>
      <c r="T338" s="2487"/>
      <c r="U338" s="2487"/>
      <c r="V338" s="2487"/>
      <c r="W338" s="2487"/>
      <c r="X338" s="2487"/>
      <c r="Y338" s="2487"/>
      <c r="Z338" s="2487"/>
      <c r="AA338" s="2487"/>
      <c r="AB338" s="2487"/>
      <c r="AC338" s="2487"/>
      <c r="AD338" s="2487"/>
      <c r="AE338" s="2487"/>
      <c r="AF338" s="2487"/>
      <c r="AG338" s="2487"/>
      <c r="AH338" s="2487"/>
      <c r="AI338" s="2487"/>
      <c r="AJ338" s="2487"/>
      <c r="AK338" s="2487"/>
      <c r="AL338" s="2487"/>
      <c r="AM338" s="2487"/>
    </row>
    <row r="339" spans="1:39" ht="15.75" customHeight="1" x14ac:dyDescent="0.25">
      <c r="A339" s="2487"/>
      <c r="B339" s="2487"/>
      <c r="C339" s="2487"/>
      <c r="D339" s="2487"/>
      <c r="E339" s="2487"/>
      <c r="F339" s="2487"/>
      <c r="G339" s="2487"/>
      <c r="H339" s="2487"/>
      <c r="I339" s="2487"/>
      <c r="J339" s="2487"/>
      <c r="K339" s="2487"/>
      <c r="L339" s="2487"/>
      <c r="M339" s="2487"/>
      <c r="N339" s="2487"/>
      <c r="O339" s="2487"/>
      <c r="P339" s="2487"/>
      <c r="Q339" s="2487"/>
      <c r="R339" s="2487"/>
      <c r="S339" s="2487"/>
      <c r="T339" s="2487"/>
      <c r="U339" s="2487"/>
      <c r="V339" s="2487"/>
      <c r="W339" s="2487"/>
      <c r="X339" s="2487"/>
      <c r="Y339" s="2487"/>
      <c r="Z339" s="2487"/>
      <c r="AA339" s="2487"/>
      <c r="AB339" s="2487"/>
      <c r="AC339" s="2487"/>
      <c r="AD339" s="2487"/>
      <c r="AE339" s="2487"/>
      <c r="AF339" s="2487"/>
      <c r="AG339" s="2487"/>
      <c r="AH339" s="2487"/>
      <c r="AI339" s="2487"/>
      <c r="AJ339" s="2487"/>
      <c r="AK339" s="2487"/>
      <c r="AL339" s="2487"/>
      <c r="AM339" s="2487"/>
    </row>
    <row r="340" spans="1:39" ht="15.75" customHeight="1" x14ac:dyDescent="0.25">
      <c r="A340" s="2487"/>
      <c r="B340" s="2487"/>
      <c r="C340" s="2487"/>
      <c r="D340" s="2487"/>
      <c r="E340" s="2487"/>
      <c r="F340" s="2487"/>
      <c r="G340" s="2487"/>
      <c r="H340" s="2487"/>
      <c r="I340" s="2487"/>
      <c r="J340" s="2487"/>
      <c r="K340" s="2487"/>
      <c r="L340" s="2487"/>
      <c r="M340" s="2487"/>
      <c r="N340" s="2487"/>
      <c r="O340" s="2487"/>
      <c r="P340" s="2487"/>
      <c r="Q340" s="2487"/>
      <c r="R340" s="2487"/>
      <c r="S340" s="2487"/>
      <c r="T340" s="2487"/>
      <c r="U340" s="2487"/>
      <c r="V340" s="2487"/>
      <c r="W340" s="2487"/>
      <c r="X340" s="2487"/>
      <c r="Y340" s="2487"/>
      <c r="Z340" s="2487"/>
      <c r="AA340" s="2487"/>
      <c r="AB340" s="2487"/>
      <c r="AC340" s="2487"/>
      <c r="AD340" s="2487"/>
      <c r="AE340" s="2487"/>
      <c r="AF340" s="2487"/>
      <c r="AG340" s="2487"/>
      <c r="AH340" s="2487"/>
      <c r="AI340" s="2487"/>
      <c r="AJ340" s="2487"/>
      <c r="AK340" s="2487"/>
      <c r="AL340" s="2487"/>
      <c r="AM340" s="2487"/>
    </row>
    <row r="341" spans="1:39" ht="15.75" customHeight="1" x14ac:dyDescent="0.25">
      <c r="A341" s="2487"/>
      <c r="B341" s="2487"/>
      <c r="C341" s="2487"/>
      <c r="D341" s="2487"/>
      <c r="E341" s="2487"/>
      <c r="F341" s="2487"/>
      <c r="G341" s="2487"/>
      <c r="H341" s="2487"/>
      <c r="I341" s="2487"/>
      <c r="J341" s="2487"/>
      <c r="K341" s="2487"/>
      <c r="L341" s="2487"/>
      <c r="M341" s="2487"/>
      <c r="N341" s="2487"/>
      <c r="O341" s="2487"/>
      <c r="P341" s="2487"/>
      <c r="Q341" s="2487"/>
      <c r="R341" s="2487"/>
      <c r="S341" s="2487"/>
      <c r="T341" s="2487"/>
      <c r="U341" s="2487"/>
      <c r="V341" s="2487"/>
      <c r="W341" s="2487"/>
      <c r="X341" s="2487"/>
      <c r="Y341" s="2487"/>
      <c r="Z341" s="2487"/>
      <c r="AA341" s="2487"/>
      <c r="AB341" s="2487"/>
      <c r="AC341" s="2487"/>
      <c r="AD341" s="2487"/>
      <c r="AE341" s="2487"/>
      <c r="AF341" s="2487"/>
      <c r="AG341" s="2487"/>
      <c r="AH341" s="2487"/>
      <c r="AI341" s="2487"/>
      <c r="AJ341" s="2487"/>
      <c r="AK341" s="2487"/>
      <c r="AL341" s="2487"/>
      <c r="AM341" s="2487"/>
    </row>
    <row r="342" spans="1:39" ht="15.75" customHeight="1" x14ac:dyDescent="0.25">
      <c r="A342" s="2487"/>
      <c r="B342" s="2487"/>
      <c r="C342" s="2487"/>
      <c r="D342" s="2487"/>
      <c r="E342" s="2487"/>
      <c r="F342" s="2487"/>
      <c r="G342" s="2487"/>
      <c r="H342" s="2487"/>
      <c r="I342" s="2487"/>
      <c r="J342" s="2487"/>
      <c r="K342" s="2487"/>
      <c r="L342" s="2487"/>
      <c r="M342" s="2487"/>
      <c r="N342" s="2487"/>
      <c r="O342" s="2487"/>
      <c r="P342" s="2487"/>
      <c r="Q342" s="2487"/>
      <c r="R342" s="2487"/>
      <c r="S342" s="2487"/>
      <c r="T342" s="2487"/>
      <c r="U342" s="2487"/>
      <c r="V342" s="2487"/>
      <c r="W342" s="2487"/>
      <c r="X342" s="2487"/>
      <c r="Y342" s="2487"/>
      <c r="Z342" s="2487"/>
      <c r="AA342" s="2487"/>
      <c r="AB342" s="2487"/>
      <c r="AC342" s="2487"/>
      <c r="AD342" s="2487"/>
      <c r="AE342" s="2487"/>
      <c r="AF342" s="2487"/>
      <c r="AG342" s="2487"/>
      <c r="AH342" s="2487"/>
      <c r="AI342" s="2487"/>
      <c r="AJ342" s="2487"/>
      <c r="AK342" s="2487"/>
      <c r="AL342" s="2487"/>
      <c r="AM342" s="2487"/>
    </row>
    <row r="343" spans="1:39" ht="15.75" customHeight="1" x14ac:dyDescent="0.25">
      <c r="A343" s="2487"/>
      <c r="B343" s="2487"/>
      <c r="C343" s="2487"/>
      <c r="D343" s="2487"/>
      <c r="E343" s="2487"/>
      <c r="F343" s="2487"/>
      <c r="G343" s="2487"/>
      <c r="H343" s="2487"/>
      <c r="I343" s="2487"/>
      <c r="J343" s="2487"/>
      <c r="K343" s="2487"/>
      <c r="L343" s="2487"/>
      <c r="M343" s="2487"/>
      <c r="N343" s="2487"/>
      <c r="O343" s="2487"/>
      <c r="P343" s="2487"/>
      <c r="Q343" s="2487"/>
      <c r="R343" s="2487"/>
      <c r="S343" s="2487"/>
      <c r="T343" s="2487"/>
      <c r="U343" s="2487"/>
      <c r="V343" s="2487"/>
      <c r="W343" s="2487"/>
      <c r="X343" s="2487"/>
      <c r="Y343" s="2487"/>
      <c r="Z343" s="2487"/>
      <c r="AA343" s="2487"/>
      <c r="AB343" s="2487"/>
      <c r="AC343" s="2487"/>
      <c r="AD343" s="2487"/>
      <c r="AE343" s="2487"/>
      <c r="AF343" s="2487"/>
      <c r="AG343" s="2487"/>
      <c r="AH343" s="2487"/>
      <c r="AI343" s="2487"/>
      <c r="AJ343" s="2487"/>
      <c r="AK343" s="2487"/>
      <c r="AL343" s="2487"/>
      <c r="AM343" s="2487"/>
    </row>
    <row r="344" spans="1:39" ht="15.75" customHeight="1" x14ac:dyDescent="0.25">
      <c r="A344" s="2487"/>
      <c r="B344" s="2487"/>
      <c r="C344" s="2487"/>
      <c r="D344" s="2487"/>
      <c r="E344" s="2487"/>
      <c r="F344" s="2487"/>
      <c r="G344" s="2487"/>
      <c r="H344" s="2487"/>
      <c r="I344" s="2487"/>
      <c r="J344" s="2487"/>
      <c r="K344" s="2487"/>
      <c r="L344" s="2487"/>
      <c r="M344" s="2487"/>
      <c r="N344" s="2487"/>
      <c r="O344" s="2487"/>
      <c r="P344" s="2487"/>
      <c r="Q344" s="2487"/>
      <c r="R344" s="2487"/>
      <c r="S344" s="2487"/>
      <c r="T344" s="2487"/>
      <c r="U344" s="2487"/>
      <c r="V344" s="2487"/>
      <c r="W344" s="2487"/>
      <c r="X344" s="2487"/>
      <c r="Y344" s="2487"/>
      <c r="Z344" s="2487"/>
      <c r="AA344" s="2487"/>
      <c r="AB344" s="2487"/>
      <c r="AC344" s="2487"/>
      <c r="AD344" s="2487"/>
      <c r="AE344" s="2487"/>
      <c r="AF344" s="2487"/>
      <c r="AG344" s="2487"/>
      <c r="AH344" s="2487"/>
      <c r="AI344" s="2487"/>
      <c r="AJ344" s="2487"/>
      <c r="AK344" s="2487"/>
      <c r="AL344" s="2487"/>
      <c r="AM344" s="2487"/>
    </row>
    <row r="345" spans="1:39" ht="15.75" customHeight="1" x14ac:dyDescent="0.25">
      <c r="A345" s="2487"/>
      <c r="B345" s="2487"/>
      <c r="C345" s="2487"/>
      <c r="D345" s="2487"/>
      <c r="E345" s="2487"/>
      <c r="F345" s="2487"/>
      <c r="G345" s="2487"/>
      <c r="H345" s="2487"/>
      <c r="I345" s="2487"/>
      <c r="J345" s="2487"/>
      <c r="K345" s="2487"/>
      <c r="L345" s="2487"/>
      <c r="M345" s="2487"/>
      <c r="N345" s="2487"/>
      <c r="O345" s="2487"/>
      <c r="P345" s="2487"/>
      <c r="Q345" s="2487"/>
      <c r="R345" s="2487"/>
      <c r="S345" s="2487"/>
      <c r="T345" s="2487"/>
      <c r="U345" s="2487"/>
      <c r="V345" s="2487"/>
      <c r="W345" s="2487"/>
      <c r="X345" s="2487"/>
      <c r="Y345" s="2487"/>
      <c r="Z345" s="2487"/>
      <c r="AA345" s="2487"/>
      <c r="AB345" s="2487"/>
      <c r="AC345" s="2487"/>
      <c r="AD345" s="2487"/>
      <c r="AE345" s="2487"/>
      <c r="AF345" s="2487"/>
      <c r="AG345" s="2487"/>
      <c r="AH345" s="2487"/>
      <c r="AI345" s="2487"/>
      <c r="AJ345" s="2487"/>
      <c r="AK345" s="2487"/>
      <c r="AL345" s="2487"/>
      <c r="AM345" s="2487"/>
    </row>
    <row r="346" spans="1:39" ht="15.75" customHeight="1" x14ac:dyDescent="0.25">
      <c r="A346" s="2487"/>
      <c r="B346" s="2487"/>
      <c r="C346" s="2487"/>
      <c r="D346" s="2487"/>
      <c r="E346" s="2487"/>
      <c r="F346" s="2487"/>
      <c r="G346" s="2487"/>
      <c r="H346" s="2487"/>
      <c r="I346" s="2487"/>
      <c r="J346" s="2487"/>
      <c r="K346" s="2487"/>
      <c r="L346" s="2487"/>
      <c r="M346" s="2487"/>
      <c r="N346" s="2487"/>
      <c r="O346" s="2487"/>
      <c r="P346" s="2487"/>
      <c r="Q346" s="2487"/>
      <c r="R346" s="2487"/>
      <c r="S346" s="2487"/>
      <c r="T346" s="2487"/>
      <c r="U346" s="2487"/>
      <c r="V346" s="2487"/>
      <c r="W346" s="2487"/>
      <c r="X346" s="2487"/>
      <c r="Y346" s="2487"/>
      <c r="Z346" s="2487"/>
      <c r="AA346" s="2487"/>
      <c r="AB346" s="2487"/>
      <c r="AC346" s="2487"/>
      <c r="AD346" s="2487"/>
      <c r="AE346" s="2487"/>
      <c r="AF346" s="2487"/>
      <c r="AG346" s="2487"/>
      <c r="AH346" s="2487"/>
      <c r="AI346" s="2487"/>
      <c r="AJ346" s="2487"/>
      <c r="AK346" s="2487"/>
      <c r="AL346" s="2487"/>
      <c r="AM346" s="2487"/>
    </row>
    <row r="347" spans="1:39" ht="15.75" customHeight="1" x14ac:dyDescent="0.25">
      <c r="A347" s="2487"/>
      <c r="B347" s="2487"/>
      <c r="C347" s="2487"/>
      <c r="D347" s="2487"/>
      <c r="E347" s="2487"/>
      <c r="F347" s="2487"/>
      <c r="G347" s="2487"/>
      <c r="H347" s="2487"/>
      <c r="I347" s="2487"/>
      <c r="J347" s="2487"/>
      <c r="K347" s="2487"/>
      <c r="L347" s="2487"/>
      <c r="M347" s="2487"/>
      <c r="N347" s="2487"/>
      <c r="O347" s="2487"/>
      <c r="P347" s="2487"/>
      <c r="Q347" s="2487"/>
      <c r="R347" s="2487"/>
      <c r="S347" s="2487"/>
      <c r="T347" s="2487"/>
      <c r="U347" s="2487"/>
      <c r="V347" s="2487"/>
      <c r="W347" s="2487"/>
      <c r="X347" s="2487"/>
      <c r="Y347" s="2487"/>
      <c r="Z347" s="2487"/>
      <c r="AA347" s="2487"/>
      <c r="AB347" s="2487"/>
      <c r="AC347" s="2487"/>
      <c r="AD347" s="2487"/>
      <c r="AE347" s="2487"/>
      <c r="AF347" s="2487"/>
      <c r="AG347" s="2487"/>
      <c r="AH347" s="2487"/>
      <c r="AI347" s="2487"/>
      <c r="AJ347" s="2487"/>
      <c r="AK347" s="2487"/>
      <c r="AL347" s="2487"/>
      <c r="AM347" s="2487"/>
    </row>
    <row r="348" spans="1:39" ht="15.75" customHeight="1" x14ac:dyDescent="0.25">
      <c r="A348" s="2487"/>
      <c r="B348" s="2487"/>
      <c r="C348" s="2487"/>
      <c r="D348" s="2487"/>
      <c r="E348" s="2487"/>
      <c r="F348" s="2487"/>
      <c r="G348" s="2487"/>
      <c r="H348" s="2487"/>
      <c r="I348" s="2487"/>
      <c r="J348" s="2487"/>
      <c r="K348" s="2487"/>
      <c r="L348" s="2487"/>
      <c r="M348" s="2487"/>
      <c r="N348" s="2487"/>
      <c r="O348" s="2487"/>
      <c r="P348" s="2487"/>
      <c r="Q348" s="2487"/>
      <c r="R348" s="2487"/>
      <c r="S348" s="2487"/>
      <c r="T348" s="2487"/>
      <c r="U348" s="2487"/>
      <c r="V348" s="2487"/>
      <c r="W348" s="2487"/>
      <c r="X348" s="2487"/>
      <c r="Y348" s="2487"/>
      <c r="Z348" s="2487"/>
      <c r="AA348" s="2487"/>
      <c r="AB348" s="2487"/>
      <c r="AC348" s="2487"/>
      <c r="AD348" s="2487"/>
      <c r="AE348" s="2487"/>
      <c r="AF348" s="2487"/>
      <c r="AG348" s="2487"/>
      <c r="AH348" s="2487"/>
      <c r="AI348" s="2487"/>
      <c r="AJ348" s="2487"/>
      <c r="AK348" s="2487"/>
      <c r="AL348" s="2487"/>
      <c r="AM348" s="2487"/>
    </row>
    <row r="349" spans="1:39" ht="15.75" customHeight="1" x14ac:dyDescent="0.25">
      <c r="A349" s="2487"/>
      <c r="B349" s="2487"/>
      <c r="C349" s="2487"/>
      <c r="D349" s="2487"/>
      <c r="E349" s="2487"/>
      <c r="F349" s="2487"/>
      <c r="G349" s="2487"/>
      <c r="H349" s="2487"/>
      <c r="I349" s="2487"/>
      <c r="J349" s="2487"/>
      <c r="K349" s="2487"/>
      <c r="L349" s="2487"/>
      <c r="M349" s="2487"/>
      <c r="N349" s="2487"/>
      <c r="O349" s="2487"/>
      <c r="P349" s="2487"/>
      <c r="Q349" s="2487"/>
      <c r="R349" s="2487"/>
      <c r="S349" s="2487"/>
      <c r="T349" s="2487"/>
      <c r="U349" s="2487"/>
      <c r="V349" s="2487"/>
      <c r="W349" s="2487"/>
      <c r="X349" s="2487"/>
      <c r="Y349" s="2487"/>
      <c r="Z349" s="2487"/>
      <c r="AA349" s="2487"/>
      <c r="AB349" s="2487"/>
      <c r="AC349" s="2487"/>
      <c r="AD349" s="2487"/>
      <c r="AE349" s="2487"/>
      <c r="AF349" s="2487"/>
      <c r="AG349" s="2487"/>
      <c r="AH349" s="2487"/>
      <c r="AI349" s="2487"/>
      <c r="AJ349" s="2487"/>
      <c r="AK349" s="2487"/>
      <c r="AL349" s="2487"/>
      <c r="AM349" s="2487"/>
    </row>
    <row r="350" spans="1:39" ht="15.75" customHeight="1" x14ac:dyDescent="0.25">
      <c r="A350" s="2487"/>
      <c r="B350" s="2487"/>
      <c r="C350" s="2487"/>
      <c r="D350" s="2487"/>
      <c r="E350" s="2487"/>
      <c r="F350" s="2487"/>
      <c r="G350" s="2487"/>
      <c r="H350" s="2487"/>
      <c r="I350" s="2487"/>
      <c r="J350" s="2487"/>
      <c r="K350" s="2487"/>
      <c r="L350" s="2487"/>
      <c r="M350" s="2487"/>
      <c r="N350" s="2487"/>
      <c r="O350" s="2487"/>
      <c r="P350" s="2487"/>
      <c r="Q350" s="2487"/>
      <c r="R350" s="2487"/>
      <c r="S350" s="2487"/>
      <c r="T350" s="2487"/>
      <c r="U350" s="2487"/>
      <c r="V350" s="2487"/>
      <c r="W350" s="2487"/>
      <c r="X350" s="2487"/>
      <c r="Y350" s="2487"/>
      <c r="Z350" s="2487"/>
      <c r="AA350" s="2487"/>
      <c r="AB350" s="2487"/>
      <c r="AC350" s="2487"/>
      <c r="AD350" s="2487"/>
      <c r="AE350" s="2487"/>
      <c r="AF350" s="2487"/>
      <c r="AG350" s="2487"/>
      <c r="AH350" s="2487"/>
      <c r="AI350" s="2487"/>
      <c r="AJ350" s="2487"/>
      <c r="AK350" s="2487"/>
      <c r="AL350" s="2487"/>
      <c r="AM350" s="2487"/>
    </row>
    <row r="351" spans="1:39" ht="15.75" customHeight="1" x14ac:dyDescent="0.25">
      <c r="A351" s="2487"/>
      <c r="B351" s="2487"/>
      <c r="C351" s="2487"/>
      <c r="D351" s="2487"/>
      <c r="E351" s="2487"/>
      <c r="F351" s="2487"/>
      <c r="G351" s="2487"/>
      <c r="H351" s="2487"/>
      <c r="I351" s="2487"/>
      <c r="J351" s="2487"/>
      <c r="K351" s="2487"/>
      <c r="L351" s="2487"/>
      <c r="M351" s="2487"/>
      <c r="N351" s="2487"/>
      <c r="O351" s="2487"/>
      <c r="P351" s="2487"/>
      <c r="Q351" s="2487"/>
      <c r="R351" s="2487"/>
      <c r="S351" s="2487"/>
      <c r="T351" s="2487"/>
      <c r="U351" s="2487"/>
      <c r="V351" s="2487"/>
      <c r="W351" s="2487"/>
      <c r="X351" s="2487"/>
      <c r="Y351" s="2487"/>
      <c r="Z351" s="2487"/>
      <c r="AA351" s="2487"/>
      <c r="AB351" s="2487"/>
      <c r="AC351" s="2487"/>
      <c r="AD351" s="2487"/>
      <c r="AE351" s="2487"/>
      <c r="AF351" s="2487"/>
      <c r="AG351" s="2487"/>
      <c r="AH351" s="2487"/>
      <c r="AI351" s="2487"/>
      <c r="AJ351" s="2487"/>
      <c r="AK351" s="2487"/>
      <c r="AL351" s="2487"/>
      <c r="AM351" s="2487"/>
    </row>
    <row r="352" spans="1:39" ht="15.75" customHeight="1" x14ac:dyDescent="0.25">
      <c r="A352" s="2487"/>
      <c r="B352" s="2487"/>
      <c r="C352" s="2487"/>
      <c r="D352" s="2487"/>
      <c r="E352" s="2487"/>
      <c r="F352" s="2487"/>
      <c r="G352" s="2487"/>
      <c r="H352" s="2487"/>
      <c r="I352" s="2487"/>
      <c r="J352" s="2487"/>
      <c r="K352" s="2487"/>
      <c r="L352" s="2487"/>
      <c r="M352" s="2487"/>
      <c r="N352" s="2487"/>
      <c r="O352" s="2487"/>
      <c r="P352" s="2487"/>
      <c r="Q352" s="2487"/>
      <c r="R352" s="2487"/>
      <c r="S352" s="2487"/>
      <c r="T352" s="2487"/>
      <c r="U352" s="2487"/>
      <c r="V352" s="2487"/>
      <c r="W352" s="2487"/>
      <c r="X352" s="2487"/>
      <c r="Y352" s="2487"/>
      <c r="Z352" s="2487"/>
      <c r="AA352" s="2487"/>
      <c r="AB352" s="2487"/>
      <c r="AC352" s="2487"/>
      <c r="AD352" s="2487"/>
      <c r="AE352" s="2487"/>
      <c r="AF352" s="2487"/>
      <c r="AG352" s="2487"/>
      <c r="AH352" s="2487"/>
      <c r="AI352" s="2487"/>
      <c r="AJ352" s="2487"/>
      <c r="AK352" s="2487"/>
      <c r="AL352" s="2487"/>
      <c r="AM352" s="2487"/>
    </row>
    <row r="353" spans="1:39" ht="15.75" customHeight="1" x14ac:dyDescent="0.25">
      <c r="A353" s="2487"/>
      <c r="B353" s="2487"/>
      <c r="C353" s="2487"/>
      <c r="D353" s="2487"/>
      <c r="E353" s="2487"/>
      <c r="F353" s="2487"/>
      <c r="G353" s="2487"/>
      <c r="H353" s="2487"/>
      <c r="I353" s="2487"/>
      <c r="J353" s="2487"/>
      <c r="K353" s="2487"/>
      <c r="L353" s="2487"/>
      <c r="M353" s="2487"/>
      <c r="N353" s="2487"/>
      <c r="O353" s="2487"/>
      <c r="P353" s="2487"/>
      <c r="Q353" s="2487"/>
      <c r="R353" s="2487"/>
      <c r="S353" s="2487"/>
      <c r="T353" s="2487"/>
      <c r="U353" s="2487"/>
      <c r="V353" s="2487"/>
      <c r="W353" s="2487"/>
      <c r="X353" s="2487"/>
      <c r="Y353" s="2487"/>
      <c r="Z353" s="2487"/>
      <c r="AA353" s="2487"/>
      <c r="AB353" s="2487"/>
      <c r="AC353" s="2487"/>
      <c r="AD353" s="2487"/>
      <c r="AE353" s="2487"/>
      <c r="AF353" s="2487"/>
      <c r="AG353" s="2487"/>
      <c r="AH353" s="2487"/>
      <c r="AI353" s="2487"/>
      <c r="AJ353" s="2487"/>
      <c r="AK353" s="2487"/>
      <c r="AL353" s="2487"/>
      <c r="AM353" s="2487"/>
    </row>
    <row r="354" spans="1:39" ht="15.75" customHeight="1" x14ac:dyDescent="0.25">
      <c r="A354" s="2487"/>
      <c r="B354" s="2487"/>
      <c r="C354" s="2487"/>
      <c r="D354" s="2487"/>
      <c r="E354" s="2487"/>
      <c r="F354" s="2487"/>
      <c r="G354" s="2487"/>
      <c r="H354" s="2487"/>
      <c r="I354" s="2487"/>
      <c r="J354" s="2487"/>
      <c r="K354" s="2487"/>
      <c r="L354" s="2487"/>
      <c r="M354" s="2487"/>
      <c r="N354" s="2487"/>
      <c r="O354" s="2487"/>
      <c r="P354" s="2487"/>
      <c r="Q354" s="2487"/>
      <c r="R354" s="2487"/>
      <c r="S354" s="2487"/>
      <c r="T354" s="2487"/>
      <c r="U354" s="2487"/>
      <c r="V354" s="2487"/>
      <c r="W354" s="2487"/>
      <c r="X354" s="2487"/>
      <c r="Y354" s="2487"/>
      <c r="Z354" s="2487"/>
      <c r="AA354" s="2487"/>
      <c r="AB354" s="2487"/>
      <c r="AC354" s="2487"/>
      <c r="AD354" s="2487"/>
      <c r="AE354" s="2487"/>
      <c r="AF354" s="2487"/>
      <c r="AG354" s="2487"/>
      <c r="AH354" s="2487"/>
      <c r="AI354" s="2487"/>
      <c r="AJ354" s="2487"/>
      <c r="AK354" s="2487"/>
      <c r="AL354" s="2487"/>
      <c r="AM354" s="2487"/>
    </row>
    <row r="355" spans="1:39" ht="15.75" customHeight="1" x14ac:dyDescent="0.25">
      <c r="A355" s="2487"/>
      <c r="B355" s="2487"/>
      <c r="C355" s="2487"/>
      <c r="D355" s="2487"/>
      <c r="E355" s="2487"/>
      <c r="F355" s="2487"/>
      <c r="G355" s="2487"/>
      <c r="H355" s="2487"/>
      <c r="I355" s="2487"/>
      <c r="J355" s="2487"/>
      <c r="K355" s="2487"/>
      <c r="L355" s="2487"/>
      <c r="M355" s="2487"/>
      <c r="N355" s="2487"/>
      <c r="O355" s="2487"/>
      <c r="P355" s="2487"/>
      <c r="Q355" s="2487"/>
      <c r="R355" s="2487"/>
      <c r="S355" s="2487"/>
      <c r="T355" s="2487"/>
      <c r="U355" s="2487"/>
      <c r="V355" s="2487"/>
      <c r="W355" s="2487"/>
      <c r="X355" s="2487"/>
      <c r="Y355" s="2487"/>
      <c r="Z355" s="2487"/>
      <c r="AA355" s="2487"/>
      <c r="AB355" s="2487"/>
      <c r="AC355" s="2487"/>
      <c r="AD355" s="2487"/>
      <c r="AE355" s="2487"/>
      <c r="AF355" s="2487"/>
      <c r="AG355" s="2487"/>
      <c r="AH355" s="2487"/>
      <c r="AI355" s="2487"/>
      <c r="AJ355" s="2487"/>
      <c r="AK355" s="2487"/>
      <c r="AL355" s="2487"/>
      <c r="AM355" s="2487"/>
    </row>
    <row r="356" spans="1:39" ht="15.75" customHeight="1" x14ac:dyDescent="0.25">
      <c r="A356" s="2487"/>
      <c r="B356" s="2487"/>
      <c r="C356" s="2487"/>
      <c r="D356" s="2487"/>
      <c r="E356" s="2487"/>
      <c r="F356" s="2487"/>
      <c r="G356" s="2487"/>
      <c r="H356" s="2487"/>
      <c r="I356" s="2487"/>
      <c r="J356" s="2487"/>
      <c r="K356" s="2487"/>
      <c r="L356" s="2487"/>
      <c r="M356" s="2487"/>
      <c r="N356" s="2487"/>
      <c r="O356" s="2487"/>
      <c r="P356" s="2487"/>
      <c r="Q356" s="2487"/>
      <c r="R356" s="2487"/>
      <c r="S356" s="2487"/>
      <c r="T356" s="2487"/>
      <c r="U356" s="2487"/>
      <c r="V356" s="2487"/>
      <c r="W356" s="2487"/>
      <c r="X356" s="2487"/>
      <c r="Y356" s="2487"/>
      <c r="Z356" s="2487"/>
      <c r="AA356" s="2487"/>
      <c r="AB356" s="2487"/>
      <c r="AC356" s="2487"/>
      <c r="AD356" s="2487"/>
      <c r="AE356" s="2487"/>
      <c r="AF356" s="2487"/>
      <c r="AG356" s="2487"/>
      <c r="AH356" s="2487"/>
      <c r="AI356" s="2487"/>
      <c r="AJ356" s="2487"/>
      <c r="AK356" s="2487"/>
      <c r="AL356" s="2487"/>
      <c r="AM356" s="2487"/>
    </row>
    <row r="357" spans="1:39" ht="15.75" customHeight="1" x14ac:dyDescent="0.25">
      <c r="A357" s="2487"/>
      <c r="B357" s="2487"/>
      <c r="C357" s="2487"/>
      <c r="D357" s="2487"/>
      <c r="E357" s="2487"/>
      <c r="F357" s="2487"/>
      <c r="G357" s="2487"/>
      <c r="H357" s="2487"/>
      <c r="I357" s="2487"/>
      <c r="J357" s="2487"/>
      <c r="K357" s="2487"/>
      <c r="L357" s="2487"/>
      <c r="M357" s="2487"/>
      <c r="N357" s="2487"/>
      <c r="O357" s="2487"/>
      <c r="P357" s="2487"/>
      <c r="Q357" s="2487"/>
      <c r="R357" s="2487"/>
      <c r="S357" s="2487"/>
      <c r="T357" s="2487"/>
      <c r="U357" s="2487"/>
      <c r="V357" s="2487"/>
      <c r="W357" s="2487"/>
      <c r="X357" s="2487"/>
      <c r="Y357" s="2487"/>
      <c r="Z357" s="2487"/>
      <c r="AA357" s="2487"/>
      <c r="AB357" s="2487"/>
      <c r="AC357" s="2487"/>
      <c r="AD357" s="2487"/>
      <c r="AE357" s="2487"/>
      <c r="AF357" s="2487"/>
      <c r="AG357" s="2487"/>
      <c r="AH357" s="2487"/>
      <c r="AI357" s="2487"/>
      <c r="AJ357" s="2487"/>
      <c r="AK357" s="2487"/>
      <c r="AL357" s="2487"/>
      <c r="AM357" s="2487"/>
    </row>
    <row r="358" spans="1:39" ht="15.75" customHeight="1" x14ac:dyDescent="0.25">
      <c r="A358" s="2487"/>
      <c r="B358" s="2487"/>
      <c r="C358" s="2487"/>
      <c r="D358" s="2487"/>
      <c r="E358" s="2487"/>
      <c r="F358" s="2487"/>
      <c r="G358" s="2487"/>
      <c r="H358" s="2487"/>
      <c r="I358" s="2487"/>
      <c r="J358" s="2487"/>
      <c r="K358" s="2487"/>
      <c r="L358" s="2487"/>
      <c r="M358" s="2487"/>
      <c r="N358" s="2487"/>
      <c r="O358" s="2487"/>
      <c r="P358" s="2487"/>
      <c r="Q358" s="2487"/>
      <c r="R358" s="2487"/>
      <c r="S358" s="2487"/>
      <c r="T358" s="2487"/>
      <c r="U358" s="2487"/>
      <c r="V358" s="2487"/>
      <c r="W358" s="2487"/>
      <c r="X358" s="2487"/>
      <c r="Y358" s="2487"/>
      <c r="Z358" s="2487"/>
      <c r="AA358" s="2487"/>
      <c r="AB358" s="2487"/>
      <c r="AC358" s="2487"/>
      <c r="AD358" s="2487"/>
      <c r="AE358" s="2487"/>
      <c r="AF358" s="2487"/>
      <c r="AG358" s="2487"/>
      <c r="AH358" s="2487"/>
      <c r="AI358" s="2487"/>
      <c r="AJ358" s="2487"/>
      <c r="AK358" s="2487"/>
      <c r="AL358" s="2487"/>
      <c r="AM358" s="2487"/>
    </row>
    <row r="359" spans="1:39" ht="15.75" customHeight="1" x14ac:dyDescent="0.25">
      <c r="A359" s="2487"/>
      <c r="B359" s="2487"/>
      <c r="C359" s="2487"/>
      <c r="D359" s="2487"/>
      <c r="E359" s="2487"/>
      <c r="F359" s="2487"/>
      <c r="G359" s="2487"/>
      <c r="H359" s="2487"/>
      <c r="I359" s="2487"/>
      <c r="J359" s="2487"/>
      <c r="K359" s="2487"/>
      <c r="L359" s="2487"/>
      <c r="M359" s="2487"/>
      <c r="N359" s="2487"/>
      <c r="O359" s="2487"/>
      <c r="P359" s="2487"/>
      <c r="Q359" s="2487"/>
      <c r="R359" s="2487"/>
      <c r="S359" s="2487"/>
      <c r="T359" s="2487"/>
      <c r="U359" s="2487"/>
      <c r="V359" s="2487"/>
      <c r="W359" s="2487"/>
      <c r="X359" s="2487"/>
      <c r="Y359" s="2487"/>
      <c r="Z359" s="2487"/>
      <c r="AA359" s="2487"/>
      <c r="AB359" s="2487"/>
      <c r="AC359" s="2487"/>
      <c r="AD359" s="2487"/>
      <c r="AE359" s="2487"/>
      <c r="AF359" s="2487"/>
      <c r="AG359" s="2487"/>
      <c r="AH359" s="2487"/>
      <c r="AI359" s="2487"/>
      <c r="AJ359" s="2487"/>
      <c r="AK359" s="2487"/>
      <c r="AL359" s="2487"/>
      <c r="AM359" s="2487"/>
    </row>
    <row r="360" spans="1:39" ht="15.75" customHeight="1" x14ac:dyDescent="0.25">
      <c r="A360" s="2487"/>
      <c r="B360" s="2487"/>
      <c r="C360" s="2487"/>
      <c r="D360" s="2487"/>
      <c r="E360" s="2487"/>
      <c r="F360" s="2487"/>
      <c r="G360" s="2487"/>
      <c r="H360" s="2487"/>
      <c r="I360" s="2487"/>
      <c r="J360" s="2487"/>
      <c r="K360" s="2487"/>
      <c r="L360" s="2487"/>
      <c r="M360" s="2487"/>
      <c r="N360" s="2487"/>
      <c r="O360" s="2487"/>
      <c r="P360" s="2487"/>
      <c r="Q360" s="2487"/>
      <c r="R360" s="2487"/>
      <c r="S360" s="2487"/>
      <c r="T360" s="2487"/>
      <c r="U360" s="2487"/>
      <c r="V360" s="2487"/>
      <c r="W360" s="2487"/>
      <c r="X360" s="2487"/>
      <c r="Y360" s="2487"/>
      <c r="Z360" s="2487"/>
      <c r="AA360" s="2487"/>
      <c r="AB360" s="2487"/>
      <c r="AC360" s="2487"/>
      <c r="AD360" s="2487"/>
      <c r="AE360" s="2487"/>
      <c r="AF360" s="2487"/>
      <c r="AG360" s="2487"/>
      <c r="AH360" s="2487"/>
      <c r="AI360" s="2487"/>
      <c r="AJ360" s="2487"/>
      <c r="AK360" s="2487"/>
      <c r="AL360" s="2487"/>
      <c r="AM360" s="2487"/>
    </row>
    <row r="361" spans="1:39" ht="15.75" customHeight="1" x14ac:dyDescent="0.25">
      <c r="A361" s="2487"/>
      <c r="B361" s="2487"/>
      <c r="C361" s="2487"/>
      <c r="D361" s="2487"/>
      <c r="E361" s="2487"/>
      <c r="F361" s="2487"/>
      <c r="G361" s="2487"/>
      <c r="H361" s="2487"/>
      <c r="I361" s="2487"/>
      <c r="J361" s="2487"/>
      <c r="K361" s="2487"/>
      <c r="L361" s="2487"/>
      <c r="M361" s="2487"/>
      <c r="N361" s="2487"/>
      <c r="O361" s="2487"/>
      <c r="P361" s="2487"/>
      <c r="Q361" s="2487"/>
      <c r="R361" s="2487"/>
      <c r="S361" s="2487"/>
      <c r="T361" s="2487"/>
      <c r="U361" s="2487"/>
      <c r="V361" s="2487"/>
      <c r="W361" s="2487"/>
      <c r="X361" s="2487"/>
      <c r="Y361" s="2487"/>
      <c r="Z361" s="2487"/>
      <c r="AA361" s="2487"/>
      <c r="AB361" s="2487"/>
      <c r="AC361" s="2487"/>
      <c r="AD361" s="2487"/>
      <c r="AE361" s="2487"/>
      <c r="AF361" s="2487"/>
      <c r="AG361" s="2487"/>
      <c r="AH361" s="2487"/>
      <c r="AI361" s="2487"/>
      <c r="AJ361" s="2487"/>
      <c r="AK361" s="2487"/>
      <c r="AL361" s="2487"/>
      <c r="AM361" s="2487"/>
    </row>
    <row r="362" spans="1:39" ht="15.75" customHeight="1" x14ac:dyDescent="0.25">
      <c r="A362" s="2487"/>
      <c r="B362" s="2487"/>
      <c r="C362" s="2487"/>
      <c r="D362" s="2487"/>
      <c r="E362" s="2487"/>
      <c r="F362" s="2487"/>
      <c r="G362" s="2487"/>
      <c r="H362" s="2487"/>
      <c r="I362" s="2487"/>
      <c r="J362" s="2487"/>
      <c r="K362" s="2487"/>
      <c r="L362" s="2487"/>
      <c r="M362" s="2487"/>
      <c r="N362" s="2487"/>
      <c r="O362" s="2487"/>
      <c r="P362" s="2487"/>
      <c r="Q362" s="2487"/>
      <c r="R362" s="2487"/>
      <c r="S362" s="2487"/>
      <c r="T362" s="2487"/>
      <c r="U362" s="2487"/>
      <c r="V362" s="2487"/>
      <c r="W362" s="2487"/>
      <c r="X362" s="2487"/>
      <c r="Y362" s="2487"/>
      <c r="Z362" s="2487"/>
      <c r="AA362" s="2487"/>
      <c r="AB362" s="2487"/>
      <c r="AC362" s="2487"/>
      <c r="AD362" s="2487"/>
      <c r="AE362" s="2487"/>
      <c r="AF362" s="2487"/>
      <c r="AG362" s="2487"/>
      <c r="AH362" s="2487"/>
      <c r="AI362" s="2487"/>
      <c r="AJ362" s="2487"/>
      <c r="AK362" s="2487"/>
      <c r="AL362" s="2487"/>
      <c r="AM362" s="2487"/>
    </row>
    <row r="363" spans="1:39" ht="15.75" customHeight="1" x14ac:dyDescent="0.25">
      <c r="A363" s="2487"/>
      <c r="B363" s="2487"/>
      <c r="C363" s="2487"/>
      <c r="D363" s="2487"/>
      <c r="E363" s="2487"/>
      <c r="F363" s="2487"/>
      <c r="G363" s="2487"/>
      <c r="H363" s="2487"/>
      <c r="I363" s="2487"/>
      <c r="J363" s="2487"/>
      <c r="K363" s="2487"/>
      <c r="L363" s="2487"/>
      <c r="M363" s="2487"/>
      <c r="N363" s="2487"/>
      <c r="O363" s="2487"/>
      <c r="P363" s="2487"/>
      <c r="Q363" s="2487"/>
      <c r="R363" s="2487"/>
      <c r="S363" s="2487"/>
      <c r="T363" s="2487"/>
      <c r="U363" s="2487"/>
      <c r="V363" s="2487"/>
      <c r="W363" s="2487"/>
      <c r="X363" s="2487"/>
      <c r="Y363" s="2487"/>
      <c r="Z363" s="2487"/>
      <c r="AA363" s="2487"/>
      <c r="AB363" s="2487"/>
      <c r="AC363" s="2487"/>
      <c r="AD363" s="2487"/>
      <c r="AE363" s="2487"/>
      <c r="AF363" s="2487"/>
      <c r="AG363" s="2487"/>
      <c r="AH363" s="2487"/>
      <c r="AI363" s="2487"/>
      <c r="AJ363" s="2487"/>
      <c r="AK363" s="2487"/>
      <c r="AL363" s="2487"/>
      <c r="AM363" s="2487"/>
    </row>
    <row r="364" spans="1:39" ht="15.75" customHeight="1" x14ac:dyDescent="0.25">
      <c r="A364" s="2487"/>
      <c r="B364" s="2487"/>
      <c r="C364" s="2487"/>
      <c r="D364" s="2487"/>
      <c r="E364" s="2487"/>
      <c r="F364" s="2487"/>
      <c r="G364" s="2487"/>
      <c r="H364" s="2487"/>
      <c r="I364" s="2487"/>
      <c r="J364" s="2487"/>
      <c r="K364" s="2487"/>
      <c r="L364" s="2487"/>
      <c r="M364" s="2487"/>
      <c r="N364" s="2487"/>
      <c r="O364" s="2487"/>
      <c r="P364" s="2487"/>
      <c r="Q364" s="2487"/>
      <c r="R364" s="2487"/>
      <c r="S364" s="2487"/>
      <c r="T364" s="2487"/>
      <c r="U364" s="2487"/>
      <c r="V364" s="2487"/>
      <c r="W364" s="2487"/>
      <c r="X364" s="2487"/>
      <c r="Y364" s="2487"/>
      <c r="Z364" s="2487"/>
      <c r="AA364" s="2487"/>
      <c r="AB364" s="2487"/>
      <c r="AC364" s="2487"/>
      <c r="AD364" s="2487"/>
      <c r="AE364" s="2487"/>
      <c r="AF364" s="2487"/>
      <c r="AG364" s="2487"/>
      <c r="AH364" s="2487"/>
      <c r="AI364" s="2487"/>
      <c r="AJ364" s="2487"/>
      <c r="AK364" s="2487"/>
      <c r="AL364" s="2487"/>
      <c r="AM364" s="2487"/>
    </row>
    <row r="365" spans="1:39" ht="15.75" customHeight="1" x14ac:dyDescent="0.25">
      <c r="A365" s="2487"/>
      <c r="B365" s="2487"/>
      <c r="C365" s="2487"/>
      <c r="D365" s="2487"/>
      <c r="E365" s="2487"/>
      <c r="F365" s="2487"/>
      <c r="G365" s="2487"/>
      <c r="H365" s="2487"/>
      <c r="I365" s="2487"/>
      <c r="J365" s="2487"/>
      <c r="K365" s="2487"/>
      <c r="L365" s="2487"/>
      <c r="M365" s="2487"/>
      <c r="N365" s="2487"/>
      <c r="O365" s="2487"/>
      <c r="P365" s="2487"/>
      <c r="Q365" s="2487"/>
      <c r="R365" s="2487"/>
      <c r="S365" s="2487"/>
      <c r="T365" s="2487"/>
      <c r="U365" s="2487"/>
      <c r="V365" s="2487"/>
      <c r="W365" s="2487"/>
      <c r="X365" s="2487"/>
      <c r="Y365" s="2487"/>
      <c r="Z365" s="2487"/>
      <c r="AA365" s="2487"/>
      <c r="AB365" s="2487"/>
      <c r="AC365" s="2487"/>
      <c r="AD365" s="2487"/>
      <c r="AE365" s="2487"/>
      <c r="AF365" s="2487"/>
      <c r="AG365" s="2487"/>
      <c r="AH365" s="2487"/>
      <c r="AI365" s="2487"/>
      <c r="AJ365" s="2487"/>
      <c r="AK365" s="2487"/>
      <c r="AL365" s="2487"/>
      <c r="AM365" s="2487"/>
    </row>
    <row r="366" spans="1:39" ht="15.75" customHeight="1" x14ac:dyDescent="0.25">
      <c r="A366" s="2487"/>
      <c r="B366" s="2487"/>
      <c r="C366" s="2487"/>
      <c r="D366" s="2487"/>
      <c r="E366" s="2487"/>
      <c r="F366" s="2487"/>
      <c r="G366" s="2487"/>
      <c r="H366" s="2487"/>
      <c r="I366" s="2487"/>
      <c r="J366" s="2487"/>
      <c r="K366" s="2487"/>
      <c r="L366" s="2487"/>
      <c r="M366" s="2487"/>
      <c r="N366" s="2487"/>
      <c r="O366" s="2487"/>
      <c r="P366" s="2487"/>
      <c r="Q366" s="2487"/>
      <c r="R366" s="2487"/>
      <c r="S366" s="2487"/>
      <c r="T366" s="2487"/>
      <c r="U366" s="2487"/>
      <c r="V366" s="2487"/>
      <c r="W366" s="2487"/>
      <c r="X366" s="2487"/>
      <c r="Y366" s="2487"/>
      <c r="Z366" s="2487"/>
      <c r="AA366" s="2487"/>
      <c r="AB366" s="2487"/>
      <c r="AC366" s="2487"/>
      <c r="AD366" s="2487"/>
      <c r="AE366" s="2487"/>
      <c r="AF366" s="2487"/>
      <c r="AG366" s="2487"/>
      <c r="AH366" s="2487"/>
      <c r="AI366" s="2487"/>
      <c r="AJ366" s="2487"/>
      <c r="AK366" s="2487"/>
      <c r="AL366" s="2487"/>
      <c r="AM366" s="2487"/>
    </row>
    <row r="367" spans="1:39" ht="15.75" customHeight="1" x14ac:dyDescent="0.25">
      <c r="A367" s="2487"/>
      <c r="B367" s="2487"/>
      <c r="C367" s="2487"/>
      <c r="D367" s="2487"/>
      <c r="E367" s="2487"/>
      <c r="F367" s="2487"/>
      <c r="G367" s="2487"/>
      <c r="H367" s="2487"/>
      <c r="I367" s="2487"/>
      <c r="J367" s="2487"/>
      <c r="K367" s="2487"/>
      <c r="L367" s="2487"/>
      <c r="M367" s="2487"/>
      <c r="N367" s="2487"/>
      <c r="O367" s="2487"/>
      <c r="P367" s="2487"/>
      <c r="Q367" s="2487"/>
      <c r="R367" s="2487"/>
      <c r="S367" s="2487"/>
      <c r="T367" s="2487"/>
      <c r="U367" s="2487"/>
      <c r="V367" s="2487"/>
      <c r="W367" s="2487"/>
      <c r="X367" s="2487"/>
      <c r="Y367" s="2487"/>
      <c r="Z367" s="2487"/>
      <c r="AA367" s="2487"/>
      <c r="AB367" s="2487"/>
      <c r="AC367" s="2487"/>
      <c r="AD367" s="2487"/>
      <c r="AE367" s="2487"/>
      <c r="AF367" s="2487"/>
      <c r="AG367" s="2487"/>
      <c r="AH367" s="2487"/>
      <c r="AI367" s="2487"/>
      <c r="AJ367" s="2487"/>
      <c r="AK367" s="2487"/>
      <c r="AL367" s="2487"/>
      <c r="AM367" s="2487"/>
    </row>
    <row r="368" spans="1:39" ht="15.75" customHeight="1" x14ac:dyDescent="0.25">
      <c r="A368" s="2487"/>
      <c r="B368" s="2487"/>
      <c r="C368" s="2487"/>
      <c r="D368" s="2487"/>
      <c r="E368" s="2487"/>
      <c r="F368" s="2487"/>
      <c r="G368" s="2487"/>
      <c r="H368" s="2487"/>
      <c r="I368" s="2487"/>
      <c r="J368" s="2487"/>
      <c r="K368" s="2487"/>
      <c r="L368" s="2487"/>
      <c r="M368" s="2487"/>
      <c r="N368" s="2487"/>
      <c r="O368" s="2487"/>
      <c r="P368" s="2487"/>
      <c r="Q368" s="2487"/>
      <c r="R368" s="2487"/>
      <c r="S368" s="2487"/>
      <c r="T368" s="2487"/>
      <c r="U368" s="2487"/>
      <c r="V368" s="2487"/>
      <c r="W368" s="2487"/>
      <c r="X368" s="2487"/>
      <c r="Y368" s="2487"/>
      <c r="Z368" s="2487"/>
      <c r="AA368" s="2487"/>
      <c r="AB368" s="2487"/>
      <c r="AC368" s="2487"/>
      <c r="AD368" s="2487"/>
      <c r="AE368" s="2487"/>
      <c r="AF368" s="2487"/>
      <c r="AG368" s="2487"/>
      <c r="AH368" s="2487"/>
      <c r="AI368" s="2487"/>
      <c r="AJ368" s="2487"/>
      <c r="AK368" s="2487"/>
      <c r="AL368" s="2487"/>
      <c r="AM368" s="2487"/>
    </row>
    <row r="369" spans="1:39" ht="15.75" customHeight="1" x14ac:dyDescent="0.25">
      <c r="A369" s="2487"/>
      <c r="B369" s="2487"/>
      <c r="C369" s="2487"/>
      <c r="D369" s="2487"/>
      <c r="E369" s="2487"/>
      <c r="F369" s="2487"/>
      <c r="G369" s="2487"/>
      <c r="H369" s="2487"/>
      <c r="I369" s="2487"/>
      <c r="J369" s="2487"/>
      <c r="K369" s="2487"/>
      <c r="L369" s="2487"/>
      <c r="M369" s="2487"/>
      <c r="N369" s="2487"/>
      <c r="O369" s="2487"/>
      <c r="P369" s="2487"/>
      <c r="Q369" s="2487"/>
      <c r="R369" s="2487"/>
      <c r="S369" s="2487"/>
      <c r="T369" s="2487"/>
      <c r="U369" s="2487"/>
      <c r="V369" s="2487"/>
      <c r="W369" s="2487"/>
      <c r="X369" s="2487"/>
      <c r="Y369" s="2487"/>
      <c r="Z369" s="2487"/>
      <c r="AA369" s="2487"/>
      <c r="AB369" s="2487"/>
      <c r="AC369" s="2487"/>
      <c r="AD369" s="2487"/>
      <c r="AE369" s="2487"/>
      <c r="AF369" s="2487"/>
      <c r="AG369" s="2487"/>
      <c r="AH369" s="2487"/>
      <c r="AI369" s="2487"/>
      <c r="AJ369" s="2487"/>
      <c r="AK369" s="2487"/>
      <c r="AL369" s="2487"/>
      <c r="AM369" s="2487"/>
    </row>
    <row r="370" spans="1:39" ht="15.75" customHeight="1" x14ac:dyDescent="0.25">
      <c r="A370" s="2487"/>
      <c r="B370" s="2487"/>
      <c r="C370" s="2487"/>
      <c r="D370" s="2487"/>
      <c r="E370" s="2487"/>
      <c r="F370" s="2487"/>
      <c r="G370" s="2487"/>
      <c r="H370" s="2487"/>
      <c r="I370" s="2487"/>
      <c r="J370" s="2487"/>
      <c r="K370" s="2487"/>
      <c r="L370" s="2487"/>
      <c r="M370" s="2487"/>
      <c r="N370" s="2487"/>
      <c r="O370" s="2487"/>
      <c r="P370" s="2487"/>
      <c r="Q370" s="2487"/>
      <c r="R370" s="2487"/>
      <c r="S370" s="2487"/>
      <c r="T370" s="2487"/>
      <c r="U370" s="2487"/>
      <c r="V370" s="2487"/>
      <c r="W370" s="2487"/>
      <c r="X370" s="2487"/>
      <c r="Y370" s="2487"/>
      <c r="Z370" s="2487"/>
      <c r="AA370" s="2487"/>
      <c r="AB370" s="2487"/>
      <c r="AC370" s="2487"/>
      <c r="AD370" s="2487"/>
      <c r="AE370" s="2487"/>
      <c r="AF370" s="2487"/>
      <c r="AG370" s="2487"/>
      <c r="AH370" s="2487"/>
      <c r="AI370" s="2487"/>
      <c r="AJ370" s="2487"/>
      <c r="AK370" s="2487"/>
      <c r="AL370" s="2487"/>
      <c r="AM370" s="2487"/>
    </row>
    <row r="371" spans="1:39" ht="15.75" customHeight="1" x14ac:dyDescent="0.25">
      <c r="A371" s="2487"/>
      <c r="B371" s="2487"/>
      <c r="C371" s="2487"/>
      <c r="D371" s="2487"/>
      <c r="E371" s="2487"/>
      <c r="F371" s="2487"/>
      <c r="G371" s="2487"/>
      <c r="H371" s="2487"/>
      <c r="I371" s="2487"/>
      <c r="J371" s="2487"/>
      <c r="K371" s="2487"/>
      <c r="L371" s="2487"/>
      <c r="M371" s="2487"/>
      <c r="N371" s="2487"/>
      <c r="O371" s="2487"/>
      <c r="P371" s="2487"/>
      <c r="Q371" s="2487"/>
      <c r="R371" s="2487"/>
      <c r="S371" s="2487"/>
      <c r="T371" s="2487"/>
      <c r="U371" s="2487"/>
      <c r="V371" s="2487"/>
      <c r="W371" s="2487"/>
      <c r="X371" s="2487"/>
      <c r="Y371" s="2487"/>
      <c r="Z371" s="2487"/>
      <c r="AA371" s="2487"/>
      <c r="AB371" s="2487"/>
      <c r="AC371" s="2487"/>
      <c r="AD371" s="2487"/>
      <c r="AE371" s="2487"/>
      <c r="AF371" s="2487"/>
      <c r="AG371" s="2487"/>
      <c r="AH371" s="2487"/>
      <c r="AI371" s="2487"/>
      <c r="AJ371" s="2487"/>
      <c r="AK371" s="2487"/>
      <c r="AL371" s="2487"/>
      <c r="AM371" s="2487"/>
    </row>
    <row r="372" spans="1:39" ht="15.75" customHeight="1" x14ac:dyDescent="0.25">
      <c r="A372" s="2487"/>
      <c r="B372" s="2487"/>
      <c r="C372" s="2487"/>
      <c r="D372" s="2487"/>
      <c r="E372" s="2487"/>
      <c r="F372" s="2487"/>
      <c r="G372" s="2487"/>
      <c r="H372" s="2487"/>
      <c r="I372" s="2487"/>
      <c r="J372" s="2487"/>
      <c r="K372" s="2487"/>
      <c r="L372" s="2487"/>
      <c r="M372" s="2487"/>
      <c r="N372" s="2487"/>
      <c r="O372" s="2487"/>
      <c r="P372" s="2487"/>
      <c r="Q372" s="2487"/>
      <c r="R372" s="2487"/>
      <c r="S372" s="2487"/>
      <c r="T372" s="2487"/>
      <c r="U372" s="2487"/>
      <c r="V372" s="2487"/>
      <c r="W372" s="2487"/>
      <c r="X372" s="2487"/>
      <c r="Y372" s="2487"/>
      <c r="Z372" s="2487"/>
      <c r="AA372" s="2487"/>
      <c r="AB372" s="2487"/>
      <c r="AC372" s="2487"/>
      <c r="AD372" s="2487"/>
      <c r="AE372" s="2487"/>
      <c r="AF372" s="2487"/>
      <c r="AG372" s="2487"/>
      <c r="AH372" s="2487"/>
      <c r="AI372" s="2487"/>
      <c r="AJ372" s="2487"/>
      <c r="AK372" s="2487"/>
      <c r="AL372" s="2487"/>
      <c r="AM372" s="2487"/>
    </row>
    <row r="373" spans="1:39" ht="15.75" customHeight="1" x14ac:dyDescent="0.25">
      <c r="A373" s="2487"/>
      <c r="B373" s="2487"/>
      <c r="C373" s="2487"/>
      <c r="D373" s="2487"/>
      <c r="E373" s="2487"/>
      <c r="F373" s="2487"/>
      <c r="G373" s="2487"/>
      <c r="H373" s="2487"/>
      <c r="I373" s="2487"/>
      <c r="J373" s="2487"/>
      <c r="K373" s="2487"/>
      <c r="L373" s="2487"/>
      <c r="M373" s="2487"/>
      <c r="N373" s="2487"/>
      <c r="O373" s="2487"/>
      <c r="P373" s="2487"/>
      <c r="Q373" s="2487"/>
      <c r="R373" s="2487"/>
      <c r="S373" s="2487"/>
      <c r="T373" s="2487"/>
      <c r="U373" s="2487"/>
      <c r="V373" s="2487"/>
      <c r="W373" s="2487"/>
      <c r="X373" s="2487"/>
      <c r="Y373" s="2487"/>
      <c r="Z373" s="2487"/>
      <c r="AA373" s="2487"/>
      <c r="AB373" s="2487"/>
      <c r="AC373" s="2487"/>
      <c r="AD373" s="2487"/>
      <c r="AE373" s="2487"/>
      <c r="AF373" s="2487"/>
      <c r="AG373" s="2487"/>
      <c r="AH373" s="2487"/>
      <c r="AI373" s="2487"/>
      <c r="AJ373" s="2487"/>
      <c r="AK373" s="2487"/>
      <c r="AL373" s="2487"/>
      <c r="AM373" s="2487"/>
    </row>
    <row r="374" spans="1:39" ht="15.75" customHeight="1" x14ac:dyDescent="0.25">
      <c r="A374" s="2487"/>
      <c r="B374" s="2487"/>
      <c r="C374" s="2487"/>
      <c r="D374" s="2487"/>
      <c r="E374" s="2487"/>
      <c r="F374" s="2487"/>
      <c r="G374" s="2487"/>
      <c r="H374" s="2487"/>
      <c r="I374" s="2487"/>
      <c r="J374" s="2487"/>
      <c r="K374" s="2487"/>
      <c r="L374" s="2487"/>
      <c r="M374" s="2487"/>
      <c r="N374" s="2487"/>
      <c r="O374" s="2487"/>
      <c r="P374" s="2487"/>
      <c r="Q374" s="2487"/>
      <c r="R374" s="2487"/>
      <c r="S374" s="2487"/>
      <c r="T374" s="2487"/>
      <c r="U374" s="2487"/>
      <c r="V374" s="2487"/>
      <c r="W374" s="2487"/>
      <c r="X374" s="2487"/>
      <c r="Y374" s="2487"/>
      <c r="Z374" s="2487"/>
      <c r="AA374" s="2487"/>
      <c r="AB374" s="2487"/>
      <c r="AC374" s="2487"/>
      <c r="AD374" s="2487"/>
      <c r="AE374" s="2487"/>
      <c r="AF374" s="2487"/>
      <c r="AG374" s="2487"/>
      <c r="AH374" s="2487"/>
      <c r="AI374" s="2487"/>
      <c r="AJ374" s="2487"/>
      <c r="AK374" s="2487"/>
      <c r="AL374" s="2487"/>
      <c r="AM374" s="2487"/>
    </row>
    <row r="375" spans="1:39" ht="15.75" customHeight="1" x14ac:dyDescent="0.25">
      <c r="A375" s="2487"/>
      <c r="B375" s="2487"/>
      <c r="C375" s="2487"/>
      <c r="D375" s="2487"/>
      <c r="E375" s="2487"/>
      <c r="F375" s="2487"/>
      <c r="G375" s="2487"/>
      <c r="H375" s="2487"/>
      <c r="I375" s="2487"/>
      <c r="J375" s="2487"/>
      <c r="K375" s="2487"/>
      <c r="L375" s="2487"/>
      <c r="M375" s="2487"/>
      <c r="N375" s="2487"/>
      <c r="O375" s="2487"/>
      <c r="P375" s="2487"/>
      <c r="Q375" s="2487"/>
      <c r="R375" s="2487"/>
      <c r="S375" s="2487"/>
      <c r="T375" s="2487"/>
      <c r="U375" s="2487"/>
      <c r="V375" s="2487"/>
      <c r="W375" s="2487"/>
      <c r="X375" s="2487"/>
      <c r="Y375" s="2487"/>
      <c r="Z375" s="2487"/>
      <c r="AA375" s="2487"/>
      <c r="AB375" s="2487"/>
      <c r="AC375" s="2487"/>
      <c r="AD375" s="2487"/>
      <c r="AE375" s="2487"/>
      <c r="AF375" s="2487"/>
      <c r="AG375" s="2487"/>
      <c r="AH375" s="2487"/>
      <c r="AI375" s="2487"/>
      <c r="AJ375" s="2487"/>
      <c r="AK375" s="2487"/>
      <c r="AL375" s="2487"/>
      <c r="AM375" s="2487"/>
    </row>
    <row r="376" spans="1:39" ht="15.75" customHeight="1" x14ac:dyDescent="0.25">
      <c r="A376" s="2487"/>
      <c r="B376" s="2487"/>
      <c r="C376" s="2487"/>
      <c r="D376" s="2487"/>
      <c r="E376" s="2487"/>
      <c r="F376" s="2487"/>
      <c r="G376" s="2487"/>
      <c r="H376" s="2487"/>
      <c r="I376" s="2487"/>
      <c r="J376" s="2487"/>
      <c r="K376" s="2487"/>
      <c r="L376" s="2487"/>
      <c r="M376" s="2487"/>
      <c r="N376" s="2487"/>
      <c r="O376" s="2487"/>
      <c r="P376" s="2487"/>
      <c r="Q376" s="2487"/>
      <c r="R376" s="2487"/>
      <c r="S376" s="2487"/>
      <c r="T376" s="2487"/>
      <c r="U376" s="2487"/>
      <c r="V376" s="2487"/>
      <c r="W376" s="2487"/>
      <c r="X376" s="2487"/>
      <c r="Y376" s="2487"/>
      <c r="Z376" s="2487"/>
      <c r="AA376" s="2487"/>
      <c r="AB376" s="2487"/>
      <c r="AC376" s="2487"/>
      <c r="AD376" s="2487"/>
      <c r="AE376" s="2487"/>
      <c r="AF376" s="2487"/>
      <c r="AG376" s="2487"/>
      <c r="AH376" s="2487"/>
      <c r="AI376" s="2487"/>
      <c r="AJ376" s="2487"/>
      <c r="AK376" s="2487"/>
      <c r="AL376" s="2487"/>
      <c r="AM376" s="2487"/>
    </row>
    <row r="377" spans="1:39" ht="15.75" customHeight="1" x14ac:dyDescent="0.25">
      <c r="A377" s="2487"/>
      <c r="B377" s="2487"/>
      <c r="C377" s="2487"/>
      <c r="D377" s="2487"/>
      <c r="E377" s="2487"/>
      <c r="F377" s="2487"/>
      <c r="G377" s="2487"/>
      <c r="H377" s="2487"/>
      <c r="I377" s="2487"/>
      <c r="J377" s="2487"/>
      <c r="K377" s="2487"/>
      <c r="L377" s="2487"/>
      <c r="M377" s="2487"/>
      <c r="N377" s="2487"/>
      <c r="O377" s="2487"/>
      <c r="P377" s="2487"/>
      <c r="Q377" s="2487"/>
      <c r="R377" s="2487"/>
      <c r="S377" s="2487"/>
      <c r="T377" s="2487"/>
      <c r="U377" s="2487"/>
      <c r="V377" s="2487"/>
      <c r="W377" s="2487"/>
      <c r="X377" s="2487"/>
      <c r="Y377" s="2487"/>
      <c r="Z377" s="2487"/>
      <c r="AA377" s="2487"/>
      <c r="AB377" s="2487"/>
      <c r="AC377" s="2487"/>
      <c r="AD377" s="2487"/>
      <c r="AE377" s="2487"/>
      <c r="AF377" s="2487"/>
      <c r="AG377" s="2487"/>
      <c r="AH377" s="2487"/>
      <c r="AI377" s="2487"/>
      <c r="AJ377" s="2487"/>
      <c r="AK377" s="2487"/>
      <c r="AL377" s="2487"/>
      <c r="AM377" s="2487"/>
    </row>
    <row r="378" spans="1:39" ht="15.75" customHeight="1" x14ac:dyDescent="0.25">
      <c r="A378" s="2487"/>
      <c r="B378" s="2487"/>
      <c r="C378" s="2487"/>
      <c r="D378" s="2487"/>
      <c r="E378" s="2487"/>
      <c r="F378" s="2487"/>
      <c r="G378" s="2487"/>
      <c r="H378" s="2487"/>
      <c r="I378" s="2487"/>
      <c r="J378" s="2487"/>
      <c r="K378" s="2487"/>
      <c r="L378" s="2487"/>
      <c r="M378" s="2487"/>
      <c r="N378" s="2487"/>
      <c r="O378" s="2487"/>
      <c r="P378" s="2487"/>
      <c r="Q378" s="2487"/>
      <c r="R378" s="2487"/>
      <c r="S378" s="2487"/>
      <c r="T378" s="2487"/>
      <c r="U378" s="2487"/>
      <c r="V378" s="2487"/>
      <c r="W378" s="2487"/>
      <c r="X378" s="2487"/>
      <c r="Y378" s="2487"/>
      <c r="Z378" s="2487"/>
      <c r="AA378" s="2487"/>
      <c r="AB378" s="2487"/>
      <c r="AC378" s="2487"/>
      <c r="AD378" s="2487"/>
      <c r="AE378" s="2487"/>
      <c r="AF378" s="2487"/>
      <c r="AG378" s="2487"/>
      <c r="AH378" s="2487"/>
      <c r="AI378" s="2487"/>
      <c r="AJ378" s="2487"/>
      <c r="AK378" s="2487"/>
      <c r="AL378" s="2487"/>
      <c r="AM378" s="2487"/>
    </row>
    <row r="379" spans="1:39" ht="15.75" customHeight="1" x14ac:dyDescent="0.25">
      <c r="A379" s="2487"/>
      <c r="B379" s="2487"/>
      <c r="C379" s="2487"/>
      <c r="D379" s="2487"/>
      <c r="E379" s="2487"/>
      <c r="F379" s="2487"/>
      <c r="G379" s="2487"/>
      <c r="H379" s="2487"/>
      <c r="I379" s="2487"/>
      <c r="J379" s="2487"/>
      <c r="K379" s="2487"/>
      <c r="L379" s="2487"/>
      <c r="M379" s="2487"/>
      <c r="N379" s="2487"/>
      <c r="O379" s="2487"/>
      <c r="P379" s="2487"/>
      <c r="Q379" s="2487"/>
      <c r="R379" s="2487"/>
      <c r="S379" s="2487"/>
      <c r="T379" s="2487"/>
      <c r="U379" s="2487"/>
      <c r="V379" s="2487"/>
      <c r="W379" s="2487"/>
      <c r="X379" s="2487"/>
      <c r="Y379" s="2487"/>
      <c r="Z379" s="2487"/>
      <c r="AA379" s="2487"/>
      <c r="AB379" s="2487"/>
      <c r="AC379" s="2487"/>
      <c r="AD379" s="2487"/>
      <c r="AE379" s="2487"/>
      <c r="AF379" s="2487"/>
      <c r="AG379" s="2487"/>
      <c r="AH379" s="2487"/>
      <c r="AI379" s="2487"/>
      <c r="AJ379" s="2487"/>
      <c r="AK379" s="2487"/>
      <c r="AL379" s="2487"/>
      <c r="AM379" s="2487"/>
    </row>
    <row r="380" spans="1:39" ht="15.75" customHeight="1" x14ac:dyDescent="0.25">
      <c r="A380" s="2487"/>
      <c r="B380" s="2487"/>
      <c r="C380" s="2487"/>
      <c r="D380" s="2487"/>
      <c r="E380" s="2487"/>
      <c r="F380" s="2487"/>
      <c r="G380" s="2487"/>
      <c r="H380" s="2487"/>
      <c r="I380" s="2487"/>
      <c r="J380" s="2487"/>
      <c r="K380" s="2487"/>
      <c r="L380" s="2487"/>
      <c r="M380" s="2487"/>
      <c r="N380" s="2487"/>
      <c r="O380" s="2487"/>
      <c r="P380" s="2487"/>
      <c r="Q380" s="2487"/>
      <c r="R380" s="2487"/>
      <c r="S380" s="2487"/>
      <c r="T380" s="2487"/>
      <c r="U380" s="2487"/>
      <c r="V380" s="2487"/>
      <c r="W380" s="2487"/>
      <c r="X380" s="2487"/>
      <c r="Y380" s="2487"/>
      <c r="Z380" s="2487"/>
      <c r="AA380" s="2487"/>
      <c r="AB380" s="2487"/>
      <c r="AC380" s="2487"/>
      <c r="AD380" s="2487"/>
      <c r="AE380" s="2487"/>
      <c r="AF380" s="2487"/>
      <c r="AG380" s="2487"/>
      <c r="AH380" s="2487"/>
      <c r="AI380" s="2487"/>
      <c r="AJ380" s="2487"/>
      <c r="AK380" s="2487"/>
      <c r="AL380" s="2487"/>
      <c r="AM380" s="2487"/>
    </row>
    <row r="381" spans="1:39" ht="15.75" customHeight="1" x14ac:dyDescent="0.25">
      <c r="A381" s="2487"/>
      <c r="B381" s="2487"/>
      <c r="C381" s="2487"/>
      <c r="D381" s="2487"/>
      <c r="E381" s="2487"/>
      <c r="F381" s="2487"/>
      <c r="G381" s="2487"/>
      <c r="H381" s="2487"/>
      <c r="I381" s="2487"/>
      <c r="J381" s="2487"/>
      <c r="K381" s="2487"/>
      <c r="L381" s="2487"/>
      <c r="M381" s="2487"/>
      <c r="N381" s="2487"/>
      <c r="O381" s="2487"/>
      <c r="P381" s="2487"/>
      <c r="Q381" s="2487"/>
      <c r="R381" s="2487"/>
      <c r="S381" s="2487"/>
      <c r="T381" s="2487"/>
      <c r="U381" s="2487"/>
      <c r="V381" s="2487"/>
      <c r="W381" s="2487"/>
      <c r="X381" s="2487"/>
      <c r="Y381" s="2487"/>
      <c r="Z381" s="2487"/>
      <c r="AA381" s="2487"/>
      <c r="AB381" s="2487"/>
      <c r="AC381" s="2487"/>
      <c r="AD381" s="2487"/>
      <c r="AE381" s="2487"/>
      <c r="AF381" s="2487"/>
      <c r="AG381" s="2487"/>
      <c r="AH381" s="2487"/>
      <c r="AI381" s="2487"/>
      <c r="AJ381" s="2487"/>
      <c r="AK381" s="2487"/>
      <c r="AL381" s="2487"/>
      <c r="AM381" s="2487"/>
    </row>
    <row r="382" spans="1:39" ht="15.75" customHeight="1" x14ac:dyDescent="0.25">
      <c r="A382" s="2487"/>
      <c r="B382" s="2487"/>
      <c r="C382" s="2487"/>
      <c r="D382" s="2487"/>
      <c r="E382" s="2487"/>
      <c r="F382" s="2487"/>
      <c r="G382" s="2487"/>
      <c r="H382" s="2487"/>
      <c r="I382" s="2487"/>
      <c r="J382" s="2487"/>
      <c r="K382" s="2487"/>
      <c r="L382" s="2487"/>
      <c r="M382" s="2487"/>
      <c r="N382" s="2487"/>
      <c r="O382" s="2487"/>
      <c r="P382" s="2487"/>
      <c r="Q382" s="2487"/>
      <c r="R382" s="2487"/>
      <c r="S382" s="2487"/>
      <c r="T382" s="2487"/>
      <c r="U382" s="2487"/>
      <c r="V382" s="2487"/>
      <c r="W382" s="2487"/>
      <c r="X382" s="2487"/>
      <c r="Y382" s="2487"/>
      <c r="Z382" s="2487"/>
      <c r="AA382" s="2487"/>
      <c r="AB382" s="2487"/>
      <c r="AC382" s="2487"/>
      <c r="AD382" s="2487"/>
      <c r="AE382" s="2487"/>
      <c r="AF382" s="2487"/>
      <c r="AG382" s="2487"/>
      <c r="AH382" s="2487"/>
      <c r="AI382" s="2487"/>
      <c r="AJ382" s="2487"/>
      <c r="AK382" s="2487"/>
      <c r="AL382" s="2487"/>
      <c r="AM382" s="2487"/>
    </row>
    <row r="383" spans="1:39" ht="15.75" customHeight="1" x14ac:dyDescent="0.25">
      <c r="A383" s="2487"/>
      <c r="B383" s="2487"/>
      <c r="C383" s="2487"/>
      <c r="D383" s="2487"/>
      <c r="E383" s="2487"/>
      <c r="F383" s="2487"/>
      <c r="G383" s="2487"/>
      <c r="H383" s="2487"/>
      <c r="I383" s="2487"/>
      <c r="J383" s="2487"/>
      <c r="K383" s="2487"/>
      <c r="L383" s="2487"/>
      <c r="M383" s="2487"/>
      <c r="N383" s="2487"/>
      <c r="O383" s="2487"/>
      <c r="P383" s="2487"/>
      <c r="Q383" s="2487"/>
      <c r="R383" s="2487"/>
      <c r="S383" s="2487"/>
      <c r="T383" s="2487"/>
      <c r="U383" s="2487"/>
      <c r="V383" s="2487"/>
      <c r="W383" s="2487"/>
      <c r="X383" s="2487"/>
      <c r="Y383" s="2487"/>
      <c r="Z383" s="2487"/>
      <c r="AA383" s="2487"/>
      <c r="AB383" s="2487"/>
      <c r="AC383" s="2487"/>
      <c r="AD383" s="2487"/>
      <c r="AE383" s="2487"/>
      <c r="AF383" s="2487"/>
      <c r="AG383" s="2487"/>
      <c r="AH383" s="2487"/>
      <c r="AI383" s="2487"/>
      <c r="AJ383" s="2487"/>
      <c r="AK383" s="2487"/>
      <c r="AL383" s="2487"/>
      <c r="AM383" s="2487"/>
    </row>
    <row r="384" spans="1:39" ht="15.75" customHeight="1" x14ac:dyDescent="0.25">
      <c r="A384" s="2487"/>
      <c r="B384" s="2487"/>
      <c r="C384" s="2487"/>
      <c r="D384" s="2487"/>
      <c r="E384" s="2487"/>
      <c r="F384" s="2487"/>
      <c r="G384" s="2487"/>
      <c r="H384" s="2487"/>
      <c r="I384" s="2487"/>
      <c r="J384" s="2487"/>
      <c r="K384" s="2487"/>
      <c r="L384" s="2487"/>
      <c r="M384" s="2487"/>
      <c r="N384" s="2487"/>
      <c r="O384" s="2487"/>
      <c r="P384" s="2487"/>
      <c r="Q384" s="2487"/>
      <c r="R384" s="2487"/>
      <c r="S384" s="2487"/>
      <c r="T384" s="2487"/>
      <c r="U384" s="2487"/>
      <c r="V384" s="2487"/>
      <c r="W384" s="2487"/>
      <c r="X384" s="2487"/>
      <c r="Y384" s="2487"/>
      <c r="Z384" s="2487"/>
      <c r="AA384" s="2487"/>
      <c r="AB384" s="2487"/>
      <c r="AC384" s="2487"/>
      <c r="AD384" s="2487"/>
      <c r="AE384" s="2487"/>
      <c r="AF384" s="2487"/>
      <c r="AG384" s="2487"/>
      <c r="AH384" s="2487"/>
      <c r="AI384" s="2487"/>
      <c r="AJ384" s="2487"/>
      <c r="AK384" s="2487"/>
      <c r="AL384" s="2487"/>
      <c r="AM384" s="2487"/>
    </row>
    <row r="385" spans="1:39" ht="15.75" customHeight="1" x14ac:dyDescent="0.25">
      <c r="A385" s="2487"/>
      <c r="B385" s="2487"/>
      <c r="C385" s="2487"/>
      <c r="D385" s="2487"/>
      <c r="E385" s="2487"/>
      <c r="F385" s="2487"/>
      <c r="G385" s="2487"/>
      <c r="H385" s="2487"/>
      <c r="I385" s="2487"/>
      <c r="J385" s="2487"/>
      <c r="K385" s="2487"/>
      <c r="L385" s="2487"/>
      <c r="M385" s="2487"/>
      <c r="N385" s="2487"/>
      <c r="O385" s="2487"/>
      <c r="P385" s="2487"/>
      <c r="Q385" s="2487"/>
      <c r="R385" s="2487"/>
      <c r="S385" s="2487"/>
      <c r="T385" s="2487"/>
      <c r="U385" s="2487"/>
      <c r="V385" s="2487"/>
      <c r="W385" s="2487"/>
      <c r="X385" s="2487"/>
      <c r="Y385" s="2487"/>
      <c r="Z385" s="2487"/>
      <c r="AA385" s="2487"/>
      <c r="AB385" s="2487"/>
      <c r="AC385" s="2487"/>
      <c r="AD385" s="2487"/>
      <c r="AE385" s="2487"/>
      <c r="AF385" s="2487"/>
      <c r="AG385" s="2487"/>
      <c r="AH385" s="2487"/>
      <c r="AI385" s="2487"/>
      <c r="AJ385" s="2487"/>
      <c r="AK385" s="2487"/>
      <c r="AL385" s="2487"/>
      <c r="AM385" s="2487"/>
    </row>
    <row r="386" spans="1:39" ht="15.75" customHeight="1" x14ac:dyDescent="0.25">
      <c r="A386" s="2487"/>
      <c r="B386" s="2487"/>
      <c r="C386" s="2487"/>
      <c r="D386" s="2487"/>
      <c r="E386" s="2487"/>
      <c r="F386" s="2487"/>
      <c r="G386" s="2487"/>
      <c r="H386" s="2487"/>
      <c r="I386" s="2487"/>
      <c r="J386" s="2487"/>
      <c r="K386" s="2487"/>
      <c r="L386" s="2487"/>
      <c r="M386" s="2487"/>
      <c r="N386" s="2487"/>
      <c r="O386" s="2487"/>
      <c r="P386" s="2487"/>
      <c r="Q386" s="2487"/>
      <c r="R386" s="2487"/>
      <c r="S386" s="2487"/>
      <c r="T386" s="2487"/>
      <c r="U386" s="2487"/>
      <c r="V386" s="2487"/>
      <c r="W386" s="2487"/>
      <c r="X386" s="2487"/>
      <c r="Y386" s="2487"/>
      <c r="Z386" s="2487"/>
      <c r="AA386" s="2487"/>
      <c r="AB386" s="2487"/>
      <c r="AC386" s="2487"/>
      <c r="AD386" s="2487"/>
      <c r="AE386" s="2487"/>
      <c r="AF386" s="2487"/>
      <c r="AG386" s="2487"/>
      <c r="AH386" s="2487"/>
      <c r="AI386" s="2487"/>
      <c r="AJ386" s="2487"/>
      <c r="AK386" s="2487"/>
      <c r="AL386" s="2487"/>
      <c r="AM386" s="2487"/>
    </row>
    <row r="387" spans="1:39" ht="15.75" customHeight="1" x14ac:dyDescent="0.25">
      <c r="A387" s="2487"/>
      <c r="B387" s="2487"/>
      <c r="C387" s="2487"/>
      <c r="D387" s="2487"/>
      <c r="E387" s="2487"/>
      <c r="F387" s="2487"/>
      <c r="G387" s="2487"/>
      <c r="H387" s="2487"/>
      <c r="I387" s="2487"/>
      <c r="J387" s="2487"/>
      <c r="K387" s="2487"/>
      <c r="L387" s="2487"/>
      <c r="M387" s="2487"/>
      <c r="N387" s="2487"/>
      <c r="O387" s="2487"/>
      <c r="P387" s="2487"/>
      <c r="Q387" s="2487"/>
      <c r="R387" s="2487"/>
      <c r="S387" s="2487"/>
      <c r="T387" s="2487"/>
      <c r="U387" s="2487"/>
      <c r="V387" s="2487"/>
      <c r="W387" s="2487"/>
      <c r="X387" s="2487"/>
      <c r="Y387" s="2487"/>
      <c r="Z387" s="2487"/>
      <c r="AA387" s="2487"/>
      <c r="AB387" s="2487"/>
      <c r="AC387" s="2487"/>
      <c r="AD387" s="2487"/>
      <c r="AE387" s="2487"/>
      <c r="AF387" s="2487"/>
      <c r="AG387" s="2487"/>
      <c r="AH387" s="2487"/>
      <c r="AI387" s="2487"/>
      <c r="AJ387" s="2487"/>
      <c r="AK387" s="2487"/>
      <c r="AL387" s="2487"/>
      <c r="AM387" s="2487"/>
    </row>
    <row r="388" spans="1:39" ht="15.75" customHeight="1" x14ac:dyDescent="0.25">
      <c r="A388" s="2487"/>
      <c r="B388" s="2487"/>
      <c r="C388" s="2487"/>
      <c r="D388" s="2487"/>
      <c r="E388" s="2487"/>
      <c r="F388" s="2487"/>
      <c r="G388" s="2487"/>
      <c r="H388" s="2487"/>
      <c r="I388" s="2487"/>
      <c r="J388" s="2487"/>
      <c r="K388" s="2487"/>
      <c r="L388" s="2487"/>
      <c r="M388" s="2487"/>
      <c r="N388" s="2487"/>
      <c r="O388" s="2487"/>
      <c r="P388" s="2487"/>
      <c r="Q388" s="2487"/>
      <c r="R388" s="2487"/>
      <c r="S388" s="2487"/>
      <c r="T388" s="2487"/>
      <c r="U388" s="2487"/>
      <c r="V388" s="2487"/>
      <c r="W388" s="2487"/>
      <c r="X388" s="2487"/>
      <c r="Y388" s="2487"/>
      <c r="Z388" s="2487"/>
      <c r="AA388" s="2487"/>
      <c r="AB388" s="2487"/>
      <c r="AC388" s="2487"/>
      <c r="AD388" s="2487"/>
      <c r="AE388" s="2487"/>
      <c r="AF388" s="2487"/>
      <c r="AG388" s="2487"/>
      <c r="AH388" s="2487"/>
      <c r="AI388" s="2487"/>
      <c r="AJ388" s="2487"/>
      <c r="AK388" s="2487"/>
      <c r="AL388" s="2487"/>
      <c r="AM388" s="2487"/>
    </row>
    <row r="389" spans="1:39" ht="15.75" customHeight="1" x14ac:dyDescent="0.25">
      <c r="A389" s="2487"/>
      <c r="B389" s="2487"/>
      <c r="C389" s="2487"/>
      <c r="D389" s="2487"/>
      <c r="E389" s="2487"/>
      <c r="F389" s="2487"/>
      <c r="G389" s="2487"/>
      <c r="H389" s="2487"/>
      <c r="I389" s="2487"/>
      <c r="J389" s="2487"/>
      <c r="K389" s="2487"/>
      <c r="L389" s="2487"/>
      <c r="M389" s="2487"/>
      <c r="N389" s="2487"/>
      <c r="O389" s="2487"/>
      <c r="P389" s="2487"/>
      <c r="Q389" s="2487"/>
      <c r="R389" s="2487"/>
      <c r="S389" s="2487"/>
      <c r="T389" s="2487"/>
      <c r="U389" s="2487"/>
      <c r="V389" s="2487"/>
      <c r="W389" s="2487"/>
      <c r="X389" s="2487"/>
      <c r="Y389" s="2487"/>
      <c r="Z389" s="2487"/>
      <c r="AA389" s="2487"/>
      <c r="AB389" s="2487"/>
      <c r="AC389" s="2487"/>
      <c r="AD389" s="2487"/>
      <c r="AE389" s="2487"/>
      <c r="AF389" s="2487"/>
      <c r="AG389" s="2487"/>
      <c r="AH389" s="2487"/>
      <c r="AI389" s="2487"/>
      <c r="AJ389" s="2487"/>
      <c r="AK389" s="2487"/>
      <c r="AL389" s="2487"/>
      <c r="AM389" s="2487"/>
    </row>
    <row r="390" spans="1:39" ht="15.75" customHeight="1" x14ac:dyDescent="0.25">
      <c r="A390" s="2487"/>
      <c r="B390" s="2487"/>
      <c r="C390" s="2487"/>
      <c r="D390" s="2487"/>
      <c r="E390" s="2487"/>
      <c r="F390" s="2487"/>
      <c r="G390" s="2487"/>
      <c r="H390" s="2487"/>
      <c r="I390" s="2487"/>
      <c r="J390" s="2487"/>
      <c r="K390" s="2487"/>
      <c r="L390" s="2487"/>
      <c r="M390" s="2487"/>
      <c r="N390" s="2487"/>
      <c r="O390" s="2487"/>
      <c r="P390" s="2487"/>
      <c r="Q390" s="2487"/>
      <c r="R390" s="2487"/>
      <c r="S390" s="2487"/>
      <c r="T390" s="2487"/>
      <c r="U390" s="2487"/>
      <c r="V390" s="2487"/>
      <c r="W390" s="2487"/>
      <c r="X390" s="2487"/>
      <c r="Y390" s="2487"/>
      <c r="Z390" s="2487"/>
      <c r="AA390" s="2487"/>
      <c r="AB390" s="2487"/>
      <c r="AC390" s="2487"/>
      <c r="AD390" s="2487"/>
      <c r="AE390" s="2487"/>
      <c r="AF390" s="2487"/>
      <c r="AG390" s="2487"/>
      <c r="AH390" s="2487"/>
      <c r="AI390" s="2487"/>
      <c r="AJ390" s="2487"/>
      <c r="AK390" s="2487"/>
      <c r="AL390" s="2487"/>
      <c r="AM390" s="2487"/>
    </row>
    <row r="391" spans="1:39" ht="15.75" customHeight="1" x14ac:dyDescent="0.25">
      <c r="A391" s="2487"/>
      <c r="B391" s="2487"/>
      <c r="C391" s="2487"/>
      <c r="D391" s="2487"/>
      <c r="E391" s="2487"/>
      <c r="F391" s="2487"/>
      <c r="G391" s="2487"/>
      <c r="H391" s="2487"/>
      <c r="I391" s="2487"/>
      <c r="J391" s="2487"/>
      <c r="K391" s="2487"/>
      <c r="L391" s="2487"/>
      <c r="M391" s="2487"/>
      <c r="N391" s="2487"/>
      <c r="O391" s="2487"/>
      <c r="P391" s="2487"/>
      <c r="Q391" s="2487"/>
      <c r="R391" s="2487"/>
      <c r="S391" s="2487"/>
      <c r="T391" s="2487"/>
      <c r="U391" s="2487"/>
      <c r="V391" s="2487"/>
      <c r="W391" s="2487"/>
      <c r="X391" s="2487"/>
      <c r="Y391" s="2487"/>
      <c r="Z391" s="2487"/>
      <c r="AA391" s="2487"/>
      <c r="AB391" s="2487"/>
      <c r="AC391" s="2487"/>
      <c r="AD391" s="2487"/>
      <c r="AE391" s="2487"/>
      <c r="AF391" s="2487"/>
      <c r="AG391" s="2487"/>
      <c r="AH391" s="2487"/>
      <c r="AI391" s="2487"/>
      <c r="AJ391" s="2487"/>
      <c r="AK391" s="2487"/>
      <c r="AL391" s="2487"/>
      <c r="AM391" s="2487"/>
    </row>
    <row r="392" spans="1:39" ht="15.75" customHeight="1" x14ac:dyDescent="0.25">
      <c r="A392" s="2487"/>
      <c r="B392" s="2487"/>
      <c r="C392" s="2487"/>
      <c r="D392" s="2487"/>
      <c r="E392" s="2487"/>
      <c r="F392" s="2487"/>
      <c r="G392" s="2487"/>
      <c r="H392" s="2487"/>
      <c r="I392" s="2487"/>
      <c r="J392" s="2487"/>
      <c r="K392" s="2487"/>
      <c r="L392" s="2487"/>
      <c r="M392" s="2487"/>
      <c r="N392" s="2487"/>
      <c r="O392" s="2487"/>
      <c r="P392" s="2487"/>
      <c r="Q392" s="2487"/>
      <c r="R392" s="2487"/>
      <c r="S392" s="2487"/>
      <c r="T392" s="2487"/>
      <c r="U392" s="2487"/>
      <c r="V392" s="2487"/>
      <c r="W392" s="2487"/>
      <c r="X392" s="2487"/>
      <c r="Y392" s="2487"/>
      <c r="Z392" s="2487"/>
      <c r="AA392" s="2487"/>
      <c r="AB392" s="2487"/>
      <c r="AC392" s="2487"/>
      <c r="AD392" s="2487"/>
      <c r="AE392" s="2487"/>
      <c r="AF392" s="2487"/>
      <c r="AG392" s="2487"/>
      <c r="AH392" s="2487"/>
      <c r="AI392" s="2487"/>
      <c r="AJ392" s="2487"/>
      <c r="AK392" s="2487"/>
      <c r="AL392" s="2487"/>
      <c r="AM392" s="2487"/>
    </row>
    <row r="393" spans="1:39" ht="15.75" customHeight="1" x14ac:dyDescent="0.25">
      <c r="A393" s="2487"/>
      <c r="B393" s="2487"/>
      <c r="C393" s="2487"/>
      <c r="D393" s="2487"/>
      <c r="E393" s="2487"/>
      <c r="F393" s="2487"/>
      <c r="G393" s="2487"/>
      <c r="H393" s="2487"/>
      <c r="I393" s="2487"/>
      <c r="J393" s="2487"/>
      <c r="K393" s="2487"/>
      <c r="L393" s="2487"/>
      <c r="M393" s="2487"/>
      <c r="N393" s="2487"/>
      <c r="O393" s="2487"/>
      <c r="P393" s="2487"/>
      <c r="Q393" s="2487"/>
      <c r="R393" s="2487"/>
      <c r="S393" s="2487"/>
      <c r="T393" s="2487"/>
      <c r="U393" s="2487"/>
      <c r="V393" s="2487"/>
      <c r="W393" s="2487"/>
      <c r="X393" s="2487"/>
      <c r="Y393" s="2487"/>
      <c r="Z393" s="2487"/>
      <c r="AA393" s="2487"/>
      <c r="AB393" s="2487"/>
      <c r="AC393" s="2487"/>
      <c r="AD393" s="2487"/>
      <c r="AE393" s="2487"/>
      <c r="AF393" s="2487"/>
      <c r="AG393" s="2487"/>
      <c r="AH393" s="2487"/>
      <c r="AI393" s="2487"/>
      <c r="AJ393" s="2487"/>
      <c r="AK393" s="2487"/>
      <c r="AL393" s="2487"/>
      <c r="AM393" s="2487"/>
    </row>
    <row r="394" spans="1:39" ht="15.75" customHeight="1" x14ac:dyDescent="0.25">
      <c r="A394" s="2487"/>
      <c r="B394" s="2487"/>
      <c r="C394" s="2487"/>
      <c r="D394" s="2487"/>
      <c r="E394" s="2487"/>
      <c r="F394" s="2487"/>
      <c r="G394" s="2487"/>
      <c r="H394" s="2487"/>
      <c r="I394" s="2487"/>
      <c r="J394" s="2487"/>
      <c r="K394" s="2487"/>
      <c r="L394" s="2487"/>
      <c r="M394" s="2487"/>
      <c r="N394" s="2487"/>
      <c r="O394" s="2487"/>
      <c r="P394" s="2487"/>
      <c r="Q394" s="2487"/>
      <c r="R394" s="2487"/>
      <c r="S394" s="2487"/>
      <c r="T394" s="2487"/>
      <c r="U394" s="2487"/>
      <c r="V394" s="2487"/>
      <c r="W394" s="2487"/>
      <c r="X394" s="2487"/>
      <c r="Y394" s="2487"/>
      <c r="Z394" s="2487"/>
      <c r="AA394" s="2487"/>
      <c r="AB394" s="2487"/>
      <c r="AC394" s="2487"/>
      <c r="AD394" s="2487"/>
      <c r="AE394" s="2487"/>
      <c r="AF394" s="2487"/>
      <c r="AG394" s="2487"/>
      <c r="AH394" s="2487"/>
      <c r="AI394" s="2487"/>
      <c r="AJ394" s="2487"/>
      <c r="AK394" s="2487"/>
      <c r="AL394" s="2487"/>
      <c r="AM394" s="2487"/>
    </row>
    <row r="395" spans="1:39" ht="15.75" customHeight="1" x14ac:dyDescent="0.25">
      <c r="A395" s="2487"/>
      <c r="B395" s="2487"/>
      <c r="C395" s="2487"/>
      <c r="D395" s="2487"/>
      <c r="E395" s="2487"/>
      <c r="F395" s="2487"/>
      <c r="G395" s="2487"/>
      <c r="H395" s="2487"/>
      <c r="I395" s="2487"/>
      <c r="J395" s="2487"/>
      <c r="K395" s="2487"/>
      <c r="L395" s="2487"/>
      <c r="M395" s="2487"/>
      <c r="N395" s="2487"/>
      <c r="O395" s="2487"/>
      <c r="P395" s="2487"/>
      <c r="Q395" s="2487"/>
      <c r="R395" s="2487"/>
      <c r="S395" s="2487"/>
      <c r="T395" s="2487"/>
      <c r="U395" s="2487"/>
      <c r="V395" s="2487"/>
      <c r="W395" s="2487"/>
      <c r="X395" s="2487"/>
      <c r="Y395" s="2487"/>
      <c r="Z395" s="2487"/>
      <c r="AA395" s="2487"/>
      <c r="AB395" s="2487"/>
      <c r="AC395" s="2487"/>
      <c r="AD395" s="2487"/>
      <c r="AE395" s="2487"/>
      <c r="AF395" s="2487"/>
      <c r="AG395" s="2487"/>
      <c r="AH395" s="2487"/>
      <c r="AI395" s="2487"/>
      <c r="AJ395" s="2487"/>
      <c r="AK395" s="2487"/>
      <c r="AL395" s="2487"/>
      <c r="AM395" s="2487"/>
    </row>
    <row r="396" spans="1:39" ht="15.75" customHeight="1" x14ac:dyDescent="0.25">
      <c r="A396" s="2487"/>
      <c r="B396" s="2487"/>
      <c r="C396" s="2487"/>
      <c r="D396" s="2487"/>
      <c r="E396" s="2487"/>
      <c r="F396" s="2487"/>
      <c r="G396" s="2487"/>
      <c r="H396" s="2487"/>
      <c r="I396" s="2487"/>
      <c r="J396" s="2487"/>
      <c r="K396" s="2487"/>
      <c r="L396" s="2487"/>
      <c r="M396" s="2487"/>
      <c r="N396" s="2487"/>
      <c r="O396" s="2487"/>
      <c r="P396" s="2487"/>
      <c r="Q396" s="2487"/>
      <c r="R396" s="2487"/>
      <c r="S396" s="2487"/>
      <c r="T396" s="2487"/>
      <c r="U396" s="2487"/>
      <c r="V396" s="2487"/>
      <c r="W396" s="2487"/>
      <c r="X396" s="2487"/>
      <c r="Y396" s="2487"/>
      <c r="Z396" s="2487"/>
      <c r="AA396" s="2487"/>
      <c r="AB396" s="2487"/>
      <c r="AC396" s="2487"/>
      <c r="AD396" s="2487"/>
      <c r="AE396" s="2487"/>
      <c r="AF396" s="2487"/>
      <c r="AG396" s="2487"/>
      <c r="AH396" s="2487"/>
      <c r="AI396" s="2487"/>
      <c r="AJ396" s="2487"/>
      <c r="AK396" s="2487"/>
      <c r="AL396" s="2487"/>
      <c r="AM396" s="2487"/>
    </row>
    <row r="397" spans="1:39" ht="15.75" customHeight="1" x14ac:dyDescent="0.25">
      <c r="A397" s="2487"/>
      <c r="B397" s="2487"/>
      <c r="C397" s="2487"/>
      <c r="D397" s="2487"/>
      <c r="E397" s="2487"/>
      <c r="F397" s="2487"/>
      <c r="G397" s="2487"/>
      <c r="H397" s="2487"/>
      <c r="I397" s="2487"/>
      <c r="J397" s="2487"/>
      <c r="K397" s="2487"/>
      <c r="L397" s="2487"/>
      <c r="M397" s="2487"/>
      <c r="N397" s="2487"/>
      <c r="O397" s="2487"/>
      <c r="P397" s="2487"/>
      <c r="Q397" s="2487"/>
      <c r="R397" s="2487"/>
      <c r="S397" s="2487"/>
      <c r="T397" s="2487"/>
      <c r="U397" s="2487"/>
      <c r="V397" s="2487"/>
      <c r="W397" s="2487"/>
      <c r="X397" s="2487"/>
      <c r="Y397" s="2487"/>
      <c r="Z397" s="2487"/>
      <c r="AA397" s="2487"/>
      <c r="AB397" s="2487"/>
      <c r="AC397" s="2487"/>
      <c r="AD397" s="2487"/>
      <c r="AE397" s="2487"/>
      <c r="AF397" s="2487"/>
      <c r="AG397" s="2487"/>
      <c r="AH397" s="2487"/>
      <c r="AI397" s="2487"/>
      <c r="AJ397" s="2487"/>
      <c r="AK397" s="2487"/>
      <c r="AL397" s="2487"/>
      <c r="AM397" s="2487"/>
    </row>
    <row r="398" spans="1:39" ht="15.75" customHeight="1" x14ac:dyDescent="0.25">
      <c r="A398" s="2487"/>
      <c r="B398" s="2487"/>
      <c r="C398" s="2487"/>
      <c r="D398" s="2487"/>
      <c r="E398" s="2487"/>
      <c r="F398" s="2487"/>
      <c r="G398" s="2487"/>
      <c r="H398" s="2487"/>
      <c r="I398" s="2487"/>
      <c r="J398" s="2487"/>
      <c r="K398" s="2487"/>
      <c r="L398" s="2487"/>
      <c r="M398" s="2487"/>
      <c r="N398" s="2487"/>
      <c r="O398" s="2487"/>
      <c r="P398" s="2487"/>
      <c r="Q398" s="2487"/>
      <c r="R398" s="2487"/>
      <c r="S398" s="2487"/>
      <c r="T398" s="2487"/>
      <c r="U398" s="2487"/>
      <c r="V398" s="2487"/>
      <c r="W398" s="2487"/>
      <c r="X398" s="2487"/>
      <c r="Y398" s="2487"/>
      <c r="Z398" s="2487"/>
      <c r="AA398" s="2487"/>
      <c r="AB398" s="2487"/>
      <c r="AC398" s="2487"/>
      <c r="AD398" s="2487"/>
      <c r="AE398" s="2487"/>
      <c r="AF398" s="2487"/>
      <c r="AG398" s="2487"/>
      <c r="AH398" s="2487"/>
      <c r="AI398" s="2487"/>
      <c r="AJ398" s="2487"/>
      <c r="AK398" s="2487"/>
      <c r="AL398" s="2487"/>
      <c r="AM398" s="2487"/>
    </row>
    <row r="399" spans="1:39" ht="15.75" customHeight="1" x14ac:dyDescent="0.25">
      <c r="A399" s="2487"/>
      <c r="B399" s="2487"/>
      <c r="C399" s="2487"/>
      <c r="D399" s="2487"/>
      <c r="E399" s="2487"/>
      <c r="F399" s="2487"/>
      <c r="G399" s="2487"/>
      <c r="H399" s="2487"/>
      <c r="I399" s="2487"/>
      <c r="J399" s="2487"/>
      <c r="K399" s="2487"/>
      <c r="L399" s="2487"/>
      <c r="M399" s="2487"/>
      <c r="N399" s="2487"/>
      <c r="O399" s="2487"/>
      <c r="P399" s="2487"/>
      <c r="Q399" s="2487"/>
      <c r="R399" s="2487"/>
      <c r="S399" s="2487"/>
      <c r="T399" s="2487"/>
      <c r="U399" s="2487"/>
      <c r="V399" s="2487"/>
      <c r="W399" s="2487"/>
      <c r="X399" s="2487"/>
      <c r="Y399" s="2487"/>
      <c r="Z399" s="2487"/>
      <c r="AA399" s="2487"/>
      <c r="AB399" s="2487"/>
      <c r="AC399" s="2487"/>
      <c r="AD399" s="2487"/>
      <c r="AE399" s="2487"/>
      <c r="AF399" s="2487"/>
      <c r="AG399" s="2487"/>
      <c r="AH399" s="2487"/>
      <c r="AI399" s="2487"/>
      <c r="AJ399" s="2487"/>
      <c r="AK399" s="2487"/>
      <c r="AL399" s="2487"/>
      <c r="AM399" s="2487"/>
    </row>
    <row r="400" spans="1:39" ht="15.75" customHeight="1" x14ac:dyDescent="0.25">
      <c r="A400" s="2487"/>
      <c r="B400" s="2487"/>
      <c r="C400" s="2487"/>
      <c r="D400" s="2487"/>
      <c r="E400" s="2487"/>
      <c r="F400" s="2487"/>
      <c r="G400" s="2487"/>
      <c r="H400" s="2487"/>
      <c r="I400" s="2487"/>
      <c r="J400" s="2487"/>
      <c r="K400" s="2487"/>
      <c r="L400" s="2487"/>
      <c r="M400" s="2487"/>
      <c r="N400" s="2487"/>
      <c r="O400" s="2487"/>
      <c r="P400" s="2487"/>
      <c r="Q400" s="2487"/>
      <c r="R400" s="2487"/>
      <c r="S400" s="2487"/>
      <c r="T400" s="2487"/>
      <c r="U400" s="2487"/>
      <c r="V400" s="2487"/>
      <c r="W400" s="2487"/>
      <c r="X400" s="2487"/>
      <c r="Y400" s="2487"/>
      <c r="Z400" s="2487"/>
      <c r="AA400" s="2487"/>
      <c r="AB400" s="2487"/>
      <c r="AC400" s="2487"/>
      <c r="AD400" s="2487"/>
      <c r="AE400" s="2487"/>
      <c r="AF400" s="2487"/>
      <c r="AG400" s="2487"/>
      <c r="AH400" s="2487"/>
      <c r="AI400" s="2487"/>
      <c r="AJ400" s="2487"/>
      <c r="AK400" s="2487"/>
      <c r="AL400" s="2487"/>
      <c r="AM400" s="2487"/>
    </row>
    <row r="401" spans="1:39" ht="15.75" customHeight="1" x14ac:dyDescent="0.25">
      <c r="A401" s="2487"/>
      <c r="B401" s="2487"/>
      <c r="C401" s="2487"/>
      <c r="D401" s="2487"/>
      <c r="E401" s="2487"/>
      <c r="F401" s="2487"/>
      <c r="G401" s="2487"/>
      <c r="H401" s="2487"/>
      <c r="I401" s="2487"/>
      <c r="J401" s="2487"/>
      <c r="K401" s="2487"/>
      <c r="L401" s="2487"/>
      <c r="M401" s="2487"/>
      <c r="N401" s="2487"/>
      <c r="O401" s="2487"/>
      <c r="P401" s="2487"/>
      <c r="Q401" s="2487"/>
      <c r="R401" s="2487"/>
      <c r="S401" s="2487"/>
      <c r="T401" s="2487"/>
      <c r="U401" s="2487"/>
      <c r="V401" s="2487"/>
      <c r="W401" s="2487"/>
      <c r="X401" s="2487"/>
      <c r="Y401" s="2487"/>
      <c r="Z401" s="2487"/>
      <c r="AA401" s="2487"/>
      <c r="AB401" s="2487"/>
      <c r="AC401" s="2487"/>
      <c r="AD401" s="2487"/>
      <c r="AE401" s="2487"/>
      <c r="AF401" s="2487"/>
      <c r="AG401" s="2487"/>
      <c r="AH401" s="2487"/>
      <c r="AI401" s="2487"/>
      <c r="AJ401" s="2487"/>
      <c r="AK401" s="2487"/>
      <c r="AL401" s="2487"/>
      <c r="AM401" s="2487"/>
    </row>
    <row r="402" spans="1:39" ht="15.75" customHeight="1" x14ac:dyDescent="0.25">
      <c r="A402" s="2487"/>
      <c r="B402" s="2487"/>
      <c r="C402" s="2487"/>
      <c r="D402" s="2487"/>
      <c r="E402" s="2487"/>
      <c r="F402" s="2487"/>
      <c r="G402" s="2487"/>
      <c r="H402" s="2487"/>
      <c r="I402" s="2487"/>
      <c r="J402" s="2487"/>
      <c r="K402" s="2487"/>
      <c r="L402" s="2487"/>
      <c r="M402" s="2487"/>
      <c r="N402" s="2487"/>
      <c r="O402" s="2487"/>
      <c r="P402" s="2487"/>
      <c r="Q402" s="2487"/>
      <c r="R402" s="2487"/>
      <c r="S402" s="2487"/>
      <c r="T402" s="2487"/>
      <c r="U402" s="2487"/>
      <c r="V402" s="2487"/>
      <c r="W402" s="2487"/>
      <c r="X402" s="2487"/>
      <c r="Y402" s="2487"/>
      <c r="Z402" s="2487"/>
      <c r="AA402" s="2487"/>
      <c r="AB402" s="2487"/>
      <c r="AC402" s="2487"/>
      <c r="AD402" s="2487"/>
      <c r="AE402" s="2487"/>
      <c r="AF402" s="2487"/>
      <c r="AG402" s="2487"/>
      <c r="AH402" s="2487"/>
      <c r="AI402" s="2487"/>
      <c r="AJ402" s="2487"/>
      <c r="AK402" s="2487"/>
      <c r="AL402" s="2487"/>
      <c r="AM402" s="2487"/>
    </row>
    <row r="403" spans="1:39" ht="15.75" customHeight="1" x14ac:dyDescent="0.25">
      <c r="A403" s="2487"/>
      <c r="B403" s="2487"/>
      <c r="C403" s="2487"/>
      <c r="D403" s="2487"/>
      <c r="E403" s="2487"/>
      <c r="F403" s="2487"/>
      <c r="G403" s="2487"/>
      <c r="H403" s="2487"/>
      <c r="I403" s="2487"/>
      <c r="J403" s="2487"/>
      <c r="K403" s="2487"/>
      <c r="L403" s="2487"/>
      <c r="M403" s="2487"/>
      <c r="N403" s="2487"/>
      <c r="O403" s="2487"/>
      <c r="P403" s="2487"/>
      <c r="Q403" s="2487"/>
      <c r="R403" s="2487"/>
      <c r="S403" s="2487"/>
      <c r="T403" s="2487"/>
      <c r="U403" s="2487"/>
      <c r="V403" s="2487"/>
      <c r="W403" s="2487"/>
      <c r="X403" s="2487"/>
      <c r="Y403" s="2487"/>
      <c r="Z403" s="2487"/>
      <c r="AA403" s="2487"/>
      <c r="AB403" s="2487"/>
      <c r="AC403" s="2487"/>
      <c r="AD403" s="2487"/>
      <c r="AE403" s="2487"/>
      <c r="AF403" s="2487"/>
      <c r="AG403" s="2487"/>
      <c r="AH403" s="2487"/>
      <c r="AI403" s="2487"/>
      <c r="AJ403" s="2487"/>
      <c r="AK403" s="2487"/>
      <c r="AL403" s="2487"/>
      <c r="AM403" s="2487"/>
    </row>
    <row r="404" spans="1:39" ht="15.75" customHeight="1" x14ac:dyDescent="0.25">
      <c r="A404" s="2487"/>
      <c r="B404" s="2487"/>
      <c r="C404" s="2487"/>
      <c r="D404" s="2487"/>
      <c r="E404" s="2487"/>
      <c r="F404" s="2487"/>
      <c r="G404" s="2487"/>
      <c r="H404" s="2487"/>
      <c r="I404" s="2487"/>
      <c r="J404" s="2487"/>
      <c r="K404" s="2487"/>
      <c r="L404" s="2487"/>
      <c r="M404" s="2487"/>
      <c r="N404" s="2487"/>
      <c r="O404" s="2487"/>
      <c r="P404" s="2487"/>
      <c r="Q404" s="2487"/>
      <c r="R404" s="2487"/>
      <c r="S404" s="2487"/>
      <c r="T404" s="2487"/>
      <c r="U404" s="2487"/>
      <c r="V404" s="2487"/>
      <c r="W404" s="2487"/>
      <c r="X404" s="2487"/>
      <c r="Y404" s="2487"/>
      <c r="Z404" s="2487"/>
      <c r="AA404" s="2487"/>
      <c r="AB404" s="2487"/>
      <c r="AC404" s="2487"/>
      <c r="AD404" s="2487"/>
      <c r="AE404" s="2487"/>
      <c r="AF404" s="2487"/>
      <c r="AG404" s="2487"/>
      <c r="AH404" s="2487"/>
      <c r="AI404" s="2487"/>
      <c r="AJ404" s="2487"/>
      <c r="AK404" s="2487"/>
      <c r="AL404" s="2487"/>
      <c r="AM404" s="2487"/>
    </row>
    <row r="405" spans="1:39" ht="15.75" customHeight="1" x14ac:dyDescent="0.25">
      <c r="A405" s="2487"/>
      <c r="B405" s="2487"/>
      <c r="C405" s="2487"/>
      <c r="D405" s="2487"/>
      <c r="E405" s="2487"/>
      <c r="F405" s="2487"/>
      <c r="G405" s="2487"/>
      <c r="H405" s="2487"/>
      <c r="I405" s="2487"/>
      <c r="J405" s="2487"/>
      <c r="K405" s="2487"/>
      <c r="L405" s="2487"/>
      <c r="M405" s="2487"/>
      <c r="N405" s="2487"/>
      <c r="O405" s="2487"/>
      <c r="P405" s="2487"/>
      <c r="Q405" s="2487"/>
      <c r="R405" s="2487"/>
      <c r="S405" s="2487"/>
      <c r="T405" s="2487"/>
      <c r="U405" s="2487"/>
      <c r="V405" s="2487"/>
      <c r="W405" s="2487"/>
      <c r="X405" s="2487"/>
      <c r="Y405" s="2487"/>
      <c r="Z405" s="2487"/>
      <c r="AA405" s="2487"/>
      <c r="AB405" s="2487"/>
      <c r="AC405" s="2487"/>
      <c r="AD405" s="2487"/>
      <c r="AE405" s="2487"/>
      <c r="AF405" s="2487"/>
      <c r="AG405" s="2487"/>
      <c r="AH405" s="2487"/>
      <c r="AI405" s="2487"/>
      <c r="AJ405" s="2487"/>
      <c r="AK405" s="2487"/>
      <c r="AL405" s="2487"/>
      <c r="AM405" s="2487"/>
    </row>
    <row r="406" spans="1:39" ht="15.75" customHeight="1" x14ac:dyDescent="0.25">
      <c r="A406" s="2487"/>
      <c r="B406" s="2487"/>
      <c r="C406" s="2487"/>
      <c r="D406" s="2487"/>
      <c r="E406" s="2487"/>
      <c r="F406" s="2487"/>
      <c r="G406" s="2487"/>
      <c r="H406" s="2487"/>
      <c r="I406" s="2487"/>
      <c r="J406" s="2487"/>
      <c r="K406" s="2487"/>
      <c r="L406" s="2487"/>
      <c r="M406" s="2487"/>
      <c r="N406" s="2487"/>
      <c r="O406" s="2487"/>
      <c r="P406" s="2487"/>
      <c r="Q406" s="2487"/>
      <c r="R406" s="2487"/>
      <c r="S406" s="2487"/>
      <c r="T406" s="2487"/>
      <c r="U406" s="2487"/>
      <c r="V406" s="2487"/>
      <c r="W406" s="2487"/>
      <c r="X406" s="2487"/>
      <c r="Y406" s="2487"/>
      <c r="Z406" s="2487"/>
      <c r="AA406" s="2487"/>
      <c r="AB406" s="2487"/>
      <c r="AC406" s="2487"/>
      <c r="AD406" s="2487"/>
      <c r="AE406" s="2487"/>
      <c r="AF406" s="2487"/>
      <c r="AG406" s="2487"/>
      <c r="AH406" s="2487"/>
      <c r="AI406" s="2487"/>
      <c r="AJ406" s="2487"/>
      <c r="AK406" s="2487"/>
      <c r="AL406" s="2487"/>
      <c r="AM406" s="2487"/>
    </row>
    <row r="407" spans="1:39" ht="15.75" customHeight="1" x14ac:dyDescent="0.25">
      <c r="A407" s="2487"/>
      <c r="B407" s="2487"/>
      <c r="C407" s="2487"/>
      <c r="D407" s="2487"/>
      <c r="E407" s="2487"/>
      <c r="F407" s="2487"/>
      <c r="G407" s="2487"/>
      <c r="H407" s="2487"/>
      <c r="I407" s="2487"/>
      <c r="J407" s="2487"/>
      <c r="K407" s="2487"/>
      <c r="L407" s="2487"/>
      <c r="M407" s="2487"/>
      <c r="N407" s="2487"/>
      <c r="O407" s="2487"/>
      <c r="P407" s="2487"/>
      <c r="Q407" s="2487"/>
      <c r="R407" s="2487"/>
      <c r="S407" s="2487"/>
      <c r="T407" s="2487"/>
      <c r="U407" s="2487"/>
      <c r="V407" s="2487"/>
      <c r="W407" s="2487"/>
      <c r="X407" s="2487"/>
      <c r="Y407" s="2487"/>
      <c r="Z407" s="2487"/>
      <c r="AA407" s="2487"/>
      <c r="AB407" s="2487"/>
      <c r="AC407" s="2487"/>
      <c r="AD407" s="2487"/>
      <c r="AE407" s="2487"/>
      <c r="AF407" s="2487"/>
      <c r="AG407" s="2487"/>
      <c r="AH407" s="2487"/>
      <c r="AI407" s="2487"/>
      <c r="AJ407" s="2487"/>
      <c r="AK407" s="2487"/>
      <c r="AL407" s="2487"/>
      <c r="AM407" s="2487"/>
    </row>
    <row r="408" spans="1:39" ht="15.75" customHeight="1" x14ac:dyDescent="0.25">
      <c r="A408" s="2487"/>
      <c r="B408" s="2487"/>
      <c r="C408" s="2487"/>
      <c r="D408" s="2487"/>
      <c r="E408" s="2487"/>
      <c r="F408" s="2487"/>
      <c r="G408" s="2487"/>
      <c r="H408" s="2487"/>
      <c r="I408" s="2487"/>
      <c r="J408" s="2487"/>
      <c r="K408" s="2487"/>
      <c r="L408" s="2487"/>
      <c r="M408" s="2487"/>
      <c r="N408" s="2487"/>
      <c r="O408" s="2487"/>
      <c r="P408" s="2487"/>
      <c r="Q408" s="2487"/>
      <c r="R408" s="2487"/>
      <c r="S408" s="2487"/>
      <c r="T408" s="2487"/>
      <c r="U408" s="2487"/>
      <c r="V408" s="2487"/>
      <c r="W408" s="2487"/>
      <c r="X408" s="2487"/>
      <c r="Y408" s="2487"/>
      <c r="Z408" s="2487"/>
      <c r="AA408" s="2487"/>
      <c r="AB408" s="2487"/>
      <c r="AC408" s="2487"/>
      <c r="AD408" s="2487"/>
      <c r="AE408" s="2487"/>
      <c r="AF408" s="2487"/>
      <c r="AG408" s="2487"/>
      <c r="AH408" s="2487"/>
      <c r="AI408" s="2487"/>
      <c r="AJ408" s="2487"/>
      <c r="AK408" s="2487"/>
      <c r="AL408" s="2487"/>
      <c r="AM408" s="2487"/>
    </row>
    <row r="409" spans="1:39" ht="15.75" customHeight="1" x14ac:dyDescent="0.25">
      <c r="A409" s="2487"/>
      <c r="B409" s="2487"/>
      <c r="C409" s="2487"/>
      <c r="D409" s="2487"/>
      <c r="E409" s="2487"/>
      <c r="F409" s="2487"/>
      <c r="G409" s="2487"/>
      <c r="H409" s="2487"/>
      <c r="I409" s="2487"/>
      <c r="J409" s="2487"/>
      <c r="K409" s="2487"/>
      <c r="L409" s="2487"/>
      <c r="M409" s="2487"/>
      <c r="N409" s="2487"/>
      <c r="O409" s="2487"/>
      <c r="P409" s="2487"/>
      <c r="Q409" s="2487"/>
      <c r="R409" s="2487"/>
      <c r="S409" s="2487"/>
      <c r="T409" s="2487"/>
      <c r="U409" s="2487"/>
      <c r="V409" s="2487"/>
      <c r="W409" s="2487"/>
      <c r="X409" s="2487"/>
      <c r="Y409" s="2487"/>
      <c r="Z409" s="2487"/>
      <c r="AA409" s="2487"/>
      <c r="AB409" s="2487"/>
      <c r="AC409" s="2487"/>
      <c r="AD409" s="2487"/>
      <c r="AE409" s="2487"/>
      <c r="AF409" s="2487"/>
      <c r="AG409" s="2487"/>
      <c r="AH409" s="2487"/>
      <c r="AI409" s="2487"/>
      <c r="AJ409" s="2487"/>
      <c r="AK409" s="2487"/>
      <c r="AL409" s="2487"/>
      <c r="AM409" s="2487"/>
    </row>
    <row r="410" spans="1:39" ht="15.75" customHeight="1" x14ac:dyDescent="0.25">
      <c r="A410" s="2487"/>
      <c r="B410" s="2487"/>
      <c r="C410" s="2487"/>
      <c r="D410" s="2487"/>
      <c r="E410" s="2487"/>
      <c r="F410" s="2487"/>
      <c r="G410" s="2487"/>
      <c r="H410" s="2487"/>
      <c r="I410" s="2487"/>
      <c r="J410" s="2487"/>
      <c r="K410" s="2487"/>
      <c r="L410" s="2487"/>
      <c r="M410" s="2487"/>
      <c r="N410" s="2487"/>
      <c r="O410" s="2487"/>
      <c r="P410" s="2487"/>
      <c r="Q410" s="2487"/>
      <c r="R410" s="2487"/>
      <c r="S410" s="2487"/>
      <c r="T410" s="2487"/>
      <c r="U410" s="2487"/>
      <c r="V410" s="2487"/>
      <c r="W410" s="2487"/>
      <c r="X410" s="2487"/>
      <c r="Y410" s="2487"/>
      <c r="Z410" s="2487"/>
      <c r="AA410" s="2487"/>
      <c r="AB410" s="2487"/>
      <c r="AC410" s="2487"/>
      <c r="AD410" s="2487"/>
      <c r="AE410" s="2487"/>
      <c r="AF410" s="2487"/>
      <c r="AG410" s="2487"/>
      <c r="AH410" s="2487"/>
      <c r="AI410" s="2487"/>
      <c r="AJ410" s="2487"/>
      <c r="AK410" s="2487"/>
      <c r="AL410" s="2487"/>
      <c r="AM410" s="2487"/>
    </row>
    <row r="411" spans="1:39" ht="15.75" customHeight="1" x14ac:dyDescent="0.25">
      <c r="A411" s="2487"/>
      <c r="B411" s="2487"/>
      <c r="C411" s="2487"/>
      <c r="D411" s="2487"/>
      <c r="E411" s="2487"/>
      <c r="F411" s="2487"/>
      <c r="G411" s="2487"/>
      <c r="H411" s="2487"/>
      <c r="I411" s="2487"/>
      <c r="J411" s="2487"/>
      <c r="K411" s="2487"/>
      <c r="L411" s="2487"/>
      <c r="M411" s="2487"/>
      <c r="N411" s="2487"/>
      <c r="O411" s="2487"/>
      <c r="P411" s="2487"/>
      <c r="Q411" s="2487"/>
      <c r="R411" s="2487"/>
      <c r="S411" s="2487"/>
      <c r="T411" s="2487"/>
      <c r="U411" s="2487"/>
      <c r="V411" s="2487"/>
      <c r="W411" s="2487"/>
      <c r="X411" s="2487"/>
      <c r="Y411" s="2487"/>
      <c r="Z411" s="2487"/>
      <c r="AA411" s="2487"/>
      <c r="AB411" s="2487"/>
      <c r="AC411" s="2487"/>
      <c r="AD411" s="2487"/>
      <c r="AE411" s="2487"/>
      <c r="AF411" s="2487"/>
      <c r="AG411" s="2487"/>
      <c r="AH411" s="2487"/>
      <c r="AI411" s="2487"/>
      <c r="AJ411" s="2487"/>
      <c r="AK411" s="2487"/>
      <c r="AL411" s="2487"/>
      <c r="AM411" s="2487"/>
    </row>
    <row r="412" spans="1:39" ht="15.75" customHeight="1" x14ac:dyDescent="0.25">
      <c r="A412" s="2487"/>
      <c r="B412" s="2487"/>
      <c r="C412" s="2487"/>
      <c r="D412" s="2487"/>
      <c r="E412" s="2487"/>
      <c r="F412" s="2487"/>
      <c r="G412" s="2487"/>
      <c r="H412" s="2487"/>
      <c r="I412" s="2487"/>
      <c r="J412" s="2487"/>
      <c r="K412" s="2487"/>
      <c r="L412" s="2487"/>
      <c r="M412" s="2487"/>
      <c r="N412" s="2487"/>
      <c r="O412" s="2487"/>
      <c r="P412" s="2487"/>
      <c r="Q412" s="2487"/>
      <c r="R412" s="2487"/>
      <c r="S412" s="2487"/>
      <c r="T412" s="2487"/>
      <c r="U412" s="2487"/>
      <c r="V412" s="2487"/>
      <c r="W412" s="2487"/>
      <c r="X412" s="2487"/>
      <c r="Y412" s="2487"/>
      <c r="Z412" s="2487"/>
      <c r="AA412" s="2487"/>
      <c r="AB412" s="2487"/>
      <c r="AC412" s="2487"/>
      <c r="AD412" s="2487"/>
      <c r="AE412" s="2487"/>
      <c r="AF412" s="2487"/>
      <c r="AG412" s="2487"/>
      <c r="AH412" s="2487"/>
      <c r="AI412" s="2487"/>
      <c r="AJ412" s="2487"/>
      <c r="AK412" s="2487"/>
      <c r="AL412" s="2487"/>
      <c r="AM412" s="2487"/>
    </row>
    <row r="413" spans="1:39" ht="15.75" customHeight="1" x14ac:dyDescent="0.25">
      <c r="A413" s="2487"/>
      <c r="B413" s="2487"/>
      <c r="C413" s="2487"/>
      <c r="D413" s="2487"/>
      <c r="E413" s="2487"/>
      <c r="F413" s="2487"/>
      <c r="G413" s="2487"/>
      <c r="H413" s="2487"/>
      <c r="I413" s="2487"/>
      <c r="J413" s="2487"/>
      <c r="K413" s="2487"/>
      <c r="L413" s="2487"/>
      <c r="M413" s="2487"/>
      <c r="N413" s="2487"/>
      <c r="O413" s="2487"/>
      <c r="P413" s="2487"/>
      <c r="Q413" s="2487"/>
      <c r="R413" s="2487"/>
      <c r="S413" s="2487"/>
      <c r="T413" s="2487"/>
      <c r="U413" s="2487"/>
      <c r="V413" s="2487"/>
      <c r="W413" s="2487"/>
      <c r="X413" s="2487"/>
      <c r="Y413" s="2487"/>
      <c r="Z413" s="2487"/>
      <c r="AA413" s="2487"/>
      <c r="AB413" s="2487"/>
      <c r="AC413" s="2487"/>
      <c r="AD413" s="2487"/>
      <c r="AE413" s="2487"/>
      <c r="AF413" s="2487"/>
      <c r="AG413" s="2487"/>
      <c r="AH413" s="2487"/>
      <c r="AI413" s="2487"/>
      <c r="AJ413" s="2487"/>
      <c r="AK413" s="2487"/>
      <c r="AL413" s="2487"/>
      <c r="AM413" s="2487"/>
    </row>
    <row r="414" spans="1:39" ht="15.75" customHeight="1" x14ac:dyDescent="0.25">
      <c r="A414" s="2487"/>
      <c r="B414" s="2487"/>
      <c r="C414" s="2487"/>
      <c r="D414" s="2487"/>
      <c r="E414" s="2487"/>
      <c r="F414" s="2487"/>
      <c r="G414" s="2487"/>
      <c r="H414" s="2487"/>
      <c r="I414" s="2487"/>
      <c r="J414" s="2487"/>
      <c r="K414" s="2487"/>
      <c r="L414" s="2487"/>
      <c r="M414" s="2487"/>
      <c r="N414" s="2487"/>
      <c r="O414" s="2487"/>
      <c r="P414" s="2487"/>
      <c r="Q414" s="2487"/>
      <c r="R414" s="2487"/>
      <c r="S414" s="2487"/>
      <c r="T414" s="2487"/>
      <c r="U414" s="2487"/>
      <c r="V414" s="2487"/>
      <c r="W414" s="2487"/>
      <c r="X414" s="2487"/>
      <c r="Y414" s="2487"/>
      <c r="Z414" s="2487"/>
      <c r="AA414" s="2487"/>
      <c r="AB414" s="2487"/>
      <c r="AC414" s="2487"/>
      <c r="AD414" s="2487"/>
      <c r="AE414" s="2487"/>
      <c r="AF414" s="2487"/>
      <c r="AG414" s="2487"/>
      <c r="AH414" s="2487"/>
      <c r="AI414" s="2487"/>
      <c r="AJ414" s="2487"/>
      <c r="AK414" s="2487"/>
      <c r="AL414" s="2487"/>
      <c r="AM414" s="2487"/>
    </row>
    <row r="415" spans="1:39" ht="15.75" customHeight="1" x14ac:dyDescent="0.25">
      <c r="A415" s="2487"/>
      <c r="B415" s="2487"/>
      <c r="C415" s="2487"/>
      <c r="D415" s="2487"/>
      <c r="E415" s="2487"/>
      <c r="F415" s="2487"/>
      <c r="G415" s="2487"/>
      <c r="H415" s="2487"/>
      <c r="I415" s="2487"/>
      <c r="J415" s="2487"/>
      <c r="K415" s="2487"/>
      <c r="L415" s="2487"/>
      <c r="M415" s="2487"/>
      <c r="N415" s="2487"/>
      <c r="O415" s="2487"/>
      <c r="P415" s="2487"/>
      <c r="Q415" s="2487"/>
      <c r="R415" s="2487"/>
      <c r="S415" s="2487"/>
      <c r="T415" s="2487"/>
      <c r="U415" s="2487"/>
      <c r="V415" s="2487"/>
      <c r="W415" s="2487"/>
      <c r="X415" s="2487"/>
      <c r="Y415" s="2487"/>
      <c r="Z415" s="2487"/>
      <c r="AA415" s="2487"/>
      <c r="AB415" s="2487"/>
      <c r="AC415" s="2487"/>
      <c r="AD415" s="2487"/>
      <c r="AE415" s="2487"/>
      <c r="AF415" s="2487"/>
      <c r="AG415" s="2487"/>
      <c r="AH415" s="2487"/>
      <c r="AI415" s="2487"/>
      <c r="AJ415" s="2487"/>
      <c r="AK415" s="2487"/>
      <c r="AL415" s="2487"/>
      <c r="AM415" s="2487"/>
    </row>
    <row r="416" spans="1:39" ht="15.75" customHeight="1" x14ac:dyDescent="0.25">
      <c r="A416" s="2487"/>
      <c r="B416" s="2487"/>
      <c r="C416" s="2487"/>
      <c r="D416" s="2487"/>
      <c r="E416" s="2487"/>
      <c r="F416" s="2487"/>
      <c r="G416" s="2487"/>
      <c r="H416" s="2487"/>
      <c r="I416" s="2487"/>
      <c r="J416" s="2487"/>
      <c r="K416" s="2487"/>
      <c r="L416" s="2487"/>
      <c r="M416" s="2487"/>
      <c r="N416" s="2487"/>
      <c r="O416" s="2487"/>
      <c r="P416" s="2487"/>
      <c r="Q416" s="2487"/>
      <c r="R416" s="2487"/>
      <c r="S416" s="2487"/>
      <c r="T416" s="2487"/>
      <c r="U416" s="2487"/>
      <c r="V416" s="2487"/>
      <c r="W416" s="2487"/>
      <c r="X416" s="2487"/>
      <c r="Y416" s="2487"/>
      <c r="Z416" s="2487"/>
      <c r="AA416" s="2487"/>
      <c r="AB416" s="2487"/>
      <c r="AC416" s="2487"/>
      <c r="AD416" s="2487"/>
      <c r="AE416" s="2487"/>
      <c r="AF416" s="2487"/>
      <c r="AG416" s="2487"/>
      <c r="AH416" s="2487"/>
      <c r="AI416" s="2487"/>
      <c r="AJ416" s="2487"/>
      <c r="AK416" s="2487"/>
      <c r="AL416" s="2487"/>
      <c r="AM416" s="2487"/>
    </row>
    <row r="417" spans="1:39" ht="15.75" customHeight="1" x14ac:dyDescent="0.25">
      <c r="A417" s="2487"/>
      <c r="B417" s="2487"/>
      <c r="C417" s="2487"/>
      <c r="D417" s="2487"/>
      <c r="E417" s="2487"/>
      <c r="F417" s="2487"/>
      <c r="G417" s="2487"/>
      <c r="H417" s="2487"/>
      <c r="I417" s="2487"/>
      <c r="J417" s="2487"/>
      <c r="K417" s="2487"/>
      <c r="L417" s="2487"/>
      <c r="M417" s="2487"/>
      <c r="N417" s="2487"/>
      <c r="O417" s="2487"/>
      <c r="P417" s="2487"/>
      <c r="Q417" s="2487"/>
      <c r="R417" s="2487"/>
      <c r="S417" s="2487"/>
      <c r="T417" s="2487"/>
      <c r="U417" s="2487"/>
      <c r="V417" s="2487"/>
      <c r="W417" s="2487"/>
      <c r="X417" s="2487"/>
      <c r="Y417" s="2487"/>
      <c r="Z417" s="2487"/>
      <c r="AA417" s="2487"/>
      <c r="AB417" s="2487"/>
      <c r="AC417" s="2487"/>
      <c r="AD417" s="2487"/>
      <c r="AE417" s="2487"/>
      <c r="AF417" s="2487"/>
      <c r="AG417" s="2487"/>
      <c r="AH417" s="2487"/>
      <c r="AI417" s="2487"/>
      <c r="AJ417" s="2487"/>
      <c r="AK417" s="2487"/>
      <c r="AL417" s="2487"/>
      <c r="AM417" s="2487"/>
    </row>
    <row r="418" spans="1:39" ht="15.75" customHeight="1" x14ac:dyDescent="0.25">
      <c r="A418" s="2487"/>
      <c r="B418" s="2487"/>
      <c r="C418" s="2487"/>
      <c r="D418" s="2487"/>
      <c r="E418" s="2487"/>
      <c r="F418" s="2487"/>
      <c r="G418" s="2487"/>
      <c r="H418" s="2487"/>
      <c r="I418" s="2487"/>
      <c r="J418" s="2487"/>
      <c r="K418" s="2487"/>
      <c r="L418" s="2487"/>
      <c r="M418" s="2487"/>
      <c r="N418" s="2487"/>
      <c r="O418" s="2487"/>
      <c r="P418" s="2487"/>
      <c r="Q418" s="2487"/>
      <c r="R418" s="2487"/>
      <c r="S418" s="2487"/>
      <c r="T418" s="2487"/>
      <c r="U418" s="2487"/>
      <c r="V418" s="2487"/>
      <c r="W418" s="2487"/>
      <c r="X418" s="2487"/>
      <c r="Y418" s="2487"/>
      <c r="Z418" s="2487"/>
      <c r="AA418" s="2487"/>
      <c r="AB418" s="2487"/>
      <c r="AC418" s="2487"/>
      <c r="AD418" s="2487"/>
      <c r="AE418" s="2487"/>
      <c r="AF418" s="2487"/>
      <c r="AG418" s="2487"/>
      <c r="AH418" s="2487"/>
      <c r="AI418" s="2487"/>
      <c r="AJ418" s="2487"/>
      <c r="AK418" s="2487"/>
      <c r="AL418" s="2487"/>
      <c r="AM418" s="2487"/>
    </row>
    <row r="419" spans="1:39" ht="15.75" customHeight="1" x14ac:dyDescent="0.25">
      <c r="A419" s="2487"/>
      <c r="B419" s="2487"/>
      <c r="C419" s="2487"/>
      <c r="D419" s="2487"/>
      <c r="E419" s="2487"/>
      <c r="F419" s="2487"/>
      <c r="G419" s="2487"/>
      <c r="H419" s="2487"/>
      <c r="I419" s="2487"/>
      <c r="J419" s="2487"/>
      <c r="K419" s="2487"/>
      <c r="L419" s="2487"/>
      <c r="M419" s="2487"/>
      <c r="N419" s="2487"/>
      <c r="O419" s="2487"/>
      <c r="P419" s="2487"/>
      <c r="Q419" s="2487"/>
      <c r="R419" s="2487"/>
      <c r="S419" s="2487"/>
      <c r="T419" s="2487"/>
      <c r="U419" s="2487"/>
      <c r="V419" s="2487"/>
      <c r="W419" s="2487"/>
      <c r="X419" s="2487"/>
      <c r="Y419" s="2487"/>
      <c r="Z419" s="2487"/>
      <c r="AA419" s="2487"/>
      <c r="AB419" s="2487"/>
      <c r="AC419" s="2487"/>
      <c r="AD419" s="2487"/>
      <c r="AE419" s="2487"/>
      <c r="AF419" s="2487"/>
      <c r="AG419" s="2487"/>
      <c r="AH419" s="2487"/>
      <c r="AI419" s="2487"/>
      <c r="AJ419" s="2487"/>
      <c r="AK419" s="2487"/>
      <c r="AL419" s="2487"/>
      <c r="AM419" s="2487"/>
    </row>
    <row r="420" spans="1:39" ht="15.75" customHeight="1" x14ac:dyDescent="0.25">
      <c r="A420" s="2487"/>
      <c r="B420" s="2487"/>
      <c r="C420" s="2487"/>
      <c r="D420" s="2487"/>
      <c r="E420" s="2487"/>
      <c r="F420" s="2487"/>
      <c r="G420" s="2487"/>
      <c r="H420" s="2487"/>
      <c r="I420" s="2487"/>
      <c r="J420" s="2487"/>
      <c r="K420" s="2487"/>
      <c r="L420" s="2487"/>
      <c r="M420" s="2487"/>
      <c r="N420" s="2487"/>
      <c r="O420" s="2487"/>
      <c r="P420" s="2487"/>
      <c r="Q420" s="2487"/>
      <c r="R420" s="2487"/>
      <c r="S420" s="2487"/>
      <c r="T420" s="2487"/>
      <c r="U420" s="2487"/>
      <c r="V420" s="2487"/>
      <c r="W420" s="2487"/>
      <c r="X420" s="2487"/>
      <c r="Y420" s="2487"/>
      <c r="Z420" s="2487"/>
      <c r="AA420" s="2487"/>
      <c r="AB420" s="2487"/>
      <c r="AC420" s="2487"/>
      <c r="AD420" s="2487"/>
      <c r="AE420" s="2487"/>
      <c r="AF420" s="2487"/>
      <c r="AG420" s="2487"/>
      <c r="AH420" s="2487"/>
      <c r="AI420" s="2487"/>
      <c r="AJ420" s="2487"/>
      <c r="AK420" s="2487"/>
      <c r="AL420" s="2487"/>
      <c r="AM420" s="2487"/>
    </row>
    <row r="421" spans="1:39" ht="15.75" customHeight="1" x14ac:dyDescent="0.25">
      <c r="A421" s="2487"/>
      <c r="B421" s="2487"/>
      <c r="C421" s="2487"/>
      <c r="D421" s="2487"/>
      <c r="E421" s="2487"/>
      <c r="F421" s="2487"/>
      <c r="G421" s="2487"/>
      <c r="H421" s="2487"/>
      <c r="I421" s="2487"/>
      <c r="J421" s="2487"/>
      <c r="K421" s="2487"/>
      <c r="L421" s="2487"/>
      <c r="M421" s="2487"/>
      <c r="N421" s="2487"/>
      <c r="O421" s="2487"/>
      <c r="P421" s="2487"/>
      <c r="Q421" s="2487"/>
      <c r="R421" s="2487"/>
      <c r="S421" s="2487"/>
      <c r="T421" s="2487"/>
      <c r="U421" s="2487"/>
      <c r="V421" s="2487"/>
      <c r="W421" s="2487"/>
      <c r="X421" s="2487"/>
      <c r="Y421" s="2487"/>
      <c r="Z421" s="2487"/>
      <c r="AA421" s="2487"/>
      <c r="AB421" s="2487"/>
      <c r="AC421" s="2487"/>
      <c r="AD421" s="2487"/>
      <c r="AE421" s="2487"/>
      <c r="AF421" s="2487"/>
      <c r="AG421" s="2487"/>
      <c r="AH421" s="2487"/>
      <c r="AI421" s="2487"/>
      <c r="AJ421" s="2487"/>
      <c r="AK421" s="2487"/>
      <c r="AL421" s="2487"/>
      <c r="AM421" s="2487"/>
    </row>
    <row r="422" spans="1:39" ht="15.75" customHeight="1" x14ac:dyDescent="0.25">
      <c r="A422" s="2487"/>
      <c r="B422" s="2487"/>
      <c r="C422" s="2487"/>
      <c r="D422" s="2487"/>
      <c r="E422" s="2487"/>
      <c r="F422" s="2487"/>
      <c r="G422" s="2487"/>
      <c r="H422" s="2487"/>
      <c r="I422" s="2487"/>
      <c r="J422" s="2487"/>
      <c r="K422" s="2487"/>
      <c r="L422" s="2487"/>
      <c r="M422" s="2487"/>
      <c r="N422" s="2487"/>
      <c r="O422" s="2487"/>
      <c r="P422" s="2487"/>
      <c r="Q422" s="2487"/>
      <c r="R422" s="2487"/>
      <c r="S422" s="2487"/>
      <c r="T422" s="2487"/>
      <c r="U422" s="2487"/>
      <c r="V422" s="2487"/>
      <c r="W422" s="2487"/>
      <c r="X422" s="2487"/>
      <c r="Y422" s="2487"/>
      <c r="Z422" s="2487"/>
      <c r="AA422" s="2487"/>
      <c r="AB422" s="2487"/>
      <c r="AC422" s="2487"/>
      <c r="AD422" s="2487"/>
      <c r="AE422" s="2487"/>
      <c r="AF422" s="2487"/>
      <c r="AG422" s="2487"/>
      <c r="AH422" s="2487"/>
      <c r="AI422" s="2487"/>
      <c r="AJ422" s="2487"/>
      <c r="AK422" s="2487"/>
      <c r="AL422" s="2487"/>
      <c r="AM422" s="2487"/>
    </row>
    <row r="423" spans="1:39" ht="15.75" customHeight="1" x14ac:dyDescent="0.25">
      <c r="A423" s="2487"/>
      <c r="B423" s="2487"/>
      <c r="C423" s="2487"/>
      <c r="D423" s="2487"/>
      <c r="E423" s="2487"/>
      <c r="F423" s="2487"/>
      <c r="G423" s="2487"/>
      <c r="H423" s="2487"/>
      <c r="I423" s="2487"/>
      <c r="J423" s="2487"/>
      <c r="K423" s="2487"/>
      <c r="L423" s="2487"/>
      <c r="M423" s="2487"/>
      <c r="N423" s="2487"/>
      <c r="O423" s="2487"/>
      <c r="P423" s="2487"/>
      <c r="Q423" s="2487"/>
      <c r="R423" s="2487"/>
      <c r="S423" s="2487"/>
      <c r="T423" s="2487"/>
      <c r="U423" s="2487"/>
      <c r="V423" s="2487"/>
      <c r="W423" s="2487"/>
      <c r="X423" s="2487"/>
      <c r="Y423" s="2487"/>
      <c r="Z423" s="2487"/>
      <c r="AA423" s="2487"/>
      <c r="AB423" s="2487"/>
      <c r="AC423" s="2487"/>
      <c r="AD423" s="2487"/>
      <c r="AE423" s="2487"/>
      <c r="AF423" s="2487"/>
      <c r="AG423" s="2487"/>
      <c r="AH423" s="2487"/>
      <c r="AI423" s="2487"/>
      <c r="AJ423" s="2487"/>
      <c r="AK423" s="2487"/>
      <c r="AL423" s="2487"/>
      <c r="AM423" s="2487"/>
    </row>
    <row r="424" spans="1:39" ht="15.75" customHeight="1" x14ac:dyDescent="0.25">
      <c r="A424" s="2487"/>
      <c r="B424" s="2487"/>
      <c r="C424" s="2487"/>
      <c r="D424" s="2487"/>
      <c r="E424" s="2487"/>
      <c r="F424" s="2487"/>
      <c r="G424" s="2487"/>
      <c r="H424" s="2487"/>
      <c r="I424" s="2487"/>
      <c r="J424" s="2487"/>
      <c r="K424" s="2487"/>
      <c r="L424" s="2487"/>
      <c r="M424" s="2487"/>
      <c r="N424" s="2487"/>
      <c r="O424" s="2487"/>
      <c r="P424" s="2487"/>
      <c r="Q424" s="2487"/>
      <c r="R424" s="2487"/>
      <c r="S424" s="2487"/>
      <c r="T424" s="2487"/>
      <c r="U424" s="2487"/>
      <c r="V424" s="2487"/>
      <c r="W424" s="2487"/>
      <c r="X424" s="2487"/>
      <c r="Y424" s="2487"/>
      <c r="Z424" s="2487"/>
      <c r="AA424" s="2487"/>
      <c r="AB424" s="2487"/>
      <c r="AC424" s="2487"/>
      <c r="AD424" s="2487"/>
      <c r="AE424" s="2487"/>
      <c r="AF424" s="2487"/>
      <c r="AG424" s="2487"/>
      <c r="AH424" s="2487"/>
      <c r="AI424" s="2487"/>
      <c r="AJ424" s="2487"/>
      <c r="AK424" s="2487"/>
      <c r="AL424" s="2487"/>
      <c r="AM424" s="2487"/>
    </row>
    <row r="425" spans="1:39" ht="15.75" customHeight="1" x14ac:dyDescent="0.25">
      <c r="A425" s="2487"/>
      <c r="B425" s="2487"/>
      <c r="C425" s="2487"/>
      <c r="D425" s="2487"/>
      <c r="E425" s="2487"/>
      <c r="F425" s="2487"/>
      <c r="G425" s="2487"/>
      <c r="H425" s="2487"/>
      <c r="I425" s="2487"/>
      <c r="J425" s="2487"/>
      <c r="K425" s="2487"/>
      <c r="L425" s="2487"/>
      <c r="M425" s="2487"/>
      <c r="N425" s="2487"/>
      <c r="O425" s="2487"/>
      <c r="P425" s="2487"/>
      <c r="Q425" s="2487"/>
      <c r="R425" s="2487"/>
      <c r="S425" s="2487"/>
      <c r="T425" s="2487"/>
      <c r="U425" s="2487"/>
      <c r="V425" s="2487"/>
      <c r="W425" s="2487"/>
      <c r="X425" s="2487"/>
      <c r="Y425" s="2487"/>
      <c r="Z425" s="2487"/>
      <c r="AA425" s="2487"/>
      <c r="AB425" s="2487"/>
      <c r="AC425" s="2487"/>
      <c r="AD425" s="2487"/>
      <c r="AE425" s="2487"/>
      <c r="AF425" s="2487"/>
      <c r="AG425" s="2487"/>
      <c r="AH425" s="2487"/>
      <c r="AI425" s="2487"/>
      <c r="AJ425" s="2487"/>
      <c r="AK425" s="2487"/>
      <c r="AL425" s="2487"/>
      <c r="AM425" s="2487"/>
    </row>
    <row r="426" spans="1:39" ht="15.75" customHeight="1" x14ac:dyDescent="0.25">
      <c r="A426" s="2487"/>
      <c r="B426" s="2487"/>
      <c r="C426" s="2487"/>
      <c r="D426" s="2487"/>
      <c r="E426" s="2487"/>
      <c r="F426" s="2487"/>
      <c r="G426" s="2487"/>
      <c r="H426" s="2487"/>
      <c r="I426" s="2487"/>
      <c r="J426" s="2487"/>
      <c r="K426" s="2487"/>
      <c r="L426" s="2487"/>
      <c r="M426" s="2487"/>
      <c r="N426" s="2487"/>
      <c r="O426" s="2487"/>
      <c r="P426" s="2487"/>
      <c r="Q426" s="2487"/>
      <c r="R426" s="2487"/>
      <c r="S426" s="2487"/>
      <c r="T426" s="2487"/>
      <c r="U426" s="2487"/>
      <c r="V426" s="2487"/>
      <c r="W426" s="2487"/>
      <c r="X426" s="2487"/>
      <c r="Y426" s="2487"/>
      <c r="Z426" s="2487"/>
      <c r="AA426" s="2487"/>
      <c r="AB426" s="2487"/>
      <c r="AC426" s="2487"/>
      <c r="AD426" s="2487"/>
      <c r="AE426" s="2487"/>
      <c r="AF426" s="2487"/>
      <c r="AG426" s="2487"/>
      <c r="AH426" s="2487"/>
      <c r="AI426" s="2487"/>
      <c r="AJ426" s="2487"/>
      <c r="AK426" s="2487"/>
      <c r="AL426" s="2487"/>
      <c r="AM426" s="2487"/>
    </row>
    <row r="427" spans="1:39" ht="15.75" customHeight="1" x14ac:dyDescent="0.25">
      <c r="A427" s="2487"/>
      <c r="B427" s="2487"/>
      <c r="C427" s="2487"/>
      <c r="D427" s="2487"/>
      <c r="E427" s="2487"/>
      <c r="F427" s="2487"/>
      <c r="G427" s="2487"/>
      <c r="H427" s="2487"/>
      <c r="I427" s="2487"/>
      <c r="J427" s="2487"/>
      <c r="K427" s="2487"/>
      <c r="L427" s="2487"/>
      <c r="M427" s="2487"/>
      <c r="N427" s="2487"/>
      <c r="O427" s="2487"/>
      <c r="P427" s="2487"/>
      <c r="Q427" s="2487"/>
      <c r="R427" s="2487"/>
      <c r="S427" s="2487"/>
      <c r="T427" s="2487"/>
      <c r="U427" s="2487"/>
      <c r="V427" s="2487"/>
      <c r="W427" s="2487"/>
      <c r="X427" s="2487"/>
      <c r="Y427" s="2487"/>
      <c r="Z427" s="2487"/>
      <c r="AA427" s="2487"/>
      <c r="AB427" s="2487"/>
      <c r="AC427" s="2487"/>
      <c r="AD427" s="2487"/>
      <c r="AE427" s="2487"/>
      <c r="AF427" s="2487"/>
      <c r="AG427" s="2487"/>
      <c r="AH427" s="2487"/>
      <c r="AI427" s="2487"/>
      <c r="AJ427" s="2487"/>
      <c r="AK427" s="2487"/>
      <c r="AL427" s="2487"/>
      <c r="AM427" s="2487"/>
    </row>
    <row r="428" spans="1:39" ht="15.75" customHeight="1" x14ac:dyDescent="0.25">
      <c r="A428" s="2487"/>
      <c r="B428" s="2487"/>
      <c r="C428" s="2487"/>
      <c r="D428" s="2487"/>
      <c r="E428" s="2487"/>
      <c r="F428" s="2487"/>
      <c r="G428" s="2487"/>
      <c r="H428" s="2487"/>
      <c r="I428" s="2487"/>
      <c r="J428" s="2487"/>
      <c r="K428" s="2487"/>
      <c r="L428" s="2487"/>
      <c r="M428" s="2487"/>
      <c r="N428" s="2487"/>
      <c r="O428" s="2487"/>
      <c r="P428" s="2487"/>
      <c r="Q428" s="2487"/>
      <c r="R428" s="2487"/>
      <c r="S428" s="2487"/>
      <c r="T428" s="2487"/>
      <c r="U428" s="2487"/>
      <c r="V428" s="2487"/>
      <c r="W428" s="2487"/>
      <c r="X428" s="2487"/>
      <c r="Y428" s="2487"/>
      <c r="Z428" s="2487"/>
      <c r="AA428" s="2487"/>
      <c r="AB428" s="2487"/>
      <c r="AC428" s="2487"/>
      <c r="AD428" s="2487"/>
      <c r="AE428" s="2487"/>
      <c r="AF428" s="2487"/>
      <c r="AG428" s="2487"/>
      <c r="AH428" s="2487"/>
      <c r="AI428" s="2487"/>
      <c r="AJ428" s="2487"/>
      <c r="AK428" s="2487"/>
      <c r="AL428" s="2487"/>
      <c r="AM428" s="2487"/>
    </row>
    <row r="429" spans="1:39" ht="15.75" customHeight="1" x14ac:dyDescent="0.25">
      <c r="A429" s="2487"/>
      <c r="B429" s="2487"/>
      <c r="C429" s="2487"/>
      <c r="D429" s="2487"/>
      <c r="E429" s="2487"/>
      <c r="F429" s="2487"/>
      <c r="G429" s="2487"/>
      <c r="H429" s="2487"/>
      <c r="I429" s="2487"/>
      <c r="J429" s="2487"/>
      <c r="K429" s="2487"/>
      <c r="L429" s="2487"/>
      <c r="M429" s="2487"/>
      <c r="N429" s="2487"/>
      <c r="O429" s="2487"/>
      <c r="P429" s="2487"/>
      <c r="Q429" s="2487"/>
      <c r="R429" s="2487"/>
      <c r="S429" s="2487"/>
      <c r="T429" s="2487"/>
      <c r="U429" s="2487"/>
      <c r="V429" s="2487"/>
      <c r="W429" s="2487"/>
      <c r="X429" s="2487"/>
      <c r="Y429" s="2487"/>
      <c r="Z429" s="2487"/>
      <c r="AA429" s="2487"/>
      <c r="AB429" s="2487"/>
      <c r="AC429" s="2487"/>
      <c r="AD429" s="2487"/>
      <c r="AE429" s="2487"/>
      <c r="AF429" s="2487"/>
      <c r="AG429" s="2487"/>
      <c r="AH429" s="2487"/>
      <c r="AI429" s="2487"/>
      <c r="AJ429" s="2487"/>
      <c r="AK429" s="2487"/>
      <c r="AL429" s="2487"/>
      <c r="AM429" s="2487"/>
    </row>
    <row r="430" spans="1:39" ht="15.75" customHeight="1" x14ac:dyDescent="0.25">
      <c r="A430" s="2487"/>
      <c r="B430" s="2487"/>
      <c r="C430" s="2487"/>
      <c r="D430" s="2487"/>
      <c r="E430" s="2487"/>
      <c r="F430" s="2487"/>
      <c r="G430" s="2487"/>
      <c r="H430" s="2487"/>
      <c r="I430" s="2487"/>
      <c r="J430" s="2487"/>
      <c r="K430" s="2487"/>
      <c r="L430" s="2487"/>
      <c r="M430" s="2487"/>
      <c r="N430" s="2487"/>
      <c r="O430" s="2487"/>
      <c r="P430" s="2487"/>
      <c r="Q430" s="2487"/>
      <c r="R430" s="2487"/>
      <c r="S430" s="2487"/>
      <c r="T430" s="2487"/>
      <c r="U430" s="2487"/>
      <c r="V430" s="2487"/>
      <c r="W430" s="2487"/>
      <c r="X430" s="2487"/>
      <c r="Y430" s="2487"/>
      <c r="Z430" s="2487"/>
      <c r="AA430" s="2487"/>
      <c r="AB430" s="2487"/>
      <c r="AC430" s="2487"/>
      <c r="AD430" s="2487"/>
      <c r="AE430" s="2487"/>
      <c r="AF430" s="2487"/>
      <c r="AG430" s="2487"/>
      <c r="AH430" s="2487"/>
      <c r="AI430" s="2487"/>
      <c r="AJ430" s="2487"/>
      <c r="AK430" s="2487"/>
      <c r="AL430" s="2487"/>
      <c r="AM430" s="2487"/>
    </row>
    <row r="431" spans="1:39" ht="15.75" customHeight="1" x14ac:dyDescent="0.25">
      <c r="A431" s="2487"/>
      <c r="B431" s="2487"/>
      <c r="C431" s="2487"/>
      <c r="D431" s="2487"/>
      <c r="E431" s="2487"/>
      <c r="F431" s="2487"/>
      <c r="G431" s="2487"/>
      <c r="H431" s="2487"/>
      <c r="I431" s="2487"/>
      <c r="J431" s="2487"/>
      <c r="K431" s="2487"/>
      <c r="L431" s="2487"/>
      <c r="M431" s="2487"/>
      <c r="N431" s="2487"/>
      <c r="O431" s="2487"/>
      <c r="P431" s="2487"/>
      <c r="Q431" s="2487"/>
      <c r="R431" s="2487"/>
      <c r="S431" s="2487"/>
      <c r="T431" s="2487"/>
      <c r="U431" s="2487"/>
      <c r="V431" s="2487"/>
      <c r="W431" s="2487"/>
      <c r="X431" s="2487"/>
      <c r="Y431" s="2487"/>
      <c r="Z431" s="2487"/>
      <c r="AA431" s="2487"/>
      <c r="AB431" s="2487"/>
      <c r="AC431" s="2487"/>
      <c r="AD431" s="2487"/>
      <c r="AE431" s="2487"/>
      <c r="AF431" s="2487"/>
      <c r="AG431" s="2487"/>
      <c r="AH431" s="2487"/>
      <c r="AI431" s="2487"/>
      <c r="AJ431" s="2487"/>
      <c r="AK431" s="2487"/>
      <c r="AL431" s="2487"/>
      <c r="AM431" s="2487"/>
    </row>
    <row r="432" spans="1:39" ht="15.75" customHeight="1" x14ac:dyDescent="0.25">
      <c r="A432" s="2487"/>
      <c r="B432" s="2487"/>
      <c r="C432" s="2487"/>
      <c r="D432" s="2487"/>
      <c r="E432" s="2487"/>
      <c r="F432" s="2487"/>
      <c r="G432" s="2487"/>
      <c r="H432" s="2487"/>
      <c r="I432" s="2487"/>
      <c r="J432" s="2487"/>
      <c r="K432" s="2487"/>
      <c r="L432" s="2487"/>
      <c r="M432" s="2487"/>
      <c r="N432" s="2487"/>
      <c r="O432" s="2487"/>
      <c r="P432" s="2487"/>
      <c r="Q432" s="2487"/>
      <c r="R432" s="2487"/>
      <c r="S432" s="2487"/>
      <c r="T432" s="2487"/>
      <c r="U432" s="2487"/>
      <c r="V432" s="2487"/>
      <c r="W432" s="2487"/>
      <c r="X432" s="2487"/>
      <c r="Y432" s="2487"/>
      <c r="Z432" s="2487"/>
      <c r="AA432" s="2487"/>
      <c r="AB432" s="2487"/>
      <c r="AC432" s="2487"/>
      <c r="AD432" s="2487"/>
      <c r="AE432" s="2487"/>
      <c r="AF432" s="2487"/>
      <c r="AG432" s="2487"/>
      <c r="AH432" s="2487"/>
      <c r="AI432" s="2487"/>
      <c r="AJ432" s="2487"/>
      <c r="AK432" s="2487"/>
      <c r="AL432" s="2487"/>
      <c r="AM432" s="2487"/>
    </row>
    <row r="433" spans="1:39" ht="15.75" customHeight="1" x14ac:dyDescent="0.25">
      <c r="A433" s="2487"/>
      <c r="B433" s="2487"/>
      <c r="C433" s="2487"/>
      <c r="D433" s="2487"/>
      <c r="E433" s="2487"/>
      <c r="F433" s="2487"/>
      <c r="G433" s="2487"/>
      <c r="H433" s="2487"/>
      <c r="I433" s="2487"/>
      <c r="J433" s="2487"/>
      <c r="K433" s="2487"/>
      <c r="L433" s="2487"/>
      <c r="M433" s="2487"/>
      <c r="N433" s="2487"/>
      <c r="O433" s="2487"/>
      <c r="P433" s="2487"/>
      <c r="Q433" s="2487"/>
      <c r="R433" s="2487"/>
      <c r="S433" s="2487"/>
      <c r="T433" s="2487"/>
      <c r="U433" s="2487"/>
      <c r="V433" s="2487"/>
      <c r="W433" s="2487"/>
      <c r="X433" s="2487"/>
      <c r="Y433" s="2487"/>
      <c r="Z433" s="2487"/>
      <c r="AA433" s="2487"/>
      <c r="AB433" s="2487"/>
      <c r="AC433" s="2487"/>
      <c r="AD433" s="2487"/>
      <c r="AE433" s="2487"/>
      <c r="AF433" s="2487"/>
      <c r="AG433" s="2487"/>
      <c r="AH433" s="2487"/>
      <c r="AI433" s="2487"/>
      <c r="AJ433" s="2487"/>
      <c r="AK433" s="2487"/>
      <c r="AL433" s="2487"/>
      <c r="AM433" s="2487"/>
    </row>
    <row r="434" spans="1:39" ht="15.75" customHeight="1" x14ac:dyDescent="0.25">
      <c r="A434" s="2487"/>
      <c r="B434" s="2487"/>
      <c r="C434" s="2487"/>
      <c r="D434" s="2487"/>
      <c r="E434" s="2487"/>
      <c r="F434" s="2487"/>
      <c r="G434" s="2487"/>
      <c r="H434" s="2487"/>
      <c r="I434" s="2487"/>
      <c r="J434" s="2487"/>
      <c r="K434" s="2487"/>
      <c r="L434" s="2487"/>
      <c r="M434" s="2487"/>
      <c r="N434" s="2487"/>
      <c r="O434" s="2487"/>
      <c r="P434" s="2487"/>
      <c r="Q434" s="2487"/>
      <c r="R434" s="2487"/>
      <c r="S434" s="2487"/>
      <c r="T434" s="2487"/>
      <c r="U434" s="2487"/>
      <c r="V434" s="2487"/>
      <c r="W434" s="2487"/>
      <c r="X434" s="2487"/>
      <c r="Y434" s="2487"/>
      <c r="Z434" s="2487"/>
      <c r="AA434" s="2487"/>
      <c r="AB434" s="2487"/>
      <c r="AC434" s="2487"/>
      <c r="AD434" s="2487"/>
      <c r="AE434" s="2487"/>
      <c r="AF434" s="2487"/>
      <c r="AG434" s="2487"/>
      <c r="AH434" s="2487"/>
      <c r="AI434" s="2487"/>
      <c r="AJ434" s="2487"/>
      <c r="AK434" s="2487"/>
      <c r="AL434" s="2487"/>
      <c r="AM434" s="2487"/>
    </row>
    <row r="435" spans="1:39" ht="15.75" customHeight="1" x14ac:dyDescent="0.25">
      <c r="A435" s="2487"/>
      <c r="B435" s="2487"/>
      <c r="C435" s="2487"/>
      <c r="D435" s="2487"/>
      <c r="E435" s="2487"/>
      <c r="F435" s="2487"/>
      <c r="G435" s="2487"/>
      <c r="H435" s="2487"/>
      <c r="I435" s="2487"/>
      <c r="J435" s="2487"/>
      <c r="K435" s="2487"/>
      <c r="L435" s="2487"/>
      <c r="M435" s="2487"/>
      <c r="N435" s="2487"/>
      <c r="O435" s="2487"/>
      <c r="P435" s="2487"/>
      <c r="Q435" s="2487"/>
      <c r="R435" s="2487"/>
      <c r="S435" s="2487"/>
      <c r="T435" s="2487"/>
      <c r="U435" s="2487"/>
      <c r="V435" s="2487"/>
      <c r="W435" s="2487"/>
      <c r="X435" s="2487"/>
      <c r="Y435" s="2487"/>
      <c r="Z435" s="2487"/>
      <c r="AA435" s="2487"/>
      <c r="AB435" s="2487"/>
      <c r="AC435" s="2487"/>
      <c r="AD435" s="2487"/>
      <c r="AE435" s="2487"/>
      <c r="AF435" s="2487"/>
      <c r="AG435" s="2487"/>
      <c r="AH435" s="2487"/>
      <c r="AI435" s="2487"/>
      <c r="AJ435" s="2487"/>
      <c r="AK435" s="2487"/>
      <c r="AL435" s="2487"/>
      <c r="AM435" s="2487"/>
    </row>
    <row r="436" spans="1:39" ht="15.75" customHeight="1" x14ac:dyDescent="0.25">
      <c r="A436" s="2487"/>
      <c r="B436" s="2487"/>
      <c r="C436" s="2487"/>
      <c r="D436" s="2487"/>
      <c r="E436" s="2487"/>
      <c r="F436" s="2487"/>
      <c r="G436" s="2487"/>
      <c r="H436" s="2487"/>
      <c r="I436" s="2487"/>
      <c r="J436" s="2487"/>
      <c r="K436" s="2487"/>
      <c r="L436" s="2487"/>
      <c r="M436" s="2487"/>
      <c r="N436" s="2487"/>
      <c r="O436" s="2487"/>
      <c r="P436" s="2487"/>
      <c r="Q436" s="2487"/>
      <c r="R436" s="2487"/>
      <c r="S436" s="2487"/>
      <c r="T436" s="2487"/>
      <c r="U436" s="2487"/>
      <c r="V436" s="2487"/>
      <c r="W436" s="2487"/>
      <c r="X436" s="2487"/>
      <c r="Y436" s="2487"/>
      <c r="Z436" s="2487"/>
      <c r="AA436" s="2487"/>
      <c r="AB436" s="2487"/>
      <c r="AC436" s="2487"/>
      <c r="AD436" s="2487"/>
      <c r="AE436" s="2487"/>
      <c r="AF436" s="2487"/>
      <c r="AG436" s="2487"/>
      <c r="AH436" s="2487"/>
      <c r="AI436" s="2487"/>
      <c r="AJ436" s="2487"/>
      <c r="AK436" s="2487"/>
      <c r="AL436" s="2487"/>
      <c r="AM436" s="2487"/>
    </row>
    <row r="437" spans="1:39" ht="15.75" customHeight="1" x14ac:dyDescent="0.25">
      <c r="A437" s="2487"/>
      <c r="B437" s="2487"/>
      <c r="C437" s="2487"/>
      <c r="D437" s="2487"/>
      <c r="E437" s="2487"/>
      <c r="F437" s="2487"/>
      <c r="G437" s="2487"/>
      <c r="H437" s="2487"/>
      <c r="I437" s="2487"/>
      <c r="J437" s="2487"/>
      <c r="K437" s="2487"/>
      <c r="L437" s="2487"/>
      <c r="M437" s="2487"/>
      <c r="N437" s="2487"/>
      <c r="O437" s="2487"/>
      <c r="P437" s="2487"/>
      <c r="Q437" s="2487"/>
      <c r="R437" s="2487"/>
      <c r="S437" s="2487"/>
      <c r="T437" s="2487"/>
      <c r="U437" s="2487"/>
      <c r="V437" s="2487"/>
      <c r="W437" s="2487"/>
      <c r="X437" s="2487"/>
      <c r="Y437" s="2487"/>
      <c r="Z437" s="2487"/>
      <c r="AA437" s="2487"/>
      <c r="AB437" s="2487"/>
      <c r="AC437" s="2487"/>
      <c r="AD437" s="2487"/>
      <c r="AE437" s="2487"/>
      <c r="AF437" s="2487"/>
      <c r="AG437" s="2487"/>
      <c r="AH437" s="2487"/>
      <c r="AI437" s="2487"/>
      <c r="AJ437" s="2487"/>
      <c r="AK437" s="2487"/>
      <c r="AL437" s="2487"/>
      <c r="AM437" s="2487"/>
    </row>
    <row r="438" spans="1:39" ht="15.75" customHeight="1" x14ac:dyDescent="0.25">
      <c r="A438" s="2487"/>
      <c r="B438" s="2487"/>
      <c r="C438" s="2487"/>
      <c r="D438" s="2487"/>
      <c r="E438" s="2487"/>
      <c r="F438" s="2487"/>
      <c r="G438" s="2487"/>
      <c r="H438" s="2487"/>
      <c r="I438" s="2487"/>
      <c r="J438" s="2487"/>
      <c r="K438" s="2487"/>
      <c r="L438" s="2487"/>
      <c r="M438" s="2487"/>
      <c r="N438" s="2487"/>
      <c r="O438" s="2487"/>
      <c r="P438" s="2487"/>
      <c r="Q438" s="2487"/>
      <c r="R438" s="2487"/>
      <c r="S438" s="2487"/>
      <c r="T438" s="2487"/>
      <c r="U438" s="2487"/>
      <c r="V438" s="2487"/>
      <c r="W438" s="2487"/>
      <c r="X438" s="2487"/>
      <c r="Y438" s="2487"/>
      <c r="Z438" s="2487"/>
      <c r="AA438" s="2487"/>
      <c r="AB438" s="2487"/>
      <c r="AC438" s="2487"/>
      <c r="AD438" s="2487"/>
      <c r="AE438" s="2487"/>
      <c r="AF438" s="2487"/>
      <c r="AG438" s="2487"/>
      <c r="AH438" s="2487"/>
      <c r="AI438" s="2487"/>
      <c r="AJ438" s="2487"/>
      <c r="AK438" s="2487"/>
      <c r="AL438" s="2487"/>
      <c r="AM438" s="2487"/>
    </row>
    <row r="439" spans="1:39" ht="15.75" customHeight="1" x14ac:dyDescent="0.25">
      <c r="A439" s="2487"/>
      <c r="B439" s="2487"/>
      <c r="C439" s="2487"/>
      <c r="D439" s="2487"/>
      <c r="E439" s="2487"/>
      <c r="F439" s="2487"/>
      <c r="G439" s="2487"/>
      <c r="H439" s="2487"/>
      <c r="I439" s="2487"/>
      <c r="J439" s="2487"/>
      <c r="K439" s="2487"/>
      <c r="L439" s="2487"/>
      <c r="M439" s="2487"/>
      <c r="N439" s="2487"/>
      <c r="O439" s="2487"/>
      <c r="P439" s="2487"/>
      <c r="Q439" s="2487"/>
      <c r="R439" s="2487"/>
      <c r="S439" s="2487"/>
      <c r="T439" s="2487"/>
      <c r="U439" s="2487"/>
      <c r="V439" s="2487"/>
      <c r="W439" s="2487"/>
      <c r="X439" s="2487"/>
      <c r="Y439" s="2487"/>
      <c r="Z439" s="2487"/>
      <c r="AA439" s="2487"/>
      <c r="AB439" s="2487"/>
      <c r="AC439" s="2487"/>
      <c r="AD439" s="2487"/>
      <c r="AE439" s="2487"/>
      <c r="AF439" s="2487"/>
      <c r="AG439" s="2487"/>
      <c r="AH439" s="2487"/>
      <c r="AI439" s="2487"/>
      <c r="AJ439" s="2487"/>
      <c r="AK439" s="2487"/>
      <c r="AL439" s="2487"/>
      <c r="AM439" s="2487"/>
    </row>
    <row r="440" spans="1:39" ht="15.75" customHeight="1" x14ac:dyDescent="0.25">
      <c r="A440" s="2487"/>
      <c r="B440" s="2487"/>
      <c r="C440" s="2487"/>
      <c r="D440" s="2487"/>
      <c r="E440" s="2487"/>
      <c r="F440" s="2487"/>
      <c r="G440" s="2487"/>
      <c r="H440" s="2487"/>
      <c r="I440" s="2487"/>
      <c r="J440" s="2487"/>
      <c r="K440" s="2487"/>
      <c r="L440" s="2487"/>
      <c r="M440" s="2487"/>
      <c r="N440" s="2487"/>
      <c r="O440" s="2487"/>
      <c r="P440" s="2487"/>
      <c r="Q440" s="2487"/>
      <c r="R440" s="2487"/>
      <c r="S440" s="2487"/>
      <c r="T440" s="2487"/>
      <c r="U440" s="2487"/>
      <c r="V440" s="2487"/>
      <c r="W440" s="2487"/>
      <c r="X440" s="2487"/>
      <c r="Y440" s="2487"/>
      <c r="Z440" s="2487"/>
      <c r="AA440" s="2487"/>
      <c r="AB440" s="2487"/>
      <c r="AC440" s="2487"/>
      <c r="AD440" s="2487"/>
      <c r="AE440" s="2487"/>
      <c r="AF440" s="2487"/>
      <c r="AG440" s="2487"/>
      <c r="AH440" s="2487"/>
      <c r="AI440" s="2487"/>
      <c r="AJ440" s="2487"/>
      <c r="AK440" s="2487"/>
      <c r="AL440" s="2487"/>
      <c r="AM440" s="2487"/>
    </row>
    <row r="441" spans="1:39" ht="15.75" customHeight="1" x14ac:dyDescent="0.25">
      <c r="A441" s="2487"/>
      <c r="B441" s="2487"/>
      <c r="C441" s="2487"/>
      <c r="D441" s="2487"/>
      <c r="E441" s="2487"/>
      <c r="F441" s="2487"/>
      <c r="G441" s="2487"/>
      <c r="H441" s="2487"/>
      <c r="I441" s="2487"/>
      <c r="J441" s="2487"/>
      <c r="K441" s="2487"/>
      <c r="L441" s="2487"/>
      <c r="M441" s="2487"/>
      <c r="N441" s="2487"/>
      <c r="O441" s="2487"/>
      <c r="P441" s="2487"/>
      <c r="Q441" s="2487"/>
      <c r="R441" s="2487"/>
      <c r="S441" s="2487"/>
      <c r="T441" s="2487"/>
      <c r="U441" s="2487"/>
      <c r="V441" s="2487"/>
      <c r="W441" s="2487"/>
      <c r="X441" s="2487"/>
      <c r="Y441" s="2487"/>
      <c r="Z441" s="2487"/>
      <c r="AA441" s="2487"/>
      <c r="AB441" s="2487"/>
      <c r="AC441" s="2487"/>
      <c r="AD441" s="2487"/>
      <c r="AE441" s="2487"/>
      <c r="AF441" s="2487"/>
      <c r="AG441" s="2487"/>
      <c r="AH441" s="2487"/>
      <c r="AI441" s="2487"/>
      <c r="AJ441" s="2487"/>
      <c r="AK441" s="2487"/>
      <c r="AL441" s="2487"/>
      <c r="AM441" s="2487"/>
    </row>
    <row r="442" spans="1:39" ht="15.75" customHeight="1" x14ac:dyDescent="0.25">
      <c r="A442" s="2487"/>
      <c r="B442" s="2487"/>
      <c r="C442" s="2487"/>
      <c r="D442" s="2487"/>
      <c r="E442" s="2487"/>
      <c r="F442" s="2487"/>
      <c r="G442" s="2487"/>
      <c r="H442" s="2487"/>
      <c r="I442" s="2487"/>
      <c r="J442" s="2487"/>
      <c r="K442" s="2487"/>
      <c r="L442" s="2487"/>
      <c r="M442" s="2487"/>
      <c r="N442" s="2487"/>
      <c r="O442" s="2487"/>
      <c r="P442" s="2487"/>
      <c r="Q442" s="2487"/>
      <c r="R442" s="2487"/>
      <c r="S442" s="2487"/>
      <c r="T442" s="2487"/>
      <c r="U442" s="2487"/>
      <c r="V442" s="2487"/>
      <c r="W442" s="2487"/>
      <c r="X442" s="2487"/>
      <c r="Y442" s="2487"/>
      <c r="Z442" s="2487"/>
      <c r="AA442" s="2487"/>
      <c r="AB442" s="2487"/>
      <c r="AC442" s="2487"/>
      <c r="AD442" s="2487"/>
      <c r="AE442" s="2487"/>
      <c r="AF442" s="2487"/>
      <c r="AG442" s="2487"/>
      <c r="AH442" s="2487"/>
      <c r="AI442" s="2487"/>
      <c r="AJ442" s="2487"/>
      <c r="AK442" s="2487"/>
      <c r="AL442" s="2487"/>
      <c r="AM442" s="2487"/>
    </row>
    <row r="443" spans="1:39" ht="15.75" customHeight="1" x14ac:dyDescent="0.25">
      <c r="A443" s="2487"/>
      <c r="B443" s="2487"/>
      <c r="C443" s="2487"/>
      <c r="D443" s="2487"/>
      <c r="E443" s="2487"/>
      <c r="F443" s="2487"/>
      <c r="G443" s="2487"/>
      <c r="H443" s="2487"/>
      <c r="I443" s="2487"/>
      <c r="J443" s="2487"/>
      <c r="K443" s="2487"/>
      <c r="L443" s="2487"/>
      <c r="M443" s="2487"/>
      <c r="N443" s="2487"/>
      <c r="O443" s="2487"/>
      <c r="P443" s="2487"/>
      <c r="Q443" s="2487"/>
      <c r="R443" s="2487"/>
      <c r="S443" s="2487"/>
      <c r="T443" s="2487"/>
      <c r="U443" s="2487"/>
      <c r="V443" s="2487"/>
      <c r="W443" s="2487"/>
      <c r="X443" s="2487"/>
      <c r="Y443" s="2487"/>
      <c r="Z443" s="2487"/>
      <c r="AA443" s="2487"/>
      <c r="AB443" s="2487"/>
      <c r="AC443" s="2487"/>
      <c r="AD443" s="2487"/>
      <c r="AE443" s="2487"/>
      <c r="AF443" s="2487"/>
      <c r="AG443" s="2487"/>
      <c r="AH443" s="2487"/>
      <c r="AI443" s="2487"/>
      <c r="AJ443" s="2487"/>
      <c r="AK443" s="2487"/>
      <c r="AL443" s="2487"/>
      <c r="AM443" s="2487"/>
    </row>
    <row r="444" spans="1:39" ht="15.75" customHeight="1" x14ac:dyDescent="0.25">
      <c r="A444" s="2487"/>
      <c r="B444" s="2487"/>
      <c r="C444" s="2487"/>
      <c r="D444" s="2487"/>
      <c r="E444" s="2487"/>
      <c r="F444" s="2487"/>
      <c r="G444" s="2487"/>
      <c r="H444" s="2487"/>
      <c r="I444" s="2487"/>
      <c r="J444" s="2487"/>
      <c r="K444" s="2487"/>
      <c r="L444" s="2487"/>
      <c r="M444" s="2487"/>
      <c r="N444" s="2487"/>
      <c r="O444" s="2487"/>
      <c r="P444" s="2487"/>
      <c r="Q444" s="2487"/>
      <c r="R444" s="2487"/>
      <c r="S444" s="2487"/>
      <c r="T444" s="2487"/>
      <c r="U444" s="2487"/>
      <c r="V444" s="2487"/>
      <c r="W444" s="2487"/>
      <c r="X444" s="2487"/>
      <c r="Y444" s="2487"/>
      <c r="Z444" s="2487"/>
      <c r="AA444" s="2487"/>
      <c r="AB444" s="2487"/>
      <c r="AC444" s="2487"/>
      <c r="AD444" s="2487"/>
      <c r="AE444" s="2487"/>
      <c r="AF444" s="2487"/>
      <c r="AG444" s="2487"/>
      <c r="AH444" s="2487"/>
      <c r="AI444" s="2487"/>
      <c r="AJ444" s="2487"/>
      <c r="AK444" s="2487"/>
      <c r="AL444" s="2487"/>
      <c r="AM444" s="2487"/>
    </row>
    <row r="445" spans="1:39" ht="15.75" customHeight="1" x14ac:dyDescent="0.25">
      <c r="A445" s="2487"/>
      <c r="B445" s="2487"/>
      <c r="C445" s="2487"/>
      <c r="D445" s="2487"/>
      <c r="E445" s="2487"/>
      <c r="F445" s="2487"/>
      <c r="G445" s="2487"/>
      <c r="H445" s="2487"/>
      <c r="I445" s="2487"/>
      <c r="J445" s="2487"/>
      <c r="K445" s="2487"/>
      <c r="L445" s="2487"/>
      <c r="M445" s="2487"/>
      <c r="N445" s="2487"/>
      <c r="O445" s="2487"/>
      <c r="P445" s="2487"/>
      <c r="Q445" s="2487"/>
      <c r="R445" s="2487"/>
      <c r="S445" s="2487"/>
      <c r="T445" s="2487"/>
      <c r="U445" s="2487"/>
      <c r="V445" s="2487"/>
      <c r="W445" s="2487"/>
      <c r="X445" s="2487"/>
      <c r="Y445" s="2487"/>
      <c r="Z445" s="2487"/>
      <c r="AA445" s="2487"/>
      <c r="AB445" s="2487"/>
      <c r="AC445" s="2487"/>
      <c r="AD445" s="2487"/>
      <c r="AE445" s="2487"/>
      <c r="AF445" s="2487"/>
      <c r="AG445" s="2487"/>
      <c r="AH445" s="2487"/>
      <c r="AI445" s="2487"/>
      <c r="AJ445" s="2487"/>
      <c r="AK445" s="2487"/>
      <c r="AL445" s="2487"/>
      <c r="AM445" s="2487"/>
    </row>
    <row r="446" spans="1:39" ht="15.75" customHeight="1" x14ac:dyDescent="0.25">
      <c r="A446" s="2487"/>
      <c r="B446" s="2487"/>
      <c r="C446" s="2487"/>
      <c r="D446" s="2487"/>
      <c r="E446" s="2487"/>
      <c r="F446" s="2487"/>
      <c r="G446" s="2487"/>
      <c r="H446" s="2487"/>
      <c r="I446" s="2487"/>
      <c r="J446" s="2487"/>
      <c r="K446" s="2487"/>
      <c r="L446" s="2487"/>
      <c r="M446" s="2487"/>
      <c r="N446" s="2487"/>
      <c r="O446" s="2487"/>
      <c r="P446" s="2487"/>
      <c r="Q446" s="2487"/>
      <c r="R446" s="2487"/>
      <c r="S446" s="2487"/>
      <c r="T446" s="2487"/>
      <c r="U446" s="2487"/>
      <c r="V446" s="2487"/>
      <c r="W446" s="2487"/>
      <c r="X446" s="2487"/>
      <c r="Y446" s="2487"/>
      <c r="Z446" s="2487"/>
      <c r="AA446" s="2487"/>
      <c r="AB446" s="2487"/>
      <c r="AC446" s="2487"/>
      <c r="AD446" s="2487"/>
      <c r="AE446" s="2487"/>
      <c r="AF446" s="2487"/>
      <c r="AG446" s="2487"/>
      <c r="AH446" s="2487"/>
      <c r="AI446" s="2487"/>
      <c r="AJ446" s="2487"/>
      <c r="AK446" s="2487"/>
      <c r="AL446" s="2487"/>
      <c r="AM446" s="2487"/>
    </row>
    <row r="447" spans="1:39" ht="15.75" customHeight="1" x14ac:dyDescent="0.25">
      <c r="A447" s="2487"/>
      <c r="B447" s="2487"/>
      <c r="C447" s="2487"/>
      <c r="D447" s="2487"/>
      <c r="E447" s="2487"/>
      <c r="F447" s="2487"/>
      <c r="G447" s="2487"/>
      <c r="H447" s="2487"/>
      <c r="I447" s="2487"/>
      <c r="J447" s="2487"/>
      <c r="K447" s="2487"/>
      <c r="L447" s="2487"/>
      <c r="M447" s="2487"/>
      <c r="N447" s="2487"/>
      <c r="O447" s="2487"/>
      <c r="P447" s="2487"/>
      <c r="Q447" s="2487"/>
      <c r="R447" s="2487"/>
      <c r="S447" s="2487"/>
      <c r="T447" s="2487"/>
      <c r="U447" s="2487"/>
      <c r="V447" s="2487"/>
      <c r="W447" s="2487"/>
      <c r="X447" s="2487"/>
      <c r="Y447" s="2487"/>
      <c r="Z447" s="2487"/>
      <c r="AA447" s="2487"/>
      <c r="AB447" s="2487"/>
      <c r="AC447" s="2487"/>
      <c r="AD447" s="2487"/>
      <c r="AE447" s="2487"/>
      <c r="AF447" s="2487"/>
      <c r="AG447" s="2487"/>
      <c r="AH447" s="2487"/>
      <c r="AI447" s="2487"/>
      <c r="AJ447" s="2487"/>
      <c r="AK447" s="2487"/>
      <c r="AL447" s="2487"/>
      <c r="AM447" s="2487"/>
    </row>
    <row r="448" spans="1:39" ht="15.75" customHeight="1" x14ac:dyDescent="0.25">
      <c r="A448" s="2487"/>
      <c r="B448" s="2487"/>
      <c r="C448" s="2487"/>
      <c r="D448" s="2487"/>
      <c r="E448" s="2487"/>
      <c r="F448" s="2487"/>
      <c r="G448" s="2487"/>
      <c r="H448" s="2487"/>
      <c r="I448" s="2487"/>
      <c r="J448" s="2487"/>
      <c r="K448" s="2487"/>
      <c r="L448" s="2487"/>
      <c r="M448" s="2487"/>
      <c r="N448" s="2487"/>
      <c r="O448" s="2487"/>
      <c r="P448" s="2487"/>
      <c r="Q448" s="2487"/>
      <c r="R448" s="2487"/>
      <c r="S448" s="2487"/>
      <c r="T448" s="2487"/>
      <c r="U448" s="2487"/>
      <c r="V448" s="2487"/>
      <c r="W448" s="2487"/>
      <c r="X448" s="2487"/>
      <c r="Y448" s="2487"/>
      <c r="Z448" s="2487"/>
      <c r="AA448" s="2487"/>
      <c r="AB448" s="2487"/>
      <c r="AC448" s="2487"/>
      <c r="AD448" s="2487"/>
      <c r="AE448" s="2487"/>
      <c r="AF448" s="2487"/>
      <c r="AG448" s="2487"/>
      <c r="AH448" s="2487"/>
      <c r="AI448" s="2487"/>
      <c r="AJ448" s="2487"/>
      <c r="AK448" s="2487"/>
      <c r="AL448" s="2487"/>
      <c r="AM448" s="2487"/>
    </row>
    <row r="449" spans="1:39" ht="15.75" customHeight="1" x14ac:dyDescent="0.25">
      <c r="A449" s="2487"/>
      <c r="B449" s="2487"/>
      <c r="C449" s="2487"/>
      <c r="D449" s="2487"/>
      <c r="E449" s="2487"/>
      <c r="F449" s="2487"/>
      <c r="G449" s="2487"/>
      <c r="H449" s="2487"/>
      <c r="I449" s="2487"/>
      <c r="J449" s="2487"/>
      <c r="K449" s="2487"/>
      <c r="L449" s="2487"/>
      <c r="M449" s="2487"/>
      <c r="N449" s="2487"/>
      <c r="O449" s="2487"/>
      <c r="P449" s="2487"/>
      <c r="Q449" s="2487"/>
      <c r="R449" s="2487"/>
      <c r="S449" s="2487"/>
      <c r="T449" s="2487"/>
      <c r="U449" s="2487"/>
      <c r="V449" s="2487"/>
      <c r="W449" s="2487"/>
      <c r="X449" s="2487"/>
      <c r="Y449" s="2487"/>
      <c r="Z449" s="2487"/>
      <c r="AA449" s="2487"/>
      <c r="AB449" s="2487"/>
      <c r="AC449" s="2487"/>
      <c r="AD449" s="2487"/>
      <c r="AE449" s="2487"/>
      <c r="AF449" s="2487"/>
      <c r="AG449" s="2487"/>
      <c r="AH449" s="2487"/>
      <c r="AI449" s="2487"/>
      <c r="AJ449" s="2487"/>
      <c r="AK449" s="2487"/>
      <c r="AL449" s="2487"/>
      <c r="AM449" s="2487"/>
    </row>
    <row r="450" spans="1:39" ht="15.75" customHeight="1" x14ac:dyDescent="0.25">
      <c r="A450" s="2487"/>
      <c r="B450" s="2487"/>
      <c r="C450" s="2487"/>
      <c r="D450" s="2487"/>
      <c r="E450" s="2487"/>
      <c r="F450" s="2487"/>
      <c r="G450" s="2487"/>
      <c r="H450" s="2487"/>
      <c r="I450" s="2487"/>
      <c r="J450" s="2487"/>
      <c r="K450" s="2487"/>
      <c r="L450" s="2487"/>
      <c r="M450" s="2487"/>
      <c r="N450" s="2487"/>
      <c r="O450" s="2487"/>
      <c r="P450" s="2487"/>
      <c r="Q450" s="2487"/>
      <c r="R450" s="2487"/>
      <c r="S450" s="2487"/>
      <c r="T450" s="2487"/>
      <c r="U450" s="2487"/>
      <c r="V450" s="2487"/>
      <c r="W450" s="2487"/>
      <c r="X450" s="2487"/>
      <c r="Y450" s="2487"/>
      <c r="Z450" s="2487"/>
      <c r="AA450" s="2487"/>
      <c r="AB450" s="2487"/>
      <c r="AC450" s="2487"/>
      <c r="AD450" s="2487"/>
      <c r="AE450" s="2487"/>
      <c r="AF450" s="2487"/>
      <c r="AG450" s="2487"/>
      <c r="AH450" s="2487"/>
      <c r="AI450" s="2487"/>
      <c r="AJ450" s="2487"/>
      <c r="AK450" s="2487"/>
      <c r="AL450" s="2487"/>
      <c r="AM450" s="2487"/>
    </row>
    <row r="451" spans="1:39" ht="15.75" customHeight="1" x14ac:dyDescent="0.25">
      <c r="A451" s="2487"/>
      <c r="B451" s="2487"/>
      <c r="C451" s="2487"/>
      <c r="D451" s="2487"/>
      <c r="E451" s="2487"/>
      <c r="F451" s="2487"/>
      <c r="G451" s="2487"/>
      <c r="H451" s="2487"/>
      <c r="I451" s="2487"/>
      <c r="J451" s="2487"/>
      <c r="K451" s="2487"/>
      <c r="L451" s="2487"/>
      <c r="M451" s="2487"/>
      <c r="N451" s="2487"/>
      <c r="O451" s="2487"/>
      <c r="P451" s="2487"/>
      <c r="Q451" s="2487"/>
      <c r="R451" s="2487"/>
      <c r="S451" s="2487"/>
      <c r="T451" s="2487"/>
      <c r="U451" s="2487"/>
      <c r="V451" s="2487"/>
      <c r="W451" s="2487"/>
      <c r="X451" s="2487"/>
      <c r="Y451" s="2487"/>
      <c r="Z451" s="2487"/>
      <c r="AA451" s="2487"/>
      <c r="AB451" s="2487"/>
      <c r="AC451" s="2487"/>
      <c r="AD451" s="2487"/>
      <c r="AE451" s="2487"/>
      <c r="AF451" s="2487"/>
      <c r="AG451" s="2487"/>
      <c r="AH451" s="2487"/>
      <c r="AI451" s="2487"/>
      <c r="AJ451" s="2487"/>
      <c r="AK451" s="2487"/>
      <c r="AL451" s="2487"/>
      <c r="AM451" s="2487"/>
    </row>
    <row r="452" spans="1:39" ht="15.75" customHeight="1" x14ac:dyDescent="0.25">
      <c r="A452" s="2487"/>
      <c r="B452" s="2487"/>
      <c r="C452" s="2487"/>
      <c r="D452" s="2487"/>
      <c r="E452" s="2487"/>
      <c r="F452" s="2487"/>
      <c r="G452" s="2487"/>
      <c r="H452" s="2487"/>
      <c r="I452" s="2487"/>
      <c r="J452" s="2487"/>
      <c r="K452" s="2487"/>
      <c r="L452" s="2487"/>
      <c r="M452" s="2487"/>
      <c r="N452" s="2487"/>
      <c r="O452" s="2487"/>
      <c r="P452" s="2487"/>
      <c r="Q452" s="2487"/>
      <c r="R452" s="2487"/>
      <c r="S452" s="2487"/>
      <c r="T452" s="2487"/>
      <c r="U452" s="2487"/>
      <c r="V452" s="2487"/>
      <c r="W452" s="2487"/>
      <c r="X452" s="2487"/>
      <c r="Y452" s="2487"/>
      <c r="Z452" s="2487"/>
      <c r="AA452" s="2487"/>
      <c r="AB452" s="2487"/>
      <c r="AC452" s="2487"/>
      <c r="AD452" s="2487"/>
      <c r="AE452" s="2487"/>
      <c r="AF452" s="2487"/>
      <c r="AG452" s="2487"/>
      <c r="AH452" s="2487"/>
      <c r="AI452" s="2487"/>
      <c r="AJ452" s="2487"/>
      <c r="AK452" s="2487"/>
      <c r="AL452" s="2487"/>
      <c r="AM452" s="2487"/>
    </row>
    <row r="453" spans="1:39" ht="15.75" customHeight="1" x14ac:dyDescent="0.25">
      <c r="A453" s="2487"/>
      <c r="B453" s="2487"/>
      <c r="C453" s="2487"/>
      <c r="D453" s="2487"/>
      <c r="E453" s="2487"/>
      <c r="F453" s="2487"/>
      <c r="G453" s="2487"/>
      <c r="H453" s="2487"/>
      <c r="I453" s="2487"/>
      <c r="J453" s="2487"/>
      <c r="K453" s="2487"/>
      <c r="L453" s="2487"/>
      <c r="M453" s="2487"/>
      <c r="N453" s="2487"/>
      <c r="O453" s="2487"/>
      <c r="P453" s="2487"/>
      <c r="Q453" s="2487"/>
      <c r="R453" s="2487"/>
      <c r="S453" s="2487"/>
      <c r="T453" s="2487"/>
      <c r="U453" s="2487"/>
      <c r="V453" s="2487"/>
      <c r="W453" s="2487"/>
      <c r="X453" s="2487"/>
      <c r="Y453" s="2487"/>
      <c r="Z453" s="2487"/>
      <c r="AA453" s="2487"/>
      <c r="AB453" s="2487"/>
      <c r="AC453" s="2487"/>
      <c r="AD453" s="2487"/>
      <c r="AE453" s="2487"/>
      <c r="AF453" s="2487"/>
      <c r="AG453" s="2487"/>
      <c r="AH453" s="2487"/>
      <c r="AI453" s="2487"/>
      <c r="AJ453" s="2487"/>
      <c r="AK453" s="2487"/>
      <c r="AL453" s="2487"/>
      <c r="AM453" s="2487"/>
    </row>
    <row r="454" spans="1:39" ht="15.75" customHeight="1" x14ac:dyDescent="0.25">
      <c r="A454" s="2487"/>
      <c r="B454" s="2487"/>
      <c r="C454" s="2487"/>
      <c r="D454" s="2487"/>
      <c r="E454" s="2487"/>
      <c r="F454" s="2487"/>
      <c r="G454" s="2487"/>
      <c r="H454" s="2487"/>
      <c r="I454" s="2487"/>
      <c r="J454" s="2487"/>
      <c r="K454" s="2487"/>
      <c r="L454" s="2487"/>
      <c r="M454" s="2487"/>
      <c r="N454" s="2487"/>
      <c r="O454" s="2487"/>
      <c r="P454" s="2487"/>
      <c r="Q454" s="2487"/>
      <c r="R454" s="2487"/>
      <c r="S454" s="2487"/>
      <c r="T454" s="2487"/>
      <c r="U454" s="2487"/>
      <c r="V454" s="2487"/>
      <c r="W454" s="2487"/>
      <c r="X454" s="2487"/>
      <c r="Y454" s="2487"/>
      <c r="Z454" s="2487"/>
      <c r="AA454" s="2487"/>
      <c r="AB454" s="2487"/>
      <c r="AC454" s="2487"/>
      <c r="AD454" s="2487"/>
      <c r="AE454" s="2487"/>
      <c r="AF454" s="2487"/>
      <c r="AG454" s="2487"/>
      <c r="AH454" s="2487"/>
      <c r="AI454" s="2487"/>
      <c r="AJ454" s="2487"/>
      <c r="AK454" s="2487"/>
      <c r="AL454" s="2487"/>
      <c r="AM454" s="2487"/>
    </row>
    <row r="455" spans="1:39" ht="15.75" customHeight="1" x14ac:dyDescent="0.25">
      <c r="A455" s="2487"/>
      <c r="B455" s="2487"/>
      <c r="C455" s="2487"/>
      <c r="D455" s="2487"/>
      <c r="E455" s="2487"/>
      <c r="F455" s="2487"/>
      <c r="G455" s="2487"/>
      <c r="H455" s="2487"/>
      <c r="I455" s="2487"/>
      <c r="J455" s="2487"/>
      <c r="K455" s="2487"/>
      <c r="L455" s="2487"/>
      <c r="M455" s="2487"/>
      <c r="N455" s="2487"/>
      <c r="O455" s="2487"/>
      <c r="P455" s="2487"/>
      <c r="Q455" s="2487"/>
      <c r="R455" s="2487"/>
      <c r="S455" s="2487"/>
      <c r="T455" s="2487"/>
      <c r="U455" s="2487"/>
      <c r="V455" s="2487"/>
      <c r="W455" s="2487"/>
      <c r="X455" s="2487"/>
      <c r="Y455" s="2487"/>
      <c r="Z455" s="2487"/>
      <c r="AA455" s="2487"/>
      <c r="AB455" s="2487"/>
      <c r="AC455" s="2487"/>
      <c r="AD455" s="2487"/>
      <c r="AE455" s="2487"/>
      <c r="AF455" s="2487"/>
      <c r="AG455" s="2487"/>
      <c r="AH455" s="2487"/>
      <c r="AI455" s="2487"/>
      <c r="AJ455" s="2487"/>
      <c r="AK455" s="2487"/>
      <c r="AL455" s="2487"/>
      <c r="AM455" s="2487"/>
    </row>
    <row r="456" spans="1:39" ht="15.75" customHeight="1" x14ac:dyDescent="0.25">
      <c r="A456" s="2487"/>
      <c r="B456" s="2487"/>
      <c r="C456" s="2487"/>
      <c r="D456" s="2487"/>
      <c r="E456" s="2487"/>
      <c r="F456" s="2487"/>
      <c r="G456" s="2487"/>
      <c r="H456" s="2487"/>
      <c r="I456" s="2487"/>
      <c r="J456" s="2487"/>
      <c r="K456" s="2487"/>
      <c r="L456" s="2487"/>
      <c r="M456" s="2487"/>
      <c r="N456" s="2487"/>
      <c r="O456" s="2487"/>
      <c r="P456" s="2487"/>
      <c r="Q456" s="2487"/>
      <c r="R456" s="2487"/>
      <c r="S456" s="2487"/>
      <c r="T456" s="2487"/>
      <c r="U456" s="2487"/>
      <c r="V456" s="2487"/>
      <c r="W456" s="2487"/>
      <c r="X456" s="2487"/>
      <c r="Y456" s="2487"/>
      <c r="Z456" s="2487"/>
      <c r="AA456" s="2487"/>
      <c r="AB456" s="2487"/>
      <c r="AC456" s="2487"/>
      <c r="AD456" s="2487"/>
      <c r="AE456" s="2487"/>
      <c r="AF456" s="2487"/>
      <c r="AG456" s="2487"/>
      <c r="AH456" s="2487"/>
      <c r="AI456" s="2487"/>
      <c r="AJ456" s="2487"/>
      <c r="AK456" s="2487"/>
      <c r="AL456" s="2487"/>
      <c r="AM456" s="2487"/>
    </row>
    <row r="457" spans="1:39" ht="15.75" customHeight="1" x14ac:dyDescent="0.25">
      <c r="A457" s="2487"/>
      <c r="B457" s="2487"/>
      <c r="C457" s="2487"/>
      <c r="D457" s="2487"/>
      <c r="E457" s="2487"/>
      <c r="F457" s="2487"/>
      <c r="G457" s="2487"/>
      <c r="H457" s="2487"/>
      <c r="I457" s="2487"/>
      <c r="J457" s="2487"/>
      <c r="K457" s="2487"/>
      <c r="L457" s="2487"/>
      <c r="M457" s="2487"/>
      <c r="N457" s="2487"/>
      <c r="O457" s="2487"/>
      <c r="P457" s="2487"/>
      <c r="Q457" s="2487"/>
      <c r="R457" s="2487"/>
      <c r="S457" s="2487"/>
      <c r="T457" s="2487"/>
      <c r="U457" s="2487"/>
      <c r="V457" s="2487"/>
      <c r="W457" s="2487"/>
      <c r="X457" s="2487"/>
      <c r="Y457" s="2487"/>
      <c r="Z457" s="2487"/>
      <c r="AA457" s="2487"/>
      <c r="AB457" s="2487"/>
      <c r="AC457" s="2487"/>
      <c r="AD457" s="2487"/>
      <c r="AE457" s="2487"/>
      <c r="AF457" s="2487"/>
      <c r="AG457" s="2487"/>
      <c r="AH457" s="2487"/>
      <c r="AI457" s="2487"/>
      <c r="AJ457" s="2487"/>
      <c r="AK457" s="2487"/>
      <c r="AL457" s="2487"/>
      <c r="AM457" s="2487"/>
    </row>
    <row r="458" spans="1:39" ht="15.75" customHeight="1" x14ac:dyDescent="0.25">
      <c r="A458" s="2487"/>
      <c r="B458" s="2487"/>
      <c r="C458" s="2487"/>
      <c r="D458" s="2487"/>
      <c r="E458" s="2487"/>
      <c r="F458" s="2487"/>
      <c r="G458" s="2487"/>
      <c r="H458" s="2487"/>
      <c r="I458" s="2487"/>
      <c r="J458" s="2487"/>
      <c r="K458" s="2487"/>
      <c r="L458" s="2487"/>
      <c r="M458" s="2487"/>
      <c r="N458" s="2487"/>
      <c r="O458" s="2487"/>
      <c r="P458" s="2487"/>
      <c r="Q458" s="2487"/>
      <c r="R458" s="2487"/>
      <c r="S458" s="2487"/>
      <c r="T458" s="2487"/>
      <c r="U458" s="2487"/>
      <c r="V458" s="2487"/>
      <c r="W458" s="2487"/>
      <c r="X458" s="2487"/>
      <c r="Y458" s="2487"/>
      <c r="Z458" s="2487"/>
      <c r="AA458" s="2487"/>
      <c r="AB458" s="2487"/>
      <c r="AC458" s="2487"/>
      <c r="AD458" s="2487"/>
      <c r="AE458" s="2487"/>
      <c r="AF458" s="2487"/>
      <c r="AG458" s="2487"/>
      <c r="AH458" s="2487"/>
      <c r="AI458" s="2487"/>
      <c r="AJ458" s="2487"/>
      <c r="AK458" s="2487"/>
      <c r="AL458" s="2487"/>
      <c r="AM458" s="2487"/>
    </row>
    <row r="459" spans="1:39" ht="15.75" customHeight="1" x14ac:dyDescent="0.25">
      <c r="A459" s="2487"/>
      <c r="B459" s="2487"/>
      <c r="C459" s="2487"/>
      <c r="D459" s="2487"/>
      <c r="E459" s="2487"/>
      <c r="F459" s="2487"/>
      <c r="G459" s="2487"/>
      <c r="H459" s="2487"/>
      <c r="I459" s="2487"/>
      <c r="J459" s="2487"/>
      <c r="K459" s="2487"/>
      <c r="L459" s="2487"/>
      <c r="M459" s="2487"/>
      <c r="N459" s="2487"/>
      <c r="O459" s="2487"/>
      <c r="P459" s="2487"/>
      <c r="Q459" s="2487"/>
      <c r="R459" s="2487"/>
      <c r="S459" s="2487"/>
      <c r="T459" s="2487"/>
      <c r="U459" s="2487"/>
      <c r="V459" s="2487"/>
      <c r="W459" s="2487"/>
      <c r="X459" s="2487"/>
      <c r="Y459" s="2487"/>
      <c r="Z459" s="2487"/>
      <c r="AA459" s="2487"/>
      <c r="AB459" s="2487"/>
      <c r="AC459" s="2487"/>
      <c r="AD459" s="2487"/>
      <c r="AE459" s="2487"/>
      <c r="AF459" s="2487"/>
      <c r="AG459" s="2487"/>
      <c r="AH459" s="2487"/>
      <c r="AI459" s="2487"/>
      <c r="AJ459" s="2487"/>
      <c r="AK459" s="2487"/>
      <c r="AL459" s="2487"/>
      <c r="AM459" s="2487"/>
    </row>
    <row r="460" spans="1:39" ht="15.75" customHeight="1" x14ac:dyDescent="0.25">
      <c r="A460" s="2487"/>
      <c r="B460" s="2487"/>
      <c r="C460" s="2487"/>
      <c r="D460" s="2487"/>
      <c r="E460" s="2487"/>
      <c r="F460" s="2487"/>
      <c r="G460" s="2487"/>
      <c r="H460" s="2487"/>
      <c r="I460" s="2487"/>
      <c r="J460" s="2487"/>
      <c r="K460" s="2487"/>
      <c r="L460" s="2487"/>
      <c r="M460" s="2487"/>
      <c r="N460" s="2487"/>
      <c r="O460" s="2487"/>
      <c r="P460" s="2487"/>
      <c r="Q460" s="2487"/>
      <c r="R460" s="2487"/>
      <c r="S460" s="2487"/>
      <c r="T460" s="2487"/>
      <c r="U460" s="2487"/>
      <c r="V460" s="2487"/>
      <c r="W460" s="2487"/>
      <c r="X460" s="2487"/>
      <c r="Y460" s="2487"/>
      <c r="Z460" s="2487"/>
      <c r="AA460" s="2487"/>
      <c r="AB460" s="2487"/>
      <c r="AC460" s="2487"/>
      <c r="AD460" s="2487"/>
      <c r="AE460" s="2487"/>
      <c r="AF460" s="2487"/>
      <c r="AG460" s="2487"/>
      <c r="AH460" s="2487"/>
      <c r="AI460" s="2487"/>
      <c r="AJ460" s="2487"/>
      <c r="AK460" s="2487"/>
      <c r="AL460" s="2487"/>
      <c r="AM460" s="2487"/>
    </row>
    <row r="461" spans="1:39" ht="15.75" customHeight="1" x14ac:dyDescent="0.25">
      <c r="A461" s="2487"/>
      <c r="B461" s="2487"/>
      <c r="C461" s="2487"/>
      <c r="D461" s="2487"/>
      <c r="E461" s="2487"/>
      <c r="F461" s="2487"/>
      <c r="G461" s="2487"/>
      <c r="H461" s="2487"/>
      <c r="I461" s="2487"/>
      <c r="J461" s="2487"/>
      <c r="K461" s="2487"/>
      <c r="L461" s="2487"/>
      <c r="M461" s="2487"/>
      <c r="N461" s="2487"/>
      <c r="O461" s="2487"/>
      <c r="P461" s="2487"/>
      <c r="Q461" s="2487"/>
      <c r="R461" s="2487"/>
      <c r="S461" s="2487"/>
      <c r="T461" s="2487"/>
      <c r="U461" s="2487"/>
      <c r="V461" s="2487"/>
      <c r="W461" s="2487"/>
      <c r="X461" s="2487"/>
      <c r="Y461" s="2487"/>
      <c r="Z461" s="2487"/>
      <c r="AA461" s="2487"/>
      <c r="AB461" s="2487"/>
      <c r="AC461" s="2487"/>
      <c r="AD461" s="2487"/>
      <c r="AE461" s="2487"/>
      <c r="AF461" s="2487"/>
      <c r="AG461" s="2487"/>
      <c r="AH461" s="2487"/>
      <c r="AI461" s="2487"/>
      <c r="AJ461" s="2487"/>
      <c r="AK461" s="2487"/>
      <c r="AL461" s="2487"/>
      <c r="AM461" s="2487"/>
    </row>
    <row r="462" spans="1:39" ht="15.75" customHeight="1" x14ac:dyDescent="0.25">
      <c r="A462" s="2487"/>
      <c r="B462" s="2487"/>
      <c r="C462" s="2487"/>
      <c r="D462" s="2487"/>
      <c r="E462" s="2487"/>
      <c r="F462" s="2487"/>
      <c r="G462" s="2487"/>
      <c r="H462" s="2487"/>
      <c r="I462" s="2487"/>
      <c r="J462" s="2487"/>
      <c r="K462" s="2487"/>
      <c r="L462" s="2487"/>
      <c r="M462" s="2487"/>
      <c r="N462" s="2487"/>
      <c r="O462" s="2487"/>
      <c r="P462" s="2487"/>
      <c r="Q462" s="2487"/>
      <c r="R462" s="2487"/>
      <c r="S462" s="2487"/>
      <c r="T462" s="2487"/>
      <c r="U462" s="2487"/>
      <c r="V462" s="2487"/>
      <c r="W462" s="2487"/>
      <c r="X462" s="2487"/>
      <c r="Y462" s="2487"/>
      <c r="Z462" s="2487"/>
      <c r="AA462" s="2487"/>
      <c r="AB462" s="2487"/>
      <c r="AC462" s="2487"/>
      <c r="AD462" s="2487"/>
      <c r="AE462" s="2487"/>
      <c r="AF462" s="2487"/>
      <c r="AG462" s="2487"/>
      <c r="AH462" s="2487"/>
      <c r="AI462" s="2487"/>
      <c r="AJ462" s="2487"/>
      <c r="AK462" s="2487"/>
      <c r="AL462" s="2487"/>
      <c r="AM462" s="2487"/>
    </row>
    <row r="463" spans="1:39" ht="15.75" customHeight="1" x14ac:dyDescent="0.25">
      <c r="A463" s="2487"/>
      <c r="B463" s="2487"/>
      <c r="C463" s="2487"/>
      <c r="D463" s="2487"/>
      <c r="E463" s="2487"/>
      <c r="F463" s="2487"/>
      <c r="G463" s="2487"/>
      <c r="H463" s="2487"/>
      <c r="I463" s="2487"/>
      <c r="J463" s="2487"/>
      <c r="K463" s="2487"/>
      <c r="L463" s="2487"/>
      <c r="M463" s="2487"/>
      <c r="N463" s="2487"/>
      <c r="O463" s="2487"/>
      <c r="P463" s="2487"/>
      <c r="Q463" s="2487"/>
      <c r="R463" s="2487"/>
      <c r="S463" s="2487"/>
      <c r="T463" s="2487"/>
      <c r="U463" s="2487"/>
      <c r="V463" s="2487"/>
      <c r="W463" s="2487"/>
      <c r="X463" s="2487"/>
      <c r="Y463" s="2487"/>
      <c r="Z463" s="2487"/>
      <c r="AA463" s="2487"/>
      <c r="AB463" s="2487"/>
      <c r="AC463" s="2487"/>
      <c r="AD463" s="2487"/>
      <c r="AE463" s="2487"/>
      <c r="AF463" s="2487"/>
      <c r="AG463" s="2487"/>
      <c r="AH463" s="2487"/>
      <c r="AI463" s="2487"/>
      <c r="AJ463" s="2487"/>
      <c r="AK463" s="2487"/>
      <c r="AL463" s="2487"/>
      <c r="AM463" s="2487"/>
    </row>
    <row r="464" spans="1:39" ht="15.75" customHeight="1" x14ac:dyDescent="0.25">
      <c r="A464" s="2487"/>
      <c r="B464" s="2487"/>
      <c r="C464" s="2487"/>
      <c r="D464" s="2487"/>
      <c r="E464" s="2487"/>
      <c r="F464" s="2487"/>
      <c r="G464" s="2487"/>
      <c r="H464" s="2487"/>
      <c r="I464" s="2487"/>
      <c r="J464" s="2487"/>
      <c r="K464" s="2487"/>
      <c r="L464" s="2487"/>
      <c r="M464" s="2487"/>
      <c r="N464" s="2487"/>
      <c r="O464" s="2487"/>
      <c r="P464" s="2487"/>
      <c r="Q464" s="2487"/>
      <c r="R464" s="2487"/>
      <c r="S464" s="2487"/>
      <c r="T464" s="2487"/>
      <c r="U464" s="2487"/>
      <c r="V464" s="2487"/>
      <c r="W464" s="2487"/>
      <c r="X464" s="2487"/>
      <c r="Y464" s="2487"/>
      <c r="Z464" s="2487"/>
      <c r="AA464" s="2487"/>
      <c r="AB464" s="2487"/>
      <c r="AC464" s="2487"/>
      <c r="AD464" s="2487"/>
      <c r="AE464" s="2487"/>
      <c r="AF464" s="2487"/>
      <c r="AG464" s="2487"/>
      <c r="AH464" s="2487"/>
      <c r="AI464" s="2487"/>
      <c r="AJ464" s="2487"/>
      <c r="AK464" s="2487"/>
      <c r="AL464" s="2487"/>
      <c r="AM464" s="2487"/>
    </row>
    <row r="465" spans="1:39" ht="15.75" customHeight="1" x14ac:dyDescent="0.25">
      <c r="A465" s="2487"/>
      <c r="B465" s="2487"/>
      <c r="C465" s="2487"/>
      <c r="D465" s="2487"/>
      <c r="E465" s="2487"/>
      <c r="F465" s="2487"/>
      <c r="G465" s="2487"/>
      <c r="H465" s="2487"/>
      <c r="I465" s="2487"/>
      <c r="J465" s="2487"/>
      <c r="K465" s="2487"/>
      <c r="L465" s="2487"/>
      <c r="M465" s="2487"/>
      <c r="N465" s="2487"/>
      <c r="O465" s="2487"/>
      <c r="P465" s="2487"/>
      <c r="Q465" s="2487"/>
      <c r="R465" s="2487"/>
      <c r="S465" s="2487"/>
      <c r="T465" s="2487"/>
      <c r="U465" s="2487"/>
      <c r="V465" s="2487"/>
      <c r="W465" s="2487"/>
      <c r="X465" s="2487"/>
      <c r="Y465" s="2487"/>
      <c r="Z465" s="2487"/>
      <c r="AA465" s="2487"/>
      <c r="AB465" s="2487"/>
      <c r="AC465" s="2487"/>
      <c r="AD465" s="2487"/>
      <c r="AE465" s="2487"/>
      <c r="AF465" s="2487"/>
      <c r="AG465" s="2487"/>
      <c r="AH465" s="2487"/>
      <c r="AI465" s="2487"/>
      <c r="AJ465" s="2487"/>
      <c r="AK465" s="2487"/>
      <c r="AL465" s="2487"/>
      <c r="AM465" s="2487"/>
    </row>
    <row r="466" spans="1:39" ht="15.75" customHeight="1" x14ac:dyDescent="0.25">
      <c r="A466" s="2487"/>
      <c r="B466" s="2487"/>
      <c r="C466" s="2487"/>
      <c r="D466" s="2487"/>
      <c r="E466" s="2487"/>
      <c r="F466" s="2487"/>
      <c r="G466" s="2487"/>
      <c r="H466" s="2487"/>
      <c r="I466" s="2487"/>
      <c r="J466" s="2487"/>
      <c r="K466" s="2487"/>
      <c r="L466" s="2487"/>
      <c r="M466" s="2487"/>
      <c r="N466" s="2487"/>
      <c r="O466" s="2487"/>
      <c r="P466" s="2487"/>
      <c r="Q466" s="2487"/>
      <c r="R466" s="2487"/>
      <c r="S466" s="2487"/>
      <c r="T466" s="2487"/>
      <c r="U466" s="2487"/>
      <c r="V466" s="2487"/>
      <c r="W466" s="2487"/>
      <c r="X466" s="2487"/>
      <c r="Y466" s="2487"/>
      <c r="Z466" s="2487"/>
      <c r="AA466" s="2487"/>
      <c r="AB466" s="2487"/>
      <c r="AC466" s="2487"/>
      <c r="AD466" s="2487"/>
      <c r="AE466" s="2487"/>
      <c r="AF466" s="2487"/>
      <c r="AG466" s="2487"/>
      <c r="AH466" s="2487"/>
      <c r="AI466" s="2487"/>
      <c r="AJ466" s="2487"/>
      <c r="AK466" s="2487"/>
      <c r="AL466" s="2487"/>
      <c r="AM466" s="2487"/>
    </row>
    <row r="467" spans="1:39" ht="15.75" customHeight="1" x14ac:dyDescent="0.25">
      <c r="A467" s="2487"/>
      <c r="B467" s="2487"/>
      <c r="C467" s="2487"/>
      <c r="D467" s="2487"/>
      <c r="E467" s="2487"/>
      <c r="F467" s="2487"/>
      <c r="G467" s="2487"/>
      <c r="H467" s="2487"/>
      <c r="I467" s="2487"/>
      <c r="J467" s="2487"/>
      <c r="K467" s="2487"/>
      <c r="L467" s="2487"/>
      <c r="M467" s="2487"/>
      <c r="N467" s="2487"/>
      <c r="O467" s="2487"/>
      <c r="P467" s="2487"/>
      <c r="Q467" s="2487"/>
      <c r="R467" s="2487"/>
      <c r="S467" s="2487"/>
      <c r="T467" s="2487"/>
      <c r="U467" s="2487"/>
      <c r="V467" s="2487"/>
      <c r="W467" s="2487"/>
      <c r="X467" s="2487"/>
      <c r="Y467" s="2487"/>
      <c r="Z467" s="2487"/>
      <c r="AA467" s="2487"/>
      <c r="AB467" s="2487"/>
      <c r="AC467" s="2487"/>
      <c r="AD467" s="2487"/>
      <c r="AE467" s="2487"/>
      <c r="AF467" s="2487"/>
      <c r="AG467" s="2487"/>
      <c r="AH467" s="2487"/>
      <c r="AI467" s="2487"/>
      <c r="AJ467" s="2487"/>
      <c r="AK467" s="2487"/>
      <c r="AL467" s="2487"/>
      <c r="AM467" s="2487"/>
    </row>
    <row r="468" spans="1:39" ht="15.75" customHeight="1" x14ac:dyDescent="0.25">
      <c r="A468" s="2487"/>
      <c r="B468" s="2487"/>
      <c r="C468" s="2487"/>
      <c r="D468" s="2487"/>
      <c r="E468" s="2487"/>
      <c r="F468" s="2487"/>
      <c r="G468" s="2487"/>
      <c r="H468" s="2487"/>
      <c r="I468" s="2487"/>
      <c r="J468" s="2487"/>
      <c r="K468" s="2487"/>
      <c r="L468" s="2487"/>
      <c r="M468" s="2487"/>
      <c r="N468" s="2487"/>
      <c r="O468" s="2487"/>
      <c r="P468" s="2487"/>
      <c r="Q468" s="2487"/>
      <c r="R468" s="2487"/>
      <c r="S468" s="2487"/>
      <c r="T468" s="2487"/>
      <c r="U468" s="2487"/>
      <c r="V468" s="2487"/>
      <c r="W468" s="2487"/>
      <c r="X468" s="2487"/>
      <c r="Y468" s="2487"/>
      <c r="Z468" s="2487"/>
      <c r="AA468" s="2487"/>
      <c r="AB468" s="2487"/>
      <c r="AC468" s="2487"/>
      <c r="AD468" s="2487"/>
      <c r="AE468" s="2487"/>
      <c r="AF468" s="2487"/>
      <c r="AG468" s="2487"/>
      <c r="AH468" s="2487"/>
      <c r="AI468" s="2487"/>
      <c r="AJ468" s="2487"/>
      <c r="AK468" s="2487"/>
      <c r="AL468" s="2487"/>
      <c r="AM468" s="2487"/>
    </row>
    <row r="469" spans="1:39" ht="15.75" customHeight="1" x14ac:dyDescent="0.25">
      <c r="A469" s="2487"/>
      <c r="B469" s="2487"/>
      <c r="C469" s="2487"/>
      <c r="D469" s="2487"/>
      <c r="E469" s="2487"/>
      <c r="F469" s="2487"/>
      <c r="G469" s="2487"/>
      <c r="H469" s="2487"/>
      <c r="I469" s="2487"/>
      <c r="J469" s="2487"/>
      <c r="K469" s="2487"/>
      <c r="L469" s="2487"/>
      <c r="M469" s="2487"/>
      <c r="N469" s="2487"/>
      <c r="O469" s="2487"/>
      <c r="P469" s="2487"/>
      <c r="Q469" s="2487"/>
      <c r="R469" s="2487"/>
      <c r="S469" s="2487"/>
      <c r="T469" s="2487"/>
      <c r="U469" s="2487"/>
      <c r="V469" s="2487"/>
      <c r="W469" s="2487"/>
      <c r="X469" s="2487"/>
      <c r="Y469" s="2487"/>
      <c r="Z469" s="2487"/>
      <c r="AA469" s="2487"/>
      <c r="AB469" s="2487"/>
      <c r="AC469" s="2487"/>
      <c r="AD469" s="2487"/>
      <c r="AE469" s="2487"/>
      <c r="AF469" s="2487"/>
      <c r="AG469" s="2487"/>
      <c r="AH469" s="2487"/>
      <c r="AI469" s="2487"/>
      <c r="AJ469" s="2487"/>
      <c r="AK469" s="2487"/>
      <c r="AL469" s="2487"/>
      <c r="AM469" s="2487"/>
    </row>
    <row r="470" spans="1:39" ht="15.75" customHeight="1" x14ac:dyDescent="0.25">
      <c r="A470" s="2487"/>
      <c r="B470" s="2487"/>
      <c r="C470" s="2487"/>
      <c r="D470" s="2487"/>
      <c r="E470" s="2487"/>
      <c r="F470" s="2487"/>
      <c r="G470" s="2487"/>
      <c r="H470" s="2487"/>
      <c r="I470" s="2487"/>
      <c r="J470" s="2487"/>
      <c r="K470" s="2487"/>
      <c r="L470" s="2487"/>
      <c r="M470" s="2487"/>
      <c r="N470" s="2487"/>
      <c r="O470" s="2487"/>
      <c r="P470" s="2487"/>
      <c r="Q470" s="2487"/>
      <c r="R470" s="2487"/>
      <c r="S470" s="2487"/>
      <c r="T470" s="2487"/>
      <c r="U470" s="2487"/>
      <c r="V470" s="2487"/>
      <c r="W470" s="2487"/>
      <c r="X470" s="2487"/>
      <c r="Y470" s="2487"/>
      <c r="Z470" s="2487"/>
      <c r="AA470" s="2487"/>
      <c r="AB470" s="2487"/>
      <c r="AC470" s="2487"/>
      <c r="AD470" s="2487"/>
      <c r="AE470" s="2487"/>
      <c r="AF470" s="2487"/>
      <c r="AG470" s="2487"/>
      <c r="AH470" s="2487"/>
      <c r="AI470" s="2487"/>
      <c r="AJ470" s="2487"/>
      <c r="AK470" s="2487"/>
      <c r="AL470" s="2487"/>
      <c r="AM470" s="2487"/>
    </row>
    <row r="471" spans="1:39" ht="15.75" customHeight="1" x14ac:dyDescent="0.25">
      <c r="A471" s="2487"/>
      <c r="B471" s="2487"/>
      <c r="C471" s="2487"/>
      <c r="D471" s="2487"/>
      <c r="E471" s="2487"/>
      <c r="F471" s="2487"/>
      <c r="G471" s="2487"/>
      <c r="H471" s="2487"/>
      <c r="I471" s="2487"/>
      <c r="J471" s="2487"/>
      <c r="K471" s="2487"/>
      <c r="L471" s="2487"/>
      <c r="M471" s="2487"/>
      <c r="N471" s="2487"/>
      <c r="O471" s="2487"/>
      <c r="P471" s="2487"/>
      <c r="Q471" s="2487"/>
      <c r="R471" s="2487"/>
      <c r="S471" s="2487"/>
      <c r="T471" s="2487"/>
      <c r="U471" s="2487"/>
      <c r="V471" s="2487"/>
      <c r="W471" s="2487"/>
      <c r="X471" s="2487"/>
      <c r="Y471" s="2487"/>
      <c r="Z471" s="2487"/>
      <c r="AA471" s="2487"/>
      <c r="AB471" s="2487"/>
      <c r="AC471" s="2487"/>
      <c r="AD471" s="2487"/>
      <c r="AE471" s="2487"/>
      <c r="AF471" s="2487"/>
      <c r="AG471" s="2487"/>
      <c r="AH471" s="2487"/>
      <c r="AI471" s="2487"/>
      <c r="AJ471" s="2487"/>
      <c r="AK471" s="2487"/>
      <c r="AL471" s="2487"/>
      <c r="AM471" s="2487"/>
    </row>
    <row r="472" spans="1:39" ht="15.75" customHeight="1" x14ac:dyDescent="0.25">
      <c r="A472" s="2487"/>
      <c r="B472" s="2487"/>
      <c r="C472" s="2487"/>
      <c r="D472" s="2487"/>
      <c r="E472" s="2487"/>
      <c r="F472" s="2487"/>
      <c r="G472" s="2487"/>
      <c r="H472" s="2487"/>
      <c r="I472" s="2487"/>
      <c r="J472" s="2487"/>
      <c r="K472" s="2487"/>
      <c r="L472" s="2487"/>
      <c r="M472" s="2487"/>
      <c r="N472" s="2487"/>
      <c r="O472" s="2487"/>
      <c r="P472" s="2487"/>
      <c r="Q472" s="2487"/>
      <c r="R472" s="2487"/>
      <c r="S472" s="2487"/>
      <c r="T472" s="2487"/>
      <c r="U472" s="2487"/>
      <c r="V472" s="2487"/>
      <c r="W472" s="2487"/>
      <c r="X472" s="2487"/>
      <c r="Y472" s="2487"/>
      <c r="Z472" s="2487"/>
      <c r="AA472" s="2487"/>
      <c r="AB472" s="2487"/>
      <c r="AC472" s="2487"/>
      <c r="AD472" s="2487"/>
      <c r="AE472" s="2487"/>
      <c r="AF472" s="2487"/>
      <c r="AG472" s="2487"/>
      <c r="AH472" s="2487"/>
      <c r="AI472" s="2487"/>
      <c r="AJ472" s="2487"/>
      <c r="AK472" s="2487"/>
      <c r="AL472" s="2487"/>
      <c r="AM472" s="2487"/>
    </row>
    <row r="473" spans="1:39" ht="15.75" customHeight="1" x14ac:dyDescent="0.25">
      <c r="A473" s="2487"/>
      <c r="B473" s="2487"/>
      <c r="C473" s="2487"/>
      <c r="D473" s="2487"/>
      <c r="E473" s="2487"/>
      <c r="F473" s="2487"/>
      <c r="G473" s="2487"/>
      <c r="H473" s="2487"/>
      <c r="I473" s="2487"/>
      <c r="J473" s="2487"/>
      <c r="K473" s="2487"/>
      <c r="L473" s="2487"/>
      <c r="M473" s="2487"/>
      <c r="N473" s="2487"/>
      <c r="O473" s="2487"/>
      <c r="P473" s="2487"/>
      <c r="Q473" s="2487"/>
      <c r="R473" s="2487"/>
      <c r="S473" s="2487"/>
      <c r="T473" s="2487"/>
      <c r="U473" s="2487"/>
      <c r="V473" s="2487"/>
      <c r="W473" s="2487"/>
      <c r="X473" s="2487"/>
      <c r="Y473" s="2487"/>
      <c r="Z473" s="2487"/>
      <c r="AA473" s="2487"/>
      <c r="AB473" s="2487"/>
      <c r="AC473" s="2487"/>
      <c r="AD473" s="2487"/>
      <c r="AE473" s="2487"/>
      <c r="AF473" s="2487"/>
      <c r="AG473" s="2487"/>
      <c r="AH473" s="2487"/>
      <c r="AI473" s="2487"/>
      <c r="AJ473" s="2487"/>
      <c r="AK473" s="2487"/>
      <c r="AL473" s="2487"/>
      <c r="AM473" s="2487"/>
    </row>
    <row r="474" spans="1:39" ht="15.75" customHeight="1" x14ac:dyDescent="0.25">
      <c r="A474" s="2487"/>
      <c r="B474" s="2487"/>
      <c r="C474" s="2487"/>
      <c r="D474" s="2487"/>
      <c r="E474" s="2487"/>
      <c r="F474" s="2487"/>
      <c r="G474" s="2487"/>
      <c r="H474" s="2487"/>
      <c r="I474" s="2487"/>
      <c r="J474" s="2487"/>
      <c r="K474" s="2487"/>
      <c r="L474" s="2487"/>
      <c r="M474" s="2487"/>
      <c r="N474" s="2487"/>
      <c r="O474" s="2487"/>
      <c r="P474" s="2487"/>
      <c r="Q474" s="2487"/>
      <c r="R474" s="2487"/>
      <c r="S474" s="2487"/>
      <c r="T474" s="2487"/>
      <c r="U474" s="2487"/>
      <c r="V474" s="2487"/>
      <c r="W474" s="2487"/>
      <c r="X474" s="2487"/>
      <c r="Y474" s="2487"/>
      <c r="Z474" s="2487"/>
      <c r="AA474" s="2487"/>
      <c r="AB474" s="2487"/>
      <c r="AC474" s="2487"/>
      <c r="AD474" s="2487"/>
      <c r="AE474" s="2487"/>
      <c r="AF474" s="2487"/>
      <c r="AG474" s="2487"/>
      <c r="AH474" s="2487"/>
      <c r="AI474" s="2487"/>
      <c r="AJ474" s="2487"/>
      <c r="AK474" s="2487"/>
      <c r="AL474" s="2487"/>
      <c r="AM474" s="2487"/>
    </row>
    <row r="475" spans="1:39" ht="15.75" customHeight="1" x14ac:dyDescent="0.25">
      <c r="A475" s="2487"/>
      <c r="B475" s="2487"/>
      <c r="C475" s="2487"/>
      <c r="D475" s="2487"/>
      <c r="E475" s="2487"/>
      <c r="F475" s="2487"/>
      <c r="G475" s="2487"/>
      <c r="H475" s="2487"/>
      <c r="I475" s="2487"/>
      <c r="J475" s="2487"/>
      <c r="K475" s="2487"/>
      <c r="L475" s="2487"/>
      <c r="M475" s="2487"/>
      <c r="N475" s="2487"/>
      <c r="O475" s="2487"/>
      <c r="P475" s="2487"/>
      <c r="Q475" s="2487"/>
      <c r="R475" s="2487"/>
      <c r="S475" s="2487"/>
      <c r="T475" s="2487"/>
      <c r="U475" s="2487"/>
      <c r="V475" s="2487"/>
      <c r="W475" s="2487"/>
      <c r="X475" s="2487"/>
      <c r="Y475" s="2487"/>
      <c r="Z475" s="2487"/>
      <c r="AA475" s="2487"/>
      <c r="AB475" s="2487"/>
      <c r="AC475" s="2487"/>
      <c r="AD475" s="2487"/>
      <c r="AE475" s="2487"/>
      <c r="AF475" s="2487"/>
      <c r="AG475" s="2487"/>
      <c r="AH475" s="2487"/>
      <c r="AI475" s="2487"/>
      <c r="AJ475" s="2487"/>
      <c r="AK475" s="2487"/>
      <c r="AL475" s="2487"/>
      <c r="AM475" s="2487"/>
    </row>
    <row r="476" spans="1:39" ht="15.75" customHeight="1" x14ac:dyDescent="0.25">
      <c r="A476" s="2487"/>
      <c r="B476" s="2487"/>
      <c r="C476" s="2487"/>
      <c r="D476" s="2487"/>
      <c r="E476" s="2487"/>
      <c r="F476" s="2487"/>
      <c r="G476" s="2487"/>
      <c r="H476" s="2487"/>
      <c r="I476" s="2487"/>
      <c r="J476" s="2487"/>
      <c r="K476" s="2487"/>
      <c r="L476" s="2487"/>
      <c r="M476" s="2487"/>
      <c r="N476" s="2487"/>
      <c r="O476" s="2487"/>
      <c r="P476" s="2487"/>
      <c r="Q476" s="2487"/>
      <c r="R476" s="2487"/>
      <c r="S476" s="2487"/>
      <c r="T476" s="2487"/>
      <c r="U476" s="2487"/>
      <c r="V476" s="2487"/>
      <c r="W476" s="2487"/>
      <c r="X476" s="2487"/>
      <c r="Y476" s="2487"/>
      <c r="Z476" s="2487"/>
      <c r="AA476" s="2487"/>
      <c r="AB476" s="2487"/>
      <c r="AC476" s="2487"/>
      <c r="AD476" s="2487"/>
      <c r="AE476" s="2487"/>
      <c r="AF476" s="2487"/>
      <c r="AG476" s="2487"/>
      <c r="AH476" s="2487"/>
      <c r="AI476" s="2487"/>
      <c r="AJ476" s="2487"/>
      <c r="AK476" s="2487"/>
      <c r="AL476" s="2487"/>
      <c r="AM476" s="2487"/>
    </row>
    <row r="477" spans="1:39" ht="15.75" customHeight="1" x14ac:dyDescent="0.25">
      <c r="A477" s="2487"/>
      <c r="B477" s="2487"/>
      <c r="C477" s="2487"/>
      <c r="D477" s="2487"/>
      <c r="E477" s="2487"/>
      <c r="F477" s="2487"/>
      <c r="G477" s="2487"/>
      <c r="H477" s="2487"/>
      <c r="I477" s="2487"/>
      <c r="J477" s="2487"/>
      <c r="K477" s="2487"/>
      <c r="L477" s="2487"/>
      <c r="M477" s="2487"/>
      <c r="N477" s="2487"/>
      <c r="O477" s="2487"/>
      <c r="P477" s="2487"/>
      <c r="Q477" s="2487"/>
      <c r="R477" s="2487"/>
      <c r="S477" s="2487"/>
      <c r="T477" s="2487"/>
      <c r="U477" s="2487"/>
      <c r="V477" s="2487"/>
      <c r="W477" s="2487"/>
      <c r="X477" s="2487"/>
      <c r="Y477" s="2487"/>
      <c r="Z477" s="2487"/>
      <c r="AA477" s="2487"/>
      <c r="AB477" s="2487"/>
      <c r="AC477" s="2487"/>
      <c r="AD477" s="2487"/>
      <c r="AE477" s="2487"/>
      <c r="AF477" s="2487"/>
      <c r="AG477" s="2487"/>
      <c r="AH477" s="2487"/>
      <c r="AI477" s="2487"/>
      <c r="AJ477" s="2487"/>
      <c r="AK477" s="2487"/>
      <c r="AL477" s="2487"/>
      <c r="AM477" s="2487"/>
    </row>
    <row r="478" spans="1:39" ht="15.75" customHeight="1" x14ac:dyDescent="0.25">
      <c r="A478" s="2487"/>
      <c r="B478" s="2487"/>
      <c r="C478" s="2487"/>
      <c r="D478" s="2487"/>
      <c r="E478" s="2487"/>
      <c r="F478" s="2487"/>
      <c r="G478" s="2487"/>
      <c r="H478" s="2487"/>
      <c r="I478" s="2487"/>
      <c r="J478" s="2487"/>
      <c r="K478" s="2487"/>
      <c r="L478" s="2487"/>
      <c r="M478" s="2487"/>
      <c r="N478" s="2487"/>
      <c r="O478" s="2487"/>
      <c r="P478" s="2487"/>
      <c r="Q478" s="2487"/>
      <c r="R478" s="2487"/>
      <c r="S478" s="2487"/>
      <c r="T478" s="2487"/>
      <c r="U478" s="2487"/>
      <c r="V478" s="2487"/>
      <c r="W478" s="2487"/>
      <c r="X478" s="2487"/>
      <c r="Y478" s="2487"/>
      <c r="Z478" s="2487"/>
      <c r="AA478" s="2487"/>
      <c r="AB478" s="2487"/>
      <c r="AC478" s="2487"/>
      <c r="AD478" s="2487"/>
      <c r="AE478" s="2487"/>
      <c r="AF478" s="2487"/>
      <c r="AG478" s="2487"/>
      <c r="AH478" s="2487"/>
      <c r="AI478" s="2487"/>
      <c r="AJ478" s="2487"/>
      <c r="AK478" s="2487"/>
      <c r="AL478" s="2487"/>
      <c r="AM478" s="2487"/>
    </row>
    <row r="479" spans="1:39" ht="15.75" customHeight="1" x14ac:dyDescent="0.25">
      <c r="A479" s="2487"/>
      <c r="B479" s="2487"/>
      <c r="C479" s="2487"/>
      <c r="D479" s="2487"/>
      <c r="E479" s="2487"/>
      <c r="F479" s="2487"/>
      <c r="G479" s="2487"/>
      <c r="H479" s="2487"/>
      <c r="I479" s="2487"/>
      <c r="J479" s="2487"/>
      <c r="K479" s="2487"/>
      <c r="L479" s="2487"/>
      <c r="M479" s="2487"/>
      <c r="N479" s="2487"/>
      <c r="O479" s="2487"/>
      <c r="P479" s="2487"/>
      <c r="Q479" s="2487"/>
      <c r="R479" s="2487"/>
      <c r="S479" s="2487"/>
      <c r="T479" s="2487"/>
      <c r="U479" s="2487"/>
      <c r="V479" s="2487"/>
      <c r="W479" s="2487"/>
      <c r="X479" s="2487"/>
      <c r="Y479" s="2487"/>
      <c r="Z479" s="2487"/>
      <c r="AA479" s="2487"/>
      <c r="AB479" s="2487"/>
      <c r="AC479" s="2487"/>
      <c r="AD479" s="2487"/>
      <c r="AE479" s="2487"/>
      <c r="AF479" s="2487"/>
      <c r="AG479" s="2487"/>
      <c r="AH479" s="2487"/>
      <c r="AI479" s="2487"/>
      <c r="AJ479" s="2487"/>
      <c r="AK479" s="2487"/>
      <c r="AL479" s="2487"/>
      <c r="AM479" s="2487"/>
    </row>
    <row r="480" spans="1:39" ht="15.75" customHeight="1" x14ac:dyDescent="0.25">
      <c r="A480" s="2487"/>
      <c r="B480" s="2487"/>
      <c r="C480" s="2487"/>
      <c r="D480" s="2487"/>
      <c r="E480" s="2487"/>
      <c r="F480" s="2487"/>
      <c r="G480" s="2487"/>
      <c r="H480" s="2487"/>
      <c r="I480" s="2487"/>
      <c r="J480" s="2487"/>
      <c r="K480" s="2487"/>
      <c r="L480" s="2487"/>
      <c r="M480" s="2487"/>
      <c r="N480" s="2487"/>
      <c r="O480" s="2487"/>
      <c r="P480" s="2487"/>
      <c r="Q480" s="2487"/>
      <c r="R480" s="2487"/>
      <c r="S480" s="2487"/>
      <c r="T480" s="2487"/>
      <c r="U480" s="2487"/>
      <c r="V480" s="2487"/>
      <c r="W480" s="2487"/>
      <c r="X480" s="2487"/>
      <c r="Y480" s="2487"/>
      <c r="Z480" s="2487"/>
      <c r="AA480" s="2487"/>
      <c r="AB480" s="2487"/>
      <c r="AC480" s="2487"/>
      <c r="AD480" s="2487"/>
      <c r="AE480" s="2487"/>
      <c r="AF480" s="2487"/>
      <c r="AG480" s="2487"/>
      <c r="AH480" s="2487"/>
      <c r="AI480" s="2487"/>
      <c r="AJ480" s="2487"/>
      <c r="AK480" s="2487"/>
      <c r="AL480" s="2487"/>
      <c r="AM480" s="2487"/>
    </row>
    <row r="481" spans="1:39" ht="15.75" customHeight="1" x14ac:dyDescent="0.25">
      <c r="A481" s="2487"/>
      <c r="B481" s="2487"/>
      <c r="C481" s="2487"/>
      <c r="D481" s="2487"/>
      <c r="E481" s="2487"/>
      <c r="F481" s="2487"/>
      <c r="G481" s="2487"/>
      <c r="H481" s="2487"/>
      <c r="I481" s="2487"/>
      <c r="J481" s="2487"/>
      <c r="K481" s="2487"/>
      <c r="L481" s="2487"/>
      <c r="M481" s="2487"/>
      <c r="N481" s="2487"/>
      <c r="O481" s="2487"/>
      <c r="P481" s="2487"/>
      <c r="Q481" s="2487"/>
      <c r="R481" s="2487"/>
      <c r="S481" s="2487"/>
      <c r="T481" s="2487"/>
      <c r="U481" s="2487"/>
      <c r="V481" s="2487"/>
      <c r="W481" s="2487"/>
      <c r="X481" s="2487"/>
      <c r="Y481" s="2487"/>
      <c r="Z481" s="2487"/>
      <c r="AA481" s="2487"/>
      <c r="AB481" s="2487"/>
      <c r="AC481" s="2487"/>
      <c r="AD481" s="2487"/>
      <c r="AE481" s="2487"/>
      <c r="AF481" s="2487"/>
      <c r="AG481" s="2487"/>
      <c r="AH481" s="2487"/>
      <c r="AI481" s="2487"/>
      <c r="AJ481" s="2487"/>
      <c r="AK481" s="2487"/>
      <c r="AL481" s="2487"/>
      <c r="AM481" s="2487"/>
    </row>
    <row r="482" spans="1:39" ht="15.75" customHeight="1" x14ac:dyDescent="0.25">
      <c r="A482" s="2487"/>
      <c r="B482" s="2487"/>
      <c r="C482" s="2487"/>
      <c r="D482" s="2487"/>
      <c r="E482" s="2487"/>
      <c r="F482" s="2487"/>
      <c r="G482" s="2487"/>
      <c r="H482" s="2487"/>
      <c r="I482" s="2487"/>
      <c r="J482" s="2487"/>
      <c r="K482" s="2487"/>
      <c r="L482" s="2487"/>
      <c r="M482" s="2487"/>
      <c r="N482" s="2487"/>
      <c r="O482" s="2487"/>
      <c r="P482" s="2487"/>
      <c r="Q482" s="2487"/>
      <c r="R482" s="2487"/>
      <c r="S482" s="2487"/>
      <c r="T482" s="2487"/>
      <c r="U482" s="2487"/>
      <c r="V482" s="2487"/>
      <c r="W482" s="2487"/>
      <c r="X482" s="2487"/>
      <c r="Y482" s="2487"/>
      <c r="Z482" s="2487"/>
      <c r="AA482" s="2487"/>
      <c r="AB482" s="2487"/>
      <c r="AC482" s="2487"/>
      <c r="AD482" s="2487"/>
      <c r="AE482" s="2487"/>
      <c r="AF482" s="2487"/>
      <c r="AG482" s="2487"/>
      <c r="AH482" s="2487"/>
      <c r="AI482" s="2487"/>
      <c r="AJ482" s="2487"/>
      <c r="AK482" s="2487"/>
      <c r="AL482" s="2487"/>
      <c r="AM482" s="2487"/>
    </row>
    <row r="483" spans="1:39" ht="15.75" customHeight="1" x14ac:dyDescent="0.25">
      <c r="A483" s="2487"/>
      <c r="B483" s="2487"/>
      <c r="C483" s="2487"/>
      <c r="D483" s="2487"/>
      <c r="E483" s="2487"/>
      <c r="F483" s="2487"/>
      <c r="G483" s="2487"/>
      <c r="H483" s="2487"/>
      <c r="I483" s="2487"/>
      <c r="J483" s="2487"/>
      <c r="K483" s="2487"/>
      <c r="L483" s="2487"/>
      <c r="M483" s="2487"/>
      <c r="N483" s="2487"/>
      <c r="O483" s="2487"/>
      <c r="P483" s="2487"/>
      <c r="Q483" s="2487"/>
      <c r="R483" s="2487"/>
      <c r="S483" s="2487"/>
      <c r="T483" s="2487"/>
      <c r="U483" s="2487"/>
      <c r="V483" s="2487"/>
      <c r="W483" s="2487"/>
      <c r="X483" s="2487"/>
      <c r="Y483" s="2487"/>
      <c r="Z483" s="2487"/>
      <c r="AA483" s="2487"/>
      <c r="AB483" s="2487"/>
      <c r="AC483" s="2487"/>
      <c r="AD483" s="2487"/>
      <c r="AE483" s="2487"/>
      <c r="AF483" s="2487"/>
      <c r="AG483" s="2487"/>
      <c r="AH483" s="2487"/>
      <c r="AI483" s="2487"/>
      <c r="AJ483" s="2487"/>
      <c r="AK483" s="2487"/>
      <c r="AL483" s="2487"/>
      <c r="AM483" s="2487"/>
    </row>
    <row r="484" spans="1:39" ht="15.75" customHeight="1" x14ac:dyDescent="0.25">
      <c r="A484" s="2487"/>
      <c r="B484" s="2487"/>
      <c r="C484" s="2487"/>
      <c r="D484" s="2487"/>
      <c r="E484" s="2487"/>
      <c r="F484" s="2487"/>
      <c r="G484" s="2487"/>
      <c r="H484" s="2487"/>
      <c r="I484" s="2487"/>
      <c r="J484" s="2487"/>
      <c r="K484" s="2487"/>
      <c r="L484" s="2487"/>
      <c r="M484" s="2487"/>
      <c r="N484" s="2487"/>
      <c r="O484" s="2487"/>
      <c r="P484" s="2487"/>
      <c r="Q484" s="2487"/>
      <c r="R484" s="2487"/>
      <c r="S484" s="2487"/>
      <c r="T484" s="2487"/>
      <c r="U484" s="2487"/>
      <c r="V484" s="2487"/>
      <c r="W484" s="2487"/>
      <c r="X484" s="2487"/>
      <c r="Y484" s="2487"/>
      <c r="Z484" s="2487"/>
      <c r="AA484" s="2487"/>
      <c r="AB484" s="2487"/>
      <c r="AC484" s="2487"/>
      <c r="AD484" s="2487"/>
      <c r="AE484" s="2487"/>
      <c r="AF484" s="2487"/>
      <c r="AG484" s="2487"/>
      <c r="AH484" s="2487"/>
      <c r="AI484" s="2487"/>
      <c r="AJ484" s="2487"/>
      <c r="AK484" s="2487"/>
      <c r="AL484" s="2487"/>
      <c r="AM484" s="2487"/>
    </row>
    <row r="485" spans="1:39" ht="15.75" customHeight="1" x14ac:dyDescent="0.25">
      <c r="A485" s="2487"/>
      <c r="B485" s="2487"/>
      <c r="C485" s="2487"/>
      <c r="D485" s="2487"/>
      <c r="E485" s="2487"/>
      <c r="F485" s="2487"/>
      <c r="G485" s="2487"/>
      <c r="H485" s="2487"/>
      <c r="I485" s="2487"/>
      <c r="J485" s="2487"/>
      <c r="K485" s="2487"/>
      <c r="L485" s="2487"/>
      <c r="M485" s="2487"/>
      <c r="N485" s="2487"/>
      <c r="O485" s="2487"/>
      <c r="P485" s="2487"/>
      <c r="Q485" s="2487"/>
      <c r="R485" s="2487"/>
      <c r="S485" s="2487"/>
      <c r="T485" s="2487"/>
      <c r="U485" s="2487"/>
      <c r="V485" s="2487"/>
      <c r="W485" s="2487"/>
      <c r="X485" s="2487"/>
      <c r="Y485" s="2487"/>
      <c r="Z485" s="2487"/>
      <c r="AA485" s="2487"/>
      <c r="AB485" s="2487"/>
      <c r="AC485" s="2487"/>
      <c r="AD485" s="2487"/>
      <c r="AE485" s="2487"/>
      <c r="AF485" s="2487"/>
      <c r="AG485" s="2487"/>
      <c r="AH485" s="2487"/>
      <c r="AI485" s="2487"/>
      <c r="AJ485" s="2487"/>
      <c r="AK485" s="2487"/>
      <c r="AL485" s="2487"/>
      <c r="AM485" s="2487"/>
    </row>
    <row r="486" spans="1:39" ht="15.75" customHeight="1" x14ac:dyDescent="0.25">
      <c r="A486" s="2487"/>
      <c r="B486" s="2487"/>
      <c r="C486" s="2487"/>
      <c r="D486" s="2487"/>
      <c r="E486" s="2487"/>
      <c r="F486" s="2487"/>
      <c r="G486" s="2487"/>
      <c r="H486" s="2487"/>
      <c r="I486" s="2487"/>
      <c r="J486" s="2487"/>
      <c r="K486" s="2487"/>
      <c r="L486" s="2487"/>
      <c r="M486" s="2487"/>
      <c r="N486" s="2487"/>
      <c r="O486" s="2487"/>
      <c r="P486" s="2487"/>
      <c r="Q486" s="2487"/>
      <c r="R486" s="2487"/>
      <c r="S486" s="2487"/>
      <c r="T486" s="2487"/>
      <c r="U486" s="2487"/>
      <c r="V486" s="2487"/>
      <c r="W486" s="2487"/>
      <c r="X486" s="2487"/>
      <c r="Y486" s="2487"/>
      <c r="Z486" s="2487"/>
      <c r="AA486" s="2487"/>
      <c r="AB486" s="2487"/>
      <c r="AC486" s="2487"/>
      <c r="AD486" s="2487"/>
      <c r="AE486" s="2487"/>
      <c r="AF486" s="2487"/>
      <c r="AG486" s="2487"/>
      <c r="AH486" s="2487"/>
      <c r="AI486" s="2487"/>
      <c r="AJ486" s="2487"/>
      <c r="AK486" s="2487"/>
      <c r="AL486" s="2487"/>
      <c r="AM486" s="2487"/>
    </row>
    <row r="487" spans="1:39" ht="15.75" customHeight="1" x14ac:dyDescent="0.25">
      <c r="A487" s="2487"/>
      <c r="B487" s="2487"/>
      <c r="C487" s="2487"/>
      <c r="D487" s="2487"/>
      <c r="E487" s="2487"/>
      <c r="F487" s="2487"/>
      <c r="G487" s="2487"/>
      <c r="H487" s="2487"/>
      <c r="I487" s="2487"/>
      <c r="J487" s="2487"/>
      <c r="K487" s="2487"/>
      <c r="L487" s="2487"/>
      <c r="M487" s="2487"/>
      <c r="N487" s="2487"/>
      <c r="O487" s="2487"/>
      <c r="P487" s="2487"/>
      <c r="Q487" s="2487"/>
      <c r="R487" s="2487"/>
      <c r="S487" s="2487"/>
      <c r="T487" s="2487"/>
      <c r="U487" s="2487"/>
      <c r="V487" s="2487"/>
      <c r="W487" s="2487"/>
      <c r="X487" s="2487"/>
      <c r="Y487" s="2487"/>
      <c r="Z487" s="2487"/>
      <c r="AA487" s="2487"/>
      <c r="AB487" s="2487"/>
      <c r="AC487" s="2487"/>
      <c r="AD487" s="2487"/>
      <c r="AE487" s="2487"/>
      <c r="AF487" s="2487"/>
      <c r="AG487" s="2487"/>
      <c r="AH487" s="2487"/>
      <c r="AI487" s="2487"/>
      <c r="AJ487" s="2487"/>
      <c r="AK487" s="2487"/>
      <c r="AL487" s="2487"/>
      <c r="AM487" s="2487"/>
    </row>
    <row r="488" spans="1:39" ht="15.75" customHeight="1" x14ac:dyDescent="0.25">
      <c r="A488" s="2487"/>
      <c r="B488" s="2487"/>
      <c r="C488" s="2487"/>
      <c r="D488" s="2487"/>
      <c r="E488" s="2487"/>
      <c r="F488" s="2487"/>
      <c r="G488" s="2487"/>
      <c r="H488" s="2487"/>
      <c r="I488" s="2487"/>
      <c r="J488" s="2487"/>
      <c r="K488" s="2487"/>
      <c r="L488" s="2487"/>
      <c r="M488" s="2487"/>
      <c r="N488" s="2487"/>
      <c r="O488" s="2487"/>
      <c r="P488" s="2487"/>
      <c r="Q488" s="2487"/>
      <c r="R488" s="2487"/>
      <c r="S488" s="2487"/>
      <c r="T488" s="2487"/>
      <c r="U488" s="2487"/>
      <c r="V488" s="2487"/>
      <c r="W488" s="2487"/>
      <c r="X488" s="2487"/>
      <c r="Y488" s="2487"/>
      <c r="Z488" s="2487"/>
      <c r="AA488" s="2487"/>
      <c r="AB488" s="2487"/>
      <c r="AC488" s="2487"/>
      <c r="AD488" s="2487"/>
      <c r="AE488" s="2487"/>
      <c r="AF488" s="2487"/>
      <c r="AG488" s="2487"/>
      <c r="AH488" s="2487"/>
      <c r="AI488" s="2487"/>
      <c r="AJ488" s="2487"/>
      <c r="AK488" s="2487"/>
      <c r="AL488" s="2487"/>
      <c r="AM488" s="2487"/>
    </row>
    <row r="489" spans="1:39" ht="15.75" customHeight="1" x14ac:dyDescent="0.25">
      <c r="A489" s="2487"/>
      <c r="B489" s="2487"/>
      <c r="C489" s="2487"/>
      <c r="D489" s="2487"/>
      <c r="E489" s="2487"/>
      <c r="F489" s="2487"/>
      <c r="G489" s="2487"/>
      <c r="H489" s="2487"/>
      <c r="I489" s="2487"/>
      <c r="J489" s="2487"/>
      <c r="K489" s="2487"/>
      <c r="L489" s="2487"/>
      <c r="M489" s="2487"/>
      <c r="N489" s="2487"/>
      <c r="O489" s="2487"/>
      <c r="P489" s="2487"/>
      <c r="Q489" s="2487"/>
      <c r="R489" s="2487"/>
      <c r="S489" s="2487"/>
      <c r="T489" s="2487"/>
      <c r="U489" s="2487"/>
      <c r="V489" s="2487"/>
      <c r="W489" s="2487"/>
      <c r="X489" s="2487"/>
      <c r="Y489" s="2487"/>
      <c r="Z489" s="2487"/>
      <c r="AA489" s="2487"/>
      <c r="AB489" s="2487"/>
      <c r="AC489" s="2487"/>
      <c r="AD489" s="2487"/>
      <c r="AE489" s="2487"/>
      <c r="AF489" s="2487"/>
      <c r="AG489" s="2487"/>
      <c r="AH489" s="2487"/>
      <c r="AI489" s="2487"/>
      <c r="AJ489" s="2487"/>
      <c r="AK489" s="2487"/>
      <c r="AL489" s="2487"/>
      <c r="AM489" s="2487"/>
    </row>
    <row r="490" spans="1:39" ht="15.75" customHeight="1" x14ac:dyDescent="0.25">
      <c r="A490" s="2487"/>
      <c r="B490" s="2487"/>
      <c r="C490" s="2487"/>
      <c r="D490" s="2487"/>
      <c r="E490" s="2487"/>
      <c r="F490" s="2487"/>
      <c r="G490" s="2487"/>
      <c r="H490" s="2487"/>
      <c r="I490" s="2487"/>
      <c r="J490" s="2487"/>
      <c r="K490" s="2487"/>
      <c r="L490" s="2487"/>
      <c r="M490" s="2487"/>
      <c r="N490" s="2487"/>
      <c r="O490" s="2487"/>
      <c r="P490" s="2487"/>
      <c r="Q490" s="2487"/>
      <c r="R490" s="2487"/>
      <c r="S490" s="2487"/>
      <c r="T490" s="2487"/>
      <c r="U490" s="2487"/>
      <c r="V490" s="2487"/>
      <c r="W490" s="2487"/>
      <c r="X490" s="2487"/>
      <c r="Y490" s="2487"/>
      <c r="Z490" s="2487"/>
      <c r="AA490" s="2487"/>
      <c r="AB490" s="2487"/>
      <c r="AC490" s="2487"/>
      <c r="AD490" s="2487"/>
      <c r="AE490" s="2487"/>
      <c r="AF490" s="2487"/>
      <c r="AG490" s="2487"/>
      <c r="AH490" s="2487"/>
      <c r="AI490" s="2487"/>
      <c r="AJ490" s="2487"/>
      <c r="AK490" s="2487"/>
      <c r="AL490" s="2487"/>
      <c r="AM490" s="2487"/>
    </row>
    <row r="491" spans="1:39" ht="15.75" customHeight="1" x14ac:dyDescent="0.25">
      <c r="A491" s="2487"/>
      <c r="B491" s="2487"/>
      <c r="C491" s="2487"/>
      <c r="D491" s="2487"/>
      <c r="E491" s="2487"/>
      <c r="F491" s="2487"/>
      <c r="G491" s="2487"/>
      <c r="H491" s="2487"/>
      <c r="I491" s="2487"/>
      <c r="J491" s="2487"/>
      <c r="K491" s="2487"/>
      <c r="L491" s="2487"/>
      <c r="M491" s="2487"/>
      <c r="N491" s="2487"/>
      <c r="O491" s="2487"/>
      <c r="P491" s="2487"/>
      <c r="Q491" s="2487"/>
      <c r="R491" s="2487"/>
      <c r="S491" s="2487"/>
      <c r="T491" s="2487"/>
      <c r="U491" s="2487"/>
      <c r="V491" s="2487"/>
      <c r="W491" s="2487"/>
      <c r="X491" s="2487"/>
      <c r="Y491" s="2487"/>
      <c r="Z491" s="2487"/>
      <c r="AA491" s="2487"/>
      <c r="AB491" s="2487"/>
      <c r="AC491" s="2487"/>
      <c r="AD491" s="2487"/>
      <c r="AE491" s="2487"/>
      <c r="AF491" s="2487"/>
      <c r="AG491" s="2487"/>
      <c r="AH491" s="2487"/>
      <c r="AI491" s="2487"/>
      <c r="AJ491" s="2487"/>
      <c r="AK491" s="2487"/>
      <c r="AL491" s="2487"/>
      <c r="AM491" s="2487"/>
    </row>
    <row r="492" spans="1:39" ht="15.75" customHeight="1" x14ac:dyDescent="0.25">
      <c r="A492" s="2487"/>
      <c r="B492" s="2487"/>
      <c r="C492" s="2487"/>
      <c r="D492" s="2487"/>
      <c r="E492" s="2487"/>
      <c r="F492" s="2487"/>
      <c r="G492" s="2487"/>
      <c r="H492" s="2487"/>
      <c r="I492" s="2487"/>
      <c r="J492" s="2487"/>
      <c r="K492" s="2487"/>
      <c r="L492" s="2487"/>
      <c r="M492" s="2487"/>
      <c r="N492" s="2487"/>
      <c r="O492" s="2487"/>
      <c r="P492" s="2487"/>
      <c r="Q492" s="2487"/>
      <c r="R492" s="2487"/>
      <c r="S492" s="2487"/>
      <c r="T492" s="2487"/>
      <c r="U492" s="2487"/>
      <c r="V492" s="2487"/>
      <c r="W492" s="2487"/>
      <c r="X492" s="2487"/>
      <c r="Y492" s="2487"/>
      <c r="Z492" s="2487"/>
      <c r="AA492" s="2487"/>
      <c r="AB492" s="2487"/>
      <c r="AC492" s="2487"/>
      <c r="AD492" s="2487"/>
      <c r="AE492" s="2487"/>
      <c r="AF492" s="2487"/>
      <c r="AG492" s="2487"/>
      <c r="AH492" s="2487"/>
      <c r="AI492" s="2487"/>
      <c r="AJ492" s="2487"/>
      <c r="AK492" s="2487"/>
      <c r="AL492" s="2487"/>
      <c r="AM492" s="2487"/>
    </row>
    <row r="493" spans="1:39" ht="15.75" customHeight="1" x14ac:dyDescent="0.25">
      <c r="A493" s="2487"/>
      <c r="B493" s="2487"/>
      <c r="C493" s="2487"/>
      <c r="D493" s="2487"/>
      <c r="E493" s="2487"/>
      <c r="F493" s="2487"/>
      <c r="G493" s="2487"/>
      <c r="H493" s="2487"/>
      <c r="I493" s="2487"/>
      <c r="J493" s="2487"/>
      <c r="K493" s="2487"/>
      <c r="L493" s="2487"/>
      <c r="M493" s="2487"/>
      <c r="N493" s="2487"/>
      <c r="O493" s="2487"/>
      <c r="P493" s="2487"/>
      <c r="Q493" s="2487"/>
      <c r="R493" s="2487"/>
      <c r="S493" s="2487"/>
      <c r="T493" s="2487"/>
      <c r="U493" s="2487"/>
      <c r="V493" s="2487"/>
      <c r="W493" s="2487"/>
      <c r="X493" s="2487"/>
      <c r="Y493" s="2487"/>
      <c r="Z493" s="2487"/>
      <c r="AA493" s="2487"/>
      <c r="AB493" s="2487"/>
      <c r="AC493" s="2487"/>
      <c r="AD493" s="2487"/>
      <c r="AE493" s="2487"/>
      <c r="AF493" s="2487"/>
      <c r="AG493" s="2487"/>
      <c r="AH493" s="2487"/>
      <c r="AI493" s="2487"/>
      <c r="AJ493" s="2487"/>
      <c r="AK493" s="2487"/>
      <c r="AL493" s="2487"/>
      <c r="AM493" s="2487"/>
    </row>
    <row r="494" spans="1:39" ht="15.75" customHeight="1" x14ac:dyDescent="0.25">
      <c r="A494" s="2487"/>
      <c r="B494" s="2487"/>
      <c r="C494" s="2487"/>
      <c r="D494" s="2487"/>
      <c r="E494" s="2487"/>
      <c r="F494" s="2487"/>
      <c r="G494" s="2487"/>
      <c r="H494" s="2487"/>
      <c r="I494" s="2487"/>
      <c r="J494" s="2487"/>
      <c r="K494" s="2487"/>
      <c r="L494" s="2487"/>
      <c r="M494" s="2487"/>
      <c r="N494" s="2487"/>
      <c r="O494" s="2487"/>
      <c r="P494" s="2487"/>
      <c r="Q494" s="2487"/>
      <c r="R494" s="2487"/>
      <c r="S494" s="2487"/>
      <c r="T494" s="2487"/>
      <c r="U494" s="2487"/>
      <c r="V494" s="2487"/>
      <c r="W494" s="2487"/>
      <c r="X494" s="2487"/>
      <c r="Y494" s="2487"/>
      <c r="Z494" s="2487"/>
      <c r="AA494" s="2487"/>
      <c r="AB494" s="2487"/>
      <c r="AC494" s="2487"/>
      <c r="AD494" s="2487"/>
      <c r="AE494" s="2487"/>
      <c r="AF494" s="2487"/>
      <c r="AG494" s="2487"/>
      <c r="AH494" s="2487"/>
      <c r="AI494" s="2487"/>
      <c r="AJ494" s="2487"/>
      <c r="AK494" s="2487"/>
      <c r="AL494" s="2487"/>
      <c r="AM494" s="2487"/>
    </row>
    <row r="495" spans="1:39" ht="15.75" customHeight="1" x14ac:dyDescent="0.25">
      <c r="A495" s="2487"/>
      <c r="B495" s="2487"/>
      <c r="C495" s="2487"/>
      <c r="D495" s="2487"/>
      <c r="E495" s="2487"/>
      <c r="F495" s="2487"/>
      <c r="G495" s="2487"/>
      <c r="H495" s="2487"/>
      <c r="I495" s="2487"/>
      <c r="J495" s="2487"/>
      <c r="K495" s="2487"/>
      <c r="L495" s="2487"/>
      <c r="M495" s="2487"/>
      <c r="N495" s="2487"/>
      <c r="O495" s="2487"/>
      <c r="P495" s="2487"/>
      <c r="Q495" s="2487"/>
      <c r="R495" s="2487"/>
      <c r="S495" s="2487"/>
      <c r="T495" s="2487"/>
      <c r="U495" s="2487"/>
      <c r="V495" s="2487"/>
      <c r="W495" s="2487"/>
      <c r="X495" s="2487"/>
      <c r="Y495" s="2487"/>
      <c r="Z495" s="2487"/>
      <c r="AA495" s="2487"/>
      <c r="AB495" s="2487"/>
      <c r="AC495" s="2487"/>
      <c r="AD495" s="2487"/>
      <c r="AE495" s="2487"/>
      <c r="AF495" s="2487"/>
      <c r="AG495" s="2487"/>
      <c r="AH495" s="2487"/>
      <c r="AI495" s="2487"/>
      <c r="AJ495" s="2487"/>
      <c r="AK495" s="2487"/>
      <c r="AL495" s="2487"/>
      <c r="AM495" s="2487"/>
    </row>
    <row r="496" spans="1:39" ht="15.75" customHeight="1" x14ac:dyDescent="0.25">
      <c r="A496" s="2487"/>
      <c r="B496" s="2487"/>
      <c r="C496" s="2487"/>
      <c r="D496" s="2487"/>
      <c r="E496" s="2487"/>
      <c r="F496" s="2487"/>
      <c r="G496" s="2487"/>
      <c r="H496" s="2487"/>
      <c r="I496" s="2487"/>
      <c r="J496" s="2487"/>
      <c r="K496" s="2487"/>
      <c r="L496" s="2487"/>
      <c r="M496" s="2487"/>
      <c r="N496" s="2487"/>
      <c r="O496" s="2487"/>
      <c r="P496" s="2487"/>
      <c r="Q496" s="2487"/>
      <c r="R496" s="2487"/>
      <c r="S496" s="2487"/>
      <c r="T496" s="2487"/>
      <c r="U496" s="2487"/>
      <c r="V496" s="2487"/>
      <c r="W496" s="2487"/>
      <c r="X496" s="2487"/>
      <c r="Y496" s="2487"/>
      <c r="Z496" s="2487"/>
      <c r="AA496" s="2487"/>
      <c r="AB496" s="2487"/>
      <c r="AC496" s="2487"/>
      <c r="AD496" s="2487"/>
      <c r="AE496" s="2487"/>
      <c r="AF496" s="2487"/>
      <c r="AG496" s="2487"/>
      <c r="AH496" s="2487"/>
      <c r="AI496" s="2487"/>
      <c r="AJ496" s="2487"/>
      <c r="AK496" s="2487"/>
      <c r="AL496" s="2487"/>
      <c r="AM496" s="2487"/>
    </row>
    <row r="497" spans="1:39" ht="15.75" customHeight="1" x14ac:dyDescent="0.25">
      <c r="A497" s="2487"/>
      <c r="B497" s="2487"/>
      <c r="C497" s="2487"/>
      <c r="D497" s="2487"/>
      <c r="E497" s="2487"/>
      <c r="F497" s="2487"/>
      <c r="G497" s="2487"/>
      <c r="H497" s="2487"/>
      <c r="I497" s="2487"/>
      <c r="J497" s="2487"/>
      <c r="K497" s="2487"/>
      <c r="L497" s="2487"/>
      <c r="M497" s="2487"/>
      <c r="N497" s="2487"/>
      <c r="O497" s="2487"/>
      <c r="P497" s="2487"/>
      <c r="Q497" s="2487"/>
      <c r="R497" s="2487"/>
      <c r="S497" s="2487"/>
      <c r="T497" s="2487"/>
      <c r="U497" s="2487"/>
      <c r="V497" s="2487"/>
      <c r="W497" s="2487"/>
      <c r="X497" s="2487"/>
      <c r="Y497" s="2487"/>
      <c r="Z497" s="2487"/>
      <c r="AA497" s="2487"/>
      <c r="AB497" s="2487"/>
      <c r="AC497" s="2487"/>
      <c r="AD497" s="2487"/>
      <c r="AE497" s="2487"/>
      <c r="AF497" s="2487"/>
      <c r="AG497" s="2487"/>
      <c r="AH497" s="2487"/>
      <c r="AI497" s="2487"/>
      <c r="AJ497" s="2487"/>
      <c r="AK497" s="2487"/>
      <c r="AL497" s="2487"/>
      <c r="AM497" s="2487"/>
    </row>
    <row r="498" spans="1:39" ht="15.75" customHeight="1" x14ac:dyDescent="0.25">
      <c r="A498" s="2487"/>
      <c r="B498" s="2487"/>
      <c r="C498" s="2487"/>
      <c r="D498" s="2487"/>
      <c r="E498" s="2487"/>
      <c r="F498" s="2487"/>
      <c r="G498" s="2487"/>
      <c r="H498" s="2487"/>
      <c r="I498" s="2487"/>
      <c r="J498" s="2487"/>
      <c r="K498" s="2487"/>
      <c r="L498" s="2487"/>
      <c r="M498" s="2487"/>
      <c r="N498" s="2487"/>
      <c r="O498" s="2487"/>
      <c r="P498" s="2487"/>
      <c r="Q498" s="2487"/>
      <c r="R498" s="2487"/>
      <c r="S498" s="2487"/>
      <c r="T498" s="2487"/>
      <c r="U498" s="2487"/>
      <c r="V498" s="2487"/>
      <c r="W498" s="2487"/>
      <c r="X498" s="2487"/>
      <c r="Y498" s="2487"/>
      <c r="Z498" s="2487"/>
      <c r="AA498" s="2487"/>
      <c r="AB498" s="2487"/>
      <c r="AC498" s="2487"/>
      <c r="AD498" s="2487"/>
      <c r="AE498" s="2487"/>
      <c r="AF498" s="2487"/>
      <c r="AG498" s="2487"/>
      <c r="AH498" s="2487"/>
      <c r="AI498" s="2487"/>
      <c r="AJ498" s="2487"/>
      <c r="AK498" s="2487"/>
      <c r="AL498" s="2487"/>
      <c r="AM498" s="2487"/>
    </row>
    <row r="499" spans="1:39" ht="15.75" customHeight="1" x14ac:dyDescent="0.25">
      <c r="A499" s="2487"/>
      <c r="B499" s="2487"/>
      <c r="C499" s="2487"/>
      <c r="D499" s="2487"/>
      <c r="E499" s="2487"/>
      <c r="F499" s="2487"/>
      <c r="G499" s="2487"/>
      <c r="H499" s="2487"/>
      <c r="I499" s="2487"/>
      <c r="J499" s="2487"/>
      <c r="K499" s="2487"/>
      <c r="L499" s="2487"/>
      <c r="M499" s="2487"/>
      <c r="N499" s="2487"/>
      <c r="O499" s="2487"/>
      <c r="P499" s="2487"/>
      <c r="Q499" s="2487"/>
      <c r="R499" s="2487"/>
      <c r="S499" s="2487"/>
      <c r="T499" s="2487"/>
      <c r="U499" s="2487"/>
      <c r="V499" s="2487"/>
      <c r="W499" s="2487"/>
      <c r="X499" s="2487"/>
      <c r="Y499" s="2487"/>
      <c r="Z499" s="2487"/>
      <c r="AA499" s="2487"/>
      <c r="AB499" s="2487"/>
      <c r="AC499" s="2487"/>
      <c r="AD499" s="2487"/>
      <c r="AE499" s="2487"/>
      <c r="AF499" s="2487"/>
      <c r="AG499" s="2487"/>
      <c r="AH499" s="2487"/>
      <c r="AI499" s="2487"/>
      <c r="AJ499" s="2487"/>
      <c r="AK499" s="2487"/>
      <c r="AL499" s="2487"/>
      <c r="AM499" s="2487"/>
    </row>
    <row r="500" spans="1:39" ht="15.75" customHeight="1" x14ac:dyDescent="0.25">
      <c r="A500" s="2487"/>
      <c r="B500" s="2487"/>
      <c r="C500" s="2487"/>
      <c r="D500" s="2487"/>
      <c r="E500" s="2487"/>
      <c r="F500" s="2487"/>
      <c r="G500" s="2487"/>
      <c r="H500" s="2487"/>
      <c r="I500" s="2487"/>
      <c r="J500" s="2487"/>
      <c r="K500" s="2487"/>
      <c r="L500" s="2487"/>
      <c r="M500" s="2487"/>
      <c r="N500" s="2487"/>
      <c r="O500" s="2487"/>
      <c r="P500" s="2487"/>
      <c r="Q500" s="2487"/>
      <c r="R500" s="2487"/>
      <c r="S500" s="2487"/>
      <c r="T500" s="2487"/>
      <c r="U500" s="2487"/>
      <c r="V500" s="2487"/>
      <c r="W500" s="2487"/>
      <c r="X500" s="2487"/>
      <c r="Y500" s="2487"/>
      <c r="Z500" s="2487"/>
      <c r="AA500" s="2487"/>
      <c r="AB500" s="2487"/>
      <c r="AC500" s="2487"/>
      <c r="AD500" s="2487"/>
      <c r="AE500" s="2487"/>
      <c r="AF500" s="2487"/>
      <c r="AG500" s="2487"/>
      <c r="AH500" s="2487"/>
      <c r="AI500" s="2487"/>
      <c r="AJ500" s="2487"/>
      <c r="AK500" s="2487"/>
      <c r="AL500" s="2487"/>
      <c r="AM500" s="2487"/>
    </row>
    <row r="501" spans="1:39" ht="15.75" customHeight="1" x14ac:dyDescent="0.25">
      <c r="A501" s="2487"/>
      <c r="B501" s="2487"/>
      <c r="C501" s="2487"/>
      <c r="D501" s="2487"/>
      <c r="E501" s="2487"/>
      <c r="F501" s="2487"/>
      <c r="G501" s="2487"/>
      <c r="H501" s="2487"/>
      <c r="I501" s="2487"/>
      <c r="J501" s="2487"/>
      <c r="K501" s="2487"/>
      <c r="L501" s="2487"/>
      <c r="M501" s="2487"/>
      <c r="N501" s="2487"/>
      <c r="O501" s="2487"/>
      <c r="P501" s="2487"/>
      <c r="Q501" s="2487"/>
      <c r="R501" s="2487"/>
      <c r="S501" s="2487"/>
      <c r="T501" s="2487"/>
      <c r="U501" s="2487"/>
      <c r="V501" s="2487"/>
      <c r="W501" s="2487"/>
      <c r="X501" s="2487"/>
      <c r="Y501" s="2487"/>
      <c r="Z501" s="2487"/>
      <c r="AA501" s="2487"/>
      <c r="AB501" s="2487"/>
      <c r="AC501" s="2487"/>
      <c r="AD501" s="2487"/>
      <c r="AE501" s="2487"/>
      <c r="AF501" s="2487"/>
      <c r="AG501" s="2487"/>
      <c r="AH501" s="2487"/>
      <c r="AI501" s="2487"/>
      <c r="AJ501" s="2487"/>
      <c r="AK501" s="2487"/>
      <c r="AL501" s="2487"/>
      <c r="AM501" s="2487"/>
    </row>
    <row r="502" spans="1:39" ht="15.75" customHeight="1" x14ac:dyDescent="0.25">
      <c r="A502" s="2487"/>
      <c r="B502" s="2487"/>
      <c r="C502" s="2487"/>
      <c r="D502" s="2487"/>
      <c r="E502" s="2487"/>
      <c r="F502" s="2487"/>
      <c r="G502" s="2487"/>
      <c r="H502" s="2487"/>
      <c r="I502" s="2487"/>
      <c r="J502" s="2487"/>
      <c r="K502" s="2487"/>
      <c r="L502" s="2487"/>
      <c r="M502" s="2487"/>
      <c r="N502" s="2487"/>
      <c r="O502" s="2487"/>
      <c r="P502" s="2487"/>
      <c r="Q502" s="2487"/>
      <c r="R502" s="2487"/>
      <c r="S502" s="2487"/>
      <c r="T502" s="2487"/>
      <c r="U502" s="2487"/>
      <c r="V502" s="2487"/>
      <c r="W502" s="2487"/>
      <c r="X502" s="2487"/>
      <c r="Y502" s="2487"/>
      <c r="Z502" s="2487"/>
      <c r="AA502" s="2487"/>
      <c r="AB502" s="2487"/>
      <c r="AC502" s="2487"/>
      <c r="AD502" s="2487"/>
      <c r="AE502" s="2487"/>
      <c r="AF502" s="2487"/>
      <c r="AG502" s="2487"/>
      <c r="AH502" s="2487"/>
      <c r="AI502" s="2487"/>
      <c r="AJ502" s="2487"/>
      <c r="AK502" s="2487"/>
      <c r="AL502" s="2487"/>
      <c r="AM502" s="2487"/>
    </row>
    <row r="503" spans="1:39" ht="15.75" customHeight="1" x14ac:dyDescent="0.25">
      <c r="A503" s="2487"/>
      <c r="B503" s="2487"/>
      <c r="C503" s="2487"/>
      <c r="D503" s="2487"/>
      <c r="E503" s="2487"/>
      <c r="F503" s="2487"/>
      <c r="G503" s="2487"/>
      <c r="H503" s="2487"/>
      <c r="I503" s="2487"/>
      <c r="J503" s="2487"/>
      <c r="K503" s="2487"/>
      <c r="L503" s="2487"/>
      <c r="M503" s="2487"/>
      <c r="N503" s="2487"/>
      <c r="O503" s="2487"/>
      <c r="P503" s="2487"/>
      <c r="Q503" s="2487"/>
      <c r="R503" s="2487"/>
      <c r="S503" s="2487"/>
      <c r="T503" s="2487"/>
      <c r="U503" s="2487"/>
      <c r="V503" s="2487"/>
      <c r="W503" s="2487"/>
      <c r="X503" s="2487"/>
      <c r="Y503" s="2487"/>
      <c r="Z503" s="2487"/>
      <c r="AA503" s="2487"/>
      <c r="AB503" s="2487"/>
      <c r="AC503" s="2487"/>
      <c r="AD503" s="2487"/>
      <c r="AE503" s="2487"/>
      <c r="AF503" s="2487"/>
      <c r="AG503" s="2487"/>
      <c r="AH503" s="2487"/>
      <c r="AI503" s="2487"/>
      <c r="AJ503" s="2487"/>
      <c r="AK503" s="2487"/>
      <c r="AL503" s="2487"/>
      <c r="AM503" s="2487"/>
    </row>
    <row r="504" spans="1:39" ht="15.75" customHeight="1" x14ac:dyDescent="0.25">
      <c r="A504" s="2487"/>
      <c r="B504" s="2487"/>
      <c r="C504" s="2487"/>
      <c r="D504" s="2487"/>
      <c r="E504" s="2487"/>
      <c r="F504" s="2487"/>
      <c r="G504" s="2487"/>
      <c r="H504" s="2487"/>
      <c r="I504" s="2487"/>
      <c r="J504" s="2487"/>
      <c r="K504" s="2487"/>
      <c r="L504" s="2487"/>
      <c r="M504" s="2487"/>
      <c r="N504" s="2487"/>
      <c r="O504" s="2487"/>
      <c r="P504" s="2487"/>
      <c r="Q504" s="2487"/>
      <c r="R504" s="2487"/>
      <c r="S504" s="2487"/>
      <c r="T504" s="2487"/>
      <c r="U504" s="2487"/>
      <c r="V504" s="2487"/>
      <c r="W504" s="2487"/>
      <c r="X504" s="2487"/>
      <c r="Y504" s="2487"/>
      <c r="Z504" s="2487"/>
      <c r="AA504" s="2487"/>
      <c r="AB504" s="2487"/>
      <c r="AC504" s="2487"/>
      <c r="AD504" s="2487"/>
      <c r="AE504" s="2487"/>
      <c r="AF504" s="2487"/>
      <c r="AG504" s="2487"/>
      <c r="AH504" s="2487"/>
      <c r="AI504" s="2487"/>
      <c r="AJ504" s="2487"/>
      <c r="AK504" s="2487"/>
      <c r="AL504" s="2487"/>
      <c r="AM504" s="2487"/>
    </row>
    <row r="505" spans="1:39" ht="15.75" customHeight="1" x14ac:dyDescent="0.25">
      <c r="A505" s="2487"/>
      <c r="B505" s="2487"/>
      <c r="C505" s="2487"/>
      <c r="D505" s="2487"/>
      <c r="E505" s="2487"/>
      <c r="F505" s="2487"/>
      <c r="G505" s="2487"/>
      <c r="H505" s="2487"/>
      <c r="I505" s="2487"/>
      <c r="J505" s="2487"/>
      <c r="K505" s="2487"/>
      <c r="L505" s="2487"/>
      <c r="M505" s="2487"/>
      <c r="N505" s="2487"/>
      <c r="O505" s="2487"/>
      <c r="P505" s="2487"/>
      <c r="Q505" s="2487"/>
      <c r="R505" s="2487"/>
      <c r="S505" s="2487"/>
      <c r="T505" s="2487"/>
      <c r="U505" s="2487"/>
      <c r="V505" s="2487"/>
      <c r="W505" s="2487"/>
      <c r="X505" s="2487"/>
      <c r="Y505" s="2487"/>
      <c r="Z505" s="2487"/>
      <c r="AA505" s="2487"/>
      <c r="AB505" s="2487"/>
      <c r="AC505" s="2487"/>
      <c r="AD505" s="2487"/>
      <c r="AE505" s="2487"/>
      <c r="AF505" s="2487"/>
      <c r="AG505" s="2487"/>
      <c r="AH505" s="2487"/>
      <c r="AI505" s="2487"/>
      <c r="AJ505" s="2487"/>
      <c r="AK505" s="2487"/>
      <c r="AL505" s="2487"/>
      <c r="AM505" s="2487"/>
    </row>
    <row r="506" spans="1:39" ht="15.75" customHeight="1" x14ac:dyDescent="0.25">
      <c r="A506" s="2487"/>
      <c r="B506" s="2487"/>
      <c r="C506" s="2487"/>
      <c r="D506" s="2487"/>
      <c r="E506" s="2487"/>
      <c r="F506" s="2487"/>
      <c r="G506" s="2487"/>
      <c r="H506" s="2487"/>
      <c r="I506" s="2487"/>
      <c r="J506" s="2487"/>
      <c r="K506" s="2487"/>
      <c r="L506" s="2487"/>
      <c r="M506" s="2487"/>
      <c r="N506" s="2487"/>
      <c r="O506" s="2487"/>
      <c r="P506" s="2487"/>
      <c r="Q506" s="2487"/>
      <c r="R506" s="2487"/>
      <c r="S506" s="2487"/>
      <c r="T506" s="2487"/>
      <c r="U506" s="2487"/>
      <c r="V506" s="2487"/>
      <c r="W506" s="2487"/>
      <c r="X506" s="2487"/>
      <c r="Y506" s="2487"/>
      <c r="Z506" s="2487"/>
      <c r="AA506" s="2487"/>
      <c r="AB506" s="2487"/>
      <c r="AC506" s="2487"/>
      <c r="AD506" s="2487"/>
      <c r="AE506" s="2487"/>
      <c r="AF506" s="2487"/>
      <c r="AG506" s="2487"/>
      <c r="AH506" s="2487"/>
      <c r="AI506" s="2487"/>
      <c r="AJ506" s="2487"/>
      <c r="AK506" s="2487"/>
      <c r="AL506" s="2487"/>
      <c r="AM506" s="2487"/>
    </row>
    <row r="507" spans="1:39" ht="15.75" customHeight="1" x14ac:dyDescent="0.25">
      <c r="A507" s="2487"/>
      <c r="B507" s="2487"/>
      <c r="C507" s="2487"/>
      <c r="D507" s="2487"/>
      <c r="E507" s="2487"/>
      <c r="F507" s="2487"/>
      <c r="G507" s="2487"/>
      <c r="H507" s="2487"/>
      <c r="I507" s="2487"/>
      <c r="J507" s="2487"/>
      <c r="K507" s="2487"/>
      <c r="L507" s="2487"/>
      <c r="M507" s="2487"/>
      <c r="N507" s="2487"/>
      <c r="O507" s="2487"/>
      <c r="P507" s="2487"/>
      <c r="Q507" s="2487"/>
      <c r="R507" s="2487"/>
      <c r="S507" s="2487"/>
      <c r="T507" s="2487"/>
      <c r="U507" s="2487"/>
      <c r="V507" s="2487"/>
      <c r="W507" s="2487"/>
      <c r="X507" s="2487"/>
      <c r="Y507" s="2487"/>
      <c r="Z507" s="2487"/>
      <c r="AA507" s="2487"/>
      <c r="AB507" s="2487"/>
      <c r="AC507" s="2487"/>
      <c r="AD507" s="2487"/>
      <c r="AE507" s="2487"/>
      <c r="AF507" s="2487"/>
      <c r="AG507" s="2487"/>
      <c r="AH507" s="2487"/>
      <c r="AI507" s="2487"/>
      <c r="AJ507" s="2487"/>
      <c r="AK507" s="2487"/>
      <c r="AL507" s="2487"/>
      <c r="AM507" s="2487"/>
    </row>
    <row r="508" spans="1:39" ht="15.75" customHeight="1" x14ac:dyDescent="0.25">
      <c r="A508" s="2487"/>
      <c r="B508" s="2487"/>
      <c r="C508" s="2487"/>
      <c r="D508" s="2487"/>
      <c r="E508" s="2487"/>
      <c r="F508" s="2487"/>
      <c r="G508" s="2487"/>
      <c r="H508" s="2487"/>
      <c r="I508" s="2487"/>
      <c r="J508" s="2487"/>
      <c r="K508" s="2487"/>
      <c r="L508" s="2487"/>
      <c r="M508" s="2487"/>
      <c r="N508" s="2487"/>
      <c r="O508" s="2487"/>
      <c r="P508" s="2487"/>
      <c r="Q508" s="2487"/>
      <c r="R508" s="2487"/>
      <c r="S508" s="2487"/>
      <c r="T508" s="2487"/>
      <c r="U508" s="2487"/>
      <c r="V508" s="2487"/>
      <c r="W508" s="2487"/>
      <c r="X508" s="2487"/>
      <c r="Y508" s="2487"/>
      <c r="Z508" s="2487"/>
      <c r="AA508" s="2487"/>
      <c r="AB508" s="2487"/>
      <c r="AC508" s="2487"/>
      <c r="AD508" s="2487"/>
      <c r="AE508" s="2487"/>
      <c r="AF508" s="2487"/>
      <c r="AG508" s="2487"/>
      <c r="AH508" s="2487"/>
      <c r="AI508" s="2487"/>
      <c r="AJ508" s="2487"/>
      <c r="AK508" s="2487"/>
      <c r="AL508" s="2487"/>
      <c r="AM508" s="2487"/>
    </row>
    <row r="509" spans="1:39" ht="15.75" customHeight="1" x14ac:dyDescent="0.25">
      <c r="A509" s="2487"/>
      <c r="B509" s="2487"/>
      <c r="C509" s="2487"/>
      <c r="D509" s="2487"/>
      <c r="E509" s="2487"/>
      <c r="F509" s="2487"/>
      <c r="G509" s="2487"/>
      <c r="H509" s="2487"/>
      <c r="I509" s="2487"/>
      <c r="J509" s="2487"/>
      <c r="K509" s="2487"/>
      <c r="L509" s="2487"/>
      <c r="M509" s="2487"/>
      <c r="N509" s="2487"/>
      <c r="O509" s="2487"/>
      <c r="P509" s="2487"/>
      <c r="Q509" s="2487"/>
      <c r="R509" s="2487"/>
      <c r="S509" s="2487"/>
      <c r="T509" s="2487"/>
      <c r="U509" s="2487"/>
      <c r="V509" s="2487"/>
      <c r="W509" s="2487"/>
      <c r="X509" s="2487"/>
      <c r="Y509" s="2487"/>
      <c r="Z509" s="2487"/>
      <c r="AA509" s="2487"/>
      <c r="AB509" s="2487"/>
      <c r="AC509" s="2487"/>
      <c r="AD509" s="2487"/>
      <c r="AE509" s="2487"/>
      <c r="AF509" s="2487"/>
      <c r="AG509" s="2487"/>
      <c r="AH509" s="2487"/>
      <c r="AI509" s="2487"/>
      <c r="AJ509" s="2487"/>
      <c r="AK509" s="2487"/>
      <c r="AL509" s="2487"/>
      <c r="AM509" s="2487"/>
    </row>
    <row r="510" spans="1:39" ht="15.75" customHeight="1" x14ac:dyDescent="0.25">
      <c r="A510" s="2487"/>
      <c r="B510" s="2487"/>
      <c r="C510" s="2487"/>
      <c r="D510" s="2487"/>
      <c r="E510" s="2487"/>
      <c r="F510" s="2487"/>
      <c r="G510" s="2487"/>
      <c r="H510" s="2487"/>
      <c r="I510" s="2487"/>
      <c r="J510" s="2487"/>
      <c r="K510" s="2487"/>
      <c r="L510" s="2487"/>
      <c r="M510" s="2487"/>
      <c r="N510" s="2487"/>
      <c r="O510" s="2487"/>
      <c r="P510" s="2487"/>
      <c r="Q510" s="2487"/>
      <c r="R510" s="2487"/>
      <c r="S510" s="2487"/>
      <c r="T510" s="2487"/>
      <c r="U510" s="2487"/>
      <c r="V510" s="2487"/>
      <c r="W510" s="2487"/>
      <c r="X510" s="2487"/>
      <c r="Y510" s="2487"/>
      <c r="Z510" s="2487"/>
      <c r="AA510" s="2487"/>
      <c r="AB510" s="2487"/>
      <c r="AC510" s="2487"/>
      <c r="AD510" s="2487"/>
      <c r="AE510" s="2487"/>
      <c r="AF510" s="2487"/>
      <c r="AG510" s="2487"/>
      <c r="AH510" s="2487"/>
      <c r="AI510" s="2487"/>
      <c r="AJ510" s="2487"/>
      <c r="AK510" s="2487"/>
      <c r="AL510" s="2487"/>
      <c r="AM510" s="2487"/>
    </row>
    <row r="511" spans="1:39" ht="15.75" customHeight="1" x14ac:dyDescent="0.25">
      <c r="A511" s="2487"/>
      <c r="B511" s="2487"/>
      <c r="C511" s="2487"/>
      <c r="D511" s="2487"/>
      <c r="E511" s="2487"/>
      <c r="F511" s="2487"/>
      <c r="G511" s="2487"/>
      <c r="H511" s="2487"/>
      <c r="I511" s="2487"/>
      <c r="J511" s="2487"/>
      <c r="K511" s="2487"/>
      <c r="L511" s="2487"/>
      <c r="M511" s="2487"/>
      <c r="N511" s="2487"/>
      <c r="O511" s="2487"/>
      <c r="P511" s="2487"/>
      <c r="Q511" s="2487"/>
      <c r="R511" s="2487"/>
      <c r="S511" s="2487"/>
      <c r="T511" s="2487"/>
      <c r="U511" s="2487"/>
      <c r="V511" s="2487"/>
      <c r="W511" s="2487"/>
      <c r="X511" s="2487"/>
      <c r="Y511" s="2487"/>
      <c r="Z511" s="2487"/>
      <c r="AA511" s="2487"/>
      <c r="AB511" s="2487"/>
      <c r="AC511" s="2487"/>
      <c r="AD511" s="2487"/>
      <c r="AE511" s="2487"/>
      <c r="AF511" s="2487"/>
      <c r="AG511" s="2487"/>
      <c r="AH511" s="2487"/>
      <c r="AI511" s="2487"/>
      <c r="AJ511" s="2487"/>
      <c r="AK511" s="2487"/>
      <c r="AL511" s="2487"/>
      <c r="AM511" s="2487"/>
    </row>
    <row r="512" spans="1:39" ht="15.75" customHeight="1" x14ac:dyDescent="0.25">
      <c r="A512" s="2487"/>
      <c r="B512" s="2487"/>
      <c r="C512" s="2487"/>
      <c r="D512" s="2487"/>
      <c r="E512" s="2487"/>
      <c r="F512" s="2487"/>
      <c r="G512" s="2487"/>
      <c r="H512" s="2487"/>
      <c r="I512" s="2487"/>
      <c r="J512" s="2487"/>
      <c r="K512" s="2487"/>
      <c r="L512" s="2487"/>
      <c r="M512" s="2487"/>
      <c r="N512" s="2487"/>
      <c r="O512" s="2487"/>
      <c r="P512" s="2487"/>
      <c r="Q512" s="2487"/>
      <c r="R512" s="2487"/>
      <c r="S512" s="2487"/>
      <c r="T512" s="2487"/>
      <c r="U512" s="2487"/>
      <c r="V512" s="2487"/>
      <c r="W512" s="2487"/>
      <c r="X512" s="2487"/>
      <c r="Y512" s="2487"/>
      <c r="Z512" s="2487"/>
      <c r="AA512" s="2487"/>
      <c r="AB512" s="2487"/>
      <c r="AC512" s="2487"/>
      <c r="AD512" s="2487"/>
      <c r="AE512" s="2487"/>
      <c r="AF512" s="2487"/>
      <c r="AG512" s="2487"/>
      <c r="AH512" s="2487"/>
      <c r="AI512" s="2487"/>
      <c r="AJ512" s="2487"/>
      <c r="AK512" s="2487"/>
      <c r="AL512" s="2487"/>
      <c r="AM512" s="2487"/>
    </row>
    <row r="513" spans="1:39" ht="15.75" customHeight="1" x14ac:dyDescent="0.25">
      <c r="A513" s="2487"/>
      <c r="B513" s="2487"/>
      <c r="C513" s="2487"/>
      <c r="D513" s="2487"/>
      <c r="E513" s="2487"/>
      <c r="F513" s="2487"/>
      <c r="G513" s="2487"/>
      <c r="H513" s="2487"/>
      <c r="I513" s="2487"/>
      <c r="J513" s="2487"/>
      <c r="K513" s="2487"/>
      <c r="L513" s="2487"/>
      <c r="M513" s="2487"/>
      <c r="N513" s="2487"/>
      <c r="O513" s="2487"/>
      <c r="P513" s="2487"/>
      <c r="Q513" s="2487"/>
      <c r="R513" s="2487"/>
      <c r="S513" s="2487"/>
      <c r="T513" s="2487"/>
      <c r="U513" s="2487"/>
      <c r="V513" s="2487"/>
      <c r="W513" s="2487"/>
      <c r="X513" s="2487"/>
      <c r="Y513" s="2487"/>
      <c r="Z513" s="2487"/>
      <c r="AA513" s="2487"/>
      <c r="AB513" s="2487"/>
      <c r="AC513" s="2487"/>
      <c r="AD513" s="2487"/>
      <c r="AE513" s="2487"/>
      <c r="AF513" s="2487"/>
      <c r="AG513" s="2487"/>
      <c r="AH513" s="2487"/>
      <c r="AI513" s="2487"/>
      <c r="AJ513" s="2487"/>
      <c r="AK513" s="2487"/>
      <c r="AL513" s="2487"/>
      <c r="AM513" s="2487"/>
    </row>
    <row r="514" spans="1:39" ht="15.75" customHeight="1" x14ac:dyDescent="0.25">
      <c r="A514" s="2487"/>
      <c r="B514" s="2487"/>
      <c r="C514" s="2487"/>
      <c r="D514" s="2487"/>
      <c r="E514" s="2487"/>
      <c r="F514" s="2487"/>
      <c r="G514" s="2487"/>
      <c r="H514" s="2487"/>
      <c r="I514" s="2487"/>
      <c r="J514" s="2487"/>
      <c r="K514" s="2487"/>
      <c r="L514" s="2487"/>
      <c r="M514" s="2487"/>
      <c r="N514" s="2487"/>
      <c r="O514" s="2487"/>
      <c r="P514" s="2487"/>
      <c r="Q514" s="2487"/>
      <c r="R514" s="2487"/>
      <c r="S514" s="2487"/>
      <c r="T514" s="2487"/>
      <c r="U514" s="2487"/>
      <c r="V514" s="2487"/>
      <c r="W514" s="2487"/>
      <c r="X514" s="2487"/>
      <c r="Y514" s="2487"/>
      <c r="Z514" s="2487"/>
      <c r="AA514" s="2487"/>
      <c r="AB514" s="2487"/>
      <c r="AC514" s="2487"/>
      <c r="AD514" s="2487"/>
      <c r="AE514" s="2487"/>
      <c r="AF514" s="2487"/>
      <c r="AG514" s="2487"/>
      <c r="AH514" s="2487"/>
      <c r="AI514" s="2487"/>
      <c r="AJ514" s="2487"/>
      <c r="AK514" s="2487"/>
      <c r="AL514" s="2487"/>
      <c r="AM514" s="2487"/>
    </row>
    <row r="515" spans="1:39" ht="15.75" customHeight="1" x14ac:dyDescent="0.25">
      <c r="A515" s="2487"/>
      <c r="B515" s="2487"/>
      <c r="C515" s="2487"/>
      <c r="D515" s="2487"/>
      <c r="E515" s="2487"/>
      <c r="F515" s="2487"/>
      <c r="G515" s="2487"/>
      <c r="H515" s="2487"/>
      <c r="I515" s="2487"/>
      <c r="J515" s="2487"/>
      <c r="K515" s="2487"/>
      <c r="L515" s="2487"/>
      <c r="M515" s="2487"/>
      <c r="N515" s="2487"/>
      <c r="O515" s="2487"/>
      <c r="P515" s="2487"/>
      <c r="Q515" s="2487"/>
      <c r="R515" s="2487"/>
      <c r="S515" s="2487"/>
      <c r="T515" s="2487"/>
      <c r="U515" s="2487"/>
      <c r="V515" s="2487"/>
      <c r="W515" s="2487"/>
      <c r="X515" s="2487"/>
      <c r="Y515" s="2487"/>
      <c r="Z515" s="2487"/>
      <c r="AA515" s="2487"/>
      <c r="AB515" s="2487"/>
      <c r="AC515" s="2487"/>
      <c r="AD515" s="2487"/>
      <c r="AE515" s="2487"/>
      <c r="AF515" s="2487"/>
      <c r="AG515" s="2487"/>
      <c r="AH515" s="2487"/>
      <c r="AI515" s="2487"/>
      <c r="AJ515" s="2487"/>
      <c r="AK515" s="2487"/>
      <c r="AL515" s="2487"/>
      <c r="AM515" s="2487"/>
    </row>
    <row r="516" spans="1:39" ht="15.75" customHeight="1" x14ac:dyDescent="0.25">
      <c r="A516" s="2487"/>
      <c r="B516" s="2487"/>
      <c r="C516" s="2487"/>
      <c r="D516" s="2487"/>
      <c r="E516" s="2487"/>
      <c r="F516" s="2487"/>
      <c r="G516" s="2487"/>
      <c r="H516" s="2487"/>
      <c r="I516" s="2487"/>
      <c r="J516" s="2487"/>
      <c r="K516" s="2487"/>
      <c r="L516" s="2487"/>
      <c r="M516" s="2487"/>
      <c r="N516" s="2487"/>
      <c r="O516" s="2487"/>
      <c r="P516" s="2487"/>
      <c r="Q516" s="2487"/>
      <c r="R516" s="2487"/>
      <c r="S516" s="2487"/>
      <c r="T516" s="2487"/>
      <c r="U516" s="2487"/>
      <c r="V516" s="2487"/>
      <c r="W516" s="2487"/>
      <c r="X516" s="2487"/>
      <c r="Y516" s="2487"/>
      <c r="Z516" s="2487"/>
      <c r="AA516" s="2487"/>
      <c r="AB516" s="2487"/>
      <c r="AC516" s="2487"/>
      <c r="AD516" s="2487"/>
      <c r="AE516" s="2487"/>
      <c r="AF516" s="2487"/>
      <c r="AG516" s="2487"/>
      <c r="AH516" s="2487"/>
      <c r="AI516" s="2487"/>
      <c r="AJ516" s="2487"/>
      <c r="AK516" s="2487"/>
      <c r="AL516" s="2487"/>
      <c r="AM516" s="2487"/>
    </row>
    <row r="517" spans="1:39" ht="15.75" customHeight="1" x14ac:dyDescent="0.25">
      <c r="A517" s="2487"/>
      <c r="B517" s="2487"/>
      <c r="C517" s="2487"/>
      <c r="D517" s="2487"/>
      <c r="E517" s="2487"/>
      <c r="F517" s="2487"/>
      <c r="G517" s="2487"/>
      <c r="H517" s="2487"/>
      <c r="I517" s="2487"/>
      <c r="J517" s="2487"/>
      <c r="K517" s="2487"/>
      <c r="L517" s="2487"/>
      <c r="M517" s="2487"/>
      <c r="N517" s="2487"/>
      <c r="O517" s="2487"/>
      <c r="P517" s="2487"/>
      <c r="Q517" s="2487"/>
      <c r="R517" s="2487"/>
      <c r="S517" s="2487"/>
      <c r="T517" s="2487"/>
      <c r="U517" s="2487"/>
      <c r="V517" s="2487"/>
      <c r="W517" s="2487"/>
      <c r="X517" s="2487"/>
      <c r="Y517" s="2487"/>
      <c r="Z517" s="2487"/>
      <c r="AA517" s="2487"/>
      <c r="AB517" s="2487"/>
      <c r="AC517" s="2487"/>
      <c r="AD517" s="2487"/>
      <c r="AE517" s="2487"/>
      <c r="AF517" s="2487"/>
      <c r="AG517" s="2487"/>
      <c r="AH517" s="2487"/>
      <c r="AI517" s="2487"/>
      <c r="AJ517" s="2487"/>
      <c r="AK517" s="2487"/>
      <c r="AL517" s="2487"/>
      <c r="AM517" s="2487"/>
    </row>
    <row r="518" spans="1:39" ht="15.75" customHeight="1" x14ac:dyDescent="0.25">
      <c r="A518" s="2487"/>
      <c r="B518" s="2487"/>
      <c r="C518" s="2487"/>
      <c r="D518" s="2487"/>
      <c r="E518" s="2487"/>
      <c r="F518" s="2487"/>
      <c r="G518" s="2487"/>
      <c r="H518" s="2487"/>
      <c r="I518" s="2487"/>
      <c r="J518" s="2487"/>
      <c r="K518" s="2487"/>
      <c r="L518" s="2487"/>
      <c r="M518" s="2487"/>
      <c r="N518" s="2487"/>
      <c r="O518" s="2487"/>
      <c r="P518" s="2487"/>
      <c r="Q518" s="2487"/>
      <c r="R518" s="2487"/>
      <c r="S518" s="2487"/>
      <c r="T518" s="2487"/>
      <c r="U518" s="2487"/>
      <c r="V518" s="2487"/>
      <c r="W518" s="2487"/>
      <c r="X518" s="2487"/>
      <c r="Y518" s="2487"/>
      <c r="Z518" s="2487"/>
      <c r="AA518" s="2487"/>
      <c r="AB518" s="2487"/>
      <c r="AC518" s="2487"/>
      <c r="AD518" s="2487"/>
      <c r="AE518" s="2487"/>
      <c r="AF518" s="2487"/>
      <c r="AG518" s="2487"/>
      <c r="AH518" s="2487"/>
      <c r="AI518" s="2487"/>
      <c r="AJ518" s="2487"/>
      <c r="AK518" s="2487"/>
      <c r="AL518" s="2487"/>
      <c r="AM518" s="2487"/>
    </row>
    <row r="519" spans="1:39" ht="15.75" customHeight="1" x14ac:dyDescent="0.25">
      <c r="A519" s="2487"/>
      <c r="B519" s="2487"/>
      <c r="C519" s="2487"/>
      <c r="D519" s="2487"/>
      <c r="E519" s="2487"/>
      <c r="F519" s="2487"/>
      <c r="G519" s="2487"/>
      <c r="H519" s="2487"/>
      <c r="I519" s="2487"/>
      <c r="J519" s="2487"/>
      <c r="K519" s="2487"/>
      <c r="L519" s="2487"/>
      <c r="M519" s="2487"/>
      <c r="N519" s="2487"/>
      <c r="O519" s="2487"/>
      <c r="P519" s="2487"/>
      <c r="Q519" s="2487"/>
      <c r="R519" s="2487"/>
      <c r="S519" s="2487"/>
      <c r="T519" s="2487"/>
      <c r="U519" s="2487"/>
      <c r="V519" s="2487"/>
      <c r="W519" s="2487"/>
      <c r="X519" s="2487"/>
      <c r="Y519" s="2487"/>
      <c r="Z519" s="2487"/>
      <c r="AA519" s="2487"/>
      <c r="AB519" s="2487"/>
      <c r="AC519" s="2487"/>
      <c r="AD519" s="2487"/>
      <c r="AE519" s="2487"/>
      <c r="AF519" s="2487"/>
      <c r="AG519" s="2487"/>
      <c r="AH519" s="2487"/>
      <c r="AI519" s="2487"/>
      <c r="AJ519" s="2487"/>
      <c r="AK519" s="2487"/>
      <c r="AL519" s="2487"/>
      <c r="AM519" s="2487"/>
    </row>
    <row r="520" spans="1:39" ht="15.75" customHeight="1" x14ac:dyDescent="0.25">
      <c r="A520" s="2487"/>
      <c r="B520" s="2487"/>
      <c r="C520" s="2487"/>
      <c r="D520" s="2487"/>
      <c r="E520" s="2487"/>
      <c r="F520" s="2487"/>
      <c r="G520" s="2487"/>
      <c r="H520" s="2487"/>
      <c r="I520" s="2487"/>
      <c r="J520" s="2487"/>
      <c r="K520" s="2487"/>
      <c r="L520" s="2487"/>
      <c r="M520" s="2487"/>
      <c r="N520" s="2487"/>
      <c r="O520" s="2487"/>
      <c r="P520" s="2487"/>
      <c r="Q520" s="2487"/>
      <c r="R520" s="2487"/>
      <c r="S520" s="2487"/>
      <c r="T520" s="2487"/>
      <c r="U520" s="2487"/>
      <c r="V520" s="2487"/>
      <c r="W520" s="2487"/>
      <c r="X520" s="2487"/>
      <c r="Y520" s="2487"/>
      <c r="Z520" s="2487"/>
      <c r="AA520" s="2487"/>
      <c r="AB520" s="2487"/>
      <c r="AC520" s="2487"/>
      <c r="AD520" s="2487"/>
      <c r="AE520" s="2487"/>
      <c r="AF520" s="2487"/>
      <c r="AG520" s="2487"/>
      <c r="AH520" s="2487"/>
      <c r="AI520" s="2487"/>
      <c r="AJ520" s="2487"/>
      <c r="AK520" s="2487"/>
      <c r="AL520" s="2487"/>
      <c r="AM520" s="2487"/>
    </row>
    <row r="521" spans="1:39" ht="15.75" customHeight="1" x14ac:dyDescent="0.25">
      <c r="A521" s="2487"/>
      <c r="B521" s="2487"/>
      <c r="C521" s="2487"/>
      <c r="D521" s="2487"/>
      <c r="E521" s="2487"/>
      <c r="F521" s="2487"/>
      <c r="G521" s="2487"/>
      <c r="H521" s="2487"/>
      <c r="I521" s="2487"/>
      <c r="J521" s="2487"/>
      <c r="K521" s="2487"/>
      <c r="L521" s="2487"/>
      <c r="M521" s="2487"/>
      <c r="N521" s="2487"/>
      <c r="O521" s="2487"/>
      <c r="P521" s="2487"/>
      <c r="Q521" s="2487"/>
      <c r="R521" s="2487"/>
      <c r="S521" s="2487"/>
      <c r="T521" s="2487"/>
      <c r="U521" s="2487"/>
      <c r="V521" s="2487"/>
      <c r="W521" s="2487"/>
      <c r="X521" s="2487"/>
      <c r="Y521" s="2487"/>
      <c r="Z521" s="2487"/>
      <c r="AA521" s="2487"/>
      <c r="AB521" s="2487"/>
      <c r="AC521" s="2487"/>
      <c r="AD521" s="2487"/>
      <c r="AE521" s="2487"/>
      <c r="AF521" s="2487"/>
      <c r="AG521" s="2487"/>
      <c r="AH521" s="2487"/>
      <c r="AI521" s="2487"/>
      <c r="AJ521" s="2487"/>
      <c r="AK521" s="2487"/>
      <c r="AL521" s="2487"/>
      <c r="AM521" s="2487"/>
    </row>
    <row r="522" spans="1:39" ht="15.75" customHeight="1" x14ac:dyDescent="0.25">
      <c r="A522" s="2487"/>
      <c r="B522" s="2487"/>
      <c r="C522" s="2487"/>
      <c r="D522" s="2487"/>
      <c r="E522" s="2487"/>
      <c r="F522" s="2487"/>
      <c r="G522" s="2487"/>
      <c r="H522" s="2487"/>
      <c r="I522" s="2487"/>
      <c r="J522" s="2487"/>
      <c r="K522" s="2487"/>
      <c r="L522" s="2487"/>
      <c r="M522" s="2487"/>
      <c r="N522" s="2487"/>
      <c r="O522" s="2487"/>
      <c r="P522" s="2487"/>
      <c r="Q522" s="2487"/>
      <c r="R522" s="2487"/>
      <c r="S522" s="2487"/>
      <c r="T522" s="2487"/>
      <c r="U522" s="2487"/>
      <c r="V522" s="2487"/>
      <c r="W522" s="2487"/>
      <c r="X522" s="2487"/>
      <c r="Y522" s="2487"/>
      <c r="Z522" s="2487"/>
      <c r="AA522" s="2487"/>
      <c r="AB522" s="2487"/>
      <c r="AC522" s="2487"/>
      <c r="AD522" s="2487"/>
      <c r="AE522" s="2487"/>
      <c r="AF522" s="2487"/>
      <c r="AG522" s="2487"/>
      <c r="AH522" s="2487"/>
      <c r="AI522" s="2487"/>
      <c r="AJ522" s="2487"/>
      <c r="AK522" s="2487"/>
      <c r="AL522" s="2487"/>
      <c r="AM522" s="2487"/>
    </row>
    <row r="523" spans="1:39" ht="15.75" customHeight="1" x14ac:dyDescent="0.25">
      <c r="A523" s="2487"/>
      <c r="B523" s="2487"/>
      <c r="C523" s="2487"/>
      <c r="D523" s="2487"/>
      <c r="E523" s="2487"/>
      <c r="F523" s="2487"/>
      <c r="G523" s="2487"/>
      <c r="H523" s="2487"/>
      <c r="I523" s="2487"/>
      <c r="J523" s="2487"/>
      <c r="K523" s="2487"/>
      <c r="L523" s="2487"/>
      <c r="M523" s="2487"/>
      <c r="N523" s="2487"/>
      <c r="O523" s="2487"/>
      <c r="P523" s="2487"/>
      <c r="Q523" s="2487"/>
      <c r="R523" s="2487"/>
      <c r="S523" s="2487"/>
      <c r="T523" s="2487"/>
      <c r="U523" s="2487"/>
      <c r="V523" s="2487"/>
      <c r="W523" s="2487"/>
      <c r="X523" s="2487"/>
      <c r="Y523" s="2487"/>
      <c r="Z523" s="2487"/>
      <c r="AA523" s="2487"/>
      <c r="AB523" s="2487"/>
      <c r="AC523" s="2487"/>
      <c r="AD523" s="2487"/>
      <c r="AE523" s="2487"/>
      <c r="AF523" s="2487"/>
      <c r="AG523" s="2487"/>
      <c r="AH523" s="2487"/>
      <c r="AI523" s="2487"/>
      <c r="AJ523" s="2487"/>
      <c r="AK523" s="2487"/>
      <c r="AL523" s="2487"/>
      <c r="AM523" s="2487"/>
    </row>
    <row r="524" spans="1:39" ht="15.75" customHeight="1" x14ac:dyDescent="0.25">
      <c r="A524" s="2487"/>
      <c r="B524" s="2487"/>
      <c r="C524" s="2487"/>
      <c r="D524" s="2487"/>
      <c r="E524" s="2487"/>
      <c r="F524" s="2487"/>
      <c r="G524" s="2487"/>
      <c r="H524" s="2487"/>
      <c r="I524" s="2487"/>
      <c r="J524" s="2487"/>
      <c r="K524" s="2487"/>
      <c r="L524" s="2487"/>
      <c r="M524" s="2487"/>
      <c r="N524" s="2487"/>
      <c r="O524" s="2487"/>
      <c r="P524" s="2487"/>
      <c r="Q524" s="2487"/>
      <c r="R524" s="2487"/>
      <c r="S524" s="2487"/>
      <c r="T524" s="2487"/>
      <c r="U524" s="2487"/>
      <c r="V524" s="2487"/>
      <c r="W524" s="2487"/>
      <c r="X524" s="2487"/>
      <c r="Y524" s="2487"/>
      <c r="Z524" s="2487"/>
      <c r="AA524" s="2487"/>
      <c r="AB524" s="2487"/>
      <c r="AC524" s="2487"/>
      <c r="AD524" s="2487"/>
      <c r="AE524" s="2487"/>
      <c r="AF524" s="2487"/>
      <c r="AG524" s="2487"/>
      <c r="AH524" s="2487"/>
      <c r="AI524" s="2487"/>
      <c r="AJ524" s="2487"/>
      <c r="AK524" s="2487"/>
      <c r="AL524" s="2487"/>
      <c r="AM524" s="2487"/>
    </row>
    <row r="525" spans="1:39" ht="15.75" customHeight="1" x14ac:dyDescent="0.25">
      <c r="A525" s="2487"/>
      <c r="B525" s="2487"/>
      <c r="C525" s="2487"/>
      <c r="D525" s="2487"/>
      <c r="E525" s="2487"/>
      <c r="F525" s="2487"/>
      <c r="G525" s="2487"/>
      <c r="H525" s="2487"/>
      <c r="I525" s="2487"/>
      <c r="J525" s="2487"/>
      <c r="K525" s="2487"/>
      <c r="L525" s="2487"/>
      <c r="M525" s="2487"/>
      <c r="N525" s="2487"/>
      <c r="O525" s="2487"/>
      <c r="P525" s="2487"/>
      <c r="Q525" s="2487"/>
      <c r="R525" s="2487"/>
      <c r="S525" s="2487"/>
      <c r="T525" s="2487"/>
      <c r="U525" s="2487"/>
      <c r="V525" s="2487"/>
      <c r="W525" s="2487"/>
      <c r="X525" s="2487"/>
      <c r="Y525" s="2487"/>
      <c r="Z525" s="2487"/>
      <c r="AA525" s="2487"/>
      <c r="AB525" s="2487"/>
      <c r="AC525" s="2487"/>
      <c r="AD525" s="2487"/>
      <c r="AE525" s="2487"/>
      <c r="AF525" s="2487"/>
      <c r="AG525" s="2487"/>
      <c r="AH525" s="2487"/>
      <c r="AI525" s="2487"/>
      <c r="AJ525" s="2487"/>
      <c r="AK525" s="2487"/>
      <c r="AL525" s="2487"/>
      <c r="AM525" s="2487"/>
    </row>
    <row r="526" spans="1:39" ht="15.75" customHeight="1" x14ac:dyDescent="0.25">
      <c r="A526" s="2487"/>
      <c r="B526" s="2487"/>
      <c r="C526" s="2487"/>
      <c r="D526" s="2487"/>
      <c r="E526" s="2487"/>
      <c r="F526" s="2487"/>
      <c r="G526" s="2487"/>
      <c r="H526" s="2487"/>
      <c r="I526" s="2487"/>
      <c r="J526" s="2487"/>
      <c r="K526" s="2487"/>
      <c r="L526" s="2487"/>
      <c r="M526" s="2487"/>
      <c r="N526" s="2487"/>
      <c r="O526" s="2487"/>
      <c r="P526" s="2487"/>
      <c r="Q526" s="2487"/>
      <c r="R526" s="2487"/>
      <c r="S526" s="2487"/>
      <c r="T526" s="2487"/>
      <c r="U526" s="2487"/>
      <c r="V526" s="2487"/>
      <c r="W526" s="2487"/>
      <c r="X526" s="2487"/>
      <c r="Y526" s="2487"/>
      <c r="Z526" s="2487"/>
      <c r="AA526" s="2487"/>
      <c r="AB526" s="2487"/>
      <c r="AC526" s="2487"/>
      <c r="AD526" s="2487"/>
      <c r="AE526" s="2487"/>
      <c r="AF526" s="2487"/>
      <c r="AG526" s="2487"/>
      <c r="AH526" s="2487"/>
      <c r="AI526" s="2487"/>
      <c r="AJ526" s="2487"/>
      <c r="AK526" s="2487"/>
      <c r="AL526" s="2487"/>
      <c r="AM526" s="2487"/>
    </row>
    <row r="527" spans="1:39" ht="15.75" customHeight="1" x14ac:dyDescent="0.25">
      <c r="A527" s="2487"/>
      <c r="B527" s="2487"/>
      <c r="C527" s="2487"/>
      <c r="D527" s="2487"/>
      <c r="E527" s="2487"/>
      <c r="F527" s="2487"/>
      <c r="G527" s="2487"/>
      <c r="H527" s="2487"/>
      <c r="I527" s="2487"/>
      <c r="J527" s="2487"/>
      <c r="K527" s="2487"/>
      <c r="L527" s="2487"/>
      <c r="M527" s="2487"/>
      <c r="N527" s="2487"/>
      <c r="O527" s="2487"/>
      <c r="P527" s="2487"/>
      <c r="Q527" s="2487"/>
      <c r="R527" s="2487"/>
      <c r="S527" s="2487"/>
      <c r="T527" s="2487"/>
      <c r="U527" s="2487"/>
      <c r="V527" s="2487"/>
      <c r="W527" s="2487"/>
      <c r="X527" s="2487"/>
      <c r="Y527" s="2487"/>
      <c r="Z527" s="2487"/>
      <c r="AA527" s="2487"/>
      <c r="AB527" s="2487"/>
      <c r="AC527" s="2487"/>
      <c r="AD527" s="2487"/>
      <c r="AE527" s="2487"/>
      <c r="AF527" s="2487"/>
      <c r="AG527" s="2487"/>
      <c r="AH527" s="2487"/>
      <c r="AI527" s="2487"/>
      <c r="AJ527" s="2487"/>
      <c r="AK527" s="2487"/>
      <c r="AL527" s="2487"/>
      <c r="AM527" s="2487"/>
    </row>
    <row r="528" spans="1:39" ht="15.75" customHeight="1" x14ac:dyDescent="0.25">
      <c r="A528" s="2487"/>
      <c r="B528" s="2487"/>
      <c r="C528" s="2487"/>
      <c r="D528" s="2487"/>
      <c r="E528" s="2487"/>
      <c r="F528" s="2487"/>
      <c r="G528" s="2487"/>
      <c r="H528" s="2487"/>
      <c r="I528" s="2487"/>
      <c r="J528" s="2487"/>
      <c r="K528" s="2487"/>
      <c r="L528" s="2487"/>
      <c r="M528" s="2487"/>
      <c r="N528" s="2487"/>
      <c r="O528" s="2487"/>
      <c r="P528" s="2487"/>
      <c r="Q528" s="2487"/>
      <c r="R528" s="2487"/>
      <c r="S528" s="2487"/>
      <c r="T528" s="2487"/>
      <c r="U528" s="2487"/>
      <c r="V528" s="2487"/>
      <c r="W528" s="2487"/>
      <c r="X528" s="2487"/>
      <c r="Y528" s="2487"/>
      <c r="Z528" s="2487"/>
      <c r="AA528" s="2487"/>
      <c r="AB528" s="2487"/>
      <c r="AC528" s="2487"/>
      <c r="AD528" s="2487"/>
      <c r="AE528" s="2487"/>
      <c r="AF528" s="2487"/>
      <c r="AG528" s="2487"/>
      <c r="AH528" s="2487"/>
      <c r="AI528" s="2487"/>
      <c r="AJ528" s="2487"/>
      <c r="AK528" s="2487"/>
      <c r="AL528" s="2487"/>
      <c r="AM528" s="2487"/>
    </row>
    <row r="529" spans="1:39" ht="15.75" customHeight="1" x14ac:dyDescent="0.25">
      <c r="A529" s="2487"/>
      <c r="B529" s="2487"/>
      <c r="C529" s="2487"/>
      <c r="D529" s="2487"/>
      <c r="E529" s="2487"/>
      <c r="F529" s="2487"/>
      <c r="G529" s="2487"/>
      <c r="H529" s="2487"/>
      <c r="I529" s="2487"/>
      <c r="J529" s="2487"/>
      <c r="K529" s="2487"/>
      <c r="L529" s="2487"/>
      <c r="M529" s="2487"/>
      <c r="N529" s="2487"/>
      <c r="O529" s="2487"/>
      <c r="P529" s="2487"/>
      <c r="Q529" s="2487"/>
      <c r="R529" s="2487"/>
      <c r="S529" s="2487"/>
      <c r="T529" s="2487"/>
      <c r="U529" s="2487"/>
      <c r="V529" s="2487"/>
      <c r="W529" s="2487"/>
      <c r="X529" s="2487"/>
      <c r="Y529" s="2487"/>
      <c r="Z529" s="2487"/>
      <c r="AA529" s="2487"/>
      <c r="AB529" s="2487"/>
      <c r="AC529" s="2487"/>
      <c r="AD529" s="2487"/>
      <c r="AE529" s="2487"/>
      <c r="AF529" s="2487"/>
      <c r="AG529" s="2487"/>
      <c r="AH529" s="2487"/>
      <c r="AI529" s="2487"/>
      <c r="AJ529" s="2487"/>
      <c r="AK529" s="2487"/>
      <c r="AL529" s="2487"/>
      <c r="AM529" s="2487"/>
    </row>
    <row r="530" spans="1:39" ht="15.75" customHeight="1" x14ac:dyDescent="0.25">
      <c r="A530" s="2487"/>
      <c r="B530" s="2487"/>
      <c r="C530" s="2487"/>
      <c r="D530" s="2487"/>
      <c r="E530" s="2487"/>
      <c r="F530" s="2487"/>
      <c r="G530" s="2487"/>
      <c r="H530" s="2487"/>
      <c r="I530" s="2487"/>
      <c r="J530" s="2487"/>
      <c r="K530" s="2487"/>
      <c r="L530" s="2487"/>
      <c r="M530" s="2487"/>
      <c r="N530" s="2487"/>
      <c r="O530" s="2487"/>
      <c r="P530" s="2487"/>
      <c r="Q530" s="2487"/>
      <c r="R530" s="2487"/>
      <c r="S530" s="2487"/>
      <c r="T530" s="2487"/>
      <c r="U530" s="2487"/>
      <c r="V530" s="2487"/>
      <c r="W530" s="2487"/>
      <c r="X530" s="2487"/>
      <c r="Y530" s="2487"/>
      <c r="Z530" s="2487"/>
      <c r="AA530" s="2487"/>
      <c r="AB530" s="2487"/>
      <c r="AC530" s="2487"/>
      <c r="AD530" s="2487"/>
      <c r="AE530" s="2487"/>
      <c r="AF530" s="2487"/>
      <c r="AG530" s="2487"/>
      <c r="AH530" s="2487"/>
      <c r="AI530" s="2487"/>
      <c r="AJ530" s="2487"/>
      <c r="AK530" s="2487"/>
      <c r="AL530" s="2487"/>
      <c r="AM530" s="2487"/>
    </row>
    <row r="531" spans="1:39" ht="15.75" customHeight="1" x14ac:dyDescent="0.25">
      <c r="A531" s="2487"/>
      <c r="B531" s="2487"/>
      <c r="C531" s="2487"/>
      <c r="D531" s="2487"/>
      <c r="E531" s="2487"/>
      <c r="F531" s="2487"/>
      <c r="G531" s="2487"/>
      <c r="H531" s="2487"/>
      <c r="I531" s="2487"/>
      <c r="J531" s="2487"/>
      <c r="K531" s="2487"/>
      <c r="L531" s="2487"/>
      <c r="M531" s="2487"/>
      <c r="N531" s="2487"/>
      <c r="O531" s="2487"/>
      <c r="P531" s="2487"/>
      <c r="Q531" s="2487"/>
      <c r="R531" s="2487"/>
      <c r="S531" s="2487"/>
      <c r="T531" s="2487"/>
      <c r="U531" s="2487"/>
      <c r="V531" s="2487"/>
      <c r="W531" s="2487"/>
      <c r="X531" s="2487"/>
      <c r="Y531" s="2487"/>
      <c r="Z531" s="2487"/>
      <c r="AA531" s="2487"/>
      <c r="AB531" s="2487"/>
      <c r="AC531" s="2487"/>
      <c r="AD531" s="2487"/>
      <c r="AE531" s="2487"/>
      <c r="AF531" s="2487"/>
      <c r="AG531" s="2487"/>
      <c r="AH531" s="2487"/>
      <c r="AI531" s="2487"/>
      <c r="AJ531" s="2487"/>
      <c r="AK531" s="2487"/>
      <c r="AL531" s="2487"/>
      <c r="AM531" s="2487"/>
    </row>
    <row r="532" spans="1:39" ht="15.75" customHeight="1" x14ac:dyDescent="0.25">
      <c r="A532" s="2487"/>
      <c r="B532" s="2487"/>
      <c r="C532" s="2487"/>
      <c r="D532" s="2487"/>
      <c r="E532" s="2487"/>
      <c r="F532" s="2487"/>
      <c r="G532" s="2487"/>
      <c r="H532" s="2487"/>
      <c r="I532" s="2487"/>
      <c r="J532" s="2487"/>
      <c r="K532" s="2487"/>
      <c r="L532" s="2487"/>
      <c r="M532" s="2487"/>
      <c r="N532" s="2487"/>
      <c r="O532" s="2487"/>
      <c r="P532" s="2487"/>
      <c r="Q532" s="2487"/>
      <c r="R532" s="2487"/>
      <c r="S532" s="2487"/>
      <c r="T532" s="2487"/>
      <c r="U532" s="2487"/>
      <c r="V532" s="2487"/>
      <c r="W532" s="2487"/>
      <c r="X532" s="2487"/>
      <c r="Y532" s="2487"/>
      <c r="Z532" s="2487"/>
      <c r="AA532" s="2487"/>
      <c r="AB532" s="2487"/>
      <c r="AC532" s="2487"/>
      <c r="AD532" s="2487"/>
      <c r="AE532" s="2487"/>
      <c r="AF532" s="2487"/>
      <c r="AG532" s="2487"/>
      <c r="AH532" s="2487"/>
      <c r="AI532" s="2487"/>
      <c r="AJ532" s="2487"/>
      <c r="AK532" s="2487"/>
      <c r="AL532" s="2487"/>
      <c r="AM532" s="2487"/>
    </row>
    <row r="533" spans="1:39" ht="15.75" customHeight="1" x14ac:dyDescent="0.25">
      <c r="A533" s="2487"/>
      <c r="B533" s="2487"/>
      <c r="C533" s="2487"/>
      <c r="D533" s="2487"/>
      <c r="E533" s="2487"/>
      <c r="F533" s="2487"/>
      <c r="G533" s="2487"/>
      <c r="H533" s="2487"/>
      <c r="I533" s="2487"/>
      <c r="J533" s="2487"/>
      <c r="K533" s="2487"/>
      <c r="L533" s="2487"/>
      <c r="M533" s="2487"/>
      <c r="N533" s="2487"/>
      <c r="O533" s="2487"/>
      <c r="P533" s="2487"/>
      <c r="Q533" s="2487"/>
      <c r="R533" s="2487"/>
      <c r="S533" s="2487"/>
      <c r="T533" s="2487"/>
      <c r="U533" s="2487"/>
      <c r="V533" s="2487"/>
      <c r="W533" s="2487"/>
      <c r="X533" s="2487"/>
      <c r="Y533" s="2487"/>
      <c r="Z533" s="2487"/>
      <c r="AA533" s="2487"/>
      <c r="AB533" s="2487"/>
      <c r="AC533" s="2487"/>
      <c r="AD533" s="2487"/>
      <c r="AE533" s="2487"/>
      <c r="AF533" s="2487"/>
      <c r="AG533" s="2487"/>
      <c r="AH533" s="2487"/>
      <c r="AI533" s="2487"/>
      <c r="AJ533" s="2487"/>
      <c r="AK533" s="2487"/>
      <c r="AL533" s="2487"/>
      <c r="AM533" s="2487"/>
    </row>
    <row r="534" spans="1:39" ht="15.75" customHeight="1" x14ac:dyDescent="0.25">
      <c r="A534" s="2487"/>
      <c r="B534" s="2487"/>
      <c r="C534" s="2487"/>
      <c r="D534" s="2487"/>
      <c r="E534" s="2487"/>
      <c r="F534" s="2487"/>
      <c r="G534" s="2487"/>
      <c r="H534" s="2487"/>
      <c r="I534" s="2487"/>
      <c r="J534" s="2487"/>
      <c r="K534" s="2487"/>
      <c r="L534" s="2487"/>
      <c r="M534" s="2487"/>
      <c r="N534" s="2487"/>
      <c r="O534" s="2487"/>
      <c r="P534" s="2487"/>
      <c r="Q534" s="2487"/>
      <c r="R534" s="2487"/>
      <c r="S534" s="2487"/>
      <c r="T534" s="2487"/>
      <c r="U534" s="2487"/>
      <c r="V534" s="2487"/>
      <c r="W534" s="2487"/>
      <c r="X534" s="2487"/>
      <c r="Y534" s="2487"/>
      <c r="Z534" s="2487"/>
      <c r="AA534" s="2487"/>
      <c r="AB534" s="2487"/>
      <c r="AC534" s="2487"/>
      <c r="AD534" s="2487"/>
      <c r="AE534" s="2487"/>
      <c r="AF534" s="2487"/>
      <c r="AG534" s="2487"/>
      <c r="AH534" s="2487"/>
      <c r="AI534" s="2487"/>
      <c r="AJ534" s="2487"/>
      <c r="AK534" s="2487"/>
      <c r="AL534" s="2487"/>
      <c r="AM534" s="2487"/>
    </row>
    <row r="535" spans="1:39" ht="15.75" customHeight="1" x14ac:dyDescent="0.25">
      <c r="A535" s="2487"/>
      <c r="B535" s="2487"/>
      <c r="C535" s="2487"/>
      <c r="D535" s="2487"/>
      <c r="E535" s="2487"/>
      <c r="F535" s="2487"/>
      <c r="G535" s="2487"/>
      <c r="H535" s="2487"/>
      <c r="I535" s="2487"/>
      <c r="J535" s="2487"/>
      <c r="K535" s="2487"/>
      <c r="L535" s="2487"/>
      <c r="M535" s="2487"/>
      <c r="N535" s="2487"/>
      <c r="O535" s="2487"/>
      <c r="P535" s="2487"/>
      <c r="Q535" s="2487"/>
      <c r="R535" s="2487"/>
      <c r="S535" s="2487"/>
      <c r="T535" s="2487"/>
      <c r="U535" s="2487"/>
      <c r="V535" s="2487"/>
      <c r="W535" s="2487"/>
      <c r="X535" s="2487"/>
      <c r="Y535" s="2487"/>
      <c r="Z535" s="2487"/>
      <c r="AA535" s="2487"/>
      <c r="AB535" s="2487"/>
      <c r="AC535" s="2487"/>
      <c r="AD535" s="2487"/>
      <c r="AE535" s="2487"/>
      <c r="AF535" s="2487"/>
      <c r="AG535" s="2487"/>
      <c r="AH535" s="2487"/>
      <c r="AI535" s="2487"/>
      <c r="AJ535" s="2487"/>
      <c r="AK535" s="2487"/>
      <c r="AL535" s="2487"/>
      <c r="AM535" s="2487"/>
    </row>
    <row r="536" spans="1:39" ht="15.75" customHeight="1" x14ac:dyDescent="0.25">
      <c r="A536" s="2487"/>
      <c r="B536" s="2487"/>
      <c r="C536" s="2487"/>
      <c r="D536" s="2487"/>
      <c r="E536" s="2487"/>
      <c r="F536" s="2487"/>
      <c r="G536" s="2487"/>
      <c r="H536" s="2487"/>
      <c r="I536" s="2487"/>
      <c r="J536" s="2487"/>
      <c r="K536" s="2487"/>
      <c r="L536" s="2487"/>
      <c r="M536" s="2487"/>
      <c r="N536" s="2487"/>
      <c r="O536" s="2487"/>
      <c r="P536" s="2487"/>
      <c r="Q536" s="2487"/>
      <c r="R536" s="2487"/>
      <c r="S536" s="2487"/>
      <c r="T536" s="2487"/>
      <c r="U536" s="2487"/>
      <c r="V536" s="2487"/>
      <c r="W536" s="2487"/>
      <c r="X536" s="2487"/>
      <c r="Y536" s="2487"/>
      <c r="Z536" s="2487"/>
      <c r="AA536" s="2487"/>
      <c r="AB536" s="2487"/>
      <c r="AC536" s="2487"/>
      <c r="AD536" s="2487"/>
      <c r="AE536" s="2487"/>
      <c r="AF536" s="2487"/>
      <c r="AG536" s="2487"/>
      <c r="AH536" s="2487"/>
      <c r="AI536" s="2487"/>
      <c r="AJ536" s="2487"/>
      <c r="AK536" s="2487"/>
      <c r="AL536" s="2487"/>
      <c r="AM536" s="2487"/>
    </row>
    <row r="537" spans="1:39" ht="15.75" customHeight="1" x14ac:dyDescent="0.25">
      <c r="A537" s="2487"/>
      <c r="B537" s="2487"/>
      <c r="C537" s="2487"/>
      <c r="D537" s="2487"/>
      <c r="E537" s="2487"/>
      <c r="F537" s="2487"/>
      <c r="G537" s="2487"/>
      <c r="H537" s="2487"/>
      <c r="I537" s="2487"/>
      <c r="J537" s="2487"/>
      <c r="K537" s="2487"/>
      <c r="L537" s="2487"/>
      <c r="M537" s="2487"/>
      <c r="N537" s="2487"/>
      <c r="O537" s="2487"/>
      <c r="P537" s="2487"/>
      <c r="Q537" s="2487"/>
      <c r="R537" s="2487"/>
      <c r="S537" s="2487"/>
      <c r="T537" s="2487"/>
      <c r="U537" s="2487"/>
      <c r="V537" s="2487"/>
      <c r="W537" s="2487"/>
      <c r="X537" s="2487"/>
      <c r="Y537" s="2487"/>
      <c r="Z537" s="2487"/>
      <c r="AA537" s="2487"/>
      <c r="AB537" s="2487"/>
      <c r="AC537" s="2487"/>
      <c r="AD537" s="2487"/>
      <c r="AE537" s="2487"/>
      <c r="AF537" s="2487"/>
      <c r="AG537" s="2487"/>
      <c r="AH537" s="2487"/>
      <c r="AI537" s="2487"/>
      <c r="AJ537" s="2487"/>
      <c r="AK537" s="2487"/>
      <c r="AL537" s="2487"/>
      <c r="AM537" s="2487"/>
    </row>
    <row r="538" spans="1:39" ht="15.75" customHeight="1" x14ac:dyDescent="0.25">
      <c r="A538" s="2487"/>
      <c r="B538" s="2487"/>
      <c r="C538" s="2487"/>
      <c r="D538" s="2487"/>
      <c r="E538" s="2487"/>
      <c r="F538" s="2487"/>
      <c r="G538" s="2487"/>
      <c r="H538" s="2487"/>
      <c r="I538" s="2487"/>
      <c r="J538" s="2487"/>
      <c r="K538" s="2487"/>
      <c r="L538" s="2487"/>
      <c r="M538" s="2487"/>
      <c r="N538" s="2487"/>
      <c r="O538" s="2487"/>
      <c r="P538" s="2487"/>
      <c r="Q538" s="2487"/>
      <c r="R538" s="2487"/>
      <c r="S538" s="2487"/>
      <c r="T538" s="2487"/>
      <c r="U538" s="2487"/>
      <c r="V538" s="2487"/>
      <c r="W538" s="2487"/>
      <c r="X538" s="2487"/>
      <c r="Y538" s="2487"/>
      <c r="Z538" s="2487"/>
      <c r="AA538" s="2487"/>
      <c r="AB538" s="2487"/>
      <c r="AC538" s="2487"/>
      <c r="AD538" s="2487"/>
      <c r="AE538" s="2487"/>
      <c r="AF538" s="2487"/>
      <c r="AG538" s="2487"/>
      <c r="AH538" s="2487"/>
      <c r="AI538" s="2487"/>
      <c r="AJ538" s="2487"/>
      <c r="AK538" s="2487"/>
      <c r="AL538" s="2487"/>
      <c r="AM538" s="2487"/>
    </row>
    <row r="539" spans="1:39" ht="15.75" customHeight="1" x14ac:dyDescent="0.25">
      <c r="A539" s="2487"/>
      <c r="B539" s="2487"/>
      <c r="C539" s="2487"/>
      <c r="D539" s="2487"/>
      <c r="E539" s="2487"/>
      <c r="F539" s="2487"/>
      <c r="G539" s="2487"/>
      <c r="H539" s="2487"/>
      <c r="I539" s="2487"/>
      <c r="J539" s="2487"/>
      <c r="K539" s="2487"/>
      <c r="L539" s="2487"/>
      <c r="M539" s="2487"/>
      <c r="N539" s="2487"/>
      <c r="O539" s="2487"/>
      <c r="P539" s="2487"/>
      <c r="Q539" s="2487"/>
      <c r="R539" s="2487"/>
      <c r="S539" s="2487"/>
      <c r="T539" s="2487"/>
      <c r="U539" s="2487"/>
      <c r="V539" s="2487"/>
      <c r="W539" s="2487"/>
      <c r="X539" s="2487"/>
      <c r="Y539" s="2487"/>
      <c r="Z539" s="2487"/>
      <c r="AA539" s="2487"/>
      <c r="AB539" s="2487"/>
      <c r="AC539" s="2487"/>
      <c r="AD539" s="2487"/>
      <c r="AE539" s="2487"/>
      <c r="AF539" s="2487"/>
      <c r="AG539" s="2487"/>
      <c r="AH539" s="2487"/>
      <c r="AI539" s="2487"/>
      <c r="AJ539" s="2487"/>
      <c r="AK539" s="2487"/>
      <c r="AL539" s="2487"/>
      <c r="AM539" s="2487"/>
    </row>
    <row r="540" spans="1:39" ht="15.75" customHeight="1" x14ac:dyDescent="0.25">
      <c r="A540" s="2487"/>
      <c r="B540" s="2487"/>
      <c r="C540" s="2487"/>
      <c r="D540" s="2487"/>
      <c r="E540" s="2487"/>
      <c r="F540" s="2487"/>
      <c r="G540" s="2487"/>
      <c r="H540" s="2487"/>
      <c r="I540" s="2487"/>
      <c r="J540" s="2487"/>
      <c r="K540" s="2487"/>
      <c r="L540" s="2487"/>
      <c r="M540" s="2487"/>
      <c r="N540" s="2487"/>
      <c r="O540" s="2487"/>
      <c r="P540" s="2487"/>
      <c r="Q540" s="2487"/>
      <c r="R540" s="2487"/>
      <c r="S540" s="2487"/>
      <c r="T540" s="2487"/>
      <c r="U540" s="2487"/>
      <c r="V540" s="2487"/>
      <c r="W540" s="2487"/>
      <c r="X540" s="2487"/>
      <c r="Y540" s="2487"/>
      <c r="Z540" s="2487"/>
      <c r="AA540" s="2487"/>
      <c r="AB540" s="2487"/>
      <c r="AC540" s="2487"/>
      <c r="AD540" s="2487"/>
      <c r="AE540" s="2487"/>
      <c r="AF540" s="2487"/>
      <c r="AG540" s="2487"/>
      <c r="AH540" s="2487"/>
      <c r="AI540" s="2487"/>
      <c r="AJ540" s="2487"/>
      <c r="AK540" s="2487"/>
      <c r="AL540" s="2487"/>
      <c r="AM540" s="2487"/>
    </row>
    <row r="541" spans="1:39" ht="15.75" customHeight="1" x14ac:dyDescent="0.25">
      <c r="A541" s="2487"/>
      <c r="B541" s="2487"/>
      <c r="C541" s="2487"/>
      <c r="D541" s="2487"/>
      <c r="E541" s="2487"/>
      <c r="F541" s="2487"/>
      <c r="G541" s="2487"/>
      <c r="H541" s="2487"/>
      <c r="I541" s="2487"/>
      <c r="J541" s="2487"/>
      <c r="K541" s="2487"/>
      <c r="L541" s="2487"/>
      <c r="M541" s="2487"/>
      <c r="N541" s="2487"/>
      <c r="O541" s="2487"/>
      <c r="P541" s="2487"/>
      <c r="Q541" s="2487"/>
      <c r="R541" s="2487"/>
      <c r="S541" s="2487"/>
      <c r="T541" s="2487"/>
      <c r="U541" s="2487"/>
      <c r="V541" s="2487"/>
      <c r="W541" s="2487"/>
      <c r="X541" s="2487"/>
      <c r="Y541" s="2487"/>
      <c r="Z541" s="2487"/>
      <c r="AA541" s="2487"/>
      <c r="AB541" s="2487"/>
      <c r="AC541" s="2487"/>
      <c r="AD541" s="2487"/>
      <c r="AE541" s="2487"/>
      <c r="AF541" s="2487"/>
      <c r="AG541" s="2487"/>
      <c r="AH541" s="2487"/>
      <c r="AI541" s="2487"/>
      <c r="AJ541" s="2487"/>
      <c r="AK541" s="2487"/>
      <c r="AL541" s="2487"/>
      <c r="AM541" s="2487"/>
    </row>
    <row r="542" spans="1:39" ht="15.75" customHeight="1" x14ac:dyDescent="0.25">
      <c r="A542" s="2487"/>
      <c r="B542" s="2487"/>
      <c r="C542" s="2487"/>
      <c r="D542" s="2487"/>
      <c r="E542" s="2487"/>
      <c r="F542" s="2487"/>
      <c r="G542" s="2487"/>
      <c r="H542" s="2487"/>
      <c r="I542" s="2487"/>
      <c r="J542" s="2487"/>
      <c r="K542" s="2487"/>
      <c r="L542" s="2487"/>
      <c r="M542" s="2487"/>
      <c r="N542" s="2487"/>
      <c r="O542" s="2487"/>
      <c r="P542" s="2487"/>
      <c r="Q542" s="2487"/>
      <c r="R542" s="2487"/>
      <c r="S542" s="2487"/>
      <c r="T542" s="2487"/>
      <c r="U542" s="2487"/>
      <c r="V542" s="2487"/>
      <c r="W542" s="2487"/>
      <c r="X542" s="2487"/>
      <c r="Y542" s="2487"/>
      <c r="Z542" s="2487"/>
      <c r="AA542" s="2487"/>
      <c r="AB542" s="2487"/>
      <c r="AC542" s="2487"/>
      <c r="AD542" s="2487"/>
      <c r="AE542" s="2487"/>
      <c r="AF542" s="2487"/>
      <c r="AG542" s="2487"/>
      <c r="AH542" s="2487"/>
      <c r="AI542" s="2487"/>
      <c r="AJ542" s="2487"/>
      <c r="AK542" s="2487"/>
      <c r="AL542" s="2487"/>
      <c r="AM542" s="2487"/>
    </row>
    <row r="543" spans="1:39" ht="15.75" customHeight="1" x14ac:dyDescent="0.25">
      <c r="A543" s="2487"/>
      <c r="B543" s="2487"/>
      <c r="C543" s="2487"/>
      <c r="D543" s="2487"/>
      <c r="E543" s="2487"/>
      <c r="F543" s="2487"/>
      <c r="G543" s="2487"/>
      <c r="H543" s="2487"/>
      <c r="I543" s="2487"/>
      <c r="J543" s="2487"/>
      <c r="K543" s="2487"/>
      <c r="L543" s="2487"/>
      <c r="M543" s="2487"/>
      <c r="N543" s="2487"/>
      <c r="O543" s="2487"/>
      <c r="P543" s="2487"/>
      <c r="Q543" s="2487"/>
      <c r="R543" s="2487"/>
      <c r="S543" s="2487"/>
      <c r="T543" s="2487"/>
      <c r="U543" s="2487"/>
      <c r="V543" s="2487"/>
      <c r="W543" s="2487"/>
      <c r="X543" s="2487"/>
      <c r="Y543" s="2487"/>
      <c r="Z543" s="2487"/>
      <c r="AA543" s="2487"/>
      <c r="AB543" s="2487"/>
      <c r="AC543" s="2487"/>
      <c r="AD543" s="2487"/>
      <c r="AE543" s="2487"/>
      <c r="AF543" s="2487"/>
      <c r="AG543" s="2487"/>
      <c r="AH543" s="2487"/>
      <c r="AI543" s="2487"/>
      <c r="AJ543" s="2487"/>
      <c r="AK543" s="2487"/>
      <c r="AL543" s="2487"/>
      <c r="AM543" s="2487"/>
    </row>
    <row r="544" spans="1:39" ht="15.75" customHeight="1" x14ac:dyDescent="0.25">
      <c r="A544" s="2487"/>
      <c r="B544" s="2487"/>
      <c r="C544" s="2487"/>
      <c r="D544" s="2487"/>
      <c r="E544" s="2487"/>
      <c r="F544" s="2487"/>
      <c r="G544" s="2487"/>
      <c r="H544" s="2487"/>
      <c r="I544" s="2487"/>
      <c r="J544" s="2487"/>
      <c r="K544" s="2487"/>
      <c r="L544" s="2487"/>
      <c r="M544" s="2487"/>
      <c r="N544" s="2487"/>
      <c r="O544" s="2487"/>
      <c r="P544" s="2487"/>
      <c r="Q544" s="2487"/>
      <c r="R544" s="2487"/>
      <c r="S544" s="2487"/>
      <c r="T544" s="2487"/>
      <c r="U544" s="2487"/>
      <c r="V544" s="2487"/>
      <c r="W544" s="2487"/>
      <c r="X544" s="2487"/>
      <c r="Y544" s="2487"/>
      <c r="Z544" s="2487"/>
      <c r="AA544" s="2487"/>
      <c r="AB544" s="2487"/>
      <c r="AC544" s="2487"/>
      <c r="AD544" s="2487"/>
      <c r="AE544" s="2487"/>
      <c r="AF544" s="2487"/>
      <c r="AG544" s="2487"/>
      <c r="AH544" s="2487"/>
      <c r="AI544" s="2487"/>
      <c r="AJ544" s="2487"/>
      <c r="AK544" s="2487"/>
      <c r="AL544" s="2487"/>
      <c r="AM544" s="2487"/>
    </row>
    <row r="545" spans="1:39" ht="15.75" customHeight="1" x14ac:dyDescent="0.25">
      <c r="A545" s="2487"/>
      <c r="B545" s="2487"/>
      <c r="C545" s="2487"/>
      <c r="D545" s="2487"/>
      <c r="E545" s="2487"/>
      <c r="F545" s="2487"/>
      <c r="G545" s="2487"/>
      <c r="H545" s="2487"/>
      <c r="I545" s="2487"/>
      <c r="J545" s="2487"/>
      <c r="K545" s="2487"/>
      <c r="L545" s="2487"/>
      <c r="M545" s="2487"/>
      <c r="N545" s="2487"/>
      <c r="O545" s="2487"/>
      <c r="P545" s="2487"/>
      <c r="Q545" s="2487"/>
      <c r="R545" s="2487"/>
      <c r="S545" s="2487"/>
      <c r="T545" s="2487"/>
      <c r="U545" s="2487"/>
      <c r="V545" s="2487"/>
      <c r="W545" s="2487"/>
      <c r="X545" s="2487"/>
      <c r="Y545" s="2487"/>
      <c r="Z545" s="2487"/>
      <c r="AA545" s="2487"/>
      <c r="AB545" s="2487"/>
      <c r="AC545" s="2487"/>
      <c r="AD545" s="2487"/>
      <c r="AE545" s="2487"/>
      <c r="AF545" s="2487"/>
      <c r="AG545" s="2487"/>
      <c r="AH545" s="2487"/>
      <c r="AI545" s="2487"/>
      <c r="AJ545" s="2487"/>
      <c r="AK545" s="2487"/>
      <c r="AL545" s="2487"/>
      <c r="AM545" s="2487"/>
    </row>
    <row r="546" spans="1:39" ht="15.75" customHeight="1" x14ac:dyDescent="0.25">
      <c r="A546" s="2487"/>
      <c r="B546" s="2487"/>
      <c r="C546" s="2487"/>
      <c r="D546" s="2487"/>
      <c r="E546" s="2487"/>
      <c r="F546" s="2487"/>
      <c r="G546" s="2487"/>
      <c r="H546" s="2487"/>
      <c r="I546" s="2487"/>
      <c r="J546" s="2487"/>
      <c r="K546" s="2487"/>
      <c r="L546" s="2487"/>
      <c r="M546" s="2487"/>
      <c r="N546" s="2487"/>
      <c r="O546" s="2487"/>
      <c r="P546" s="2487"/>
      <c r="Q546" s="2487"/>
      <c r="R546" s="2487"/>
      <c r="S546" s="2487"/>
      <c r="T546" s="2487"/>
      <c r="U546" s="2487"/>
      <c r="V546" s="2487"/>
      <c r="W546" s="2487"/>
      <c r="X546" s="2487"/>
      <c r="Y546" s="2487"/>
      <c r="Z546" s="2487"/>
      <c r="AA546" s="2487"/>
      <c r="AB546" s="2487"/>
      <c r="AC546" s="2487"/>
      <c r="AD546" s="2487"/>
      <c r="AE546" s="2487"/>
      <c r="AF546" s="2487"/>
      <c r="AG546" s="2487"/>
      <c r="AH546" s="2487"/>
      <c r="AI546" s="2487"/>
      <c r="AJ546" s="2487"/>
      <c r="AK546" s="2487"/>
      <c r="AL546" s="2487"/>
      <c r="AM546" s="2487"/>
    </row>
    <row r="547" spans="1:39" ht="15.75" customHeight="1" x14ac:dyDescent="0.25">
      <c r="A547" s="2487"/>
      <c r="B547" s="2487"/>
      <c r="C547" s="2487"/>
      <c r="D547" s="2487"/>
      <c r="E547" s="2487"/>
      <c r="F547" s="2487"/>
      <c r="G547" s="2487"/>
      <c r="H547" s="2487"/>
      <c r="I547" s="2487"/>
      <c r="J547" s="2487"/>
      <c r="K547" s="2487"/>
      <c r="L547" s="2487"/>
      <c r="M547" s="2487"/>
      <c r="N547" s="2487"/>
      <c r="O547" s="2487"/>
      <c r="P547" s="2487"/>
      <c r="Q547" s="2487"/>
      <c r="R547" s="2487"/>
      <c r="S547" s="2487"/>
      <c r="T547" s="2487"/>
      <c r="U547" s="2487"/>
      <c r="V547" s="2487"/>
      <c r="W547" s="2487"/>
      <c r="X547" s="2487"/>
      <c r="Y547" s="2487"/>
      <c r="Z547" s="2487"/>
      <c r="AA547" s="2487"/>
      <c r="AB547" s="2487"/>
      <c r="AC547" s="2487"/>
      <c r="AD547" s="2487"/>
      <c r="AE547" s="2487"/>
      <c r="AF547" s="2487"/>
      <c r="AG547" s="2487"/>
      <c r="AH547" s="2487"/>
      <c r="AI547" s="2487"/>
      <c r="AJ547" s="2487"/>
      <c r="AK547" s="2487"/>
      <c r="AL547" s="2487"/>
      <c r="AM547" s="2487"/>
    </row>
    <row r="548" spans="1:39" ht="15.75" customHeight="1" x14ac:dyDescent="0.25">
      <c r="A548" s="2487"/>
      <c r="B548" s="2487"/>
      <c r="C548" s="2487"/>
      <c r="D548" s="2487"/>
      <c r="E548" s="2487"/>
      <c r="F548" s="2487"/>
      <c r="G548" s="2487"/>
      <c r="H548" s="2487"/>
      <c r="I548" s="2487"/>
      <c r="J548" s="2487"/>
      <c r="K548" s="2487"/>
      <c r="L548" s="2487"/>
      <c r="M548" s="2487"/>
      <c r="N548" s="2487"/>
      <c r="O548" s="2487"/>
      <c r="P548" s="2487"/>
      <c r="Q548" s="2487"/>
      <c r="R548" s="2487"/>
      <c r="S548" s="2487"/>
      <c r="T548" s="2487"/>
      <c r="U548" s="2487"/>
      <c r="V548" s="2487"/>
      <c r="W548" s="2487"/>
      <c r="X548" s="2487"/>
      <c r="Y548" s="2487"/>
      <c r="Z548" s="2487"/>
      <c r="AA548" s="2487"/>
      <c r="AB548" s="2487"/>
      <c r="AC548" s="2487"/>
      <c r="AD548" s="2487"/>
      <c r="AE548" s="2487"/>
      <c r="AF548" s="2487"/>
      <c r="AG548" s="2487"/>
      <c r="AH548" s="2487"/>
      <c r="AI548" s="2487"/>
      <c r="AJ548" s="2487"/>
      <c r="AK548" s="2487"/>
      <c r="AL548" s="2487"/>
      <c r="AM548" s="2487"/>
    </row>
    <row r="549" spans="1:39" ht="15.75" customHeight="1" x14ac:dyDescent="0.25">
      <c r="A549" s="2487"/>
      <c r="B549" s="2487"/>
      <c r="C549" s="2487"/>
      <c r="D549" s="2487"/>
      <c r="E549" s="2487"/>
      <c r="F549" s="2487"/>
      <c r="G549" s="2487"/>
      <c r="H549" s="2487"/>
      <c r="I549" s="2487"/>
      <c r="J549" s="2487"/>
      <c r="K549" s="2487"/>
      <c r="L549" s="2487"/>
      <c r="M549" s="2487"/>
      <c r="N549" s="2487"/>
      <c r="O549" s="2487"/>
      <c r="P549" s="2487"/>
      <c r="Q549" s="2487"/>
      <c r="R549" s="2487"/>
      <c r="S549" s="2487"/>
      <c r="T549" s="2487"/>
      <c r="U549" s="2487"/>
      <c r="V549" s="2487"/>
      <c r="W549" s="2487"/>
      <c r="X549" s="2487"/>
      <c r="Y549" s="2487"/>
      <c r="Z549" s="2487"/>
      <c r="AA549" s="2487"/>
      <c r="AB549" s="2487"/>
      <c r="AC549" s="2487"/>
      <c r="AD549" s="2487"/>
      <c r="AE549" s="2487"/>
      <c r="AF549" s="2487"/>
      <c r="AG549" s="2487"/>
      <c r="AH549" s="2487"/>
      <c r="AI549" s="2487"/>
      <c r="AJ549" s="2487"/>
      <c r="AK549" s="2487"/>
      <c r="AL549" s="2487"/>
      <c r="AM549" s="2487"/>
    </row>
    <row r="550" spans="1:39" ht="15.75" customHeight="1" x14ac:dyDescent="0.25">
      <c r="A550" s="2487"/>
      <c r="B550" s="2487"/>
      <c r="C550" s="2487"/>
      <c r="D550" s="2487"/>
      <c r="E550" s="2487"/>
      <c r="F550" s="2487"/>
      <c r="G550" s="2487"/>
      <c r="H550" s="2487"/>
      <c r="I550" s="2487"/>
      <c r="J550" s="2487"/>
      <c r="K550" s="2487"/>
      <c r="L550" s="2487"/>
      <c r="M550" s="2487"/>
      <c r="N550" s="2487"/>
      <c r="O550" s="2487"/>
      <c r="P550" s="2487"/>
      <c r="Q550" s="2487"/>
      <c r="R550" s="2487"/>
      <c r="S550" s="2487"/>
      <c r="T550" s="2487"/>
      <c r="U550" s="2487"/>
      <c r="V550" s="2487"/>
      <c r="W550" s="2487"/>
      <c r="X550" s="2487"/>
      <c r="Y550" s="2487"/>
      <c r="Z550" s="2487"/>
      <c r="AA550" s="2487"/>
      <c r="AB550" s="2487"/>
      <c r="AC550" s="2487"/>
      <c r="AD550" s="2487"/>
      <c r="AE550" s="2487"/>
      <c r="AF550" s="2487"/>
      <c r="AG550" s="2487"/>
      <c r="AH550" s="2487"/>
      <c r="AI550" s="2487"/>
      <c r="AJ550" s="2487"/>
      <c r="AK550" s="2487"/>
      <c r="AL550" s="2487"/>
      <c r="AM550" s="2487"/>
    </row>
    <row r="551" spans="1:39" ht="15.75" customHeight="1" x14ac:dyDescent="0.25">
      <c r="A551" s="2487"/>
      <c r="B551" s="2487"/>
      <c r="C551" s="2487"/>
      <c r="D551" s="2487"/>
      <c r="E551" s="2487"/>
      <c r="F551" s="2487"/>
      <c r="G551" s="2487"/>
      <c r="H551" s="2487"/>
      <c r="I551" s="2487"/>
      <c r="J551" s="2487"/>
      <c r="K551" s="2487"/>
      <c r="L551" s="2487"/>
      <c r="M551" s="2487"/>
      <c r="N551" s="2487"/>
      <c r="O551" s="2487"/>
      <c r="P551" s="2487"/>
      <c r="Q551" s="2487"/>
      <c r="R551" s="2487"/>
      <c r="S551" s="2487"/>
      <c r="T551" s="2487"/>
      <c r="U551" s="2487"/>
      <c r="V551" s="2487"/>
      <c r="W551" s="2487"/>
      <c r="X551" s="2487"/>
      <c r="Y551" s="2487"/>
      <c r="Z551" s="2487"/>
      <c r="AA551" s="2487"/>
      <c r="AB551" s="2487"/>
      <c r="AC551" s="2487"/>
      <c r="AD551" s="2487"/>
      <c r="AE551" s="2487"/>
      <c r="AF551" s="2487"/>
      <c r="AG551" s="2487"/>
      <c r="AH551" s="2487"/>
      <c r="AI551" s="2487"/>
      <c r="AJ551" s="2487"/>
      <c r="AK551" s="2487"/>
      <c r="AL551" s="2487"/>
      <c r="AM551" s="2487"/>
    </row>
    <row r="552" spans="1:39" ht="15.75" customHeight="1" x14ac:dyDescent="0.25">
      <c r="A552" s="2487"/>
      <c r="B552" s="2487"/>
      <c r="C552" s="2487"/>
      <c r="D552" s="2487"/>
      <c r="E552" s="2487"/>
      <c r="F552" s="2487"/>
      <c r="G552" s="2487"/>
      <c r="H552" s="2487"/>
      <c r="I552" s="2487"/>
      <c r="J552" s="2487"/>
      <c r="K552" s="2487"/>
      <c r="L552" s="2487"/>
      <c r="M552" s="2487"/>
      <c r="N552" s="2487"/>
      <c r="O552" s="2487"/>
      <c r="P552" s="2487"/>
      <c r="Q552" s="2487"/>
      <c r="R552" s="2487"/>
      <c r="S552" s="2487"/>
      <c r="T552" s="2487"/>
      <c r="U552" s="2487"/>
      <c r="V552" s="2487"/>
      <c r="W552" s="2487"/>
      <c r="X552" s="2487"/>
      <c r="Y552" s="2487"/>
      <c r="Z552" s="2487"/>
      <c r="AA552" s="2487"/>
      <c r="AB552" s="2487"/>
      <c r="AC552" s="2487"/>
      <c r="AD552" s="2487"/>
      <c r="AE552" s="2487"/>
      <c r="AF552" s="2487"/>
      <c r="AG552" s="2487"/>
      <c r="AH552" s="2487"/>
      <c r="AI552" s="2487"/>
      <c r="AJ552" s="2487"/>
      <c r="AK552" s="2487"/>
      <c r="AL552" s="2487"/>
      <c r="AM552" s="2487"/>
    </row>
    <row r="553" spans="1:39" ht="15.75" customHeight="1" x14ac:dyDescent="0.25">
      <c r="A553" s="2487"/>
      <c r="B553" s="2487"/>
      <c r="C553" s="2487"/>
      <c r="D553" s="2487"/>
      <c r="E553" s="2487"/>
      <c r="F553" s="2487"/>
      <c r="G553" s="2487"/>
      <c r="H553" s="2487"/>
      <c r="I553" s="2487"/>
      <c r="J553" s="2487"/>
      <c r="K553" s="2487"/>
      <c r="L553" s="2487"/>
      <c r="M553" s="2487"/>
      <c r="N553" s="2487"/>
      <c r="O553" s="2487"/>
      <c r="P553" s="2487"/>
      <c r="Q553" s="2487"/>
      <c r="R553" s="2487"/>
      <c r="S553" s="2487"/>
      <c r="T553" s="2487"/>
      <c r="U553" s="2487"/>
      <c r="V553" s="2487"/>
      <c r="W553" s="2487"/>
      <c r="X553" s="2487"/>
      <c r="Y553" s="2487"/>
      <c r="Z553" s="2487"/>
      <c r="AA553" s="2487"/>
      <c r="AB553" s="2487"/>
      <c r="AC553" s="2487"/>
      <c r="AD553" s="2487"/>
      <c r="AE553" s="2487"/>
      <c r="AF553" s="2487"/>
      <c r="AG553" s="2487"/>
      <c r="AH553" s="2487"/>
      <c r="AI553" s="2487"/>
      <c r="AJ553" s="2487"/>
      <c r="AK553" s="2487"/>
      <c r="AL553" s="2487"/>
      <c r="AM553" s="2487"/>
    </row>
    <row r="554" spans="1:39" ht="15.75" customHeight="1" x14ac:dyDescent="0.25">
      <c r="A554" s="2487"/>
      <c r="B554" s="2487"/>
      <c r="C554" s="2487"/>
      <c r="D554" s="2487"/>
      <c r="E554" s="2487"/>
      <c r="F554" s="2487"/>
      <c r="G554" s="2487"/>
      <c r="H554" s="2487"/>
      <c r="I554" s="2487"/>
      <c r="J554" s="2487"/>
      <c r="K554" s="2487"/>
      <c r="L554" s="2487"/>
      <c r="M554" s="2487"/>
      <c r="N554" s="2487"/>
      <c r="O554" s="2487"/>
      <c r="P554" s="2487"/>
      <c r="Q554" s="2487"/>
      <c r="R554" s="2487"/>
      <c r="S554" s="2487"/>
      <c r="T554" s="2487"/>
      <c r="U554" s="2487"/>
      <c r="V554" s="2487"/>
      <c r="W554" s="2487"/>
      <c r="X554" s="2487"/>
      <c r="Y554" s="2487"/>
      <c r="Z554" s="2487"/>
      <c r="AA554" s="2487"/>
      <c r="AB554" s="2487"/>
      <c r="AC554" s="2487"/>
      <c r="AD554" s="2487"/>
      <c r="AE554" s="2487"/>
      <c r="AF554" s="2487"/>
      <c r="AG554" s="2487"/>
      <c r="AH554" s="2487"/>
      <c r="AI554" s="2487"/>
      <c r="AJ554" s="2487"/>
      <c r="AK554" s="2487"/>
      <c r="AL554" s="2487"/>
      <c r="AM554" s="2487"/>
    </row>
    <row r="555" spans="1:39" ht="15.75" customHeight="1" x14ac:dyDescent="0.25">
      <c r="A555" s="2487"/>
      <c r="B555" s="2487"/>
      <c r="C555" s="2487"/>
      <c r="D555" s="2487"/>
      <c r="E555" s="2487"/>
      <c r="F555" s="2487"/>
      <c r="G555" s="2487"/>
      <c r="H555" s="2487"/>
      <c r="I555" s="2487"/>
      <c r="J555" s="2487"/>
      <c r="K555" s="2487"/>
      <c r="L555" s="2487"/>
      <c r="M555" s="2487"/>
      <c r="N555" s="2487"/>
      <c r="O555" s="2487"/>
      <c r="P555" s="2487"/>
      <c r="Q555" s="2487"/>
      <c r="R555" s="2487"/>
      <c r="S555" s="2487"/>
      <c r="T555" s="2487"/>
      <c r="U555" s="2487"/>
      <c r="V555" s="2487"/>
      <c r="W555" s="2487"/>
      <c r="X555" s="2487"/>
      <c r="Y555" s="2487"/>
      <c r="Z555" s="2487"/>
      <c r="AA555" s="2487"/>
      <c r="AB555" s="2487"/>
      <c r="AC555" s="2487"/>
      <c r="AD555" s="2487"/>
      <c r="AE555" s="2487"/>
      <c r="AF555" s="2487"/>
      <c r="AG555" s="2487"/>
      <c r="AH555" s="2487"/>
      <c r="AI555" s="2487"/>
      <c r="AJ555" s="2487"/>
      <c r="AK555" s="2487"/>
      <c r="AL555" s="2487"/>
      <c r="AM555" s="2487"/>
    </row>
    <row r="556" spans="1:39" ht="15.75" customHeight="1" x14ac:dyDescent="0.25">
      <c r="A556" s="2487"/>
      <c r="B556" s="2487"/>
      <c r="C556" s="2487"/>
      <c r="D556" s="2487"/>
      <c r="E556" s="2487"/>
      <c r="F556" s="2487"/>
      <c r="G556" s="2487"/>
      <c r="H556" s="2487"/>
      <c r="I556" s="2487"/>
      <c r="J556" s="2487"/>
      <c r="K556" s="2487"/>
      <c r="L556" s="2487"/>
      <c r="M556" s="2487"/>
      <c r="N556" s="2487"/>
      <c r="O556" s="2487"/>
      <c r="P556" s="2487"/>
      <c r="Q556" s="2487"/>
      <c r="R556" s="2487"/>
      <c r="S556" s="2487"/>
      <c r="T556" s="2487"/>
      <c r="U556" s="2487"/>
      <c r="V556" s="2487"/>
      <c r="W556" s="2487"/>
      <c r="X556" s="2487"/>
      <c r="Y556" s="2487"/>
      <c r="Z556" s="2487"/>
      <c r="AA556" s="2487"/>
      <c r="AB556" s="2487"/>
      <c r="AC556" s="2487"/>
      <c r="AD556" s="2487"/>
      <c r="AE556" s="2487"/>
      <c r="AF556" s="2487"/>
      <c r="AG556" s="2487"/>
      <c r="AH556" s="2487"/>
      <c r="AI556" s="2487"/>
      <c r="AJ556" s="2487"/>
      <c r="AK556" s="2487"/>
      <c r="AL556" s="2487"/>
      <c r="AM556" s="2487"/>
    </row>
    <row r="557" spans="1:39" ht="15.75" customHeight="1" x14ac:dyDescent="0.25">
      <c r="A557" s="2487"/>
      <c r="B557" s="2487"/>
      <c r="C557" s="2487"/>
      <c r="D557" s="2487"/>
      <c r="E557" s="2487"/>
      <c r="F557" s="2487"/>
      <c r="G557" s="2487"/>
      <c r="H557" s="2487"/>
      <c r="I557" s="2487"/>
      <c r="J557" s="2487"/>
      <c r="K557" s="2487"/>
      <c r="L557" s="2487"/>
      <c r="M557" s="2487"/>
      <c r="N557" s="2487"/>
      <c r="O557" s="2487"/>
      <c r="P557" s="2487"/>
      <c r="Q557" s="2487"/>
      <c r="R557" s="2487"/>
      <c r="S557" s="2487"/>
      <c r="T557" s="2487"/>
      <c r="U557" s="2487"/>
      <c r="V557" s="2487"/>
      <c r="W557" s="2487"/>
      <c r="X557" s="2487"/>
      <c r="Y557" s="2487"/>
      <c r="Z557" s="2487"/>
      <c r="AA557" s="2487"/>
      <c r="AB557" s="2487"/>
      <c r="AC557" s="2487"/>
      <c r="AD557" s="2487"/>
      <c r="AE557" s="2487"/>
      <c r="AF557" s="2487"/>
      <c r="AG557" s="2487"/>
      <c r="AH557" s="2487"/>
      <c r="AI557" s="2487"/>
      <c r="AJ557" s="2487"/>
      <c r="AK557" s="2487"/>
      <c r="AL557" s="2487"/>
      <c r="AM557" s="2487"/>
    </row>
    <row r="558" spans="1:39" ht="15.75" customHeight="1" x14ac:dyDescent="0.25">
      <c r="A558" s="2487"/>
      <c r="B558" s="2487"/>
      <c r="C558" s="2487"/>
      <c r="D558" s="2487"/>
      <c r="E558" s="2487"/>
      <c r="F558" s="2487"/>
      <c r="G558" s="2487"/>
      <c r="H558" s="2487"/>
      <c r="I558" s="2487"/>
      <c r="J558" s="2487"/>
      <c r="K558" s="2487"/>
      <c r="L558" s="2487"/>
      <c r="M558" s="2487"/>
      <c r="N558" s="2487"/>
      <c r="O558" s="2487"/>
      <c r="P558" s="2487"/>
      <c r="Q558" s="2487"/>
      <c r="R558" s="2487"/>
      <c r="S558" s="2487"/>
      <c r="T558" s="2487"/>
      <c r="U558" s="2487"/>
      <c r="V558" s="2487"/>
      <c r="W558" s="2487"/>
      <c r="X558" s="2487"/>
      <c r="Y558" s="2487"/>
      <c r="Z558" s="2487"/>
      <c r="AA558" s="2487"/>
      <c r="AB558" s="2487"/>
      <c r="AC558" s="2487"/>
      <c r="AD558" s="2487"/>
      <c r="AE558" s="2487"/>
      <c r="AF558" s="2487"/>
      <c r="AG558" s="2487"/>
      <c r="AH558" s="2487"/>
      <c r="AI558" s="2487"/>
      <c r="AJ558" s="2487"/>
      <c r="AK558" s="2487"/>
      <c r="AL558" s="2487"/>
      <c r="AM558" s="2487"/>
    </row>
    <row r="559" spans="1:39" ht="15.75" customHeight="1" x14ac:dyDescent="0.25">
      <c r="A559" s="2487"/>
      <c r="B559" s="2487"/>
      <c r="C559" s="2487"/>
      <c r="D559" s="2487"/>
      <c r="E559" s="2487"/>
      <c r="F559" s="2487"/>
      <c r="G559" s="2487"/>
      <c r="H559" s="2487"/>
      <c r="I559" s="2487"/>
      <c r="J559" s="2487"/>
      <c r="K559" s="2487"/>
      <c r="L559" s="2487"/>
      <c r="M559" s="2487"/>
      <c r="N559" s="2487"/>
      <c r="O559" s="2487"/>
      <c r="P559" s="2487"/>
      <c r="Q559" s="2487"/>
      <c r="R559" s="2487"/>
      <c r="S559" s="2487"/>
      <c r="T559" s="2487"/>
      <c r="U559" s="2487"/>
      <c r="V559" s="2487"/>
      <c r="W559" s="2487"/>
      <c r="X559" s="2487"/>
      <c r="Y559" s="2487"/>
      <c r="Z559" s="2487"/>
      <c r="AA559" s="2487"/>
      <c r="AB559" s="2487"/>
      <c r="AC559" s="2487"/>
      <c r="AD559" s="2487"/>
      <c r="AE559" s="2487"/>
      <c r="AF559" s="2487"/>
      <c r="AG559" s="2487"/>
      <c r="AH559" s="2487"/>
      <c r="AI559" s="2487"/>
      <c r="AJ559" s="2487"/>
      <c r="AK559" s="2487"/>
      <c r="AL559" s="2487"/>
      <c r="AM559" s="2487"/>
    </row>
    <row r="560" spans="1:39" ht="15.75" customHeight="1" x14ac:dyDescent="0.25">
      <c r="A560" s="2487"/>
      <c r="B560" s="2487"/>
      <c r="C560" s="2487"/>
      <c r="D560" s="2487"/>
      <c r="E560" s="2487"/>
      <c r="F560" s="2487"/>
      <c r="G560" s="2487"/>
      <c r="H560" s="2487"/>
      <c r="I560" s="2487"/>
      <c r="J560" s="2487"/>
      <c r="K560" s="2487"/>
      <c r="L560" s="2487"/>
      <c r="M560" s="2487"/>
      <c r="N560" s="2487"/>
      <c r="O560" s="2487"/>
      <c r="P560" s="2487"/>
      <c r="Q560" s="2487"/>
      <c r="R560" s="2487"/>
      <c r="S560" s="2487"/>
      <c r="T560" s="2487"/>
      <c r="U560" s="2487"/>
      <c r="V560" s="2487"/>
      <c r="W560" s="2487"/>
      <c r="X560" s="2487"/>
      <c r="Y560" s="2487"/>
      <c r="Z560" s="2487"/>
      <c r="AA560" s="2487"/>
      <c r="AB560" s="2487"/>
      <c r="AC560" s="2487"/>
      <c r="AD560" s="2487"/>
      <c r="AE560" s="2487"/>
      <c r="AF560" s="2487"/>
      <c r="AG560" s="2487"/>
      <c r="AH560" s="2487"/>
      <c r="AI560" s="2487"/>
      <c r="AJ560" s="2487"/>
      <c r="AK560" s="2487"/>
      <c r="AL560" s="2487"/>
      <c r="AM560" s="2487"/>
    </row>
    <row r="561" spans="1:39" ht="15.75" customHeight="1" x14ac:dyDescent="0.25">
      <c r="A561" s="2487"/>
      <c r="B561" s="2487"/>
      <c r="C561" s="2487"/>
      <c r="D561" s="2487"/>
      <c r="E561" s="2487"/>
      <c r="F561" s="2487"/>
      <c r="G561" s="2487"/>
      <c r="H561" s="2487"/>
      <c r="I561" s="2487"/>
      <c r="J561" s="2487"/>
      <c r="K561" s="2487"/>
      <c r="L561" s="2487"/>
      <c r="M561" s="2487"/>
      <c r="N561" s="2487"/>
      <c r="O561" s="2487"/>
      <c r="P561" s="2487"/>
      <c r="Q561" s="2487"/>
      <c r="R561" s="2487"/>
      <c r="S561" s="2487"/>
      <c r="T561" s="2487"/>
      <c r="U561" s="2487"/>
      <c r="V561" s="2487"/>
      <c r="W561" s="2487"/>
      <c r="X561" s="2487"/>
      <c r="Y561" s="2487"/>
      <c r="Z561" s="2487"/>
      <c r="AA561" s="2487"/>
      <c r="AB561" s="2487"/>
      <c r="AC561" s="2487"/>
      <c r="AD561" s="2487"/>
      <c r="AE561" s="2487"/>
      <c r="AF561" s="2487"/>
      <c r="AG561" s="2487"/>
      <c r="AH561" s="2487"/>
      <c r="AI561" s="2487"/>
      <c r="AJ561" s="2487"/>
      <c r="AK561" s="2487"/>
      <c r="AL561" s="2487"/>
      <c r="AM561" s="2487"/>
    </row>
    <row r="562" spans="1:39" ht="15.75" customHeight="1" x14ac:dyDescent="0.25">
      <c r="A562" s="2487"/>
      <c r="B562" s="2487"/>
      <c r="C562" s="2487"/>
      <c r="D562" s="2487"/>
      <c r="E562" s="2487"/>
      <c r="F562" s="2487"/>
      <c r="G562" s="2487"/>
      <c r="H562" s="2487"/>
      <c r="I562" s="2487"/>
      <c r="J562" s="2487"/>
      <c r="K562" s="2487"/>
      <c r="L562" s="2487"/>
      <c r="M562" s="2487"/>
      <c r="N562" s="2487"/>
      <c r="O562" s="2487"/>
      <c r="P562" s="2487"/>
      <c r="Q562" s="2487"/>
      <c r="R562" s="2487"/>
      <c r="S562" s="2487"/>
      <c r="T562" s="2487"/>
      <c r="U562" s="2487"/>
      <c r="V562" s="2487"/>
      <c r="W562" s="2487"/>
      <c r="X562" s="2487"/>
      <c r="Y562" s="2487"/>
      <c r="Z562" s="2487"/>
      <c r="AA562" s="2487"/>
      <c r="AB562" s="2487"/>
      <c r="AC562" s="2487"/>
      <c r="AD562" s="2487"/>
      <c r="AE562" s="2487"/>
      <c r="AF562" s="2487"/>
      <c r="AG562" s="2487"/>
      <c r="AH562" s="2487"/>
      <c r="AI562" s="2487"/>
      <c r="AJ562" s="2487"/>
      <c r="AK562" s="2487"/>
      <c r="AL562" s="2487"/>
      <c r="AM562" s="2487"/>
    </row>
    <row r="563" spans="1:39" ht="15.75" customHeight="1" x14ac:dyDescent="0.25">
      <c r="A563" s="2487"/>
      <c r="B563" s="2487"/>
      <c r="C563" s="2487"/>
      <c r="D563" s="2487"/>
      <c r="E563" s="2487"/>
      <c r="F563" s="2487"/>
      <c r="G563" s="2487"/>
      <c r="H563" s="2487"/>
      <c r="I563" s="2487"/>
      <c r="J563" s="2487"/>
      <c r="K563" s="2487"/>
      <c r="L563" s="2487"/>
      <c r="M563" s="2487"/>
      <c r="N563" s="2487"/>
      <c r="O563" s="2487"/>
      <c r="P563" s="2487"/>
      <c r="Q563" s="2487"/>
      <c r="R563" s="2487"/>
      <c r="S563" s="2487"/>
      <c r="T563" s="2487"/>
      <c r="U563" s="2487"/>
      <c r="V563" s="2487"/>
      <c r="W563" s="2487"/>
      <c r="X563" s="2487"/>
      <c r="Y563" s="2487"/>
      <c r="Z563" s="2487"/>
      <c r="AA563" s="2487"/>
      <c r="AB563" s="2487"/>
      <c r="AC563" s="2487"/>
      <c r="AD563" s="2487"/>
      <c r="AE563" s="2487"/>
      <c r="AF563" s="2487"/>
      <c r="AG563" s="2487"/>
      <c r="AH563" s="2487"/>
      <c r="AI563" s="2487"/>
      <c r="AJ563" s="2487"/>
      <c r="AK563" s="2487"/>
      <c r="AL563" s="2487"/>
      <c r="AM563" s="2487"/>
    </row>
    <row r="564" spans="1:39" ht="15.75" customHeight="1" x14ac:dyDescent="0.25">
      <c r="A564" s="2487"/>
      <c r="B564" s="2487"/>
      <c r="C564" s="2487"/>
      <c r="D564" s="2487"/>
      <c r="E564" s="2487"/>
      <c r="F564" s="2487"/>
      <c r="G564" s="2487"/>
      <c r="H564" s="2487"/>
      <c r="I564" s="2487"/>
      <c r="J564" s="2487"/>
      <c r="K564" s="2487"/>
      <c r="L564" s="2487"/>
      <c r="M564" s="2487"/>
      <c r="N564" s="2487"/>
      <c r="O564" s="2487"/>
      <c r="P564" s="2487"/>
      <c r="Q564" s="2487"/>
      <c r="R564" s="2487"/>
      <c r="S564" s="2487"/>
      <c r="T564" s="2487"/>
      <c r="U564" s="2487"/>
      <c r="V564" s="2487"/>
      <c r="W564" s="2487"/>
      <c r="X564" s="2487"/>
      <c r="Y564" s="2487"/>
      <c r="Z564" s="2487"/>
      <c r="AA564" s="2487"/>
      <c r="AB564" s="2487"/>
      <c r="AC564" s="2487"/>
      <c r="AD564" s="2487"/>
      <c r="AE564" s="2487"/>
      <c r="AF564" s="2487"/>
      <c r="AG564" s="2487"/>
      <c r="AH564" s="2487"/>
      <c r="AI564" s="2487"/>
      <c r="AJ564" s="2487"/>
      <c r="AK564" s="2487"/>
      <c r="AL564" s="2487"/>
      <c r="AM564" s="2487"/>
    </row>
    <row r="565" spans="1:39" ht="15.75" customHeight="1" x14ac:dyDescent="0.25">
      <c r="A565" s="2487"/>
      <c r="B565" s="2487"/>
      <c r="C565" s="2487"/>
      <c r="D565" s="2487"/>
      <c r="E565" s="2487"/>
      <c r="F565" s="2487"/>
      <c r="G565" s="2487"/>
      <c r="H565" s="2487"/>
      <c r="I565" s="2487"/>
      <c r="J565" s="2487"/>
      <c r="K565" s="2487"/>
      <c r="L565" s="2487"/>
      <c r="M565" s="2487"/>
      <c r="N565" s="2487"/>
      <c r="O565" s="2487"/>
      <c r="P565" s="2487"/>
      <c r="Q565" s="2487"/>
      <c r="R565" s="2487"/>
      <c r="S565" s="2487"/>
      <c r="T565" s="2487"/>
      <c r="U565" s="2487"/>
      <c r="V565" s="2487"/>
      <c r="W565" s="2487"/>
      <c r="X565" s="2487"/>
      <c r="Y565" s="2487"/>
      <c r="Z565" s="2487"/>
      <c r="AA565" s="2487"/>
      <c r="AB565" s="2487"/>
      <c r="AC565" s="2487"/>
      <c r="AD565" s="2487"/>
      <c r="AE565" s="2487"/>
      <c r="AF565" s="2487"/>
      <c r="AG565" s="2487"/>
      <c r="AH565" s="2487"/>
      <c r="AI565" s="2487"/>
      <c r="AJ565" s="2487"/>
      <c r="AK565" s="2487"/>
      <c r="AL565" s="2487"/>
      <c r="AM565" s="2487"/>
    </row>
    <row r="566" spans="1:39" ht="15.75" customHeight="1" x14ac:dyDescent="0.25">
      <c r="A566" s="2487"/>
      <c r="B566" s="2487"/>
      <c r="C566" s="2487"/>
      <c r="D566" s="2487"/>
      <c r="E566" s="2487"/>
      <c r="F566" s="2487"/>
      <c r="G566" s="2487"/>
      <c r="H566" s="2487"/>
      <c r="I566" s="2487"/>
      <c r="J566" s="2487"/>
      <c r="K566" s="2487"/>
      <c r="L566" s="2487"/>
      <c r="M566" s="2487"/>
      <c r="N566" s="2487"/>
      <c r="O566" s="2487"/>
      <c r="P566" s="2487"/>
      <c r="Q566" s="2487"/>
      <c r="R566" s="2487"/>
      <c r="S566" s="2487"/>
      <c r="T566" s="2487"/>
      <c r="U566" s="2487"/>
      <c r="V566" s="2487"/>
      <c r="W566" s="2487"/>
      <c r="X566" s="2487"/>
      <c r="Y566" s="2487"/>
      <c r="Z566" s="2487"/>
      <c r="AA566" s="2487"/>
      <c r="AB566" s="2487"/>
      <c r="AC566" s="2487"/>
      <c r="AD566" s="2487"/>
      <c r="AE566" s="2487"/>
      <c r="AF566" s="2487"/>
      <c r="AG566" s="2487"/>
      <c r="AH566" s="2487"/>
      <c r="AI566" s="2487"/>
      <c r="AJ566" s="2487"/>
      <c r="AK566" s="2487"/>
      <c r="AL566" s="2487"/>
      <c r="AM566" s="2487"/>
    </row>
    <row r="567" spans="1:39" ht="15.75" customHeight="1" x14ac:dyDescent="0.25">
      <c r="A567" s="2487"/>
      <c r="B567" s="2487"/>
      <c r="C567" s="2487"/>
      <c r="D567" s="2487"/>
      <c r="E567" s="2487"/>
      <c r="F567" s="2487"/>
      <c r="G567" s="2487"/>
      <c r="H567" s="2487"/>
      <c r="I567" s="2487"/>
      <c r="J567" s="2487"/>
      <c r="K567" s="2487"/>
      <c r="L567" s="2487"/>
      <c r="M567" s="2487"/>
      <c r="N567" s="2487"/>
      <c r="O567" s="2487"/>
      <c r="P567" s="2487"/>
      <c r="Q567" s="2487"/>
      <c r="R567" s="2487"/>
      <c r="S567" s="2487"/>
      <c r="T567" s="2487"/>
      <c r="U567" s="2487"/>
      <c r="V567" s="2487"/>
      <c r="W567" s="2487"/>
      <c r="X567" s="2487"/>
      <c r="Y567" s="2487"/>
      <c r="Z567" s="2487"/>
      <c r="AA567" s="2487"/>
      <c r="AB567" s="2487"/>
      <c r="AC567" s="2487"/>
      <c r="AD567" s="2487"/>
      <c r="AE567" s="2487"/>
      <c r="AF567" s="2487"/>
      <c r="AG567" s="2487"/>
      <c r="AH567" s="2487"/>
      <c r="AI567" s="2487"/>
      <c r="AJ567" s="2487"/>
      <c r="AK567" s="2487"/>
      <c r="AL567" s="2487"/>
      <c r="AM567" s="2487"/>
    </row>
    <row r="568" spans="1:39" ht="15.75" customHeight="1" x14ac:dyDescent="0.25">
      <c r="A568" s="2487"/>
      <c r="B568" s="2487"/>
      <c r="C568" s="2487"/>
      <c r="D568" s="2487"/>
      <c r="E568" s="2487"/>
      <c r="F568" s="2487"/>
      <c r="G568" s="2487"/>
      <c r="H568" s="2487"/>
      <c r="I568" s="2487"/>
      <c r="J568" s="2487"/>
      <c r="K568" s="2487"/>
      <c r="L568" s="2487"/>
      <c r="M568" s="2487"/>
      <c r="N568" s="2487"/>
      <c r="O568" s="2487"/>
      <c r="P568" s="2487"/>
      <c r="Q568" s="2487"/>
      <c r="R568" s="2487"/>
      <c r="S568" s="2487"/>
      <c r="T568" s="2487"/>
      <c r="U568" s="2487"/>
      <c r="V568" s="2487"/>
      <c r="W568" s="2487"/>
      <c r="X568" s="2487"/>
      <c r="Y568" s="2487"/>
      <c r="Z568" s="2487"/>
      <c r="AA568" s="2487"/>
      <c r="AB568" s="2487"/>
      <c r="AC568" s="2487"/>
      <c r="AD568" s="2487"/>
      <c r="AE568" s="2487"/>
      <c r="AF568" s="2487"/>
      <c r="AG568" s="2487"/>
      <c r="AH568" s="2487"/>
      <c r="AI568" s="2487"/>
      <c r="AJ568" s="2487"/>
      <c r="AK568" s="2487"/>
      <c r="AL568" s="2487"/>
      <c r="AM568" s="2487"/>
    </row>
    <row r="569" spans="1:39" ht="15.75" customHeight="1" x14ac:dyDescent="0.25">
      <c r="A569" s="2487"/>
      <c r="B569" s="2487"/>
      <c r="C569" s="2487"/>
      <c r="D569" s="2487"/>
      <c r="E569" s="2487"/>
      <c r="F569" s="2487"/>
      <c r="G569" s="2487"/>
      <c r="H569" s="2487"/>
      <c r="I569" s="2487"/>
      <c r="J569" s="2487"/>
      <c r="K569" s="2487"/>
      <c r="L569" s="2487"/>
      <c r="M569" s="2487"/>
      <c r="N569" s="2487"/>
      <c r="O569" s="2487"/>
      <c r="P569" s="2487"/>
      <c r="Q569" s="2487"/>
      <c r="R569" s="2487"/>
      <c r="S569" s="2487"/>
      <c r="T569" s="2487"/>
      <c r="U569" s="2487"/>
      <c r="V569" s="2487"/>
      <c r="W569" s="2487"/>
      <c r="X569" s="2487"/>
      <c r="Y569" s="2487"/>
      <c r="Z569" s="2487"/>
      <c r="AA569" s="2487"/>
      <c r="AB569" s="2487"/>
      <c r="AC569" s="2487"/>
      <c r="AD569" s="2487"/>
      <c r="AE569" s="2487"/>
      <c r="AF569" s="2487"/>
      <c r="AG569" s="2487"/>
      <c r="AH569" s="2487"/>
      <c r="AI569" s="2487"/>
      <c r="AJ569" s="2487"/>
      <c r="AK569" s="2487"/>
      <c r="AL569" s="2487"/>
      <c r="AM569" s="2487"/>
    </row>
    <row r="570" spans="1:39" ht="15.75" customHeight="1" x14ac:dyDescent="0.25">
      <c r="A570" s="2487"/>
      <c r="B570" s="2487"/>
      <c r="C570" s="2487"/>
      <c r="D570" s="2487"/>
      <c r="E570" s="2487"/>
      <c r="F570" s="2487"/>
      <c r="G570" s="2487"/>
      <c r="H570" s="2487"/>
      <c r="I570" s="2487"/>
      <c r="J570" s="2487"/>
      <c r="K570" s="2487"/>
      <c r="L570" s="2487"/>
      <c r="M570" s="2487"/>
      <c r="N570" s="2487"/>
      <c r="O570" s="2487"/>
      <c r="P570" s="2487"/>
      <c r="Q570" s="2487"/>
      <c r="R570" s="2487"/>
      <c r="S570" s="2487"/>
      <c r="T570" s="2487"/>
      <c r="U570" s="2487"/>
      <c r="V570" s="2487"/>
      <c r="W570" s="2487"/>
      <c r="X570" s="2487"/>
      <c r="Y570" s="2487"/>
      <c r="Z570" s="2487"/>
      <c r="AA570" s="2487"/>
      <c r="AB570" s="2487"/>
      <c r="AC570" s="2487"/>
      <c r="AD570" s="2487"/>
      <c r="AE570" s="2487"/>
      <c r="AF570" s="2487"/>
      <c r="AG570" s="2487"/>
      <c r="AH570" s="2487"/>
      <c r="AI570" s="2487"/>
      <c r="AJ570" s="2487"/>
      <c r="AK570" s="2487"/>
      <c r="AL570" s="2487"/>
      <c r="AM570" s="2487"/>
    </row>
    <row r="571" spans="1:39" ht="15.75" customHeight="1" x14ac:dyDescent="0.25">
      <c r="A571" s="2487"/>
      <c r="B571" s="2487"/>
      <c r="C571" s="2487"/>
      <c r="D571" s="2487"/>
      <c r="E571" s="2487"/>
      <c r="F571" s="2487"/>
      <c r="G571" s="2487"/>
      <c r="H571" s="2487"/>
      <c r="I571" s="2487"/>
      <c r="J571" s="2487"/>
      <c r="K571" s="2487"/>
      <c r="L571" s="2487"/>
      <c r="M571" s="2487"/>
      <c r="N571" s="2487"/>
      <c r="O571" s="2487"/>
      <c r="P571" s="2487"/>
      <c r="Q571" s="2487"/>
      <c r="R571" s="2487"/>
      <c r="S571" s="2487"/>
      <c r="T571" s="2487"/>
      <c r="U571" s="2487"/>
      <c r="V571" s="2487"/>
      <c r="W571" s="2487"/>
      <c r="X571" s="2487"/>
      <c r="Y571" s="2487"/>
      <c r="Z571" s="2487"/>
      <c r="AA571" s="2487"/>
      <c r="AB571" s="2487"/>
      <c r="AC571" s="2487"/>
      <c r="AD571" s="2487"/>
      <c r="AE571" s="2487"/>
      <c r="AF571" s="2487"/>
      <c r="AG571" s="2487"/>
      <c r="AH571" s="2487"/>
      <c r="AI571" s="2487"/>
      <c r="AJ571" s="2487"/>
      <c r="AK571" s="2487"/>
      <c r="AL571" s="2487"/>
      <c r="AM571" s="2487"/>
    </row>
    <row r="572" spans="1:39" ht="15.75" customHeight="1" x14ac:dyDescent="0.25">
      <c r="A572" s="2487"/>
      <c r="B572" s="2487"/>
      <c r="C572" s="2487"/>
      <c r="D572" s="2487"/>
      <c r="E572" s="2487"/>
      <c r="F572" s="2487"/>
      <c r="G572" s="2487"/>
      <c r="H572" s="2487"/>
      <c r="I572" s="2487"/>
      <c r="J572" s="2487"/>
      <c r="K572" s="2487"/>
      <c r="L572" s="2487"/>
      <c r="M572" s="2487"/>
      <c r="N572" s="2487"/>
      <c r="O572" s="2487"/>
      <c r="P572" s="2487"/>
      <c r="Q572" s="2487"/>
      <c r="R572" s="2487"/>
      <c r="S572" s="2487"/>
      <c r="T572" s="2487"/>
      <c r="U572" s="2487"/>
      <c r="V572" s="2487"/>
      <c r="W572" s="2487"/>
      <c r="X572" s="2487"/>
      <c r="Y572" s="2487"/>
      <c r="Z572" s="2487"/>
      <c r="AA572" s="2487"/>
      <c r="AB572" s="2487"/>
      <c r="AC572" s="2487"/>
      <c r="AD572" s="2487"/>
      <c r="AE572" s="2487"/>
      <c r="AF572" s="2487"/>
      <c r="AG572" s="2487"/>
      <c r="AH572" s="2487"/>
      <c r="AI572" s="2487"/>
      <c r="AJ572" s="2487"/>
      <c r="AK572" s="2487"/>
      <c r="AL572" s="2487"/>
      <c r="AM572" s="2487"/>
    </row>
    <row r="573" spans="1:39" ht="15.75" customHeight="1" x14ac:dyDescent="0.25">
      <c r="A573" s="2487"/>
      <c r="B573" s="2487"/>
      <c r="C573" s="2487"/>
      <c r="D573" s="2487"/>
      <c r="E573" s="2487"/>
      <c r="F573" s="2487"/>
      <c r="G573" s="2487"/>
      <c r="H573" s="2487"/>
      <c r="I573" s="2487"/>
      <c r="J573" s="2487"/>
      <c r="K573" s="2487"/>
      <c r="L573" s="2487"/>
      <c r="M573" s="2487"/>
      <c r="N573" s="2487"/>
      <c r="O573" s="2487"/>
      <c r="P573" s="2487"/>
      <c r="Q573" s="2487"/>
      <c r="R573" s="2487"/>
      <c r="S573" s="2487"/>
      <c r="T573" s="2487"/>
      <c r="U573" s="2487"/>
      <c r="V573" s="2487"/>
      <c r="W573" s="2487"/>
      <c r="X573" s="2487"/>
      <c r="Y573" s="2487"/>
      <c r="Z573" s="2487"/>
      <c r="AA573" s="2487"/>
      <c r="AB573" s="2487"/>
      <c r="AC573" s="2487"/>
      <c r="AD573" s="2487"/>
      <c r="AE573" s="2487"/>
      <c r="AF573" s="2487"/>
      <c r="AG573" s="2487"/>
      <c r="AH573" s="2487"/>
      <c r="AI573" s="2487"/>
      <c r="AJ573" s="2487"/>
      <c r="AK573" s="2487"/>
      <c r="AL573" s="2487"/>
      <c r="AM573" s="2487"/>
    </row>
    <row r="574" spans="1:39" ht="15.75" customHeight="1" x14ac:dyDescent="0.25">
      <c r="A574" s="2487"/>
      <c r="B574" s="2487"/>
      <c r="C574" s="2487"/>
      <c r="D574" s="2487"/>
      <c r="E574" s="2487"/>
      <c r="F574" s="2487"/>
      <c r="G574" s="2487"/>
      <c r="H574" s="2487"/>
      <c r="I574" s="2487"/>
      <c r="J574" s="2487"/>
      <c r="K574" s="2487"/>
      <c r="L574" s="2487"/>
      <c r="M574" s="2487"/>
      <c r="N574" s="2487"/>
      <c r="O574" s="2487"/>
      <c r="P574" s="2487"/>
      <c r="Q574" s="2487"/>
      <c r="R574" s="2487"/>
      <c r="S574" s="2487"/>
      <c r="T574" s="2487"/>
      <c r="U574" s="2487"/>
      <c r="V574" s="2487"/>
      <c r="W574" s="2487"/>
      <c r="X574" s="2487"/>
      <c r="Y574" s="2487"/>
      <c r="Z574" s="2487"/>
      <c r="AA574" s="2487"/>
      <c r="AB574" s="2487"/>
      <c r="AC574" s="2487"/>
      <c r="AD574" s="2487"/>
      <c r="AE574" s="2487"/>
      <c r="AF574" s="2487"/>
      <c r="AG574" s="2487"/>
      <c r="AH574" s="2487"/>
      <c r="AI574" s="2487"/>
      <c r="AJ574" s="2487"/>
      <c r="AK574" s="2487"/>
      <c r="AL574" s="2487"/>
      <c r="AM574" s="2487"/>
    </row>
    <row r="575" spans="1:39" ht="15.75" customHeight="1" x14ac:dyDescent="0.25">
      <c r="A575" s="2487"/>
      <c r="B575" s="2487"/>
      <c r="C575" s="2487"/>
      <c r="D575" s="2487"/>
      <c r="E575" s="2487"/>
      <c r="F575" s="2487"/>
      <c r="G575" s="2487"/>
      <c r="H575" s="2487"/>
      <c r="I575" s="2487"/>
      <c r="J575" s="2487"/>
      <c r="K575" s="2487"/>
      <c r="L575" s="2487"/>
      <c r="M575" s="2487"/>
      <c r="N575" s="2487"/>
      <c r="O575" s="2487"/>
      <c r="P575" s="2487"/>
      <c r="Q575" s="2487"/>
      <c r="R575" s="2487"/>
      <c r="S575" s="2487"/>
      <c r="T575" s="2487"/>
      <c r="U575" s="2487"/>
      <c r="V575" s="2487"/>
      <c r="W575" s="2487"/>
      <c r="X575" s="2487"/>
      <c r="Y575" s="2487"/>
      <c r="Z575" s="2487"/>
      <c r="AA575" s="2487"/>
      <c r="AB575" s="2487"/>
      <c r="AC575" s="2487"/>
      <c r="AD575" s="2487"/>
      <c r="AE575" s="2487"/>
      <c r="AF575" s="2487"/>
      <c r="AG575" s="2487"/>
      <c r="AH575" s="2487"/>
      <c r="AI575" s="2487"/>
      <c r="AJ575" s="2487"/>
      <c r="AK575" s="2487"/>
      <c r="AL575" s="2487"/>
      <c r="AM575" s="2487"/>
    </row>
    <row r="576" spans="1:39" ht="15.75" customHeight="1" x14ac:dyDescent="0.25">
      <c r="A576" s="2487"/>
      <c r="B576" s="2487"/>
      <c r="C576" s="2487"/>
      <c r="D576" s="2487"/>
      <c r="E576" s="2487"/>
      <c r="F576" s="2487"/>
      <c r="G576" s="2487"/>
      <c r="H576" s="2487"/>
      <c r="I576" s="2487"/>
      <c r="J576" s="2487"/>
      <c r="K576" s="2487"/>
      <c r="L576" s="2487"/>
      <c r="M576" s="2487"/>
      <c r="N576" s="2487"/>
      <c r="O576" s="2487"/>
      <c r="P576" s="2487"/>
      <c r="Q576" s="2487"/>
      <c r="R576" s="2487"/>
      <c r="S576" s="2487"/>
      <c r="T576" s="2487"/>
      <c r="U576" s="2487"/>
      <c r="V576" s="2487"/>
      <c r="W576" s="2487"/>
      <c r="X576" s="2487"/>
      <c r="Y576" s="2487"/>
      <c r="Z576" s="2487"/>
      <c r="AA576" s="2487"/>
      <c r="AB576" s="2487"/>
      <c r="AC576" s="2487"/>
      <c r="AD576" s="2487"/>
      <c r="AE576" s="2487"/>
      <c r="AF576" s="2487"/>
      <c r="AG576" s="2487"/>
      <c r="AH576" s="2487"/>
      <c r="AI576" s="2487"/>
      <c r="AJ576" s="2487"/>
      <c r="AK576" s="2487"/>
      <c r="AL576" s="2487"/>
      <c r="AM576" s="2487"/>
    </row>
    <row r="577" spans="1:39" ht="15.75" customHeight="1" x14ac:dyDescent="0.25">
      <c r="A577" s="2487"/>
      <c r="B577" s="2487"/>
      <c r="C577" s="2487"/>
      <c r="D577" s="2487"/>
      <c r="E577" s="2487"/>
      <c r="F577" s="2487"/>
      <c r="G577" s="2487"/>
      <c r="H577" s="2487"/>
      <c r="I577" s="2487"/>
      <c r="J577" s="2487"/>
      <c r="K577" s="2487"/>
      <c r="L577" s="2487"/>
      <c r="M577" s="2487"/>
      <c r="N577" s="2487"/>
      <c r="O577" s="2487"/>
      <c r="P577" s="2487"/>
      <c r="Q577" s="2487"/>
      <c r="R577" s="2487"/>
      <c r="S577" s="2487"/>
      <c r="T577" s="2487"/>
      <c r="U577" s="2487"/>
      <c r="V577" s="2487"/>
      <c r="W577" s="2487"/>
      <c r="X577" s="2487"/>
      <c r="Y577" s="2487"/>
      <c r="Z577" s="2487"/>
      <c r="AA577" s="2487"/>
      <c r="AB577" s="2487"/>
      <c r="AC577" s="2487"/>
      <c r="AD577" s="2487"/>
      <c r="AE577" s="2487"/>
      <c r="AF577" s="2487"/>
      <c r="AG577" s="2487"/>
      <c r="AH577" s="2487"/>
      <c r="AI577" s="2487"/>
      <c r="AJ577" s="2487"/>
      <c r="AK577" s="2487"/>
      <c r="AL577" s="2487"/>
      <c r="AM577" s="2487"/>
    </row>
    <row r="578" spans="1:39" ht="15.75" customHeight="1" x14ac:dyDescent="0.25">
      <c r="A578" s="2487"/>
      <c r="B578" s="2487"/>
      <c r="C578" s="2487"/>
      <c r="D578" s="2487"/>
      <c r="E578" s="2487"/>
      <c r="F578" s="2487"/>
      <c r="G578" s="2487"/>
      <c r="H578" s="2487"/>
      <c r="I578" s="2487"/>
      <c r="J578" s="2487"/>
      <c r="K578" s="2487"/>
      <c r="L578" s="2487"/>
      <c r="M578" s="2487"/>
      <c r="N578" s="2487"/>
      <c r="O578" s="2487"/>
      <c r="P578" s="2487"/>
      <c r="Q578" s="2487"/>
      <c r="R578" s="2487"/>
      <c r="S578" s="2487"/>
      <c r="T578" s="2487"/>
      <c r="U578" s="2487"/>
      <c r="V578" s="2487"/>
      <c r="W578" s="2487"/>
      <c r="X578" s="2487"/>
      <c r="Y578" s="2487"/>
      <c r="Z578" s="2487"/>
      <c r="AA578" s="2487"/>
      <c r="AB578" s="2487"/>
      <c r="AC578" s="2487"/>
      <c r="AD578" s="2487"/>
      <c r="AE578" s="2487"/>
      <c r="AF578" s="2487"/>
      <c r="AG578" s="2487"/>
      <c r="AH578" s="2487"/>
      <c r="AI578" s="2487"/>
      <c r="AJ578" s="2487"/>
      <c r="AK578" s="2487"/>
      <c r="AL578" s="2487"/>
      <c r="AM578" s="2487"/>
    </row>
    <row r="579" spans="1:39" ht="15.75" customHeight="1" x14ac:dyDescent="0.25">
      <c r="A579" s="2487"/>
      <c r="B579" s="2487"/>
      <c r="C579" s="2487"/>
      <c r="D579" s="2487"/>
      <c r="E579" s="2487"/>
      <c r="F579" s="2487"/>
      <c r="G579" s="2487"/>
      <c r="H579" s="2487"/>
      <c r="I579" s="2487"/>
      <c r="J579" s="2487"/>
      <c r="K579" s="2487"/>
      <c r="L579" s="2487"/>
      <c r="M579" s="2487"/>
      <c r="N579" s="2487"/>
      <c r="O579" s="2487"/>
      <c r="P579" s="2487"/>
      <c r="Q579" s="2487"/>
      <c r="R579" s="2487"/>
      <c r="S579" s="2487"/>
      <c r="T579" s="2487"/>
      <c r="U579" s="2487"/>
      <c r="V579" s="2487"/>
      <c r="W579" s="2487"/>
      <c r="X579" s="2487"/>
      <c r="Y579" s="2487"/>
      <c r="Z579" s="2487"/>
      <c r="AA579" s="2487"/>
      <c r="AB579" s="2487"/>
      <c r="AC579" s="2487"/>
      <c r="AD579" s="2487"/>
      <c r="AE579" s="2487"/>
      <c r="AF579" s="2487"/>
      <c r="AG579" s="2487"/>
      <c r="AH579" s="2487"/>
      <c r="AI579" s="2487"/>
      <c r="AJ579" s="2487"/>
      <c r="AK579" s="2487"/>
      <c r="AL579" s="2487"/>
      <c r="AM579" s="2487"/>
    </row>
    <row r="580" spans="1:39" ht="15.75" customHeight="1" x14ac:dyDescent="0.25">
      <c r="A580" s="2487"/>
      <c r="B580" s="2487"/>
      <c r="C580" s="2487"/>
      <c r="D580" s="2487"/>
      <c r="E580" s="2487"/>
      <c r="F580" s="2487"/>
      <c r="G580" s="2487"/>
      <c r="H580" s="2487"/>
      <c r="I580" s="2487"/>
      <c r="J580" s="2487"/>
      <c r="K580" s="2487"/>
      <c r="L580" s="2487"/>
      <c r="M580" s="2487"/>
      <c r="N580" s="2487"/>
      <c r="O580" s="2487"/>
      <c r="P580" s="2487"/>
      <c r="Q580" s="2487"/>
      <c r="R580" s="2487"/>
      <c r="S580" s="2487"/>
      <c r="T580" s="2487"/>
      <c r="U580" s="2487"/>
      <c r="V580" s="2487"/>
      <c r="W580" s="2487"/>
      <c r="X580" s="2487"/>
      <c r="Y580" s="2487"/>
      <c r="Z580" s="2487"/>
      <c r="AA580" s="2487"/>
      <c r="AB580" s="2487"/>
      <c r="AC580" s="2487"/>
      <c r="AD580" s="2487"/>
      <c r="AE580" s="2487"/>
      <c r="AF580" s="2487"/>
      <c r="AG580" s="2487"/>
      <c r="AH580" s="2487"/>
      <c r="AI580" s="2487"/>
      <c r="AJ580" s="2487"/>
      <c r="AK580" s="2487"/>
      <c r="AL580" s="2487"/>
      <c r="AM580" s="2487"/>
    </row>
    <row r="581" spans="1:39" ht="15.75" customHeight="1" x14ac:dyDescent="0.25">
      <c r="A581" s="2487"/>
      <c r="B581" s="2487"/>
      <c r="C581" s="2487"/>
      <c r="D581" s="2487"/>
      <c r="E581" s="2487"/>
      <c r="F581" s="2487"/>
      <c r="G581" s="2487"/>
      <c r="H581" s="2487"/>
      <c r="I581" s="2487"/>
      <c r="J581" s="2487"/>
      <c r="K581" s="2487"/>
      <c r="L581" s="2487"/>
      <c r="M581" s="2487"/>
      <c r="N581" s="2487"/>
      <c r="O581" s="2487"/>
      <c r="P581" s="2487"/>
      <c r="Q581" s="2487"/>
      <c r="R581" s="2487"/>
      <c r="S581" s="2487"/>
      <c r="T581" s="2487"/>
      <c r="U581" s="2487"/>
      <c r="V581" s="2487"/>
      <c r="W581" s="2487"/>
      <c r="X581" s="2487"/>
      <c r="Y581" s="2487"/>
      <c r="Z581" s="2487"/>
      <c r="AA581" s="2487"/>
      <c r="AB581" s="2487"/>
      <c r="AC581" s="2487"/>
      <c r="AD581" s="2487"/>
      <c r="AE581" s="2487"/>
      <c r="AF581" s="2487"/>
      <c r="AG581" s="2487"/>
      <c r="AH581" s="2487"/>
      <c r="AI581" s="2487"/>
      <c r="AJ581" s="2487"/>
      <c r="AK581" s="2487"/>
      <c r="AL581" s="2487"/>
      <c r="AM581" s="2487"/>
    </row>
    <row r="582" spans="1:39" ht="15.75" customHeight="1" x14ac:dyDescent="0.25">
      <c r="A582" s="2487"/>
      <c r="B582" s="2487"/>
      <c r="C582" s="2487"/>
      <c r="D582" s="2487"/>
      <c r="E582" s="2487"/>
      <c r="F582" s="2487"/>
      <c r="G582" s="2487"/>
      <c r="H582" s="2487"/>
      <c r="I582" s="2487"/>
      <c r="J582" s="2487"/>
      <c r="K582" s="2487"/>
      <c r="L582" s="2487"/>
      <c r="M582" s="2487"/>
      <c r="N582" s="2487"/>
      <c r="O582" s="2487"/>
      <c r="P582" s="2487"/>
      <c r="Q582" s="2487"/>
      <c r="R582" s="2487"/>
      <c r="S582" s="2487"/>
      <c r="T582" s="2487"/>
      <c r="U582" s="2487"/>
      <c r="V582" s="2487"/>
      <c r="W582" s="2487"/>
      <c r="X582" s="2487"/>
      <c r="Y582" s="2487"/>
      <c r="Z582" s="2487"/>
      <c r="AA582" s="2487"/>
      <c r="AB582" s="2487"/>
      <c r="AC582" s="2487"/>
      <c r="AD582" s="2487"/>
      <c r="AE582" s="2487"/>
      <c r="AF582" s="2487"/>
      <c r="AG582" s="2487"/>
      <c r="AH582" s="2487"/>
      <c r="AI582" s="2487"/>
      <c r="AJ582" s="2487"/>
      <c r="AK582" s="2487"/>
      <c r="AL582" s="2487"/>
      <c r="AM582" s="2487"/>
    </row>
    <row r="583" spans="1:39" ht="15.75" customHeight="1" x14ac:dyDescent="0.25">
      <c r="A583" s="2487"/>
      <c r="B583" s="2487"/>
      <c r="C583" s="2487"/>
      <c r="D583" s="2487"/>
      <c r="E583" s="2487"/>
      <c r="F583" s="2487"/>
      <c r="G583" s="2487"/>
      <c r="H583" s="2487"/>
      <c r="I583" s="2487"/>
      <c r="J583" s="2487"/>
      <c r="K583" s="2487"/>
      <c r="L583" s="2487"/>
      <c r="M583" s="2487"/>
      <c r="N583" s="2487"/>
      <c r="O583" s="2487"/>
      <c r="P583" s="2487"/>
      <c r="Q583" s="2487"/>
      <c r="R583" s="2487"/>
      <c r="S583" s="2487"/>
      <c r="T583" s="2487"/>
      <c r="U583" s="2487"/>
      <c r="V583" s="2487"/>
      <c r="W583" s="2487"/>
      <c r="X583" s="2487"/>
      <c r="Y583" s="2487"/>
      <c r="Z583" s="2487"/>
      <c r="AA583" s="2487"/>
      <c r="AB583" s="2487"/>
      <c r="AC583" s="2487"/>
      <c r="AD583" s="2487"/>
      <c r="AE583" s="2487"/>
      <c r="AF583" s="2487"/>
      <c r="AG583" s="2487"/>
      <c r="AH583" s="2487"/>
      <c r="AI583" s="2487"/>
      <c r="AJ583" s="2487"/>
      <c r="AK583" s="2487"/>
      <c r="AL583" s="2487"/>
      <c r="AM583" s="2487"/>
    </row>
    <row r="584" spans="1:39" ht="15.75" customHeight="1" x14ac:dyDescent="0.25">
      <c r="A584" s="2487"/>
      <c r="B584" s="2487"/>
      <c r="C584" s="2487"/>
      <c r="D584" s="2487"/>
      <c r="E584" s="2487"/>
      <c r="F584" s="2487"/>
      <c r="G584" s="2487"/>
      <c r="H584" s="2487"/>
      <c r="I584" s="2487"/>
      <c r="J584" s="2487"/>
      <c r="K584" s="2487"/>
      <c r="L584" s="2487"/>
      <c r="M584" s="2487"/>
      <c r="N584" s="2487"/>
      <c r="O584" s="2487"/>
      <c r="P584" s="2487"/>
      <c r="Q584" s="2487"/>
      <c r="R584" s="2487"/>
      <c r="S584" s="2487"/>
      <c r="T584" s="2487"/>
      <c r="U584" s="2487"/>
      <c r="V584" s="2487"/>
      <c r="W584" s="2487"/>
      <c r="X584" s="2487"/>
      <c r="Y584" s="2487"/>
      <c r="Z584" s="2487"/>
      <c r="AA584" s="2487"/>
      <c r="AB584" s="2487"/>
      <c r="AC584" s="2487"/>
      <c r="AD584" s="2487"/>
      <c r="AE584" s="2487"/>
      <c r="AF584" s="2487"/>
      <c r="AG584" s="2487"/>
      <c r="AH584" s="2487"/>
      <c r="AI584" s="2487"/>
      <c r="AJ584" s="2487"/>
      <c r="AK584" s="2487"/>
      <c r="AL584" s="2487"/>
      <c r="AM584" s="2487"/>
    </row>
    <row r="585" spans="1:39" ht="15.75" customHeight="1" x14ac:dyDescent="0.25">
      <c r="A585" s="2487"/>
      <c r="B585" s="2487"/>
      <c r="C585" s="2487"/>
      <c r="D585" s="2487"/>
      <c r="E585" s="2487"/>
      <c r="F585" s="2487"/>
      <c r="G585" s="2487"/>
      <c r="H585" s="2487"/>
      <c r="I585" s="2487"/>
      <c r="J585" s="2487"/>
      <c r="K585" s="2487"/>
      <c r="L585" s="2487"/>
      <c r="M585" s="2487"/>
      <c r="N585" s="2487"/>
      <c r="O585" s="2487"/>
      <c r="P585" s="2487"/>
      <c r="Q585" s="2487"/>
      <c r="R585" s="2487"/>
      <c r="S585" s="2487"/>
      <c r="T585" s="2487"/>
      <c r="U585" s="2487"/>
      <c r="V585" s="2487"/>
      <c r="W585" s="2487"/>
      <c r="X585" s="2487"/>
      <c r="Y585" s="2487"/>
      <c r="Z585" s="2487"/>
      <c r="AA585" s="2487"/>
      <c r="AB585" s="2487"/>
      <c r="AC585" s="2487"/>
      <c r="AD585" s="2487"/>
      <c r="AE585" s="2487"/>
      <c r="AF585" s="2487"/>
      <c r="AG585" s="2487"/>
      <c r="AH585" s="2487"/>
      <c r="AI585" s="2487"/>
      <c r="AJ585" s="2487"/>
      <c r="AK585" s="2487"/>
      <c r="AL585" s="2487"/>
      <c r="AM585" s="2487"/>
    </row>
    <row r="586" spans="1:39" ht="15.75" customHeight="1" x14ac:dyDescent="0.25">
      <c r="A586" s="2487"/>
      <c r="B586" s="2487"/>
      <c r="C586" s="2487"/>
      <c r="D586" s="2487"/>
      <c r="E586" s="2487"/>
      <c r="F586" s="2487"/>
      <c r="G586" s="2487"/>
      <c r="H586" s="2487"/>
      <c r="I586" s="2487"/>
      <c r="J586" s="2487"/>
      <c r="K586" s="2487"/>
      <c r="L586" s="2487"/>
      <c r="M586" s="2487"/>
      <c r="N586" s="2487"/>
      <c r="O586" s="2487"/>
      <c r="P586" s="2487"/>
      <c r="Q586" s="2487"/>
      <c r="R586" s="2487"/>
      <c r="S586" s="2487"/>
      <c r="T586" s="2487"/>
      <c r="U586" s="2487"/>
      <c r="V586" s="2487"/>
      <c r="W586" s="2487"/>
      <c r="X586" s="2487"/>
      <c r="Y586" s="2487"/>
      <c r="Z586" s="2487"/>
      <c r="AA586" s="2487"/>
      <c r="AB586" s="2487"/>
      <c r="AC586" s="2487"/>
      <c r="AD586" s="2487"/>
      <c r="AE586" s="2487"/>
      <c r="AF586" s="2487"/>
      <c r="AG586" s="2487"/>
      <c r="AH586" s="2487"/>
      <c r="AI586" s="2487"/>
      <c r="AJ586" s="2487"/>
      <c r="AK586" s="2487"/>
      <c r="AL586" s="2487"/>
      <c r="AM586" s="2487"/>
    </row>
    <row r="587" spans="1:39" ht="15.75" customHeight="1" x14ac:dyDescent="0.25">
      <c r="A587" s="2487"/>
      <c r="B587" s="2487"/>
      <c r="C587" s="2487"/>
      <c r="D587" s="2487"/>
      <c r="E587" s="2487"/>
      <c r="F587" s="2487"/>
      <c r="G587" s="2487"/>
      <c r="H587" s="2487"/>
      <c r="I587" s="2487"/>
      <c r="J587" s="2487"/>
      <c r="K587" s="2487"/>
      <c r="L587" s="2487"/>
      <c r="M587" s="2487"/>
      <c r="N587" s="2487"/>
      <c r="O587" s="2487"/>
      <c r="P587" s="2487"/>
      <c r="Q587" s="2487"/>
      <c r="R587" s="2487"/>
      <c r="S587" s="2487"/>
      <c r="T587" s="2487"/>
      <c r="U587" s="2487"/>
      <c r="V587" s="2487"/>
      <c r="W587" s="2487"/>
      <c r="X587" s="2487"/>
      <c r="Y587" s="2487"/>
      <c r="Z587" s="2487"/>
      <c r="AA587" s="2487"/>
      <c r="AB587" s="2487"/>
      <c r="AC587" s="2487"/>
      <c r="AD587" s="2487"/>
      <c r="AE587" s="2487"/>
      <c r="AF587" s="2487"/>
      <c r="AG587" s="2487"/>
      <c r="AH587" s="2487"/>
      <c r="AI587" s="2487"/>
      <c r="AJ587" s="2487"/>
      <c r="AK587" s="2487"/>
      <c r="AL587" s="2487"/>
      <c r="AM587" s="2487"/>
    </row>
    <row r="588" spans="1:39" ht="15.75" customHeight="1" x14ac:dyDescent="0.25">
      <c r="A588" s="2487"/>
      <c r="B588" s="2487"/>
      <c r="C588" s="2487"/>
      <c r="D588" s="2487"/>
      <c r="E588" s="2487"/>
      <c r="F588" s="2487"/>
      <c r="G588" s="2487"/>
      <c r="H588" s="2487"/>
      <c r="I588" s="2487"/>
      <c r="J588" s="2487"/>
      <c r="K588" s="2487"/>
      <c r="L588" s="2487"/>
      <c r="M588" s="2487"/>
      <c r="N588" s="2487"/>
      <c r="O588" s="2487"/>
      <c r="P588" s="2487"/>
      <c r="Q588" s="2487"/>
      <c r="R588" s="2487"/>
      <c r="S588" s="2487"/>
      <c r="T588" s="2487"/>
      <c r="U588" s="2487"/>
      <c r="V588" s="2487"/>
      <c r="W588" s="2487"/>
      <c r="X588" s="2487"/>
      <c r="Y588" s="2487"/>
      <c r="Z588" s="2487"/>
      <c r="AA588" s="2487"/>
      <c r="AB588" s="2487"/>
      <c r="AC588" s="2487"/>
      <c r="AD588" s="2487"/>
      <c r="AE588" s="2487"/>
      <c r="AF588" s="2487"/>
      <c r="AG588" s="2487"/>
      <c r="AH588" s="2487"/>
      <c r="AI588" s="2487"/>
      <c r="AJ588" s="2487"/>
      <c r="AK588" s="2487"/>
      <c r="AL588" s="2487"/>
      <c r="AM588" s="2487"/>
    </row>
    <row r="589" spans="1:39" ht="15.75" customHeight="1" x14ac:dyDescent="0.25">
      <c r="A589" s="2487"/>
      <c r="B589" s="2487"/>
      <c r="C589" s="2487"/>
      <c r="D589" s="2487"/>
      <c r="E589" s="2487"/>
      <c r="F589" s="2487"/>
      <c r="G589" s="2487"/>
      <c r="H589" s="2487"/>
      <c r="I589" s="2487"/>
      <c r="J589" s="2487"/>
      <c r="K589" s="2487"/>
      <c r="L589" s="2487"/>
      <c r="M589" s="2487"/>
      <c r="N589" s="2487"/>
      <c r="O589" s="2487"/>
      <c r="P589" s="2487"/>
      <c r="Q589" s="2487"/>
      <c r="R589" s="2487"/>
      <c r="S589" s="2487"/>
      <c r="T589" s="2487"/>
      <c r="U589" s="2487"/>
      <c r="V589" s="2487"/>
      <c r="W589" s="2487"/>
      <c r="X589" s="2487"/>
      <c r="Y589" s="2487"/>
      <c r="Z589" s="2487"/>
      <c r="AA589" s="2487"/>
      <c r="AB589" s="2487"/>
      <c r="AC589" s="2487"/>
      <c r="AD589" s="2487"/>
      <c r="AE589" s="2487"/>
      <c r="AF589" s="2487"/>
      <c r="AG589" s="2487"/>
      <c r="AH589" s="2487"/>
      <c r="AI589" s="2487"/>
      <c r="AJ589" s="2487"/>
      <c r="AK589" s="2487"/>
      <c r="AL589" s="2487"/>
      <c r="AM589" s="2487"/>
    </row>
    <row r="590" spans="1:39" ht="15.75" customHeight="1" x14ac:dyDescent="0.25">
      <c r="A590" s="2487"/>
      <c r="B590" s="2487"/>
      <c r="C590" s="2487"/>
      <c r="D590" s="2487"/>
      <c r="E590" s="2487"/>
      <c r="F590" s="2487"/>
      <c r="G590" s="2487"/>
      <c r="H590" s="2487"/>
      <c r="I590" s="2487"/>
      <c r="J590" s="2487"/>
      <c r="K590" s="2487"/>
      <c r="L590" s="2487"/>
      <c r="M590" s="2487"/>
      <c r="N590" s="2487"/>
      <c r="O590" s="2487"/>
      <c r="P590" s="2487"/>
      <c r="Q590" s="2487"/>
      <c r="R590" s="2487"/>
      <c r="S590" s="2487"/>
      <c r="T590" s="2487"/>
      <c r="U590" s="2487"/>
      <c r="V590" s="2487"/>
      <c r="W590" s="2487"/>
      <c r="X590" s="2487"/>
      <c r="Y590" s="2487"/>
      <c r="Z590" s="2487"/>
      <c r="AA590" s="2487"/>
      <c r="AB590" s="2487"/>
      <c r="AC590" s="2487"/>
      <c r="AD590" s="2487"/>
      <c r="AE590" s="2487"/>
      <c r="AF590" s="2487"/>
      <c r="AG590" s="2487"/>
      <c r="AH590" s="2487"/>
      <c r="AI590" s="2487"/>
      <c r="AJ590" s="2487"/>
      <c r="AK590" s="2487"/>
      <c r="AL590" s="2487"/>
      <c r="AM590" s="2487"/>
    </row>
    <row r="591" spans="1:39" ht="15.75" customHeight="1" x14ac:dyDescent="0.25">
      <c r="A591" s="2487"/>
      <c r="B591" s="2487"/>
      <c r="C591" s="2487"/>
      <c r="D591" s="2487"/>
      <c r="E591" s="2487"/>
      <c r="F591" s="2487"/>
      <c r="G591" s="2487"/>
      <c r="H591" s="2487"/>
      <c r="I591" s="2487"/>
      <c r="J591" s="2487"/>
      <c r="K591" s="2487"/>
      <c r="L591" s="2487"/>
      <c r="M591" s="2487"/>
      <c r="N591" s="2487"/>
      <c r="O591" s="2487"/>
      <c r="P591" s="2487"/>
      <c r="Q591" s="2487"/>
      <c r="R591" s="2487"/>
      <c r="S591" s="2487"/>
      <c r="T591" s="2487"/>
      <c r="U591" s="2487"/>
      <c r="V591" s="2487"/>
      <c r="W591" s="2487"/>
      <c r="X591" s="2487"/>
      <c r="Y591" s="2487"/>
      <c r="Z591" s="2487"/>
      <c r="AA591" s="2487"/>
      <c r="AB591" s="2487"/>
      <c r="AC591" s="2487"/>
      <c r="AD591" s="2487"/>
      <c r="AE591" s="2487"/>
      <c r="AF591" s="2487"/>
      <c r="AG591" s="2487"/>
      <c r="AH591" s="2487"/>
      <c r="AI591" s="2487"/>
      <c r="AJ591" s="2487"/>
      <c r="AK591" s="2487"/>
      <c r="AL591" s="2487"/>
      <c r="AM591" s="2487"/>
    </row>
    <row r="592" spans="1:39" ht="15.75" customHeight="1" x14ac:dyDescent="0.25">
      <c r="A592" s="2487"/>
      <c r="B592" s="2487"/>
      <c r="C592" s="2487"/>
      <c r="D592" s="2487"/>
      <c r="E592" s="2487"/>
      <c r="F592" s="2487"/>
      <c r="G592" s="2487"/>
      <c r="H592" s="2487"/>
      <c r="I592" s="2487"/>
      <c r="J592" s="2487"/>
      <c r="K592" s="2487"/>
      <c r="L592" s="2487"/>
      <c r="M592" s="2487"/>
      <c r="N592" s="2487"/>
      <c r="O592" s="2487"/>
      <c r="P592" s="2487"/>
      <c r="Q592" s="2487"/>
      <c r="R592" s="2487"/>
      <c r="S592" s="2487"/>
      <c r="T592" s="2487"/>
      <c r="U592" s="2487"/>
      <c r="V592" s="2487"/>
      <c r="W592" s="2487"/>
      <c r="X592" s="2487"/>
      <c r="Y592" s="2487"/>
      <c r="Z592" s="2487"/>
      <c r="AA592" s="2487"/>
      <c r="AB592" s="2487"/>
      <c r="AC592" s="2487"/>
      <c r="AD592" s="2487"/>
      <c r="AE592" s="2487"/>
      <c r="AF592" s="2487"/>
      <c r="AG592" s="2487"/>
      <c r="AH592" s="2487"/>
      <c r="AI592" s="2487"/>
      <c r="AJ592" s="2487"/>
      <c r="AK592" s="2487"/>
      <c r="AL592" s="2487"/>
      <c r="AM592" s="2487"/>
    </row>
    <row r="593" spans="1:39" ht="15.75" customHeight="1" x14ac:dyDescent="0.25">
      <c r="A593" s="2487"/>
      <c r="B593" s="2487"/>
      <c r="C593" s="2487"/>
      <c r="D593" s="2487"/>
      <c r="E593" s="2487"/>
      <c r="F593" s="2487"/>
      <c r="G593" s="2487"/>
      <c r="H593" s="2487"/>
      <c r="I593" s="2487"/>
      <c r="J593" s="2487"/>
      <c r="K593" s="2487"/>
      <c r="L593" s="2487"/>
      <c r="M593" s="2487"/>
      <c r="N593" s="2487"/>
      <c r="O593" s="2487"/>
      <c r="P593" s="2487"/>
      <c r="Q593" s="2487"/>
      <c r="R593" s="2487"/>
      <c r="S593" s="2487"/>
      <c r="T593" s="2487"/>
      <c r="U593" s="2487"/>
      <c r="V593" s="2487"/>
      <c r="W593" s="2487"/>
      <c r="X593" s="2487"/>
      <c r="Y593" s="2487"/>
      <c r="Z593" s="2487"/>
      <c r="AA593" s="2487"/>
      <c r="AB593" s="2487"/>
      <c r="AC593" s="2487"/>
      <c r="AD593" s="2487"/>
      <c r="AE593" s="2487"/>
      <c r="AF593" s="2487"/>
      <c r="AG593" s="2487"/>
      <c r="AH593" s="2487"/>
      <c r="AI593" s="2487"/>
      <c r="AJ593" s="2487"/>
      <c r="AK593" s="2487"/>
      <c r="AL593" s="2487"/>
      <c r="AM593" s="2487"/>
    </row>
    <row r="594" spans="1:39" ht="15.75" customHeight="1" x14ac:dyDescent="0.25">
      <c r="A594" s="2487"/>
      <c r="B594" s="2487"/>
      <c r="C594" s="2487"/>
      <c r="D594" s="2487"/>
      <c r="E594" s="2487"/>
      <c r="F594" s="2487"/>
      <c r="G594" s="2487"/>
      <c r="H594" s="2487"/>
      <c r="I594" s="2487"/>
      <c r="J594" s="2487"/>
      <c r="K594" s="2487"/>
      <c r="L594" s="2487"/>
      <c r="M594" s="2487"/>
      <c r="N594" s="2487"/>
      <c r="O594" s="2487"/>
      <c r="P594" s="2487"/>
      <c r="Q594" s="2487"/>
      <c r="R594" s="2487"/>
      <c r="S594" s="2487"/>
      <c r="T594" s="2487"/>
      <c r="U594" s="2487"/>
      <c r="V594" s="2487"/>
      <c r="W594" s="2487"/>
      <c r="X594" s="2487"/>
      <c r="Y594" s="2487"/>
      <c r="Z594" s="2487"/>
      <c r="AA594" s="2487"/>
      <c r="AB594" s="2487"/>
      <c r="AC594" s="2487"/>
      <c r="AD594" s="2487"/>
      <c r="AE594" s="2487"/>
      <c r="AF594" s="2487"/>
      <c r="AG594" s="2487"/>
      <c r="AH594" s="2487"/>
      <c r="AI594" s="2487"/>
      <c r="AJ594" s="2487"/>
      <c r="AK594" s="2487"/>
      <c r="AL594" s="2487"/>
      <c r="AM594" s="2487"/>
    </row>
    <row r="595" spans="1:39" ht="15.75" customHeight="1" x14ac:dyDescent="0.25">
      <c r="A595" s="2487"/>
      <c r="B595" s="2487"/>
      <c r="C595" s="2487"/>
      <c r="D595" s="2487"/>
      <c r="E595" s="2487"/>
      <c r="F595" s="2487"/>
      <c r="G595" s="2487"/>
      <c r="H595" s="2487"/>
      <c r="I595" s="2487"/>
      <c r="J595" s="2487"/>
      <c r="K595" s="2487"/>
      <c r="L595" s="2487"/>
      <c r="M595" s="2487"/>
      <c r="N595" s="2487"/>
      <c r="O595" s="2487"/>
      <c r="P595" s="2487"/>
      <c r="Q595" s="2487"/>
      <c r="R595" s="2487"/>
      <c r="S595" s="2487"/>
      <c r="T595" s="2487"/>
      <c r="U595" s="2487"/>
      <c r="V595" s="2487"/>
      <c r="W595" s="2487"/>
      <c r="X595" s="2487"/>
      <c r="Y595" s="2487"/>
      <c r="Z595" s="2487"/>
      <c r="AA595" s="2487"/>
      <c r="AB595" s="2487"/>
      <c r="AC595" s="2487"/>
      <c r="AD595" s="2487"/>
      <c r="AE595" s="2487"/>
      <c r="AF595" s="2487"/>
      <c r="AG595" s="2487"/>
      <c r="AH595" s="2487"/>
      <c r="AI595" s="2487"/>
      <c r="AJ595" s="2487"/>
      <c r="AK595" s="2487"/>
      <c r="AL595" s="2487"/>
      <c r="AM595" s="2487"/>
    </row>
    <row r="596" spans="1:39" ht="15.75" customHeight="1" x14ac:dyDescent="0.25">
      <c r="A596" s="2487"/>
      <c r="B596" s="2487"/>
      <c r="C596" s="2487"/>
      <c r="D596" s="2487"/>
      <c r="E596" s="2487"/>
      <c r="F596" s="2487"/>
      <c r="G596" s="2487"/>
      <c r="H596" s="2487"/>
      <c r="I596" s="2487"/>
      <c r="J596" s="2487"/>
      <c r="K596" s="2487"/>
      <c r="L596" s="2487"/>
      <c r="M596" s="2487"/>
      <c r="N596" s="2487"/>
      <c r="O596" s="2487"/>
      <c r="P596" s="2487"/>
      <c r="Q596" s="2487"/>
      <c r="R596" s="2487"/>
      <c r="S596" s="2487"/>
      <c r="T596" s="2487"/>
      <c r="U596" s="2487"/>
      <c r="V596" s="2487"/>
      <c r="W596" s="2487"/>
      <c r="X596" s="2487"/>
      <c r="Y596" s="2487"/>
      <c r="Z596" s="2487"/>
      <c r="AA596" s="2487"/>
      <c r="AB596" s="2487"/>
      <c r="AC596" s="2487"/>
      <c r="AD596" s="2487"/>
      <c r="AE596" s="2487"/>
      <c r="AF596" s="2487"/>
      <c r="AG596" s="2487"/>
      <c r="AH596" s="2487"/>
      <c r="AI596" s="2487"/>
      <c r="AJ596" s="2487"/>
      <c r="AK596" s="2487"/>
      <c r="AL596" s="2487"/>
      <c r="AM596" s="2487"/>
    </row>
    <row r="597" spans="1:39" ht="15.75" customHeight="1" x14ac:dyDescent="0.25">
      <c r="A597" s="2487"/>
      <c r="B597" s="2487"/>
      <c r="C597" s="2487"/>
      <c r="D597" s="2487"/>
      <c r="E597" s="2487"/>
      <c r="F597" s="2487"/>
      <c r="G597" s="2487"/>
      <c r="H597" s="2487"/>
      <c r="I597" s="2487"/>
      <c r="J597" s="2487"/>
      <c r="K597" s="2487"/>
      <c r="L597" s="2487"/>
      <c r="M597" s="2487"/>
      <c r="N597" s="2487"/>
      <c r="O597" s="2487"/>
      <c r="P597" s="2487"/>
      <c r="Q597" s="2487"/>
      <c r="R597" s="2487"/>
      <c r="S597" s="2487"/>
      <c r="T597" s="2487"/>
      <c r="U597" s="2487"/>
      <c r="V597" s="2487"/>
      <c r="W597" s="2487"/>
      <c r="X597" s="2487"/>
      <c r="Y597" s="2487"/>
      <c r="Z597" s="2487"/>
      <c r="AA597" s="2487"/>
      <c r="AB597" s="2487"/>
      <c r="AC597" s="2487"/>
      <c r="AD597" s="2487"/>
      <c r="AE597" s="2487"/>
      <c r="AF597" s="2487"/>
      <c r="AG597" s="2487"/>
      <c r="AH597" s="2487"/>
      <c r="AI597" s="2487"/>
      <c r="AJ597" s="2487"/>
      <c r="AK597" s="2487"/>
      <c r="AL597" s="2487"/>
      <c r="AM597" s="2487"/>
    </row>
    <row r="598" spans="1:39" ht="15.75" customHeight="1" x14ac:dyDescent="0.25">
      <c r="A598" s="2487"/>
      <c r="B598" s="2487"/>
      <c r="C598" s="2487"/>
      <c r="D598" s="2487"/>
      <c r="E598" s="2487"/>
      <c r="F598" s="2487"/>
      <c r="G598" s="2487"/>
      <c r="H598" s="2487"/>
      <c r="I598" s="2487"/>
      <c r="J598" s="2487"/>
      <c r="K598" s="2487"/>
      <c r="L598" s="2487"/>
      <c r="M598" s="2487"/>
      <c r="N598" s="2487"/>
      <c r="O598" s="2487"/>
      <c r="P598" s="2487"/>
      <c r="Q598" s="2487"/>
      <c r="R598" s="2487"/>
      <c r="S598" s="2487"/>
      <c r="T598" s="2487"/>
      <c r="U598" s="2487"/>
      <c r="V598" s="2487"/>
      <c r="W598" s="2487"/>
      <c r="X598" s="2487"/>
      <c r="Y598" s="2487"/>
      <c r="Z598" s="2487"/>
      <c r="AA598" s="2487"/>
      <c r="AB598" s="2487"/>
      <c r="AC598" s="2487"/>
      <c r="AD598" s="2487"/>
      <c r="AE598" s="2487"/>
      <c r="AF598" s="2487"/>
      <c r="AG598" s="2487"/>
      <c r="AH598" s="2487"/>
      <c r="AI598" s="2487"/>
      <c r="AJ598" s="2487"/>
      <c r="AK598" s="2487"/>
      <c r="AL598" s="2487"/>
      <c r="AM598" s="2487"/>
    </row>
    <row r="599" spans="1:39" ht="15.75" customHeight="1" x14ac:dyDescent="0.25">
      <c r="A599" s="2487"/>
      <c r="B599" s="2487"/>
      <c r="C599" s="2487"/>
      <c r="D599" s="2487"/>
      <c r="E599" s="2487"/>
      <c r="F599" s="2487"/>
      <c r="G599" s="2487"/>
      <c r="H599" s="2487"/>
      <c r="I599" s="2487"/>
      <c r="J599" s="2487"/>
      <c r="K599" s="2487"/>
      <c r="L599" s="2487"/>
      <c r="M599" s="2487"/>
      <c r="N599" s="2487"/>
      <c r="O599" s="2487"/>
      <c r="P599" s="2487"/>
      <c r="Q599" s="2487"/>
      <c r="R599" s="2487"/>
      <c r="S599" s="2487"/>
      <c r="T599" s="2487"/>
      <c r="U599" s="2487"/>
      <c r="V599" s="2487"/>
      <c r="W599" s="2487"/>
      <c r="X599" s="2487"/>
      <c r="Y599" s="2487"/>
      <c r="Z599" s="2487"/>
      <c r="AA599" s="2487"/>
      <c r="AB599" s="2487"/>
      <c r="AC599" s="2487"/>
      <c r="AD599" s="2487"/>
      <c r="AE599" s="2487"/>
      <c r="AF599" s="2487"/>
      <c r="AG599" s="2487"/>
      <c r="AH599" s="2487"/>
      <c r="AI599" s="2487"/>
      <c r="AJ599" s="2487"/>
      <c r="AK599" s="2487"/>
      <c r="AL599" s="2487"/>
      <c r="AM599" s="2487"/>
    </row>
    <row r="600" spans="1:39" ht="15.75" customHeight="1" x14ac:dyDescent="0.25">
      <c r="A600" s="2487"/>
      <c r="B600" s="2487"/>
      <c r="C600" s="2487"/>
      <c r="D600" s="2487"/>
      <c r="E600" s="2487"/>
      <c r="F600" s="2487"/>
      <c r="G600" s="2487"/>
      <c r="H600" s="2487"/>
      <c r="I600" s="2487"/>
      <c r="J600" s="2487"/>
      <c r="K600" s="2487"/>
      <c r="L600" s="2487"/>
      <c r="M600" s="2487"/>
      <c r="N600" s="2487"/>
      <c r="O600" s="2487"/>
      <c r="P600" s="2487"/>
      <c r="Q600" s="2487"/>
      <c r="R600" s="2487"/>
      <c r="S600" s="2487"/>
      <c r="T600" s="2487"/>
      <c r="U600" s="2487"/>
      <c r="V600" s="2487"/>
      <c r="W600" s="2487"/>
      <c r="X600" s="2487"/>
      <c r="Y600" s="2487"/>
      <c r="Z600" s="2487"/>
      <c r="AA600" s="2487"/>
      <c r="AB600" s="2487"/>
      <c r="AC600" s="2487"/>
      <c r="AD600" s="2487"/>
      <c r="AE600" s="2487"/>
      <c r="AF600" s="2487"/>
      <c r="AG600" s="2487"/>
      <c r="AH600" s="2487"/>
      <c r="AI600" s="2487"/>
      <c r="AJ600" s="2487"/>
      <c r="AK600" s="2487"/>
      <c r="AL600" s="2487"/>
      <c r="AM600" s="2487"/>
    </row>
    <row r="601" spans="1:39" ht="15.75" customHeight="1" x14ac:dyDescent="0.25">
      <c r="A601" s="2487"/>
      <c r="B601" s="2487"/>
      <c r="C601" s="2487"/>
      <c r="D601" s="2487"/>
      <c r="E601" s="2487"/>
      <c r="F601" s="2487"/>
      <c r="G601" s="2487"/>
      <c r="H601" s="2487"/>
      <c r="I601" s="2487"/>
      <c r="J601" s="2487"/>
      <c r="K601" s="2487"/>
      <c r="L601" s="2487"/>
      <c r="M601" s="2487"/>
      <c r="N601" s="2487"/>
      <c r="O601" s="2487"/>
      <c r="P601" s="2487"/>
      <c r="Q601" s="2487"/>
      <c r="R601" s="2487"/>
      <c r="S601" s="2487"/>
      <c r="T601" s="2487"/>
      <c r="U601" s="2487"/>
      <c r="V601" s="2487"/>
      <c r="W601" s="2487"/>
      <c r="X601" s="2487"/>
      <c r="Y601" s="2487"/>
      <c r="Z601" s="2487"/>
      <c r="AA601" s="2487"/>
      <c r="AB601" s="2487"/>
      <c r="AC601" s="2487"/>
      <c r="AD601" s="2487"/>
      <c r="AE601" s="2487"/>
      <c r="AF601" s="2487"/>
      <c r="AG601" s="2487"/>
      <c r="AH601" s="2487"/>
      <c r="AI601" s="2487"/>
      <c r="AJ601" s="2487"/>
      <c r="AK601" s="2487"/>
      <c r="AL601" s="2487"/>
      <c r="AM601" s="2487"/>
    </row>
    <row r="602" spans="1:39" ht="15.75" customHeight="1" x14ac:dyDescent="0.25">
      <c r="A602" s="2487"/>
      <c r="B602" s="2487"/>
      <c r="C602" s="2487"/>
      <c r="D602" s="2487"/>
      <c r="E602" s="2487"/>
      <c r="F602" s="2487"/>
      <c r="G602" s="2487"/>
      <c r="H602" s="2487"/>
      <c r="I602" s="2487"/>
      <c r="J602" s="2487"/>
      <c r="K602" s="2487"/>
      <c r="L602" s="2487"/>
      <c r="M602" s="2487"/>
      <c r="N602" s="2487"/>
      <c r="O602" s="2487"/>
      <c r="P602" s="2487"/>
      <c r="Q602" s="2487"/>
      <c r="R602" s="2487"/>
      <c r="S602" s="2487"/>
      <c r="T602" s="2487"/>
      <c r="U602" s="2487"/>
      <c r="V602" s="2487"/>
      <c r="W602" s="2487"/>
      <c r="X602" s="2487"/>
      <c r="Y602" s="2487"/>
      <c r="Z602" s="2487"/>
      <c r="AA602" s="2487"/>
      <c r="AB602" s="2487"/>
      <c r="AC602" s="2487"/>
      <c r="AD602" s="2487"/>
      <c r="AE602" s="2487"/>
      <c r="AF602" s="2487"/>
      <c r="AG602" s="2487"/>
      <c r="AH602" s="2487"/>
      <c r="AI602" s="2487"/>
      <c r="AJ602" s="2487"/>
      <c r="AK602" s="2487"/>
      <c r="AL602" s="2487"/>
      <c r="AM602" s="2487"/>
    </row>
    <row r="603" spans="1:39" ht="15.75" customHeight="1" x14ac:dyDescent="0.25">
      <c r="A603" s="2487"/>
      <c r="B603" s="2487"/>
      <c r="C603" s="2487"/>
      <c r="D603" s="2487"/>
      <c r="E603" s="2487"/>
      <c r="F603" s="2487"/>
      <c r="G603" s="2487"/>
      <c r="H603" s="2487"/>
      <c r="I603" s="2487"/>
      <c r="J603" s="2487"/>
      <c r="K603" s="2487"/>
      <c r="L603" s="2487"/>
      <c r="M603" s="2487"/>
      <c r="N603" s="2487"/>
      <c r="O603" s="2487"/>
      <c r="P603" s="2487"/>
      <c r="Q603" s="2487"/>
      <c r="R603" s="2487"/>
      <c r="S603" s="2487"/>
      <c r="T603" s="2487"/>
      <c r="U603" s="2487"/>
      <c r="V603" s="2487"/>
      <c r="W603" s="2487"/>
      <c r="X603" s="2487"/>
      <c r="Y603" s="2487"/>
      <c r="Z603" s="2487"/>
      <c r="AA603" s="2487"/>
      <c r="AB603" s="2487"/>
      <c r="AC603" s="2487"/>
      <c r="AD603" s="2487"/>
      <c r="AE603" s="2487"/>
      <c r="AF603" s="2487"/>
      <c r="AG603" s="2487"/>
      <c r="AH603" s="2487"/>
      <c r="AI603" s="2487"/>
      <c r="AJ603" s="2487"/>
      <c r="AK603" s="2487"/>
      <c r="AL603" s="2487"/>
      <c r="AM603" s="2487"/>
    </row>
    <row r="604" spans="1:39" ht="15.75" customHeight="1" x14ac:dyDescent="0.25">
      <c r="A604" s="2487"/>
      <c r="B604" s="2487"/>
      <c r="C604" s="2487"/>
      <c r="D604" s="2487"/>
      <c r="E604" s="2487"/>
      <c r="F604" s="2487"/>
      <c r="G604" s="2487"/>
      <c r="H604" s="2487"/>
      <c r="I604" s="2487"/>
      <c r="J604" s="2487"/>
      <c r="K604" s="2487"/>
      <c r="L604" s="2487"/>
      <c r="M604" s="2487"/>
      <c r="N604" s="2487"/>
      <c r="O604" s="2487"/>
      <c r="P604" s="2487"/>
      <c r="Q604" s="2487"/>
      <c r="R604" s="2487"/>
      <c r="S604" s="2487"/>
      <c r="T604" s="2487"/>
      <c r="U604" s="2487"/>
      <c r="V604" s="2487"/>
      <c r="W604" s="2487"/>
      <c r="X604" s="2487"/>
      <c r="Y604" s="2487"/>
      <c r="Z604" s="2487"/>
      <c r="AA604" s="2487"/>
      <c r="AB604" s="2487"/>
      <c r="AC604" s="2487"/>
      <c r="AD604" s="2487"/>
      <c r="AE604" s="2487"/>
      <c r="AF604" s="2487"/>
      <c r="AG604" s="2487"/>
      <c r="AH604" s="2487"/>
      <c r="AI604" s="2487"/>
      <c r="AJ604" s="2487"/>
      <c r="AK604" s="2487"/>
      <c r="AL604" s="2487"/>
      <c r="AM604" s="2487"/>
    </row>
    <row r="605" spans="1:39" ht="15.75" customHeight="1" x14ac:dyDescent="0.25">
      <c r="A605" s="2487"/>
      <c r="B605" s="2487"/>
      <c r="C605" s="2487"/>
      <c r="D605" s="2487"/>
      <c r="E605" s="2487"/>
      <c r="F605" s="2487"/>
      <c r="G605" s="2487"/>
      <c r="H605" s="2487"/>
      <c r="I605" s="2487"/>
      <c r="J605" s="2487"/>
      <c r="K605" s="2487"/>
      <c r="L605" s="2487"/>
      <c r="M605" s="2487"/>
      <c r="N605" s="2487"/>
      <c r="O605" s="2487"/>
      <c r="P605" s="2487"/>
      <c r="Q605" s="2487"/>
      <c r="R605" s="2487"/>
      <c r="S605" s="2487"/>
      <c r="T605" s="2487"/>
      <c r="U605" s="2487"/>
      <c r="V605" s="2487"/>
      <c r="W605" s="2487"/>
      <c r="X605" s="2487"/>
      <c r="Y605" s="2487"/>
      <c r="Z605" s="2487"/>
      <c r="AA605" s="2487"/>
      <c r="AB605" s="2487"/>
      <c r="AC605" s="2487"/>
      <c r="AD605" s="2487"/>
      <c r="AE605" s="2487"/>
      <c r="AF605" s="2487"/>
      <c r="AG605" s="2487"/>
      <c r="AH605" s="2487"/>
      <c r="AI605" s="2487"/>
      <c r="AJ605" s="2487"/>
      <c r="AK605" s="2487"/>
      <c r="AL605" s="2487"/>
      <c r="AM605" s="2487"/>
    </row>
    <row r="606" spans="1:39" ht="15.75" customHeight="1" x14ac:dyDescent="0.25">
      <c r="A606" s="2487"/>
      <c r="B606" s="2487"/>
      <c r="C606" s="2487"/>
      <c r="D606" s="2487"/>
      <c r="E606" s="2487"/>
      <c r="F606" s="2487"/>
      <c r="G606" s="2487"/>
      <c r="H606" s="2487"/>
      <c r="I606" s="2487"/>
      <c r="J606" s="2487"/>
      <c r="K606" s="2487"/>
      <c r="L606" s="2487"/>
      <c r="M606" s="2487"/>
      <c r="N606" s="2487"/>
      <c r="O606" s="2487"/>
      <c r="P606" s="2487"/>
      <c r="Q606" s="2487"/>
      <c r="R606" s="2487"/>
      <c r="S606" s="2487"/>
      <c r="T606" s="2487"/>
      <c r="U606" s="2487"/>
      <c r="V606" s="2487"/>
      <c r="W606" s="2487"/>
      <c r="X606" s="2487"/>
      <c r="Y606" s="2487"/>
      <c r="Z606" s="2487"/>
      <c r="AA606" s="2487"/>
      <c r="AB606" s="2487"/>
      <c r="AC606" s="2487"/>
      <c r="AD606" s="2487"/>
      <c r="AE606" s="2487"/>
      <c r="AF606" s="2487"/>
      <c r="AG606" s="2487"/>
      <c r="AH606" s="2487"/>
      <c r="AI606" s="2487"/>
      <c r="AJ606" s="2487"/>
      <c r="AK606" s="2487"/>
      <c r="AL606" s="2487"/>
      <c r="AM606" s="2487"/>
    </row>
    <row r="607" spans="1:39" ht="15.75" customHeight="1" x14ac:dyDescent="0.25">
      <c r="A607" s="2487"/>
      <c r="B607" s="2487"/>
      <c r="C607" s="2487"/>
      <c r="D607" s="2487"/>
      <c r="E607" s="2487"/>
      <c r="F607" s="2487"/>
      <c r="G607" s="2487"/>
      <c r="H607" s="2487"/>
      <c r="I607" s="2487"/>
      <c r="J607" s="2487"/>
      <c r="K607" s="2487"/>
      <c r="L607" s="2487"/>
      <c r="M607" s="2487"/>
      <c r="N607" s="2487"/>
      <c r="O607" s="2487"/>
      <c r="P607" s="2487"/>
      <c r="Q607" s="2487"/>
      <c r="R607" s="2487"/>
      <c r="S607" s="2487"/>
      <c r="T607" s="2487"/>
      <c r="U607" s="2487"/>
      <c r="V607" s="2487"/>
      <c r="W607" s="2487"/>
      <c r="X607" s="2487"/>
      <c r="Y607" s="2487"/>
      <c r="Z607" s="2487"/>
      <c r="AA607" s="2487"/>
      <c r="AB607" s="2487"/>
      <c r="AC607" s="2487"/>
      <c r="AD607" s="2487"/>
      <c r="AE607" s="2487"/>
      <c r="AF607" s="2487"/>
      <c r="AG607" s="2487"/>
      <c r="AH607" s="2487"/>
      <c r="AI607" s="2487"/>
      <c r="AJ607" s="2487"/>
      <c r="AK607" s="2487"/>
      <c r="AL607" s="2487"/>
      <c r="AM607" s="2487"/>
    </row>
    <row r="608" spans="1:39" ht="15.75" customHeight="1" x14ac:dyDescent="0.25">
      <c r="A608" s="2487"/>
      <c r="B608" s="2487"/>
      <c r="C608" s="2487"/>
      <c r="D608" s="2487"/>
      <c r="E608" s="2487"/>
      <c r="F608" s="2487"/>
      <c r="G608" s="2487"/>
      <c r="H608" s="2487"/>
      <c r="I608" s="2487"/>
      <c r="J608" s="2487"/>
      <c r="K608" s="2487"/>
      <c r="L608" s="2487"/>
      <c r="M608" s="2487"/>
      <c r="N608" s="2487"/>
      <c r="O608" s="2487"/>
      <c r="P608" s="2487"/>
      <c r="Q608" s="2487"/>
      <c r="R608" s="2487"/>
      <c r="S608" s="2487"/>
      <c r="T608" s="2487"/>
      <c r="U608" s="2487"/>
      <c r="V608" s="2487"/>
      <c r="W608" s="2487"/>
      <c r="X608" s="2487"/>
      <c r="Y608" s="2487"/>
      <c r="Z608" s="2487"/>
      <c r="AA608" s="2487"/>
      <c r="AB608" s="2487"/>
      <c r="AC608" s="2487"/>
      <c r="AD608" s="2487"/>
      <c r="AE608" s="2487"/>
      <c r="AF608" s="2487"/>
      <c r="AG608" s="2487"/>
      <c r="AH608" s="2487"/>
      <c r="AI608" s="2487"/>
      <c r="AJ608" s="2487"/>
      <c r="AK608" s="2487"/>
      <c r="AL608" s="2487"/>
      <c r="AM608" s="2487"/>
    </row>
    <row r="609" spans="1:39" ht="15.75" customHeight="1" x14ac:dyDescent="0.25">
      <c r="A609" s="2487"/>
      <c r="B609" s="2487"/>
      <c r="C609" s="2487"/>
      <c r="D609" s="2487"/>
      <c r="E609" s="2487"/>
      <c r="F609" s="2487"/>
      <c r="G609" s="2487"/>
      <c r="H609" s="2487"/>
      <c r="I609" s="2487"/>
      <c r="J609" s="2487"/>
      <c r="K609" s="2487"/>
      <c r="L609" s="2487"/>
      <c r="M609" s="2487"/>
      <c r="N609" s="2487"/>
      <c r="O609" s="2487"/>
      <c r="P609" s="2487"/>
      <c r="Q609" s="2487"/>
      <c r="R609" s="2487"/>
      <c r="S609" s="2487"/>
      <c r="T609" s="2487"/>
      <c r="U609" s="2487"/>
      <c r="V609" s="2487"/>
      <c r="W609" s="2487"/>
      <c r="X609" s="2487"/>
      <c r="Y609" s="2487"/>
      <c r="Z609" s="2487"/>
      <c r="AA609" s="2487"/>
      <c r="AB609" s="2487"/>
      <c r="AC609" s="2487"/>
      <c r="AD609" s="2487"/>
      <c r="AE609" s="2487"/>
      <c r="AF609" s="2487"/>
      <c r="AG609" s="2487"/>
      <c r="AH609" s="2487"/>
      <c r="AI609" s="2487"/>
      <c r="AJ609" s="2487"/>
      <c r="AK609" s="2487"/>
      <c r="AL609" s="2487"/>
      <c r="AM609" s="2487"/>
    </row>
    <row r="610" spans="1:39" ht="15.75" customHeight="1" x14ac:dyDescent="0.25">
      <c r="A610" s="2487"/>
      <c r="B610" s="2487"/>
      <c r="C610" s="2487"/>
      <c r="D610" s="2487"/>
      <c r="E610" s="2487"/>
      <c r="F610" s="2487"/>
      <c r="G610" s="2487"/>
      <c r="H610" s="2487"/>
      <c r="I610" s="2487"/>
      <c r="J610" s="2487"/>
      <c r="K610" s="2487"/>
      <c r="L610" s="2487"/>
      <c r="M610" s="2487"/>
      <c r="N610" s="2487"/>
      <c r="O610" s="2487"/>
      <c r="P610" s="2487"/>
      <c r="Q610" s="2487"/>
      <c r="R610" s="2487"/>
      <c r="S610" s="2487"/>
      <c r="T610" s="2487"/>
      <c r="U610" s="2487"/>
      <c r="V610" s="2487"/>
      <c r="W610" s="2487"/>
      <c r="X610" s="2487"/>
      <c r="Y610" s="2487"/>
      <c r="Z610" s="2487"/>
      <c r="AA610" s="2487"/>
      <c r="AB610" s="2487"/>
      <c r="AC610" s="2487"/>
      <c r="AD610" s="2487"/>
      <c r="AE610" s="2487"/>
      <c r="AF610" s="2487"/>
      <c r="AG610" s="2487"/>
      <c r="AH610" s="2487"/>
      <c r="AI610" s="2487"/>
      <c r="AJ610" s="2487"/>
      <c r="AK610" s="2487"/>
      <c r="AL610" s="2487"/>
      <c r="AM610" s="2487"/>
    </row>
    <row r="611" spans="1:39" ht="15.75" customHeight="1" x14ac:dyDescent="0.25">
      <c r="A611" s="2487"/>
      <c r="B611" s="2487"/>
      <c r="C611" s="2487"/>
      <c r="D611" s="2487"/>
      <c r="E611" s="2487"/>
      <c r="F611" s="2487"/>
      <c r="G611" s="2487"/>
      <c r="H611" s="2487"/>
      <c r="I611" s="2487"/>
      <c r="J611" s="2487"/>
      <c r="K611" s="2487"/>
      <c r="L611" s="2487"/>
      <c r="M611" s="2487"/>
      <c r="N611" s="2487"/>
      <c r="O611" s="2487"/>
      <c r="P611" s="2487"/>
      <c r="Q611" s="2487"/>
      <c r="R611" s="2487"/>
      <c r="S611" s="2487"/>
      <c r="T611" s="2487"/>
      <c r="U611" s="2487"/>
      <c r="V611" s="2487"/>
      <c r="W611" s="2487"/>
      <c r="X611" s="2487"/>
      <c r="Y611" s="2487"/>
      <c r="Z611" s="2487"/>
      <c r="AA611" s="2487"/>
      <c r="AB611" s="2487"/>
      <c r="AC611" s="2487"/>
      <c r="AD611" s="2487"/>
      <c r="AE611" s="2487"/>
      <c r="AF611" s="2487"/>
      <c r="AG611" s="2487"/>
      <c r="AH611" s="2487"/>
      <c r="AI611" s="2487"/>
      <c r="AJ611" s="2487"/>
      <c r="AK611" s="2487"/>
      <c r="AL611" s="2487"/>
      <c r="AM611" s="2487"/>
    </row>
    <row r="612" spans="1:39" ht="15.75" customHeight="1" x14ac:dyDescent="0.25">
      <c r="A612" s="2487"/>
      <c r="B612" s="2487"/>
      <c r="C612" s="2487"/>
      <c r="D612" s="2487"/>
      <c r="E612" s="2487"/>
      <c r="F612" s="2487"/>
      <c r="G612" s="2487"/>
      <c r="H612" s="2487"/>
      <c r="I612" s="2487"/>
      <c r="J612" s="2487"/>
      <c r="K612" s="2487"/>
      <c r="L612" s="2487"/>
      <c r="M612" s="2487"/>
      <c r="N612" s="2487"/>
      <c r="O612" s="2487"/>
      <c r="P612" s="2487"/>
      <c r="Q612" s="2487"/>
      <c r="R612" s="2487"/>
      <c r="S612" s="2487"/>
      <c r="T612" s="2487"/>
      <c r="U612" s="2487"/>
      <c r="V612" s="2487"/>
      <c r="W612" s="2487"/>
      <c r="X612" s="2487"/>
      <c r="Y612" s="2487"/>
      <c r="Z612" s="2487"/>
      <c r="AA612" s="2487"/>
      <c r="AB612" s="2487"/>
      <c r="AC612" s="2487"/>
      <c r="AD612" s="2487"/>
      <c r="AE612" s="2487"/>
      <c r="AF612" s="2487"/>
      <c r="AG612" s="2487"/>
      <c r="AH612" s="2487"/>
      <c r="AI612" s="2487"/>
      <c r="AJ612" s="2487"/>
      <c r="AK612" s="2487"/>
      <c r="AL612" s="2487"/>
      <c r="AM612" s="2487"/>
    </row>
    <row r="613" spans="1:39" ht="15.75" customHeight="1" x14ac:dyDescent="0.25">
      <c r="A613" s="2487"/>
      <c r="B613" s="2487"/>
      <c r="C613" s="2487"/>
      <c r="D613" s="2487"/>
      <c r="E613" s="2487"/>
      <c r="F613" s="2487"/>
      <c r="G613" s="2487"/>
      <c r="H613" s="2487"/>
      <c r="I613" s="2487"/>
      <c r="J613" s="2487"/>
      <c r="K613" s="2487"/>
      <c r="L613" s="2487"/>
      <c r="M613" s="2487"/>
      <c r="N613" s="2487"/>
      <c r="O613" s="2487"/>
      <c r="P613" s="2487"/>
      <c r="Q613" s="2487"/>
      <c r="R613" s="2487"/>
      <c r="S613" s="2487"/>
      <c r="T613" s="2487"/>
      <c r="U613" s="2487"/>
      <c r="V613" s="2487"/>
      <c r="W613" s="2487"/>
      <c r="X613" s="2487"/>
      <c r="Y613" s="2487"/>
      <c r="Z613" s="2487"/>
      <c r="AA613" s="2487"/>
      <c r="AB613" s="2487"/>
      <c r="AC613" s="2487"/>
      <c r="AD613" s="2487"/>
      <c r="AE613" s="2487"/>
      <c r="AF613" s="2487"/>
      <c r="AG613" s="2487"/>
      <c r="AH613" s="2487"/>
      <c r="AI613" s="2487"/>
      <c r="AJ613" s="2487"/>
      <c r="AK613" s="2487"/>
      <c r="AL613" s="2487"/>
      <c r="AM613" s="2487"/>
    </row>
    <row r="614" spans="1:39" ht="15.75" customHeight="1" x14ac:dyDescent="0.25">
      <c r="A614" s="2487"/>
      <c r="B614" s="2487"/>
      <c r="C614" s="2487"/>
      <c r="D614" s="2487"/>
      <c r="E614" s="2487"/>
      <c r="F614" s="2487"/>
      <c r="G614" s="2487"/>
      <c r="H614" s="2487"/>
      <c r="I614" s="2487"/>
      <c r="J614" s="2487"/>
      <c r="K614" s="2487"/>
      <c r="L614" s="2487"/>
      <c r="M614" s="2487"/>
      <c r="N614" s="2487"/>
      <c r="O614" s="2487"/>
      <c r="P614" s="2487"/>
      <c r="Q614" s="2487"/>
      <c r="R614" s="2487"/>
      <c r="S614" s="2487"/>
      <c r="T614" s="2487"/>
      <c r="U614" s="2487"/>
      <c r="V614" s="2487"/>
      <c r="W614" s="2487"/>
      <c r="X614" s="2487"/>
      <c r="Y614" s="2487"/>
      <c r="Z614" s="2487"/>
      <c r="AA614" s="2487"/>
      <c r="AB614" s="2487"/>
      <c r="AC614" s="2487"/>
      <c r="AD614" s="2487"/>
      <c r="AE614" s="2487"/>
      <c r="AF614" s="2487"/>
      <c r="AG614" s="2487"/>
      <c r="AH614" s="2487"/>
      <c r="AI614" s="2487"/>
      <c r="AJ614" s="2487"/>
      <c r="AK614" s="2487"/>
      <c r="AL614" s="2487"/>
      <c r="AM614" s="2487"/>
    </row>
    <row r="615" spans="1:39" ht="15.75" customHeight="1" x14ac:dyDescent="0.25">
      <c r="A615" s="2487"/>
      <c r="B615" s="2487"/>
      <c r="C615" s="2487"/>
      <c r="D615" s="2487"/>
      <c r="E615" s="2487"/>
      <c r="F615" s="2487"/>
      <c r="G615" s="2487"/>
      <c r="H615" s="2487"/>
      <c r="I615" s="2487"/>
      <c r="J615" s="2487"/>
      <c r="K615" s="2487"/>
      <c r="L615" s="2487"/>
      <c r="M615" s="2487"/>
      <c r="N615" s="2487"/>
      <c r="O615" s="2487"/>
      <c r="P615" s="2487"/>
      <c r="Q615" s="2487"/>
      <c r="R615" s="2487"/>
      <c r="S615" s="2487"/>
      <c r="T615" s="2487"/>
      <c r="U615" s="2487"/>
      <c r="V615" s="2487"/>
      <c r="W615" s="2487"/>
      <c r="X615" s="2487"/>
      <c r="Y615" s="2487"/>
      <c r="Z615" s="2487"/>
      <c r="AA615" s="2487"/>
      <c r="AB615" s="2487"/>
      <c r="AC615" s="2487"/>
      <c r="AD615" s="2487"/>
      <c r="AE615" s="2487"/>
      <c r="AF615" s="2487"/>
      <c r="AG615" s="2487"/>
      <c r="AH615" s="2487"/>
      <c r="AI615" s="2487"/>
      <c r="AJ615" s="2487"/>
      <c r="AK615" s="2487"/>
      <c r="AL615" s="2487"/>
      <c r="AM615" s="2487"/>
    </row>
    <row r="616" spans="1:39" ht="15.75" customHeight="1" x14ac:dyDescent="0.25">
      <c r="A616" s="2487"/>
      <c r="B616" s="2487"/>
      <c r="C616" s="2487"/>
      <c r="D616" s="2487"/>
      <c r="E616" s="2487"/>
      <c r="F616" s="2487"/>
      <c r="G616" s="2487"/>
      <c r="H616" s="2487"/>
      <c r="I616" s="2487"/>
      <c r="J616" s="2487"/>
      <c r="K616" s="2487"/>
      <c r="L616" s="2487"/>
      <c r="M616" s="2487"/>
      <c r="N616" s="2487"/>
      <c r="O616" s="2487"/>
      <c r="P616" s="2487"/>
      <c r="Q616" s="2487"/>
      <c r="R616" s="2487"/>
      <c r="S616" s="2487"/>
      <c r="T616" s="2487"/>
      <c r="U616" s="2487"/>
      <c r="V616" s="2487"/>
      <c r="W616" s="2487"/>
      <c r="X616" s="2487"/>
      <c r="Y616" s="2487"/>
      <c r="Z616" s="2487"/>
      <c r="AA616" s="2487"/>
      <c r="AB616" s="2487"/>
      <c r="AC616" s="2487"/>
      <c r="AD616" s="2487"/>
      <c r="AE616" s="2487"/>
      <c r="AF616" s="2487"/>
      <c r="AG616" s="2487"/>
      <c r="AH616" s="2487"/>
      <c r="AI616" s="2487"/>
      <c r="AJ616" s="2487"/>
      <c r="AK616" s="2487"/>
      <c r="AL616" s="2487"/>
      <c r="AM616" s="2487"/>
    </row>
    <row r="617" spans="1:39" ht="15.75" customHeight="1" x14ac:dyDescent="0.25">
      <c r="A617" s="2487"/>
      <c r="B617" s="2487"/>
      <c r="C617" s="2487"/>
      <c r="D617" s="2487"/>
      <c r="E617" s="2487"/>
      <c r="F617" s="2487"/>
      <c r="G617" s="2487"/>
      <c r="H617" s="2487"/>
      <c r="I617" s="2487"/>
      <c r="J617" s="2487"/>
      <c r="K617" s="2487"/>
      <c r="L617" s="2487"/>
      <c r="M617" s="2487"/>
      <c r="N617" s="2487"/>
      <c r="O617" s="2487"/>
      <c r="P617" s="2487"/>
      <c r="Q617" s="2487"/>
      <c r="R617" s="2487"/>
      <c r="S617" s="2487"/>
      <c r="T617" s="2487"/>
      <c r="U617" s="2487"/>
      <c r="V617" s="2487"/>
      <c r="W617" s="2487"/>
      <c r="X617" s="2487"/>
      <c r="Y617" s="2487"/>
      <c r="Z617" s="2487"/>
      <c r="AA617" s="2487"/>
      <c r="AB617" s="2487"/>
      <c r="AC617" s="2487"/>
      <c r="AD617" s="2487"/>
      <c r="AE617" s="2487"/>
      <c r="AF617" s="2487"/>
      <c r="AG617" s="2487"/>
      <c r="AH617" s="2487"/>
      <c r="AI617" s="2487"/>
      <c r="AJ617" s="2487"/>
      <c r="AK617" s="2487"/>
      <c r="AL617" s="2487"/>
      <c r="AM617" s="2487"/>
    </row>
    <row r="618" spans="1:39" ht="15.75" customHeight="1" x14ac:dyDescent="0.25">
      <c r="A618" s="2487"/>
      <c r="B618" s="2487"/>
      <c r="C618" s="2487"/>
      <c r="D618" s="2487"/>
      <c r="E618" s="2487"/>
      <c r="F618" s="2487"/>
      <c r="G618" s="2487"/>
      <c r="H618" s="2487"/>
      <c r="I618" s="2487"/>
      <c r="J618" s="2487"/>
      <c r="K618" s="2487"/>
      <c r="L618" s="2487"/>
      <c r="M618" s="2487"/>
      <c r="N618" s="2487"/>
      <c r="O618" s="2487"/>
      <c r="P618" s="2487"/>
      <c r="Q618" s="2487"/>
      <c r="R618" s="2487"/>
      <c r="S618" s="2487"/>
      <c r="T618" s="2487"/>
      <c r="U618" s="2487"/>
      <c r="V618" s="2487"/>
      <c r="W618" s="2487"/>
      <c r="X618" s="2487"/>
      <c r="Y618" s="2487"/>
      <c r="Z618" s="2487"/>
      <c r="AA618" s="2487"/>
      <c r="AB618" s="2487"/>
      <c r="AC618" s="2487"/>
      <c r="AD618" s="2487"/>
      <c r="AE618" s="2487"/>
      <c r="AF618" s="2487"/>
      <c r="AG618" s="2487"/>
      <c r="AH618" s="2487"/>
      <c r="AI618" s="2487"/>
      <c r="AJ618" s="2487"/>
      <c r="AK618" s="2487"/>
      <c r="AL618" s="2487"/>
      <c r="AM618" s="2487"/>
    </row>
    <row r="619" spans="1:39" ht="15.75" customHeight="1" x14ac:dyDescent="0.25">
      <c r="A619" s="2487"/>
      <c r="B619" s="2487"/>
      <c r="C619" s="2487"/>
      <c r="D619" s="2487"/>
      <c r="E619" s="2487"/>
      <c r="F619" s="2487"/>
      <c r="G619" s="2487"/>
      <c r="H619" s="2487"/>
      <c r="I619" s="2487"/>
      <c r="J619" s="2487"/>
      <c r="K619" s="2487"/>
      <c r="L619" s="2487"/>
      <c r="M619" s="2487"/>
      <c r="N619" s="2487"/>
      <c r="O619" s="2487"/>
      <c r="P619" s="2487"/>
      <c r="Q619" s="2487"/>
      <c r="R619" s="2487"/>
      <c r="S619" s="2487"/>
      <c r="T619" s="2487"/>
      <c r="U619" s="2487"/>
      <c r="V619" s="2487"/>
      <c r="W619" s="2487"/>
      <c r="X619" s="2487"/>
      <c r="Y619" s="2487"/>
      <c r="Z619" s="2487"/>
      <c r="AA619" s="2487"/>
      <c r="AB619" s="2487"/>
      <c r="AC619" s="2487"/>
      <c r="AD619" s="2487"/>
      <c r="AE619" s="2487"/>
      <c r="AF619" s="2487"/>
      <c r="AG619" s="2487"/>
      <c r="AH619" s="2487"/>
      <c r="AI619" s="2487"/>
      <c r="AJ619" s="2487"/>
      <c r="AK619" s="2487"/>
      <c r="AL619" s="2487"/>
      <c r="AM619" s="2487"/>
    </row>
    <row r="620" spans="1:39" ht="15.75" customHeight="1" x14ac:dyDescent="0.25">
      <c r="A620" s="2487"/>
      <c r="B620" s="2487"/>
      <c r="C620" s="2487"/>
      <c r="D620" s="2487"/>
      <c r="E620" s="2487"/>
      <c r="F620" s="2487"/>
      <c r="G620" s="2487"/>
      <c r="H620" s="2487"/>
      <c r="I620" s="2487"/>
      <c r="J620" s="2487"/>
      <c r="K620" s="2487"/>
      <c r="L620" s="2487"/>
      <c r="M620" s="2487"/>
      <c r="N620" s="2487"/>
      <c r="O620" s="2487"/>
      <c r="P620" s="2487"/>
      <c r="Q620" s="2487"/>
      <c r="R620" s="2487"/>
      <c r="S620" s="2487"/>
      <c r="T620" s="2487"/>
      <c r="U620" s="2487"/>
      <c r="V620" s="2487"/>
      <c r="W620" s="2487"/>
      <c r="X620" s="2487"/>
      <c r="Y620" s="2487"/>
      <c r="Z620" s="2487"/>
      <c r="AA620" s="2487"/>
      <c r="AB620" s="2487"/>
      <c r="AC620" s="2487"/>
      <c r="AD620" s="2487"/>
      <c r="AE620" s="2487"/>
      <c r="AF620" s="2487"/>
      <c r="AG620" s="2487"/>
      <c r="AH620" s="2487"/>
      <c r="AI620" s="2487"/>
      <c r="AJ620" s="2487"/>
      <c r="AK620" s="2487"/>
      <c r="AL620" s="2487"/>
      <c r="AM620" s="2487"/>
    </row>
    <row r="621" spans="1:39" ht="15.75" customHeight="1" x14ac:dyDescent="0.25">
      <c r="A621" s="2487"/>
      <c r="B621" s="2487"/>
      <c r="C621" s="2487"/>
      <c r="D621" s="2487"/>
      <c r="E621" s="2487"/>
      <c r="F621" s="2487"/>
      <c r="G621" s="2487"/>
      <c r="H621" s="2487"/>
      <c r="I621" s="2487"/>
      <c r="J621" s="2487"/>
      <c r="K621" s="2487"/>
      <c r="L621" s="2487"/>
      <c r="M621" s="2487"/>
      <c r="N621" s="2487"/>
      <c r="O621" s="2487"/>
      <c r="P621" s="2487"/>
      <c r="Q621" s="2487"/>
      <c r="R621" s="2487"/>
      <c r="S621" s="2487"/>
      <c r="T621" s="2487"/>
      <c r="U621" s="2487"/>
      <c r="V621" s="2487"/>
      <c r="W621" s="2487"/>
      <c r="X621" s="2487"/>
      <c r="Y621" s="2487"/>
      <c r="Z621" s="2487"/>
      <c r="AA621" s="2487"/>
      <c r="AB621" s="2487"/>
      <c r="AC621" s="2487"/>
      <c r="AD621" s="2487"/>
      <c r="AE621" s="2487"/>
      <c r="AF621" s="2487"/>
      <c r="AG621" s="2487"/>
      <c r="AH621" s="2487"/>
      <c r="AI621" s="2487"/>
      <c r="AJ621" s="2487"/>
      <c r="AK621" s="2487"/>
      <c r="AL621" s="2487"/>
      <c r="AM621" s="2487"/>
    </row>
    <row r="622" spans="1:39" ht="15.75" customHeight="1" x14ac:dyDescent="0.25">
      <c r="A622" s="2487"/>
      <c r="B622" s="2487"/>
      <c r="C622" s="2487"/>
      <c r="D622" s="2487"/>
      <c r="E622" s="2487"/>
      <c r="F622" s="2487"/>
      <c r="G622" s="2487"/>
      <c r="H622" s="2487"/>
      <c r="I622" s="2487"/>
      <c r="J622" s="2487"/>
      <c r="K622" s="2487"/>
      <c r="L622" s="2487"/>
      <c r="M622" s="2487"/>
      <c r="N622" s="2487"/>
      <c r="O622" s="2487"/>
      <c r="P622" s="2487"/>
      <c r="Q622" s="2487"/>
      <c r="R622" s="2487"/>
      <c r="S622" s="2487"/>
      <c r="T622" s="2487"/>
      <c r="U622" s="2487"/>
      <c r="V622" s="2487"/>
      <c r="W622" s="2487"/>
      <c r="X622" s="2487"/>
      <c r="Y622" s="2487"/>
      <c r="Z622" s="2487"/>
      <c r="AA622" s="2487"/>
      <c r="AB622" s="2487"/>
      <c r="AC622" s="2487"/>
      <c r="AD622" s="2487"/>
      <c r="AE622" s="2487"/>
      <c r="AF622" s="2487"/>
      <c r="AG622" s="2487"/>
      <c r="AH622" s="2487"/>
      <c r="AI622" s="2487"/>
      <c r="AJ622" s="2487"/>
      <c r="AK622" s="2487"/>
      <c r="AL622" s="2487"/>
      <c r="AM622" s="2487"/>
    </row>
    <row r="623" spans="1:39" ht="15.75" customHeight="1" x14ac:dyDescent="0.25">
      <c r="A623" s="2487"/>
      <c r="B623" s="2487"/>
      <c r="C623" s="2487"/>
      <c r="D623" s="2487"/>
      <c r="E623" s="2487"/>
      <c r="F623" s="2487"/>
      <c r="G623" s="2487"/>
      <c r="H623" s="2487"/>
      <c r="I623" s="2487"/>
      <c r="J623" s="2487"/>
      <c r="K623" s="2487"/>
      <c r="L623" s="2487"/>
      <c r="M623" s="2487"/>
      <c r="N623" s="2487"/>
      <c r="O623" s="2487"/>
      <c r="P623" s="2487"/>
      <c r="Q623" s="2487"/>
      <c r="R623" s="2487"/>
      <c r="S623" s="2487"/>
      <c r="T623" s="2487"/>
      <c r="U623" s="2487"/>
      <c r="V623" s="2487"/>
      <c r="W623" s="2487"/>
      <c r="X623" s="2487"/>
      <c r="Y623" s="2487"/>
      <c r="Z623" s="2487"/>
      <c r="AA623" s="2487"/>
      <c r="AB623" s="2487"/>
      <c r="AC623" s="2487"/>
      <c r="AD623" s="2487"/>
      <c r="AE623" s="2487"/>
      <c r="AF623" s="2487"/>
      <c r="AG623" s="2487"/>
      <c r="AH623" s="2487"/>
      <c r="AI623" s="2487"/>
      <c r="AJ623" s="2487"/>
      <c r="AK623" s="2487"/>
      <c r="AL623" s="2487"/>
      <c r="AM623" s="2487"/>
    </row>
    <row r="624" spans="1:39" ht="15.75" customHeight="1" x14ac:dyDescent="0.25">
      <c r="A624" s="2487"/>
      <c r="B624" s="2487"/>
      <c r="C624" s="2487"/>
      <c r="D624" s="2487"/>
      <c r="E624" s="2487"/>
      <c r="F624" s="2487"/>
      <c r="G624" s="2487"/>
      <c r="H624" s="2487"/>
      <c r="I624" s="2487"/>
      <c r="J624" s="2487"/>
      <c r="K624" s="2487"/>
      <c r="L624" s="2487"/>
      <c r="M624" s="2487"/>
      <c r="N624" s="2487"/>
      <c r="O624" s="2487"/>
      <c r="P624" s="2487"/>
      <c r="Q624" s="2487"/>
      <c r="R624" s="2487"/>
      <c r="S624" s="2487"/>
      <c r="T624" s="2487"/>
      <c r="U624" s="2487"/>
      <c r="V624" s="2487"/>
      <c r="W624" s="2487"/>
      <c r="X624" s="2487"/>
      <c r="Y624" s="2487"/>
      <c r="Z624" s="2487"/>
      <c r="AA624" s="2487"/>
      <c r="AB624" s="2487"/>
      <c r="AC624" s="2487"/>
      <c r="AD624" s="2487"/>
      <c r="AE624" s="2487"/>
      <c r="AF624" s="2487"/>
      <c r="AG624" s="2487"/>
      <c r="AH624" s="2487"/>
      <c r="AI624" s="2487"/>
      <c r="AJ624" s="2487"/>
      <c r="AK624" s="2487"/>
      <c r="AL624" s="2487"/>
      <c r="AM624" s="2487"/>
    </row>
    <row r="625" spans="1:39" ht="15.75" customHeight="1" x14ac:dyDescent="0.25">
      <c r="A625" s="2487"/>
      <c r="B625" s="2487"/>
      <c r="C625" s="2487"/>
      <c r="D625" s="2487"/>
      <c r="E625" s="2487"/>
      <c r="F625" s="2487"/>
      <c r="G625" s="2487"/>
      <c r="H625" s="2487"/>
      <c r="I625" s="2487"/>
      <c r="J625" s="2487"/>
      <c r="K625" s="2487"/>
      <c r="L625" s="2487"/>
      <c r="M625" s="2487"/>
      <c r="N625" s="2487"/>
      <c r="O625" s="2487"/>
      <c r="P625" s="2487"/>
      <c r="Q625" s="2487"/>
      <c r="R625" s="2487"/>
      <c r="S625" s="2487"/>
      <c r="T625" s="2487"/>
      <c r="U625" s="2487"/>
      <c r="V625" s="2487"/>
      <c r="W625" s="2487"/>
      <c r="X625" s="2487"/>
      <c r="Y625" s="2487"/>
      <c r="Z625" s="2487"/>
      <c r="AA625" s="2487"/>
      <c r="AB625" s="2487"/>
      <c r="AC625" s="2487"/>
      <c r="AD625" s="2487"/>
      <c r="AE625" s="2487"/>
      <c r="AF625" s="2487"/>
      <c r="AG625" s="2487"/>
      <c r="AH625" s="2487"/>
      <c r="AI625" s="2487"/>
      <c r="AJ625" s="2487"/>
      <c r="AK625" s="2487"/>
      <c r="AL625" s="2487"/>
      <c r="AM625" s="2487"/>
    </row>
    <row r="626" spans="1:39" ht="15.75" customHeight="1" x14ac:dyDescent="0.25">
      <c r="A626" s="2487"/>
      <c r="B626" s="2487"/>
      <c r="C626" s="2487"/>
      <c r="D626" s="2487"/>
      <c r="E626" s="2487"/>
      <c r="F626" s="2487"/>
      <c r="G626" s="2487"/>
      <c r="H626" s="2487"/>
      <c r="I626" s="2487"/>
      <c r="J626" s="2487"/>
      <c r="K626" s="2487"/>
      <c r="L626" s="2487"/>
      <c r="M626" s="2487"/>
      <c r="N626" s="2487"/>
      <c r="O626" s="2487"/>
      <c r="P626" s="2487"/>
      <c r="Q626" s="2487"/>
      <c r="R626" s="2487"/>
      <c r="S626" s="2487"/>
      <c r="T626" s="2487"/>
      <c r="U626" s="2487"/>
      <c r="V626" s="2487"/>
      <c r="W626" s="2487"/>
      <c r="X626" s="2487"/>
      <c r="Y626" s="2487"/>
      <c r="Z626" s="2487"/>
      <c r="AA626" s="2487"/>
      <c r="AB626" s="2487"/>
      <c r="AC626" s="2487"/>
      <c r="AD626" s="2487"/>
      <c r="AE626" s="2487"/>
      <c r="AF626" s="2487"/>
      <c r="AG626" s="2487"/>
      <c r="AH626" s="2487"/>
      <c r="AI626" s="2487"/>
      <c r="AJ626" s="2487"/>
      <c r="AK626" s="2487"/>
      <c r="AL626" s="2487"/>
      <c r="AM626" s="2487"/>
    </row>
    <row r="627" spans="1:39" ht="15.75" customHeight="1" x14ac:dyDescent="0.25">
      <c r="A627" s="2487"/>
      <c r="B627" s="2487"/>
      <c r="C627" s="2487"/>
      <c r="D627" s="2487"/>
      <c r="E627" s="2487"/>
      <c r="F627" s="2487"/>
      <c r="G627" s="2487"/>
      <c r="H627" s="2487"/>
      <c r="I627" s="2487"/>
      <c r="J627" s="2487"/>
      <c r="K627" s="2487"/>
      <c r="L627" s="2487"/>
      <c r="M627" s="2487"/>
      <c r="N627" s="2487"/>
      <c r="O627" s="2487"/>
      <c r="P627" s="2487"/>
      <c r="Q627" s="2487"/>
      <c r="R627" s="2487"/>
      <c r="S627" s="2487"/>
      <c r="T627" s="2487"/>
      <c r="U627" s="2487"/>
      <c r="V627" s="2487"/>
      <c r="W627" s="2487"/>
      <c r="X627" s="2487"/>
      <c r="Y627" s="2487"/>
      <c r="Z627" s="2487"/>
      <c r="AA627" s="2487"/>
      <c r="AB627" s="2487"/>
      <c r="AC627" s="2487"/>
      <c r="AD627" s="2487"/>
      <c r="AE627" s="2487"/>
      <c r="AF627" s="2487"/>
      <c r="AG627" s="2487"/>
      <c r="AH627" s="2487"/>
      <c r="AI627" s="2487"/>
      <c r="AJ627" s="2487"/>
      <c r="AK627" s="2487"/>
      <c r="AL627" s="2487"/>
      <c r="AM627" s="2487"/>
    </row>
    <row r="628" spans="1:39" ht="15.75" customHeight="1" x14ac:dyDescent="0.25">
      <c r="A628" s="2487"/>
      <c r="B628" s="2487"/>
      <c r="C628" s="2487"/>
      <c r="D628" s="2487"/>
      <c r="E628" s="2487"/>
      <c r="F628" s="2487"/>
      <c r="G628" s="2487"/>
      <c r="H628" s="2487"/>
      <c r="I628" s="2487"/>
      <c r="J628" s="2487"/>
      <c r="K628" s="2487"/>
      <c r="L628" s="2487"/>
      <c r="M628" s="2487"/>
      <c r="N628" s="2487"/>
      <c r="O628" s="2487"/>
      <c r="P628" s="2487"/>
      <c r="Q628" s="2487"/>
      <c r="R628" s="2487"/>
      <c r="S628" s="2487"/>
      <c r="T628" s="2487"/>
      <c r="U628" s="2487"/>
      <c r="V628" s="2487"/>
      <c r="W628" s="2487"/>
      <c r="X628" s="2487"/>
      <c r="Y628" s="2487"/>
      <c r="Z628" s="2487"/>
      <c r="AA628" s="2487"/>
      <c r="AB628" s="2487"/>
      <c r="AC628" s="2487"/>
      <c r="AD628" s="2487"/>
      <c r="AE628" s="2487"/>
      <c r="AF628" s="2487"/>
      <c r="AG628" s="2487"/>
      <c r="AH628" s="2487"/>
      <c r="AI628" s="2487"/>
      <c r="AJ628" s="2487"/>
      <c r="AK628" s="2487"/>
      <c r="AL628" s="2487"/>
      <c r="AM628" s="2487"/>
    </row>
    <row r="629" spans="1:39" ht="15.75" customHeight="1" x14ac:dyDescent="0.25">
      <c r="A629" s="2487"/>
      <c r="B629" s="2487"/>
      <c r="C629" s="2487"/>
      <c r="D629" s="2487"/>
      <c r="E629" s="2487"/>
      <c r="F629" s="2487"/>
      <c r="G629" s="2487"/>
      <c r="H629" s="2487"/>
      <c r="I629" s="2487"/>
      <c r="J629" s="2487"/>
      <c r="K629" s="2487"/>
      <c r="L629" s="2487"/>
      <c r="M629" s="2487"/>
      <c r="N629" s="2487"/>
      <c r="O629" s="2487"/>
      <c r="P629" s="2487"/>
      <c r="Q629" s="2487"/>
      <c r="R629" s="2487"/>
      <c r="S629" s="2487"/>
      <c r="T629" s="2487"/>
      <c r="U629" s="2487"/>
      <c r="V629" s="2487"/>
      <c r="W629" s="2487"/>
      <c r="X629" s="2487"/>
      <c r="Y629" s="2487"/>
      <c r="Z629" s="2487"/>
      <c r="AA629" s="2487"/>
      <c r="AB629" s="2487"/>
      <c r="AC629" s="2487"/>
      <c r="AD629" s="2487"/>
      <c r="AE629" s="2487"/>
      <c r="AF629" s="2487"/>
      <c r="AG629" s="2487"/>
      <c r="AH629" s="2487"/>
      <c r="AI629" s="2487"/>
      <c r="AJ629" s="2487"/>
      <c r="AK629" s="2487"/>
      <c r="AL629" s="2487"/>
      <c r="AM629" s="2487"/>
    </row>
    <row r="630" spans="1:39" ht="15.75" customHeight="1" x14ac:dyDescent="0.25">
      <c r="A630" s="2487"/>
      <c r="B630" s="2487"/>
      <c r="C630" s="2487"/>
      <c r="D630" s="2487"/>
      <c r="E630" s="2487"/>
      <c r="F630" s="2487"/>
      <c r="G630" s="2487"/>
      <c r="H630" s="2487"/>
      <c r="I630" s="2487"/>
      <c r="J630" s="2487"/>
      <c r="K630" s="2487"/>
      <c r="L630" s="2487"/>
      <c r="M630" s="2487"/>
      <c r="N630" s="2487"/>
      <c r="O630" s="2487"/>
      <c r="P630" s="2487"/>
      <c r="Q630" s="2487"/>
      <c r="R630" s="2487"/>
      <c r="S630" s="2487"/>
      <c r="T630" s="2487"/>
      <c r="U630" s="2487"/>
      <c r="V630" s="2487"/>
      <c r="W630" s="2487"/>
      <c r="X630" s="2487"/>
      <c r="Y630" s="2487"/>
      <c r="Z630" s="2487"/>
      <c r="AA630" s="2487"/>
      <c r="AB630" s="2487"/>
      <c r="AC630" s="2487"/>
      <c r="AD630" s="2487"/>
      <c r="AE630" s="2487"/>
      <c r="AF630" s="2487"/>
      <c r="AG630" s="2487"/>
      <c r="AH630" s="2487"/>
      <c r="AI630" s="2487"/>
      <c r="AJ630" s="2487"/>
      <c r="AK630" s="2487"/>
      <c r="AL630" s="2487"/>
      <c r="AM630" s="2487"/>
    </row>
    <row r="631" spans="1:39" ht="15.75" customHeight="1" x14ac:dyDescent="0.25">
      <c r="A631" s="2487"/>
      <c r="B631" s="2487"/>
      <c r="C631" s="2487"/>
      <c r="D631" s="2487"/>
      <c r="E631" s="2487"/>
      <c r="F631" s="2487"/>
      <c r="G631" s="2487"/>
      <c r="H631" s="2487"/>
      <c r="I631" s="2487"/>
      <c r="J631" s="2487"/>
      <c r="K631" s="2487"/>
      <c r="L631" s="2487"/>
      <c r="M631" s="2487"/>
      <c r="N631" s="2487"/>
      <c r="O631" s="2487"/>
      <c r="P631" s="2487"/>
      <c r="Q631" s="2487"/>
      <c r="R631" s="2487"/>
      <c r="S631" s="2487"/>
      <c r="T631" s="2487"/>
      <c r="U631" s="2487"/>
      <c r="V631" s="2487"/>
      <c r="W631" s="2487"/>
      <c r="X631" s="2487"/>
      <c r="Y631" s="2487"/>
      <c r="Z631" s="2487"/>
      <c r="AA631" s="2487"/>
      <c r="AB631" s="2487"/>
      <c r="AC631" s="2487"/>
      <c r="AD631" s="2487"/>
      <c r="AE631" s="2487"/>
      <c r="AF631" s="2487"/>
      <c r="AG631" s="2487"/>
      <c r="AH631" s="2487"/>
      <c r="AI631" s="2487"/>
      <c r="AJ631" s="2487"/>
      <c r="AK631" s="2487"/>
      <c r="AL631" s="2487"/>
      <c r="AM631" s="2487"/>
    </row>
    <row r="632" spans="1:39" ht="15.75" customHeight="1" x14ac:dyDescent="0.25">
      <c r="A632" s="2487"/>
      <c r="B632" s="2487"/>
      <c r="C632" s="2487"/>
      <c r="D632" s="2487"/>
      <c r="E632" s="2487"/>
      <c r="F632" s="2487"/>
      <c r="G632" s="2487"/>
      <c r="H632" s="2487"/>
      <c r="I632" s="2487"/>
      <c r="J632" s="2487"/>
      <c r="K632" s="2487"/>
      <c r="L632" s="2487"/>
      <c r="M632" s="2487"/>
      <c r="N632" s="2487"/>
      <c r="O632" s="2487"/>
      <c r="P632" s="2487"/>
      <c r="Q632" s="2487"/>
      <c r="R632" s="2487"/>
      <c r="S632" s="2487"/>
      <c r="T632" s="2487"/>
      <c r="U632" s="2487"/>
      <c r="V632" s="2487"/>
      <c r="W632" s="2487"/>
      <c r="X632" s="2487"/>
      <c r="Y632" s="2487"/>
      <c r="Z632" s="2487"/>
      <c r="AA632" s="2487"/>
      <c r="AB632" s="2487"/>
      <c r="AC632" s="2487"/>
      <c r="AD632" s="2487"/>
      <c r="AE632" s="2487"/>
      <c r="AF632" s="2487"/>
      <c r="AG632" s="2487"/>
      <c r="AH632" s="2487"/>
      <c r="AI632" s="2487"/>
      <c r="AJ632" s="2487"/>
      <c r="AK632" s="2487"/>
      <c r="AL632" s="2487"/>
      <c r="AM632" s="2487"/>
    </row>
    <row r="633" spans="1:39" ht="15.75" customHeight="1" x14ac:dyDescent="0.25">
      <c r="A633" s="2487"/>
      <c r="B633" s="2487"/>
      <c r="C633" s="2487"/>
      <c r="D633" s="2487"/>
      <c r="E633" s="2487"/>
      <c r="F633" s="2487"/>
      <c r="G633" s="2487"/>
      <c r="H633" s="2487"/>
      <c r="I633" s="2487"/>
      <c r="J633" s="2487"/>
      <c r="K633" s="2487"/>
      <c r="L633" s="2487"/>
      <c r="M633" s="2487"/>
      <c r="N633" s="2487"/>
      <c r="O633" s="2487"/>
      <c r="P633" s="2487"/>
      <c r="Q633" s="2487"/>
      <c r="R633" s="2487"/>
      <c r="S633" s="2487"/>
      <c r="T633" s="2487"/>
      <c r="U633" s="2487"/>
      <c r="V633" s="2487"/>
      <c r="W633" s="2487"/>
      <c r="X633" s="2487"/>
      <c r="Y633" s="2487"/>
      <c r="Z633" s="2487"/>
      <c r="AA633" s="2487"/>
      <c r="AB633" s="2487"/>
      <c r="AC633" s="2487"/>
      <c r="AD633" s="2487"/>
      <c r="AE633" s="2487"/>
      <c r="AF633" s="2487"/>
      <c r="AG633" s="2487"/>
      <c r="AH633" s="2487"/>
      <c r="AI633" s="2487"/>
      <c r="AJ633" s="2487"/>
      <c r="AK633" s="2487"/>
      <c r="AL633" s="2487"/>
      <c r="AM633" s="2487"/>
    </row>
    <row r="634" spans="1:39" ht="15.75" customHeight="1" x14ac:dyDescent="0.25">
      <c r="A634" s="2487"/>
      <c r="B634" s="2487"/>
      <c r="C634" s="2487"/>
      <c r="D634" s="2487"/>
      <c r="E634" s="2487"/>
      <c r="F634" s="2487"/>
      <c r="G634" s="2487"/>
      <c r="H634" s="2487"/>
      <c r="I634" s="2487"/>
      <c r="J634" s="2487"/>
      <c r="K634" s="2487"/>
      <c r="L634" s="2487"/>
      <c r="M634" s="2487"/>
      <c r="N634" s="2487"/>
      <c r="O634" s="2487"/>
      <c r="P634" s="2487"/>
      <c r="Q634" s="2487"/>
      <c r="R634" s="2487"/>
      <c r="S634" s="2487"/>
      <c r="T634" s="2487"/>
      <c r="U634" s="2487"/>
      <c r="V634" s="2487"/>
      <c r="W634" s="2487"/>
      <c r="X634" s="2487"/>
      <c r="Y634" s="2487"/>
      <c r="Z634" s="2487"/>
      <c r="AA634" s="2487"/>
      <c r="AB634" s="2487"/>
      <c r="AC634" s="2487"/>
      <c r="AD634" s="2487"/>
      <c r="AE634" s="2487"/>
      <c r="AF634" s="2487"/>
      <c r="AG634" s="2487"/>
      <c r="AH634" s="2487"/>
      <c r="AI634" s="2487"/>
      <c r="AJ634" s="2487"/>
      <c r="AK634" s="2487"/>
      <c r="AL634" s="2487"/>
      <c r="AM634" s="2487"/>
    </row>
    <row r="635" spans="1:39" ht="15.75" customHeight="1" x14ac:dyDescent="0.25">
      <c r="A635" s="2487"/>
      <c r="B635" s="2487"/>
      <c r="C635" s="2487"/>
      <c r="D635" s="2487"/>
      <c r="E635" s="2487"/>
      <c r="F635" s="2487"/>
      <c r="G635" s="2487"/>
      <c r="H635" s="2487"/>
      <c r="I635" s="2487"/>
      <c r="J635" s="2487"/>
      <c r="K635" s="2487"/>
      <c r="L635" s="2487"/>
      <c r="M635" s="2487"/>
      <c r="N635" s="2487"/>
      <c r="O635" s="2487"/>
      <c r="P635" s="2487"/>
      <c r="Q635" s="2487"/>
      <c r="R635" s="2487"/>
      <c r="S635" s="2487"/>
      <c r="T635" s="2487"/>
      <c r="U635" s="2487"/>
      <c r="V635" s="2487"/>
      <c r="W635" s="2487"/>
      <c r="X635" s="2487"/>
      <c r="Y635" s="2487"/>
      <c r="Z635" s="2487"/>
      <c r="AA635" s="2487"/>
      <c r="AB635" s="2487"/>
      <c r="AC635" s="2487"/>
      <c r="AD635" s="2487"/>
      <c r="AE635" s="2487"/>
      <c r="AF635" s="2487"/>
      <c r="AG635" s="2487"/>
      <c r="AH635" s="2487"/>
      <c r="AI635" s="2487"/>
      <c r="AJ635" s="2487"/>
      <c r="AK635" s="2487"/>
      <c r="AL635" s="2487"/>
      <c r="AM635" s="2487"/>
    </row>
    <row r="636" spans="1:39" ht="15.75" customHeight="1" x14ac:dyDescent="0.25">
      <c r="A636" s="2487"/>
      <c r="B636" s="2487"/>
      <c r="C636" s="2487"/>
      <c r="D636" s="2487"/>
      <c r="E636" s="2487"/>
      <c r="F636" s="2487"/>
      <c r="G636" s="2487"/>
      <c r="H636" s="2487"/>
      <c r="I636" s="2487"/>
      <c r="J636" s="2487"/>
      <c r="K636" s="2487"/>
      <c r="L636" s="2487"/>
      <c r="M636" s="2487"/>
      <c r="N636" s="2487"/>
      <c r="O636" s="2487"/>
      <c r="P636" s="2487"/>
      <c r="Q636" s="2487"/>
      <c r="R636" s="2487"/>
      <c r="S636" s="2487"/>
      <c r="T636" s="2487"/>
      <c r="U636" s="2487"/>
      <c r="V636" s="2487"/>
      <c r="W636" s="2487"/>
      <c r="X636" s="2487"/>
      <c r="Y636" s="2487"/>
      <c r="Z636" s="2487"/>
      <c r="AA636" s="2487"/>
      <c r="AB636" s="2487"/>
      <c r="AC636" s="2487"/>
      <c r="AD636" s="2487"/>
      <c r="AE636" s="2487"/>
      <c r="AF636" s="2487"/>
      <c r="AG636" s="2487"/>
      <c r="AH636" s="2487"/>
      <c r="AI636" s="2487"/>
      <c r="AJ636" s="2487"/>
      <c r="AK636" s="2487"/>
      <c r="AL636" s="2487"/>
      <c r="AM636" s="2487"/>
    </row>
    <row r="637" spans="1:39" ht="15.75" customHeight="1" x14ac:dyDescent="0.25">
      <c r="A637" s="2487"/>
      <c r="B637" s="2487"/>
      <c r="C637" s="2487"/>
      <c r="D637" s="2487"/>
      <c r="E637" s="2487"/>
      <c r="F637" s="2487"/>
      <c r="G637" s="2487"/>
      <c r="H637" s="2487"/>
      <c r="I637" s="2487"/>
      <c r="J637" s="2487"/>
      <c r="K637" s="2487"/>
      <c r="L637" s="2487"/>
      <c r="M637" s="2487"/>
      <c r="N637" s="2487"/>
      <c r="O637" s="2487"/>
      <c r="P637" s="2487"/>
      <c r="Q637" s="2487"/>
      <c r="R637" s="2487"/>
      <c r="S637" s="2487"/>
      <c r="T637" s="2487"/>
      <c r="U637" s="2487"/>
      <c r="V637" s="2487"/>
      <c r="W637" s="2487"/>
      <c r="X637" s="2487"/>
      <c r="Y637" s="2487"/>
      <c r="Z637" s="2487"/>
      <c r="AA637" s="2487"/>
      <c r="AB637" s="2487"/>
      <c r="AC637" s="2487"/>
      <c r="AD637" s="2487"/>
      <c r="AE637" s="2487"/>
      <c r="AF637" s="2487"/>
      <c r="AG637" s="2487"/>
      <c r="AH637" s="2487"/>
      <c r="AI637" s="2487"/>
      <c r="AJ637" s="2487"/>
      <c r="AK637" s="2487"/>
      <c r="AL637" s="2487"/>
      <c r="AM637" s="2487"/>
    </row>
    <row r="638" spans="1:39" ht="15.75" customHeight="1" x14ac:dyDescent="0.25">
      <c r="A638" s="2487"/>
      <c r="B638" s="2487"/>
      <c r="C638" s="2487"/>
      <c r="D638" s="2487"/>
      <c r="E638" s="2487"/>
      <c r="F638" s="2487"/>
      <c r="G638" s="2487"/>
      <c r="H638" s="2487"/>
      <c r="I638" s="2487"/>
      <c r="J638" s="2487"/>
      <c r="K638" s="2487"/>
      <c r="L638" s="2487"/>
      <c r="M638" s="2487"/>
      <c r="N638" s="2487"/>
      <c r="O638" s="2487"/>
      <c r="P638" s="2487"/>
      <c r="Q638" s="2487"/>
      <c r="R638" s="2487"/>
      <c r="S638" s="2487"/>
      <c r="T638" s="2487"/>
      <c r="U638" s="2487"/>
      <c r="V638" s="2487"/>
      <c r="W638" s="2487"/>
      <c r="X638" s="2487"/>
      <c r="Y638" s="2487"/>
      <c r="Z638" s="2487"/>
      <c r="AA638" s="2487"/>
      <c r="AB638" s="2487"/>
      <c r="AC638" s="2487"/>
      <c r="AD638" s="2487"/>
      <c r="AE638" s="2487"/>
      <c r="AF638" s="2487"/>
      <c r="AG638" s="2487"/>
      <c r="AH638" s="2487"/>
      <c r="AI638" s="2487"/>
      <c r="AJ638" s="2487"/>
      <c r="AK638" s="2487"/>
      <c r="AL638" s="2487"/>
      <c r="AM638" s="2487"/>
    </row>
    <row r="639" spans="1:39" ht="15.75" customHeight="1" x14ac:dyDescent="0.25">
      <c r="A639" s="2487"/>
      <c r="B639" s="2487"/>
      <c r="C639" s="2487"/>
      <c r="D639" s="2487"/>
      <c r="E639" s="2487"/>
      <c r="F639" s="2487"/>
      <c r="G639" s="2487"/>
      <c r="H639" s="2487"/>
      <c r="I639" s="2487"/>
      <c r="J639" s="2487"/>
      <c r="K639" s="2487"/>
      <c r="L639" s="2487"/>
      <c r="M639" s="2487"/>
      <c r="N639" s="2487"/>
      <c r="O639" s="2487"/>
      <c r="P639" s="2487"/>
      <c r="Q639" s="2487"/>
      <c r="R639" s="2487"/>
      <c r="S639" s="2487"/>
      <c r="T639" s="2487"/>
      <c r="U639" s="2487"/>
      <c r="V639" s="2487"/>
      <c r="W639" s="2487"/>
      <c r="X639" s="2487"/>
      <c r="Y639" s="2487"/>
      <c r="Z639" s="2487"/>
      <c r="AA639" s="2487"/>
      <c r="AB639" s="2487"/>
      <c r="AC639" s="2487"/>
      <c r="AD639" s="2487"/>
      <c r="AE639" s="2487"/>
      <c r="AF639" s="2487"/>
      <c r="AG639" s="2487"/>
      <c r="AH639" s="2487"/>
      <c r="AI639" s="2487"/>
      <c r="AJ639" s="2487"/>
      <c r="AK639" s="2487"/>
      <c r="AL639" s="2487"/>
      <c r="AM639" s="2487"/>
    </row>
    <row r="640" spans="1:39" ht="15.75" customHeight="1" x14ac:dyDescent="0.25">
      <c r="A640" s="2487"/>
      <c r="B640" s="2487"/>
      <c r="C640" s="2487"/>
      <c r="D640" s="2487"/>
      <c r="E640" s="2487"/>
      <c r="F640" s="2487"/>
      <c r="G640" s="2487"/>
      <c r="H640" s="2487"/>
      <c r="I640" s="2487"/>
      <c r="J640" s="2487"/>
      <c r="K640" s="2487"/>
      <c r="L640" s="2487"/>
      <c r="M640" s="2487"/>
      <c r="N640" s="2487"/>
      <c r="O640" s="2487"/>
      <c r="P640" s="2487"/>
      <c r="Q640" s="2487"/>
      <c r="R640" s="2487"/>
      <c r="S640" s="2487"/>
      <c r="T640" s="2487"/>
      <c r="U640" s="2487"/>
      <c r="V640" s="2487"/>
      <c r="W640" s="2487"/>
      <c r="X640" s="2487"/>
      <c r="Y640" s="2487"/>
      <c r="Z640" s="2487"/>
      <c r="AA640" s="2487"/>
      <c r="AB640" s="2487"/>
      <c r="AC640" s="2487"/>
      <c r="AD640" s="2487"/>
      <c r="AE640" s="2487"/>
      <c r="AF640" s="2487"/>
      <c r="AG640" s="2487"/>
      <c r="AH640" s="2487"/>
      <c r="AI640" s="2487"/>
      <c r="AJ640" s="2487"/>
      <c r="AK640" s="2487"/>
      <c r="AL640" s="2487"/>
      <c r="AM640" s="2487"/>
    </row>
    <row r="641" spans="1:39" ht="15.75" customHeight="1" x14ac:dyDescent="0.25">
      <c r="A641" s="2487"/>
      <c r="B641" s="2487"/>
      <c r="C641" s="2487"/>
      <c r="D641" s="2487"/>
      <c r="E641" s="2487"/>
      <c r="F641" s="2487"/>
      <c r="G641" s="2487"/>
      <c r="H641" s="2487"/>
      <c r="I641" s="2487"/>
      <c r="J641" s="2487"/>
      <c r="K641" s="2487"/>
      <c r="L641" s="2487"/>
      <c r="M641" s="2487"/>
      <c r="N641" s="2487"/>
      <c r="O641" s="2487"/>
      <c r="P641" s="2487"/>
      <c r="Q641" s="2487"/>
      <c r="R641" s="2487"/>
      <c r="S641" s="2487"/>
      <c r="T641" s="2487"/>
      <c r="U641" s="2487"/>
      <c r="V641" s="2487"/>
      <c r="W641" s="2487"/>
      <c r="X641" s="2487"/>
      <c r="Y641" s="2487"/>
      <c r="Z641" s="2487"/>
      <c r="AA641" s="2487"/>
      <c r="AB641" s="2487"/>
      <c r="AC641" s="2487"/>
      <c r="AD641" s="2487"/>
      <c r="AE641" s="2487"/>
      <c r="AF641" s="2487"/>
      <c r="AG641" s="2487"/>
      <c r="AH641" s="2487"/>
      <c r="AI641" s="2487"/>
      <c r="AJ641" s="2487"/>
      <c r="AK641" s="2487"/>
      <c r="AL641" s="2487"/>
      <c r="AM641" s="2487"/>
    </row>
    <row r="642" spans="1:39" ht="15.75" customHeight="1" x14ac:dyDescent="0.25">
      <c r="A642" s="2487"/>
      <c r="B642" s="2487"/>
      <c r="C642" s="2487"/>
      <c r="D642" s="2487"/>
      <c r="E642" s="2487"/>
      <c r="F642" s="2487"/>
      <c r="G642" s="2487"/>
      <c r="H642" s="2487"/>
      <c r="I642" s="2487"/>
      <c r="J642" s="2487"/>
      <c r="K642" s="2487"/>
      <c r="L642" s="2487"/>
      <c r="M642" s="2487"/>
      <c r="N642" s="2487"/>
      <c r="O642" s="2487"/>
      <c r="P642" s="2487"/>
      <c r="Q642" s="2487"/>
      <c r="R642" s="2487"/>
      <c r="S642" s="2487"/>
      <c r="T642" s="2487"/>
      <c r="U642" s="2487"/>
      <c r="V642" s="2487"/>
      <c r="W642" s="2487"/>
      <c r="X642" s="2487"/>
      <c r="Y642" s="2487"/>
      <c r="Z642" s="2487"/>
      <c r="AA642" s="2487"/>
      <c r="AB642" s="2487"/>
      <c r="AC642" s="2487"/>
      <c r="AD642" s="2487"/>
      <c r="AE642" s="2487"/>
      <c r="AF642" s="2487"/>
      <c r="AG642" s="2487"/>
      <c r="AH642" s="2487"/>
      <c r="AI642" s="2487"/>
      <c r="AJ642" s="2487"/>
      <c r="AK642" s="2487"/>
      <c r="AL642" s="2487"/>
      <c r="AM642" s="2487"/>
    </row>
    <row r="643" spans="1:39" ht="15.75" customHeight="1" x14ac:dyDescent="0.25">
      <c r="A643" s="2487"/>
      <c r="B643" s="2487"/>
      <c r="C643" s="2487"/>
      <c r="D643" s="2487"/>
      <c r="E643" s="2487"/>
      <c r="F643" s="2487"/>
      <c r="G643" s="2487"/>
      <c r="H643" s="2487"/>
      <c r="I643" s="2487"/>
      <c r="J643" s="2487"/>
      <c r="K643" s="2487"/>
      <c r="L643" s="2487"/>
      <c r="M643" s="2487"/>
      <c r="N643" s="2487"/>
      <c r="O643" s="2487"/>
      <c r="P643" s="2487"/>
      <c r="Q643" s="2487"/>
      <c r="R643" s="2487"/>
      <c r="S643" s="2487"/>
      <c r="T643" s="2487"/>
      <c r="U643" s="2487"/>
      <c r="V643" s="2487"/>
      <c r="W643" s="2487"/>
      <c r="X643" s="2487"/>
      <c r="Y643" s="2487"/>
      <c r="Z643" s="2487"/>
      <c r="AA643" s="2487"/>
      <c r="AB643" s="2487"/>
      <c r="AC643" s="2487"/>
      <c r="AD643" s="2487"/>
      <c r="AE643" s="2487"/>
      <c r="AF643" s="2487"/>
      <c r="AG643" s="2487"/>
      <c r="AH643" s="2487"/>
      <c r="AI643" s="2487"/>
      <c r="AJ643" s="2487"/>
      <c r="AK643" s="2487"/>
      <c r="AL643" s="2487"/>
      <c r="AM643" s="2487"/>
    </row>
    <row r="644" spans="1:39" ht="15.75" customHeight="1" x14ac:dyDescent="0.25">
      <c r="A644" s="2487"/>
      <c r="B644" s="2487"/>
      <c r="C644" s="2487"/>
      <c r="D644" s="2487"/>
      <c r="E644" s="2487"/>
      <c r="F644" s="2487"/>
      <c r="G644" s="2487"/>
      <c r="H644" s="2487"/>
      <c r="I644" s="2487"/>
      <c r="J644" s="2487"/>
      <c r="K644" s="2487"/>
      <c r="L644" s="2487"/>
      <c r="M644" s="2487"/>
      <c r="N644" s="2487"/>
      <c r="O644" s="2487"/>
      <c r="P644" s="2487"/>
      <c r="Q644" s="2487"/>
      <c r="R644" s="2487"/>
      <c r="S644" s="2487"/>
      <c r="T644" s="2487"/>
      <c r="U644" s="2487"/>
      <c r="V644" s="2487"/>
      <c r="W644" s="2487"/>
      <c r="X644" s="2487"/>
      <c r="Y644" s="2487"/>
      <c r="Z644" s="2487"/>
      <c r="AA644" s="2487"/>
      <c r="AB644" s="2487"/>
      <c r="AC644" s="2487"/>
      <c r="AD644" s="2487"/>
      <c r="AE644" s="2487"/>
      <c r="AF644" s="2487"/>
      <c r="AG644" s="2487"/>
      <c r="AH644" s="2487"/>
      <c r="AI644" s="2487"/>
      <c r="AJ644" s="2487"/>
      <c r="AK644" s="2487"/>
      <c r="AL644" s="2487"/>
      <c r="AM644" s="2487"/>
    </row>
    <row r="645" spans="1:39" ht="15.75" customHeight="1" x14ac:dyDescent="0.25">
      <c r="A645" s="2487"/>
      <c r="B645" s="2487"/>
      <c r="C645" s="2487"/>
      <c r="D645" s="2487"/>
      <c r="E645" s="2487"/>
      <c r="F645" s="2487"/>
      <c r="G645" s="2487"/>
      <c r="H645" s="2487"/>
      <c r="I645" s="2487"/>
      <c r="J645" s="2487"/>
      <c r="K645" s="2487"/>
      <c r="L645" s="2487"/>
      <c r="M645" s="2487"/>
      <c r="N645" s="2487"/>
      <c r="O645" s="2487"/>
      <c r="P645" s="2487"/>
      <c r="Q645" s="2487"/>
      <c r="R645" s="2487"/>
      <c r="S645" s="2487"/>
      <c r="T645" s="2487"/>
      <c r="U645" s="2487"/>
      <c r="V645" s="2487"/>
      <c r="W645" s="2487"/>
      <c r="X645" s="2487"/>
      <c r="Y645" s="2487"/>
      <c r="Z645" s="2487"/>
      <c r="AA645" s="2487"/>
      <c r="AB645" s="2487"/>
      <c r="AC645" s="2487"/>
      <c r="AD645" s="2487"/>
      <c r="AE645" s="2487"/>
      <c r="AF645" s="2487"/>
      <c r="AG645" s="2487"/>
      <c r="AH645" s="2487"/>
      <c r="AI645" s="2487"/>
      <c r="AJ645" s="2487"/>
      <c r="AK645" s="2487"/>
      <c r="AL645" s="2487"/>
      <c r="AM645" s="2487"/>
    </row>
    <row r="646" spans="1:39" ht="15.75" customHeight="1" x14ac:dyDescent="0.25">
      <c r="A646" s="2487"/>
      <c r="B646" s="2487"/>
      <c r="C646" s="2487"/>
      <c r="D646" s="2487"/>
      <c r="E646" s="2487"/>
      <c r="F646" s="2487"/>
      <c r="G646" s="2487"/>
      <c r="H646" s="2487"/>
      <c r="I646" s="2487"/>
      <c r="J646" s="2487"/>
      <c r="K646" s="2487"/>
      <c r="L646" s="2487"/>
      <c r="M646" s="2487"/>
      <c r="N646" s="2487"/>
      <c r="O646" s="2487"/>
      <c r="P646" s="2487"/>
      <c r="Q646" s="2487"/>
      <c r="R646" s="2487"/>
      <c r="S646" s="2487"/>
      <c r="T646" s="2487"/>
      <c r="U646" s="2487"/>
      <c r="V646" s="2487"/>
      <c r="W646" s="2487"/>
      <c r="X646" s="2487"/>
      <c r="Y646" s="2487"/>
      <c r="Z646" s="2487"/>
      <c r="AA646" s="2487"/>
      <c r="AB646" s="2487"/>
      <c r="AC646" s="2487"/>
      <c r="AD646" s="2487"/>
      <c r="AE646" s="2487"/>
      <c r="AF646" s="2487"/>
      <c r="AG646" s="2487"/>
      <c r="AH646" s="2487"/>
      <c r="AI646" s="2487"/>
      <c r="AJ646" s="2487"/>
      <c r="AK646" s="2487"/>
      <c r="AL646" s="2487"/>
      <c r="AM646" s="2487"/>
    </row>
    <row r="647" spans="1:39" ht="15.75" customHeight="1" x14ac:dyDescent="0.25">
      <c r="A647" s="2487"/>
      <c r="B647" s="2487"/>
      <c r="C647" s="2487"/>
      <c r="D647" s="2487"/>
      <c r="E647" s="2487"/>
      <c r="F647" s="2487"/>
      <c r="G647" s="2487"/>
      <c r="H647" s="2487"/>
      <c r="I647" s="2487"/>
      <c r="J647" s="2487"/>
      <c r="K647" s="2487"/>
      <c r="L647" s="2487"/>
      <c r="M647" s="2487"/>
      <c r="N647" s="2487"/>
      <c r="O647" s="2487"/>
      <c r="P647" s="2487"/>
      <c r="Q647" s="2487"/>
      <c r="R647" s="2487"/>
      <c r="S647" s="2487"/>
      <c r="T647" s="2487"/>
      <c r="U647" s="2487"/>
      <c r="V647" s="2487"/>
      <c r="W647" s="2487"/>
      <c r="X647" s="2487"/>
      <c r="Y647" s="2487"/>
      <c r="Z647" s="2487"/>
      <c r="AA647" s="2487"/>
      <c r="AB647" s="2487"/>
      <c r="AC647" s="2487"/>
      <c r="AD647" s="2487"/>
      <c r="AE647" s="2487"/>
      <c r="AF647" s="2487"/>
      <c r="AG647" s="2487"/>
      <c r="AH647" s="2487"/>
      <c r="AI647" s="2487"/>
      <c r="AJ647" s="2487"/>
      <c r="AK647" s="2487"/>
      <c r="AL647" s="2487"/>
      <c r="AM647" s="2487"/>
    </row>
    <row r="648" spans="1:39" ht="15.75" customHeight="1" x14ac:dyDescent="0.25">
      <c r="A648" s="2487"/>
      <c r="B648" s="2487"/>
      <c r="C648" s="2487"/>
      <c r="D648" s="2487"/>
      <c r="E648" s="2487"/>
      <c r="F648" s="2487"/>
      <c r="G648" s="2487"/>
      <c r="H648" s="2487"/>
      <c r="I648" s="2487"/>
      <c r="J648" s="2487"/>
      <c r="K648" s="2487"/>
      <c r="L648" s="2487"/>
      <c r="M648" s="2487"/>
      <c r="N648" s="2487"/>
      <c r="O648" s="2487"/>
      <c r="P648" s="2487"/>
      <c r="Q648" s="2487"/>
      <c r="R648" s="2487"/>
      <c r="S648" s="2487"/>
      <c r="T648" s="2487"/>
      <c r="U648" s="2487"/>
      <c r="V648" s="2487"/>
      <c r="W648" s="2487"/>
      <c r="X648" s="2487"/>
      <c r="Y648" s="2487"/>
      <c r="Z648" s="2487"/>
      <c r="AA648" s="2487"/>
      <c r="AB648" s="2487"/>
      <c r="AC648" s="2487"/>
      <c r="AD648" s="2487"/>
      <c r="AE648" s="2487"/>
      <c r="AF648" s="2487"/>
      <c r="AG648" s="2487"/>
      <c r="AH648" s="2487"/>
      <c r="AI648" s="2487"/>
      <c r="AJ648" s="2487"/>
      <c r="AK648" s="2487"/>
      <c r="AL648" s="2487"/>
      <c r="AM648" s="2487"/>
    </row>
    <row r="649" spans="1:39" ht="15.75" customHeight="1" x14ac:dyDescent="0.25">
      <c r="A649" s="2487"/>
      <c r="B649" s="2487"/>
      <c r="C649" s="2487"/>
      <c r="D649" s="2487"/>
      <c r="E649" s="2487"/>
      <c r="F649" s="2487"/>
      <c r="G649" s="2487"/>
      <c r="H649" s="2487"/>
      <c r="I649" s="2487"/>
      <c r="J649" s="2487"/>
      <c r="K649" s="2487"/>
      <c r="L649" s="2487"/>
      <c r="M649" s="2487"/>
      <c r="N649" s="2487"/>
      <c r="O649" s="2487"/>
      <c r="P649" s="2487"/>
      <c r="Q649" s="2487"/>
      <c r="R649" s="2487"/>
      <c r="S649" s="2487"/>
      <c r="T649" s="2487"/>
      <c r="U649" s="2487"/>
      <c r="V649" s="2487"/>
      <c r="W649" s="2487"/>
      <c r="X649" s="2487"/>
      <c r="Y649" s="2487"/>
      <c r="Z649" s="2487"/>
      <c r="AA649" s="2487"/>
      <c r="AB649" s="2487"/>
      <c r="AC649" s="2487"/>
      <c r="AD649" s="2487"/>
      <c r="AE649" s="2487"/>
      <c r="AF649" s="2487"/>
      <c r="AG649" s="2487"/>
      <c r="AH649" s="2487"/>
      <c r="AI649" s="2487"/>
      <c r="AJ649" s="2487"/>
      <c r="AK649" s="2487"/>
      <c r="AL649" s="2487"/>
      <c r="AM649" s="2487"/>
    </row>
    <row r="650" spans="1:39" ht="15.75" customHeight="1" x14ac:dyDescent="0.25">
      <c r="A650" s="2487"/>
      <c r="B650" s="2487"/>
      <c r="C650" s="2487"/>
      <c r="D650" s="2487"/>
      <c r="E650" s="2487"/>
      <c r="F650" s="2487"/>
      <c r="G650" s="2487"/>
      <c r="H650" s="2487"/>
      <c r="I650" s="2487"/>
      <c r="J650" s="2487"/>
      <c r="K650" s="2487"/>
      <c r="L650" s="2487"/>
      <c r="M650" s="2487"/>
      <c r="N650" s="2487"/>
      <c r="O650" s="2487"/>
      <c r="P650" s="2487"/>
      <c r="Q650" s="2487"/>
      <c r="R650" s="2487"/>
      <c r="S650" s="2487"/>
      <c r="T650" s="2487"/>
      <c r="U650" s="2487"/>
      <c r="V650" s="2487"/>
      <c r="W650" s="2487"/>
      <c r="X650" s="2487"/>
      <c r="Y650" s="2487"/>
      <c r="Z650" s="2487"/>
      <c r="AA650" s="2487"/>
      <c r="AB650" s="2487"/>
      <c r="AC650" s="2487"/>
      <c r="AD650" s="2487"/>
      <c r="AE650" s="2487"/>
      <c r="AF650" s="2487"/>
      <c r="AG650" s="2487"/>
      <c r="AH650" s="2487"/>
      <c r="AI650" s="2487"/>
      <c r="AJ650" s="2487"/>
      <c r="AK650" s="2487"/>
      <c r="AL650" s="2487"/>
      <c r="AM650" s="2487"/>
    </row>
    <row r="651" spans="1:39" ht="15.75" customHeight="1" x14ac:dyDescent="0.25">
      <c r="A651" s="2487"/>
      <c r="B651" s="2487"/>
      <c r="C651" s="2487"/>
      <c r="D651" s="2487"/>
      <c r="E651" s="2487"/>
      <c r="F651" s="2487"/>
      <c r="G651" s="2487"/>
      <c r="H651" s="2487"/>
      <c r="I651" s="2487"/>
      <c r="J651" s="2487"/>
      <c r="K651" s="2487"/>
      <c r="L651" s="2487"/>
      <c r="M651" s="2487"/>
      <c r="N651" s="2487"/>
      <c r="O651" s="2487"/>
      <c r="P651" s="2487"/>
      <c r="Q651" s="2487"/>
      <c r="R651" s="2487"/>
      <c r="S651" s="2487"/>
      <c r="T651" s="2487"/>
      <c r="U651" s="2487"/>
      <c r="V651" s="2487"/>
      <c r="W651" s="2487"/>
      <c r="X651" s="2487"/>
      <c r="Y651" s="2487"/>
      <c r="Z651" s="2487"/>
      <c r="AA651" s="2487"/>
      <c r="AB651" s="2487"/>
      <c r="AC651" s="2487"/>
      <c r="AD651" s="2487"/>
      <c r="AE651" s="2487"/>
      <c r="AF651" s="2487"/>
      <c r="AG651" s="2487"/>
      <c r="AH651" s="2487"/>
      <c r="AI651" s="2487"/>
      <c r="AJ651" s="2487"/>
      <c r="AK651" s="2487"/>
      <c r="AL651" s="2487"/>
      <c r="AM651" s="2487"/>
    </row>
    <row r="652" spans="1:39" ht="15.75" customHeight="1" x14ac:dyDescent="0.25">
      <c r="A652" s="2487"/>
      <c r="B652" s="2487"/>
      <c r="C652" s="2487"/>
      <c r="D652" s="2487"/>
      <c r="E652" s="2487"/>
      <c r="F652" s="2487"/>
      <c r="G652" s="2487"/>
      <c r="H652" s="2487"/>
      <c r="I652" s="2487"/>
      <c r="J652" s="2487"/>
      <c r="K652" s="2487"/>
      <c r="L652" s="2487"/>
      <c r="M652" s="2487"/>
      <c r="N652" s="2487"/>
      <c r="O652" s="2487"/>
      <c r="P652" s="2487"/>
      <c r="Q652" s="2487"/>
      <c r="R652" s="2487"/>
      <c r="S652" s="2487"/>
      <c r="T652" s="2487"/>
      <c r="U652" s="2487"/>
      <c r="V652" s="2487"/>
      <c r="W652" s="2487"/>
      <c r="X652" s="2487"/>
      <c r="Y652" s="2487"/>
      <c r="Z652" s="2487"/>
      <c r="AA652" s="2487"/>
      <c r="AB652" s="2487"/>
      <c r="AC652" s="2487"/>
      <c r="AD652" s="2487"/>
      <c r="AE652" s="2487"/>
      <c r="AF652" s="2487"/>
      <c r="AG652" s="2487"/>
      <c r="AH652" s="2487"/>
      <c r="AI652" s="2487"/>
      <c r="AJ652" s="2487"/>
      <c r="AK652" s="2487"/>
      <c r="AL652" s="2487"/>
      <c r="AM652" s="2487"/>
    </row>
    <row r="653" spans="1:39" ht="15.75" customHeight="1" x14ac:dyDescent="0.25">
      <c r="A653" s="2487"/>
      <c r="B653" s="2487"/>
      <c r="C653" s="2487"/>
      <c r="D653" s="2487"/>
      <c r="E653" s="2487"/>
      <c r="F653" s="2487"/>
      <c r="G653" s="2487"/>
      <c r="H653" s="2487"/>
      <c r="I653" s="2487"/>
      <c r="J653" s="2487"/>
      <c r="K653" s="2487"/>
      <c r="L653" s="2487"/>
      <c r="M653" s="2487"/>
      <c r="N653" s="2487"/>
      <c r="O653" s="2487"/>
      <c r="P653" s="2487"/>
      <c r="Q653" s="2487"/>
      <c r="R653" s="2487"/>
      <c r="S653" s="2487"/>
      <c r="T653" s="2487"/>
      <c r="U653" s="2487"/>
      <c r="V653" s="2487"/>
      <c r="W653" s="2487"/>
      <c r="X653" s="2487"/>
      <c r="Y653" s="2487"/>
      <c r="Z653" s="2487"/>
      <c r="AA653" s="2487"/>
      <c r="AB653" s="2487"/>
      <c r="AC653" s="2487"/>
      <c r="AD653" s="2487"/>
      <c r="AE653" s="2487"/>
      <c r="AF653" s="2487"/>
      <c r="AG653" s="2487"/>
      <c r="AH653" s="2487"/>
      <c r="AI653" s="2487"/>
      <c r="AJ653" s="2487"/>
      <c r="AK653" s="2487"/>
      <c r="AL653" s="2487"/>
      <c r="AM653" s="2487"/>
    </row>
    <row r="654" spans="1:39" ht="15.75" customHeight="1" x14ac:dyDescent="0.25">
      <c r="A654" s="2487"/>
      <c r="B654" s="2487"/>
      <c r="C654" s="2487"/>
      <c r="D654" s="2487"/>
      <c r="E654" s="2487"/>
      <c r="F654" s="2487"/>
      <c r="G654" s="2487"/>
      <c r="H654" s="2487"/>
      <c r="I654" s="2487"/>
      <c r="J654" s="2487"/>
      <c r="K654" s="2487"/>
      <c r="L654" s="2487"/>
      <c r="M654" s="2487"/>
      <c r="N654" s="2487"/>
      <c r="O654" s="2487"/>
      <c r="P654" s="2487"/>
      <c r="Q654" s="2487"/>
      <c r="R654" s="2487"/>
      <c r="S654" s="2487"/>
      <c r="T654" s="2487"/>
      <c r="U654" s="2487"/>
      <c r="V654" s="2487"/>
      <c r="W654" s="2487"/>
      <c r="X654" s="2487"/>
      <c r="Y654" s="2487"/>
      <c r="Z654" s="2487"/>
      <c r="AA654" s="2487"/>
      <c r="AB654" s="2487"/>
      <c r="AC654" s="2487"/>
      <c r="AD654" s="2487"/>
      <c r="AE654" s="2487"/>
      <c r="AF654" s="2487"/>
      <c r="AG654" s="2487"/>
      <c r="AH654" s="2487"/>
      <c r="AI654" s="2487"/>
      <c r="AJ654" s="2487"/>
      <c r="AK654" s="2487"/>
      <c r="AL654" s="2487"/>
      <c r="AM654" s="2487"/>
    </row>
    <row r="655" spans="1:39" ht="15.75" customHeight="1" x14ac:dyDescent="0.25">
      <c r="A655" s="2487"/>
      <c r="B655" s="2487"/>
      <c r="C655" s="2487"/>
      <c r="D655" s="2487"/>
      <c r="E655" s="2487"/>
      <c r="F655" s="2487"/>
      <c r="G655" s="2487"/>
      <c r="H655" s="2487"/>
      <c r="I655" s="2487"/>
      <c r="J655" s="2487"/>
      <c r="K655" s="2487"/>
      <c r="L655" s="2487"/>
      <c r="M655" s="2487"/>
      <c r="N655" s="2487"/>
      <c r="O655" s="2487"/>
      <c r="P655" s="2487"/>
      <c r="Q655" s="2487"/>
      <c r="R655" s="2487"/>
      <c r="S655" s="2487"/>
      <c r="T655" s="2487"/>
      <c r="U655" s="2487"/>
      <c r="V655" s="2487"/>
      <c r="W655" s="2487"/>
      <c r="X655" s="2487"/>
      <c r="Y655" s="2487"/>
      <c r="Z655" s="2487"/>
      <c r="AA655" s="2487"/>
      <c r="AB655" s="2487"/>
      <c r="AC655" s="2487"/>
      <c r="AD655" s="2487"/>
      <c r="AE655" s="2487"/>
      <c r="AF655" s="2487"/>
      <c r="AG655" s="2487"/>
      <c r="AH655" s="2487"/>
      <c r="AI655" s="2487"/>
      <c r="AJ655" s="2487"/>
      <c r="AK655" s="2487"/>
      <c r="AL655" s="2487"/>
      <c r="AM655" s="2487"/>
    </row>
    <row r="656" spans="1:39" ht="15.75" customHeight="1" x14ac:dyDescent="0.25">
      <c r="A656" s="2487"/>
      <c r="B656" s="2487"/>
      <c r="C656" s="2487"/>
      <c r="D656" s="2487"/>
      <c r="E656" s="2487"/>
      <c r="F656" s="2487"/>
      <c r="G656" s="2487"/>
      <c r="H656" s="2487"/>
      <c r="I656" s="2487"/>
      <c r="J656" s="2487"/>
      <c r="K656" s="2487"/>
      <c r="L656" s="2487"/>
      <c r="M656" s="2487"/>
      <c r="N656" s="2487"/>
      <c r="O656" s="2487"/>
      <c r="P656" s="2487"/>
      <c r="Q656" s="2487"/>
      <c r="R656" s="2487"/>
      <c r="S656" s="2487"/>
      <c r="T656" s="2487"/>
      <c r="U656" s="2487"/>
      <c r="V656" s="2487"/>
      <c r="W656" s="2487"/>
      <c r="X656" s="2487"/>
      <c r="Y656" s="2487"/>
      <c r="Z656" s="2487"/>
      <c r="AA656" s="2487"/>
      <c r="AB656" s="2487"/>
      <c r="AC656" s="2487"/>
      <c r="AD656" s="2487"/>
      <c r="AE656" s="2487"/>
      <c r="AF656" s="2487"/>
      <c r="AG656" s="2487"/>
      <c r="AH656" s="2487"/>
      <c r="AI656" s="2487"/>
      <c r="AJ656" s="2487"/>
      <c r="AK656" s="2487"/>
      <c r="AL656" s="2487"/>
      <c r="AM656" s="2487"/>
    </row>
    <row r="657" spans="1:39" ht="15.75" customHeight="1" x14ac:dyDescent="0.25">
      <c r="A657" s="2487"/>
      <c r="B657" s="2487"/>
      <c r="C657" s="2487"/>
      <c r="D657" s="2487"/>
      <c r="E657" s="2487"/>
      <c r="F657" s="2487"/>
      <c r="G657" s="2487"/>
      <c r="H657" s="2487"/>
      <c r="I657" s="2487"/>
      <c r="J657" s="2487"/>
      <c r="K657" s="2487"/>
      <c r="L657" s="2487"/>
      <c r="M657" s="2487"/>
      <c r="N657" s="2487"/>
      <c r="O657" s="2487"/>
      <c r="P657" s="2487"/>
      <c r="Q657" s="2487"/>
      <c r="R657" s="2487"/>
      <c r="S657" s="2487"/>
      <c r="T657" s="2487"/>
      <c r="U657" s="2487"/>
      <c r="V657" s="2487"/>
      <c r="W657" s="2487"/>
      <c r="X657" s="2487"/>
      <c r="Y657" s="2487"/>
      <c r="Z657" s="2487"/>
      <c r="AA657" s="2487"/>
      <c r="AB657" s="2487"/>
      <c r="AC657" s="2487"/>
      <c r="AD657" s="2487"/>
      <c r="AE657" s="2487"/>
      <c r="AF657" s="2487"/>
      <c r="AG657" s="2487"/>
      <c r="AH657" s="2487"/>
      <c r="AI657" s="2487"/>
      <c r="AJ657" s="2487"/>
      <c r="AK657" s="2487"/>
      <c r="AL657" s="2487"/>
      <c r="AM657" s="2487"/>
    </row>
    <row r="658" spans="1:39" ht="15.75" customHeight="1" x14ac:dyDescent="0.25">
      <c r="A658" s="2487"/>
      <c r="B658" s="2487"/>
      <c r="C658" s="2487"/>
      <c r="D658" s="2487"/>
      <c r="E658" s="2487"/>
      <c r="F658" s="2487"/>
      <c r="G658" s="2487"/>
      <c r="H658" s="2487"/>
      <c r="I658" s="2487"/>
      <c r="J658" s="2487"/>
      <c r="K658" s="2487"/>
      <c r="L658" s="2487"/>
      <c r="M658" s="2487"/>
      <c r="N658" s="2487"/>
      <c r="O658" s="2487"/>
      <c r="P658" s="2487"/>
      <c r="Q658" s="2487"/>
      <c r="R658" s="2487"/>
      <c r="S658" s="2487"/>
      <c r="T658" s="2487"/>
      <c r="U658" s="2487"/>
      <c r="V658" s="2487"/>
      <c r="W658" s="2487"/>
      <c r="X658" s="2487"/>
      <c r="Y658" s="2487"/>
      <c r="Z658" s="2487"/>
      <c r="AA658" s="2487"/>
      <c r="AB658" s="2487"/>
      <c r="AC658" s="2487"/>
      <c r="AD658" s="2487"/>
      <c r="AE658" s="2487"/>
      <c r="AF658" s="2487"/>
      <c r="AG658" s="2487"/>
      <c r="AH658" s="2487"/>
      <c r="AI658" s="2487"/>
      <c r="AJ658" s="2487"/>
      <c r="AK658" s="2487"/>
      <c r="AL658" s="2487"/>
      <c r="AM658" s="2487"/>
    </row>
    <row r="659" spans="1:39" ht="15.75" customHeight="1" x14ac:dyDescent="0.25">
      <c r="A659" s="2487"/>
      <c r="B659" s="2487"/>
      <c r="C659" s="2487"/>
      <c r="D659" s="2487"/>
      <c r="E659" s="2487"/>
      <c r="F659" s="2487"/>
      <c r="G659" s="2487"/>
      <c r="H659" s="2487"/>
      <c r="I659" s="2487"/>
      <c r="J659" s="2487"/>
      <c r="K659" s="2487"/>
      <c r="L659" s="2487"/>
      <c r="M659" s="2487"/>
      <c r="N659" s="2487"/>
      <c r="O659" s="2487"/>
      <c r="P659" s="2487"/>
      <c r="Q659" s="2487"/>
      <c r="R659" s="2487"/>
      <c r="S659" s="2487"/>
      <c r="T659" s="2487"/>
      <c r="U659" s="2487"/>
      <c r="V659" s="2487"/>
      <c r="W659" s="2487"/>
      <c r="X659" s="2487"/>
      <c r="Y659" s="2487"/>
      <c r="Z659" s="2487"/>
      <c r="AA659" s="2487"/>
      <c r="AB659" s="2487"/>
      <c r="AC659" s="2487"/>
      <c r="AD659" s="2487"/>
      <c r="AE659" s="2487"/>
      <c r="AF659" s="2487"/>
      <c r="AG659" s="2487"/>
      <c r="AH659" s="2487"/>
      <c r="AI659" s="2487"/>
      <c r="AJ659" s="2487"/>
      <c r="AK659" s="2487"/>
      <c r="AL659" s="2487"/>
      <c r="AM659" s="2487"/>
    </row>
    <row r="660" spans="1:39" ht="15.75" customHeight="1" x14ac:dyDescent="0.25">
      <c r="A660" s="2487"/>
      <c r="B660" s="2487"/>
      <c r="C660" s="2487"/>
      <c r="D660" s="2487"/>
      <c r="E660" s="2487"/>
      <c r="F660" s="2487"/>
      <c r="G660" s="2487"/>
      <c r="H660" s="2487"/>
      <c r="I660" s="2487"/>
      <c r="J660" s="2487"/>
      <c r="K660" s="2487"/>
      <c r="L660" s="2487"/>
      <c r="M660" s="2487"/>
      <c r="N660" s="2487"/>
      <c r="O660" s="2487"/>
      <c r="P660" s="2487"/>
      <c r="Q660" s="2487"/>
      <c r="R660" s="2487"/>
      <c r="S660" s="2487"/>
      <c r="T660" s="2487"/>
      <c r="U660" s="2487"/>
      <c r="V660" s="2487"/>
      <c r="W660" s="2487"/>
      <c r="X660" s="2487"/>
      <c r="Y660" s="2487"/>
      <c r="Z660" s="2487"/>
      <c r="AA660" s="2487"/>
      <c r="AB660" s="2487"/>
      <c r="AC660" s="2487"/>
      <c r="AD660" s="2487"/>
      <c r="AE660" s="2487"/>
      <c r="AF660" s="2487"/>
      <c r="AG660" s="2487"/>
      <c r="AH660" s="2487"/>
      <c r="AI660" s="2487"/>
      <c r="AJ660" s="2487"/>
      <c r="AK660" s="2487"/>
      <c r="AL660" s="2487"/>
      <c r="AM660" s="2487"/>
    </row>
    <row r="661" spans="1:39" ht="15.75" customHeight="1" x14ac:dyDescent="0.25">
      <c r="A661" s="2487"/>
      <c r="B661" s="2487"/>
      <c r="C661" s="2487"/>
      <c r="D661" s="2487"/>
      <c r="E661" s="2487"/>
      <c r="F661" s="2487"/>
      <c r="G661" s="2487"/>
      <c r="H661" s="2487"/>
      <c r="I661" s="2487"/>
      <c r="J661" s="2487"/>
      <c r="K661" s="2487"/>
      <c r="L661" s="2487"/>
      <c r="M661" s="2487"/>
      <c r="N661" s="2487"/>
      <c r="O661" s="2487"/>
      <c r="P661" s="2487"/>
      <c r="Q661" s="2487"/>
      <c r="R661" s="2487"/>
      <c r="S661" s="2487"/>
      <c r="T661" s="2487"/>
      <c r="U661" s="2487"/>
      <c r="V661" s="2487"/>
      <c r="W661" s="2487"/>
      <c r="X661" s="2487"/>
      <c r="Y661" s="2487"/>
      <c r="Z661" s="2487"/>
      <c r="AA661" s="2487"/>
      <c r="AB661" s="2487"/>
      <c r="AC661" s="2487"/>
      <c r="AD661" s="2487"/>
      <c r="AE661" s="2487"/>
      <c r="AF661" s="2487"/>
      <c r="AG661" s="2487"/>
      <c r="AH661" s="2487"/>
      <c r="AI661" s="2487"/>
      <c r="AJ661" s="2487"/>
      <c r="AK661" s="2487"/>
      <c r="AL661" s="2487"/>
      <c r="AM661" s="2487"/>
    </row>
    <row r="662" spans="1:39" ht="15.75" customHeight="1" x14ac:dyDescent="0.25">
      <c r="A662" s="2487"/>
      <c r="B662" s="2487"/>
      <c r="C662" s="2487"/>
      <c r="D662" s="2487"/>
      <c r="E662" s="2487"/>
      <c r="F662" s="2487"/>
      <c r="G662" s="2487"/>
      <c r="H662" s="2487"/>
      <c r="I662" s="2487"/>
      <c r="J662" s="2487"/>
      <c r="K662" s="2487"/>
      <c r="L662" s="2487"/>
      <c r="M662" s="2487"/>
      <c r="N662" s="2487"/>
      <c r="O662" s="2487"/>
      <c r="P662" s="2487"/>
      <c r="Q662" s="2487"/>
      <c r="R662" s="2487"/>
      <c r="S662" s="2487"/>
      <c r="T662" s="2487"/>
      <c r="U662" s="2487"/>
      <c r="V662" s="2487"/>
      <c r="W662" s="2487"/>
      <c r="X662" s="2487"/>
      <c r="Y662" s="2487"/>
      <c r="Z662" s="2487"/>
      <c r="AA662" s="2487"/>
      <c r="AB662" s="2487"/>
      <c r="AC662" s="2487"/>
      <c r="AD662" s="2487"/>
      <c r="AE662" s="2487"/>
      <c r="AF662" s="2487"/>
      <c r="AG662" s="2487"/>
      <c r="AH662" s="2487"/>
      <c r="AI662" s="2487"/>
      <c r="AJ662" s="2487"/>
      <c r="AK662" s="2487"/>
      <c r="AL662" s="2487"/>
      <c r="AM662" s="2487"/>
    </row>
    <row r="663" spans="1:39" ht="15.75" customHeight="1" x14ac:dyDescent="0.25">
      <c r="A663" s="2487"/>
      <c r="B663" s="2487"/>
      <c r="C663" s="2487"/>
      <c r="D663" s="2487"/>
      <c r="E663" s="2487"/>
      <c r="F663" s="2487"/>
      <c r="G663" s="2487"/>
      <c r="H663" s="2487"/>
      <c r="I663" s="2487"/>
      <c r="J663" s="2487"/>
      <c r="K663" s="2487"/>
      <c r="L663" s="2487"/>
      <c r="M663" s="2487"/>
      <c r="N663" s="2487"/>
      <c r="O663" s="2487"/>
      <c r="P663" s="2487"/>
      <c r="Q663" s="2487"/>
      <c r="R663" s="2487"/>
      <c r="S663" s="2487"/>
      <c r="T663" s="2487"/>
      <c r="U663" s="2487"/>
      <c r="V663" s="2487"/>
      <c r="W663" s="2487"/>
      <c r="X663" s="2487"/>
      <c r="Y663" s="2487"/>
      <c r="Z663" s="2487"/>
      <c r="AA663" s="2487"/>
      <c r="AB663" s="2487"/>
      <c r="AC663" s="2487"/>
      <c r="AD663" s="2487"/>
      <c r="AE663" s="2487"/>
      <c r="AF663" s="2487"/>
      <c r="AG663" s="2487"/>
      <c r="AH663" s="2487"/>
      <c r="AI663" s="2487"/>
      <c r="AJ663" s="2487"/>
      <c r="AK663" s="2487"/>
      <c r="AL663" s="2487"/>
      <c r="AM663" s="2487"/>
    </row>
    <row r="664" spans="1:39" ht="15.75" customHeight="1" x14ac:dyDescent="0.25">
      <c r="A664" s="2487"/>
      <c r="B664" s="2487"/>
      <c r="C664" s="2487"/>
      <c r="D664" s="2487"/>
      <c r="E664" s="2487"/>
      <c r="F664" s="2487"/>
      <c r="G664" s="2487"/>
      <c r="H664" s="2487"/>
      <c r="I664" s="2487"/>
      <c r="J664" s="2487"/>
      <c r="K664" s="2487"/>
      <c r="L664" s="2487"/>
      <c r="M664" s="2487"/>
      <c r="N664" s="2487"/>
      <c r="O664" s="2487"/>
      <c r="P664" s="2487"/>
      <c r="Q664" s="2487"/>
      <c r="R664" s="2487"/>
      <c r="S664" s="2487"/>
      <c r="T664" s="2487"/>
      <c r="U664" s="2487"/>
      <c r="V664" s="2487"/>
      <c r="W664" s="2487"/>
      <c r="X664" s="2487"/>
      <c r="Y664" s="2487"/>
      <c r="Z664" s="2487"/>
      <c r="AA664" s="2487"/>
      <c r="AB664" s="2487"/>
      <c r="AC664" s="2487"/>
      <c r="AD664" s="2487"/>
      <c r="AE664" s="2487"/>
      <c r="AF664" s="2487"/>
      <c r="AG664" s="2487"/>
      <c r="AH664" s="2487"/>
      <c r="AI664" s="2487"/>
      <c r="AJ664" s="2487"/>
      <c r="AK664" s="2487"/>
      <c r="AL664" s="2487"/>
      <c r="AM664" s="2487"/>
    </row>
    <row r="665" spans="1:39" ht="15.75" customHeight="1" x14ac:dyDescent="0.25">
      <c r="A665" s="2487"/>
      <c r="B665" s="2487"/>
      <c r="C665" s="2487"/>
      <c r="D665" s="2487"/>
      <c r="E665" s="2487"/>
      <c r="F665" s="2487"/>
      <c r="G665" s="2487"/>
      <c r="H665" s="2487"/>
      <c r="I665" s="2487"/>
      <c r="J665" s="2487"/>
      <c r="K665" s="2487"/>
      <c r="L665" s="2487"/>
      <c r="M665" s="2487"/>
      <c r="N665" s="2487"/>
      <c r="O665" s="2487"/>
      <c r="P665" s="2487"/>
      <c r="Q665" s="2487"/>
      <c r="R665" s="2487"/>
      <c r="S665" s="2487"/>
      <c r="T665" s="2487"/>
      <c r="U665" s="2487"/>
      <c r="V665" s="2487"/>
      <c r="W665" s="2487"/>
      <c r="X665" s="2487"/>
      <c r="Y665" s="2487"/>
      <c r="Z665" s="2487"/>
      <c r="AA665" s="2487"/>
      <c r="AB665" s="2487"/>
      <c r="AC665" s="2487"/>
      <c r="AD665" s="2487"/>
      <c r="AE665" s="2487"/>
      <c r="AF665" s="2487"/>
      <c r="AG665" s="2487"/>
      <c r="AH665" s="2487"/>
      <c r="AI665" s="2487"/>
      <c r="AJ665" s="2487"/>
      <c r="AK665" s="2487"/>
      <c r="AL665" s="2487"/>
      <c r="AM665" s="2487"/>
    </row>
    <row r="666" spans="1:39" ht="15.75" customHeight="1" x14ac:dyDescent="0.25">
      <c r="A666" s="2487"/>
      <c r="B666" s="2487"/>
      <c r="C666" s="2487"/>
      <c r="D666" s="2487"/>
      <c r="E666" s="2487"/>
      <c r="F666" s="2487"/>
      <c r="G666" s="2487"/>
      <c r="H666" s="2487"/>
      <c r="I666" s="2487"/>
      <c r="J666" s="2487"/>
      <c r="K666" s="2487"/>
      <c r="L666" s="2487"/>
      <c r="M666" s="2487"/>
      <c r="N666" s="2487"/>
      <c r="O666" s="2487"/>
      <c r="P666" s="2487"/>
      <c r="Q666" s="2487"/>
      <c r="R666" s="2487"/>
      <c r="S666" s="2487"/>
      <c r="T666" s="2487"/>
      <c r="U666" s="2487"/>
      <c r="V666" s="2487"/>
      <c r="W666" s="2487"/>
      <c r="X666" s="2487"/>
      <c r="Y666" s="2487"/>
      <c r="Z666" s="2487"/>
      <c r="AA666" s="2487"/>
      <c r="AB666" s="2487"/>
      <c r="AC666" s="2487"/>
      <c r="AD666" s="2487"/>
      <c r="AE666" s="2487"/>
      <c r="AF666" s="2487"/>
      <c r="AG666" s="2487"/>
      <c r="AH666" s="2487"/>
      <c r="AI666" s="2487"/>
      <c r="AJ666" s="2487"/>
      <c r="AK666" s="2487"/>
      <c r="AL666" s="2487"/>
      <c r="AM666" s="2487"/>
    </row>
    <row r="667" spans="1:39" ht="15.75" customHeight="1" x14ac:dyDescent="0.25">
      <c r="A667" s="2487"/>
      <c r="B667" s="2487"/>
      <c r="C667" s="2487"/>
      <c r="D667" s="2487"/>
      <c r="E667" s="2487"/>
      <c r="F667" s="2487"/>
      <c r="G667" s="2487"/>
      <c r="H667" s="2487"/>
      <c r="I667" s="2487"/>
      <c r="J667" s="2487"/>
      <c r="K667" s="2487"/>
      <c r="L667" s="2487"/>
      <c r="M667" s="2487"/>
      <c r="N667" s="2487"/>
      <c r="O667" s="2487"/>
      <c r="P667" s="2487"/>
      <c r="Q667" s="2487"/>
      <c r="R667" s="2487"/>
      <c r="S667" s="2487"/>
      <c r="T667" s="2487"/>
      <c r="U667" s="2487"/>
      <c r="V667" s="2487"/>
      <c r="W667" s="2487"/>
      <c r="X667" s="2487"/>
      <c r="Y667" s="2487"/>
      <c r="Z667" s="2487"/>
      <c r="AA667" s="2487"/>
      <c r="AB667" s="2487"/>
      <c r="AC667" s="2487"/>
      <c r="AD667" s="2487"/>
      <c r="AE667" s="2487"/>
      <c r="AF667" s="2487"/>
      <c r="AG667" s="2487"/>
      <c r="AH667" s="2487"/>
      <c r="AI667" s="2487"/>
      <c r="AJ667" s="2487"/>
      <c r="AK667" s="2487"/>
      <c r="AL667" s="2487"/>
      <c r="AM667" s="2487"/>
    </row>
    <row r="668" spans="1:39" ht="15.75" customHeight="1" x14ac:dyDescent="0.25">
      <c r="A668" s="2487"/>
      <c r="B668" s="2487"/>
      <c r="C668" s="2487"/>
      <c r="D668" s="2487"/>
      <c r="E668" s="2487"/>
      <c r="F668" s="2487"/>
      <c r="G668" s="2487"/>
      <c r="H668" s="2487"/>
      <c r="I668" s="2487"/>
      <c r="J668" s="2487"/>
      <c r="K668" s="2487"/>
      <c r="L668" s="2487"/>
      <c r="M668" s="2487"/>
      <c r="N668" s="2487"/>
      <c r="O668" s="2487"/>
      <c r="P668" s="2487"/>
      <c r="Q668" s="2487"/>
      <c r="R668" s="2487"/>
      <c r="S668" s="2487"/>
      <c r="T668" s="2487"/>
      <c r="U668" s="2487"/>
      <c r="V668" s="2487"/>
      <c r="W668" s="2487"/>
      <c r="X668" s="2487"/>
      <c r="Y668" s="2487"/>
      <c r="Z668" s="2487"/>
      <c r="AA668" s="2487"/>
      <c r="AB668" s="2487"/>
      <c r="AC668" s="2487"/>
      <c r="AD668" s="2487"/>
      <c r="AE668" s="2487"/>
      <c r="AF668" s="2487"/>
      <c r="AG668" s="2487"/>
      <c r="AH668" s="2487"/>
      <c r="AI668" s="2487"/>
      <c r="AJ668" s="2487"/>
      <c r="AK668" s="2487"/>
      <c r="AL668" s="2487"/>
      <c r="AM668" s="2487"/>
    </row>
    <row r="669" spans="1:39" ht="15.75" customHeight="1" x14ac:dyDescent="0.25">
      <c r="A669" s="2487"/>
      <c r="B669" s="2487"/>
      <c r="C669" s="2487"/>
      <c r="D669" s="2487"/>
      <c r="E669" s="2487"/>
      <c r="F669" s="2487"/>
      <c r="G669" s="2487"/>
      <c r="H669" s="2487"/>
      <c r="I669" s="2487"/>
      <c r="J669" s="2487"/>
      <c r="K669" s="2487"/>
      <c r="L669" s="2487"/>
      <c r="M669" s="2487"/>
      <c r="N669" s="2487"/>
      <c r="O669" s="2487"/>
      <c r="P669" s="2487"/>
      <c r="Q669" s="2487"/>
      <c r="R669" s="2487"/>
      <c r="S669" s="2487"/>
      <c r="T669" s="2487"/>
      <c r="U669" s="2487"/>
      <c r="V669" s="2487"/>
      <c r="W669" s="2487"/>
      <c r="X669" s="2487"/>
      <c r="Y669" s="2487"/>
      <c r="Z669" s="2487"/>
      <c r="AA669" s="2487"/>
      <c r="AB669" s="2487"/>
      <c r="AC669" s="2487"/>
      <c r="AD669" s="2487"/>
      <c r="AE669" s="2487"/>
      <c r="AF669" s="2487"/>
      <c r="AG669" s="2487"/>
      <c r="AH669" s="2487"/>
      <c r="AI669" s="2487"/>
      <c r="AJ669" s="2487"/>
      <c r="AK669" s="2487"/>
      <c r="AL669" s="2487"/>
      <c r="AM669" s="2487"/>
    </row>
    <row r="670" spans="1:39" ht="15.75" customHeight="1" x14ac:dyDescent="0.25">
      <c r="A670" s="2487"/>
      <c r="B670" s="2487"/>
      <c r="C670" s="2487"/>
      <c r="D670" s="2487"/>
      <c r="E670" s="2487"/>
      <c r="F670" s="2487"/>
      <c r="G670" s="2487"/>
      <c r="H670" s="2487"/>
      <c r="I670" s="2487"/>
      <c r="J670" s="2487"/>
      <c r="K670" s="2487"/>
      <c r="L670" s="2487"/>
      <c r="M670" s="2487"/>
      <c r="N670" s="2487"/>
      <c r="O670" s="2487"/>
      <c r="P670" s="2487"/>
      <c r="Q670" s="2487"/>
      <c r="R670" s="2487"/>
      <c r="S670" s="2487"/>
      <c r="T670" s="2487"/>
      <c r="U670" s="2487"/>
      <c r="V670" s="2487"/>
      <c r="W670" s="2487"/>
      <c r="X670" s="2487"/>
      <c r="Y670" s="2487"/>
      <c r="Z670" s="2487"/>
      <c r="AA670" s="2487"/>
      <c r="AB670" s="2487"/>
      <c r="AC670" s="2487"/>
      <c r="AD670" s="2487"/>
      <c r="AE670" s="2487"/>
      <c r="AF670" s="2487"/>
      <c r="AG670" s="2487"/>
      <c r="AH670" s="2487"/>
      <c r="AI670" s="2487"/>
      <c r="AJ670" s="2487"/>
      <c r="AK670" s="2487"/>
      <c r="AL670" s="2487"/>
      <c r="AM670" s="2487"/>
    </row>
    <row r="671" spans="1:39" ht="15.75" customHeight="1" x14ac:dyDescent="0.25">
      <c r="A671" s="2487"/>
      <c r="B671" s="2487"/>
      <c r="C671" s="2487"/>
      <c r="D671" s="2487"/>
      <c r="E671" s="2487"/>
      <c r="F671" s="2487"/>
      <c r="G671" s="2487"/>
      <c r="H671" s="2487"/>
      <c r="I671" s="2487"/>
      <c r="J671" s="2487"/>
      <c r="K671" s="2487"/>
      <c r="L671" s="2487"/>
      <c r="M671" s="2487"/>
      <c r="N671" s="2487"/>
      <c r="O671" s="2487"/>
      <c r="P671" s="2487"/>
      <c r="Q671" s="2487"/>
      <c r="R671" s="2487"/>
      <c r="S671" s="2487"/>
      <c r="T671" s="2487"/>
      <c r="U671" s="2487"/>
      <c r="V671" s="2487"/>
      <c r="W671" s="2487"/>
      <c r="X671" s="2487"/>
      <c r="Y671" s="2487"/>
      <c r="Z671" s="2487"/>
      <c r="AA671" s="2487"/>
      <c r="AB671" s="2487"/>
      <c r="AC671" s="2487"/>
      <c r="AD671" s="2487"/>
      <c r="AE671" s="2487"/>
      <c r="AF671" s="2487"/>
      <c r="AG671" s="2487"/>
      <c r="AH671" s="2487"/>
      <c r="AI671" s="2487"/>
      <c r="AJ671" s="2487"/>
      <c r="AK671" s="2487"/>
      <c r="AL671" s="2487"/>
      <c r="AM671" s="2487"/>
    </row>
    <row r="672" spans="1:39" ht="15.75" customHeight="1" x14ac:dyDescent="0.25">
      <c r="A672" s="2487"/>
      <c r="B672" s="2487"/>
      <c r="C672" s="2487"/>
      <c r="D672" s="2487"/>
      <c r="E672" s="2487"/>
      <c r="F672" s="2487"/>
      <c r="G672" s="2487"/>
      <c r="H672" s="2487"/>
      <c r="I672" s="2487"/>
      <c r="J672" s="2487"/>
      <c r="K672" s="2487"/>
      <c r="L672" s="2487"/>
      <c r="M672" s="2487"/>
      <c r="N672" s="2487"/>
      <c r="O672" s="2487"/>
      <c r="P672" s="2487"/>
      <c r="Q672" s="2487"/>
      <c r="R672" s="2487"/>
      <c r="S672" s="2487"/>
      <c r="T672" s="2487"/>
      <c r="U672" s="2487"/>
      <c r="V672" s="2487"/>
      <c r="W672" s="2487"/>
      <c r="X672" s="2487"/>
      <c r="Y672" s="2487"/>
      <c r="Z672" s="2487"/>
      <c r="AA672" s="2487"/>
      <c r="AB672" s="2487"/>
      <c r="AC672" s="2487"/>
      <c r="AD672" s="2487"/>
      <c r="AE672" s="2487"/>
      <c r="AF672" s="2487"/>
      <c r="AG672" s="2487"/>
      <c r="AH672" s="2487"/>
      <c r="AI672" s="2487"/>
      <c r="AJ672" s="2487"/>
      <c r="AK672" s="2487"/>
      <c r="AL672" s="2487"/>
      <c r="AM672" s="2487"/>
    </row>
    <row r="673" spans="1:39" ht="15.75" customHeight="1" x14ac:dyDescent="0.25">
      <c r="A673" s="2487"/>
      <c r="B673" s="2487"/>
      <c r="C673" s="2487"/>
      <c r="D673" s="2487"/>
      <c r="E673" s="2487"/>
      <c r="F673" s="2487"/>
      <c r="G673" s="2487"/>
      <c r="H673" s="2487"/>
      <c r="I673" s="2487"/>
      <c r="J673" s="2487"/>
      <c r="K673" s="2487"/>
      <c r="L673" s="2487"/>
      <c r="M673" s="2487"/>
      <c r="N673" s="2487"/>
      <c r="O673" s="2487"/>
      <c r="P673" s="2487"/>
      <c r="Q673" s="2487"/>
      <c r="R673" s="2487"/>
      <c r="S673" s="2487"/>
      <c r="T673" s="2487"/>
      <c r="U673" s="2487"/>
      <c r="V673" s="2487"/>
      <c r="W673" s="2487"/>
      <c r="X673" s="2487"/>
      <c r="Y673" s="2487"/>
      <c r="Z673" s="2487"/>
      <c r="AA673" s="2487"/>
      <c r="AB673" s="2487"/>
      <c r="AC673" s="2487"/>
      <c r="AD673" s="2487"/>
      <c r="AE673" s="2487"/>
      <c r="AF673" s="2487"/>
      <c r="AG673" s="2487"/>
      <c r="AH673" s="2487"/>
      <c r="AI673" s="2487"/>
      <c r="AJ673" s="2487"/>
      <c r="AK673" s="2487"/>
      <c r="AL673" s="2487"/>
      <c r="AM673" s="2487"/>
    </row>
    <row r="674" spans="1:39" ht="15.75" customHeight="1" x14ac:dyDescent="0.25">
      <c r="A674" s="2487"/>
      <c r="B674" s="2487"/>
      <c r="C674" s="2487"/>
      <c r="D674" s="2487"/>
      <c r="E674" s="2487"/>
      <c r="F674" s="2487"/>
      <c r="G674" s="2487"/>
      <c r="H674" s="2487"/>
      <c r="I674" s="2487"/>
      <c r="J674" s="2487"/>
      <c r="K674" s="2487"/>
      <c r="L674" s="2487"/>
      <c r="M674" s="2487"/>
      <c r="N674" s="2487"/>
      <c r="O674" s="2487"/>
      <c r="P674" s="2487"/>
      <c r="Q674" s="2487"/>
      <c r="R674" s="2487"/>
      <c r="S674" s="2487"/>
      <c r="T674" s="2487"/>
      <c r="U674" s="2487"/>
      <c r="V674" s="2487"/>
      <c r="W674" s="2487"/>
      <c r="X674" s="2487"/>
      <c r="Y674" s="2487"/>
      <c r="Z674" s="2487"/>
      <c r="AA674" s="2487"/>
      <c r="AB674" s="2487"/>
      <c r="AC674" s="2487"/>
      <c r="AD674" s="2487"/>
      <c r="AE674" s="2487"/>
      <c r="AF674" s="2487"/>
      <c r="AG674" s="2487"/>
      <c r="AH674" s="2487"/>
      <c r="AI674" s="2487"/>
      <c r="AJ674" s="2487"/>
      <c r="AK674" s="2487"/>
      <c r="AL674" s="2487"/>
      <c r="AM674" s="2487"/>
    </row>
    <row r="675" spans="1:39" ht="15.75" customHeight="1" x14ac:dyDescent="0.25">
      <c r="A675" s="2487"/>
      <c r="B675" s="2487"/>
      <c r="C675" s="2487"/>
      <c r="D675" s="2487"/>
      <c r="E675" s="2487"/>
      <c r="F675" s="2487"/>
      <c r="G675" s="2487"/>
      <c r="H675" s="2487"/>
      <c r="I675" s="2487"/>
      <c r="J675" s="2487"/>
      <c r="K675" s="2487"/>
      <c r="L675" s="2487"/>
      <c r="M675" s="2487"/>
      <c r="N675" s="2487"/>
      <c r="O675" s="2487"/>
      <c r="P675" s="2487"/>
      <c r="Q675" s="2487"/>
      <c r="R675" s="2487"/>
      <c r="S675" s="2487"/>
      <c r="T675" s="2487"/>
      <c r="U675" s="2487"/>
      <c r="V675" s="2487"/>
      <c r="W675" s="2487"/>
      <c r="X675" s="2487"/>
      <c r="Y675" s="2487"/>
      <c r="Z675" s="2487"/>
      <c r="AA675" s="2487"/>
      <c r="AB675" s="2487"/>
      <c r="AC675" s="2487"/>
      <c r="AD675" s="2487"/>
      <c r="AE675" s="2487"/>
      <c r="AF675" s="2487"/>
      <c r="AG675" s="2487"/>
      <c r="AH675" s="2487"/>
      <c r="AI675" s="2487"/>
      <c r="AJ675" s="2487"/>
      <c r="AK675" s="2487"/>
      <c r="AL675" s="2487"/>
      <c r="AM675" s="2487"/>
    </row>
    <row r="676" spans="1:39" ht="15.75" customHeight="1" x14ac:dyDescent="0.25">
      <c r="A676" s="2487"/>
      <c r="B676" s="2487"/>
      <c r="C676" s="2487"/>
      <c r="D676" s="2487"/>
      <c r="E676" s="2487"/>
      <c r="F676" s="2487"/>
      <c r="G676" s="2487"/>
      <c r="H676" s="2487"/>
      <c r="I676" s="2487"/>
      <c r="J676" s="2487"/>
      <c r="K676" s="2487"/>
      <c r="L676" s="2487"/>
      <c r="M676" s="2487"/>
      <c r="N676" s="2487"/>
      <c r="O676" s="2487"/>
      <c r="P676" s="2487"/>
      <c r="Q676" s="2487"/>
      <c r="R676" s="2487"/>
      <c r="S676" s="2487"/>
      <c r="T676" s="2487"/>
      <c r="U676" s="2487"/>
      <c r="V676" s="2487"/>
      <c r="W676" s="2487"/>
      <c r="X676" s="2487"/>
      <c r="Y676" s="2487"/>
      <c r="Z676" s="2487"/>
      <c r="AA676" s="2487"/>
      <c r="AB676" s="2487"/>
      <c r="AC676" s="2487"/>
      <c r="AD676" s="2487"/>
      <c r="AE676" s="2487"/>
      <c r="AF676" s="2487"/>
      <c r="AG676" s="2487"/>
      <c r="AH676" s="2487"/>
      <c r="AI676" s="2487"/>
      <c r="AJ676" s="2487"/>
      <c r="AK676" s="2487"/>
      <c r="AL676" s="2487"/>
      <c r="AM676" s="2487"/>
    </row>
    <row r="677" spans="1:39" ht="15.75" customHeight="1" x14ac:dyDescent="0.25">
      <c r="A677" s="2487"/>
      <c r="B677" s="2487"/>
      <c r="C677" s="2487"/>
      <c r="D677" s="2487"/>
      <c r="E677" s="2487"/>
      <c r="F677" s="2487"/>
      <c r="G677" s="2487"/>
      <c r="H677" s="2487"/>
      <c r="I677" s="2487"/>
      <c r="J677" s="2487"/>
      <c r="K677" s="2487"/>
      <c r="L677" s="2487"/>
      <c r="M677" s="2487"/>
      <c r="N677" s="2487"/>
      <c r="O677" s="2487"/>
      <c r="P677" s="2487"/>
      <c r="Q677" s="2487"/>
      <c r="R677" s="2487"/>
      <c r="S677" s="2487"/>
      <c r="T677" s="2487"/>
      <c r="U677" s="2487"/>
      <c r="V677" s="2487"/>
      <c r="W677" s="2487"/>
      <c r="X677" s="2487"/>
      <c r="Y677" s="2487"/>
      <c r="Z677" s="2487"/>
      <c r="AA677" s="2487"/>
      <c r="AB677" s="2487"/>
      <c r="AC677" s="2487"/>
      <c r="AD677" s="2487"/>
      <c r="AE677" s="2487"/>
      <c r="AF677" s="2487"/>
      <c r="AG677" s="2487"/>
      <c r="AH677" s="2487"/>
      <c r="AI677" s="2487"/>
      <c r="AJ677" s="2487"/>
      <c r="AK677" s="2487"/>
      <c r="AL677" s="2487"/>
      <c r="AM677" s="2487"/>
    </row>
    <row r="678" spans="1:39" ht="15.75" customHeight="1" x14ac:dyDescent="0.25">
      <c r="A678" s="2487"/>
      <c r="B678" s="2487"/>
      <c r="C678" s="2487"/>
      <c r="D678" s="2487"/>
      <c r="E678" s="2487"/>
      <c r="F678" s="2487"/>
      <c r="G678" s="2487"/>
      <c r="H678" s="2487"/>
      <c r="I678" s="2487"/>
      <c r="J678" s="2487"/>
      <c r="K678" s="2487"/>
      <c r="L678" s="2487"/>
      <c r="M678" s="2487"/>
      <c r="N678" s="2487"/>
      <c r="O678" s="2487"/>
      <c r="P678" s="2487"/>
      <c r="Q678" s="2487"/>
      <c r="R678" s="2487"/>
      <c r="S678" s="2487"/>
      <c r="T678" s="2487"/>
      <c r="U678" s="2487"/>
      <c r="V678" s="2487"/>
      <c r="W678" s="2487"/>
      <c r="X678" s="2487"/>
      <c r="Y678" s="2487"/>
      <c r="Z678" s="2487"/>
      <c r="AA678" s="2487"/>
      <c r="AB678" s="2487"/>
      <c r="AC678" s="2487"/>
      <c r="AD678" s="2487"/>
      <c r="AE678" s="2487"/>
      <c r="AF678" s="2487"/>
      <c r="AG678" s="2487"/>
      <c r="AH678" s="2487"/>
      <c r="AI678" s="2487"/>
      <c r="AJ678" s="2487"/>
      <c r="AK678" s="2487"/>
      <c r="AL678" s="2487"/>
      <c r="AM678" s="2487"/>
    </row>
    <row r="679" spans="1:39" ht="15.75" customHeight="1" x14ac:dyDescent="0.25">
      <c r="A679" s="2487"/>
      <c r="B679" s="2487"/>
      <c r="C679" s="2487"/>
      <c r="D679" s="2487"/>
      <c r="E679" s="2487"/>
      <c r="F679" s="2487"/>
      <c r="G679" s="2487"/>
      <c r="H679" s="2487"/>
      <c r="I679" s="2487"/>
      <c r="J679" s="2487"/>
      <c r="K679" s="2487"/>
      <c r="L679" s="2487"/>
      <c r="M679" s="2487"/>
      <c r="N679" s="2487"/>
      <c r="O679" s="2487"/>
      <c r="P679" s="2487"/>
      <c r="Q679" s="2487"/>
      <c r="R679" s="2487"/>
      <c r="S679" s="2487"/>
      <c r="T679" s="2487"/>
      <c r="U679" s="2487"/>
      <c r="V679" s="2487"/>
      <c r="W679" s="2487"/>
      <c r="X679" s="2487"/>
      <c r="Y679" s="2487"/>
      <c r="Z679" s="2487"/>
      <c r="AA679" s="2487"/>
      <c r="AB679" s="2487"/>
      <c r="AC679" s="2487"/>
      <c r="AD679" s="2487"/>
      <c r="AE679" s="2487"/>
      <c r="AF679" s="2487"/>
      <c r="AG679" s="2487"/>
      <c r="AH679" s="2487"/>
      <c r="AI679" s="2487"/>
      <c r="AJ679" s="2487"/>
      <c r="AK679" s="2487"/>
      <c r="AL679" s="2487"/>
      <c r="AM679" s="2487"/>
    </row>
    <row r="680" spans="1:39" ht="15.75" customHeight="1" x14ac:dyDescent="0.25">
      <c r="A680" s="2487"/>
      <c r="B680" s="2487"/>
      <c r="C680" s="2487"/>
      <c r="D680" s="2487"/>
      <c r="E680" s="2487"/>
      <c r="F680" s="2487"/>
      <c r="G680" s="2487"/>
      <c r="H680" s="2487"/>
      <c r="I680" s="2487"/>
      <c r="J680" s="2487"/>
      <c r="K680" s="2487"/>
      <c r="L680" s="2487"/>
      <c r="M680" s="2487"/>
      <c r="N680" s="2487"/>
      <c r="O680" s="2487"/>
      <c r="P680" s="2487"/>
      <c r="Q680" s="2487"/>
      <c r="R680" s="2487"/>
      <c r="S680" s="2487"/>
      <c r="T680" s="2487"/>
      <c r="U680" s="2487"/>
      <c r="V680" s="2487"/>
      <c r="W680" s="2487"/>
      <c r="X680" s="2487"/>
      <c r="Y680" s="2487"/>
      <c r="Z680" s="2487"/>
      <c r="AA680" s="2487"/>
      <c r="AB680" s="2487"/>
      <c r="AC680" s="2487"/>
      <c r="AD680" s="2487"/>
      <c r="AE680" s="2487"/>
      <c r="AF680" s="2487"/>
      <c r="AG680" s="2487"/>
      <c r="AH680" s="2487"/>
      <c r="AI680" s="2487"/>
      <c r="AJ680" s="2487"/>
      <c r="AK680" s="2487"/>
      <c r="AL680" s="2487"/>
      <c r="AM680" s="2487"/>
    </row>
    <row r="681" spans="1:39" ht="15.75" customHeight="1" x14ac:dyDescent="0.25">
      <c r="A681" s="2487"/>
      <c r="B681" s="2487"/>
      <c r="C681" s="2487"/>
      <c r="D681" s="2487"/>
      <c r="E681" s="2487"/>
      <c r="F681" s="2487"/>
      <c r="G681" s="2487"/>
      <c r="H681" s="2487"/>
      <c r="I681" s="2487"/>
      <c r="J681" s="2487"/>
      <c r="K681" s="2487"/>
      <c r="L681" s="2487"/>
      <c r="M681" s="2487"/>
      <c r="N681" s="2487"/>
      <c r="O681" s="2487"/>
      <c r="P681" s="2487"/>
      <c r="Q681" s="2487"/>
      <c r="R681" s="2487"/>
      <c r="S681" s="2487"/>
      <c r="T681" s="2487"/>
      <c r="U681" s="2487"/>
      <c r="V681" s="2487"/>
      <c r="W681" s="2487"/>
      <c r="X681" s="2487"/>
      <c r="Y681" s="2487"/>
      <c r="Z681" s="2487"/>
      <c r="AA681" s="2487"/>
      <c r="AB681" s="2487"/>
      <c r="AC681" s="2487"/>
      <c r="AD681" s="2487"/>
      <c r="AE681" s="2487"/>
      <c r="AF681" s="2487"/>
      <c r="AG681" s="2487"/>
      <c r="AH681" s="2487"/>
      <c r="AI681" s="2487"/>
      <c r="AJ681" s="2487"/>
      <c r="AK681" s="2487"/>
      <c r="AL681" s="2487"/>
      <c r="AM681" s="2487"/>
    </row>
    <row r="682" spans="1:39" ht="15.75" customHeight="1" x14ac:dyDescent="0.25">
      <c r="A682" s="2487"/>
      <c r="B682" s="2487"/>
      <c r="C682" s="2487"/>
      <c r="D682" s="2487"/>
      <c r="E682" s="2487"/>
      <c r="F682" s="2487"/>
      <c r="G682" s="2487"/>
      <c r="H682" s="2487"/>
      <c r="I682" s="2487"/>
      <c r="J682" s="2487"/>
      <c r="K682" s="2487"/>
      <c r="L682" s="2487"/>
      <c r="M682" s="2487"/>
      <c r="N682" s="2487"/>
      <c r="O682" s="2487"/>
      <c r="P682" s="2487"/>
      <c r="Q682" s="2487"/>
      <c r="R682" s="2487"/>
      <c r="S682" s="2487"/>
      <c r="T682" s="2487"/>
      <c r="U682" s="2487"/>
      <c r="V682" s="2487"/>
      <c r="W682" s="2487"/>
      <c r="X682" s="2487"/>
      <c r="Y682" s="2487"/>
      <c r="Z682" s="2487"/>
      <c r="AA682" s="2487"/>
      <c r="AB682" s="2487"/>
      <c r="AC682" s="2487"/>
      <c r="AD682" s="2487"/>
      <c r="AE682" s="2487"/>
      <c r="AF682" s="2487"/>
      <c r="AG682" s="2487"/>
      <c r="AH682" s="2487"/>
      <c r="AI682" s="2487"/>
      <c r="AJ682" s="2487"/>
      <c r="AK682" s="2487"/>
      <c r="AL682" s="2487"/>
      <c r="AM682" s="2487"/>
    </row>
    <row r="683" spans="1:39" ht="15.75" customHeight="1" x14ac:dyDescent="0.25">
      <c r="A683" s="2487"/>
      <c r="B683" s="2487"/>
      <c r="C683" s="2487"/>
      <c r="D683" s="2487"/>
      <c r="E683" s="2487"/>
      <c r="F683" s="2487"/>
      <c r="G683" s="2487"/>
      <c r="H683" s="2487"/>
      <c r="I683" s="2487"/>
      <c r="J683" s="2487"/>
      <c r="K683" s="2487"/>
      <c r="L683" s="2487"/>
      <c r="M683" s="2487"/>
      <c r="N683" s="2487"/>
      <c r="O683" s="2487"/>
      <c r="P683" s="2487"/>
      <c r="Q683" s="2487"/>
      <c r="R683" s="2487"/>
      <c r="S683" s="2487"/>
      <c r="T683" s="2487"/>
      <c r="U683" s="2487"/>
      <c r="V683" s="2487"/>
      <c r="W683" s="2487"/>
      <c r="X683" s="2487"/>
      <c r="Y683" s="2487"/>
      <c r="Z683" s="2487"/>
      <c r="AA683" s="2487"/>
      <c r="AB683" s="2487"/>
      <c r="AC683" s="2487"/>
      <c r="AD683" s="2487"/>
      <c r="AE683" s="2487"/>
      <c r="AF683" s="2487"/>
      <c r="AG683" s="2487"/>
      <c r="AH683" s="2487"/>
      <c r="AI683" s="2487"/>
      <c r="AJ683" s="2487"/>
      <c r="AK683" s="2487"/>
      <c r="AL683" s="2487"/>
      <c r="AM683" s="2487"/>
    </row>
    <row r="684" spans="1:39" ht="15.75" customHeight="1" x14ac:dyDescent="0.25">
      <c r="A684" s="2487"/>
      <c r="B684" s="2487"/>
      <c r="C684" s="2487"/>
      <c r="D684" s="2487"/>
      <c r="E684" s="2487"/>
      <c r="F684" s="2487"/>
      <c r="G684" s="2487"/>
      <c r="H684" s="2487"/>
      <c r="I684" s="2487"/>
      <c r="J684" s="2487"/>
      <c r="K684" s="2487"/>
      <c r="L684" s="2487"/>
      <c r="M684" s="2487"/>
      <c r="N684" s="2487"/>
      <c r="O684" s="2487"/>
      <c r="P684" s="2487"/>
      <c r="Q684" s="2487"/>
      <c r="R684" s="2487"/>
      <c r="S684" s="2487"/>
      <c r="T684" s="2487"/>
      <c r="U684" s="2487"/>
      <c r="V684" s="2487"/>
      <c r="W684" s="2487"/>
      <c r="X684" s="2487"/>
      <c r="Y684" s="2487"/>
      <c r="Z684" s="2487"/>
      <c r="AA684" s="2487"/>
      <c r="AB684" s="2487"/>
      <c r="AC684" s="2487"/>
      <c r="AD684" s="2487"/>
      <c r="AE684" s="2487"/>
      <c r="AF684" s="2487"/>
      <c r="AG684" s="2487"/>
      <c r="AH684" s="2487"/>
      <c r="AI684" s="2487"/>
      <c r="AJ684" s="2487"/>
      <c r="AK684" s="2487"/>
      <c r="AL684" s="2487"/>
      <c r="AM684" s="2487"/>
    </row>
    <row r="685" spans="1:39" ht="15.75" customHeight="1" x14ac:dyDescent="0.25">
      <c r="A685" s="2487"/>
      <c r="B685" s="2487"/>
      <c r="C685" s="2487"/>
      <c r="D685" s="2487"/>
      <c r="E685" s="2487"/>
      <c r="F685" s="2487"/>
      <c r="G685" s="2487"/>
      <c r="H685" s="2487"/>
      <c r="I685" s="2487"/>
      <c r="J685" s="2487"/>
      <c r="K685" s="2487"/>
      <c r="L685" s="2487"/>
      <c r="M685" s="2487"/>
      <c r="N685" s="2487"/>
      <c r="O685" s="2487"/>
      <c r="P685" s="2487"/>
      <c r="Q685" s="2487"/>
      <c r="R685" s="2487"/>
      <c r="S685" s="2487"/>
      <c r="T685" s="2487"/>
      <c r="U685" s="2487"/>
      <c r="V685" s="2487"/>
      <c r="W685" s="2487"/>
      <c r="X685" s="2487"/>
      <c r="Y685" s="2487"/>
      <c r="Z685" s="2487"/>
      <c r="AA685" s="2487"/>
      <c r="AB685" s="2487"/>
      <c r="AC685" s="2487"/>
      <c r="AD685" s="2487"/>
      <c r="AE685" s="2487"/>
      <c r="AF685" s="2487"/>
      <c r="AG685" s="2487"/>
      <c r="AH685" s="2487"/>
      <c r="AI685" s="2487"/>
      <c r="AJ685" s="2487"/>
      <c r="AK685" s="2487"/>
      <c r="AL685" s="2487"/>
      <c r="AM685" s="2487"/>
    </row>
    <row r="686" spans="1:39" ht="15.75" customHeight="1" x14ac:dyDescent="0.25">
      <c r="A686" s="2487"/>
      <c r="B686" s="2487"/>
      <c r="C686" s="2487"/>
      <c r="D686" s="2487"/>
      <c r="E686" s="2487"/>
      <c r="F686" s="2487"/>
      <c r="G686" s="2487"/>
      <c r="H686" s="2487"/>
      <c r="I686" s="2487"/>
      <c r="J686" s="2487"/>
      <c r="K686" s="2487"/>
      <c r="L686" s="2487"/>
      <c r="M686" s="2487"/>
      <c r="N686" s="2487"/>
      <c r="O686" s="2487"/>
      <c r="P686" s="2487"/>
      <c r="Q686" s="2487"/>
      <c r="R686" s="2487"/>
      <c r="S686" s="2487"/>
      <c r="T686" s="2487"/>
      <c r="U686" s="2487"/>
      <c r="V686" s="2487"/>
      <c r="W686" s="2487"/>
      <c r="X686" s="2487"/>
      <c r="Y686" s="2487"/>
      <c r="Z686" s="2487"/>
      <c r="AA686" s="2487"/>
      <c r="AB686" s="2487"/>
      <c r="AC686" s="2487"/>
      <c r="AD686" s="2487"/>
      <c r="AE686" s="2487"/>
      <c r="AF686" s="2487"/>
      <c r="AG686" s="2487"/>
      <c r="AH686" s="2487"/>
      <c r="AI686" s="2487"/>
      <c r="AJ686" s="2487"/>
      <c r="AK686" s="2487"/>
      <c r="AL686" s="2487"/>
      <c r="AM686" s="2487"/>
    </row>
    <row r="687" spans="1:39" ht="15.75" customHeight="1" x14ac:dyDescent="0.25">
      <c r="A687" s="2487"/>
      <c r="B687" s="2487"/>
      <c r="C687" s="2487"/>
      <c r="D687" s="2487"/>
      <c r="E687" s="2487"/>
      <c r="F687" s="2487"/>
      <c r="G687" s="2487"/>
      <c r="H687" s="2487"/>
      <c r="I687" s="2487"/>
      <c r="J687" s="2487"/>
      <c r="K687" s="2487"/>
      <c r="L687" s="2487"/>
      <c r="M687" s="2487"/>
      <c r="N687" s="2487"/>
      <c r="O687" s="2487"/>
      <c r="P687" s="2487"/>
      <c r="Q687" s="2487"/>
      <c r="R687" s="2487"/>
      <c r="S687" s="2487"/>
      <c r="T687" s="2487"/>
      <c r="U687" s="2487"/>
      <c r="V687" s="2487"/>
      <c r="W687" s="2487"/>
      <c r="X687" s="2487"/>
      <c r="Y687" s="2487"/>
      <c r="Z687" s="2487"/>
      <c r="AA687" s="2487"/>
      <c r="AB687" s="2487"/>
      <c r="AC687" s="2487"/>
      <c r="AD687" s="2487"/>
      <c r="AE687" s="2487"/>
      <c r="AF687" s="2487"/>
      <c r="AG687" s="2487"/>
      <c r="AH687" s="2487"/>
      <c r="AI687" s="2487"/>
      <c r="AJ687" s="2487"/>
      <c r="AK687" s="2487"/>
      <c r="AL687" s="2487"/>
      <c r="AM687" s="2487"/>
    </row>
    <row r="688" spans="1:39" ht="15.75" customHeight="1" x14ac:dyDescent="0.25">
      <c r="A688" s="2487"/>
      <c r="B688" s="2487"/>
      <c r="C688" s="2487"/>
      <c r="D688" s="2487"/>
      <c r="E688" s="2487"/>
      <c r="F688" s="2487"/>
      <c r="G688" s="2487"/>
      <c r="H688" s="2487"/>
      <c r="I688" s="2487"/>
      <c r="J688" s="2487"/>
      <c r="K688" s="2487"/>
      <c r="L688" s="2487"/>
      <c r="M688" s="2487"/>
      <c r="N688" s="2487"/>
      <c r="O688" s="2487"/>
      <c r="P688" s="2487"/>
      <c r="Q688" s="2487"/>
      <c r="R688" s="2487"/>
      <c r="S688" s="2487"/>
      <c r="T688" s="2487"/>
      <c r="U688" s="2487"/>
      <c r="V688" s="2487"/>
      <c r="W688" s="2487"/>
      <c r="X688" s="2487"/>
      <c r="Y688" s="2487"/>
      <c r="Z688" s="2487"/>
      <c r="AA688" s="2487"/>
      <c r="AB688" s="2487"/>
      <c r="AC688" s="2487"/>
      <c r="AD688" s="2487"/>
      <c r="AE688" s="2487"/>
      <c r="AF688" s="2487"/>
      <c r="AG688" s="2487"/>
      <c r="AH688" s="2487"/>
      <c r="AI688" s="2487"/>
      <c r="AJ688" s="2487"/>
      <c r="AK688" s="2487"/>
      <c r="AL688" s="2487"/>
      <c r="AM688" s="2487"/>
    </row>
    <row r="689" spans="1:39" ht="15.75" customHeight="1" x14ac:dyDescent="0.25">
      <c r="A689" s="2487"/>
      <c r="B689" s="2487"/>
      <c r="C689" s="2487"/>
      <c r="D689" s="2487"/>
      <c r="E689" s="2487"/>
      <c r="F689" s="2487"/>
      <c r="G689" s="2487"/>
      <c r="H689" s="2487"/>
      <c r="I689" s="2487"/>
      <c r="J689" s="2487"/>
      <c r="K689" s="2487"/>
      <c r="L689" s="2487"/>
      <c r="M689" s="2487"/>
      <c r="N689" s="2487"/>
      <c r="O689" s="2487"/>
      <c r="P689" s="2487"/>
      <c r="Q689" s="2487"/>
      <c r="R689" s="2487"/>
      <c r="S689" s="2487"/>
      <c r="T689" s="2487"/>
      <c r="U689" s="2487"/>
      <c r="V689" s="2487"/>
      <c r="W689" s="2487"/>
      <c r="X689" s="2487"/>
      <c r="Y689" s="2487"/>
      <c r="Z689" s="2487"/>
      <c r="AA689" s="2487"/>
      <c r="AB689" s="2487"/>
      <c r="AC689" s="2487"/>
      <c r="AD689" s="2487"/>
      <c r="AE689" s="2487"/>
      <c r="AF689" s="2487"/>
      <c r="AG689" s="2487"/>
      <c r="AH689" s="2487"/>
      <c r="AI689" s="2487"/>
      <c r="AJ689" s="2487"/>
      <c r="AK689" s="2487"/>
      <c r="AL689" s="2487"/>
      <c r="AM689" s="2487"/>
    </row>
    <row r="690" spans="1:39" ht="15.75" customHeight="1" x14ac:dyDescent="0.25">
      <c r="A690" s="2487"/>
      <c r="B690" s="2487"/>
      <c r="C690" s="2487"/>
      <c r="D690" s="2487"/>
      <c r="E690" s="2487"/>
      <c r="F690" s="2487"/>
      <c r="G690" s="2487"/>
      <c r="H690" s="2487"/>
      <c r="I690" s="2487"/>
      <c r="J690" s="2487"/>
      <c r="K690" s="2487"/>
      <c r="L690" s="2487"/>
      <c r="M690" s="2487"/>
      <c r="N690" s="2487"/>
      <c r="O690" s="2487"/>
      <c r="P690" s="2487"/>
      <c r="Q690" s="2487"/>
      <c r="R690" s="2487"/>
      <c r="S690" s="2487"/>
      <c r="T690" s="2487"/>
      <c r="U690" s="2487"/>
      <c r="V690" s="2487"/>
      <c r="W690" s="2487"/>
      <c r="X690" s="2487"/>
      <c r="Y690" s="2487"/>
      <c r="Z690" s="2487"/>
      <c r="AA690" s="2487"/>
      <c r="AB690" s="2487"/>
      <c r="AC690" s="2487"/>
      <c r="AD690" s="2487"/>
      <c r="AE690" s="2487"/>
      <c r="AF690" s="2487"/>
      <c r="AG690" s="2487"/>
      <c r="AH690" s="2487"/>
      <c r="AI690" s="2487"/>
      <c r="AJ690" s="2487"/>
      <c r="AK690" s="2487"/>
      <c r="AL690" s="2487"/>
      <c r="AM690" s="2487"/>
    </row>
    <row r="691" spans="1:39" ht="15.75" customHeight="1" x14ac:dyDescent="0.25">
      <c r="A691" s="2487"/>
      <c r="B691" s="2487"/>
      <c r="C691" s="2487"/>
      <c r="D691" s="2487"/>
      <c r="E691" s="2487"/>
      <c r="F691" s="2487"/>
      <c r="G691" s="2487"/>
      <c r="H691" s="2487"/>
      <c r="I691" s="2487"/>
      <c r="J691" s="2487"/>
      <c r="K691" s="2487"/>
      <c r="L691" s="2487"/>
      <c r="M691" s="2487"/>
      <c r="N691" s="2487"/>
      <c r="O691" s="2487"/>
      <c r="P691" s="2487"/>
      <c r="Q691" s="2487"/>
      <c r="R691" s="2487"/>
      <c r="S691" s="2487"/>
      <c r="T691" s="2487"/>
      <c r="U691" s="2487"/>
      <c r="V691" s="2487"/>
      <c r="W691" s="2487"/>
      <c r="X691" s="2487"/>
      <c r="Y691" s="2487"/>
      <c r="Z691" s="2487"/>
      <c r="AA691" s="2487"/>
      <c r="AB691" s="2487"/>
      <c r="AC691" s="2487"/>
      <c r="AD691" s="2487"/>
      <c r="AE691" s="2487"/>
      <c r="AF691" s="2487"/>
      <c r="AG691" s="2487"/>
      <c r="AH691" s="2487"/>
      <c r="AI691" s="2487"/>
      <c r="AJ691" s="2487"/>
      <c r="AK691" s="2487"/>
      <c r="AL691" s="2487"/>
      <c r="AM691" s="2487"/>
    </row>
    <row r="692" spans="1:39" ht="15.75" customHeight="1" x14ac:dyDescent="0.25">
      <c r="A692" s="2487"/>
      <c r="B692" s="2487"/>
      <c r="C692" s="2487"/>
      <c r="D692" s="2487"/>
      <c r="E692" s="2487"/>
      <c r="F692" s="2487"/>
      <c r="G692" s="2487"/>
      <c r="H692" s="2487"/>
      <c r="I692" s="2487"/>
      <c r="J692" s="2487"/>
      <c r="K692" s="2487"/>
      <c r="L692" s="2487"/>
      <c r="M692" s="2487"/>
      <c r="N692" s="2487"/>
      <c r="O692" s="2487"/>
      <c r="P692" s="2487"/>
      <c r="Q692" s="2487"/>
      <c r="R692" s="2487"/>
      <c r="S692" s="2487"/>
      <c r="T692" s="2487"/>
      <c r="U692" s="2487"/>
      <c r="V692" s="2487"/>
      <c r="W692" s="2487"/>
      <c r="X692" s="2487"/>
      <c r="Y692" s="2487"/>
      <c r="Z692" s="2487"/>
      <c r="AA692" s="2487"/>
      <c r="AB692" s="2487"/>
      <c r="AC692" s="2487"/>
      <c r="AD692" s="2487"/>
      <c r="AE692" s="2487"/>
      <c r="AF692" s="2487"/>
      <c r="AG692" s="2487"/>
      <c r="AH692" s="2487"/>
      <c r="AI692" s="2487"/>
      <c r="AJ692" s="2487"/>
      <c r="AK692" s="2487"/>
      <c r="AL692" s="2487"/>
      <c r="AM692" s="2487"/>
    </row>
    <row r="693" spans="1:39" ht="15.75" customHeight="1" x14ac:dyDescent="0.25">
      <c r="A693" s="2487"/>
      <c r="B693" s="2487"/>
      <c r="C693" s="2487"/>
      <c r="D693" s="2487"/>
      <c r="E693" s="2487"/>
      <c r="F693" s="2487"/>
      <c r="G693" s="2487"/>
      <c r="H693" s="2487"/>
      <c r="I693" s="2487"/>
      <c r="J693" s="2487"/>
      <c r="K693" s="2487"/>
      <c r="L693" s="2487"/>
      <c r="M693" s="2487"/>
      <c r="N693" s="2487"/>
      <c r="O693" s="2487"/>
      <c r="P693" s="2487"/>
      <c r="Q693" s="2487"/>
      <c r="R693" s="2487"/>
      <c r="S693" s="2487"/>
      <c r="T693" s="2487"/>
      <c r="U693" s="2487"/>
      <c r="V693" s="2487"/>
      <c r="W693" s="2487"/>
      <c r="X693" s="2487"/>
      <c r="Y693" s="2487"/>
      <c r="Z693" s="2487"/>
      <c r="AA693" s="2487"/>
      <c r="AB693" s="2487"/>
      <c r="AC693" s="2487"/>
      <c r="AD693" s="2487"/>
      <c r="AE693" s="2487"/>
      <c r="AF693" s="2487"/>
      <c r="AG693" s="2487"/>
      <c r="AH693" s="2487"/>
      <c r="AI693" s="2487"/>
      <c r="AJ693" s="2487"/>
      <c r="AK693" s="2487"/>
      <c r="AL693" s="2487"/>
      <c r="AM693" s="2487"/>
    </row>
    <row r="694" spans="1:39" ht="15.75" customHeight="1" x14ac:dyDescent="0.25">
      <c r="A694" s="2487"/>
      <c r="B694" s="2487"/>
      <c r="C694" s="2487"/>
      <c r="D694" s="2487"/>
      <c r="E694" s="2487"/>
      <c r="F694" s="2487"/>
      <c r="G694" s="2487"/>
      <c r="H694" s="2487"/>
      <c r="I694" s="2487"/>
      <c r="J694" s="2487"/>
      <c r="K694" s="2487"/>
      <c r="L694" s="2487"/>
      <c r="M694" s="2487"/>
      <c r="N694" s="2487"/>
      <c r="O694" s="2487"/>
      <c r="P694" s="2487"/>
      <c r="Q694" s="2487"/>
      <c r="R694" s="2487"/>
      <c r="S694" s="2487"/>
      <c r="T694" s="2487"/>
      <c r="U694" s="2487"/>
      <c r="V694" s="2487"/>
      <c r="W694" s="2487"/>
      <c r="X694" s="2487"/>
      <c r="Y694" s="2487"/>
      <c r="Z694" s="2487"/>
      <c r="AA694" s="2487"/>
      <c r="AB694" s="2487"/>
      <c r="AC694" s="2487"/>
      <c r="AD694" s="2487"/>
      <c r="AE694" s="2487"/>
      <c r="AF694" s="2487"/>
      <c r="AG694" s="2487"/>
      <c r="AH694" s="2487"/>
      <c r="AI694" s="2487"/>
      <c r="AJ694" s="2487"/>
      <c r="AK694" s="2487"/>
      <c r="AL694" s="2487"/>
      <c r="AM694" s="2487"/>
    </row>
    <row r="695" spans="1:39" ht="15.75" customHeight="1" x14ac:dyDescent="0.25">
      <c r="A695" s="2487"/>
      <c r="B695" s="2487"/>
      <c r="C695" s="2487"/>
      <c r="D695" s="2487"/>
      <c r="E695" s="2487"/>
      <c r="F695" s="2487"/>
      <c r="G695" s="2487"/>
      <c r="H695" s="2487"/>
      <c r="I695" s="2487"/>
      <c r="J695" s="2487"/>
      <c r="K695" s="2487"/>
      <c r="L695" s="2487"/>
      <c r="M695" s="2487"/>
      <c r="N695" s="2487"/>
      <c r="O695" s="2487"/>
      <c r="P695" s="2487"/>
      <c r="Q695" s="2487"/>
      <c r="R695" s="2487"/>
      <c r="S695" s="2487"/>
      <c r="T695" s="2487"/>
      <c r="U695" s="2487"/>
      <c r="V695" s="2487"/>
      <c r="W695" s="2487"/>
      <c r="X695" s="2487"/>
      <c r="Y695" s="2487"/>
      <c r="Z695" s="2487"/>
      <c r="AA695" s="2487"/>
      <c r="AB695" s="2487"/>
      <c r="AC695" s="2487"/>
      <c r="AD695" s="2487"/>
      <c r="AE695" s="2487"/>
      <c r="AF695" s="2487"/>
      <c r="AG695" s="2487"/>
      <c r="AH695" s="2487"/>
      <c r="AI695" s="2487"/>
      <c r="AJ695" s="2487"/>
      <c r="AK695" s="2487"/>
      <c r="AL695" s="2487"/>
      <c r="AM695" s="2487"/>
    </row>
    <row r="696" spans="1:39" ht="15.75" customHeight="1" x14ac:dyDescent="0.25">
      <c r="A696" s="2487"/>
      <c r="B696" s="2487"/>
      <c r="C696" s="2487"/>
      <c r="D696" s="2487"/>
      <c r="E696" s="2487"/>
      <c r="F696" s="2487"/>
      <c r="G696" s="2487"/>
      <c r="H696" s="2487"/>
      <c r="I696" s="2487"/>
      <c r="J696" s="2487"/>
      <c r="K696" s="2487"/>
      <c r="L696" s="2487"/>
      <c r="M696" s="2487"/>
      <c r="N696" s="2487"/>
      <c r="O696" s="2487"/>
      <c r="P696" s="2487"/>
      <c r="Q696" s="2487"/>
      <c r="R696" s="2487"/>
      <c r="S696" s="2487"/>
      <c r="T696" s="2487"/>
      <c r="U696" s="2487"/>
      <c r="V696" s="2487"/>
      <c r="W696" s="2487"/>
      <c r="X696" s="2487"/>
      <c r="Y696" s="2487"/>
      <c r="Z696" s="2487"/>
      <c r="AA696" s="2487"/>
      <c r="AB696" s="2487"/>
      <c r="AC696" s="2487"/>
      <c r="AD696" s="2487"/>
      <c r="AE696" s="2487"/>
      <c r="AF696" s="2487"/>
      <c r="AG696" s="2487"/>
      <c r="AH696" s="2487"/>
      <c r="AI696" s="2487"/>
      <c r="AJ696" s="2487"/>
      <c r="AK696" s="2487"/>
      <c r="AL696" s="2487"/>
      <c r="AM696" s="2487"/>
    </row>
    <row r="697" spans="1:39" ht="15.75" customHeight="1" x14ac:dyDescent="0.25">
      <c r="A697" s="2487"/>
      <c r="B697" s="2487"/>
      <c r="C697" s="2487"/>
      <c r="D697" s="2487"/>
      <c r="E697" s="2487"/>
      <c r="F697" s="2487"/>
      <c r="G697" s="2487"/>
      <c r="H697" s="2487"/>
      <c r="I697" s="2487"/>
      <c r="J697" s="2487"/>
      <c r="K697" s="2487"/>
      <c r="L697" s="2487"/>
      <c r="M697" s="2487"/>
      <c r="N697" s="2487"/>
      <c r="O697" s="2487"/>
      <c r="P697" s="2487"/>
      <c r="Q697" s="2487"/>
      <c r="R697" s="2487"/>
      <c r="S697" s="2487"/>
      <c r="T697" s="2487"/>
      <c r="U697" s="2487"/>
      <c r="V697" s="2487"/>
      <c r="W697" s="2487"/>
      <c r="X697" s="2487"/>
      <c r="Y697" s="2487"/>
      <c r="Z697" s="2487"/>
      <c r="AA697" s="2487"/>
      <c r="AB697" s="2487"/>
      <c r="AC697" s="2487"/>
      <c r="AD697" s="2487"/>
      <c r="AE697" s="2487"/>
      <c r="AF697" s="2487"/>
      <c r="AG697" s="2487"/>
      <c r="AH697" s="2487"/>
      <c r="AI697" s="2487"/>
      <c r="AJ697" s="2487"/>
      <c r="AK697" s="2487"/>
      <c r="AL697" s="2487"/>
      <c r="AM697" s="2487"/>
    </row>
    <row r="698" spans="1:39" ht="15.75" customHeight="1" x14ac:dyDescent="0.25">
      <c r="A698" s="2487"/>
      <c r="B698" s="2487"/>
      <c r="C698" s="2487"/>
      <c r="D698" s="2487"/>
      <c r="E698" s="2487"/>
      <c r="F698" s="2487"/>
      <c r="G698" s="2487"/>
      <c r="H698" s="2487"/>
      <c r="I698" s="2487"/>
      <c r="J698" s="2487"/>
      <c r="K698" s="2487"/>
      <c r="L698" s="2487"/>
      <c r="M698" s="2487"/>
      <c r="N698" s="2487"/>
      <c r="O698" s="2487"/>
      <c r="P698" s="2487"/>
      <c r="Q698" s="2487"/>
      <c r="R698" s="2487"/>
      <c r="S698" s="2487"/>
      <c r="T698" s="2487"/>
      <c r="U698" s="2487"/>
      <c r="V698" s="2487"/>
      <c r="W698" s="2487"/>
      <c r="X698" s="2487"/>
      <c r="Y698" s="2487"/>
      <c r="Z698" s="2487"/>
      <c r="AA698" s="2487"/>
      <c r="AB698" s="2487"/>
      <c r="AC698" s="2487"/>
      <c r="AD698" s="2487"/>
      <c r="AE698" s="2487"/>
      <c r="AF698" s="2487"/>
      <c r="AG698" s="2487"/>
      <c r="AH698" s="2487"/>
      <c r="AI698" s="2487"/>
      <c r="AJ698" s="2487"/>
      <c r="AK698" s="2487"/>
      <c r="AL698" s="2487"/>
      <c r="AM698" s="2487"/>
    </row>
    <row r="699" spans="1:39" ht="15.75" customHeight="1" x14ac:dyDescent="0.25">
      <c r="A699" s="2487"/>
      <c r="B699" s="2487"/>
      <c r="C699" s="2487"/>
      <c r="D699" s="2487"/>
      <c r="E699" s="2487"/>
      <c r="F699" s="2487"/>
      <c r="G699" s="2487"/>
      <c r="H699" s="2487"/>
      <c r="I699" s="2487"/>
      <c r="J699" s="2487"/>
      <c r="K699" s="2487"/>
      <c r="L699" s="2487"/>
      <c r="M699" s="2487"/>
      <c r="N699" s="2487"/>
      <c r="O699" s="2487"/>
      <c r="P699" s="2487"/>
      <c r="Q699" s="2487"/>
      <c r="R699" s="2487"/>
      <c r="S699" s="2487"/>
      <c r="T699" s="2487"/>
      <c r="U699" s="2487"/>
      <c r="V699" s="2487"/>
      <c r="W699" s="2487"/>
      <c r="X699" s="2487"/>
      <c r="Y699" s="2487"/>
      <c r="Z699" s="2487"/>
      <c r="AA699" s="2487"/>
      <c r="AB699" s="2487"/>
      <c r="AC699" s="2487"/>
      <c r="AD699" s="2487"/>
      <c r="AE699" s="2487"/>
      <c r="AF699" s="2487"/>
      <c r="AG699" s="2487"/>
      <c r="AH699" s="2487"/>
      <c r="AI699" s="2487"/>
      <c r="AJ699" s="2487"/>
      <c r="AK699" s="2487"/>
      <c r="AL699" s="2487"/>
      <c r="AM699" s="2487"/>
    </row>
    <row r="700" spans="1:39" ht="15.75" customHeight="1" x14ac:dyDescent="0.25">
      <c r="A700" s="2487"/>
      <c r="B700" s="2487"/>
      <c r="C700" s="2487"/>
      <c r="D700" s="2487"/>
      <c r="E700" s="2487"/>
      <c r="F700" s="2487"/>
      <c r="G700" s="2487"/>
      <c r="H700" s="2487"/>
      <c r="I700" s="2487"/>
      <c r="J700" s="2487"/>
      <c r="K700" s="2487"/>
      <c r="L700" s="2487"/>
      <c r="M700" s="2487"/>
      <c r="N700" s="2487"/>
      <c r="O700" s="2487"/>
      <c r="P700" s="2487"/>
      <c r="Q700" s="2487"/>
      <c r="R700" s="2487"/>
      <c r="S700" s="2487"/>
      <c r="T700" s="2487"/>
      <c r="U700" s="2487"/>
      <c r="V700" s="2487"/>
      <c r="W700" s="2487"/>
      <c r="X700" s="2487"/>
      <c r="Y700" s="2487"/>
      <c r="Z700" s="2487"/>
      <c r="AA700" s="2487"/>
      <c r="AB700" s="2487"/>
      <c r="AC700" s="2487"/>
      <c r="AD700" s="2487"/>
      <c r="AE700" s="2487"/>
      <c r="AF700" s="2487"/>
      <c r="AG700" s="2487"/>
      <c r="AH700" s="2487"/>
      <c r="AI700" s="2487"/>
      <c r="AJ700" s="2487"/>
      <c r="AK700" s="2487"/>
      <c r="AL700" s="2487"/>
      <c r="AM700" s="2487"/>
    </row>
    <row r="701" spans="1:39" ht="15.75" customHeight="1" x14ac:dyDescent="0.25">
      <c r="A701" s="2487"/>
      <c r="B701" s="2487"/>
      <c r="C701" s="2487"/>
      <c r="D701" s="2487"/>
      <c r="E701" s="2487"/>
      <c r="F701" s="2487"/>
      <c r="G701" s="2487"/>
      <c r="H701" s="2487"/>
      <c r="I701" s="2487"/>
      <c r="J701" s="2487"/>
      <c r="K701" s="2487"/>
      <c r="L701" s="2487"/>
      <c r="M701" s="2487"/>
      <c r="N701" s="2487"/>
      <c r="O701" s="2487"/>
      <c r="P701" s="2487"/>
      <c r="Q701" s="2487"/>
      <c r="R701" s="2487"/>
      <c r="S701" s="2487"/>
      <c r="T701" s="2487"/>
      <c r="U701" s="2487"/>
      <c r="V701" s="2487"/>
      <c r="W701" s="2487"/>
      <c r="X701" s="2487"/>
      <c r="Y701" s="2487"/>
      <c r="Z701" s="2487"/>
      <c r="AA701" s="2487"/>
      <c r="AB701" s="2487"/>
      <c r="AC701" s="2487"/>
      <c r="AD701" s="2487"/>
      <c r="AE701" s="2487"/>
      <c r="AF701" s="2487"/>
      <c r="AG701" s="2487"/>
      <c r="AH701" s="2487"/>
      <c r="AI701" s="2487"/>
      <c r="AJ701" s="2487"/>
      <c r="AK701" s="2487"/>
      <c r="AL701" s="2487"/>
      <c r="AM701" s="2487"/>
    </row>
    <row r="702" spans="1:39" ht="15.75" customHeight="1" x14ac:dyDescent="0.25">
      <c r="A702" s="2487"/>
      <c r="B702" s="2487"/>
      <c r="C702" s="2487"/>
      <c r="D702" s="2487"/>
      <c r="E702" s="2487"/>
      <c r="F702" s="2487"/>
      <c r="G702" s="2487"/>
      <c r="H702" s="2487"/>
      <c r="I702" s="2487"/>
      <c r="J702" s="2487"/>
      <c r="K702" s="2487"/>
      <c r="L702" s="2487"/>
      <c r="M702" s="2487"/>
      <c r="N702" s="2487"/>
      <c r="O702" s="2487"/>
      <c r="P702" s="2487"/>
      <c r="Q702" s="2487"/>
      <c r="R702" s="2487"/>
      <c r="S702" s="2487"/>
      <c r="T702" s="2487"/>
      <c r="U702" s="2487"/>
      <c r="V702" s="2487"/>
      <c r="W702" s="2487"/>
      <c r="X702" s="2487"/>
      <c r="Y702" s="2487"/>
      <c r="Z702" s="2487"/>
      <c r="AA702" s="2487"/>
      <c r="AB702" s="2487"/>
      <c r="AC702" s="2487"/>
      <c r="AD702" s="2487"/>
      <c r="AE702" s="2487"/>
      <c r="AF702" s="2487"/>
      <c r="AG702" s="2487"/>
      <c r="AH702" s="2487"/>
      <c r="AI702" s="2487"/>
      <c r="AJ702" s="2487"/>
      <c r="AK702" s="2487"/>
      <c r="AL702" s="2487"/>
      <c r="AM702" s="2487"/>
    </row>
    <row r="703" spans="1:39" ht="15.75" customHeight="1" x14ac:dyDescent="0.25">
      <c r="A703" s="2487"/>
      <c r="B703" s="2487"/>
      <c r="C703" s="2487"/>
      <c r="D703" s="2487"/>
      <c r="E703" s="2487"/>
      <c r="F703" s="2487"/>
      <c r="G703" s="2487"/>
      <c r="H703" s="2487"/>
      <c r="I703" s="2487"/>
      <c r="J703" s="2487"/>
      <c r="K703" s="2487"/>
      <c r="L703" s="2487"/>
      <c r="M703" s="2487"/>
      <c r="N703" s="2487"/>
      <c r="O703" s="2487"/>
      <c r="P703" s="2487"/>
      <c r="Q703" s="2487"/>
      <c r="R703" s="2487"/>
      <c r="S703" s="2487"/>
      <c r="T703" s="2487"/>
      <c r="U703" s="2487"/>
      <c r="V703" s="2487"/>
      <c r="W703" s="2487"/>
      <c r="X703" s="2487"/>
      <c r="Y703" s="2487"/>
      <c r="Z703" s="2487"/>
      <c r="AA703" s="2487"/>
      <c r="AB703" s="2487"/>
      <c r="AC703" s="2487"/>
      <c r="AD703" s="2487"/>
      <c r="AE703" s="2487"/>
      <c r="AF703" s="2487"/>
      <c r="AG703" s="2487"/>
      <c r="AH703" s="2487"/>
      <c r="AI703" s="2487"/>
      <c r="AJ703" s="2487"/>
      <c r="AK703" s="2487"/>
      <c r="AL703" s="2487"/>
      <c r="AM703" s="2487"/>
    </row>
    <row r="704" spans="1:39" ht="15.75" customHeight="1" x14ac:dyDescent="0.25">
      <c r="A704" s="2487"/>
      <c r="B704" s="2487"/>
      <c r="C704" s="2487"/>
      <c r="D704" s="2487"/>
      <c r="E704" s="2487"/>
      <c r="F704" s="2487"/>
      <c r="G704" s="2487"/>
      <c r="H704" s="2487"/>
      <c r="I704" s="2487"/>
      <c r="J704" s="2487"/>
      <c r="K704" s="2487"/>
      <c r="L704" s="2487"/>
      <c r="M704" s="2487"/>
      <c r="N704" s="2487"/>
      <c r="O704" s="2487"/>
      <c r="P704" s="2487"/>
      <c r="Q704" s="2487"/>
      <c r="R704" s="2487"/>
      <c r="S704" s="2487"/>
      <c r="T704" s="2487"/>
      <c r="U704" s="2487"/>
      <c r="V704" s="2487"/>
      <c r="W704" s="2487"/>
      <c r="X704" s="2487"/>
      <c r="Y704" s="2487"/>
      <c r="Z704" s="2487"/>
      <c r="AA704" s="2487"/>
      <c r="AB704" s="2487"/>
      <c r="AC704" s="2487"/>
      <c r="AD704" s="2487"/>
      <c r="AE704" s="2487"/>
      <c r="AF704" s="2487"/>
      <c r="AG704" s="2487"/>
      <c r="AH704" s="2487"/>
      <c r="AI704" s="2487"/>
      <c r="AJ704" s="2487"/>
      <c r="AK704" s="2487"/>
      <c r="AL704" s="2487"/>
      <c r="AM704" s="2487"/>
    </row>
    <row r="705" spans="1:39" ht="15.75" customHeight="1" x14ac:dyDescent="0.25">
      <c r="A705" s="2487"/>
      <c r="B705" s="2487"/>
      <c r="C705" s="2487"/>
      <c r="D705" s="2487"/>
      <c r="E705" s="2487"/>
      <c r="F705" s="2487"/>
      <c r="G705" s="2487"/>
      <c r="H705" s="2487"/>
      <c r="I705" s="2487"/>
      <c r="J705" s="2487"/>
      <c r="K705" s="2487"/>
      <c r="L705" s="2487"/>
      <c r="M705" s="2487"/>
      <c r="N705" s="2487"/>
      <c r="O705" s="2487"/>
      <c r="P705" s="2487"/>
      <c r="Q705" s="2487"/>
      <c r="R705" s="2487"/>
      <c r="S705" s="2487"/>
      <c r="T705" s="2487"/>
      <c r="U705" s="2487"/>
      <c r="V705" s="2487"/>
      <c r="W705" s="2487"/>
      <c r="X705" s="2487"/>
      <c r="Y705" s="2487"/>
      <c r="Z705" s="2487"/>
      <c r="AA705" s="2487"/>
      <c r="AB705" s="2487"/>
      <c r="AC705" s="2487"/>
      <c r="AD705" s="2487"/>
      <c r="AE705" s="2487"/>
      <c r="AF705" s="2487"/>
      <c r="AG705" s="2487"/>
      <c r="AH705" s="2487"/>
      <c r="AI705" s="2487"/>
      <c r="AJ705" s="2487"/>
      <c r="AK705" s="2487"/>
      <c r="AL705" s="2487"/>
      <c r="AM705" s="2487"/>
    </row>
    <row r="706" spans="1:39" ht="15.75" customHeight="1" x14ac:dyDescent="0.25">
      <c r="A706" s="2487"/>
      <c r="B706" s="2487"/>
      <c r="C706" s="2487"/>
      <c r="D706" s="2487"/>
      <c r="E706" s="2487"/>
      <c r="F706" s="2487"/>
      <c r="G706" s="2487"/>
      <c r="H706" s="2487"/>
      <c r="I706" s="2487"/>
      <c r="J706" s="2487"/>
      <c r="K706" s="2487"/>
      <c r="L706" s="2487"/>
      <c r="M706" s="2487"/>
      <c r="N706" s="2487"/>
      <c r="O706" s="2487"/>
      <c r="P706" s="2487"/>
      <c r="Q706" s="2487"/>
      <c r="R706" s="2487"/>
      <c r="S706" s="2487"/>
      <c r="T706" s="2487"/>
      <c r="U706" s="2487"/>
      <c r="V706" s="2487"/>
      <c r="W706" s="2487"/>
      <c r="X706" s="2487"/>
      <c r="Y706" s="2487"/>
      <c r="Z706" s="2487"/>
      <c r="AA706" s="2487"/>
      <c r="AB706" s="2487"/>
      <c r="AC706" s="2487"/>
      <c r="AD706" s="2487"/>
      <c r="AE706" s="2487"/>
      <c r="AF706" s="2487"/>
      <c r="AG706" s="2487"/>
      <c r="AH706" s="2487"/>
      <c r="AI706" s="2487"/>
      <c r="AJ706" s="2487"/>
      <c r="AK706" s="2487"/>
      <c r="AL706" s="2487"/>
      <c r="AM706" s="2487"/>
    </row>
    <row r="707" spans="1:39" ht="15.75" customHeight="1" x14ac:dyDescent="0.25">
      <c r="A707" s="2487"/>
      <c r="B707" s="2487"/>
      <c r="C707" s="2487"/>
      <c r="D707" s="2487"/>
      <c r="E707" s="2487"/>
      <c r="F707" s="2487"/>
      <c r="G707" s="2487"/>
      <c r="H707" s="2487"/>
      <c r="I707" s="2487"/>
      <c r="J707" s="2487"/>
      <c r="K707" s="2487"/>
      <c r="L707" s="2487"/>
      <c r="M707" s="2487"/>
      <c r="N707" s="2487"/>
      <c r="O707" s="2487"/>
      <c r="P707" s="2487"/>
      <c r="Q707" s="2487"/>
      <c r="R707" s="2487"/>
      <c r="S707" s="2487"/>
      <c r="T707" s="2487"/>
      <c r="U707" s="2487"/>
      <c r="V707" s="2487"/>
      <c r="W707" s="2487"/>
      <c r="X707" s="2487"/>
      <c r="Y707" s="2487"/>
      <c r="Z707" s="2487"/>
      <c r="AA707" s="2487"/>
      <c r="AB707" s="2487"/>
      <c r="AC707" s="2487"/>
      <c r="AD707" s="2487"/>
      <c r="AE707" s="2487"/>
      <c r="AF707" s="2487"/>
      <c r="AG707" s="2487"/>
      <c r="AH707" s="2487"/>
      <c r="AI707" s="2487"/>
      <c r="AJ707" s="2487"/>
      <c r="AK707" s="2487"/>
      <c r="AL707" s="2487"/>
      <c r="AM707" s="2487"/>
    </row>
    <row r="708" spans="1:39" ht="15.75" customHeight="1" x14ac:dyDescent="0.25">
      <c r="A708" s="2487"/>
      <c r="B708" s="2487"/>
      <c r="C708" s="2487"/>
      <c r="D708" s="2487"/>
      <c r="E708" s="2487"/>
      <c r="F708" s="2487"/>
      <c r="G708" s="2487"/>
      <c r="H708" s="2487"/>
      <c r="I708" s="2487"/>
      <c r="J708" s="2487"/>
      <c r="K708" s="2487"/>
      <c r="L708" s="2487"/>
      <c r="M708" s="2487"/>
      <c r="N708" s="2487"/>
      <c r="O708" s="2487"/>
      <c r="P708" s="2487"/>
      <c r="Q708" s="2487"/>
      <c r="R708" s="2487"/>
      <c r="S708" s="2487"/>
      <c r="T708" s="2487"/>
      <c r="U708" s="2487"/>
      <c r="V708" s="2487"/>
      <c r="W708" s="2487"/>
      <c r="X708" s="2487"/>
      <c r="Y708" s="2487"/>
      <c r="Z708" s="2487"/>
      <c r="AA708" s="2487"/>
      <c r="AB708" s="2487"/>
      <c r="AC708" s="2487"/>
      <c r="AD708" s="2487"/>
      <c r="AE708" s="2487"/>
      <c r="AF708" s="2487"/>
      <c r="AG708" s="2487"/>
      <c r="AH708" s="2487"/>
      <c r="AI708" s="2487"/>
      <c r="AJ708" s="2487"/>
      <c r="AK708" s="2487"/>
      <c r="AL708" s="2487"/>
      <c r="AM708" s="2487"/>
    </row>
    <row r="709" spans="1:39" ht="15.75" customHeight="1" x14ac:dyDescent="0.25">
      <c r="A709" s="2487"/>
      <c r="B709" s="2487"/>
      <c r="C709" s="2487"/>
      <c r="D709" s="2487"/>
      <c r="E709" s="2487"/>
      <c r="F709" s="2487"/>
      <c r="G709" s="2487"/>
      <c r="H709" s="2487"/>
      <c r="I709" s="2487"/>
      <c r="J709" s="2487"/>
      <c r="K709" s="2487"/>
      <c r="L709" s="2487"/>
      <c r="M709" s="2487"/>
      <c r="N709" s="2487"/>
      <c r="O709" s="2487"/>
      <c r="P709" s="2487"/>
      <c r="Q709" s="2487"/>
      <c r="R709" s="2487"/>
      <c r="S709" s="2487"/>
      <c r="T709" s="2487"/>
      <c r="U709" s="2487"/>
      <c r="V709" s="2487"/>
      <c r="W709" s="2487"/>
      <c r="X709" s="2487"/>
      <c r="Y709" s="2487"/>
      <c r="Z709" s="2487"/>
      <c r="AA709" s="2487"/>
      <c r="AB709" s="2487"/>
      <c r="AC709" s="2487"/>
      <c r="AD709" s="2487"/>
      <c r="AE709" s="2487"/>
      <c r="AF709" s="2487"/>
      <c r="AG709" s="2487"/>
      <c r="AH709" s="2487"/>
      <c r="AI709" s="2487"/>
      <c r="AJ709" s="2487"/>
      <c r="AK709" s="2487"/>
      <c r="AL709" s="2487"/>
      <c r="AM709" s="2487"/>
    </row>
    <row r="710" spans="1:39" ht="15.75" customHeight="1" x14ac:dyDescent="0.25">
      <c r="A710" s="2487"/>
      <c r="B710" s="2487"/>
      <c r="C710" s="2487"/>
      <c r="D710" s="2487"/>
      <c r="E710" s="2487"/>
      <c r="F710" s="2487"/>
      <c r="G710" s="2487"/>
      <c r="H710" s="2487"/>
      <c r="I710" s="2487"/>
      <c r="J710" s="2487"/>
      <c r="K710" s="2487"/>
      <c r="L710" s="2487"/>
      <c r="M710" s="2487"/>
      <c r="N710" s="2487"/>
      <c r="O710" s="2487"/>
      <c r="P710" s="2487"/>
      <c r="Q710" s="2487"/>
      <c r="R710" s="2487"/>
      <c r="S710" s="2487"/>
      <c r="T710" s="2487"/>
      <c r="U710" s="2487"/>
      <c r="V710" s="2487"/>
      <c r="W710" s="2487"/>
      <c r="X710" s="2487"/>
      <c r="Y710" s="2487"/>
      <c r="Z710" s="2487"/>
      <c r="AA710" s="2487"/>
      <c r="AB710" s="2487"/>
      <c r="AC710" s="2487"/>
      <c r="AD710" s="2487"/>
      <c r="AE710" s="2487"/>
      <c r="AF710" s="2487"/>
      <c r="AG710" s="2487"/>
      <c r="AH710" s="2487"/>
      <c r="AI710" s="2487"/>
      <c r="AJ710" s="2487"/>
      <c r="AK710" s="2487"/>
      <c r="AL710" s="2487"/>
      <c r="AM710" s="2487"/>
    </row>
    <row r="711" spans="1:39" ht="15.75" customHeight="1" x14ac:dyDescent="0.25">
      <c r="A711" s="2487"/>
      <c r="B711" s="2487"/>
      <c r="C711" s="2487"/>
      <c r="D711" s="2487"/>
      <c r="E711" s="2487"/>
      <c r="F711" s="2487"/>
      <c r="G711" s="2487"/>
      <c r="H711" s="2487"/>
      <c r="I711" s="2487"/>
      <c r="J711" s="2487"/>
      <c r="K711" s="2487"/>
      <c r="L711" s="2487"/>
      <c r="M711" s="2487"/>
      <c r="N711" s="2487"/>
      <c r="O711" s="2487"/>
      <c r="P711" s="2487"/>
      <c r="Q711" s="2487"/>
      <c r="R711" s="2487"/>
      <c r="S711" s="2487"/>
      <c r="T711" s="2487"/>
      <c r="U711" s="2487"/>
      <c r="V711" s="2487"/>
      <c r="W711" s="2487"/>
      <c r="X711" s="2487"/>
      <c r="Y711" s="2487"/>
      <c r="Z711" s="2487"/>
      <c r="AA711" s="2487"/>
      <c r="AB711" s="2487"/>
      <c r="AC711" s="2487"/>
      <c r="AD711" s="2487"/>
      <c r="AE711" s="2487"/>
      <c r="AF711" s="2487"/>
      <c r="AG711" s="2487"/>
      <c r="AH711" s="2487"/>
      <c r="AI711" s="2487"/>
      <c r="AJ711" s="2487"/>
      <c r="AK711" s="2487"/>
      <c r="AL711" s="2487"/>
      <c r="AM711" s="2487"/>
    </row>
    <row r="712" spans="1:39" ht="15.75" customHeight="1" x14ac:dyDescent="0.25">
      <c r="A712" s="2487"/>
      <c r="B712" s="2487"/>
      <c r="C712" s="2487"/>
      <c r="D712" s="2487"/>
      <c r="E712" s="2487"/>
      <c r="F712" s="2487"/>
      <c r="G712" s="2487"/>
      <c r="H712" s="2487"/>
      <c r="I712" s="2487"/>
      <c r="J712" s="2487"/>
      <c r="K712" s="2487"/>
      <c r="L712" s="2487"/>
      <c r="M712" s="2487"/>
      <c r="N712" s="2487"/>
      <c r="O712" s="2487"/>
      <c r="P712" s="2487"/>
      <c r="Q712" s="2487"/>
      <c r="R712" s="2487"/>
      <c r="S712" s="2487"/>
      <c r="T712" s="2487"/>
      <c r="U712" s="2487"/>
      <c r="V712" s="2487"/>
      <c r="W712" s="2487"/>
      <c r="X712" s="2487"/>
      <c r="Y712" s="2487"/>
      <c r="Z712" s="2487"/>
      <c r="AA712" s="2487"/>
      <c r="AB712" s="2487"/>
      <c r="AC712" s="2487"/>
      <c r="AD712" s="2487"/>
      <c r="AE712" s="2487"/>
      <c r="AF712" s="2487"/>
      <c r="AG712" s="2487"/>
      <c r="AH712" s="2487"/>
      <c r="AI712" s="2487"/>
      <c r="AJ712" s="2487"/>
      <c r="AK712" s="2487"/>
      <c r="AL712" s="2487"/>
      <c r="AM712" s="2487"/>
    </row>
    <row r="713" spans="1:39" ht="15.75" customHeight="1" x14ac:dyDescent="0.25">
      <c r="A713" s="2487"/>
      <c r="B713" s="2487"/>
      <c r="C713" s="2487"/>
      <c r="D713" s="2487"/>
      <c r="E713" s="2487"/>
      <c r="F713" s="2487"/>
      <c r="G713" s="2487"/>
      <c r="H713" s="2487"/>
      <c r="I713" s="2487"/>
      <c r="J713" s="2487"/>
      <c r="K713" s="2487"/>
      <c r="L713" s="2487"/>
      <c r="M713" s="2487"/>
      <c r="N713" s="2487"/>
      <c r="O713" s="2487"/>
      <c r="P713" s="2487"/>
      <c r="Q713" s="2487"/>
      <c r="R713" s="2487"/>
      <c r="S713" s="2487"/>
      <c r="T713" s="2487"/>
      <c r="U713" s="2487"/>
      <c r="V713" s="2487"/>
      <c r="W713" s="2487"/>
      <c r="X713" s="2487"/>
      <c r="Y713" s="2487"/>
      <c r="Z713" s="2487"/>
      <c r="AA713" s="2487"/>
      <c r="AB713" s="2487"/>
      <c r="AC713" s="2487"/>
      <c r="AD713" s="2487"/>
      <c r="AE713" s="2487"/>
      <c r="AF713" s="2487"/>
      <c r="AG713" s="2487"/>
      <c r="AH713" s="2487"/>
      <c r="AI713" s="2487"/>
      <c r="AJ713" s="2487"/>
      <c r="AK713" s="2487"/>
      <c r="AL713" s="2487"/>
      <c r="AM713" s="2487"/>
    </row>
    <row r="714" spans="1:39" ht="15.75" customHeight="1" x14ac:dyDescent="0.25">
      <c r="A714" s="2487"/>
      <c r="B714" s="2487"/>
      <c r="C714" s="2487"/>
      <c r="D714" s="2487"/>
      <c r="E714" s="2487"/>
      <c r="F714" s="2487"/>
      <c r="G714" s="2487"/>
      <c r="H714" s="2487"/>
      <c r="I714" s="2487"/>
      <c r="J714" s="2487"/>
      <c r="K714" s="2487"/>
      <c r="L714" s="2487"/>
      <c r="M714" s="2487"/>
      <c r="N714" s="2487"/>
      <c r="O714" s="2487"/>
      <c r="P714" s="2487"/>
      <c r="Q714" s="2487"/>
      <c r="R714" s="2487"/>
      <c r="S714" s="2487"/>
      <c r="T714" s="2487"/>
      <c r="U714" s="2487"/>
      <c r="V714" s="2487"/>
      <c r="W714" s="2487"/>
      <c r="X714" s="2487"/>
      <c r="Y714" s="2487"/>
      <c r="Z714" s="2487"/>
      <c r="AA714" s="2487"/>
      <c r="AB714" s="2487"/>
      <c r="AC714" s="2487"/>
      <c r="AD714" s="2487"/>
      <c r="AE714" s="2487"/>
      <c r="AF714" s="2487"/>
      <c r="AG714" s="2487"/>
      <c r="AH714" s="2487"/>
      <c r="AI714" s="2487"/>
      <c r="AJ714" s="2487"/>
      <c r="AK714" s="2487"/>
      <c r="AL714" s="2487"/>
      <c r="AM714" s="2487"/>
    </row>
    <row r="715" spans="1:39" ht="15.75" customHeight="1" x14ac:dyDescent="0.25">
      <c r="A715" s="2487"/>
      <c r="B715" s="2487"/>
      <c r="C715" s="2487"/>
      <c r="D715" s="2487"/>
      <c r="E715" s="2487"/>
      <c r="F715" s="2487"/>
      <c r="G715" s="2487"/>
      <c r="H715" s="2487"/>
      <c r="I715" s="2487"/>
      <c r="J715" s="2487"/>
      <c r="K715" s="2487"/>
      <c r="L715" s="2487"/>
      <c r="M715" s="2487"/>
      <c r="N715" s="2487"/>
      <c r="O715" s="2487"/>
      <c r="P715" s="2487"/>
      <c r="Q715" s="2487"/>
      <c r="R715" s="2487"/>
      <c r="S715" s="2487"/>
      <c r="T715" s="2487"/>
      <c r="U715" s="2487"/>
      <c r="V715" s="2487"/>
      <c r="W715" s="2487"/>
      <c r="X715" s="2487"/>
      <c r="Y715" s="2487"/>
      <c r="Z715" s="2487"/>
      <c r="AA715" s="2487"/>
      <c r="AB715" s="2487"/>
      <c r="AC715" s="2487"/>
      <c r="AD715" s="2487"/>
      <c r="AE715" s="2487"/>
      <c r="AF715" s="2487"/>
      <c r="AG715" s="2487"/>
      <c r="AH715" s="2487"/>
      <c r="AI715" s="2487"/>
      <c r="AJ715" s="2487"/>
      <c r="AK715" s="2487"/>
      <c r="AL715" s="2487"/>
      <c r="AM715" s="2487"/>
    </row>
    <row r="716" spans="1:39" ht="15.75" customHeight="1" x14ac:dyDescent="0.25">
      <c r="A716" s="2487"/>
      <c r="B716" s="2487"/>
      <c r="C716" s="2487"/>
      <c r="D716" s="2487"/>
      <c r="E716" s="2487"/>
      <c r="F716" s="2487"/>
      <c r="G716" s="2487"/>
      <c r="H716" s="2487"/>
      <c r="I716" s="2487"/>
      <c r="J716" s="2487"/>
      <c r="K716" s="2487"/>
      <c r="L716" s="2487"/>
      <c r="M716" s="2487"/>
      <c r="N716" s="2487"/>
      <c r="O716" s="2487"/>
      <c r="P716" s="2487"/>
      <c r="Q716" s="2487"/>
      <c r="R716" s="2487"/>
      <c r="S716" s="2487"/>
      <c r="T716" s="2487"/>
      <c r="U716" s="2487"/>
      <c r="V716" s="2487"/>
      <c r="W716" s="2487"/>
      <c r="X716" s="2487"/>
      <c r="Y716" s="2487"/>
      <c r="Z716" s="2487"/>
      <c r="AA716" s="2487"/>
      <c r="AB716" s="2487"/>
      <c r="AC716" s="2487"/>
      <c r="AD716" s="2487"/>
      <c r="AE716" s="2487"/>
      <c r="AF716" s="2487"/>
      <c r="AG716" s="2487"/>
      <c r="AH716" s="2487"/>
      <c r="AI716" s="2487"/>
      <c r="AJ716" s="2487"/>
      <c r="AK716" s="2487"/>
      <c r="AL716" s="2487"/>
      <c r="AM716" s="2487"/>
    </row>
    <row r="717" spans="1:39" ht="15.75" customHeight="1" x14ac:dyDescent="0.25">
      <c r="A717" s="2487"/>
      <c r="B717" s="2487"/>
      <c r="C717" s="2487"/>
      <c r="D717" s="2487"/>
      <c r="E717" s="2487"/>
      <c r="F717" s="2487"/>
      <c r="G717" s="2487"/>
      <c r="H717" s="2487"/>
      <c r="I717" s="2487"/>
      <c r="J717" s="2487"/>
      <c r="K717" s="2487"/>
      <c r="L717" s="2487"/>
      <c r="M717" s="2487"/>
      <c r="N717" s="2487"/>
      <c r="O717" s="2487"/>
      <c r="P717" s="2487"/>
      <c r="Q717" s="2487"/>
      <c r="R717" s="2487"/>
      <c r="S717" s="2487"/>
      <c r="T717" s="2487"/>
      <c r="U717" s="2487"/>
      <c r="V717" s="2487"/>
      <c r="W717" s="2487"/>
      <c r="X717" s="2487"/>
      <c r="Y717" s="2487"/>
      <c r="Z717" s="2487"/>
      <c r="AA717" s="2487"/>
      <c r="AB717" s="2487"/>
      <c r="AC717" s="2487"/>
      <c r="AD717" s="2487"/>
      <c r="AE717" s="2487"/>
      <c r="AF717" s="2487"/>
      <c r="AG717" s="2487"/>
      <c r="AH717" s="2487"/>
      <c r="AI717" s="2487"/>
      <c r="AJ717" s="2487"/>
      <c r="AK717" s="2487"/>
      <c r="AL717" s="2487"/>
      <c r="AM717" s="2487"/>
    </row>
    <row r="718" spans="1:39" ht="15.75" customHeight="1" x14ac:dyDescent="0.25">
      <c r="A718" s="2487"/>
      <c r="B718" s="2487"/>
      <c r="C718" s="2487"/>
      <c r="D718" s="2487"/>
      <c r="E718" s="2487"/>
      <c r="F718" s="2487"/>
      <c r="G718" s="2487"/>
      <c r="H718" s="2487"/>
      <c r="I718" s="2487"/>
      <c r="J718" s="2487"/>
      <c r="K718" s="2487"/>
      <c r="L718" s="2487"/>
      <c r="M718" s="2487"/>
      <c r="N718" s="2487"/>
      <c r="O718" s="2487"/>
      <c r="P718" s="2487"/>
      <c r="Q718" s="2487"/>
      <c r="R718" s="2487"/>
      <c r="S718" s="2487"/>
      <c r="T718" s="2487"/>
      <c r="U718" s="2487"/>
      <c r="V718" s="2487"/>
      <c r="W718" s="2487"/>
      <c r="X718" s="2487"/>
      <c r="Y718" s="2487"/>
      <c r="Z718" s="2487"/>
      <c r="AA718" s="2487"/>
      <c r="AB718" s="2487"/>
      <c r="AC718" s="2487"/>
      <c r="AD718" s="2487"/>
      <c r="AE718" s="2487"/>
      <c r="AF718" s="2487"/>
      <c r="AG718" s="2487"/>
      <c r="AH718" s="2487"/>
      <c r="AI718" s="2487"/>
      <c r="AJ718" s="2487"/>
      <c r="AK718" s="2487"/>
      <c r="AL718" s="2487"/>
      <c r="AM718" s="2487"/>
    </row>
    <row r="719" spans="1:39" ht="15.75" customHeight="1" x14ac:dyDescent="0.25">
      <c r="A719" s="2487"/>
      <c r="B719" s="2487"/>
      <c r="C719" s="2487"/>
      <c r="D719" s="2487"/>
      <c r="E719" s="2487"/>
      <c r="F719" s="2487"/>
      <c r="G719" s="2487"/>
      <c r="H719" s="2487"/>
      <c r="I719" s="2487"/>
      <c r="J719" s="2487"/>
      <c r="K719" s="2487"/>
      <c r="L719" s="2487"/>
      <c r="M719" s="2487"/>
      <c r="N719" s="2487"/>
      <c r="O719" s="2487"/>
      <c r="P719" s="2487"/>
      <c r="Q719" s="2487"/>
      <c r="R719" s="2487"/>
      <c r="S719" s="2487"/>
      <c r="T719" s="2487"/>
      <c r="U719" s="2487"/>
      <c r="V719" s="2487"/>
      <c r="W719" s="2487"/>
      <c r="X719" s="2487"/>
      <c r="Y719" s="2487"/>
      <c r="Z719" s="2487"/>
      <c r="AA719" s="2487"/>
      <c r="AB719" s="2487"/>
      <c r="AC719" s="2487"/>
      <c r="AD719" s="2487"/>
      <c r="AE719" s="2487"/>
      <c r="AF719" s="2487"/>
      <c r="AG719" s="2487"/>
      <c r="AH719" s="2487"/>
      <c r="AI719" s="2487"/>
      <c r="AJ719" s="2487"/>
      <c r="AK719" s="2487"/>
      <c r="AL719" s="2487"/>
      <c r="AM719" s="2487"/>
    </row>
    <row r="720" spans="1:39" ht="15.75" customHeight="1" x14ac:dyDescent="0.25">
      <c r="A720" s="2487"/>
      <c r="B720" s="2487"/>
      <c r="C720" s="2487"/>
      <c r="D720" s="2487"/>
      <c r="E720" s="2487"/>
      <c r="F720" s="2487"/>
      <c r="G720" s="2487"/>
      <c r="H720" s="2487"/>
      <c r="I720" s="2487"/>
      <c r="J720" s="2487"/>
      <c r="K720" s="2487"/>
      <c r="L720" s="2487"/>
      <c r="M720" s="2487"/>
      <c r="N720" s="2487"/>
      <c r="O720" s="2487"/>
      <c r="P720" s="2487"/>
      <c r="Q720" s="2487"/>
      <c r="R720" s="2487"/>
      <c r="S720" s="2487"/>
      <c r="T720" s="2487"/>
      <c r="U720" s="2487"/>
      <c r="V720" s="2487"/>
      <c r="W720" s="2487"/>
      <c r="X720" s="2487"/>
      <c r="Y720" s="2487"/>
      <c r="Z720" s="2487"/>
      <c r="AA720" s="2487"/>
      <c r="AB720" s="2487"/>
      <c r="AC720" s="2487"/>
      <c r="AD720" s="2487"/>
      <c r="AE720" s="2487"/>
      <c r="AF720" s="2487"/>
      <c r="AG720" s="2487"/>
      <c r="AH720" s="2487"/>
      <c r="AI720" s="2487"/>
      <c r="AJ720" s="2487"/>
      <c r="AK720" s="2487"/>
      <c r="AL720" s="2487"/>
      <c r="AM720" s="2487"/>
    </row>
    <row r="721" spans="1:39" ht="15.75" customHeight="1" x14ac:dyDescent="0.25">
      <c r="A721" s="2487"/>
      <c r="B721" s="2487"/>
      <c r="C721" s="2487"/>
      <c r="D721" s="2487"/>
      <c r="E721" s="2487"/>
      <c r="F721" s="2487"/>
      <c r="G721" s="2487"/>
      <c r="H721" s="2487"/>
      <c r="I721" s="2487"/>
      <c r="J721" s="2487"/>
      <c r="K721" s="2487"/>
      <c r="L721" s="2487"/>
      <c r="M721" s="2487"/>
      <c r="N721" s="2487"/>
      <c r="O721" s="2487"/>
      <c r="P721" s="2487"/>
      <c r="Q721" s="2487"/>
      <c r="R721" s="2487"/>
      <c r="S721" s="2487"/>
      <c r="T721" s="2487"/>
      <c r="U721" s="2487"/>
      <c r="V721" s="2487"/>
      <c r="W721" s="2487"/>
      <c r="X721" s="2487"/>
      <c r="Y721" s="2487"/>
      <c r="Z721" s="2487"/>
      <c r="AA721" s="2487"/>
      <c r="AB721" s="2487"/>
      <c r="AC721" s="2487"/>
      <c r="AD721" s="2487"/>
      <c r="AE721" s="2487"/>
      <c r="AF721" s="2487"/>
      <c r="AG721" s="2487"/>
      <c r="AH721" s="2487"/>
      <c r="AI721" s="2487"/>
      <c r="AJ721" s="2487"/>
      <c r="AK721" s="2487"/>
      <c r="AL721" s="2487"/>
      <c r="AM721" s="2487"/>
    </row>
    <row r="722" spans="1:39" ht="15.75" customHeight="1" x14ac:dyDescent="0.25">
      <c r="A722" s="2487"/>
      <c r="B722" s="2487"/>
      <c r="C722" s="2487"/>
      <c r="D722" s="2487"/>
      <c r="E722" s="2487"/>
      <c r="F722" s="2487"/>
      <c r="G722" s="2487"/>
      <c r="H722" s="2487"/>
      <c r="I722" s="2487"/>
      <c r="J722" s="2487"/>
      <c r="K722" s="2487"/>
      <c r="L722" s="2487"/>
      <c r="M722" s="2487"/>
      <c r="N722" s="2487"/>
      <c r="O722" s="2487"/>
      <c r="P722" s="2487"/>
      <c r="Q722" s="2487"/>
      <c r="R722" s="2487"/>
      <c r="S722" s="2487"/>
      <c r="T722" s="2487"/>
      <c r="U722" s="2487"/>
      <c r="V722" s="2487"/>
      <c r="W722" s="2487"/>
      <c r="X722" s="2487"/>
      <c r="Y722" s="2487"/>
      <c r="Z722" s="2487"/>
      <c r="AA722" s="2487"/>
      <c r="AB722" s="2487"/>
      <c r="AC722" s="2487"/>
      <c r="AD722" s="2487"/>
      <c r="AE722" s="2487"/>
      <c r="AF722" s="2487"/>
      <c r="AG722" s="2487"/>
      <c r="AH722" s="2487"/>
      <c r="AI722" s="2487"/>
      <c r="AJ722" s="2487"/>
      <c r="AK722" s="2487"/>
      <c r="AL722" s="2487"/>
      <c r="AM722" s="2487"/>
    </row>
    <row r="723" spans="1:39" ht="15.75" customHeight="1" x14ac:dyDescent="0.25">
      <c r="A723" s="2487"/>
      <c r="B723" s="2487"/>
      <c r="C723" s="2487"/>
      <c r="D723" s="2487"/>
      <c r="E723" s="2487"/>
      <c r="F723" s="2487"/>
      <c r="G723" s="2487"/>
      <c r="H723" s="2487"/>
      <c r="I723" s="2487"/>
      <c r="J723" s="2487"/>
      <c r="K723" s="2487"/>
      <c r="L723" s="2487"/>
      <c r="M723" s="2487"/>
      <c r="N723" s="2487"/>
      <c r="O723" s="2487"/>
      <c r="P723" s="2487"/>
      <c r="Q723" s="2487"/>
      <c r="R723" s="2487"/>
      <c r="S723" s="2487"/>
      <c r="T723" s="2487"/>
      <c r="U723" s="2487"/>
      <c r="V723" s="2487"/>
      <c r="W723" s="2487"/>
      <c r="X723" s="2487"/>
      <c r="Y723" s="2487"/>
      <c r="Z723" s="2487"/>
      <c r="AA723" s="2487"/>
      <c r="AB723" s="2487"/>
      <c r="AC723" s="2487"/>
      <c r="AD723" s="2487"/>
      <c r="AE723" s="2487"/>
      <c r="AF723" s="2487"/>
      <c r="AG723" s="2487"/>
      <c r="AH723" s="2487"/>
      <c r="AI723" s="2487"/>
      <c r="AJ723" s="2487"/>
      <c r="AK723" s="2487"/>
      <c r="AL723" s="2487"/>
      <c r="AM723" s="2487"/>
    </row>
    <row r="724" spans="1:39" ht="15.75" customHeight="1" x14ac:dyDescent="0.25">
      <c r="A724" s="2487"/>
      <c r="B724" s="2487"/>
      <c r="C724" s="2487"/>
      <c r="D724" s="2487"/>
      <c r="E724" s="2487"/>
      <c r="F724" s="2487"/>
      <c r="G724" s="2487"/>
      <c r="H724" s="2487"/>
      <c r="I724" s="2487"/>
      <c r="J724" s="2487"/>
      <c r="K724" s="2487"/>
      <c r="L724" s="2487"/>
      <c r="M724" s="2487"/>
      <c r="N724" s="2487"/>
      <c r="O724" s="2487"/>
      <c r="P724" s="2487"/>
      <c r="Q724" s="2487"/>
      <c r="R724" s="2487"/>
      <c r="S724" s="2487"/>
      <c r="T724" s="2487"/>
      <c r="U724" s="2487"/>
      <c r="V724" s="2487"/>
      <c r="W724" s="2487"/>
      <c r="X724" s="2487"/>
      <c r="Y724" s="2487"/>
      <c r="Z724" s="2487"/>
      <c r="AA724" s="2487"/>
      <c r="AB724" s="2487"/>
      <c r="AC724" s="2487"/>
      <c r="AD724" s="2487"/>
      <c r="AE724" s="2487"/>
      <c r="AF724" s="2487"/>
      <c r="AG724" s="2487"/>
      <c r="AH724" s="2487"/>
      <c r="AI724" s="2487"/>
      <c r="AJ724" s="2487"/>
      <c r="AK724" s="2487"/>
      <c r="AL724" s="2487"/>
      <c r="AM724" s="2487"/>
    </row>
    <row r="725" spans="1:39" ht="15.75" customHeight="1" x14ac:dyDescent="0.25">
      <c r="A725" s="2487"/>
      <c r="B725" s="2487"/>
      <c r="C725" s="2487"/>
      <c r="D725" s="2487"/>
      <c r="E725" s="2487"/>
      <c r="F725" s="2487"/>
      <c r="G725" s="2487"/>
      <c r="H725" s="2487"/>
      <c r="I725" s="2487"/>
      <c r="J725" s="2487"/>
      <c r="K725" s="2487"/>
      <c r="L725" s="2487"/>
      <c r="M725" s="2487"/>
      <c r="N725" s="2487"/>
      <c r="O725" s="2487"/>
      <c r="P725" s="2487"/>
      <c r="Q725" s="2487"/>
      <c r="R725" s="2487"/>
      <c r="S725" s="2487"/>
      <c r="T725" s="2487"/>
      <c r="U725" s="2487"/>
      <c r="V725" s="2487"/>
      <c r="W725" s="2487"/>
      <c r="X725" s="2487"/>
      <c r="Y725" s="2487"/>
      <c r="Z725" s="2487"/>
      <c r="AA725" s="2487"/>
      <c r="AB725" s="2487"/>
      <c r="AC725" s="2487"/>
      <c r="AD725" s="2487"/>
      <c r="AE725" s="2487"/>
      <c r="AF725" s="2487"/>
      <c r="AG725" s="2487"/>
      <c r="AH725" s="2487"/>
      <c r="AI725" s="2487"/>
      <c r="AJ725" s="2487"/>
      <c r="AK725" s="2487"/>
      <c r="AL725" s="2487"/>
      <c r="AM725" s="2487"/>
    </row>
    <row r="726" spans="1:39" ht="15.75" customHeight="1" x14ac:dyDescent="0.25">
      <c r="A726" s="2487"/>
      <c r="B726" s="2487"/>
      <c r="C726" s="2487"/>
      <c r="D726" s="2487"/>
      <c r="E726" s="2487"/>
      <c r="F726" s="2487"/>
      <c r="G726" s="2487"/>
      <c r="H726" s="2487"/>
      <c r="I726" s="2487"/>
      <c r="J726" s="2487"/>
      <c r="K726" s="2487"/>
      <c r="L726" s="2487"/>
      <c r="M726" s="2487"/>
      <c r="N726" s="2487"/>
      <c r="O726" s="2487"/>
      <c r="P726" s="2487"/>
      <c r="Q726" s="2487"/>
      <c r="R726" s="2487"/>
      <c r="S726" s="2487"/>
      <c r="T726" s="2487"/>
      <c r="U726" s="2487"/>
      <c r="V726" s="2487"/>
      <c r="W726" s="2487"/>
      <c r="X726" s="2487"/>
      <c r="Y726" s="2487"/>
      <c r="Z726" s="2487"/>
      <c r="AA726" s="2487"/>
      <c r="AB726" s="2487"/>
      <c r="AC726" s="2487"/>
      <c r="AD726" s="2487"/>
      <c r="AE726" s="2487"/>
      <c r="AF726" s="2487"/>
      <c r="AG726" s="2487"/>
      <c r="AH726" s="2487"/>
      <c r="AI726" s="2487"/>
      <c r="AJ726" s="2487"/>
      <c r="AK726" s="2487"/>
      <c r="AL726" s="2487"/>
      <c r="AM726" s="2487"/>
    </row>
    <row r="727" spans="1:39" ht="15.75" customHeight="1" x14ac:dyDescent="0.25">
      <c r="A727" s="2487"/>
      <c r="B727" s="2487"/>
      <c r="C727" s="2487"/>
      <c r="D727" s="2487"/>
      <c r="E727" s="2487"/>
      <c r="F727" s="2487"/>
      <c r="G727" s="2487"/>
      <c r="H727" s="2487"/>
      <c r="I727" s="2487"/>
      <c r="J727" s="2487"/>
      <c r="K727" s="2487"/>
      <c r="L727" s="2487"/>
      <c r="M727" s="2487"/>
      <c r="N727" s="2487"/>
      <c r="O727" s="2487"/>
      <c r="P727" s="2487"/>
      <c r="Q727" s="2487"/>
      <c r="R727" s="2487"/>
      <c r="S727" s="2487"/>
      <c r="T727" s="2487"/>
      <c r="U727" s="2487"/>
      <c r="V727" s="2487"/>
      <c r="W727" s="2487"/>
      <c r="X727" s="2487"/>
      <c r="Y727" s="2487"/>
      <c r="Z727" s="2487"/>
      <c r="AA727" s="2487"/>
      <c r="AB727" s="2487"/>
      <c r="AC727" s="2487"/>
      <c r="AD727" s="2487"/>
      <c r="AE727" s="2487"/>
      <c r="AF727" s="2487"/>
      <c r="AG727" s="2487"/>
      <c r="AH727" s="2487"/>
      <c r="AI727" s="2487"/>
      <c r="AJ727" s="2487"/>
      <c r="AK727" s="2487"/>
      <c r="AL727" s="2487"/>
      <c r="AM727" s="2487"/>
    </row>
    <row r="728" spans="1:39" ht="15.75" customHeight="1" x14ac:dyDescent="0.25">
      <c r="A728" s="2487"/>
      <c r="B728" s="2487"/>
      <c r="C728" s="2487"/>
      <c r="D728" s="2487"/>
      <c r="E728" s="2487"/>
      <c r="F728" s="2487"/>
      <c r="G728" s="2487"/>
      <c r="H728" s="2487"/>
      <c r="I728" s="2487"/>
      <c r="J728" s="2487"/>
      <c r="K728" s="2487"/>
      <c r="L728" s="2487"/>
      <c r="M728" s="2487"/>
      <c r="N728" s="2487"/>
      <c r="O728" s="2487"/>
      <c r="P728" s="2487"/>
      <c r="Q728" s="2487"/>
      <c r="R728" s="2487"/>
      <c r="S728" s="2487"/>
      <c r="T728" s="2487"/>
      <c r="U728" s="2487"/>
      <c r="V728" s="2487"/>
      <c r="W728" s="2487"/>
      <c r="X728" s="2487"/>
      <c r="Y728" s="2487"/>
      <c r="Z728" s="2487"/>
      <c r="AA728" s="2487"/>
      <c r="AB728" s="2487"/>
      <c r="AC728" s="2487"/>
      <c r="AD728" s="2487"/>
      <c r="AE728" s="2487"/>
      <c r="AF728" s="2487"/>
      <c r="AG728" s="2487"/>
      <c r="AH728" s="2487"/>
      <c r="AI728" s="2487"/>
      <c r="AJ728" s="2487"/>
      <c r="AK728" s="2487"/>
      <c r="AL728" s="2487"/>
      <c r="AM728" s="2487"/>
    </row>
    <row r="729" spans="1:39" ht="15.75" customHeight="1" x14ac:dyDescent="0.25">
      <c r="A729" s="2487"/>
      <c r="B729" s="2487"/>
      <c r="C729" s="2487"/>
      <c r="D729" s="2487"/>
      <c r="E729" s="2487"/>
      <c r="F729" s="2487"/>
      <c r="G729" s="2487"/>
      <c r="H729" s="2487"/>
      <c r="I729" s="2487"/>
      <c r="J729" s="2487"/>
      <c r="K729" s="2487"/>
      <c r="L729" s="2487"/>
      <c r="M729" s="2487"/>
      <c r="N729" s="2487"/>
      <c r="O729" s="2487"/>
      <c r="P729" s="2487"/>
      <c r="Q729" s="2487"/>
      <c r="R729" s="2487"/>
      <c r="S729" s="2487"/>
      <c r="T729" s="2487"/>
      <c r="U729" s="2487"/>
      <c r="V729" s="2487"/>
      <c r="W729" s="2487"/>
      <c r="X729" s="2487"/>
      <c r="Y729" s="2487"/>
      <c r="Z729" s="2487"/>
      <c r="AA729" s="2487"/>
      <c r="AB729" s="2487"/>
      <c r="AC729" s="2487"/>
      <c r="AD729" s="2487"/>
      <c r="AE729" s="2487"/>
      <c r="AF729" s="2487"/>
      <c r="AG729" s="2487"/>
      <c r="AH729" s="2487"/>
      <c r="AI729" s="2487"/>
      <c r="AJ729" s="2487"/>
      <c r="AK729" s="2487"/>
      <c r="AL729" s="2487"/>
      <c r="AM729" s="2487"/>
    </row>
    <row r="730" spans="1:39" ht="15.75" customHeight="1" x14ac:dyDescent="0.25">
      <c r="A730" s="2487"/>
      <c r="B730" s="2487"/>
      <c r="C730" s="2487"/>
      <c r="D730" s="2487"/>
      <c r="E730" s="2487"/>
      <c r="F730" s="2487"/>
      <c r="G730" s="2487"/>
      <c r="H730" s="2487"/>
      <c r="I730" s="2487"/>
      <c r="J730" s="2487"/>
      <c r="K730" s="2487"/>
      <c r="L730" s="2487"/>
      <c r="M730" s="2487"/>
      <c r="N730" s="2487"/>
      <c r="O730" s="2487"/>
      <c r="P730" s="2487"/>
      <c r="Q730" s="2487"/>
      <c r="R730" s="2487"/>
      <c r="S730" s="2487"/>
      <c r="T730" s="2487"/>
      <c r="U730" s="2487"/>
      <c r="V730" s="2487"/>
      <c r="W730" s="2487"/>
      <c r="X730" s="2487"/>
      <c r="Y730" s="2487"/>
      <c r="Z730" s="2487"/>
      <c r="AA730" s="2487"/>
      <c r="AB730" s="2487"/>
      <c r="AC730" s="2487"/>
      <c r="AD730" s="2487"/>
      <c r="AE730" s="2487"/>
      <c r="AF730" s="2487"/>
      <c r="AG730" s="2487"/>
      <c r="AH730" s="2487"/>
      <c r="AI730" s="2487"/>
      <c r="AJ730" s="2487"/>
      <c r="AK730" s="2487"/>
      <c r="AL730" s="2487"/>
      <c r="AM730" s="2487"/>
    </row>
    <row r="731" spans="1:39" ht="15.75" customHeight="1" x14ac:dyDescent="0.25">
      <c r="A731" s="2487"/>
      <c r="B731" s="2487"/>
      <c r="C731" s="2487"/>
      <c r="D731" s="2487"/>
      <c r="E731" s="2487"/>
      <c r="F731" s="2487"/>
      <c r="G731" s="2487"/>
      <c r="H731" s="2487"/>
      <c r="I731" s="2487"/>
      <c r="J731" s="2487"/>
      <c r="K731" s="2487"/>
      <c r="L731" s="2487"/>
      <c r="M731" s="2487"/>
      <c r="N731" s="2487"/>
      <c r="O731" s="2487"/>
      <c r="P731" s="2487"/>
      <c r="Q731" s="2487"/>
      <c r="R731" s="2487"/>
      <c r="S731" s="2487"/>
      <c r="T731" s="2487"/>
      <c r="U731" s="2487"/>
      <c r="V731" s="2487"/>
      <c r="W731" s="2487"/>
      <c r="X731" s="2487"/>
      <c r="Y731" s="2487"/>
      <c r="Z731" s="2487"/>
      <c r="AA731" s="2487"/>
      <c r="AB731" s="2487"/>
      <c r="AC731" s="2487"/>
      <c r="AD731" s="2487"/>
      <c r="AE731" s="2487"/>
      <c r="AF731" s="2487"/>
      <c r="AG731" s="2487"/>
      <c r="AH731" s="2487"/>
      <c r="AI731" s="2487"/>
      <c r="AJ731" s="2487"/>
      <c r="AK731" s="2487"/>
      <c r="AL731" s="2487"/>
      <c r="AM731" s="2487"/>
    </row>
    <row r="732" spans="1:39" ht="15.75" customHeight="1" x14ac:dyDescent="0.25">
      <c r="A732" s="2487"/>
      <c r="B732" s="2487"/>
      <c r="C732" s="2487"/>
      <c r="D732" s="2487"/>
      <c r="E732" s="2487"/>
      <c r="F732" s="2487"/>
      <c r="G732" s="2487"/>
      <c r="H732" s="2487"/>
      <c r="I732" s="2487"/>
      <c r="J732" s="2487"/>
      <c r="K732" s="2487"/>
      <c r="L732" s="2487"/>
      <c r="M732" s="2487"/>
      <c r="N732" s="2487"/>
      <c r="O732" s="2487"/>
      <c r="P732" s="2487"/>
      <c r="Q732" s="2487"/>
      <c r="R732" s="2487"/>
      <c r="S732" s="2487"/>
      <c r="T732" s="2487"/>
      <c r="U732" s="2487"/>
      <c r="V732" s="2487"/>
      <c r="W732" s="2487"/>
      <c r="X732" s="2487"/>
      <c r="Y732" s="2487"/>
      <c r="Z732" s="2487"/>
      <c r="AA732" s="2487"/>
      <c r="AB732" s="2487"/>
      <c r="AC732" s="2487"/>
      <c r="AD732" s="2487"/>
      <c r="AE732" s="2487"/>
      <c r="AF732" s="2487"/>
      <c r="AG732" s="2487"/>
      <c r="AH732" s="2487"/>
      <c r="AI732" s="2487"/>
      <c r="AJ732" s="2487"/>
      <c r="AK732" s="2487"/>
      <c r="AL732" s="2487"/>
      <c r="AM732" s="2487"/>
    </row>
    <row r="733" spans="1:39" ht="15.75" customHeight="1" x14ac:dyDescent="0.25">
      <c r="A733" s="2487"/>
      <c r="B733" s="2487"/>
      <c r="C733" s="2487"/>
      <c r="D733" s="2487"/>
      <c r="E733" s="2487"/>
      <c r="F733" s="2487"/>
      <c r="G733" s="2487"/>
      <c r="H733" s="2487"/>
      <c r="I733" s="2487"/>
      <c r="J733" s="2487"/>
      <c r="K733" s="2487"/>
      <c r="L733" s="2487"/>
      <c r="M733" s="2487"/>
      <c r="N733" s="2487"/>
      <c r="O733" s="2487"/>
      <c r="P733" s="2487"/>
      <c r="Q733" s="2487"/>
      <c r="R733" s="2487"/>
      <c r="S733" s="2487"/>
      <c r="T733" s="2487"/>
      <c r="U733" s="2487"/>
      <c r="V733" s="2487"/>
      <c r="W733" s="2487"/>
      <c r="X733" s="2487"/>
      <c r="Y733" s="2487"/>
      <c r="Z733" s="2487"/>
      <c r="AA733" s="2487"/>
      <c r="AB733" s="2487"/>
      <c r="AC733" s="2487"/>
      <c r="AD733" s="2487"/>
      <c r="AE733" s="2487"/>
      <c r="AF733" s="2487"/>
      <c r="AG733" s="2487"/>
      <c r="AH733" s="2487"/>
      <c r="AI733" s="2487"/>
      <c r="AJ733" s="2487"/>
      <c r="AK733" s="2487"/>
      <c r="AL733" s="2487"/>
      <c r="AM733" s="2487"/>
    </row>
    <row r="734" spans="1:39" ht="15.75" customHeight="1" x14ac:dyDescent="0.25">
      <c r="A734" s="2487"/>
      <c r="B734" s="2487"/>
      <c r="C734" s="2487"/>
      <c r="D734" s="2487"/>
      <c r="E734" s="2487"/>
      <c r="F734" s="2487"/>
      <c r="G734" s="2487"/>
      <c r="H734" s="2487"/>
      <c r="I734" s="2487"/>
      <c r="J734" s="2487"/>
      <c r="K734" s="2487"/>
      <c r="L734" s="2487"/>
      <c r="M734" s="2487"/>
      <c r="N734" s="2487"/>
      <c r="O734" s="2487"/>
      <c r="P734" s="2487"/>
      <c r="Q734" s="2487"/>
      <c r="R734" s="2487"/>
      <c r="S734" s="2487"/>
      <c r="T734" s="2487"/>
      <c r="U734" s="2487"/>
      <c r="V734" s="2487"/>
      <c r="W734" s="2487"/>
      <c r="X734" s="2487"/>
      <c r="Y734" s="2487"/>
      <c r="Z734" s="2487"/>
      <c r="AA734" s="2487"/>
      <c r="AB734" s="2487"/>
      <c r="AC734" s="2487"/>
      <c r="AD734" s="2487"/>
      <c r="AE734" s="2487"/>
      <c r="AF734" s="2487"/>
      <c r="AG734" s="2487"/>
      <c r="AH734" s="2487"/>
      <c r="AI734" s="2487"/>
      <c r="AJ734" s="2487"/>
      <c r="AK734" s="2487"/>
      <c r="AL734" s="2487"/>
      <c r="AM734" s="2487"/>
    </row>
    <row r="735" spans="1:39" ht="15.75" customHeight="1" x14ac:dyDescent="0.25">
      <c r="A735" s="2487"/>
      <c r="B735" s="2487"/>
      <c r="C735" s="2487"/>
      <c r="D735" s="2487"/>
      <c r="E735" s="2487"/>
      <c r="F735" s="2487"/>
      <c r="G735" s="2487"/>
      <c r="H735" s="2487"/>
      <c r="I735" s="2487"/>
      <c r="J735" s="2487"/>
      <c r="K735" s="2487"/>
      <c r="L735" s="2487"/>
      <c r="M735" s="2487"/>
      <c r="N735" s="2487"/>
      <c r="O735" s="2487"/>
      <c r="P735" s="2487"/>
      <c r="Q735" s="2487"/>
      <c r="R735" s="2487"/>
      <c r="S735" s="2487"/>
      <c r="T735" s="2487"/>
      <c r="U735" s="2487"/>
      <c r="V735" s="2487"/>
      <c r="W735" s="2487"/>
      <c r="X735" s="2487"/>
      <c r="Y735" s="2487"/>
      <c r="Z735" s="2487"/>
      <c r="AA735" s="2487"/>
      <c r="AB735" s="2487"/>
      <c r="AC735" s="2487"/>
      <c r="AD735" s="2487"/>
      <c r="AE735" s="2487"/>
      <c r="AF735" s="2487"/>
      <c r="AG735" s="2487"/>
      <c r="AH735" s="2487"/>
      <c r="AI735" s="2487"/>
      <c r="AJ735" s="2487"/>
      <c r="AK735" s="2487"/>
      <c r="AL735" s="2487"/>
      <c r="AM735" s="2487"/>
    </row>
    <row r="736" spans="1:39" ht="15.75" customHeight="1" x14ac:dyDescent="0.25">
      <c r="A736" s="2487"/>
      <c r="B736" s="2487"/>
      <c r="C736" s="2487"/>
      <c r="D736" s="2487"/>
      <c r="E736" s="2487"/>
      <c r="F736" s="2487"/>
      <c r="G736" s="2487"/>
      <c r="H736" s="2487"/>
      <c r="I736" s="2487"/>
      <c r="J736" s="2487"/>
      <c r="K736" s="2487"/>
      <c r="L736" s="2487"/>
      <c r="M736" s="2487"/>
      <c r="N736" s="2487"/>
      <c r="O736" s="2487"/>
      <c r="P736" s="2487"/>
      <c r="Q736" s="2487"/>
      <c r="R736" s="2487"/>
      <c r="S736" s="2487"/>
      <c r="T736" s="2487"/>
      <c r="U736" s="2487"/>
      <c r="V736" s="2487"/>
      <c r="W736" s="2487"/>
      <c r="X736" s="2487"/>
      <c r="Y736" s="2487"/>
      <c r="Z736" s="2487"/>
      <c r="AA736" s="2487"/>
      <c r="AB736" s="2487"/>
      <c r="AC736" s="2487"/>
      <c r="AD736" s="2487"/>
      <c r="AE736" s="2487"/>
      <c r="AF736" s="2487"/>
      <c r="AG736" s="2487"/>
      <c r="AH736" s="2487"/>
      <c r="AI736" s="2487"/>
      <c r="AJ736" s="2487"/>
      <c r="AK736" s="2487"/>
      <c r="AL736" s="2487"/>
      <c r="AM736" s="2487"/>
    </row>
    <row r="737" spans="1:39" ht="15.75" customHeight="1" x14ac:dyDescent="0.25">
      <c r="A737" s="2487"/>
      <c r="B737" s="2487"/>
      <c r="C737" s="2487"/>
      <c r="D737" s="2487"/>
      <c r="E737" s="2487"/>
      <c r="F737" s="2487"/>
      <c r="G737" s="2487"/>
      <c r="H737" s="2487"/>
      <c r="I737" s="2487"/>
      <c r="J737" s="2487"/>
      <c r="K737" s="2487"/>
      <c r="L737" s="2487"/>
      <c r="M737" s="2487"/>
      <c r="N737" s="2487"/>
      <c r="O737" s="2487"/>
      <c r="P737" s="2487"/>
      <c r="Q737" s="2487"/>
      <c r="R737" s="2487"/>
      <c r="S737" s="2487"/>
      <c r="T737" s="2487"/>
      <c r="U737" s="2487"/>
      <c r="V737" s="2487"/>
      <c r="W737" s="2487"/>
      <c r="X737" s="2487"/>
      <c r="Y737" s="2487"/>
      <c r="Z737" s="2487"/>
      <c r="AA737" s="2487"/>
      <c r="AB737" s="2487"/>
      <c r="AC737" s="2487"/>
      <c r="AD737" s="2487"/>
      <c r="AE737" s="2487"/>
      <c r="AF737" s="2487"/>
      <c r="AG737" s="2487"/>
      <c r="AH737" s="2487"/>
      <c r="AI737" s="2487"/>
      <c r="AJ737" s="2487"/>
      <c r="AK737" s="2487"/>
      <c r="AL737" s="2487"/>
      <c r="AM737" s="2487"/>
    </row>
    <row r="738" spans="1:39" ht="15.75" customHeight="1" x14ac:dyDescent="0.25">
      <c r="A738" s="2487"/>
      <c r="B738" s="2487"/>
      <c r="C738" s="2487"/>
      <c r="D738" s="2487"/>
      <c r="E738" s="2487"/>
      <c r="F738" s="2487"/>
      <c r="G738" s="2487"/>
      <c r="H738" s="2487"/>
      <c r="I738" s="2487"/>
      <c r="J738" s="2487"/>
      <c r="K738" s="2487"/>
      <c r="L738" s="2487"/>
      <c r="M738" s="2487"/>
      <c r="N738" s="2487"/>
      <c r="O738" s="2487"/>
      <c r="P738" s="2487"/>
      <c r="Q738" s="2487"/>
      <c r="R738" s="2487"/>
      <c r="S738" s="2487"/>
      <c r="T738" s="2487"/>
      <c r="U738" s="2487"/>
      <c r="V738" s="2487"/>
      <c r="W738" s="2487"/>
      <c r="X738" s="2487"/>
      <c r="Y738" s="2487"/>
      <c r="Z738" s="2487"/>
      <c r="AA738" s="2487"/>
      <c r="AB738" s="2487"/>
      <c r="AC738" s="2487"/>
      <c r="AD738" s="2487"/>
      <c r="AE738" s="2487"/>
      <c r="AF738" s="2487"/>
      <c r="AG738" s="2487"/>
      <c r="AH738" s="2487"/>
      <c r="AI738" s="2487"/>
      <c r="AJ738" s="2487"/>
      <c r="AK738" s="2487"/>
      <c r="AL738" s="2487"/>
      <c r="AM738" s="2487"/>
    </row>
    <row r="739" spans="1:39" ht="15.75" customHeight="1" x14ac:dyDescent="0.25">
      <c r="A739" s="2487"/>
      <c r="B739" s="2487"/>
      <c r="C739" s="2487"/>
      <c r="D739" s="2487"/>
      <c r="E739" s="2487"/>
      <c r="F739" s="2487"/>
      <c r="G739" s="2487"/>
      <c r="H739" s="2487"/>
      <c r="I739" s="2487"/>
      <c r="J739" s="2487"/>
      <c r="K739" s="2487"/>
      <c r="L739" s="2487"/>
      <c r="M739" s="2487"/>
      <c r="N739" s="2487"/>
      <c r="O739" s="2487"/>
      <c r="P739" s="2487"/>
      <c r="Q739" s="2487"/>
      <c r="R739" s="2487"/>
      <c r="S739" s="2487"/>
      <c r="T739" s="2487"/>
      <c r="U739" s="2487"/>
      <c r="V739" s="2487"/>
      <c r="W739" s="2487"/>
      <c r="X739" s="2487"/>
      <c r="Y739" s="2487"/>
      <c r="Z739" s="2487"/>
      <c r="AA739" s="2487"/>
      <c r="AB739" s="2487"/>
      <c r="AC739" s="2487"/>
      <c r="AD739" s="2487"/>
      <c r="AE739" s="2487"/>
      <c r="AF739" s="2487"/>
      <c r="AG739" s="2487"/>
      <c r="AH739" s="2487"/>
      <c r="AI739" s="2487"/>
      <c r="AJ739" s="2487"/>
      <c r="AK739" s="2487"/>
      <c r="AL739" s="2487"/>
      <c r="AM739" s="2487"/>
    </row>
    <row r="740" spans="1:39" ht="15.75" customHeight="1" x14ac:dyDescent="0.25">
      <c r="A740" s="2487"/>
      <c r="B740" s="2487"/>
      <c r="C740" s="2487"/>
      <c r="D740" s="2487"/>
      <c r="E740" s="2487"/>
      <c r="F740" s="2487"/>
      <c r="G740" s="2487"/>
      <c r="H740" s="2487"/>
      <c r="I740" s="2487"/>
      <c r="J740" s="2487"/>
      <c r="K740" s="2487"/>
      <c r="L740" s="2487"/>
      <c r="M740" s="2487"/>
      <c r="N740" s="2487"/>
      <c r="O740" s="2487"/>
      <c r="P740" s="2487"/>
      <c r="Q740" s="2487"/>
      <c r="R740" s="2487"/>
      <c r="S740" s="2487"/>
      <c r="T740" s="2487"/>
      <c r="U740" s="2487"/>
      <c r="V740" s="2487"/>
      <c r="W740" s="2487"/>
      <c r="X740" s="2487"/>
      <c r="Y740" s="2487"/>
      <c r="Z740" s="2487"/>
      <c r="AA740" s="2487"/>
      <c r="AB740" s="2487"/>
      <c r="AC740" s="2487"/>
      <c r="AD740" s="2487"/>
      <c r="AE740" s="2487"/>
      <c r="AF740" s="2487"/>
      <c r="AG740" s="2487"/>
      <c r="AH740" s="2487"/>
      <c r="AI740" s="2487"/>
      <c r="AJ740" s="2487"/>
      <c r="AK740" s="2487"/>
      <c r="AL740" s="2487"/>
      <c r="AM740" s="2487"/>
    </row>
    <row r="741" spans="1:39" ht="15.75" customHeight="1" x14ac:dyDescent="0.25">
      <c r="A741" s="2487"/>
      <c r="B741" s="2487"/>
      <c r="C741" s="2487"/>
      <c r="D741" s="2487"/>
      <c r="E741" s="2487"/>
      <c r="F741" s="2487"/>
      <c r="G741" s="2487"/>
      <c r="H741" s="2487"/>
      <c r="I741" s="2487"/>
      <c r="J741" s="2487"/>
      <c r="K741" s="2487"/>
      <c r="L741" s="2487"/>
      <c r="M741" s="2487"/>
      <c r="N741" s="2487"/>
      <c r="O741" s="2487"/>
      <c r="P741" s="2487"/>
      <c r="Q741" s="2487"/>
      <c r="R741" s="2487"/>
      <c r="S741" s="2487"/>
      <c r="T741" s="2487"/>
      <c r="U741" s="2487"/>
      <c r="V741" s="2487"/>
      <c r="W741" s="2487"/>
      <c r="X741" s="2487"/>
      <c r="Y741" s="2487"/>
      <c r="Z741" s="2487"/>
      <c r="AA741" s="2487"/>
      <c r="AB741" s="2487"/>
      <c r="AC741" s="2487"/>
      <c r="AD741" s="2487"/>
      <c r="AE741" s="2487"/>
      <c r="AF741" s="2487"/>
      <c r="AG741" s="2487"/>
      <c r="AH741" s="2487"/>
      <c r="AI741" s="2487"/>
      <c r="AJ741" s="2487"/>
      <c r="AK741" s="2487"/>
      <c r="AL741" s="2487"/>
      <c r="AM741" s="2487"/>
    </row>
    <row r="742" spans="1:39" ht="15.75" customHeight="1" x14ac:dyDescent="0.25">
      <c r="A742" s="2487"/>
      <c r="B742" s="2487"/>
      <c r="C742" s="2487"/>
      <c r="D742" s="2487"/>
      <c r="E742" s="2487"/>
      <c r="F742" s="2487"/>
      <c r="G742" s="2487"/>
      <c r="H742" s="2487"/>
      <c r="I742" s="2487"/>
      <c r="J742" s="2487"/>
      <c r="K742" s="2487"/>
      <c r="L742" s="2487"/>
      <c r="M742" s="2487"/>
      <c r="N742" s="2487"/>
      <c r="O742" s="2487"/>
      <c r="P742" s="2487"/>
      <c r="Q742" s="2487"/>
      <c r="R742" s="2487"/>
      <c r="S742" s="2487"/>
      <c r="T742" s="2487"/>
      <c r="U742" s="2487"/>
      <c r="V742" s="2487"/>
      <c r="W742" s="2487"/>
      <c r="X742" s="2487"/>
      <c r="Y742" s="2487"/>
      <c r="Z742" s="2487"/>
      <c r="AA742" s="2487"/>
      <c r="AB742" s="2487"/>
      <c r="AC742" s="2487"/>
      <c r="AD742" s="2487"/>
      <c r="AE742" s="2487"/>
      <c r="AF742" s="2487"/>
      <c r="AG742" s="2487"/>
      <c r="AH742" s="2487"/>
      <c r="AI742" s="2487"/>
      <c r="AJ742" s="2487"/>
      <c r="AK742" s="2487"/>
      <c r="AL742" s="2487"/>
      <c r="AM742" s="2487"/>
    </row>
    <row r="743" spans="1:39" ht="15.75" customHeight="1" x14ac:dyDescent="0.25">
      <c r="A743" s="2487"/>
      <c r="B743" s="2487"/>
      <c r="C743" s="2487"/>
      <c r="D743" s="2487"/>
      <c r="E743" s="2487"/>
      <c r="F743" s="2487"/>
      <c r="G743" s="2487"/>
      <c r="H743" s="2487"/>
      <c r="I743" s="2487"/>
      <c r="J743" s="2487"/>
      <c r="K743" s="2487"/>
      <c r="L743" s="2487"/>
      <c r="M743" s="2487"/>
      <c r="N743" s="2487"/>
      <c r="O743" s="2487"/>
      <c r="P743" s="2487"/>
      <c r="Q743" s="2487"/>
      <c r="R743" s="2487"/>
      <c r="S743" s="2487"/>
      <c r="T743" s="2487"/>
      <c r="U743" s="2487"/>
      <c r="V743" s="2487"/>
      <c r="W743" s="2487"/>
      <c r="X743" s="2487"/>
      <c r="Y743" s="2487"/>
      <c r="Z743" s="2487"/>
      <c r="AA743" s="2487"/>
      <c r="AB743" s="2487"/>
      <c r="AC743" s="2487"/>
      <c r="AD743" s="2487"/>
      <c r="AE743" s="2487"/>
      <c r="AF743" s="2487"/>
      <c r="AG743" s="2487"/>
      <c r="AH743" s="2487"/>
      <c r="AI743" s="2487"/>
      <c r="AJ743" s="2487"/>
      <c r="AK743" s="2487"/>
      <c r="AL743" s="2487"/>
      <c r="AM743" s="2487"/>
    </row>
    <row r="744" spans="1:39" ht="15.75" customHeight="1" x14ac:dyDescent="0.25">
      <c r="A744" s="2487"/>
      <c r="B744" s="2487"/>
      <c r="C744" s="2487"/>
      <c r="D744" s="2487"/>
      <c r="E744" s="2487"/>
      <c r="F744" s="2487"/>
      <c r="G744" s="2487"/>
      <c r="H744" s="2487"/>
      <c r="I744" s="2487"/>
      <c r="J744" s="2487"/>
      <c r="K744" s="2487"/>
      <c r="L744" s="2487"/>
      <c r="M744" s="2487"/>
      <c r="N744" s="2487"/>
      <c r="O744" s="2487"/>
      <c r="P744" s="2487"/>
      <c r="Q744" s="2487"/>
      <c r="R744" s="2487"/>
      <c r="S744" s="2487"/>
      <c r="T744" s="2487"/>
      <c r="U744" s="2487"/>
      <c r="V744" s="2487"/>
      <c r="W744" s="2487"/>
      <c r="X744" s="2487"/>
      <c r="Y744" s="2487"/>
      <c r="Z744" s="2487"/>
      <c r="AA744" s="2487"/>
      <c r="AB744" s="2487"/>
      <c r="AC744" s="2487"/>
      <c r="AD744" s="2487"/>
      <c r="AE744" s="2487"/>
      <c r="AF744" s="2487"/>
      <c r="AG744" s="2487"/>
      <c r="AH744" s="2487"/>
      <c r="AI744" s="2487"/>
      <c r="AJ744" s="2487"/>
      <c r="AK744" s="2487"/>
      <c r="AL744" s="2487"/>
      <c r="AM744" s="2487"/>
    </row>
    <row r="745" spans="1:39" ht="15.75" customHeight="1" x14ac:dyDescent="0.25">
      <c r="A745" s="2487"/>
      <c r="B745" s="2487"/>
      <c r="C745" s="2487"/>
      <c r="D745" s="2487"/>
      <c r="E745" s="2487"/>
      <c r="F745" s="2487"/>
      <c r="G745" s="2487"/>
      <c r="H745" s="2487"/>
      <c r="I745" s="2487"/>
      <c r="J745" s="2487"/>
      <c r="K745" s="2487"/>
      <c r="L745" s="2487"/>
      <c r="M745" s="2487"/>
      <c r="N745" s="2487"/>
      <c r="O745" s="2487"/>
      <c r="P745" s="2487"/>
      <c r="Q745" s="2487"/>
      <c r="R745" s="2487"/>
      <c r="S745" s="2487"/>
      <c r="T745" s="2487"/>
      <c r="U745" s="2487"/>
      <c r="V745" s="2487"/>
      <c r="W745" s="2487"/>
      <c r="X745" s="2487"/>
      <c r="Y745" s="2487"/>
      <c r="Z745" s="2487"/>
      <c r="AA745" s="2487"/>
      <c r="AB745" s="2487"/>
      <c r="AC745" s="2487"/>
      <c r="AD745" s="2487"/>
      <c r="AE745" s="2487"/>
      <c r="AF745" s="2487"/>
      <c r="AG745" s="2487"/>
      <c r="AH745" s="2487"/>
      <c r="AI745" s="2487"/>
      <c r="AJ745" s="2487"/>
      <c r="AK745" s="2487"/>
      <c r="AL745" s="2487"/>
      <c r="AM745" s="2487"/>
    </row>
    <row r="746" spans="1:39" ht="15.75" customHeight="1" x14ac:dyDescent="0.25">
      <c r="A746" s="2487"/>
      <c r="B746" s="2487"/>
      <c r="C746" s="2487"/>
      <c r="D746" s="2487"/>
      <c r="E746" s="2487"/>
      <c r="F746" s="2487"/>
      <c r="G746" s="2487"/>
      <c r="H746" s="2487"/>
      <c r="I746" s="2487"/>
      <c r="J746" s="2487"/>
      <c r="K746" s="2487"/>
      <c r="L746" s="2487"/>
      <c r="M746" s="2487"/>
      <c r="N746" s="2487"/>
      <c r="O746" s="2487"/>
      <c r="P746" s="2487"/>
      <c r="Q746" s="2487"/>
      <c r="R746" s="2487"/>
      <c r="S746" s="2487"/>
      <c r="T746" s="2487"/>
      <c r="U746" s="2487"/>
      <c r="V746" s="2487"/>
      <c r="W746" s="2487"/>
      <c r="X746" s="2487"/>
      <c r="Y746" s="2487"/>
      <c r="Z746" s="2487"/>
      <c r="AA746" s="2487"/>
      <c r="AB746" s="2487"/>
      <c r="AC746" s="2487"/>
      <c r="AD746" s="2487"/>
      <c r="AE746" s="2487"/>
      <c r="AF746" s="2487"/>
      <c r="AG746" s="2487"/>
      <c r="AH746" s="2487"/>
      <c r="AI746" s="2487"/>
      <c r="AJ746" s="2487"/>
      <c r="AK746" s="2487"/>
      <c r="AL746" s="2487"/>
      <c r="AM746" s="2487"/>
    </row>
    <row r="747" spans="1:39" ht="15.75" customHeight="1" x14ac:dyDescent="0.25">
      <c r="A747" s="2487"/>
      <c r="B747" s="2487"/>
      <c r="C747" s="2487"/>
      <c r="D747" s="2487"/>
      <c r="E747" s="2487"/>
      <c r="F747" s="2487"/>
      <c r="G747" s="2487"/>
      <c r="H747" s="2487"/>
      <c r="I747" s="2487"/>
      <c r="J747" s="2487"/>
      <c r="K747" s="2487"/>
      <c r="L747" s="2487"/>
      <c r="M747" s="2487"/>
      <c r="N747" s="2487"/>
      <c r="O747" s="2487"/>
      <c r="P747" s="2487"/>
      <c r="Q747" s="2487"/>
      <c r="R747" s="2487"/>
      <c r="S747" s="2487"/>
      <c r="T747" s="2487"/>
      <c r="U747" s="2487"/>
      <c r="V747" s="2487"/>
      <c r="W747" s="2487"/>
      <c r="X747" s="2487"/>
      <c r="Y747" s="2487"/>
      <c r="Z747" s="2487"/>
      <c r="AA747" s="2487"/>
      <c r="AB747" s="2487"/>
      <c r="AC747" s="2487"/>
      <c r="AD747" s="2487"/>
      <c r="AE747" s="2487"/>
      <c r="AF747" s="2487"/>
      <c r="AG747" s="2487"/>
      <c r="AH747" s="2487"/>
      <c r="AI747" s="2487"/>
      <c r="AJ747" s="2487"/>
      <c r="AK747" s="2487"/>
      <c r="AL747" s="2487"/>
      <c r="AM747" s="2487"/>
    </row>
    <row r="748" spans="1:39" ht="15.75" customHeight="1" x14ac:dyDescent="0.25">
      <c r="A748" s="2487"/>
      <c r="B748" s="2487"/>
      <c r="C748" s="2487"/>
      <c r="D748" s="2487"/>
      <c r="E748" s="2487"/>
      <c r="F748" s="2487"/>
      <c r="G748" s="2487"/>
      <c r="H748" s="2487"/>
      <c r="I748" s="2487"/>
      <c r="J748" s="2487"/>
      <c r="K748" s="2487"/>
      <c r="L748" s="2487"/>
      <c r="M748" s="2487"/>
      <c r="N748" s="2487"/>
      <c r="O748" s="2487"/>
      <c r="P748" s="2487"/>
      <c r="Q748" s="2487"/>
      <c r="R748" s="2487"/>
      <c r="S748" s="2487"/>
      <c r="T748" s="2487"/>
      <c r="U748" s="2487"/>
      <c r="V748" s="2487"/>
      <c r="W748" s="2487"/>
      <c r="X748" s="2487"/>
      <c r="Y748" s="2487"/>
      <c r="Z748" s="2487"/>
      <c r="AA748" s="2487"/>
      <c r="AB748" s="2487"/>
      <c r="AC748" s="2487"/>
      <c r="AD748" s="2487"/>
      <c r="AE748" s="2487"/>
      <c r="AF748" s="2487"/>
      <c r="AG748" s="2487"/>
      <c r="AH748" s="2487"/>
      <c r="AI748" s="2487"/>
      <c r="AJ748" s="2487"/>
      <c r="AK748" s="2487"/>
      <c r="AL748" s="2487"/>
      <c r="AM748" s="2487"/>
    </row>
    <row r="749" spans="1:39" ht="15.75" customHeight="1" x14ac:dyDescent="0.25">
      <c r="A749" s="2487"/>
      <c r="B749" s="2487"/>
      <c r="C749" s="2487"/>
      <c r="D749" s="2487"/>
      <c r="E749" s="2487"/>
      <c r="F749" s="2487"/>
      <c r="G749" s="2487"/>
      <c r="H749" s="2487"/>
      <c r="I749" s="2487"/>
      <c r="J749" s="2487"/>
      <c r="K749" s="2487"/>
      <c r="L749" s="2487"/>
      <c r="M749" s="2487"/>
      <c r="N749" s="2487"/>
      <c r="O749" s="2487"/>
      <c r="P749" s="2487"/>
      <c r="Q749" s="2487"/>
      <c r="R749" s="2487"/>
      <c r="S749" s="2487"/>
      <c r="T749" s="2487"/>
      <c r="U749" s="2487"/>
      <c r="V749" s="2487"/>
      <c r="W749" s="2487"/>
      <c r="X749" s="2487"/>
      <c r="Y749" s="2487"/>
      <c r="Z749" s="2487"/>
      <c r="AA749" s="2487"/>
      <c r="AB749" s="2487"/>
      <c r="AC749" s="2487"/>
      <c r="AD749" s="2487"/>
      <c r="AE749" s="2487"/>
      <c r="AF749" s="2487"/>
      <c r="AG749" s="2487"/>
      <c r="AH749" s="2487"/>
      <c r="AI749" s="2487"/>
      <c r="AJ749" s="2487"/>
      <c r="AK749" s="2487"/>
      <c r="AL749" s="2487"/>
      <c r="AM749" s="2487"/>
    </row>
    <row r="750" spans="1:39" ht="15.75" customHeight="1" x14ac:dyDescent="0.25">
      <c r="A750" s="2487"/>
      <c r="B750" s="2487"/>
      <c r="C750" s="2487"/>
      <c r="D750" s="2487"/>
      <c r="E750" s="2487"/>
      <c r="F750" s="2487"/>
      <c r="G750" s="2487"/>
      <c r="H750" s="2487"/>
      <c r="I750" s="2487"/>
      <c r="J750" s="2487"/>
      <c r="K750" s="2487"/>
      <c r="L750" s="2487"/>
      <c r="M750" s="2487"/>
      <c r="N750" s="2487"/>
      <c r="O750" s="2487"/>
      <c r="P750" s="2487"/>
      <c r="Q750" s="2487"/>
      <c r="R750" s="2487"/>
      <c r="S750" s="2487"/>
      <c r="T750" s="2487"/>
      <c r="U750" s="2487"/>
      <c r="V750" s="2487"/>
      <c r="W750" s="2487"/>
      <c r="X750" s="2487"/>
      <c r="Y750" s="2487"/>
      <c r="Z750" s="2487"/>
      <c r="AA750" s="2487"/>
      <c r="AB750" s="2487"/>
      <c r="AC750" s="2487"/>
      <c r="AD750" s="2487"/>
      <c r="AE750" s="2487"/>
      <c r="AF750" s="2487"/>
      <c r="AG750" s="2487"/>
      <c r="AH750" s="2487"/>
      <c r="AI750" s="2487"/>
      <c r="AJ750" s="2487"/>
      <c r="AK750" s="2487"/>
      <c r="AL750" s="2487"/>
      <c r="AM750" s="2487"/>
    </row>
    <row r="751" spans="1:39" ht="15.75" customHeight="1" x14ac:dyDescent="0.25">
      <c r="A751" s="2487"/>
      <c r="B751" s="2487"/>
      <c r="C751" s="2487"/>
      <c r="D751" s="2487"/>
      <c r="E751" s="2487"/>
      <c r="F751" s="2487"/>
      <c r="G751" s="2487"/>
      <c r="H751" s="2487"/>
      <c r="I751" s="2487"/>
      <c r="J751" s="2487"/>
      <c r="K751" s="2487"/>
      <c r="L751" s="2487"/>
      <c r="M751" s="2487"/>
      <c r="N751" s="2487"/>
      <c r="O751" s="2487"/>
      <c r="P751" s="2487"/>
      <c r="Q751" s="2487"/>
      <c r="R751" s="2487"/>
      <c r="S751" s="2487"/>
      <c r="T751" s="2487"/>
      <c r="U751" s="2487"/>
      <c r="V751" s="2487"/>
      <c r="W751" s="2487"/>
      <c r="X751" s="2487"/>
      <c r="Y751" s="2487"/>
      <c r="Z751" s="2487"/>
      <c r="AA751" s="2487"/>
      <c r="AB751" s="2487"/>
      <c r="AC751" s="2487"/>
      <c r="AD751" s="2487"/>
      <c r="AE751" s="2487"/>
      <c r="AF751" s="2487"/>
      <c r="AG751" s="2487"/>
      <c r="AH751" s="2487"/>
      <c r="AI751" s="2487"/>
      <c r="AJ751" s="2487"/>
      <c r="AK751" s="2487"/>
      <c r="AL751" s="2487"/>
      <c r="AM751" s="2487"/>
    </row>
    <row r="752" spans="1:39" ht="15.75" customHeight="1" x14ac:dyDescent="0.25">
      <c r="A752" s="2487"/>
      <c r="B752" s="2487"/>
      <c r="C752" s="2487"/>
      <c r="D752" s="2487"/>
      <c r="E752" s="2487"/>
      <c r="F752" s="2487"/>
      <c r="G752" s="2487"/>
      <c r="H752" s="2487"/>
      <c r="I752" s="2487"/>
      <c r="J752" s="2487"/>
      <c r="K752" s="2487"/>
      <c r="L752" s="2487"/>
      <c r="M752" s="2487"/>
      <c r="N752" s="2487"/>
      <c r="O752" s="2487"/>
      <c r="P752" s="2487"/>
      <c r="Q752" s="2487"/>
      <c r="R752" s="2487"/>
      <c r="S752" s="2487"/>
      <c r="T752" s="2487"/>
      <c r="U752" s="2487"/>
      <c r="V752" s="2487"/>
      <c r="W752" s="2487"/>
      <c r="X752" s="2487"/>
      <c r="Y752" s="2487"/>
      <c r="Z752" s="2487"/>
      <c r="AA752" s="2487"/>
      <c r="AB752" s="2487"/>
      <c r="AC752" s="2487"/>
      <c r="AD752" s="2487"/>
      <c r="AE752" s="2487"/>
      <c r="AF752" s="2487"/>
      <c r="AG752" s="2487"/>
      <c r="AH752" s="2487"/>
      <c r="AI752" s="2487"/>
      <c r="AJ752" s="2487"/>
      <c r="AK752" s="2487"/>
      <c r="AL752" s="2487"/>
      <c r="AM752" s="2487"/>
    </row>
    <row r="753" spans="1:39" ht="15.75" customHeight="1" x14ac:dyDescent="0.25">
      <c r="A753" s="2487"/>
      <c r="B753" s="2487"/>
      <c r="C753" s="2487"/>
      <c r="D753" s="2487"/>
      <c r="E753" s="2487"/>
      <c r="F753" s="2487"/>
      <c r="G753" s="2487"/>
      <c r="H753" s="2487"/>
      <c r="I753" s="2487"/>
      <c r="J753" s="2487"/>
      <c r="K753" s="2487"/>
      <c r="L753" s="2487"/>
      <c r="M753" s="2487"/>
      <c r="N753" s="2487"/>
      <c r="O753" s="2487"/>
      <c r="P753" s="2487"/>
      <c r="Q753" s="2487"/>
      <c r="R753" s="2487"/>
      <c r="S753" s="2487"/>
      <c r="T753" s="2487"/>
      <c r="U753" s="2487"/>
      <c r="V753" s="2487"/>
      <c r="W753" s="2487"/>
      <c r="X753" s="2487"/>
      <c r="Y753" s="2487"/>
      <c r="Z753" s="2487"/>
      <c r="AA753" s="2487"/>
      <c r="AB753" s="2487"/>
      <c r="AC753" s="2487"/>
      <c r="AD753" s="2487"/>
      <c r="AE753" s="2487"/>
      <c r="AF753" s="2487"/>
      <c r="AG753" s="2487"/>
      <c r="AH753" s="2487"/>
      <c r="AI753" s="2487"/>
      <c r="AJ753" s="2487"/>
      <c r="AK753" s="2487"/>
      <c r="AL753" s="2487"/>
      <c r="AM753" s="2487"/>
    </row>
    <row r="754" spans="1:39" ht="15.75" customHeight="1" x14ac:dyDescent="0.25">
      <c r="A754" s="2487"/>
      <c r="B754" s="2487"/>
      <c r="C754" s="2487"/>
      <c r="D754" s="2487"/>
      <c r="E754" s="2487"/>
      <c r="F754" s="2487"/>
      <c r="G754" s="2487"/>
      <c r="H754" s="2487"/>
      <c r="I754" s="2487"/>
      <c r="J754" s="2487"/>
      <c r="K754" s="2487"/>
      <c r="L754" s="2487"/>
      <c r="M754" s="2487"/>
      <c r="N754" s="2487"/>
      <c r="O754" s="2487"/>
      <c r="P754" s="2487"/>
      <c r="Q754" s="2487"/>
      <c r="R754" s="2487"/>
      <c r="S754" s="2487"/>
      <c r="T754" s="2487"/>
      <c r="U754" s="2487"/>
      <c r="V754" s="2487"/>
      <c r="W754" s="2487"/>
      <c r="X754" s="2487"/>
      <c r="Y754" s="2487"/>
      <c r="Z754" s="2487"/>
      <c r="AA754" s="2487"/>
      <c r="AB754" s="2487"/>
      <c r="AC754" s="2487"/>
      <c r="AD754" s="2487"/>
      <c r="AE754" s="2487"/>
      <c r="AF754" s="2487"/>
      <c r="AG754" s="2487"/>
      <c r="AH754" s="2487"/>
      <c r="AI754" s="2487"/>
      <c r="AJ754" s="2487"/>
      <c r="AK754" s="2487"/>
      <c r="AL754" s="2487"/>
      <c r="AM754" s="2487"/>
    </row>
    <row r="755" spans="1:39" ht="15.75" customHeight="1" x14ac:dyDescent="0.25">
      <c r="A755" s="2487"/>
      <c r="B755" s="2487"/>
      <c r="C755" s="2487"/>
      <c r="D755" s="2487"/>
      <c r="E755" s="2487"/>
      <c r="F755" s="2487"/>
      <c r="G755" s="2487"/>
      <c r="H755" s="2487"/>
      <c r="I755" s="2487"/>
      <c r="J755" s="2487"/>
      <c r="K755" s="2487"/>
      <c r="L755" s="2487"/>
      <c r="M755" s="2487"/>
      <c r="N755" s="2487"/>
      <c r="O755" s="2487"/>
      <c r="P755" s="2487"/>
      <c r="Q755" s="2487"/>
      <c r="R755" s="2487"/>
      <c r="S755" s="2487"/>
      <c r="T755" s="2487"/>
      <c r="U755" s="2487"/>
      <c r="V755" s="2487"/>
      <c r="W755" s="2487"/>
      <c r="X755" s="2487"/>
      <c r="Y755" s="2487"/>
      <c r="Z755" s="2487"/>
      <c r="AA755" s="2487"/>
      <c r="AB755" s="2487"/>
      <c r="AC755" s="2487"/>
      <c r="AD755" s="2487"/>
      <c r="AE755" s="2487"/>
      <c r="AF755" s="2487"/>
      <c r="AG755" s="2487"/>
      <c r="AH755" s="2487"/>
      <c r="AI755" s="2487"/>
      <c r="AJ755" s="2487"/>
      <c r="AK755" s="2487"/>
      <c r="AL755" s="2487"/>
      <c r="AM755" s="2487"/>
    </row>
    <row r="756" spans="1:39" ht="15.75" customHeight="1" x14ac:dyDescent="0.25">
      <c r="A756" s="2487"/>
      <c r="B756" s="2487"/>
      <c r="C756" s="2487"/>
      <c r="D756" s="2487"/>
      <c r="E756" s="2487"/>
      <c r="F756" s="2487"/>
      <c r="G756" s="2487"/>
      <c r="H756" s="2487"/>
      <c r="I756" s="2487"/>
      <c r="J756" s="2487"/>
      <c r="K756" s="2487"/>
      <c r="L756" s="2487"/>
      <c r="M756" s="2487"/>
      <c r="N756" s="2487"/>
      <c r="O756" s="2487"/>
      <c r="P756" s="2487"/>
      <c r="Q756" s="2487"/>
      <c r="R756" s="2487"/>
      <c r="S756" s="2487"/>
      <c r="T756" s="2487"/>
      <c r="U756" s="2487"/>
      <c r="V756" s="2487"/>
      <c r="W756" s="2487"/>
      <c r="X756" s="2487"/>
      <c r="Y756" s="2487"/>
      <c r="Z756" s="2487"/>
      <c r="AA756" s="2487"/>
      <c r="AB756" s="2487"/>
      <c r="AC756" s="2487"/>
      <c r="AD756" s="2487"/>
      <c r="AE756" s="2487"/>
      <c r="AF756" s="2487"/>
      <c r="AG756" s="2487"/>
      <c r="AH756" s="2487"/>
      <c r="AI756" s="2487"/>
      <c r="AJ756" s="2487"/>
      <c r="AK756" s="2487"/>
      <c r="AL756" s="2487"/>
      <c r="AM756" s="2487"/>
    </row>
    <row r="757" spans="1:39" ht="15.75" customHeight="1" x14ac:dyDescent="0.25">
      <c r="A757" s="2487"/>
      <c r="B757" s="2487"/>
      <c r="C757" s="2487"/>
      <c r="D757" s="2487"/>
      <c r="E757" s="2487"/>
      <c r="F757" s="2487"/>
      <c r="G757" s="2487"/>
      <c r="H757" s="2487"/>
      <c r="I757" s="2487"/>
      <c r="J757" s="2487"/>
      <c r="K757" s="2487"/>
      <c r="L757" s="2487"/>
      <c r="M757" s="2487"/>
      <c r="N757" s="2487"/>
      <c r="O757" s="2487"/>
      <c r="P757" s="2487"/>
      <c r="Q757" s="2487"/>
      <c r="R757" s="2487"/>
      <c r="S757" s="2487"/>
      <c r="T757" s="2487"/>
      <c r="U757" s="2487"/>
      <c r="V757" s="2487"/>
      <c r="W757" s="2487"/>
      <c r="X757" s="2487"/>
      <c r="Y757" s="2487"/>
      <c r="Z757" s="2487"/>
      <c r="AA757" s="2487"/>
      <c r="AB757" s="2487"/>
      <c r="AC757" s="2487"/>
      <c r="AD757" s="2487"/>
      <c r="AE757" s="2487"/>
      <c r="AF757" s="2487"/>
      <c r="AG757" s="2487"/>
      <c r="AH757" s="2487"/>
      <c r="AI757" s="2487"/>
      <c r="AJ757" s="2487"/>
      <c r="AK757" s="2487"/>
      <c r="AL757" s="2487"/>
      <c r="AM757" s="2487"/>
    </row>
    <row r="758" spans="1:39" ht="15.75" customHeight="1" x14ac:dyDescent="0.25">
      <c r="A758" s="2487"/>
      <c r="B758" s="2487"/>
      <c r="C758" s="2487"/>
      <c r="D758" s="2487"/>
      <c r="E758" s="2487"/>
      <c r="F758" s="2487"/>
      <c r="G758" s="2487"/>
      <c r="H758" s="2487"/>
      <c r="I758" s="2487"/>
      <c r="J758" s="2487"/>
      <c r="K758" s="2487"/>
      <c r="L758" s="2487"/>
      <c r="M758" s="2487"/>
      <c r="N758" s="2487"/>
      <c r="O758" s="2487"/>
      <c r="P758" s="2487"/>
      <c r="Q758" s="2487"/>
      <c r="R758" s="2487"/>
      <c r="S758" s="2487"/>
      <c r="T758" s="2487"/>
      <c r="U758" s="2487"/>
      <c r="V758" s="2487"/>
      <c r="W758" s="2487"/>
      <c r="X758" s="2487"/>
      <c r="Y758" s="2487"/>
      <c r="Z758" s="2487"/>
      <c r="AA758" s="2487"/>
      <c r="AB758" s="2487"/>
      <c r="AC758" s="2487"/>
      <c r="AD758" s="2487"/>
      <c r="AE758" s="2487"/>
      <c r="AF758" s="2487"/>
      <c r="AG758" s="2487"/>
      <c r="AH758" s="2487"/>
      <c r="AI758" s="2487"/>
      <c r="AJ758" s="2487"/>
      <c r="AK758" s="2487"/>
      <c r="AL758" s="2487"/>
      <c r="AM758" s="2487"/>
    </row>
    <row r="759" spans="1:39" ht="15.75" customHeight="1" x14ac:dyDescent="0.25">
      <c r="A759" s="2487"/>
      <c r="B759" s="2487"/>
      <c r="C759" s="2487"/>
      <c r="D759" s="2487"/>
      <c r="E759" s="2487"/>
      <c r="F759" s="2487"/>
      <c r="G759" s="2487"/>
      <c r="H759" s="2487"/>
      <c r="I759" s="2487"/>
      <c r="J759" s="2487"/>
      <c r="K759" s="2487"/>
      <c r="L759" s="2487"/>
      <c r="M759" s="2487"/>
      <c r="N759" s="2487"/>
      <c r="O759" s="2487"/>
      <c r="P759" s="2487"/>
      <c r="Q759" s="2487"/>
      <c r="R759" s="2487"/>
      <c r="S759" s="2487"/>
      <c r="T759" s="2487"/>
      <c r="U759" s="2487"/>
      <c r="V759" s="2487"/>
      <c r="W759" s="2487"/>
      <c r="X759" s="2487"/>
      <c r="Y759" s="2487"/>
      <c r="Z759" s="2487"/>
      <c r="AA759" s="2487"/>
      <c r="AB759" s="2487"/>
      <c r="AC759" s="2487"/>
      <c r="AD759" s="2487"/>
      <c r="AE759" s="2487"/>
      <c r="AF759" s="2487"/>
      <c r="AG759" s="2487"/>
      <c r="AH759" s="2487"/>
      <c r="AI759" s="2487"/>
      <c r="AJ759" s="2487"/>
      <c r="AK759" s="2487"/>
      <c r="AL759" s="2487"/>
      <c r="AM759" s="2487"/>
    </row>
    <row r="760" spans="1:39" ht="15.75" customHeight="1" x14ac:dyDescent="0.25">
      <c r="A760" s="2487"/>
      <c r="B760" s="2487"/>
      <c r="C760" s="2487"/>
      <c r="D760" s="2487"/>
      <c r="E760" s="2487"/>
      <c r="F760" s="2487"/>
      <c r="G760" s="2487"/>
      <c r="H760" s="2487"/>
      <c r="I760" s="2487"/>
      <c r="J760" s="2487"/>
      <c r="K760" s="2487"/>
      <c r="L760" s="2487"/>
      <c r="M760" s="2487"/>
      <c r="N760" s="2487"/>
      <c r="O760" s="2487"/>
      <c r="P760" s="2487"/>
      <c r="Q760" s="2487"/>
      <c r="R760" s="2487"/>
      <c r="S760" s="2487"/>
      <c r="T760" s="2487"/>
      <c r="U760" s="2487"/>
      <c r="V760" s="2487"/>
      <c r="W760" s="2487"/>
      <c r="X760" s="2487"/>
      <c r="Y760" s="2487"/>
      <c r="Z760" s="2487"/>
      <c r="AA760" s="2487"/>
      <c r="AB760" s="2487"/>
      <c r="AC760" s="2487"/>
      <c r="AD760" s="2487"/>
      <c r="AE760" s="2487"/>
      <c r="AF760" s="2487"/>
      <c r="AG760" s="2487"/>
      <c r="AH760" s="2487"/>
      <c r="AI760" s="2487"/>
      <c r="AJ760" s="2487"/>
      <c r="AK760" s="2487"/>
      <c r="AL760" s="2487"/>
      <c r="AM760" s="2487"/>
    </row>
    <row r="761" spans="1:39" ht="15.75" customHeight="1" x14ac:dyDescent="0.25">
      <c r="A761" s="2487"/>
      <c r="B761" s="2487"/>
      <c r="C761" s="2487"/>
      <c r="D761" s="2487"/>
      <c r="E761" s="2487"/>
      <c r="F761" s="2487"/>
      <c r="G761" s="2487"/>
      <c r="H761" s="2487"/>
      <c r="I761" s="2487"/>
      <c r="J761" s="2487"/>
      <c r="K761" s="2487"/>
      <c r="L761" s="2487"/>
      <c r="M761" s="2487"/>
      <c r="N761" s="2487"/>
      <c r="O761" s="2487"/>
      <c r="P761" s="2487"/>
      <c r="Q761" s="2487"/>
      <c r="R761" s="2487"/>
      <c r="S761" s="2487"/>
      <c r="T761" s="2487"/>
      <c r="U761" s="2487"/>
      <c r="V761" s="2487"/>
      <c r="W761" s="2487"/>
      <c r="X761" s="2487"/>
      <c r="Y761" s="2487"/>
      <c r="Z761" s="2487"/>
      <c r="AA761" s="2487"/>
      <c r="AB761" s="2487"/>
      <c r="AC761" s="2487"/>
      <c r="AD761" s="2487"/>
      <c r="AE761" s="2487"/>
      <c r="AF761" s="2487"/>
      <c r="AG761" s="2487"/>
      <c r="AH761" s="2487"/>
      <c r="AI761" s="2487"/>
      <c r="AJ761" s="2487"/>
      <c r="AK761" s="2487"/>
      <c r="AL761" s="2487"/>
      <c r="AM761" s="2487"/>
    </row>
    <row r="762" spans="1:39" ht="15.75" customHeight="1" x14ac:dyDescent="0.25">
      <c r="A762" s="2487"/>
      <c r="B762" s="2487"/>
      <c r="C762" s="2487"/>
      <c r="D762" s="2487"/>
      <c r="E762" s="2487"/>
      <c r="F762" s="2487"/>
      <c r="G762" s="2487"/>
      <c r="H762" s="2487"/>
      <c r="I762" s="2487"/>
      <c r="J762" s="2487"/>
      <c r="K762" s="2487"/>
      <c r="L762" s="2487"/>
      <c r="M762" s="2487"/>
      <c r="N762" s="2487"/>
      <c r="O762" s="2487"/>
      <c r="P762" s="2487"/>
      <c r="Q762" s="2487"/>
      <c r="R762" s="2487"/>
      <c r="S762" s="2487"/>
      <c r="T762" s="2487"/>
      <c r="U762" s="2487"/>
      <c r="V762" s="2487"/>
      <c r="W762" s="2487"/>
      <c r="X762" s="2487"/>
      <c r="Y762" s="2487"/>
      <c r="Z762" s="2487"/>
      <c r="AA762" s="2487"/>
      <c r="AB762" s="2487"/>
      <c r="AC762" s="2487"/>
      <c r="AD762" s="2487"/>
      <c r="AE762" s="2487"/>
      <c r="AF762" s="2487"/>
      <c r="AG762" s="2487"/>
      <c r="AH762" s="2487"/>
      <c r="AI762" s="2487"/>
      <c r="AJ762" s="2487"/>
      <c r="AK762" s="2487"/>
      <c r="AL762" s="2487"/>
      <c r="AM762" s="2487"/>
    </row>
    <row r="763" spans="1:39" ht="15.75" customHeight="1" x14ac:dyDescent="0.25">
      <c r="A763" s="2487"/>
      <c r="B763" s="2487"/>
      <c r="C763" s="2487"/>
      <c r="D763" s="2487"/>
      <c r="E763" s="2487"/>
      <c r="F763" s="2487"/>
      <c r="G763" s="2487"/>
      <c r="H763" s="2487"/>
      <c r="I763" s="2487"/>
      <c r="J763" s="2487"/>
      <c r="K763" s="2487"/>
      <c r="L763" s="2487"/>
      <c r="M763" s="2487"/>
      <c r="N763" s="2487"/>
      <c r="O763" s="2487"/>
      <c r="P763" s="2487"/>
      <c r="Q763" s="2487"/>
      <c r="R763" s="2487"/>
      <c r="S763" s="2487"/>
      <c r="T763" s="2487"/>
      <c r="U763" s="2487"/>
      <c r="V763" s="2487"/>
      <c r="W763" s="2487"/>
      <c r="X763" s="2487"/>
      <c r="Y763" s="2487"/>
      <c r="Z763" s="2487"/>
      <c r="AA763" s="2487"/>
      <c r="AB763" s="2487"/>
      <c r="AC763" s="2487"/>
      <c r="AD763" s="2487"/>
      <c r="AE763" s="2487"/>
      <c r="AF763" s="2487"/>
      <c r="AG763" s="2487"/>
      <c r="AH763" s="2487"/>
      <c r="AI763" s="2487"/>
      <c r="AJ763" s="2487"/>
      <c r="AK763" s="2487"/>
      <c r="AL763" s="2487"/>
      <c r="AM763" s="2487"/>
    </row>
    <row r="764" spans="1:39" ht="15.75" customHeight="1" x14ac:dyDescent="0.25">
      <c r="A764" s="2487"/>
      <c r="B764" s="2487"/>
      <c r="C764" s="2487"/>
      <c r="D764" s="2487"/>
      <c r="E764" s="2487"/>
      <c r="F764" s="2487"/>
      <c r="G764" s="2487"/>
      <c r="H764" s="2487"/>
      <c r="I764" s="2487"/>
      <c r="J764" s="2487"/>
      <c r="K764" s="2487"/>
      <c r="L764" s="2487"/>
      <c r="M764" s="2487"/>
      <c r="N764" s="2487"/>
      <c r="O764" s="2487"/>
      <c r="P764" s="2487"/>
      <c r="Q764" s="2487"/>
      <c r="R764" s="2487"/>
      <c r="S764" s="2487"/>
      <c r="T764" s="2487"/>
      <c r="U764" s="2487"/>
      <c r="V764" s="2487"/>
      <c r="W764" s="2487"/>
      <c r="X764" s="2487"/>
      <c r="Y764" s="2487"/>
      <c r="Z764" s="2487"/>
      <c r="AA764" s="2487"/>
      <c r="AB764" s="2487"/>
      <c r="AC764" s="2487"/>
      <c r="AD764" s="2487"/>
      <c r="AE764" s="2487"/>
      <c r="AF764" s="2487"/>
      <c r="AG764" s="2487"/>
      <c r="AH764" s="2487"/>
      <c r="AI764" s="2487"/>
      <c r="AJ764" s="2487"/>
      <c r="AK764" s="2487"/>
      <c r="AL764" s="2487"/>
      <c r="AM764" s="2487"/>
    </row>
    <row r="765" spans="1:39" ht="15.75" customHeight="1" x14ac:dyDescent="0.25">
      <c r="A765" s="2487"/>
      <c r="B765" s="2487"/>
      <c r="C765" s="2487"/>
      <c r="D765" s="2487"/>
      <c r="E765" s="2487"/>
      <c r="F765" s="2487"/>
      <c r="G765" s="2487"/>
      <c r="H765" s="2487"/>
      <c r="I765" s="2487"/>
      <c r="J765" s="2487"/>
      <c r="K765" s="2487"/>
      <c r="L765" s="2487"/>
      <c r="M765" s="2487"/>
      <c r="N765" s="2487"/>
      <c r="O765" s="2487"/>
      <c r="P765" s="2487"/>
      <c r="Q765" s="2487"/>
      <c r="R765" s="2487"/>
      <c r="S765" s="2487"/>
      <c r="T765" s="2487"/>
      <c r="U765" s="2487"/>
      <c r="V765" s="2487"/>
      <c r="W765" s="2487"/>
      <c r="X765" s="2487"/>
      <c r="Y765" s="2487"/>
      <c r="Z765" s="2487"/>
      <c r="AA765" s="2487"/>
      <c r="AB765" s="2487"/>
      <c r="AC765" s="2487"/>
      <c r="AD765" s="2487"/>
      <c r="AE765" s="2487"/>
      <c r="AF765" s="2487"/>
      <c r="AG765" s="2487"/>
      <c r="AH765" s="2487"/>
      <c r="AI765" s="2487"/>
      <c r="AJ765" s="2487"/>
      <c r="AK765" s="2487"/>
      <c r="AL765" s="2487"/>
      <c r="AM765" s="2487"/>
    </row>
    <row r="766" spans="1:39" ht="15.75" customHeight="1" x14ac:dyDescent="0.25">
      <c r="A766" s="2487"/>
      <c r="B766" s="2487"/>
      <c r="C766" s="2487"/>
      <c r="D766" s="2487"/>
      <c r="E766" s="2487"/>
      <c r="F766" s="2487"/>
      <c r="G766" s="2487"/>
      <c r="H766" s="2487"/>
      <c r="I766" s="2487"/>
      <c r="J766" s="2487"/>
      <c r="K766" s="2487"/>
      <c r="L766" s="2487"/>
      <c r="M766" s="2487"/>
      <c r="N766" s="2487"/>
      <c r="O766" s="2487"/>
      <c r="P766" s="2487"/>
      <c r="Q766" s="2487"/>
      <c r="R766" s="2487"/>
      <c r="S766" s="2487"/>
      <c r="T766" s="2487"/>
      <c r="U766" s="2487"/>
      <c r="V766" s="2487"/>
      <c r="W766" s="2487"/>
      <c r="X766" s="2487"/>
      <c r="Y766" s="2487"/>
      <c r="Z766" s="2487"/>
      <c r="AA766" s="2487"/>
      <c r="AB766" s="2487"/>
      <c r="AC766" s="2487"/>
      <c r="AD766" s="2487"/>
      <c r="AE766" s="2487"/>
      <c r="AF766" s="2487"/>
      <c r="AG766" s="2487"/>
      <c r="AH766" s="2487"/>
      <c r="AI766" s="2487"/>
      <c r="AJ766" s="2487"/>
      <c r="AK766" s="2487"/>
      <c r="AL766" s="2487"/>
      <c r="AM766" s="2487"/>
    </row>
    <row r="767" spans="1:39" ht="15.75" customHeight="1" x14ac:dyDescent="0.25">
      <c r="A767" s="2487"/>
      <c r="B767" s="2487"/>
      <c r="C767" s="2487"/>
      <c r="D767" s="2487"/>
      <c r="E767" s="2487"/>
      <c r="F767" s="2487"/>
      <c r="G767" s="2487"/>
      <c r="H767" s="2487"/>
      <c r="I767" s="2487"/>
      <c r="J767" s="2487"/>
      <c r="K767" s="2487"/>
      <c r="L767" s="2487"/>
      <c r="M767" s="2487"/>
      <c r="N767" s="2487"/>
      <c r="O767" s="2487"/>
      <c r="P767" s="2487"/>
      <c r="Q767" s="2487"/>
      <c r="R767" s="2487"/>
      <c r="S767" s="2487"/>
      <c r="T767" s="2487"/>
      <c r="U767" s="2487"/>
      <c r="V767" s="2487"/>
      <c r="W767" s="2487"/>
      <c r="X767" s="2487"/>
      <c r="Y767" s="2487"/>
      <c r="Z767" s="2487"/>
      <c r="AA767" s="2487"/>
      <c r="AB767" s="2487"/>
      <c r="AC767" s="2487"/>
      <c r="AD767" s="2487"/>
      <c r="AE767" s="2487"/>
      <c r="AF767" s="2487"/>
      <c r="AG767" s="2487"/>
      <c r="AH767" s="2487"/>
      <c r="AI767" s="2487"/>
      <c r="AJ767" s="2487"/>
      <c r="AK767" s="2487"/>
      <c r="AL767" s="2487"/>
      <c r="AM767" s="2487"/>
    </row>
    <row r="768" spans="1:39" ht="15.75" customHeight="1" x14ac:dyDescent="0.25">
      <c r="A768" s="2487"/>
      <c r="B768" s="2487"/>
      <c r="C768" s="2487"/>
      <c r="D768" s="2487"/>
      <c r="E768" s="2487"/>
      <c r="F768" s="2487"/>
      <c r="G768" s="2487"/>
      <c r="H768" s="2487"/>
      <c r="I768" s="2487"/>
      <c r="J768" s="2487"/>
      <c r="K768" s="2487"/>
      <c r="L768" s="2487"/>
      <c r="M768" s="2487"/>
      <c r="N768" s="2487"/>
      <c r="O768" s="2487"/>
      <c r="P768" s="2487"/>
      <c r="Q768" s="2487"/>
      <c r="R768" s="2487"/>
      <c r="S768" s="2487"/>
      <c r="T768" s="2487"/>
      <c r="U768" s="2487"/>
      <c r="V768" s="2487"/>
      <c r="W768" s="2487"/>
      <c r="X768" s="2487"/>
      <c r="Y768" s="2487"/>
      <c r="Z768" s="2487"/>
      <c r="AA768" s="2487"/>
      <c r="AB768" s="2487"/>
      <c r="AC768" s="2487"/>
      <c r="AD768" s="2487"/>
      <c r="AE768" s="2487"/>
      <c r="AF768" s="2487"/>
      <c r="AG768" s="2487"/>
      <c r="AH768" s="2487"/>
      <c r="AI768" s="2487"/>
      <c r="AJ768" s="2487"/>
      <c r="AK768" s="2487"/>
      <c r="AL768" s="2487"/>
      <c r="AM768" s="2487"/>
    </row>
    <row r="769" spans="1:39" ht="15.75" customHeight="1" x14ac:dyDescent="0.25">
      <c r="A769" s="2487"/>
      <c r="B769" s="2487"/>
      <c r="C769" s="2487"/>
      <c r="D769" s="2487"/>
      <c r="E769" s="2487"/>
      <c r="F769" s="2487"/>
      <c r="G769" s="2487"/>
      <c r="H769" s="2487"/>
      <c r="I769" s="2487"/>
      <c r="J769" s="2487"/>
      <c r="K769" s="2487"/>
      <c r="L769" s="2487"/>
      <c r="M769" s="2487"/>
      <c r="N769" s="2487"/>
      <c r="O769" s="2487"/>
      <c r="P769" s="2487"/>
      <c r="Q769" s="2487"/>
      <c r="R769" s="2487"/>
      <c r="S769" s="2487"/>
      <c r="T769" s="2487"/>
      <c r="U769" s="2487"/>
      <c r="V769" s="2487"/>
      <c r="W769" s="2487"/>
      <c r="X769" s="2487"/>
      <c r="Y769" s="2487"/>
      <c r="Z769" s="2487"/>
      <c r="AA769" s="2487"/>
      <c r="AB769" s="2487"/>
      <c r="AC769" s="2487"/>
      <c r="AD769" s="2487"/>
      <c r="AE769" s="2487"/>
      <c r="AF769" s="2487"/>
      <c r="AG769" s="2487"/>
      <c r="AH769" s="2487"/>
      <c r="AI769" s="2487"/>
      <c r="AJ769" s="2487"/>
      <c r="AK769" s="2487"/>
      <c r="AL769" s="2487"/>
      <c r="AM769" s="2487"/>
    </row>
    <row r="770" spans="1:39" ht="15.75" customHeight="1" x14ac:dyDescent="0.25">
      <c r="A770" s="2487"/>
      <c r="B770" s="2487"/>
      <c r="C770" s="2487"/>
      <c r="D770" s="2487"/>
      <c r="E770" s="2487"/>
      <c r="F770" s="2487"/>
      <c r="G770" s="2487"/>
      <c r="H770" s="2487"/>
      <c r="I770" s="2487"/>
      <c r="J770" s="2487"/>
      <c r="K770" s="2487"/>
      <c r="L770" s="2487"/>
      <c r="M770" s="2487"/>
      <c r="N770" s="2487"/>
      <c r="O770" s="2487"/>
      <c r="P770" s="2487"/>
      <c r="Q770" s="2487"/>
      <c r="R770" s="2487"/>
      <c r="S770" s="2487"/>
      <c r="T770" s="2487"/>
      <c r="U770" s="2487"/>
      <c r="V770" s="2487"/>
      <c r="W770" s="2487"/>
      <c r="X770" s="2487"/>
      <c r="Y770" s="2487"/>
      <c r="Z770" s="2487"/>
      <c r="AA770" s="2487"/>
      <c r="AB770" s="2487"/>
      <c r="AC770" s="2487"/>
      <c r="AD770" s="2487"/>
      <c r="AE770" s="2487"/>
      <c r="AF770" s="2487"/>
      <c r="AG770" s="2487"/>
      <c r="AH770" s="2487"/>
      <c r="AI770" s="2487"/>
      <c r="AJ770" s="2487"/>
      <c r="AK770" s="2487"/>
      <c r="AL770" s="2487"/>
      <c r="AM770" s="2487"/>
    </row>
    <row r="771" spans="1:39" ht="15.75" customHeight="1" x14ac:dyDescent="0.25">
      <c r="A771" s="2487"/>
      <c r="B771" s="2487"/>
      <c r="C771" s="2487"/>
      <c r="D771" s="2487"/>
      <c r="E771" s="2487"/>
      <c r="F771" s="2487"/>
      <c r="G771" s="2487"/>
      <c r="H771" s="2487"/>
      <c r="I771" s="2487"/>
      <c r="J771" s="2487"/>
      <c r="K771" s="2487"/>
      <c r="L771" s="2487"/>
      <c r="M771" s="2487"/>
      <c r="N771" s="2487"/>
      <c r="O771" s="2487"/>
      <c r="P771" s="2487"/>
      <c r="Q771" s="2487"/>
      <c r="R771" s="2487"/>
      <c r="S771" s="2487"/>
      <c r="T771" s="2487"/>
      <c r="U771" s="2487"/>
      <c r="V771" s="2487"/>
      <c r="W771" s="2487"/>
      <c r="X771" s="2487"/>
      <c r="Y771" s="2487"/>
      <c r="Z771" s="2487"/>
      <c r="AA771" s="2487"/>
      <c r="AB771" s="2487"/>
      <c r="AC771" s="2487"/>
      <c r="AD771" s="2487"/>
      <c r="AE771" s="2487"/>
      <c r="AF771" s="2487"/>
      <c r="AG771" s="2487"/>
      <c r="AH771" s="2487"/>
      <c r="AI771" s="2487"/>
      <c r="AJ771" s="2487"/>
      <c r="AK771" s="2487"/>
      <c r="AL771" s="2487"/>
      <c r="AM771" s="2487"/>
    </row>
    <row r="772" spans="1:39" ht="15.75" customHeight="1" x14ac:dyDescent="0.25">
      <c r="A772" s="2487"/>
      <c r="B772" s="2487"/>
      <c r="C772" s="2487"/>
      <c r="D772" s="2487"/>
      <c r="E772" s="2487"/>
      <c r="F772" s="2487"/>
      <c r="G772" s="2487"/>
      <c r="H772" s="2487"/>
      <c r="I772" s="2487"/>
      <c r="J772" s="2487"/>
      <c r="K772" s="2487"/>
      <c r="L772" s="2487"/>
      <c r="M772" s="2487"/>
      <c r="N772" s="2487"/>
      <c r="O772" s="2487"/>
      <c r="P772" s="2487"/>
      <c r="Q772" s="2487"/>
      <c r="R772" s="2487"/>
      <c r="S772" s="2487"/>
      <c r="T772" s="2487"/>
      <c r="U772" s="2487"/>
      <c r="V772" s="2487"/>
      <c r="W772" s="2487"/>
      <c r="X772" s="2487"/>
      <c r="Y772" s="2487"/>
      <c r="Z772" s="2487"/>
      <c r="AA772" s="2487"/>
      <c r="AB772" s="2487"/>
      <c r="AC772" s="2487"/>
      <c r="AD772" s="2487"/>
      <c r="AE772" s="2487"/>
      <c r="AF772" s="2487"/>
      <c r="AG772" s="2487"/>
      <c r="AH772" s="2487"/>
      <c r="AI772" s="2487"/>
      <c r="AJ772" s="2487"/>
      <c r="AK772" s="2487"/>
      <c r="AL772" s="2487"/>
      <c r="AM772" s="2487"/>
    </row>
    <row r="773" spans="1:39" ht="15.75" customHeight="1" x14ac:dyDescent="0.25">
      <c r="A773" s="2487"/>
      <c r="B773" s="2487"/>
      <c r="C773" s="2487"/>
      <c r="D773" s="2487"/>
      <c r="E773" s="2487"/>
      <c r="F773" s="2487"/>
      <c r="G773" s="2487"/>
      <c r="H773" s="2487"/>
      <c r="I773" s="2487"/>
      <c r="J773" s="2487"/>
      <c r="K773" s="2487"/>
      <c r="L773" s="2487"/>
      <c r="M773" s="2487"/>
      <c r="N773" s="2487"/>
      <c r="O773" s="2487"/>
      <c r="P773" s="2487"/>
      <c r="Q773" s="2487"/>
      <c r="R773" s="2487"/>
      <c r="S773" s="2487"/>
      <c r="T773" s="2487"/>
      <c r="U773" s="2487"/>
      <c r="V773" s="2487"/>
      <c r="W773" s="2487"/>
      <c r="X773" s="2487"/>
      <c r="Y773" s="2487"/>
      <c r="Z773" s="2487"/>
      <c r="AA773" s="2487"/>
      <c r="AB773" s="2487"/>
      <c r="AC773" s="2487"/>
      <c r="AD773" s="2487"/>
      <c r="AE773" s="2487"/>
      <c r="AF773" s="2487"/>
      <c r="AG773" s="2487"/>
      <c r="AH773" s="2487"/>
      <c r="AI773" s="2487"/>
      <c r="AJ773" s="2487"/>
      <c r="AK773" s="2487"/>
      <c r="AL773" s="2487"/>
      <c r="AM773" s="2487"/>
    </row>
    <row r="774" spans="1:39" ht="15.75" customHeight="1" x14ac:dyDescent="0.25">
      <c r="A774" s="2487"/>
      <c r="B774" s="2487"/>
      <c r="C774" s="2487"/>
      <c r="D774" s="2487"/>
      <c r="E774" s="2487"/>
      <c r="F774" s="2487"/>
      <c r="G774" s="2487"/>
      <c r="H774" s="2487"/>
      <c r="I774" s="2487"/>
      <c r="J774" s="2487"/>
      <c r="K774" s="2487"/>
      <c r="L774" s="2487"/>
      <c r="M774" s="2487"/>
      <c r="N774" s="2487"/>
      <c r="O774" s="2487"/>
      <c r="P774" s="2487"/>
      <c r="Q774" s="2487"/>
      <c r="R774" s="2487"/>
      <c r="S774" s="2487"/>
      <c r="T774" s="2487"/>
      <c r="U774" s="2487"/>
      <c r="V774" s="2487"/>
      <c r="W774" s="2487"/>
      <c r="X774" s="2487"/>
      <c r="Y774" s="2487"/>
      <c r="Z774" s="2487"/>
      <c r="AA774" s="2487"/>
      <c r="AB774" s="2487"/>
      <c r="AC774" s="2487"/>
      <c r="AD774" s="2487"/>
      <c r="AE774" s="2487"/>
      <c r="AF774" s="2487"/>
      <c r="AG774" s="2487"/>
      <c r="AH774" s="2487"/>
      <c r="AI774" s="2487"/>
      <c r="AJ774" s="2487"/>
      <c r="AK774" s="2487"/>
      <c r="AL774" s="2487"/>
      <c r="AM774" s="2487"/>
    </row>
    <row r="775" spans="1:39" ht="15.75" customHeight="1" x14ac:dyDescent="0.25">
      <c r="A775" s="2487"/>
      <c r="B775" s="2487"/>
      <c r="C775" s="2487"/>
      <c r="D775" s="2487"/>
      <c r="E775" s="2487"/>
      <c r="F775" s="2487"/>
      <c r="G775" s="2487"/>
      <c r="H775" s="2487"/>
      <c r="I775" s="2487"/>
      <c r="J775" s="2487"/>
      <c r="K775" s="2487"/>
      <c r="L775" s="2487"/>
      <c r="M775" s="2487"/>
      <c r="N775" s="2487"/>
      <c r="O775" s="2487"/>
      <c r="P775" s="2487"/>
      <c r="Q775" s="2487"/>
      <c r="R775" s="2487"/>
      <c r="S775" s="2487"/>
      <c r="T775" s="2487"/>
      <c r="U775" s="2487"/>
      <c r="V775" s="2487"/>
      <c r="W775" s="2487"/>
      <c r="X775" s="2487"/>
      <c r="Y775" s="2487"/>
      <c r="Z775" s="2487"/>
      <c r="AA775" s="2487"/>
      <c r="AB775" s="2487"/>
      <c r="AC775" s="2487"/>
      <c r="AD775" s="2487"/>
      <c r="AE775" s="2487"/>
      <c r="AF775" s="2487"/>
      <c r="AG775" s="2487"/>
      <c r="AH775" s="2487"/>
      <c r="AI775" s="2487"/>
      <c r="AJ775" s="2487"/>
      <c r="AK775" s="2487"/>
      <c r="AL775" s="2487"/>
      <c r="AM775" s="2487"/>
    </row>
    <row r="776" spans="1:39" ht="15.75" customHeight="1" x14ac:dyDescent="0.25">
      <c r="A776" s="2487"/>
      <c r="B776" s="2487"/>
      <c r="C776" s="2487"/>
      <c r="D776" s="2487"/>
      <c r="E776" s="2487"/>
      <c r="F776" s="2487"/>
      <c r="G776" s="2487"/>
      <c r="H776" s="2487"/>
      <c r="I776" s="2487"/>
      <c r="J776" s="2487"/>
      <c r="K776" s="2487"/>
      <c r="L776" s="2487"/>
      <c r="M776" s="2487"/>
      <c r="N776" s="2487"/>
      <c r="O776" s="2487"/>
      <c r="P776" s="2487"/>
      <c r="Q776" s="2487"/>
      <c r="R776" s="2487"/>
      <c r="S776" s="2487"/>
      <c r="T776" s="2487"/>
      <c r="U776" s="2487"/>
      <c r="V776" s="2487"/>
      <c r="W776" s="2487"/>
      <c r="X776" s="2487"/>
      <c r="Y776" s="2487"/>
      <c r="Z776" s="2487"/>
      <c r="AA776" s="2487"/>
      <c r="AB776" s="2487"/>
      <c r="AC776" s="2487"/>
      <c r="AD776" s="2487"/>
      <c r="AE776" s="2487"/>
      <c r="AF776" s="2487"/>
      <c r="AG776" s="2487"/>
      <c r="AH776" s="2487"/>
      <c r="AI776" s="2487"/>
      <c r="AJ776" s="2487"/>
      <c r="AK776" s="2487"/>
      <c r="AL776" s="2487"/>
      <c r="AM776" s="2487"/>
    </row>
    <row r="777" spans="1:39" ht="15.75" customHeight="1" x14ac:dyDescent="0.25">
      <c r="A777" s="2487"/>
      <c r="B777" s="2487"/>
      <c r="C777" s="2487"/>
      <c r="D777" s="2487"/>
      <c r="E777" s="2487"/>
      <c r="F777" s="2487"/>
      <c r="G777" s="2487"/>
      <c r="H777" s="2487"/>
      <c r="I777" s="2487"/>
      <c r="J777" s="2487"/>
      <c r="K777" s="2487"/>
      <c r="L777" s="2487"/>
      <c r="M777" s="2487"/>
      <c r="N777" s="2487"/>
      <c r="O777" s="2487"/>
      <c r="P777" s="2487"/>
      <c r="Q777" s="2487"/>
      <c r="R777" s="2487"/>
      <c r="S777" s="2487"/>
      <c r="T777" s="2487"/>
      <c r="U777" s="2487"/>
      <c r="V777" s="2487"/>
      <c r="W777" s="2487"/>
      <c r="X777" s="2487"/>
      <c r="Y777" s="2487"/>
      <c r="Z777" s="2487"/>
      <c r="AA777" s="2487"/>
      <c r="AB777" s="2487"/>
      <c r="AC777" s="2487"/>
      <c r="AD777" s="2487"/>
      <c r="AE777" s="2487"/>
      <c r="AF777" s="2487"/>
      <c r="AG777" s="2487"/>
      <c r="AH777" s="2487"/>
      <c r="AI777" s="2487"/>
      <c r="AJ777" s="2487"/>
      <c r="AK777" s="2487"/>
      <c r="AL777" s="2487"/>
      <c r="AM777" s="2487"/>
    </row>
    <row r="778" spans="1:39" ht="15.75" customHeight="1" x14ac:dyDescent="0.25">
      <c r="A778" s="2487"/>
      <c r="B778" s="2487"/>
      <c r="C778" s="2487"/>
      <c r="D778" s="2487"/>
      <c r="E778" s="2487"/>
      <c r="F778" s="2487"/>
      <c r="G778" s="2487"/>
      <c r="H778" s="2487"/>
      <c r="I778" s="2487"/>
      <c r="J778" s="2487"/>
      <c r="K778" s="2487"/>
      <c r="L778" s="2487"/>
      <c r="M778" s="2487"/>
      <c r="N778" s="2487"/>
      <c r="O778" s="2487"/>
      <c r="P778" s="2487"/>
      <c r="Q778" s="2487"/>
      <c r="R778" s="2487"/>
      <c r="S778" s="2487"/>
      <c r="T778" s="2487"/>
      <c r="U778" s="2487"/>
      <c r="V778" s="2487"/>
      <c r="W778" s="2487"/>
      <c r="X778" s="2487"/>
      <c r="Y778" s="2487"/>
      <c r="Z778" s="2487"/>
      <c r="AA778" s="2487"/>
      <c r="AB778" s="2487"/>
      <c r="AC778" s="2487"/>
      <c r="AD778" s="2487"/>
      <c r="AE778" s="2487"/>
      <c r="AF778" s="2487"/>
      <c r="AG778" s="2487"/>
      <c r="AH778" s="2487"/>
      <c r="AI778" s="2487"/>
      <c r="AJ778" s="2487"/>
      <c r="AK778" s="2487"/>
      <c r="AL778" s="2487"/>
      <c r="AM778" s="2487"/>
    </row>
    <row r="779" spans="1:39" ht="15.75" customHeight="1" x14ac:dyDescent="0.25">
      <c r="A779" s="2487"/>
      <c r="B779" s="2487"/>
      <c r="C779" s="2487"/>
      <c r="D779" s="2487"/>
      <c r="E779" s="2487"/>
      <c r="F779" s="2487"/>
      <c r="G779" s="2487"/>
      <c r="H779" s="2487"/>
      <c r="I779" s="2487"/>
      <c r="J779" s="2487"/>
      <c r="K779" s="2487"/>
      <c r="L779" s="2487"/>
      <c r="M779" s="2487"/>
      <c r="N779" s="2487"/>
      <c r="O779" s="2487"/>
      <c r="P779" s="2487"/>
      <c r="Q779" s="2487"/>
      <c r="R779" s="2487"/>
      <c r="S779" s="2487"/>
      <c r="T779" s="2487"/>
      <c r="U779" s="2487"/>
      <c r="V779" s="2487"/>
      <c r="W779" s="2487"/>
      <c r="X779" s="2487"/>
      <c r="Y779" s="2487"/>
      <c r="Z779" s="2487"/>
      <c r="AA779" s="2487"/>
      <c r="AB779" s="2487"/>
      <c r="AC779" s="2487"/>
      <c r="AD779" s="2487"/>
      <c r="AE779" s="2487"/>
      <c r="AF779" s="2487"/>
      <c r="AG779" s="2487"/>
      <c r="AH779" s="2487"/>
      <c r="AI779" s="2487"/>
      <c r="AJ779" s="2487"/>
      <c r="AK779" s="2487"/>
      <c r="AL779" s="2487"/>
      <c r="AM779" s="2487"/>
    </row>
    <row r="780" spans="1:39" ht="15.75" customHeight="1" x14ac:dyDescent="0.25">
      <c r="A780" s="2487"/>
      <c r="B780" s="2487"/>
      <c r="C780" s="2487"/>
      <c r="D780" s="2487"/>
      <c r="E780" s="2487"/>
      <c r="F780" s="2487"/>
      <c r="G780" s="2487"/>
      <c r="H780" s="2487"/>
      <c r="I780" s="2487"/>
      <c r="J780" s="2487"/>
      <c r="K780" s="2487"/>
      <c r="L780" s="2487"/>
      <c r="M780" s="2487"/>
      <c r="N780" s="2487"/>
      <c r="O780" s="2487"/>
      <c r="P780" s="2487"/>
      <c r="Q780" s="2487"/>
      <c r="R780" s="2487"/>
      <c r="S780" s="2487"/>
      <c r="T780" s="2487"/>
      <c r="U780" s="2487"/>
      <c r="V780" s="2487"/>
      <c r="W780" s="2487"/>
      <c r="X780" s="2487"/>
      <c r="Y780" s="2487"/>
      <c r="Z780" s="2487"/>
      <c r="AA780" s="2487"/>
      <c r="AB780" s="2487"/>
      <c r="AC780" s="2487"/>
      <c r="AD780" s="2487"/>
      <c r="AE780" s="2487"/>
      <c r="AF780" s="2487"/>
      <c r="AG780" s="2487"/>
      <c r="AH780" s="2487"/>
      <c r="AI780" s="2487"/>
      <c r="AJ780" s="2487"/>
      <c r="AK780" s="2487"/>
      <c r="AL780" s="2487"/>
      <c r="AM780" s="2487"/>
    </row>
    <row r="781" spans="1:39" ht="15.75" customHeight="1" x14ac:dyDescent="0.25">
      <c r="A781" s="2487"/>
      <c r="B781" s="2487"/>
      <c r="C781" s="2487"/>
      <c r="D781" s="2487"/>
      <c r="E781" s="2487"/>
      <c r="F781" s="2487"/>
      <c r="G781" s="2487"/>
      <c r="H781" s="2487"/>
      <c r="I781" s="2487"/>
      <c r="J781" s="2487"/>
      <c r="K781" s="2487"/>
      <c r="L781" s="2487"/>
      <c r="M781" s="2487"/>
      <c r="N781" s="2487"/>
      <c r="O781" s="2487"/>
      <c r="P781" s="2487"/>
      <c r="Q781" s="2487"/>
      <c r="R781" s="2487"/>
      <c r="S781" s="2487"/>
      <c r="T781" s="2487"/>
      <c r="U781" s="2487"/>
      <c r="V781" s="2487"/>
      <c r="W781" s="2487"/>
      <c r="X781" s="2487"/>
      <c r="Y781" s="2487"/>
      <c r="Z781" s="2487"/>
      <c r="AA781" s="2487"/>
      <c r="AB781" s="2487"/>
      <c r="AC781" s="2487"/>
      <c r="AD781" s="2487"/>
      <c r="AE781" s="2487"/>
      <c r="AF781" s="2487"/>
      <c r="AG781" s="2487"/>
      <c r="AH781" s="2487"/>
      <c r="AI781" s="2487"/>
      <c r="AJ781" s="2487"/>
      <c r="AK781" s="2487"/>
      <c r="AL781" s="2487"/>
      <c r="AM781" s="2487"/>
    </row>
    <row r="782" spans="1:39" ht="15.75" customHeight="1" x14ac:dyDescent="0.25">
      <c r="A782" s="2487"/>
      <c r="B782" s="2487"/>
      <c r="C782" s="2487"/>
      <c r="D782" s="2487"/>
      <c r="E782" s="2487"/>
      <c r="F782" s="2487"/>
      <c r="G782" s="2487"/>
      <c r="H782" s="2487"/>
      <c r="I782" s="2487"/>
      <c r="J782" s="2487"/>
      <c r="K782" s="2487"/>
      <c r="L782" s="2487"/>
      <c r="M782" s="2487"/>
      <c r="N782" s="2487"/>
      <c r="O782" s="2487"/>
      <c r="P782" s="2487"/>
      <c r="Q782" s="2487"/>
      <c r="R782" s="2487"/>
      <c r="S782" s="2487"/>
      <c r="T782" s="2487"/>
      <c r="U782" s="2487"/>
      <c r="V782" s="2487"/>
      <c r="W782" s="2487"/>
      <c r="X782" s="2487"/>
      <c r="Y782" s="2487"/>
      <c r="Z782" s="2487"/>
      <c r="AA782" s="2487"/>
      <c r="AB782" s="2487"/>
      <c r="AC782" s="2487"/>
      <c r="AD782" s="2487"/>
      <c r="AE782" s="2487"/>
      <c r="AF782" s="2487"/>
      <c r="AG782" s="2487"/>
      <c r="AH782" s="2487"/>
      <c r="AI782" s="2487"/>
      <c r="AJ782" s="2487"/>
      <c r="AK782" s="2487"/>
      <c r="AL782" s="2487"/>
      <c r="AM782" s="2487"/>
    </row>
    <row r="783" spans="1:39" ht="15.75" customHeight="1" x14ac:dyDescent="0.25">
      <c r="A783" s="2487"/>
      <c r="B783" s="2487"/>
      <c r="C783" s="2487"/>
      <c r="D783" s="2487"/>
      <c r="E783" s="2487"/>
      <c r="F783" s="2487"/>
      <c r="G783" s="2487"/>
      <c r="H783" s="2487"/>
      <c r="I783" s="2487"/>
      <c r="J783" s="2487"/>
      <c r="K783" s="2487"/>
      <c r="L783" s="2487"/>
      <c r="M783" s="2487"/>
      <c r="N783" s="2487"/>
      <c r="O783" s="2487"/>
      <c r="P783" s="2487"/>
      <c r="Q783" s="2487"/>
      <c r="R783" s="2487"/>
      <c r="S783" s="2487"/>
      <c r="T783" s="2487"/>
      <c r="U783" s="2487"/>
      <c r="V783" s="2487"/>
      <c r="W783" s="2487"/>
      <c r="X783" s="2487"/>
      <c r="Y783" s="2487"/>
      <c r="Z783" s="2487"/>
      <c r="AA783" s="2487"/>
      <c r="AB783" s="2487"/>
      <c r="AC783" s="2487"/>
      <c r="AD783" s="2487"/>
      <c r="AE783" s="2487"/>
      <c r="AF783" s="2487"/>
      <c r="AG783" s="2487"/>
      <c r="AH783" s="2487"/>
      <c r="AI783" s="2487"/>
      <c r="AJ783" s="2487"/>
      <c r="AK783" s="2487"/>
      <c r="AL783" s="2487"/>
      <c r="AM783" s="2487"/>
    </row>
    <row r="784" spans="1:39" ht="15.75" customHeight="1" x14ac:dyDescent="0.25">
      <c r="A784" s="2487"/>
      <c r="B784" s="2487"/>
      <c r="C784" s="2487"/>
      <c r="D784" s="2487"/>
      <c r="E784" s="2487"/>
      <c r="F784" s="2487"/>
      <c r="G784" s="2487"/>
      <c r="H784" s="2487"/>
      <c r="I784" s="2487"/>
      <c r="J784" s="2487"/>
      <c r="K784" s="2487"/>
      <c r="L784" s="2487"/>
      <c r="M784" s="2487"/>
      <c r="N784" s="2487"/>
      <c r="O784" s="2487"/>
      <c r="P784" s="2487"/>
      <c r="Q784" s="2487"/>
      <c r="R784" s="2487"/>
      <c r="S784" s="2487"/>
      <c r="T784" s="2487"/>
      <c r="U784" s="2487"/>
      <c r="V784" s="2487"/>
      <c r="W784" s="2487"/>
      <c r="X784" s="2487"/>
      <c r="Y784" s="2487"/>
      <c r="Z784" s="2487"/>
      <c r="AA784" s="2487"/>
      <c r="AB784" s="2487"/>
      <c r="AC784" s="2487"/>
      <c r="AD784" s="2487"/>
      <c r="AE784" s="2487"/>
      <c r="AF784" s="2487"/>
      <c r="AG784" s="2487"/>
      <c r="AH784" s="2487"/>
      <c r="AI784" s="2487"/>
      <c r="AJ784" s="2487"/>
      <c r="AK784" s="2487"/>
      <c r="AL784" s="2487"/>
      <c r="AM784" s="2487"/>
    </row>
    <row r="785" spans="1:39" ht="15.75" customHeight="1" x14ac:dyDescent="0.25">
      <c r="A785" s="2487"/>
      <c r="B785" s="2487"/>
      <c r="C785" s="2487"/>
      <c r="D785" s="2487"/>
      <c r="E785" s="2487"/>
      <c r="F785" s="2487"/>
      <c r="G785" s="2487"/>
      <c r="H785" s="2487"/>
      <c r="I785" s="2487"/>
      <c r="J785" s="2487"/>
      <c r="K785" s="2487"/>
      <c r="L785" s="2487"/>
      <c r="M785" s="2487"/>
      <c r="N785" s="2487"/>
      <c r="O785" s="2487"/>
      <c r="P785" s="2487"/>
      <c r="Q785" s="2487"/>
      <c r="R785" s="2487"/>
      <c r="S785" s="2487"/>
      <c r="T785" s="2487"/>
      <c r="U785" s="2487"/>
      <c r="V785" s="2487"/>
      <c r="W785" s="2487"/>
      <c r="X785" s="2487"/>
      <c r="Y785" s="2487"/>
      <c r="Z785" s="2487"/>
      <c r="AA785" s="2487"/>
      <c r="AB785" s="2487"/>
      <c r="AC785" s="2487"/>
      <c r="AD785" s="2487"/>
      <c r="AE785" s="2487"/>
      <c r="AF785" s="2487"/>
      <c r="AG785" s="2487"/>
      <c r="AH785" s="2487"/>
      <c r="AI785" s="2487"/>
      <c r="AJ785" s="2487"/>
      <c r="AK785" s="2487"/>
      <c r="AL785" s="2487"/>
      <c r="AM785" s="2487"/>
    </row>
    <row r="786" spans="1:39" ht="15.75" customHeight="1" x14ac:dyDescent="0.25">
      <c r="A786" s="2487"/>
      <c r="B786" s="2487"/>
      <c r="C786" s="2487"/>
      <c r="D786" s="2487"/>
      <c r="E786" s="2487"/>
      <c r="F786" s="2487"/>
      <c r="G786" s="2487"/>
      <c r="H786" s="2487"/>
      <c r="I786" s="2487"/>
      <c r="J786" s="2487"/>
      <c r="K786" s="2487"/>
      <c r="L786" s="2487"/>
      <c r="M786" s="2487"/>
      <c r="N786" s="2487"/>
      <c r="O786" s="2487"/>
      <c r="P786" s="2487"/>
      <c r="Q786" s="2487"/>
      <c r="R786" s="2487"/>
      <c r="S786" s="2487"/>
      <c r="T786" s="2487"/>
      <c r="U786" s="2487"/>
      <c r="V786" s="2487"/>
      <c r="W786" s="2487"/>
      <c r="X786" s="2487"/>
      <c r="Y786" s="2487"/>
      <c r="Z786" s="2487"/>
      <c r="AA786" s="2487"/>
      <c r="AB786" s="2487"/>
      <c r="AC786" s="2487"/>
      <c r="AD786" s="2487"/>
      <c r="AE786" s="2487"/>
      <c r="AF786" s="2487"/>
      <c r="AG786" s="2487"/>
      <c r="AH786" s="2487"/>
      <c r="AI786" s="2487"/>
      <c r="AJ786" s="2487"/>
      <c r="AK786" s="2487"/>
      <c r="AL786" s="2487"/>
      <c r="AM786" s="2487"/>
    </row>
    <row r="787" spans="1:39" ht="15.75" customHeight="1" x14ac:dyDescent="0.25">
      <c r="A787" s="2487"/>
      <c r="B787" s="2487"/>
      <c r="C787" s="2487"/>
      <c r="D787" s="2487"/>
      <c r="E787" s="2487"/>
      <c r="F787" s="2487"/>
      <c r="G787" s="2487"/>
      <c r="H787" s="2487"/>
      <c r="I787" s="2487"/>
      <c r="J787" s="2487"/>
      <c r="K787" s="2487"/>
      <c r="L787" s="2487"/>
      <c r="M787" s="2487"/>
      <c r="N787" s="2487"/>
      <c r="O787" s="2487"/>
      <c r="P787" s="2487"/>
      <c r="Q787" s="2487"/>
      <c r="R787" s="2487"/>
      <c r="S787" s="2487"/>
      <c r="T787" s="2487"/>
      <c r="U787" s="2487"/>
      <c r="V787" s="2487"/>
      <c r="W787" s="2487"/>
      <c r="X787" s="2487"/>
      <c r="Y787" s="2487"/>
      <c r="Z787" s="2487"/>
      <c r="AA787" s="2487"/>
      <c r="AB787" s="2487"/>
      <c r="AC787" s="2487"/>
      <c r="AD787" s="2487"/>
      <c r="AE787" s="2487"/>
      <c r="AF787" s="2487"/>
      <c r="AG787" s="2487"/>
      <c r="AH787" s="2487"/>
      <c r="AI787" s="2487"/>
      <c r="AJ787" s="2487"/>
      <c r="AK787" s="2487"/>
      <c r="AL787" s="2487"/>
      <c r="AM787" s="2487"/>
    </row>
    <row r="788" spans="1:39" ht="15.75" customHeight="1" x14ac:dyDescent="0.25">
      <c r="A788" s="2487"/>
      <c r="B788" s="2487"/>
      <c r="C788" s="2487"/>
      <c r="D788" s="2487"/>
      <c r="E788" s="2487"/>
      <c r="F788" s="2487"/>
      <c r="G788" s="2487"/>
      <c r="H788" s="2487"/>
      <c r="I788" s="2487"/>
      <c r="J788" s="2487"/>
      <c r="K788" s="2487"/>
      <c r="L788" s="2487"/>
      <c r="M788" s="2487"/>
      <c r="N788" s="2487"/>
      <c r="O788" s="2487"/>
      <c r="P788" s="2487"/>
      <c r="Q788" s="2487"/>
      <c r="R788" s="2487"/>
      <c r="S788" s="2487"/>
      <c r="T788" s="2487"/>
      <c r="U788" s="2487"/>
      <c r="V788" s="2487"/>
      <c r="W788" s="2487"/>
      <c r="X788" s="2487"/>
      <c r="Y788" s="2487"/>
      <c r="Z788" s="2487"/>
      <c r="AA788" s="2487"/>
      <c r="AB788" s="2487"/>
      <c r="AC788" s="2487"/>
      <c r="AD788" s="2487"/>
      <c r="AE788" s="2487"/>
      <c r="AF788" s="2487"/>
      <c r="AG788" s="2487"/>
      <c r="AH788" s="2487"/>
      <c r="AI788" s="2487"/>
      <c r="AJ788" s="2487"/>
      <c r="AK788" s="2487"/>
      <c r="AL788" s="2487"/>
      <c r="AM788" s="2487"/>
    </row>
    <row r="789" spans="1:39" ht="15.75" customHeight="1" x14ac:dyDescent="0.25">
      <c r="A789" s="2487"/>
      <c r="B789" s="2487"/>
      <c r="C789" s="2487"/>
      <c r="D789" s="2487"/>
      <c r="E789" s="2487"/>
      <c r="F789" s="2487"/>
      <c r="G789" s="2487"/>
      <c r="H789" s="2487"/>
      <c r="I789" s="2487"/>
      <c r="J789" s="2487"/>
      <c r="K789" s="2487"/>
      <c r="L789" s="2487"/>
      <c r="M789" s="2487"/>
      <c r="N789" s="2487"/>
      <c r="O789" s="2487"/>
      <c r="P789" s="2487"/>
      <c r="Q789" s="2487"/>
      <c r="R789" s="2487"/>
      <c r="S789" s="2487"/>
      <c r="T789" s="2487"/>
      <c r="U789" s="2487"/>
      <c r="V789" s="2487"/>
      <c r="W789" s="2487"/>
      <c r="X789" s="2487"/>
      <c r="Y789" s="2487"/>
      <c r="Z789" s="2487"/>
      <c r="AA789" s="2487"/>
      <c r="AB789" s="2487"/>
      <c r="AC789" s="2487"/>
      <c r="AD789" s="2487"/>
      <c r="AE789" s="2487"/>
      <c r="AF789" s="2487"/>
      <c r="AG789" s="2487"/>
      <c r="AH789" s="2487"/>
      <c r="AI789" s="2487"/>
      <c r="AJ789" s="2487"/>
      <c r="AK789" s="2487"/>
      <c r="AL789" s="2487"/>
      <c r="AM789" s="2487"/>
    </row>
    <row r="790" spans="1:39" ht="15.75" customHeight="1" x14ac:dyDescent="0.25">
      <c r="A790" s="2487"/>
      <c r="B790" s="2487"/>
      <c r="C790" s="2487"/>
      <c r="D790" s="2487"/>
      <c r="E790" s="2487"/>
      <c r="F790" s="2487"/>
      <c r="G790" s="2487"/>
      <c r="H790" s="2487"/>
      <c r="I790" s="2487"/>
      <c r="J790" s="2487"/>
      <c r="K790" s="2487"/>
      <c r="L790" s="2487"/>
      <c r="M790" s="2487"/>
      <c r="N790" s="2487"/>
      <c r="O790" s="2487"/>
      <c r="P790" s="2487"/>
      <c r="Q790" s="2487"/>
      <c r="R790" s="2487"/>
      <c r="S790" s="2487"/>
      <c r="T790" s="2487"/>
      <c r="U790" s="2487"/>
      <c r="V790" s="2487"/>
      <c r="W790" s="2487"/>
      <c r="X790" s="2487"/>
      <c r="Y790" s="2487"/>
      <c r="Z790" s="2487"/>
      <c r="AA790" s="2487"/>
      <c r="AB790" s="2487"/>
      <c r="AC790" s="2487"/>
      <c r="AD790" s="2487"/>
      <c r="AE790" s="2487"/>
      <c r="AF790" s="2487"/>
      <c r="AG790" s="2487"/>
      <c r="AH790" s="2487"/>
      <c r="AI790" s="2487"/>
      <c r="AJ790" s="2487"/>
      <c r="AK790" s="2487"/>
      <c r="AL790" s="2487"/>
      <c r="AM790" s="2487"/>
    </row>
    <row r="791" spans="1:39" ht="15.75" customHeight="1" x14ac:dyDescent="0.25">
      <c r="A791" s="2487"/>
      <c r="B791" s="2487"/>
      <c r="C791" s="2487"/>
      <c r="D791" s="2487"/>
      <c r="E791" s="2487"/>
      <c r="F791" s="2487"/>
      <c r="G791" s="2487"/>
      <c r="H791" s="2487"/>
      <c r="I791" s="2487"/>
      <c r="J791" s="2487"/>
      <c r="K791" s="2487"/>
      <c r="L791" s="2487"/>
      <c r="M791" s="2487"/>
      <c r="N791" s="2487"/>
      <c r="O791" s="2487"/>
      <c r="P791" s="2487"/>
      <c r="Q791" s="2487"/>
      <c r="R791" s="2487"/>
      <c r="S791" s="2487"/>
      <c r="T791" s="2487"/>
      <c r="U791" s="2487"/>
      <c r="V791" s="2487"/>
      <c r="W791" s="2487"/>
      <c r="X791" s="2487"/>
      <c r="Y791" s="2487"/>
      <c r="Z791" s="2487"/>
      <c r="AA791" s="2487"/>
      <c r="AB791" s="2487"/>
      <c r="AC791" s="2487"/>
      <c r="AD791" s="2487"/>
      <c r="AE791" s="2487"/>
      <c r="AF791" s="2487"/>
      <c r="AG791" s="2487"/>
      <c r="AH791" s="2487"/>
      <c r="AI791" s="2487"/>
      <c r="AJ791" s="2487"/>
      <c r="AK791" s="2487"/>
      <c r="AL791" s="2487"/>
      <c r="AM791" s="2487"/>
    </row>
    <row r="792" spans="1:39" ht="15.75" customHeight="1" x14ac:dyDescent="0.25">
      <c r="A792" s="2487"/>
      <c r="B792" s="2487"/>
      <c r="C792" s="2487"/>
      <c r="D792" s="2487"/>
      <c r="E792" s="2487"/>
      <c r="F792" s="2487"/>
      <c r="G792" s="2487"/>
      <c r="H792" s="2487"/>
      <c r="I792" s="2487"/>
      <c r="J792" s="2487"/>
      <c r="K792" s="2487"/>
      <c r="L792" s="2487"/>
      <c r="M792" s="2487"/>
      <c r="N792" s="2487"/>
      <c r="O792" s="2487"/>
      <c r="P792" s="2487"/>
      <c r="Q792" s="2487"/>
      <c r="R792" s="2487"/>
      <c r="S792" s="2487"/>
      <c r="T792" s="2487"/>
      <c r="U792" s="2487"/>
      <c r="V792" s="2487"/>
      <c r="W792" s="2487"/>
      <c r="X792" s="2487"/>
      <c r="Y792" s="2487"/>
      <c r="Z792" s="2487"/>
      <c r="AA792" s="2487"/>
      <c r="AB792" s="2487"/>
      <c r="AC792" s="2487"/>
      <c r="AD792" s="2487"/>
      <c r="AE792" s="2487"/>
      <c r="AF792" s="2487"/>
      <c r="AG792" s="2487"/>
      <c r="AH792" s="2487"/>
      <c r="AI792" s="2487"/>
      <c r="AJ792" s="2487"/>
      <c r="AK792" s="2487"/>
      <c r="AL792" s="2487"/>
      <c r="AM792" s="2487"/>
    </row>
    <row r="793" spans="1:39" ht="15.75" customHeight="1" x14ac:dyDescent="0.25">
      <c r="A793" s="2487"/>
      <c r="B793" s="2487"/>
      <c r="C793" s="2487"/>
      <c r="D793" s="2487"/>
      <c r="E793" s="2487"/>
      <c r="F793" s="2487"/>
      <c r="G793" s="2487"/>
      <c r="H793" s="2487"/>
      <c r="I793" s="2487"/>
      <c r="J793" s="2487"/>
      <c r="K793" s="2487"/>
      <c r="L793" s="2487"/>
      <c r="M793" s="2487"/>
      <c r="N793" s="2487"/>
      <c r="O793" s="2487"/>
      <c r="P793" s="2487"/>
      <c r="Q793" s="2487"/>
      <c r="R793" s="2487"/>
      <c r="S793" s="2487"/>
      <c r="T793" s="2487"/>
      <c r="U793" s="2487"/>
      <c r="V793" s="2487"/>
      <c r="W793" s="2487"/>
      <c r="X793" s="2487"/>
      <c r="Y793" s="2487"/>
      <c r="Z793" s="2487"/>
      <c r="AA793" s="2487"/>
      <c r="AB793" s="2487"/>
      <c r="AC793" s="2487"/>
      <c r="AD793" s="2487"/>
      <c r="AE793" s="2487"/>
      <c r="AF793" s="2487"/>
      <c r="AG793" s="2487"/>
      <c r="AH793" s="2487"/>
      <c r="AI793" s="2487"/>
      <c r="AJ793" s="2487"/>
      <c r="AK793" s="2487"/>
      <c r="AL793" s="2487"/>
      <c r="AM793" s="2487"/>
    </row>
    <row r="794" spans="1:39" ht="15.75" customHeight="1" x14ac:dyDescent="0.25">
      <c r="A794" s="2487"/>
      <c r="B794" s="2487"/>
      <c r="C794" s="2487"/>
      <c r="D794" s="2487"/>
      <c r="E794" s="2487"/>
      <c r="F794" s="2487"/>
      <c r="G794" s="2487"/>
      <c r="H794" s="2487"/>
      <c r="I794" s="2487"/>
      <c r="J794" s="2487"/>
      <c r="K794" s="2487"/>
      <c r="L794" s="2487"/>
      <c r="M794" s="2487"/>
      <c r="N794" s="2487"/>
      <c r="O794" s="2487"/>
      <c r="P794" s="2487"/>
      <c r="Q794" s="2487"/>
      <c r="R794" s="2487"/>
      <c r="S794" s="2487"/>
      <c r="T794" s="2487"/>
      <c r="U794" s="2487"/>
      <c r="V794" s="2487"/>
      <c r="W794" s="2487"/>
      <c r="X794" s="2487"/>
      <c r="Y794" s="2487"/>
      <c r="Z794" s="2487"/>
      <c r="AA794" s="2487"/>
      <c r="AB794" s="2487"/>
      <c r="AC794" s="2487"/>
      <c r="AD794" s="2487"/>
      <c r="AE794" s="2487"/>
      <c r="AF794" s="2487"/>
      <c r="AG794" s="2487"/>
      <c r="AH794" s="2487"/>
      <c r="AI794" s="2487"/>
      <c r="AJ794" s="2487"/>
      <c r="AK794" s="2487"/>
      <c r="AL794" s="2487"/>
      <c r="AM794" s="2487"/>
    </row>
    <row r="795" spans="1:39" ht="15.75" customHeight="1" x14ac:dyDescent="0.25">
      <c r="A795" s="2487"/>
      <c r="B795" s="2487"/>
      <c r="C795" s="2487"/>
      <c r="D795" s="2487"/>
      <c r="E795" s="2487"/>
      <c r="F795" s="2487"/>
      <c r="G795" s="2487"/>
      <c r="H795" s="2487"/>
      <c r="I795" s="2487"/>
      <c r="J795" s="2487"/>
      <c r="K795" s="2487"/>
      <c r="L795" s="2487"/>
      <c r="M795" s="2487"/>
      <c r="N795" s="2487"/>
      <c r="O795" s="2487"/>
      <c r="P795" s="2487"/>
      <c r="Q795" s="2487"/>
      <c r="R795" s="2487"/>
      <c r="S795" s="2487"/>
      <c r="T795" s="2487"/>
      <c r="U795" s="2487"/>
      <c r="V795" s="2487"/>
      <c r="W795" s="2487"/>
      <c r="X795" s="2487"/>
      <c r="Y795" s="2487"/>
      <c r="Z795" s="2487"/>
      <c r="AA795" s="2487"/>
      <c r="AB795" s="2487"/>
      <c r="AC795" s="2487"/>
      <c r="AD795" s="2487"/>
      <c r="AE795" s="2487"/>
      <c r="AF795" s="2487"/>
      <c r="AG795" s="2487"/>
      <c r="AH795" s="2487"/>
      <c r="AI795" s="2487"/>
      <c r="AJ795" s="2487"/>
      <c r="AK795" s="2487"/>
      <c r="AL795" s="2487"/>
      <c r="AM795" s="2487"/>
    </row>
    <row r="796" spans="1:39" ht="15.75" customHeight="1" x14ac:dyDescent="0.25">
      <c r="A796" s="2487"/>
      <c r="B796" s="2487"/>
      <c r="C796" s="2487"/>
      <c r="D796" s="2487"/>
      <c r="E796" s="2487"/>
      <c r="F796" s="2487"/>
      <c r="G796" s="2487"/>
      <c r="H796" s="2487"/>
      <c r="I796" s="2487"/>
      <c r="J796" s="2487"/>
      <c r="K796" s="2487"/>
      <c r="L796" s="2487"/>
      <c r="M796" s="2487"/>
      <c r="N796" s="2487"/>
      <c r="O796" s="2487"/>
      <c r="P796" s="2487"/>
      <c r="Q796" s="2487"/>
      <c r="R796" s="2487"/>
      <c r="S796" s="2487"/>
      <c r="T796" s="2487"/>
      <c r="U796" s="2487"/>
      <c r="V796" s="2487"/>
      <c r="W796" s="2487"/>
      <c r="X796" s="2487"/>
      <c r="Y796" s="2487"/>
      <c r="Z796" s="2487"/>
      <c r="AA796" s="2487"/>
      <c r="AB796" s="2487"/>
      <c r="AC796" s="2487"/>
      <c r="AD796" s="2487"/>
      <c r="AE796" s="2487"/>
      <c r="AF796" s="2487"/>
      <c r="AG796" s="2487"/>
      <c r="AH796" s="2487"/>
      <c r="AI796" s="2487"/>
      <c r="AJ796" s="2487"/>
      <c r="AK796" s="2487"/>
      <c r="AL796" s="2487"/>
      <c r="AM796" s="2487"/>
    </row>
    <row r="797" spans="1:39" ht="15.75" customHeight="1" x14ac:dyDescent="0.25">
      <c r="A797" s="2487"/>
      <c r="B797" s="2487"/>
      <c r="C797" s="2487"/>
      <c r="D797" s="2487"/>
      <c r="E797" s="2487"/>
      <c r="F797" s="2487"/>
      <c r="G797" s="2487"/>
      <c r="H797" s="2487"/>
      <c r="I797" s="2487"/>
      <c r="J797" s="2487"/>
      <c r="K797" s="2487"/>
      <c r="L797" s="2487"/>
      <c r="M797" s="2487"/>
      <c r="N797" s="2487"/>
      <c r="O797" s="2487"/>
      <c r="P797" s="2487"/>
      <c r="Q797" s="2487"/>
      <c r="R797" s="2487"/>
      <c r="S797" s="2487"/>
      <c r="T797" s="2487"/>
      <c r="U797" s="2487"/>
      <c r="V797" s="2487"/>
      <c r="W797" s="2487"/>
      <c r="X797" s="2487"/>
      <c r="Y797" s="2487"/>
      <c r="Z797" s="2487"/>
      <c r="AA797" s="2487"/>
      <c r="AB797" s="2487"/>
      <c r="AC797" s="2487"/>
      <c r="AD797" s="2487"/>
      <c r="AE797" s="2487"/>
      <c r="AF797" s="2487"/>
      <c r="AG797" s="2487"/>
      <c r="AH797" s="2487"/>
      <c r="AI797" s="2487"/>
      <c r="AJ797" s="2487"/>
      <c r="AK797" s="2487"/>
      <c r="AL797" s="2487"/>
      <c r="AM797" s="2487"/>
    </row>
    <row r="798" spans="1:39" ht="15.75" customHeight="1" x14ac:dyDescent="0.25">
      <c r="A798" s="2487"/>
      <c r="B798" s="2487"/>
      <c r="C798" s="2487"/>
      <c r="D798" s="2487"/>
      <c r="E798" s="2487"/>
      <c r="F798" s="2487"/>
      <c r="G798" s="2487"/>
      <c r="H798" s="2487"/>
      <c r="I798" s="2487"/>
      <c r="J798" s="2487"/>
      <c r="K798" s="2487"/>
      <c r="L798" s="2487"/>
      <c r="M798" s="2487"/>
      <c r="N798" s="2487"/>
      <c r="O798" s="2487"/>
      <c r="P798" s="2487"/>
      <c r="Q798" s="2487"/>
      <c r="R798" s="2487"/>
      <c r="S798" s="2487"/>
      <c r="T798" s="2487"/>
      <c r="U798" s="2487"/>
      <c r="V798" s="2487"/>
      <c r="W798" s="2487"/>
      <c r="X798" s="2487"/>
      <c r="Y798" s="2487"/>
      <c r="Z798" s="2487"/>
      <c r="AA798" s="2487"/>
      <c r="AB798" s="2487"/>
      <c r="AC798" s="2487"/>
      <c r="AD798" s="2487"/>
      <c r="AE798" s="2487"/>
      <c r="AF798" s="2487"/>
      <c r="AG798" s="2487"/>
      <c r="AH798" s="2487"/>
      <c r="AI798" s="2487"/>
      <c r="AJ798" s="2487"/>
      <c r="AK798" s="2487"/>
      <c r="AL798" s="2487"/>
      <c r="AM798" s="2487"/>
    </row>
    <row r="799" spans="1:39" ht="15.75" customHeight="1" x14ac:dyDescent="0.25">
      <c r="A799" s="2487"/>
      <c r="B799" s="2487"/>
      <c r="C799" s="2487"/>
      <c r="D799" s="2487"/>
      <c r="E799" s="2487"/>
      <c r="F799" s="2487"/>
      <c r="G799" s="2487"/>
      <c r="H799" s="2487"/>
      <c r="I799" s="2487"/>
      <c r="J799" s="2487"/>
      <c r="K799" s="2487"/>
      <c r="L799" s="2487"/>
      <c r="M799" s="2487"/>
      <c r="N799" s="2487"/>
      <c r="O799" s="2487"/>
      <c r="P799" s="2487"/>
      <c r="Q799" s="2487"/>
      <c r="R799" s="2487"/>
      <c r="S799" s="2487"/>
      <c r="T799" s="2487"/>
      <c r="U799" s="2487"/>
      <c r="V799" s="2487"/>
      <c r="W799" s="2487"/>
      <c r="X799" s="2487"/>
      <c r="Y799" s="2487"/>
      <c r="Z799" s="2487"/>
      <c r="AA799" s="2487"/>
      <c r="AB799" s="2487"/>
      <c r="AC799" s="2487"/>
      <c r="AD799" s="2487"/>
      <c r="AE799" s="2487"/>
      <c r="AF799" s="2487"/>
      <c r="AG799" s="2487"/>
      <c r="AH799" s="2487"/>
      <c r="AI799" s="2487"/>
      <c r="AJ799" s="2487"/>
      <c r="AK799" s="2487"/>
      <c r="AL799" s="2487"/>
      <c r="AM799" s="2487"/>
    </row>
    <row r="800" spans="1:39" ht="15.75" customHeight="1" x14ac:dyDescent="0.25">
      <c r="A800" s="2487"/>
      <c r="B800" s="2487"/>
      <c r="C800" s="2487"/>
      <c r="D800" s="2487"/>
      <c r="E800" s="2487"/>
      <c r="F800" s="2487"/>
      <c r="G800" s="2487"/>
      <c r="H800" s="2487"/>
      <c r="I800" s="2487"/>
      <c r="J800" s="2487"/>
      <c r="K800" s="2487"/>
      <c r="L800" s="2487"/>
      <c r="M800" s="2487"/>
      <c r="N800" s="2487"/>
      <c r="O800" s="2487"/>
      <c r="P800" s="2487"/>
      <c r="Q800" s="2487"/>
      <c r="R800" s="2487"/>
      <c r="S800" s="2487"/>
      <c r="T800" s="2487"/>
      <c r="U800" s="2487"/>
      <c r="V800" s="2487"/>
      <c r="W800" s="2487"/>
      <c r="X800" s="2487"/>
      <c r="Y800" s="2487"/>
      <c r="Z800" s="2487"/>
      <c r="AA800" s="2487"/>
      <c r="AB800" s="2487"/>
      <c r="AC800" s="2487"/>
      <c r="AD800" s="2487"/>
      <c r="AE800" s="2487"/>
      <c r="AF800" s="2487"/>
      <c r="AG800" s="2487"/>
      <c r="AH800" s="2487"/>
      <c r="AI800" s="2487"/>
      <c r="AJ800" s="2487"/>
      <c r="AK800" s="2487"/>
      <c r="AL800" s="2487"/>
      <c r="AM800" s="2487"/>
    </row>
    <row r="801" spans="1:39" ht="15.75" customHeight="1" x14ac:dyDescent="0.25">
      <c r="A801" s="2487"/>
      <c r="B801" s="2487"/>
      <c r="C801" s="2487"/>
      <c r="D801" s="2487"/>
      <c r="E801" s="2487"/>
      <c r="F801" s="2487"/>
      <c r="G801" s="2487"/>
      <c r="H801" s="2487"/>
      <c r="I801" s="2487"/>
      <c r="J801" s="2487"/>
      <c r="K801" s="2487"/>
      <c r="L801" s="2487"/>
      <c r="M801" s="2487"/>
      <c r="N801" s="2487"/>
      <c r="O801" s="2487"/>
      <c r="P801" s="2487"/>
      <c r="Q801" s="2487"/>
      <c r="R801" s="2487"/>
      <c r="S801" s="2487"/>
      <c r="T801" s="2487"/>
      <c r="U801" s="2487"/>
      <c r="V801" s="2487"/>
      <c r="W801" s="2487"/>
      <c r="X801" s="2487"/>
      <c r="Y801" s="2487"/>
      <c r="Z801" s="2487"/>
      <c r="AA801" s="2487"/>
      <c r="AB801" s="2487"/>
      <c r="AC801" s="2487"/>
      <c r="AD801" s="2487"/>
      <c r="AE801" s="2487"/>
      <c r="AF801" s="2487"/>
      <c r="AG801" s="2487"/>
      <c r="AH801" s="2487"/>
      <c r="AI801" s="2487"/>
      <c r="AJ801" s="2487"/>
      <c r="AK801" s="2487"/>
      <c r="AL801" s="2487"/>
      <c r="AM801" s="2487"/>
    </row>
    <row r="802" spans="1:39" ht="15.75" customHeight="1" x14ac:dyDescent="0.25">
      <c r="A802" s="2487"/>
      <c r="B802" s="2487"/>
      <c r="C802" s="2487"/>
      <c r="D802" s="2487"/>
      <c r="E802" s="2487"/>
      <c r="F802" s="2487"/>
      <c r="G802" s="2487"/>
      <c r="H802" s="2487"/>
      <c r="I802" s="2487"/>
      <c r="J802" s="2487"/>
      <c r="K802" s="2487"/>
      <c r="L802" s="2487"/>
      <c r="M802" s="2487"/>
      <c r="N802" s="2487"/>
      <c r="O802" s="2487"/>
      <c r="P802" s="2487"/>
      <c r="Q802" s="2487"/>
      <c r="R802" s="2487"/>
      <c r="S802" s="2487"/>
      <c r="T802" s="2487"/>
      <c r="U802" s="2487"/>
      <c r="V802" s="2487"/>
      <c r="W802" s="2487"/>
      <c r="X802" s="2487"/>
      <c r="Y802" s="2487"/>
      <c r="Z802" s="2487"/>
      <c r="AA802" s="2487"/>
      <c r="AB802" s="2487"/>
      <c r="AC802" s="2487"/>
      <c r="AD802" s="2487"/>
      <c r="AE802" s="2487"/>
      <c r="AF802" s="2487"/>
      <c r="AG802" s="2487"/>
      <c r="AH802" s="2487"/>
      <c r="AI802" s="2487"/>
      <c r="AJ802" s="2487"/>
      <c r="AK802" s="2487"/>
      <c r="AL802" s="2487"/>
      <c r="AM802" s="2487"/>
    </row>
    <row r="803" spans="1:39" ht="15.75" customHeight="1" x14ac:dyDescent="0.25">
      <c r="A803" s="2487"/>
      <c r="B803" s="2487"/>
      <c r="C803" s="2487"/>
      <c r="D803" s="2487"/>
      <c r="E803" s="2487"/>
      <c r="F803" s="2487"/>
      <c r="G803" s="2487"/>
      <c r="H803" s="2487"/>
      <c r="I803" s="2487"/>
      <c r="J803" s="2487"/>
      <c r="K803" s="2487"/>
      <c r="L803" s="2487"/>
      <c r="M803" s="2487"/>
      <c r="N803" s="2487"/>
      <c r="O803" s="2487"/>
      <c r="P803" s="2487"/>
      <c r="Q803" s="2487"/>
      <c r="R803" s="2487"/>
      <c r="S803" s="2487"/>
      <c r="T803" s="2487"/>
      <c r="U803" s="2487"/>
      <c r="V803" s="2487"/>
      <c r="W803" s="2487"/>
      <c r="X803" s="2487"/>
      <c r="Y803" s="2487"/>
      <c r="Z803" s="2487"/>
      <c r="AA803" s="2487"/>
      <c r="AB803" s="2487"/>
      <c r="AC803" s="2487"/>
      <c r="AD803" s="2487"/>
      <c r="AE803" s="2487"/>
      <c r="AF803" s="2487"/>
      <c r="AG803" s="2487"/>
      <c r="AH803" s="2487"/>
      <c r="AI803" s="2487"/>
      <c r="AJ803" s="2487"/>
      <c r="AK803" s="2487"/>
      <c r="AL803" s="2487"/>
      <c r="AM803" s="2487"/>
    </row>
    <row r="804" spans="1:39" ht="15.75" customHeight="1" x14ac:dyDescent="0.25">
      <c r="A804" s="2487"/>
      <c r="B804" s="2487"/>
      <c r="C804" s="2487"/>
      <c r="D804" s="2487"/>
      <c r="E804" s="2487"/>
      <c r="F804" s="2487"/>
      <c r="G804" s="2487"/>
      <c r="H804" s="2487"/>
      <c r="I804" s="2487"/>
      <c r="J804" s="2487"/>
      <c r="K804" s="2487"/>
      <c r="L804" s="2487"/>
      <c r="M804" s="2487"/>
      <c r="N804" s="2487"/>
      <c r="O804" s="2487"/>
      <c r="P804" s="2487"/>
      <c r="Q804" s="2487"/>
      <c r="R804" s="2487"/>
      <c r="S804" s="2487"/>
      <c r="T804" s="2487"/>
      <c r="U804" s="2487"/>
      <c r="V804" s="2487"/>
      <c r="W804" s="2487"/>
      <c r="X804" s="2487"/>
      <c r="Y804" s="2487"/>
      <c r="Z804" s="2487"/>
      <c r="AA804" s="2487"/>
      <c r="AB804" s="2487"/>
      <c r="AC804" s="2487"/>
      <c r="AD804" s="2487"/>
      <c r="AE804" s="2487"/>
      <c r="AF804" s="2487"/>
      <c r="AG804" s="2487"/>
      <c r="AH804" s="2487"/>
      <c r="AI804" s="2487"/>
      <c r="AJ804" s="2487"/>
      <c r="AK804" s="2487"/>
      <c r="AL804" s="2487"/>
      <c r="AM804" s="2487"/>
    </row>
    <row r="805" spans="1:39" ht="15.75" customHeight="1" x14ac:dyDescent="0.25">
      <c r="A805" s="2487"/>
      <c r="B805" s="2487"/>
      <c r="C805" s="2487"/>
      <c r="D805" s="2487"/>
      <c r="E805" s="2487"/>
      <c r="F805" s="2487"/>
      <c r="G805" s="2487"/>
      <c r="H805" s="2487"/>
      <c r="I805" s="2487"/>
      <c r="J805" s="2487"/>
      <c r="K805" s="2487"/>
      <c r="L805" s="2487"/>
      <c r="M805" s="2487"/>
      <c r="N805" s="2487"/>
      <c r="O805" s="2487"/>
      <c r="P805" s="2487"/>
      <c r="Q805" s="2487"/>
      <c r="R805" s="2487"/>
      <c r="S805" s="2487"/>
      <c r="T805" s="2487"/>
      <c r="U805" s="2487"/>
      <c r="V805" s="2487"/>
      <c r="W805" s="2487"/>
      <c r="X805" s="2487"/>
      <c r="Y805" s="2487"/>
      <c r="Z805" s="2487"/>
      <c r="AA805" s="2487"/>
      <c r="AB805" s="2487"/>
      <c r="AC805" s="2487"/>
      <c r="AD805" s="2487"/>
      <c r="AE805" s="2487"/>
      <c r="AF805" s="2487"/>
      <c r="AG805" s="2487"/>
      <c r="AH805" s="2487"/>
      <c r="AI805" s="2487"/>
      <c r="AJ805" s="2487"/>
      <c r="AK805" s="2487"/>
      <c r="AL805" s="2487"/>
      <c r="AM805" s="2487"/>
    </row>
    <row r="806" spans="1:39" ht="15.75" customHeight="1" x14ac:dyDescent="0.25">
      <c r="A806" s="2487"/>
      <c r="B806" s="2487"/>
      <c r="C806" s="2487"/>
      <c r="D806" s="2487"/>
      <c r="E806" s="2487"/>
      <c r="F806" s="2487"/>
      <c r="G806" s="2487"/>
      <c r="H806" s="2487"/>
      <c r="I806" s="2487"/>
      <c r="J806" s="2487"/>
      <c r="K806" s="2487"/>
      <c r="L806" s="2487"/>
      <c r="M806" s="2487"/>
      <c r="N806" s="2487"/>
      <c r="O806" s="2487"/>
      <c r="P806" s="2487"/>
      <c r="Q806" s="2487"/>
      <c r="R806" s="2487"/>
      <c r="S806" s="2487"/>
      <c r="T806" s="2487"/>
      <c r="U806" s="2487"/>
      <c r="V806" s="2487"/>
      <c r="W806" s="2487"/>
      <c r="X806" s="2487"/>
      <c r="Y806" s="2487"/>
      <c r="Z806" s="2487"/>
      <c r="AA806" s="2487"/>
      <c r="AB806" s="2487"/>
      <c r="AC806" s="2487"/>
      <c r="AD806" s="2487"/>
      <c r="AE806" s="2487"/>
      <c r="AF806" s="2487"/>
      <c r="AG806" s="2487"/>
      <c r="AH806" s="2487"/>
      <c r="AI806" s="2487"/>
      <c r="AJ806" s="2487"/>
      <c r="AK806" s="2487"/>
      <c r="AL806" s="2487"/>
      <c r="AM806" s="2487"/>
    </row>
    <row r="807" spans="1:39" ht="15.75" customHeight="1" x14ac:dyDescent="0.25">
      <c r="A807" s="2487"/>
      <c r="B807" s="2487"/>
      <c r="C807" s="2487"/>
      <c r="D807" s="2487"/>
      <c r="E807" s="2487"/>
      <c r="F807" s="2487"/>
      <c r="G807" s="2487"/>
      <c r="H807" s="2487"/>
      <c r="I807" s="2487"/>
      <c r="J807" s="2487"/>
      <c r="K807" s="2487"/>
      <c r="L807" s="2487"/>
      <c r="M807" s="2487"/>
      <c r="N807" s="2487"/>
      <c r="O807" s="2487"/>
      <c r="P807" s="2487"/>
      <c r="Q807" s="2487"/>
      <c r="R807" s="2487"/>
      <c r="S807" s="2487"/>
      <c r="T807" s="2487"/>
      <c r="U807" s="2487"/>
      <c r="V807" s="2487"/>
      <c r="W807" s="2487"/>
      <c r="X807" s="2487"/>
      <c r="Y807" s="2487"/>
      <c r="Z807" s="2487"/>
      <c r="AA807" s="2487"/>
      <c r="AB807" s="2487"/>
      <c r="AC807" s="2487"/>
      <c r="AD807" s="2487"/>
      <c r="AE807" s="2487"/>
      <c r="AF807" s="2487"/>
      <c r="AG807" s="2487"/>
      <c r="AH807" s="2487"/>
      <c r="AI807" s="2487"/>
      <c r="AJ807" s="2487"/>
      <c r="AK807" s="2487"/>
      <c r="AL807" s="2487"/>
      <c r="AM807" s="2487"/>
    </row>
    <row r="808" spans="1:39" ht="15.75" customHeight="1" x14ac:dyDescent="0.25">
      <c r="A808" s="2487"/>
      <c r="B808" s="2487"/>
      <c r="C808" s="2487"/>
      <c r="D808" s="2487"/>
      <c r="E808" s="2487"/>
      <c r="F808" s="2487"/>
      <c r="G808" s="2487"/>
      <c r="H808" s="2487"/>
      <c r="I808" s="2487"/>
      <c r="J808" s="2487"/>
      <c r="K808" s="2487"/>
      <c r="L808" s="2487"/>
      <c r="M808" s="2487"/>
      <c r="N808" s="2487"/>
      <c r="O808" s="2487"/>
      <c r="P808" s="2487"/>
      <c r="Q808" s="2487"/>
      <c r="R808" s="2487"/>
      <c r="S808" s="2487"/>
      <c r="T808" s="2487"/>
      <c r="U808" s="2487"/>
      <c r="V808" s="2487"/>
      <c r="W808" s="2487"/>
      <c r="X808" s="2487"/>
      <c r="Y808" s="2487"/>
      <c r="Z808" s="2487"/>
      <c r="AA808" s="2487"/>
      <c r="AB808" s="2487"/>
      <c r="AC808" s="2487"/>
      <c r="AD808" s="2487"/>
      <c r="AE808" s="2487"/>
      <c r="AF808" s="2487"/>
      <c r="AG808" s="2487"/>
      <c r="AH808" s="2487"/>
      <c r="AI808" s="2487"/>
      <c r="AJ808" s="2487"/>
      <c r="AK808" s="2487"/>
      <c r="AL808" s="2487"/>
      <c r="AM808" s="2487"/>
    </row>
    <row r="809" spans="1:39" ht="15.75" customHeight="1" x14ac:dyDescent="0.25">
      <c r="A809" s="2487"/>
      <c r="B809" s="2487"/>
      <c r="C809" s="2487"/>
      <c r="D809" s="2487"/>
      <c r="E809" s="2487"/>
      <c r="F809" s="2487"/>
      <c r="G809" s="2487"/>
      <c r="H809" s="2487"/>
      <c r="I809" s="2487"/>
      <c r="J809" s="2487"/>
      <c r="K809" s="2487"/>
      <c r="L809" s="2487"/>
      <c r="M809" s="2487"/>
      <c r="N809" s="2487"/>
      <c r="O809" s="2487"/>
      <c r="P809" s="2487"/>
      <c r="Q809" s="2487"/>
      <c r="R809" s="2487"/>
      <c r="S809" s="2487"/>
      <c r="T809" s="2487"/>
      <c r="U809" s="2487"/>
      <c r="V809" s="2487"/>
      <c r="W809" s="2487"/>
      <c r="X809" s="2487"/>
      <c r="Y809" s="2487"/>
      <c r="Z809" s="2487"/>
      <c r="AA809" s="2487"/>
      <c r="AB809" s="2487"/>
      <c r="AC809" s="2487"/>
      <c r="AD809" s="2487"/>
      <c r="AE809" s="2487"/>
      <c r="AF809" s="2487"/>
      <c r="AG809" s="2487"/>
      <c r="AH809" s="2487"/>
      <c r="AI809" s="2487"/>
      <c r="AJ809" s="2487"/>
      <c r="AK809" s="2487"/>
      <c r="AL809" s="2487"/>
      <c r="AM809" s="2487"/>
    </row>
    <row r="810" spans="1:39" ht="15.75" customHeight="1" x14ac:dyDescent="0.25">
      <c r="A810" s="2487"/>
      <c r="B810" s="2487"/>
      <c r="C810" s="2487"/>
      <c r="D810" s="2487"/>
      <c r="E810" s="2487"/>
      <c r="F810" s="2487"/>
      <c r="G810" s="2487"/>
      <c r="H810" s="2487"/>
      <c r="I810" s="2487"/>
      <c r="J810" s="2487"/>
      <c r="K810" s="2487"/>
      <c r="L810" s="2487"/>
      <c r="M810" s="2487"/>
      <c r="N810" s="2487"/>
      <c r="O810" s="2487"/>
      <c r="P810" s="2487"/>
      <c r="Q810" s="2487"/>
      <c r="R810" s="2487"/>
      <c r="S810" s="2487"/>
      <c r="T810" s="2487"/>
      <c r="U810" s="2487"/>
      <c r="V810" s="2487"/>
      <c r="W810" s="2487"/>
      <c r="X810" s="2487"/>
      <c r="Y810" s="2487"/>
      <c r="Z810" s="2487"/>
      <c r="AA810" s="2487"/>
      <c r="AB810" s="2487"/>
      <c r="AC810" s="2487"/>
      <c r="AD810" s="2487"/>
      <c r="AE810" s="2487"/>
      <c r="AF810" s="2487"/>
      <c r="AG810" s="2487"/>
      <c r="AH810" s="2487"/>
      <c r="AI810" s="2487"/>
      <c r="AJ810" s="2487"/>
      <c r="AK810" s="2487"/>
      <c r="AL810" s="2487"/>
      <c r="AM810" s="2487"/>
    </row>
    <row r="811" spans="1:39" ht="15.75" customHeight="1" x14ac:dyDescent="0.25">
      <c r="A811" s="2487"/>
      <c r="B811" s="2487"/>
      <c r="C811" s="2487"/>
      <c r="D811" s="2487"/>
      <c r="E811" s="2487"/>
      <c r="F811" s="2487"/>
      <c r="G811" s="2487"/>
      <c r="H811" s="2487"/>
      <c r="I811" s="2487"/>
      <c r="J811" s="2487"/>
      <c r="K811" s="2487"/>
      <c r="L811" s="2487"/>
      <c r="M811" s="2487"/>
      <c r="N811" s="2487"/>
      <c r="O811" s="2487"/>
      <c r="P811" s="2487"/>
      <c r="Q811" s="2487"/>
      <c r="R811" s="2487"/>
      <c r="S811" s="2487"/>
      <c r="T811" s="2487"/>
      <c r="U811" s="2487"/>
      <c r="V811" s="2487"/>
      <c r="W811" s="2487"/>
      <c r="X811" s="2487"/>
      <c r="Y811" s="2487"/>
      <c r="Z811" s="2487"/>
      <c r="AA811" s="2487"/>
      <c r="AB811" s="2487"/>
      <c r="AC811" s="2487"/>
      <c r="AD811" s="2487"/>
      <c r="AE811" s="2487"/>
      <c r="AF811" s="2487"/>
      <c r="AG811" s="2487"/>
      <c r="AH811" s="2487"/>
      <c r="AI811" s="2487"/>
      <c r="AJ811" s="2487"/>
      <c r="AK811" s="2487"/>
      <c r="AL811" s="2487"/>
      <c r="AM811" s="2487"/>
    </row>
    <row r="812" spans="1:39" ht="15.75" customHeight="1" x14ac:dyDescent="0.25">
      <c r="A812" s="2487"/>
      <c r="B812" s="2487"/>
      <c r="C812" s="2487"/>
      <c r="D812" s="2487"/>
      <c r="E812" s="2487"/>
      <c r="F812" s="2487"/>
      <c r="G812" s="2487"/>
      <c r="H812" s="2487"/>
      <c r="I812" s="2487"/>
      <c r="J812" s="2487"/>
      <c r="K812" s="2487"/>
      <c r="L812" s="2487"/>
      <c r="M812" s="2487"/>
      <c r="N812" s="2487"/>
      <c r="O812" s="2487"/>
      <c r="P812" s="2487"/>
      <c r="Q812" s="2487"/>
      <c r="R812" s="2487"/>
      <c r="S812" s="2487"/>
      <c r="T812" s="2487"/>
      <c r="U812" s="2487"/>
      <c r="V812" s="2487"/>
      <c r="W812" s="2487"/>
      <c r="X812" s="2487"/>
      <c r="Y812" s="2487"/>
      <c r="Z812" s="2487"/>
      <c r="AA812" s="2487"/>
      <c r="AB812" s="2487"/>
      <c r="AC812" s="2487"/>
      <c r="AD812" s="2487"/>
      <c r="AE812" s="2487"/>
      <c r="AF812" s="2487"/>
      <c r="AG812" s="2487"/>
      <c r="AH812" s="2487"/>
      <c r="AI812" s="2487"/>
      <c r="AJ812" s="2487"/>
      <c r="AK812" s="2487"/>
      <c r="AL812" s="2487"/>
      <c r="AM812" s="2487"/>
    </row>
    <row r="813" spans="1:39" ht="15.75" customHeight="1" x14ac:dyDescent="0.25">
      <c r="A813" s="2487"/>
      <c r="B813" s="2487"/>
      <c r="C813" s="2487"/>
      <c r="D813" s="2487"/>
      <c r="E813" s="2487"/>
      <c r="F813" s="2487"/>
      <c r="G813" s="2487"/>
      <c r="H813" s="2487"/>
      <c r="I813" s="2487"/>
      <c r="J813" s="2487"/>
      <c r="K813" s="2487"/>
      <c r="L813" s="2487"/>
      <c r="M813" s="2487"/>
      <c r="N813" s="2487"/>
      <c r="O813" s="2487"/>
      <c r="P813" s="2487"/>
      <c r="Q813" s="2487"/>
      <c r="R813" s="2487"/>
      <c r="S813" s="2487"/>
      <c r="T813" s="2487"/>
      <c r="U813" s="2487"/>
      <c r="V813" s="2487"/>
      <c r="W813" s="2487"/>
      <c r="X813" s="2487"/>
      <c r="Y813" s="2487"/>
      <c r="Z813" s="2487"/>
      <c r="AA813" s="2487"/>
      <c r="AB813" s="2487"/>
      <c r="AC813" s="2487"/>
      <c r="AD813" s="2487"/>
      <c r="AE813" s="2487"/>
      <c r="AF813" s="2487"/>
      <c r="AG813" s="2487"/>
      <c r="AH813" s="2487"/>
      <c r="AI813" s="2487"/>
      <c r="AJ813" s="2487"/>
      <c r="AK813" s="2487"/>
      <c r="AL813" s="2487"/>
      <c r="AM813" s="2487"/>
    </row>
    <row r="814" spans="1:39" ht="15.75" customHeight="1" x14ac:dyDescent="0.25">
      <c r="A814" s="2487"/>
      <c r="B814" s="2487"/>
      <c r="C814" s="2487"/>
      <c r="D814" s="2487"/>
      <c r="E814" s="2487"/>
      <c r="F814" s="2487"/>
      <c r="G814" s="2487"/>
      <c r="H814" s="2487"/>
      <c r="I814" s="2487"/>
      <c r="J814" s="2487"/>
      <c r="K814" s="2487"/>
      <c r="L814" s="2487"/>
      <c r="M814" s="2487"/>
      <c r="N814" s="2487"/>
      <c r="O814" s="2487"/>
      <c r="P814" s="2487"/>
      <c r="Q814" s="2487"/>
      <c r="R814" s="2487"/>
      <c r="S814" s="2487"/>
      <c r="T814" s="2487"/>
      <c r="U814" s="2487"/>
      <c r="V814" s="2487"/>
      <c r="W814" s="2487"/>
      <c r="X814" s="2487"/>
      <c r="Y814" s="2487"/>
      <c r="Z814" s="2487"/>
      <c r="AA814" s="2487"/>
      <c r="AB814" s="2487"/>
      <c r="AC814" s="2487"/>
      <c r="AD814" s="2487"/>
      <c r="AE814" s="2487"/>
      <c r="AF814" s="2487"/>
      <c r="AG814" s="2487"/>
      <c r="AH814" s="2487"/>
      <c r="AI814" s="2487"/>
      <c r="AJ814" s="2487"/>
      <c r="AK814" s="2487"/>
      <c r="AL814" s="2487"/>
      <c r="AM814" s="2487"/>
    </row>
    <row r="815" spans="1:39" ht="15.75" customHeight="1" x14ac:dyDescent="0.25">
      <c r="A815" s="2487"/>
      <c r="B815" s="2487"/>
      <c r="C815" s="2487"/>
      <c r="D815" s="2487"/>
      <c r="E815" s="2487"/>
      <c r="F815" s="2487"/>
      <c r="G815" s="2487"/>
      <c r="H815" s="2487"/>
      <c r="I815" s="2487"/>
      <c r="J815" s="2487"/>
      <c r="K815" s="2487"/>
      <c r="L815" s="2487"/>
      <c r="M815" s="2487"/>
      <c r="N815" s="2487"/>
      <c r="O815" s="2487"/>
      <c r="P815" s="2487"/>
      <c r="Q815" s="2487"/>
      <c r="R815" s="2487"/>
      <c r="S815" s="2487"/>
      <c r="T815" s="2487"/>
      <c r="U815" s="2487"/>
      <c r="V815" s="2487"/>
      <c r="W815" s="2487"/>
      <c r="X815" s="2487"/>
      <c r="Y815" s="2487"/>
      <c r="Z815" s="2487"/>
      <c r="AA815" s="2487"/>
      <c r="AB815" s="2487"/>
      <c r="AC815" s="2487"/>
      <c r="AD815" s="2487"/>
      <c r="AE815" s="2487"/>
      <c r="AF815" s="2487"/>
      <c r="AG815" s="2487"/>
      <c r="AH815" s="2487"/>
      <c r="AI815" s="2487"/>
      <c r="AJ815" s="2487"/>
      <c r="AK815" s="2487"/>
      <c r="AL815" s="2487"/>
      <c r="AM815" s="2487"/>
    </row>
    <row r="816" spans="1:39" ht="15.75" customHeight="1" x14ac:dyDescent="0.25">
      <c r="A816" s="2487"/>
      <c r="B816" s="2487"/>
      <c r="C816" s="2487"/>
      <c r="D816" s="2487"/>
      <c r="E816" s="2487"/>
      <c r="F816" s="2487"/>
      <c r="G816" s="2487"/>
      <c r="H816" s="2487"/>
      <c r="I816" s="2487"/>
      <c r="J816" s="2487"/>
      <c r="K816" s="2487"/>
      <c r="L816" s="2487"/>
      <c r="M816" s="2487"/>
      <c r="N816" s="2487"/>
      <c r="O816" s="2487"/>
      <c r="P816" s="2487"/>
      <c r="Q816" s="2487"/>
      <c r="R816" s="2487"/>
      <c r="S816" s="2487"/>
      <c r="T816" s="2487"/>
      <c r="U816" s="2487"/>
      <c r="V816" s="2487"/>
      <c r="W816" s="2487"/>
      <c r="X816" s="2487"/>
      <c r="Y816" s="2487"/>
      <c r="Z816" s="2487"/>
      <c r="AA816" s="2487"/>
      <c r="AB816" s="2487"/>
      <c r="AC816" s="2487"/>
      <c r="AD816" s="2487"/>
      <c r="AE816" s="2487"/>
      <c r="AF816" s="2487"/>
      <c r="AG816" s="2487"/>
      <c r="AH816" s="2487"/>
      <c r="AI816" s="2487"/>
      <c r="AJ816" s="2487"/>
      <c r="AK816" s="2487"/>
      <c r="AL816" s="2487"/>
      <c r="AM816" s="2487"/>
    </row>
    <row r="817" spans="1:39" ht="15.75" customHeight="1" x14ac:dyDescent="0.25">
      <c r="A817" s="2487"/>
      <c r="B817" s="2487"/>
      <c r="C817" s="2487"/>
      <c r="D817" s="2487"/>
      <c r="E817" s="2487"/>
      <c r="F817" s="2487"/>
      <c r="G817" s="2487"/>
      <c r="H817" s="2487"/>
      <c r="I817" s="2487"/>
      <c r="J817" s="2487"/>
      <c r="K817" s="2487"/>
      <c r="L817" s="2487"/>
      <c r="M817" s="2487"/>
      <c r="N817" s="2487"/>
      <c r="O817" s="2487"/>
      <c r="P817" s="2487"/>
      <c r="Q817" s="2487"/>
      <c r="R817" s="2487"/>
      <c r="S817" s="2487"/>
      <c r="T817" s="2487"/>
      <c r="U817" s="2487"/>
      <c r="V817" s="2487"/>
      <c r="W817" s="2487"/>
      <c r="X817" s="2487"/>
      <c r="Y817" s="2487"/>
      <c r="Z817" s="2487"/>
      <c r="AA817" s="2487"/>
      <c r="AB817" s="2487"/>
      <c r="AC817" s="2487"/>
      <c r="AD817" s="2487"/>
      <c r="AE817" s="2487"/>
      <c r="AF817" s="2487"/>
      <c r="AG817" s="2487"/>
      <c r="AH817" s="2487"/>
      <c r="AI817" s="2487"/>
      <c r="AJ817" s="2487"/>
      <c r="AK817" s="2487"/>
      <c r="AL817" s="2487"/>
      <c r="AM817" s="2487"/>
    </row>
    <row r="818" spans="1:39" ht="15.75" customHeight="1" x14ac:dyDescent="0.25">
      <c r="A818" s="2487"/>
      <c r="B818" s="2487"/>
      <c r="C818" s="2487"/>
      <c r="D818" s="2487"/>
      <c r="E818" s="2487"/>
      <c r="F818" s="2487"/>
      <c r="G818" s="2487"/>
      <c r="H818" s="2487"/>
      <c r="I818" s="2487"/>
      <c r="J818" s="2487"/>
      <c r="K818" s="2487"/>
      <c r="L818" s="2487"/>
      <c r="M818" s="2487"/>
      <c r="N818" s="2487"/>
      <c r="O818" s="2487"/>
      <c r="P818" s="2487"/>
      <c r="Q818" s="2487"/>
      <c r="R818" s="2487"/>
      <c r="S818" s="2487"/>
      <c r="T818" s="2487"/>
      <c r="U818" s="2487"/>
      <c r="V818" s="2487"/>
      <c r="W818" s="2487"/>
      <c r="X818" s="2487"/>
      <c r="Y818" s="2487"/>
      <c r="Z818" s="2487"/>
      <c r="AA818" s="2487"/>
      <c r="AB818" s="2487"/>
      <c r="AC818" s="2487"/>
      <c r="AD818" s="2487"/>
      <c r="AE818" s="2487"/>
      <c r="AF818" s="2487"/>
      <c r="AG818" s="2487"/>
      <c r="AH818" s="2487"/>
      <c r="AI818" s="2487"/>
      <c r="AJ818" s="2487"/>
      <c r="AK818" s="2487"/>
      <c r="AL818" s="2487"/>
      <c r="AM818" s="2487"/>
    </row>
    <row r="819" spans="1:39" ht="15.75" customHeight="1" x14ac:dyDescent="0.25">
      <c r="A819" s="2487"/>
      <c r="B819" s="2487"/>
      <c r="C819" s="2487"/>
      <c r="D819" s="2487"/>
      <c r="E819" s="2487"/>
      <c r="F819" s="2487"/>
      <c r="G819" s="2487"/>
      <c r="H819" s="2487"/>
      <c r="I819" s="2487"/>
      <c r="J819" s="2487"/>
      <c r="K819" s="2487"/>
      <c r="L819" s="2487"/>
      <c r="M819" s="2487"/>
      <c r="N819" s="2487"/>
      <c r="O819" s="2487"/>
      <c r="P819" s="2487"/>
      <c r="Q819" s="2487"/>
      <c r="R819" s="2487"/>
      <c r="S819" s="2487"/>
      <c r="T819" s="2487"/>
      <c r="U819" s="2487"/>
      <c r="V819" s="2487"/>
      <c r="W819" s="2487"/>
      <c r="X819" s="2487"/>
      <c r="Y819" s="2487"/>
      <c r="Z819" s="2487"/>
      <c r="AA819" s="2487"/>
      <c r="AB819" s="2487"/>
      <c r="AC819" s="2487"/>
      <c r="AD819" s="2487"/>
      <c r="AE819" s="2487"/>
      <c r="AF819" s="2487"/>
      <c r="AG819" s="2487"/>
      <c r="AH819" s="2487"/>
      <c r="AI819" s="2487"/>
      <c r="AJ819" s="2487"/>
      <c r="AK819" s="2487"/>
      <c r="AL819" s="2487"/>
      <c r="AM819" s="2487"/>
    </row>
    <row r="820" spans="1:39" ht="15.75" customHeight="1" x14ac:dyDescent="0.25">
      <c r="A820" s="2487"/>
      <c r="B820" s="2487"/>
      <c r="C820" s="2487"/>
      <c r="D820" s="2487"/>
      <c r="E820" s="2487"/>
      <c r="F820" s="2487"/>
      <c r="G820" s="2487"/>
      <c r="H820" s="2487"/>
      <c r="I820" s="2487"/>
      <c r="J820" s="2487"/>
      <c r="K820" s="2487"/>
      <c r="L820" s="2487"/>
      <c r="M820" s="2487"/>
      <c r="N820" s="2487"/>
      <c r="O820" s="2487"/>
      <c r="P820" s="2487"/>
      <c r="Q820" s="2487"/>
      <c r="R820" s="2487"/>
      <c r="S820" s="2487"/>
      <c r="T820" s="2487"/>
      <c r="U820" s="2487"/>
      <c r="V820" s="2487"/>
      <c r="W820" s="2487"/>
      <c r="X820" s="2487"/>
      <c r="Y820" s="2487"/>
      <c r="Z820" s="2487"/>
      <c r="AA820" s="2487"/>
      <c r="AB820" s="2487"/>
      <c r="AC820" s="2487"/>
      <c r="AD820" s="2487"/>
      <c r="AE820" s="2487"/>
      <c r="AF820" s="2487"/>
      <c r="AG820" s="2487"/>
      <c r="AH820" s="2487"/>
      <c r="AI820" s="2487"/>
      <c r="AJ820" s="2487"/>
      <c r="AK820" s="2487"/>
      <c r="AL820" s="2487"/>
      <c r="AM820" s="2487"/>
    </row>
    <row r="821" spans="1:39" ht="15.75" customHeight="1" x14ac:dyDescent="0.25">
      <c r="A821" s="2487"/>
      <c r="B821" s="2487"/>
      <c r="C821" s="2487"/>
      <c r="D821" s="2487"/>
      <c r="E821" s="2487"/>
      <c r="F821" s="2487"/>
      <c r="G821" s="2487"/>
      <c r="H821" s="2487"/>
      <c r="I821" s="2487"/>
      <c r="J821" s="2487"/>
      <c r="K821" s="2487"/>
      <c r="L821" s="2487"/>
      <c r="M821" s="2487"/>
      <c r="N821" s="2487"/>
      <c r="O821" s="2487"/>
      <c r="P821" s="2487"/>
      <c r="Q821" s="2487"/>
      <c r="R821" s="2487"/>
      <c r="S821" s="2487"/>
      <c r="T821" s="2487"/>
      <c r="U821" s="2487"/>
      <c r="V821" s="2487"/>
      <c r="W821" s="2487"/>
      <c r="X821" s="2487"/>
      <c r="Y821" s="2487"/>
      <c r="Z821" s="2487"/>
      <c r="AA821" s="2487"/>
      <c r="AB821" s="2487"/>
      <c r="AC821" s="2487"/>
      <c r="AD821" s="2487"/>
      <c r="AE821" s="2487"/>
      <c r="AF821" s="2487"/>
      <c r="AG821" s="2487"/>
      <c r="AH821" s="2487"/>
      <c r="AI821" s="2487"/>
      <c r="AJ821" s="2487"/>
      <c r="AK821" s="2487"/>
      <c r="AL821" s="2487"/>
      <c r="AM821" s="2487"/>
    </row>
    <row r="822" spans="1:39" ht="15.75" customHeight="1" x14ac:dyDescent="0.25">
      <c r="A822" s="2487"/>
      <c r="B822" s="2487"/>
      <c r="C822" s="2487"/>
      <c r="D822" s="2487"/>
      <c r="E822" s="2487"/>
      <c r="F822" s="2487"/>
      <c r="G822" s="2487"/>
      <c r="H822" s="2487"/>
      <c r="I822" s="2487"/>
      <c r="J822" s="2487"/>
      <c r="K822" s="2487"/>
      <c r="L822" s="2487"/>
      <c r="M822" s="2487"/>
      <c r="N822" s="2487"/>
      <c r="O822" s="2487"/>
      <c r="P822" s="2487"/>
      <c r="Q822" s="2487"/>
      <c r="R822" s="2487"/>
      <c r="S822" s="2487"/>
      <c r="T822" s="2487"/>
      <c r="U822" s="2487"/>
      <c r="V822" s="2487"/>
      <c r="W822" s="2487"/>
      <c r="X822" s="2487"/>
      <c r="Y822" s="2487"/>
      <c r="Z822" s="2487"/>
      <c r="AA822" s="2487"/>
      <c r="AB822" s="2487"/>
      <c r="AC822" s="2487"/>
      <c r="AD822" s="2487"/>
      <c r="AE822" s="2487"/>
      <c r="AF822" s="2487"/>
      <c r="AG822" s="2487"/>
      <c r="AH822" s="2487"/>
      <c r="AI822" s="2487"/>
      <c r="AJ822" s="2487"/>
      <c r="AK822" s="2487"/>
      <c r="AL822" s="2487"/>
      <c r="AM822" s="2487"/>
    </row>
    <row r="823" spans="1:39" ht="15.75" customHeight="1" x14ac:dyDescent="0.25">
      <c r="A823" s="2487"/>
      <c r="B823" s="2487"/>
      <c r="C823" s="2487"/>
      <c r="D823" s="2487"/>
      <c r="E823" s="2487"/>
      <c r="F823" s="2487"/>
      <c r="G823" s="2487"/>
      <c r="H823" s="2487"/>
      <c r="I823" s="2487"/>
      <c r="J823" s="2487"/>
      <c r="K823" s="2487"/>
      <c r="L823" s="2487"/>
      <c r="M823" s="2487"/>
      <c r="N823" s="2487"/>
      <c r="O823" s="2487"/>
      <c r="P823" s="2487"/>
      <c r="Q823" s="2487"/>
      <c r="R823" s="2487"/>
      <c r="S823" s="2487"/>
      <c r="T823" s="2487"/>
      <c r="U823" s="2487"/>
      <c r="V823" s="2487"/>
      <c r="W823" s="2487"/>
      <c r="X823" s="2487"/>
      <c r="Y823" s="2487"/>
      <c r="Z823" s="2487"/>
      <c r="AA823" s="2487"/>
      <c r="AB823" s="2487"/>
      <c r="AC823" s="2487"/>
      <c r="AD823" s="2487"/>
      <c r="AE823" s="2487"/>
      <c r="AF823" s="2487"/>
      <c r="AG823" s="2487"/>
      <c r="AH823" s="2487"/>
      <c r="AI823" s="2487"/>
      <c r="AJ823" s="2487"/>
      <c r="AK823" s="2487"/>
      <c r="AL823" s="2487"/>
      <c r="AM823" s="2487"/>
    </row>
    <row r="824" spans="1:39" ht="15.75" customHeight="1" x14ac:dyDescent="0.25">
      <c r="A824" s="2487"/>
      <c r="B824" s="2487"/>
      <c r="C824" s="2487"/>
      <c r="D824" s="2487"/>
      <c r="E824" s="2487"/>
      <c r="F824" s="2487"/>
      <c r="G824" s="2487"/>
      <c r="H824" s="2487"/>
      <c r="I824" s="2487"/>
      <c r="J824" s="2487"/>
      <c r="K824" s="2487"/>
      <c r="L824" s="2487"/>
      <c r="M824" s="2487"/>
      <c r="N824" s="2487"/>
      <c r="O824" s="2487"/>
      <c r="P824" s="2487"/>
      <c r="Q824" s="2487"/>
      <c r="R824" s="2487"/>
      <c r="S824" s="2487"/>
      <c r="T824" s="2487"/>
      <c r="U824" s="2487"/>
      <c r="V824" s="2487"/>
      <c r="W824" s="2487"/>
      <c r="X824" s="2487"/>
      <c r="Y824" s="2487"/>
      <c r="Z824" s="2487"/>
      <c r="AA824" s="2487"/>
      <c r="AB824" s="2487"/>
      <c r="AC824" s="2487"/>
      <c r="AD824" s="2487"/>
      <c r="AE824" s="2487"/>
      <c r="AF824" s="2487"/>
      <c r="AG824" s="2487"/>
      <c r="AH824" s="2487"/>
      <c r="AI824" s="2487"/>
      <c r="AJ824" s="2487"/>
      <c r="AK824" s="2487"/>
      <c r="AL824" s="2487"/>
      <c r="AM824" s="2487"/>
    </row>
    <row r="825" spans="1:39" ht="15.75" customHeight="1" x14ac:dyDescent="0.25">
      <c r="A825" s="2487"/>
      <c r="B825" s="2487"/>
      <c r="C825" s="2487"/>
      <c r="D825" s="2487"/>
      <c r="E825" s="2487"/>
      <c r="F825" s="2487"/>
      <c r="G825" s="2487"/>
      <c r="H825" s="2487"/>
      <c r="I825" s="2487"/>
      <c r="J825" s="2487"/>
      <c r="K825" s="2487"/>
      <c r="L825" s="2487"/>
      <c r="M825" s="2487"/>
      <c r="N825" s="2487"/>
      <c r="O825" s="2487"/>
      <c r="P825" s="2487"/>
      <c r="Q825" s="2487"/>
      <c r="R825" s="2487"/>
      <c r="S825" s="2487"/>
      <c r="T825" s="2487"/>
      <c r="U825" s="2487"/>
      <c r="V825" s="2487"/>
      <c r="W825" s="2487"/>
      <c r="X825" s="2487"/>
      <c r="Y825" s="2487"/>
      <c r="Z825" s="2487"/>
      <c r="AA825" s="2487"/>
      <c r="AB825" s="2487"/>
      <c r="AC825" s="2487"/>
      <c r="AD825" s="2487"/>
      <c r="AE825" s="2487"/>
      <c r="AF825" s="2487"/>
      <c r="AG825" s="2487"/>
      <c r="AH825" s="2487"/>
      <c r="AI825" s="2487"/>
      <c r="AJ825" s="2487"/>
      <c r="AK825" s="2487"/>
      <c r="AL825" s="2487"/>
      <c r="AM825" s="2487"/>
    </row>
    <row r="826" spans="1:39" ht="15.75" customHeight="1" x14ac:dyDescent="0.25">
      <c r="A826" s="2487"/>
      <c r="B826" s="2487"/>
      <c r="C826" s="2487"/>
      <c r="D826" s="2487"/>
      <c r="E826" s="2487"/>
      <c r="F826" s="2487"/>
      <c r="G826" s="2487"/>
      <c r="H826" s="2487"/>
      <c r="I826" s="2487"/>
      <c r="J826" s="2487"/>
      <c r="K826" s="2487"/>
      <c r="L826" s="2487"/>
      <c r="M826" s="2487"/>
      <c r="N826" s="2487"/>
      <c r="O826" s="2487"/>
      <c r="P826" s="2487"/>
      <c r="Q826" s="2487"/>
      <c r="R826" s="2487"/>
      <c r="S826" s="2487"/>
      <c r="T826" s="2487"/>
      <c r="U826" s="2487"/>
      <c r="V826" s="2487"/>
      <c r="W826" s="2487"/>
      <c r="X826" s="2487"/>
      <c r="Y826" s="2487"/>
      <c r="Z826" s="2487"/>
      <c r="AA826" s="2487"/>
      <c r="AB826" s="2487"/>
      <c r="AC826" s="2487"/>
      <c r="AD826" s="2487"/>
      <c r="AE826" s="2487"/>
      <c r="AF826" s="2487"/>
      <c r="AG826" s="2487"/>
      <c r="AH826" s="2487"/>
      <c r="AI826" s="2487"/>
      <c r="AJ826" s="2487"/>
      <c r="AK826" s="2487"/>
      <c r="AL826" s="2487"/>
      <c r="AM826" s="2487"/>
    </row>
    <row r="827" spans="1:39" ht="15.75" customHeight="1" x14ac:dyDescent="0.25">
      <c r="A827" s="2487"/>
      <c r="B827" s="2487"/>
      <c r="C827" s="2487"/>
      <c r="D827" s="2487"/>
      <c r="E827" s="2487"/>
      <c r="F827" s="2487"/>
      <c r="G827" s="2487"/>
      <c r="H827" s="2487"/>
      <c r="I827" s="2487"/>
      <c r="J827" s="2487"/>
      <c r="K827" s="2487"/>
      <c r="L827" s="2487"/>
      <c r="M827" s="2487"/>
      <c r="N827" s="2487"/>
      <c r="O827" s="2487"/>
      <c r="P827" s="2487"/>
      <c r="Q827" s="2487"/>
      <c r="R827" s="2487"/>
      <c r="S827" s="2487"/>
      <c r="T827" s="2487"/>
      <c r="U827" s="2487"/>
      <c r="V827" s="2487"/>
      <c r="W827" s="2487"/>
      <c r="X827" s="2487"/>
      <c r="Y827" s="2487"/>
      <c r="Z827" s="2487"/>
      <c r="AA827" s="2487"/>
      <c r="AB827" s="2487"/>
      <c r="AC827" s="2487"/>
      <c r="AD827" s="2487"/>
      <c r="AE827" s="2487"/>
      <c r="AF827" s="2487"/>
      <c r="AG827" s="2487"/>
      <c r="AH827" s="2487"/>
      <c r="AI827" s="2487"/>
      <c r="AJ827" s="2487"/>
      <c r="AK827" s="2487"/>
      <c r="AL827" s="2487"/>
      <c r="AM827" s="2487"/>
    </row>
    <row r="828" spans="1:39" ht="15.75" customHeight="1" x14ac:dyDescent="0.25">
      <c r="A828" s="2487"/>
      <c r="B828" s="2487"/>
      <c r="C828" s="2487"/>
      <c r="D828" s="2487"/>
      <c r="E828" s="2487"/>
      <c r="F828" s="2487"/>
      <c r="G828" s="2487"/>
      <c r="H828" s="2487"/>
      <c r="I828" s="2487"/>
      <c r="J828" s="2487"/>
      <c r="K828" s="2487"/>
      <c r="L828" s="2487"/>
      <c r="M828" s="2487"/>
      <c r="N828" s="2487"/>
      <c r="O828" s="2487"/>
      <c r="P828" s="2487"/>
      <c r="Q828" s="2487"/>
      <c r="R828" s="2487"/>
      <c r="S828" s="2487"/>
      <c r="T828" s="2487"/>
      <c r="U828" s="2487"/>
      <c r="V828" s="2487"/>
      <c r="W828" s="2487"/>
      <c r="X828" s="2487"/>
      <c r="Y828" s="2487"/>
      <c r="Z828" s="2487"/>
      <c r="AA828" s="2487"/>
      <c r="AB828" s="2487"/>
      <c r="AC828" s="2487"/>
      <c r="AD828" s="2487"/>
      <c r="AE828" s="2487"/>
      <c r="AF828" s="2487"/>
      <c r="AG828" s="2487"/>
      <c r="AH828" s="2487"/>
      <c r="AI828" s="2487"/>
      <c r="AJ828" s="2487"/>
      <c r="AK828" s="2487"/>
      <c r="AL828" s="2487"/>
      <c r="AM828" s="2487"/>
    </row>
    <row r="829" spans="1:39" ht="15.75" customHeight="1" x14ac:dyDescent="0.25">
      <c r="A829" s="2487"/>
      <c r="B829" s="2487"/>
      <c r="C829" s="2487"/>
      <c r="D829" s="2487"/>
      <c r="E829" s="2487"/>
      <c r="F829" s="2487"/>
      <c r="G829" s="2487"/>
      <c r="H829" s="2487"/>
      <c r="I829" s="2487"/>
      <c r="J829" s="2487"/>
      <c r="K829" s="2487"/>
      <c r="L829" s="2487"/>
      <c r="M829" s="2487"/>
      <c r="N829" s="2487"/>
      <c r="O829" s="2487"/>
      <c r="P829" s="2487"/>
      <c r="Q829" s="2487"/>
      <c r="R829" s="2487"/>
      <c r="S829" s="2487"/>
      <c r="T829" s="2487"/>
      <c r="U829" s="2487"/>
      <c r="V829" s="2487"/>
      <c r="W829" s="2487"/>
      <c r="X829" s="2487"/>
      <c r="Y829" s="2487"/>
      <c r="Z829" s="2487"/>
      <c r="AA829" s="2487"/>
      <c r="AB829" s="2487"/>
      <c r="AC829" s="2487"/>
      <c r="AD829" s="2487"/>
      <c r="AE829" s="2487"/>
      <c r="AF829" s="2487"/>
      <c r="AG829" s="2487"/>
      <c r="AH829" s="2487"/>
      <c r="AI829" s="2487"/>
      <c r="AJ829" s="2487"/>
      <c r="AK829" s="2487"/>
      <c r="AL829" s="2487"/>
      <c r="AM829" s="2487"/>
    </row>
    <row r="830" spans="1:39" ht="15.75" customHeight="1" x14ac:dyDescent="0.25">
      <c r="A830" s="2487"/>
      <c r="B830" s="2487"/>
      <c r="C830" s="2487"/>
      <c r="D830" s="2487"/>
      <c r="E830" s="2487"/>
      <c r="F830" s="2487"/>
      <c r="G830" s="2487"/>
      <c r="H830" s="2487"/>
      <c r="I830" s="2487"/>
      <c r="J830" s="2487"/>
      <c r="K830" s="2487"/>
      <c r="L830" s="2487"/>
      <c r="M830" s="2487"/>
      <c r="N830" s="2487"/>
      <c r="O830" s="2487"/>
      <c r="P830" s="2487"/>
      <c r="Q830" s="2487"/>
      <c r="R830" s="2487"/>
      <c r="S830" s="2487"/>
      <c r="T830" s="2487"/>
      <c r="U830" s="2487"/>
      <c r="V830" s="2487"/>
      <c r="W830" s="2487"/>
      <c r="X830" s="2487"/>
      <c r="Y830" s="2487"/>
      <c r="Z830" s="2487"/>
      <c r="AA830" s="2487"/>
      <c r="AB830" s="2487"/>
      <c r="AC830" s="2487"/>
      <c r="AD830" s="2487"/>
      <c r="AE830" s="2487"/>
      <c r="AF830" s="2487"/>
      <c r="AG830" s="2487"/>
      <c r="AH830" s="2487"/>
      <c r="AI830" s="2487"/>
      <c r="AJ830" s="2487"/>
      <c r="AK830" s="2487"/>
      <c r="AL830" s="2487"/>
      <c r="AM830" s="2487"/>
    </row>
    <row r="831" spans="1:39" ht="15.75" customHeight="1" x14ac:dyDescent="0.25">
      <c r="A831" s="2487"/>
      <c r="B831" s="2487"/>
      <c r="C831" s="2487"/>
      <c r="D831" s="2487"/>
      <c r="E831" s="2487"/>
      <c r="F831" s="2487"/>
      <c r="G831" s="2487"/>
      <c r="H831" s="2487"/>
      <c r="I831" s="2487"/>
      <c r="J831" s="2487"/>
      <c r="K831" s="2487"/>
      <c r="L831" s="2487"/>
      <c r="M831" s="2487"/>
      <c r="N831" s="2487"/>
      <c r="O831" s="2487"/>
      <c r="P831" s="2487"/>
      <c r="Q831" s="2487"/>
      <c r="R831" s="2487"/>
      <c r="S831" s="2487"/>
      <c r="T831" s="2487"/>
      <c r="U831" s="2487"/>
      <c r="V831" s="2487"/>
      <c r="W831" s="2487"/>
      <c r="X831" s="2487"/>
      <c r="Y831" s="2487"/>
      <c r="Z831" s="2487"/>
      <c r="AA831" s="2487"/>
      <c r="AB831" s="2487"/>
      <c r="AC831" s="2487"/>
      <c r="AD831" s="2487"/>
      <c r="AE831" s="2487"/>
      <c r="AF831" s="2487"/>
      <c r="AG831" s="2487"/>
      <c r="AH831" s="2487"/>
      <c r="AI831" s="2487"/>
      <c r="AJ831" s="2487"/>
      <c r="AK831" s="2487"/>
      <c r="AL831" s="2487"/>
      <c r="AM831" s="2487"/>
    </row>
    <row r="832" spans="1:39" ht="15.75" customHeight="1" x14ac:dyDescent="0.25">
      <c r="A832" s="2487"/>
      <c r="B832" s="2487"/>
      <c r="C832" s="2487"/>
      <c r="D832" s="2487"/>
      <c r="E832" s="2487"/>
      <c r="F832" s="2487"/>
      <c r="G832" s="2487"/>
      <c r="H832" s="2487"/>
      <c r="I832" s="2487"/>
      <c r="J832" s="2487"/>
      <c r="K832" s="2487"/>
      <c r="L832" s="2487"/>
      <c r="M832" s="2487"/>
      <c r="N832" s="2487"/>
      <c r="O832" s="2487"/>
      <c r="P832" s="2487"/>
      <c r="Q832" s="2487"/>
      <c r="R832" s="2487"/>
      <c r="S832" s="2487"/>
      <c r="T832" s="2487"/>
      <c r="U832" s="2487"/>
      <c r="V832" s="2487"/>
      <c r="W832" s="2487"/>
      <c r="X832" s="2487"/>
      <c r="Y832" s="2487"/>
      <c r="Z832" s="2487"/>
      <c r="AA832" s="2487"/>
      <c r="AB832" s="2487"/>
      <c r="AC832" s="2487"/>
      <c r="AD832" s="2487"/>
      <c r="AE832" s="2487"/>
      <c r="AF832" s="2487"/>
      <c r="AG832" s="2487"/>
      <c r="AH832" s="2487"/>
      <c r="AI832" s="2487"/>
      <c r="AJ832" s="2487"/>
      <c r="AK832" s="2487"/>
      <c r="AL832" s="2487"/>
      <c r="AM832" s="2487"/>
    </row>
    <row r="833" spans="1:39" ht="15.75" customHeight="1" x14ac:dyDescent="0.25">
      <c r="A833" s="2487"/>
      <c r="B833" s="2487"/>
      <c r="C833" s="2487"/>
      <c r="D833" s="2487"/>
      <c r="E833" s="2487"/>
      <c r="F833" s="2487"/>
      <c r="G833" s="2487"/>
      <c r="H833" s="2487"/>
      <c r="I833" s="2487"/>
      <c r="J833" s="2487"/>
      <c r="K833" s="2487"/>
      <c r="L833" s="2487"/>
      <c r="M833" s="2487"/>
      <c r="N833" s="2487"/>
      <c r="O833" s="2487"/>
      <c r="P833" s="2487"/>
      <c r="Q833" s="2487"/>
      <c r="R833" s="2487"/>
      <c r="S833" s="2487"/>
      <c r="T833" s="2487"/>
      <c r="U833" s="2487"/>
      <c r="V833" s="2487"/>
      <c r="W833" s="2487"/>
      <c r="X833" s="2487"/>
      <c r="Y833" s="2487"/>
      <c r="Z833" s="2487"/>
      <c r="AA833" s="2487"/>
      <c r="AB833" s="2487"/>
      <c r="AC833" s="2487"/>
      <c r="AD833" s="2487"/>
      <c r="AE833" s="2487"/>
      <c r="AF833" s="2487"/>
      <c r="AG833" s="2487"/>
      <c r="AH833" s="2487"/>
      <c r="AI833" s="2487"/>
      <c r="AJ833" s="2487"/>
      <c r="AK833" s="2487"/>
      <c r="AL833" s="2487"/>
      <c r="AM833" s="2487"/>
    </row>
    <row r="834" spans="1:39" ht="15.75" customHeight="1" x14ac:dyDescent="0.25">
      <c r="A834" s="2487"/>
      <c r="B834" s="2487"/>
      <c r="C834" s="2487"/>
      <c r="D834" s="2487"/>
      <c r="E834" s="2487"/>
      <c r="F834" s="2487"/>
      <c r="G834" s="2487"/>
      <c r="H834" s="2487"/>
      <c r="I834" s="2487"/>
      <c r="J834" s="2487"/>
      <c r="K834" s="2487"/>
      <c r="L834" s="2487"/>
      <c r="M834" s="2487"/>
      <c r="N834" s="2487"/>
      <c r="O834" s="2487"/>
      <c r="P834" s="2487"/>
      <c r="Q834" s="2487"/>
      <c r="R834" s="2487"/>
      <c r="S834" s="2487"/>
      <c r="T834" s="2487"/>
      <c r="U834" s="2487"/>
      <c r="V834" s="2487"/>
      <c r="W834" s="2487"/>
      <c r="X834" s="2487"/>
      <c r="Y834" s="2487"/>
      <c r="Z834" s="2487"/>
      <c r="AA834" s="2487"/>
      <c r="AB834" s="2487"/>
      <c r="AC834" s="2487"/>
      <c r="AD834" s="2487"/>
      <c r="AE834" s="2487"/>
      <c r="AF834" s="2487"/>
      <c r="AG834" s="2487"/>
      <c r="AH834" s="2487"/>
      <c r="AI834" s="2487"/>
      <c r="AJ834" s="2487"/>
      <c r="AK834" s="2487"/>
      <c r="AL834" s="2487"/>
      <c r="AM834" s="2487"/>
    </row>
    <row r="835" spans="1:39" ht="15.75" customHeight="1" x14ac:dyDescent="0.25">
      <c r="A835" s="2487"/>
      <c r="B835" s="2487"/>
      <c r="C835" s="2487"/>
      <c r="D835" s="2487"/>
      <c r="E835" s="2487"/>
      <c r="F835" s="2487"/>
      <c r="G835" s="2487"/>
      <c r="H835" s="2487"/>
      <c r="I835" s="2487"/>
      <c r="J835" s="2487"/>
      <c r="K835" s="2487"/>
      <c r="L835" s="2487"/>
      <c r="M835" s="2487"/>
      <c r="N835" s="2487"/>
      <c r="O835" s="2487"/>
      <c r="P835" s="2487"/>
      <c r="Q835" s="2487"/>
      <c r="R835" s="2487"/>
      <c r="S835" s="2487"/>
      <c r="T835" s="2487"/>
      <c r="U835" s="2487"/>
      <c r="V835" s="2487"/>
      <c r="W835" s="2487"/>
      <c r="X835" s="2487"/>
      <c r="Y835" s="2487"/>
      <c r="Z835" s="2487"/>
      <c r="AA835" s="2487"/>
      <c r="AB835" s="2487"/>
      <c r="AC835" s="2487"/>
      <c r="AD835" s="2487"/>
      <c r="AE835" s="2487"/>
      <c r="AF835" s="2487"/>
      <c r="AG835" s="2487"/>
      <c r="AH835" s="2487"/>
      <c r="AI835" s="2487"/>
      <c r="AJ835" s="2487"/>
      <c r="AK835" s="2487"/>
      <c r="AL835" s="2487"/>
      <c r="AM835" s="2487"/>
    </row>
    <row r="836" spans="1:39" ht="15.75" customHeight="1" x14ac:dyDescent="0.25">
      <c r="A836" s="2487"/>
      <c r="B836" s="2487"/>
      <c r="C836" s="2487"/>
      <c r="D836" s="2487"/>
      <c r="E836" s="2487"/>
      <c r="F836" s="2487"/>
      <c r="G836" s="2487"/>
      <c r="H836" s="2487"/>
      <c r="I836" s="2487"/>
      <c r="J836" s="2487"/>
      <c r="K836" s="2487"/>
      <c r="L836" s="2487"/>
      <c r="M836" s="2487"/>
      <c r="N836" s="2487"/>
      <c r="O836" s="2487"/>
      <c r="P836" s="2487"/>
      <c r="Q836" s="2487"/>
      <c r="R836" s="2487"/>
      <c r="S836" s="2487"/>
      <c r="T836" s="2487"/>
      <c r="U836" s="2487"/>
      <c r="V836" s="2487"/>
      <c r="W836" s="2487"/>
      <c r="X836" s="2487"/>
      <c r="Y836" s="2487"/>
      <c r="Z836" s="2487"/>
      <c r="AA836" s="2487"/>
      <c r="AB836" s="2487"/>
      <c r="AC836" s="2487"/>
      <c r="AD836" s="2487"/>
      <c r="AE836" s="2487"/>
      <c r="AF836" s="2487"/>
      <c r="AG836" s="2487"/>
      <c r="AH836" s="2487"/>
      <c r="AI836" s="2487"/>
      <c r="AJ836" s="2487"/>
      <c r="AK836" s="2487"/>
      <c r="AL836" s="2487"/>
      <c r="AM836" s="2487"/>
    </row>
    <row r="837" spans="1:39" ht="15.75" customHeight="1" x14ac:dyDescent="0.25">
      <c r="A837" s="2487"/>
      <c r="B837" s="2487"/>
      <c r="C837" s="2487"/>
      <c r="D837" s="2487"/>
      <c r="E837" s="2487"/>
      <c r="F837" s="2487"/>
      <c r="G837" s="2487"/>
      <c r="H837" s="2487"/>
      <c r="I837" s="2487"/>
      <c r="J837" s="2487"/>
      <c r="K837" s="2487"/>
      <c r="L837" s="2487"/>
      <c r="M837" s="2487"/>
      <c r="N837" s="2487"/>
      <c r="O837" s="2487"/>
      <c r="P837" s="2487"/>
      <c r="Q837" s="2487"/>
      <c r="R837" s="2487"/>
      <c r="S837" s="2487"/>
      <c r="T837" s="2487"/>
      <c r="U837" s="2487"/>
      <c r="V837" s="2487"/>
      <c r="W837" s="2487"/>
      <c r="X837" s="2487"/>
      <c r="Y837" s="2487"/>
      <c r="Z837" s="2487"/>
      <c r="AA837" s="2487"/>
      <c r="AB837" s="2487"/>
      <c r="AC837" s="2487"/>
      <c r="AD837" s="2487"/>
      <c r="AE837" s="2487"/>
      <c r="AF837" s="2487"/>
      <c r="AG837" s="2487"/>
      <c r="AH837" s="2487"/>
      <c r="AI837" s="2487"/>
      <c r="AJ837" s="2487"/>
      <c r="AK837" s="2487"/>
      <c r="AL837" s="2487"/>
      <c r="AM837" s="2487"/>
    </row>
    <row r="838" spans="1:39" ht="15.75" customHeight="1" x14ac:dyDescent="0.25">
      <c r="A838" s="2487"/>
      <c r="B838" s="2487"/>
      <c r="C838" s="2487"/>
      <c r="D838" s="2487"/>
      <c r="E838" s="2487"/>
      <c r="F838" s="2487"/>
      <c r="G838" s="2487"/>
      <c r="H838" s="2487"/>
      <c r="I838" s="2487"/>
      <c r="J838" s="2487"/>
      <c r="K838" s="2487"/>
      <c r="L838" s="2487"/>
      <c r="M838" s="2487"/>
      <c r="N838" s="2487"/>
      <c r="O838" s="2487"/>
      <c r="P838" s="2487"/>
      <c r="Q838" s="2487"/>
      <c r="R838" s="2487"/>
      <c r="S838" s="2487"/>
      <c r="T838" s="2487"/>
      <c r="U838" s="2487"/>
      <c r="V838" s="2487"/>
      <c r="W838" s="2487"/>
      <c r="X838" s="2487"/>
      <c r="Y838" s="2487"/>
      <c r="Z838" s="2487"/>
      <c r="AA838" s="2487"/>
      <c r="AB838" s="2487"/>
      <c r="AC838" s="2487"/>
      <c r="AD838" s="2487"/>
      <c r="AE838" s="2487"/>
      <c r="AF838" s="2487"/>
      <c r="AG838" s="2487"/>
      <c r="AH838" s="2487"/>
      <c r="AI838" s="2487"/>
      <c r="AJ838" s="2487"/>
      <c r="AK838" s="2487"/>
      <c r="AL838" s="2487"/>
      <c r="AM838" s="2487"/>
    </row>
    <row r="839" spans="1:39" ht="15.75" customHeight="1" x14ac:dyDescent="0.25">
      <c r="A839" s="2487"/>
      <c r="B839" s="2487"/>
      <c r="C839" s="2487"/>
      <c r="D839" s="2487"/>
      <c r="E839" s="2487"/>
      <c r="F839" s="2487"/>
      <c r="G839" s="2487"/>
      <c r="H839" s="2487"/>
      <c r="I839" s="2487"/>
      <c r="J839" s="2487"/>
      <c r="K839" s="2487"/>
      <c r="L839" s="2487"/>
      <c r="M839" s="2487"/>
      <c r="N839" s="2487"/>
      <c r="O839" s="2487"/>
      <c r="P839" s="2487"/>
      <c r="Q839" s="2487"/>
      <c r="R839" s="2487"/>
      <c r="S839" s="2487"/>
      <c r="T839" s="2487"/>
      <c r="U839" s="2487"/>
      <c r="V839" s="2487"/>
      <c r="W839" s="2487"/>
      <c r="X839" s="2487"/>
      <c r="Y839" s="2487"/>
      <c r="Z839" s="2487"/>
      <c r="AA839" s="2487"/>
      <c r="AB839" s="2487"/>
      <c r="AC839" s="2487"/>
      <c r="AD839" s="2487"/>
      <c r="AE839" s="2487"/>
      <c r="AF839" s="2487"/>
      <c r="AG839" s="2487"/>
      <c r="AH839" s="2487"/>
      <c r="AI839" s="2487"/>
      <c r="AJ839" s="2487"/>
      <c r="AK839" s="2487"/>
      <c r="AL839" s="2487"/>
      <c r="AM839" s="2487"/>
    </row>
    <row r="840" spans="1:39" ht="15.75" customHeight="1" x14ac:dyDescent="0.25">
      <c r="A840" s="2487"/>
      <c r="B840" s="2487"/>
      <c r="C840" s="2487"/>
      <c r="D840" s="2487"/>
      <c r="E840" s="2487"/>
      <c r="F840" s="2487"/>
      <c r="G840" s="2487"/>
      <c r="H840" s="2487"/>
      <c r="I840" s="2487"/>
      <c r="J840" s="2487"/>
      <c r="K840" s="2487"/>
      <c r="L840" s="2487"/>
      <c r="M840" s="2487"/>
      <c r="N840" s="2487"/>
      <c r="O840" s="2487"/>
      <c r="P840" s="2487"/>
      <c r="Q840" s="2487"/>
      <c r="R840" s="2487"/>
      <c r="S840" s="2487"/>
      <c r="T840" s="2487"/>
      <c r="U840" s="2487"/>
      <c r="V840" s="2487"/>
      <c r="W840" s="2487"/>
      <c r="X840" s="2487"/>
      <c r="Y840" s="2487"/>
      <c r="Z840" s="2487"/>
      <c r="AA840" s="2487"/>
      <c r="AB840" s="2487"/>
      <c r="AC840" s="2487"/>
      <c r="AD840" s="2487"/>
      <c r="AE840" s="2487"/>
      <c r="AF840" s="2487"/>
      <c r="AG840" s="2487"/>
      <c r="AH840" s="2487"/>
      <c r="AI840" s="2487"/>
      <c r="AJ840" s="2487"/>
      <c r="AK840" s="2487"/>
      <c r="AL840" s="2487"/>
      <c r="AM840" s="2487"/>
    </row>
    <row r="841" spans="1:39" ht="15.75" customHeight="1" x14ac:dyDescent="0.25">
      <c r="A841" s="2487"/>
      <c r="B841" s="2487"/>
      <c r="C841" s="2487"/>
      <c r="D841" s="2487"/>
      <c r="E841" s="2487"/>
      <c r="F841" s="2487"/>
      <c r="G841" s="2487"/>
      <c r="H841" s="2487"/>
      <c r="I841" s="2487"/>
      <c r="J841" s="2487"/>
      <c r="K841" s="2487"/>
      <c r="L841" s="2487"/>
      <c r="M841" s="2487"/>
      <c r="N841" s="2487"/>
      <c r="O841" s="2487"/>
      <c r="P841" s="2487"/>
      <c r="Q841" s="2487"/>
      <c r="R841" s="2487"/>
      <c r="S841" s="2487"/>
      <c r="T841" s="2487"/>
      <c r="U841" s="2487"/>
      <c r="V841" s="2487"/>
      <c r="W841" s="2487"/>
      <c r="X841" s="2487"/>
      <c r="Y841" s="2487"/>
      <c r="Z841" s="2487"/>
      <c r="AA841" s="2487"/>
      <c r="AB841" s="2487"/>
      <c r="AC841" s="2487"/>
      <c r="AD841" s="2487"/>
      <c r="AE841" s="2487"/>
      <c r="AF841" s="2487"/>
      <c r="AG841" s="2487"/>
      <c r="AH841" s="2487"/>
      <c r="AI841" s="2487"/>
      <c r="AJ841" s="2487"/>
      <c r="AK841" s="2487"/>
      <c r="AL841" s="2487"/>
      <c r="AM841" s="2487"/>
    </row>
    <row r="842" spans="1:39" ht="15.75" customHeight="1" x14ac:dyDescent="0.25">
      <c r="A842" s="2487"/>
      <c r="B842" s="2487"/>
      <c r="C842" s="2487"/>
      <c r="D842" s="2487"/>
      <c r="E842" s="2487"/>
      <c r="F842" s="2487"/>
      <c r="G842" s="2487"/>
      <c r="H842" s="2487"/>
      <c r="I842" s="2487"/>
      <c r="J842" s="2487"/>
      <c r="K842" s="2487"/>
      <c r="L842" s="2487"/>
      <c r="M842" s="2487"/>
      <c r="N842" s="2487"/>
      <c r="O842" s="2487"/>
      <c r="P842" s="2487"/>
      <c r="Q842" s="2487"/>
      <c r="R842" s="2487"/>
      <c r="S842" s="2487"/>
      <c r="T842" s="2487"/>
      <c r="U842" s="2487"/>
      <c r="V842" s="2487"/>
      <c r="W842" s="2487"/>
      <c r="X842" s="2487"/>
      <c r="Y842" s="2487"/>
      <c r="Z842" s="2487"/>
      <c r="AA842" s="2487"/>
      <c r="AB842" s="2487"/>
      <c r="AC842" s="2487"/>
      <c r="AD842" s="2487"/>
      <c r="AE842" s="2487"/>
      <c r="AF842" s="2487"/>
      <c r="AG842" s="2487"/>
      <c r="AH842" s="2487"/>
      <c r="AI842" s="2487"/>
      <c r="AJ842" s="2487"/>
      <c r="AK842" s="2487"/>
      <c r="AL842" s="2487"/>
      <c r="AM842" s="2487"/>
    </row>
    <row r="843" spans="1:39" ht="15.75" customHeight="1" x14ac:dyDescent="0.25">
      <c r="A843" s="2487"/>
      <c r="B843" s="2487"/>
      <c r="C843" s="2487"/>
      <c r="D843" s="2487"/>
      <c r="E843" s="2487"/>
      <c r="F843" s="2487"/>
      <c r="G843" s="2487"/>
      <c r="H843" s="2487"/>
      <c r="I843" s="2487"/>
      <c r="J843" s="2487"/>
      <c r="K843" s="2487"/>
      <c r="L843" s="2487"/>
      <c r="M843" s="2487"/>
      <c r="N843" s="2487"/>
      <c r="O843" s="2487"/>
      <c r="P843" s="2487"/>
      <c r="Q843" s="2487"/>
      <c r="R843" s="2487"/>
      <c r="S843" s="2487"/>
      <c r="T843" s="2487"/>
      <c r="U843" s="2487"/>
      <c r="V843" s="2487"/>
      <c r="W843" s="2487"/>
      <c r="X843" s="2487"/>
      <c r="Y843" s="2487"/>
      <c r="Z843" s="2487"/>
      <c r="AA843" s="2487"/>
      <c r="AB843" s="2487"/>
      <c r="AC843" s="2487"/>
      <c r="AD843" s="2487"/>
      <c r="AE843" s="2487"/>
      <c r="AF843" s="2487"/>
      <c r="AG843" s="2487"/>
      <c r="AH843" s="2487"/>
      <c r="AI843" s="2487"/>
      <c r="AJ843" s="2487"/>
      <c r="AK843" s="2487"/>
      <c r="AL843" s="2487"/>
      <c r="AM843" s="2487"/>
    </row>
    <row r="844" spans="1:39" ht="15.75" customHeight="1" x14ac:dyDescent="0.25">
      <c r="A844" s="2487"/>
      <c r="B844" s="2487"/>
      <c r="C844" s="2487"/>
      <c r="D844" s="2487"/>
      <c r="E844" s="2487"/>
      <c r="F844" s="2487"/>
      <c r="G844" s="2487"/>
      <c r="H844" s="2487"/>
      <c r="I844" s="2487"/>
      <c r="J844" s="2487"/>
      <c r="K844" s="2487"/>
      <c r="L844" s="2487"/>
      <c r="M844" s="2487"/>
      <c r="N844" s="2487"/>
      <c r="O844" s="2487"/>
      <c r="P844" s="2487"/>
      <c r="Q844" s="2487"/>
      <c r="R844" s="2487"/>
      <c r="S844" s="2487"/>
      <c r="T844" s="2487"/>
      <c r="U844" s="2487"/>
      <c r="V844" s="2487"/>
      <c r="W844" s="2487"/>
      <c r="X844" s="2487"/>
      <c r="Y844" s="2487"/>
      <c r="Z844" s="2487"/>
      <c r="AA844" s="2487"/>
      <c r="AB844" s="2487"/>
      <c r="AC844" s="2487"/>
      <c r="AD844" s="2487"/>
      <c r="AE844" s="2487"/>
      <c r="AF844" s="2487"/>
      <c r="AG844" s="2487"/>
      <c r="AH844" s="2487"/>
      <c r="AI844" s="2487"/>
      <c r="AJ844" s="2487"/>
      <c r="AK844" s="2487"/>
      <c r="AL844" s="2487"/>
      <c r="AM844" s="2487"/>
    </row>
    <row r="845" spans="1:39" ht="15.75" customHeight="1" x14ac:dyDescent="0.25">
      <c r="A845" s="2487"/>
      <c r="B845" s="2487"/>
      <c r="C845" s="2487"/>
      <c r="D845" s="2487"/>
      <c r="E845" s="2487"/>
      <c r="F845" s="2487"/>
      <c r="G845" s="2487"/>
      <c r="H845" s="2487"/>
      <c r="I845" s="2487"/>
      <c r="J845" s="2487"/>
      <c r="K845" s="2487"/>
      <c r="L845" s="2487"/>
      <c r="M845" s="2487"/>
      <c r="N845" s="2487"/>
      <c r="O845" s="2487"/>
      <c r="P845" s="2487"/>
      <c r="Q845" s="2487"/>
      <c r="R845" s="2487"/>
      <c r="S845" s="2487"/>
      <c r="T845" s="2487"/>
      <c r="U845" s="2487"/>
      <c r="V845" s="2487"/>
      <c r="W845" s="2487"/>
      <c r="X845" s="2487"/>
      <c r="Y845" s="2487"/>
      <c r="Z845" s="2487"/>
      <c r="AA845" s="2487"/>
      <c r="AB845" s="2487"/>
      <c r="AC845" s="2487"/>
      <c r="AD845" s="2487"/>
      <c r="AE845" s="2487"/>
      <c r="AF845" s="2487"/>
      <c r="AG845" s="2487"/>
      <c r="AH845" s="2487"/>
      <c r="AI845" s="2487"/>
      <c r="AJ845" s="2487"/>
      <c r="AK845" s="2487"/>
      <c r="AL845" s="2487"/>
      <c r="AM845" s="2487"/>
    </row>
    <row r="846" spans="1:39" ht="15.75" customHeight="1" x14ac:dyDescent="0.25">
      <c r="A846" s="2487"/>
      <c r="B846" s="2487"/>
      <c r="C846" s="2487"/>
      <c r="D846" s="2487"/>
      <c r="E846" s="2487"/>
      <c r="F846" s="2487"/>
      <c r="G846" s="2487"/>
      <c r="H846" s="2487"/>
      <c r="I846" s="2487"/>
      <c r="J846" s="2487"/>
      <c r="K846" s="2487"/>
      <c r="L846" s="2487"/>
      <c r="M846" s="2487"/>
      <c r="N846" s="2487"/>
      <c r="O846" s="2487"/>
      <c r="P846" s="2487"/>
      <c r="Q846" s="2487"/>
      <c r="R846" s="2487"/>
      <c r="S846" s="2487"/>
      <c r="T846" s="2487"/>
      <c r="U846" s="2487"/>
      <c r="V846" s="2487"/>
      <c r="W846" s="2487"/>
      <c r="X846" s="2487"/>
      <c r="Y846" s="2487"/>
      <c r="Z846" s="2487"/>
      <c r="AA846" s="2487"/>
      <c r="AB846" s="2487"/>
      <c r="AC846" s="2487"/>
      <c r="AD846" s="2487"/>
      <c r="AE846" s="2487"/>
      <c r="AF846" s="2487"/>
      <c r="AG846" s="2487"/>
      <c r="AH846" s="2487"/>
      <c r="AI846" s="2487"/>
      <c r="AJ846" s="2487"/>
      <c r="AK846" s="2487"/>
      <c r="AL846" s="2487"/>
      <c r="AM846" s="2487"/>
    </row>
    <row r="847" spans="1:39" ht="15.75" customHeight="1" x14ac:dyDescent="0.25">
      <c r="A847" s="2487"/>
      <c r="B847" s="2487"/>
      <c r="C847" s="2487"/>
      <c r="D847" s="2487"/>
      <c r="E847" s="2487"/>
      <c r="F847" s="2487"/>
      <c r="G847" s="2487"/>
      <c r="H847" s="2487"/>
      <c r="I847" s="2487"/>
      <c r="J847" s="2487"/>
      <c r="K847" s="2487"/>
      <c r="L847" s="2487"/>
      <c r="M847" s="2487"/>
      <c r="N847" s="2487"/>
      <c r="O847" s="2487"/>
      <c r="P847" s="2487"/>
      <c r="Q847" s="2487"/>
      <c r="R847" s="2487"/>
      <c r="S847" s="2487"/>
      <c r="T847" s="2487"/>
      <c r="U847" s="2487"/>
      <c r="V847" s="2487"/>
      <c r="W847" s="2487"/>
      <c r="X847" s="2487"/>
      <c r="Y847" s="2487"/>
      <c r="Z847" s="2487"/>
      <c r="AA847" s="2487"/>
      <c r="AB847" s="2487"/>
      <c r="AC847" s="2487"/>
      <c r="AD847" s="2487"/>
      <c r="AE847" s="2487"/>
      <c r="AF847" s="2487"/>
      <c r="AG847" s="2487"/>
      <c r="AH847" s="2487"/>
      <c r="AI847" s="2487"/>
      <c r="AJ847" s="2487"/>
      <c r="AK847" s="2487"/>
      <c r="AL847" s="2487"/>
      <c r="AM847" s="2487"/>
    </row>
    <row r="848" spans="1:39" ht="15.75" customHeight="1" x14ac:dyDescent="0.25">
      <c r="A848" s="2487"/>
      <c r="B848" s="2487"/>
      <c r="C848" s="2487"/>
      <c r="D848" s="2487"/>
      <c r="E848" s="2487"/>
      <c r="F848" s="2487"/>
      <c r="G848" s="2487"/>
      <c r="H848" s="2487"/>
      <c r="I848" s="2487"/>
      <c r="J848" s="2487"/>
      <c r="K848" s="2487"/>
      <c r="L848" s="2487"/>
      <c r="M848" s="2487"/>
      <c r="N848" s="2487"/>
      <c r="O848" s="2487"/>
      <c r="P848" s="2487"/>
      <c r="Q848" s="2487"/>
      <c r="R848" s="2487"/>
      <c r="S848" s="2487"/>
      <c r="T848" s="2487"/>
      <c r="U848" s="2487"/>
      <c r="V848" s="2487"/>
      <c r="W848" s="2487"/>
      <c r="X848" s="2487"/>
      <c r="Y848" s="2487"/>
      <c r="Z848" s="2487"/>
      <c r="AA848" s="2487"/>
      <c r="AB848" s="2487"/>
      <c r="AC848" s="2487"/>
      <c r="AD848" s="2487"/>
      <c r="AE848" s="2487"/>
      <c r="AF848" s="2487"/>
      <c r="AG848" s="2487"/>
      <c r="AH848" s="2487"/>
      <c r="AI848" s="2487"/>
      <c r="AJ848" s="2487"/>
      <c r="AK848" s="2487"/>
      <c r="AL848" s="2487"/>
      <c r="AM848" s="2487"/>
    </row>
    <row r="849" spans="1:39" ht="15.75" customHeight="1" x14ac:dyDescent="0.25">
      <c r="A849" s="2487"/>
      <c r="B849" s="2487"/>
      <c r="C849" s="2487"/>
      <c r="D849" s="2487"/>
      <c r="E849" s="2487"/>
      <c r="F849" s="2487"/>
      <c r="G849" s="2487"/>
      <c r="H849" s="2487"/>
      <c r="I849" s="2487"/>
      <c r="J849" s="2487"/>
      <c r="K849" s="2487"/>
      <c r="L849" s="2487"/>
      <c r="M849" s="2487"/>
      <c r="N849" s="2487"/>
      <c r="O849" s="2487"/>
      <c r="P849" s="2487"/>
      <c r="Q849" s="2487"/>
      <c r="R849" s="2487"/>
      <c r="S849" s="2487"/>
      <c r="T849" s="2487"/>
      <c r="U849" s="2487"/>
      <c r="V849" s="2487"/>
      <c r="W849" s="2487"/>
      <c r="X849" s="2487"/>
      <c r="Y849" s="2487"/>
      <c r="Z849" s="2487"/>
      <c r="AA849" s="2487"/>
      <c r="AB849" s="2487"/>
      <c r="AC849" s="2487"/>
      <c r="AD849" s="2487"/>
      <c r="AE849" s="2487"/>
      <c r="AF849" s="2487"/>
      <c r="AG849" s="2487"/>
      <c r="AH849" s="2487"/>
      <c r="AI849" s="2487"/>
      <c r="AJ849" s="2487"/>
      <c r="AK849" s="2487"/>
      <c r="AL849" s="2487"/>
      <c r="AM849" s="2487"/>
    </row>
    <row r="850" spans="1:39" ht="15.75" customHeight="1" x14ac:dyDescent="0.25">
      <c r="A850" s="2487"/>
      <c r="B850" s="2487"/>
      <c r="C850" s="2487"/>
      <c r="D850" s="2487"/>
      <c r="E850" s="2487"/>
      <c r="F850" s="2487"/>
      <c r="G850" s="2487"/>
      <c r="H850" s="2487"/>
      <c r="I850" s="2487"/>
      <c r="J850" s="2487"/>
      <c r="K850" s="2487"/>
      <c r="L850" s="2487"/>
      <c r="M850" s="2487"/>
      <c r="N850" s="2487"/>
      <c r="O850" s="2487"/>
      <c r="P850" s="2487"/>
      <c r="Q850" s="2487"/>
      <c r="R850" s="2487"/>
      <c r="S850" s="2487"/>
      <c r="T850" s="2487"/>
      <c r="U850" s="2487"/>
      <c r="V850" s="2487"/>
      <c r="W850" s="2487"/>
      <c r="X850" s="2487"/>
      <c r="Y850" s="2487"/>
      <c r="Z850" s="2487"/>
      <c r="AA850" s="2487"/>
      <c r="AB850" s="2487"/>
      <c r="AC850" s="2487"/>
      <c r="AD850" s="2487"/>
      <c r="AE850" s="2487"/>
      <c r="AF850" s="2487"/>
      <c r="AG850" s="2487"/>
      <c r="AH850" s="2487"/>
      <c r="AI850" s="2487"/>
      <c r="AJ850" s="2487"/>
      <c r="AK850" s="2487"/>
      <c r="AL850" s="2487"/>
      <c r="AM850" s="2487"/>
    </row>
    <row r="851" spans="1:39" ht="15.75" customHeight="1" x14ac:dyDescent="0.25">
      <c r="A851" s="2487"/>
      <c r="B851" s="2487"/>
      <c r="C851" s="2487"/>
      <c r="D851" s="2487"/>
      <c r="E851" s="2487"/>
      <c r="F851" s="2487"/>
      <c r="G851" s="2487"/>
      <c r="H851" s="2487"/>
      <c r="I851" s="2487"/>
      <c r="J851" s="2487"/>
      <c r="K851" s="2487"/>
      <c r="L851" s="2487"/>
      <c r="M851" s="2487"/>
      <c r="N851" s="2487"/>
      <c r="O851" s="2487"/>
      <c r="P851" s="2487"/>
      <c r="Q851" s="2487"/>
      <c r="R851" s="2487"/>
      <c r="S851" s="2487"/>
      <c r="T851" s="2487"/>
      <c r="U851" s="2487"/>
      <c r="V851" s="2487"/>
      <c r="W851" s="2487"/>
      <c r="X851" s="2487"/>
      <c r="Y851" s="2487"/>
      <c r="Z851" s="2487"/>
      <c r="AA851" s="2487"/>
      <c r="AB851" s="2487"/>
      <c r="AC851" s="2487"/>
      <c r="AD851" s="2487"/>
      <c r="AE851" s="2487"/>
      <c r="AF851" s="2487"/>
      <c r="AG851" s="2487"/>
      <c r="AH851" s="2487"/>
      <c r="AI851" s="2487"/>
      <c r="AJ851" s="2487"/>
      <c r="AK851" s="2487"/>
      <c r="AL851" s="2487"/>
      <c r="AM851" s="2487"/>
    </row>
    <row r="852" spans="1:39" ht="15.75" customHeight="1" x14ac:dyDescent="0.25">
      <c r="A852" s="2487"/>
      <c r="B852" s="2487"/>
      <c r="C852" s="2487"/>
      <c r="D852" s="2487"/>
      <c r="E852" s="2487"/>
      <c r="F852" s="2487"/>
      <c r="G852" s="2487"/>
      <c r="H852" s="2487"/>
      <c r="I852" s="2487"/>
      <c r="J852" s="2487"/>
      <c r="K852" s="2487"/>
      <c r="L852" s="2487"/>
      <c r="M852" s="2487"/>
      <c r="N852" s="2487"/>
      <c r="O852" s="2487"/>
      <c r="P852" s="2487"/>
      <c r="Q852" s="2487"/>
      <c r="R852" s="2487"/>
      <c r="S852" s="2487"/>
      <c r="T852" s="2487"/>
      <c r="U852" s="2487"/>
      <c r="V852" s="2487"/>
      <c r="W852" s="2487"/>
      <c r="X852" s="2487"/>
      <c r="Y852" s="2487"/>
      <c r="Z852" s="2487"/>
      <c r="AA852" s="2487"/>
      <c r="AB852" s="2487"/>
      <c r="AC852" s="2487"/>
      <c r="AD852" s="2487"/>
      <c r="AE852" s="2487"/>
      <c r="AF852" s="2487"/>
      <c r="AG852" s="2487"/>
      <c r="AH852" s="2487"/>
      <c r="AI852" s="2487"/>
      <c r="AJ852" s="2487"/>
      <c r="AK852" s="2487"/>
      <c r="AL852" s="2487"/>
      <c r="AM852" s="2487"/>
    </row>
    <row r="853" spans="1:39" ht="15.75" customHeight="1" x14ac:dyDescent="0.25">
      <c r="A853" s="2487"/>
      <c r="B853" s="2487"/>
      <c r="C853" s="2487"/>
      <c r="D853" s="2487"/>
      <c r="E853" s="2487"/>
      <c r="F853" s="2487"/>
      <c r="G853" s="2487"/>
      <c r="H853" s="2487"/>
      <c r="I853" s="2487"/>
      <c r="J853" s="2487"/>
      <c r="K853" s="2487"/>
      <c r="L853" s="2487"/>
      <c r="M853" s="2487"/>
      <c r="N853" s="2487"/>
      <c r="O853" s="2487"/>
      <c r="P853" s="2487"/>
      <c r="Q853" s="2487"/>
      <c r="R853" s="2487"/>
      <c r="S853" s="2487"/>
      <c r="T853" s="2487"/>
      <c r="U853" s="2487"/>
      <c r="V853" s="2487"/>
      <c r="W853" s="2487"/>
      <c r="X853" s="2487"/>
      <c r="Y853" s="2487"/>
      <c r="Z853" s="2487"/>
      <c r="AA853" s="2487"/>
      <c r="AB853" s="2487"/>
      <c r="AC853" s="2487"/>
      <c r="AD853" s="2487"/>
      <c r="AE853" s="2487"/>
      <c r="AF853" s="2487"/>
      <c r="AG853" s="2487"/>
      <c r="AH853" s="2487"/>
      <c r="AI853" s="2487"/>
      <c r="AJ853" s="2487"/>
      <c r="AK853" s="2487"/>
      <c r="AL853" s="2487"/>
      <c r="AM853" s="2487"/>
    </row>
    <row r="854" spans="1:39" ht="15.75" customHeight="1" x14ac:dyDescent="0.25">
      <c r="A854" s="2487"/>
      <c r="B854" s="2487"/>
      <c r="C854" s="2487"/>
      <c r="D854" s="2487"/>
      <c r="E854" s="2487"/>
      <c r="F854" s="2487"/>
      <c r="G854" s="2487"/>
      <c r="H854" s="2487"/>
      <c r="I854" s="2487"/>
      <c r="J854" s="2487"/>
      <c r="K854" s="2487"/>
      <c r="L854" s="2487"/>
      <c r="M854" s="2487"/>
      <c r="N854" s="2487"/>
      <c r="O854" s="2487"/>
      <c r="P854" s="2487"/>
      <c r="Q854" s="2487"/>
      <c r="R854" s="2487"/>
      <c r="S854" s="2487"/>
      <c r="T854" s="2487"/>
      <c r="U854" s="2487"/>
      <c r="V854" s="2487"/>
      <c r="W854" s="2487"/>
      <c r="X854" s="2487"/>
      <c r="Y854" s="2487"/>
      <c r="Z854" s="2487"/>
      <c r="AA854" s="2487"/>
      <c r="AB854" s="2487"/>
      <c r="AC854" s="2487"/>
      <c r="AD854" s="2487"/>
      <c r="AE854" s="2487"/>
      <c r="AF854" s="2487"/>
      <c r="AG854" s="2487"/>
      <c r="AH854" s="2487"/>
      <c r="AI854" s="2487"/>
      <c r="AJ854" s="2487"/>
      <c r="AK854" s="2487"/>
      <c r="AL854" s="2487"/>
      <c r="AM854" s="2487"/>
    </row>
    <row r="855" spans="1:39" ht="15.75" customHeight="1" x14ac:dyDescent="0.25">
      <c r="A855" s="2487"/>
      <c r="B855" s="2487"/>
      <c r="C855" s="2487"/>
      <c r="D855" s="2487"/>
      <c r="E855" s="2487"/>
      <c r="F855" s="2487"/>
      <c r="G855" s="2487"/>
      <c r="H855" s="2487"/>
      <c r="I855" s="2487"/>
      <c r="J855" s="2487"/>
      <c r="K855" s="2487"/>
      <c r="L855" s="2487"/>
      <c r="M855" s="2487"/>
      <c r="N855" s="2487"/>
      <c r="O855" s="2487"/>
      <c r="P855" s="2487"/>
      <c r="Q855" s="2487"/>
      <c r="R855" s="2487"/>
      <c r="S855" s="2487"/>
      <c r="T855" s="2487"/>
      <c r="U855" s="2487"/>
      <c r="V855" s="2487"/>
      <c r="W855" s="2487"/>
      <c r="X855" s="2487"/>
      <c r="Y855" s="2487"/>
      <c r="Z855" s="2487"/>
      <c r="AA855" s="2487"/>
      <c r="AB855" s="2487"/>
      <c r="AC855" s="2487"/>
      <c r="AD855" s="2487"/>
      <c r="AE855" s="2487"/>
      <c r="AF855" s="2487"/>
      <c r="AG855" s="2487"/>
      <c r="AH855" s="2487"/>
      <c r="AI855" s="2487"/>
      <c r="AJ855" s="2487"/>
      <c r="AK855" s="2487"/>
      <c r="AL855" s="2487"/>
      <c r="AM855" s="2487"/>
    </row>
    <row r="856" spans="1:39" ht="15.75" customHeight="1" x14ac:dyDescent="0.25">
      <c r="A856" s="2487"/>
      <c r="B856" s="2487"/>
      <c r="C856" s="2487"/>
      <c r="D856" s="2487"/>
      <c r="E856" s="2487"/>
      <c r="F856" s="2487"/>
      <c r="G856" s="2487"/>
      <c r="H856" s="2487"/>
      <c r="I856" s="2487"/>
      <c r="J856" s="2487"/>
      <c r="K856" s="2487"/>
      <c r="L856" s="2487"/>
      <c r="M856" s="2487"/>
      <c r="N856" s="2487"/>
      <c r="O856" s="2487"/>
      <c r="P856" s="2487"/>
      <c r="Q856" s="2487"/>
      <c r="R856" s="2487"/>
      <c r="S856" s="2487"/>
      <c r="T856" s="2487"/>
      <c r="U856" s="2487"/>
      <c r="V856" s="2487"/>
      <c r="W856" s="2487"/>
      <c r="X856" s="2487"/>
      <c r="Y856" s="2487"/>
      <c r="Z856" s="2487"/>
      <c r="AA856" s="2487"/>
      <c r="AB856" s="2487"/>
      <c r="AC856" s="2487"/>
      <c r="AD856" s="2487"/>
      <c r="AE856" s="2487"/>
      <c r="AF856" s="2487"/>
      <c r="AG856" s="2487"/>
      <c r="AH856" s="2487"/>
      <c r="AI856" s="2487"/>
      <c r="AJ856" s="2487"/>
      <c r="AK856" s="2487"/>
      <c r="AL856" s="2487"/>
      <c r="AM856" s="2487"/>
    </row>
    <row r="857" spans="1:39" ht="15.75" customHeight="1" x14ac:dyDescent="0.25">
      <c r="A857" s="2487"/>
      <c r="B857" s="2487"/>
      <c r="C857" s="2487"/>
      <c r="D857" s="2487"/>
      <c r="E857" s="2487"/>
      <c r="F857" s="2487"/>
      <c r="G857" s="2487"/>
      <c r="H857" s="2487"/>
      <c r="I857" s="2487"/>
      <c r="J857" s="2487"/>
      <c r="K857" s="2487"/>
      <c r="L857" s="2487"/>
      <c r="M857" s="2487"/>
      <c r="N857" s="2487"/>
      <c r="O857" s="2487"/>
      <c r="P857" s="2487"/>
      <c r="Q857" s="2487"/>
      <c r="R857" s="2487"/>
      <c r="S857" s="2487"/>
      <c r="T857" s="2487"/>
      <c r="U857" s="2487"/>
      <c r="V857" s="2487"/>
      <c r="W857" s="2487"/>
      <c r="X857" s="2487"/>
      <c r="Y857" s="2487"/>
      <c r="Z857" s="2487"/>
      <c r="AA857" s="2487"/>
      <c r="AB857" s="2487"/>
      <c r="AC857" s="2487"/>
      <c r="AD857" s="2487"/>
      <c r="AE857" s="2487"/>
      <c r="AF857" s="2487"/>
      <c r="AG857" s="2487"/>
      <c r="AH857" s="2487"/>
      <c r="AI857" s="2487"/>
      <c r="AJ857" s="2487"/>
      <c r="AK857" s="2487"/>
      <c r="AL857" s="2487"/>
      <c r="AM857" s="2487"/>
    </row>
    <row r="858" spans="1:39" ht="15.75" customHeight="1" x14ac:dyDescent="0.25">
      <c r="A858" s="2487"/>
      <c r="B858" s="2487"/>
      <c r="C858" s="2487"/>
      <c r="D858" s="2487"/>
      <c r="E858" s="2487"/>
      <c r="F858" s="2487"/>
      <c r="G858" s="2487"/>
      <c r="H858" s="2487"/>
      <c r="I858" s="2487"/>
      <c r="J858" s="2487"/>
      <c r="K858" s="2487"/>
      <c r="L858" s="2487"/>
      <c r="M858" s="2487"/>
      <c r="N858" s="2487"/>
      <c r="O858" s="2487"/>
      <c r="P858" s="2487"/>
      <c r="Q858" s="2487"/>
      <c r="R858" s="2487"/>
      <c r="S858" s="2487"/>
      <c r="T858" s="2487"/>
      <c r="U858" s="2487"/>
      <c r="V858" s="2487"/>
      <c r="W858" s="2487"/>
      <c r="X858" s="2487"/>
      <c r="Y858" s="2487"/>
      <c r="Z858" s="2487"/>
      <c r="AA858" s="2487"/>
      <c r="AB858" s="2487"/>
      <c r="AC858" s="2487"/>
      <c r="AD858" s="2487"/>
      <c r="AE858" s="2487"/>
      <c r="AF858" s="2487"/>
      <c r="AG858" s="2487"/>
      <c r="AH858" s="2487"/>
      <c r="AI858" s="2487"/>
      <c r="AJ858" s="2487"/>
      <c r="AK858" s="2487"/>
      <c r="AL858" s="2487"/>
      <c r="AM858" s="2487"/>
    </row>
    <row r="859" spans="1:39" ht="15.75" customHeight="1" x14ac:dyDescent="0.25">
      <c r="A859" s="2487"/>
      <c r="B859" s="2487"/>
      <c r="C859" s="2487"/>
      <c r="D859" s="2487"/>
      <c r="E859" s="2487"/>
      <c r="F859" s="2487"/>
      <c r="G859" s="2487"/>
      <c r="H859" s="2487"/>
      <c r="I859" s="2487"/>
      <c r="J859" s="2487"/>
      <c r="K859" s="2487"/>
      <c r="L859" s="2487"/>
      <c r="M859" s="2487"/>
      <c r="N859" s="2487"/>
      <c r="O859" s="2487"/>
      <c r="P859" s="2487"/>
      <c r="Q859" s="2487"/>
      <c r="R859" s="2487"/>
      <c r="S859" s="2487"/>
      <c r="T859" s="2487"/>
      <c r="U859" s="2487"/>
      <c r="V859" s="2487"/>
      <c r="W859" s="2487"/>
      <c r="X859" s="2487"/>
      <c r="Y859" s="2487"/>
      <c r="Z859" s="2487"/>
      <c r="AA859" s="2487"/>
      <c r="AB859" s="2487"/>
      <c r="AC859" s="2487"/>
      <c r="AD859" s="2487"/>
      <c r="AE859" s="2487"/>
      <c r="AF859" s="2487"/>
      <c r="AG859" s="2487"/>
      <c r="AH859" s="2487"/>
      <c r="AI859" s="2487"/>
      <c r="AJ859" s="2487"/>
      <c r="AK859" s="2487"/>
      <c r="AL859" s="2487"/>
      <c r="AM859" s="2487"/>
    </row>
    <row r="860" spans="1:39" ht="15.75" customHeight="1" x14ac:dyDescent="0.25">
      <c r="A860" s="2487"/>
      <c r="B860" s="2487"/>
      <c r="C860" s="2487"/>
      <c r="D860" s="2487"/>
      <c r="E860" s="2487"/>
      <c r="F860" s="2487"/>
      <c r="G860" s="2487"/>
      <c r="H860" s="2487"/>
      <c r="I860" s="2487"/>
      <c r="J860" s="2487"/>
      <c r="K860" s="2487"/>
      <c r="L860" s="2487"/>
      <c r="M860" s="2487"/>
      <c r="N860" s="2487"/>
      <c r="O860" s="2487"/>
      <c r="P860" s="2487"/>
      <c r="Q860" s="2487"/>
      <c r="R860" s="2487"/>
      <c r="S860" s="2487"/>
      <c r="T860" s="2487"/>
      <c r="U860" s="2487"/>
      <c r="V860" s="2487"/>
      <c r="W860" s="2487"/>
      <c r="X860" s="2487"/>
      <c r="Y860" s="2487"/>
      <c r="Z860" s="2487"/>
      <c r="AA860" s="2487"/>
      <c r="AB860" s="2487"/>
      <c r="AC860" s="2487"/>
      <c r="AD860" s="2487"/>
      <c r="AE860" s="2487"/>
      <c r="AF860" s="2487"/>
      <c r="AG860" s="2487"/>
      <c r="AH860" s="2487"/>
      <c r="AI860" s="2487"/>
      <c r="AJ860" s="2487"/>
      <c r="AK860" s="2487"/>
      <c r="AL860" s="2487"/>
      <c r="AM860" s="2487"/>
    </row>
    <row r="861" spans="1:39" ht="15.75" customHeight="1" x14ac:dyDescent="0.25">
      <c r="A861" s="2487"/>
      <c r="B861" s="2487"/>
      <c r="C861" s="2487"/>
      <c r="D861" s="2487"/>
      <c r="E861" s="2487"/>
      <c r="F861" s="2487"/>
      <c r="G861" s="2487"/>
      <c r="H861" s="2487"/>
      <c r="I861" s="2487"/>
      <c r="J861" s="2487"/>
      <c r="K861" s="2487"/>
      <c r="L861" s="2487"/>
      <c r="M861" s="2487"/>
      <c r="N861" s="2487"/>
      <c r="O861" s="2487"/>
      <c r="P861" s="2487"/>
      <c r="Q861" s="2487"/>
      <c r="R861" s="2487"/>
      <c r="S861" s="2487"/>
      <c r="T861" s="2487"/>
      <c r="U861" s="2487"/>
      <c r="V861" s="2487"/>
      <c r="W861" s="2487"/>
      <c r="X861" s="2487"/>
      <c r="Y861" s="2487"/>
      <c r="Z861" s="2487"/>
      <c r="AA861" s="2487"/>
      <c r="AB861" s="2487"/>
      <c r="AC861" s="2487"/>
      <c r="AD861" s="2487"/>
      <c r="AE861" s="2487"/>
      <c r="AF861" s="2487"/>
      <c r="AG861" s="2487"/>
      <c r="AH861" s="2487"/>
      <c r="AI861" s="2487"/>
      <c r="AJ861" s="2487"/>
      <c r="AK861" s="2487"/>
      <c r="AL861" s="2487"/>
      <c r="AM861" s="2487"/>
    </row>
    <row r="862" spans="1:39" ht="15.75" customHeight="1" x14ac:dyDescent="0.25">
      <c r="A862" s="2487"/>
      <c r="B862" s="2487"/>
      <c r="C862" s="2487"/>
      <c r="D862" s="2487"/>
      <c r="E862" s="2487"/>
      <c r="F862" s="2487"/>
      <c r="G862" s="2487"/>
      <c r="H862" s="2487"/>
      <c r="I862" s="2487"/>
      <c r="J862" s="2487"/>
      <c r="K862" s="2487"/>
      <c r="L862" s="2487"/>
      <c r="M862" s="2487"/>
      <c r="N862" s="2487"/>
      <c r="O862" s="2487"/>
      <c r="P862" s="2487"/>
      <c r="Q862" s="2487"/>
      <c r="R862" s="2487"/>
      <c r="S862" s="2487"/>
      <c r="T862" s="2487"/>
      <c r="U862" s="2487"/>
      <c r="V862" s="2487"/>
      <c r="W862" s="2487"/>
      <c r="X862" s="2487"/>
      <c r="Y862" s="2487"/>
      <c r="Z862" s="2487"/>
      <c r="AA862" s="2487"/>
      <c r="AB862" s="2487"/>
      <c r="AC862" s="2487"/>
      <c r="AD862" s="2487"/>
      <c r="AE862" s="2487"/>
      <c r="AF862" s="2487"/>
      <c r="AG862" s="2487"/>
      <c r="AH862" s="2487"/>
      <c r="AI862" s="2487"/>
      <c r="AJ862" s="2487"/>
      <c r="AK862" s="2487"/>
      <c r="AL862" s="2487"/>
      <c r="AM862" s="2487"/>
    </row>
    <row r="863" spans="1:39" ht="15.75" customHeight="1" x14ac:dyDescent="0.25">
      <c r="A863" s="2487"/>
      <c r="B863" s="2487"/>
      <c r="C863" s="2487"/>
      <c r="D863" s="2487"/>
      <c r="E863" s="2487"/>
      <c r="F863" s="2487"/>
      <c r="G863" s="2487"/>
      <c r="H863" s="2487"/>
      <c r="I863" s="2487"/>
      <c r="J863" s="2487"/>
      <c r="K863" s="2487"/>
      <c r="L863" s="2487"/>
      <c r="M863" s="2487"/>
      <c r="N863" s="2487"/>
      <c r="O863" s="2487"/>
      <c r="P863" s="2487"/>
      <c r="Q863" s="2487"/>
      <c r="R863" s="2487"/>
      <c r="S863" s="2487"/>
      <c r="T863" s="2487"/>
      <c r="U863" s="2487"/>
      <c r="V863" s="2487"/>
      <c r="W863" s="2487"/>
      <c r="X863" s="2487"/>
      <c r="Y863" s="2487"/>
      <c r="Z863" s="2487"/>
      <c r="AA863" s="2487"/>
      <c r="AB863" s="2487"/>
      <c r="AC863" s="2487"/>
      <c r="AD863" s="2487"/>
      <c r="AE863" s="2487"/>
      <c r="AF863" s="2487"/>
      <c r="AG863" s="2487"/>
      <c r="AH863" s="2487"/>
      <c r="AI863" s="2487"/>
      <c r="AJ863" s="2487"/>
      <c r="AK863" s="2487"/>
      <c r="AL863" s="2487"/>
      <c r="AM863" s="2487"/>
    </row>
    <row r="864" spans="1:39" ht="15.75" customHeight="1" x14ac:dyDescent="0.25">
      <c r="A864" s="2487"/>
      <c r="B864" s="2487"/>
      <c r="C864" s="2487"/>
      <c r="D864" s="2487"/>
      <c r="E864" s="2487"/>
      <c r="F864" s="2487"/>
      <c r="G864" s="2487"/>
      <c r="H864" s="2487"/>
      <c r="I864" s="2487"/>
      <c r="J864" s="2487"/>
      <c r="K864" s="2487"/>
      <c r="L864" s="2487"/>
      <c r="M864" s="2487"/>
      <c r="N864" s="2487"/>
      <c r="O864" s="2487"/>
      <c r="P864" s="2487"/>
      <c r="Q864" s="2487"/>
      <c r="R864" s="2487"/>
      <c r="S864" s="2487"/>
      <c r="T864" s="2487"/>
      <c r="U864" s="2487"/>
      <c r="V864" s="2487"/>
      <c r="W864" s="2487"/>
      <c r="X864" s="2487"/>
      <c r="Y864" s="2487"/>
      <c r="Z864" s="2487"/>
      <c r="AA864" s="2487"/>
      <c r="AB864" s="2487"/>
      <c r="AC864" s="2487"/>
      <c r="AD864" s="2487"/>
      <c r="AE864" s="2487"/>
      <c r="AF864" s="2487"/>
      <c r="AG864" s="2487"/>
      <c r="AH864" s="2487"/>
      <c r="AI864" s="2487"/>
      <c r="AJ864" s="2487"/>
      <c r="AK864" s="2487"/>
      <c r="AL864" s="2487"/>
      <c r="AM864" s="2487"/>
    </row>
    <row r="865" spans="1:39" ht="15.75" customHeight="1" x14ac:dyDescent="0.25">
      <c r="A865" s="2487"/>
      <c r="B865" s="2487"/>
      <c r="C865" s="2487"/>
      <c r="D865" s="2487"/>
      <c r="E865" s="2487"/>
      <c r="F865" s="2487"/>
      <c r="G865" s="2487"/>
      <c r="H865" s="2487"/>
      <c r="I865" s="2487"/>
      <c r="J865" s="2487"/>
      <c r="K865" s="2487"/>
      <c r="L865" s="2487"/>
      <c r="M865" s="2487"/>
      <c r="N865" s="2487"/>
      <c r="O865" s="2487"/>
      <c r="P865" s="2487"/>
      <c r="Q865" s="2487"/>
      <c r="R865" s="2487"/>
      <c r="S865" s="2487"/>
      <c r="T865" s="2487"/>
      <c r="U865" s="2487"/>
      <c r="V865" s="2487"/>
      <c r="W865" s="2487"/>
      <c r="X865" s="2487"/>
      <c r="Y865" s="2487"/>
      <c r="Z865" s="2487"/>
      <c r="AA865" s="2487"/>
      <c r="AB865" s="2487"/>
      <c r="AC865" s="2487"/>
      <c r="AD865" s="2487"/>
      <c r="AE865" s="2487"/>
      <c r="AF865" s="2487"/>
      <c r="AG865" s="2487"/>
      <c r="AH865" s="2487"/>
      <c r="AI865" s="2487"/>
      <c r="AJ865" s="2487"/>
      <c r="AK865" s="2487"/>
      <c r="AL865" s="2487"/>
      <c r="AM865" s="2487"/>
    </row>
    <row r="866" spans="1:39" ht="15.75" customHeight="1" x14ac:dyDescent="0.25">
      <c r="A866" s="2487"/>
      <c r="B866" s="2487"/>
      <c r="C866" s="2487"/>
      <c r="D866" s="2487"/>
      <c r="E866" s="2487"/>
      <c r="F866" s="2487"/>
      <c r="G866" s="2487"/>
      <c r="H866" s="2487"/>
      <c r="I866" s="2487"/>
      <c r="J866" s="2487"/>
      <c r="K866" s="2487"/>
      <c r="L866" s="2487"/>
      <c r="M866" s="2487"/>
      <c r="N866" s="2487"/>
      <c r="O866" s="2487"/>
      <c r="P866" s="2487"/>
      <c r="Q866" s="2487"/>
      <c r="R866" s="2487"/>
      <c r="S866" s="2487"/>
      <c r="T866" s="2487"/>
      <c r="U866" s="2487"/>
      <c r="V866" s="2487"/>
      <c r="W866" s="2487"/>
      <c r="X866" s="2487"/>
      <c r="Y866" s="2487"/>
      <c r="Z866" s="2487"/>
      <c r="AA866" s="2487"/>
      <c r="AB866" s="2487"/>
      <c r="AC866" s="2487"/>
      <c r="AD866" s="2487"/>
      <c r="AE866" s="2487"/>
      <c r="AF866" s="2487"/>
      <c r="AG866" s="2487"/>
      <c r="AH866" s="2487"/>
      <c r="AI866" s="2487"/>
      <c r="AJ866" s="2487"/>
      <c r="AK866" s="2487"/>
      <c r="AL866" s="2487"/>
      <c r="AM866" s="2487"/>
    </row>
    <row r="867" spans="1:39" ht="15.75" customHeight="1" x14ac:dyDescent="0.25">
      <c r="A867" s="2487"/>
      <c r="B867" s="2487"/>
      <c r="C867" s="2487"/>
      <c r="D867" s="2487"/>
      <c r="E867" s="2487"/>
      <c r="F867" s="2487"/>
      <c r="G867" s="2487"/>
      <c r="H867" s="2487"/>
      <c r="I867" s="2487"/>
      <c r="J867" s="2487"/>
      <c r="K867" s="2487"/>
      <c r="L867" s="2487"/>
      <c r="M867" s="2487"/>
      <c r="N867" s="2487"/>
      <c r="O867" s="2487"/>
      <c r="P867" s="2487"/>
      <c r="Q867" s="2487"/>
      <c r="R867" s="2487"/>
      <c r="S867" s="2487"/>
      <c r="T867" s="2487"/>
      <c r="U867" s="2487"/>
      <c r="V867" s="2487"/>
      <c r="W867" s="2487"/>
      <c r="X867" s="2487"/>
      <c r="Y867" s="2487"/>
      <c r="Z867" s="2487"/>
      <c r="AA867" s="2487"/>
      <c r="AB867" s="2487"/>
      <c r="AC867" s="2487"/>
      <c r="AD867" s="2487"/>
      <c r="AE867" s="2487"/>
      <c r="AF867" s="2487"/>
      <c r="AG867" s="2487"/>
      <c r="AH867" s="2487"/>
      <c r="AI867" s="2487"/>
      <c r="AJ867" s="2487"/>
      <c r="AK867" s="2487"/>
      <c r="AL867" s="2487"/>
      <c r="AM867" s="2487"/>
    </row>
    <row r="868" spans="1:39" ht="15.75" customHeight="1" x14ac:dyDescent="0.25">
      <c r="A868" s="2487"/>
      <c r="B868" s="2487"/>
      <c r="C868" s="2487"/>
      <c r="D868" s="2487"/>
      <c r="E868" s="2487"/>
      <c r="F868" s="2487"/>
      <c r="G868" s="2487"/>
      <c r="H868" s="2487"/>
      <c r="I868" s="2487"/>
      <c r="J868" s="2487"/>
      <c r="K868" s="2487"/>
      <c r="L868" s="2487"/>
      <c r="M868" s="2487"/>
      <c r="N868" s="2487"/>
      <c r="O868" s="2487"/>
      <c r="P868" s="2487"/>
      <c r="Q868" s="2487"/>
      <c r="R868" s="2487"/>
      <c r="S868" s="2487"/>
      <c r="T868" s="2487"/>
      <c r="U868" s="2487"/>
      <c r="V868" s="2487"/>
      <c r="W868" s="2487"/>
      <c r="X868" s="2487"/>
      <c r="Y868" s="2487"/>
      <c r="Z868" s="2487"/>
      <c r="AA868" s="2487"/>
      <c r="AB868" s="2487"/>
      <c r="AC868" s="2487"/>
      <c r="AD868" s="2487"/>
      <c r="AE868" s="2487"/>
      <c r="AF868" s="2487"/>
      <c r="AG868" s="2487"/>
      <c r="AH868" s="2487"/>
      <c r="AI868" s="2487"/>
      <c r="AJ868" s="2487"/>
      <c r="AK868" s="2487"/>
      <c r="AL868" s="2487"/>
      <c r="AM868" s="2487"/>
    </row>
    <row r="869" spans="1:39" ht="15.75" customHeight="1" x14ac:dyDescent="0.25">
      <c r="A869" s="2487"/>
      <c r="B869" s="2487"/>
      <c r="C869" s="2487"/>
      <c r="D869" s="2487"/>
      <c r="E869" s="2487"/>
      <c r="F869" s="2487"/>
      <c r="G869" s="2487"/>
      <c r="H869" s="2487"/>
      <c r="I869" s="2487"/>
      <c r="J869" s="2487"/>
      <c r="K869" s="2487"/>
      <c r="L869" s="2487"/>
      <c r="M869" s="2487"/>
      <c r="N869" s="2487"/>
      <c r="O869" s="2487"/>
      <c r="P869" s="2487"/>
      <c r="Q869" s="2487"/>
      <c r="R869" s="2487"/>
      <c r="S869" s="2487"/>
      <c r="T869" s="2487"/>
      <c r="U869" s="2487"/>
      <c r="V869" s="2487"/>
      <c r="W869" s="2487"/>
      <c r="X869" s="2487"/>
      <c r="Y869" s="2487"/>
      <c r="Z869" s="2487"/>
      <c r="AA869" s="2487"/>
      <c r="AB869" s="2487"/>
      <c r="AC869" s="2487"/>
      <c r="AD869" s="2487"/>
      <c r="AE869" s="2487"/>
      <c r="AF869" s="2487"/>
      <c r="AG869" s="2487"/>
      <c r="AH869" s="2487"/>
      <c r="AI869" s="2487"/>
      <c r="AJ869" s="2487"/>
      <c r="AK869" s="2487"/>
      <c r="AL869" s="2487"/>
      <c r="AM869" s="2487"/>
    </row>
    <row r="870" spans="1:39" ht="15.75" customHeight="1" x14ac:dyDescent="0.25">
      <c r="A870" s="2487"/>
      <c r="B870" s="2487"/>
      <c r="C870" s="2487"/>
      <c r="D870" s="2487"/>
      <c r="E870" s="2487"/>
      <c r="F870" s="2487"/>
      <c r="G870" s="2487"/>
      <c r="H870" s="2487"/>
      <c r="I870" s="2487"/>
      <c r="J870" s="2487"/>
      <c r="K870" s="2487"/>
      <c r="L870" s="2487"/>
      <c r="M870" s="2487"/>
      <c r="N870" s="2487"/>
      <c r="O870" s="2487"/>
      <c r="P870" s="2487"/>
      <c r="Q870" s="2487"/>
      <c r="R870" s="2487"/>
      <c r="S870" s="2487"/>
      <c r="T870" s="2487"/>
      <c r="U870" s="2487"/>
      <c r="V870" s="2487"/>
      <c r="W870" s="2487"/>
      <c r="X870" s="2487"/>
      <c r="Y870" s="2487"/>
      <c r="Z870" s="2487"/>
      <c r="AA870" s="2487"/>
      <c r="AB870" s="2487"/>
      <c r="AC870" s="2487"/>
      <c r="AD870" s="2487"/>
      <c r="AE870" s="2487"/>
      <c r="AF870" s="2487"/>
      <c r="AG870" s="2487"/>
      <c r="AH870" s="2487"/>
      <c r="AI870" s="2487"/>
      <c r="AJ870" s="2487"/>
      <c r="AK870" s="2487"/>
      <c r="AL870" s="2487"/>
      <c r="AM870" s="2487"/>
    </row>
    <row r="871" spans="1:39" ht="15.75" customHeight="1" x14ac:dyDescent="0.25">
      <c r="A871" s="2487"/>
      <c r="B871" s="2487"/>
      <c r="C871" s="2487"/>
      <c r="D871" s="2487"/>
      <c r="E871" s="2487"/>
      <c r="F871" s="2487"/>
      <c r="G871" s="2487"/>
      <c r="H871" s="2487"/>
      <c r="I871" s="2487"/>
      <c r="J871" s="2487"/>
      <c r="K871" s="2487"/>
      <c r="L871" s="2487"/>
      <c r="M871" s="2487"/>
      <c r="N871" s="2487"/>
      <c r="O871" s="2487"/>
      <c r="P871" s="2487"/>
      <c r="Q871" s="2487"/>
      <c r="R871" s="2487"/>
      <c r="S871" s="2487"/>
      <c r="T871" s="2487"/>
      <c r="U871" s="2487"/>
      <c r="V871" s="2487"/>
      <c r="W871" s="2487"/>
      <c r="X871" s="2487"/>
      <c r="Y871" s="2487"/>
      <c r="Z871" s="2487"/>
      <c r="AA871" s="2487"/>
      <c r="AB871" s="2487"/>
      <c r="AC871" s="2487"/>
      <c r="AD871" s="2487"/>
      <c r="AE871" s="2487"/>
      <c r="AF871" s="2487"/>
      <c r="AG871" s="2487"/>
      <c r="AH871" s="2487"/>
      <c r="AI871" s="2487"/>
      <c r="AJ871" s="2487"/>
      <c r="AK871" s="2487"/>
      <c r="AL871" s="2487"/>
      <c r="AM871" s="2487"/>
    </row>
    <row r="872" spans="1:39" ht="15.75" customHeight="1" x14ac:dyDescent="0.25">
      <c r="A872" s="2487"/>
      <c r="B872" s="2487"/>
      <c r="C872" s="2487"/>
      <c r="D872" s="2487"/>
      <c r="E872" s="2487"/>
      <c r="F872" s="2487"/>
      <c r="G872" s="2487"/>
      <c r="H872" s="2487"/>
      <c r="I872" s="2487"/>
      <c r="J872" s="2487"/>
      <c r="K872" s="2487"/>
      <c r="L872" s="2487"/>
      <c r="M872" s="2487"/>
      <c r="N872" s="2487"/>
      <c r="O872" s="2487"/>
      <c r="P872" s="2487"/>
      <c r="Q872" s="2487"/>
      <c r="R872" s="2487"/>
      <c r="S872" s="2487"/>
      <c r="T872" s="2487"/>
      <c r="U872" s="2487"/>
      <c r="V872" s="2487"/>
      <c r="W872" s="2487"/>
      <c r="X872" s="2487"/>
      <c r="Y872" s="2487"/>
      <c r="Z872" s="2487"/>
      <c r="AA872" s="2487"/>
      <c r="AB872" s="2487"/>
      <c r="AC872" s="2487"/>
      <c r="AD872" s="2487"/>
      <c r="AE872" s="2487"/>
      <c r="AF872" s="2487"/>
      <c r="AG872" s="2487"/>
      <c r="AH872" s="2487"/>
      <c r="AI872" s="2487"/>
      <c r="AJ872" s="2487"/>
      <c r="AK872" s="2487"/>
      <c r="AL872" s="2487"/>
      <c r="AM872" s="2487"/>
    </row>
    <row r="873" spans="1:39" ht="15.75" customHeight="1" x14ac:dyDescent="0.25">
      <c r="A873" s="2487"/>
      <c r="B873" s="2487"/>
      <c r="C873" s="2487"/>
      <c r="D873" s="2487"/>
      <c r="E873" s="2487"/>
      <c r="F873" s="2487"/>
      <c r="G873" s="2487"/>
      <c r="H873" s="2487"/>
      <c r="I873" s="2487"/>
      <c r="J873" s="2487"/>
      <c r="K873" s="2487"/>
      <c r="L873" s="2487"/>
      <c r="M873" s="2487"/>
      <c r="N873" s="2487"/>
      <c r="O873" s="2487"/>
      <c r="P873" s="2487"/>
      <c r="Q873" s="2487"/>
      <c r="R873" s="2487"/>
      <c r="S873" s="2487"/>
      <c r="T873" s="2487"/>
      <c r="U873" s="2487"/>
      <c r="V873" s="2487"/>
      <c r="W873" s="2487"/>
      <c r="X873" s="2487"/>
      <c r="Y873" s="2487"/>
      <c r="Z873" s="2487"/>
      <c r="AA873" s="2487"/>
      <c r="AB873" s="2487"/>
      <c r="AC873" s="2487"/>
      <c r="AD873" s="2487"/>
      <c r="AE873" s="2487"/>
      <c r="AF873" s="2487"/>
      <c r="AG873" s="2487"/>
      <c r="AH873" s="2487"/>
      <c r="AI873" s="2487"/>
      <c r="AJ873" s="2487"/>
      <c r="AK873" s="2487"/>
      <c r="AL873" s="2487"/>
      <c r="AM873" s="2487"/>
    </row>
    <row r="874" spans="1:39" ht="15.75" customHeight="1" x14ac:dyDescent="0.25">
      <c r="A874" s="2487"/>
      <c r="B874" s="2487"/>
      <c r="C874" s="2487"/>
      <c r="D874" s="2487"/>
      <c r="E874" s="2487"/>
      <c r="F874" s="2487"/>
      <c r="G874" s="2487"/>
      <c r="H874" s="2487"/>
      <c r="I874" s="2487"/>
      <c r="J874" s="2487"/>
      <c r="K874" s="2487"/>
      <c r="L874" s="2487"/>
      <c r="M874" s="2487"/>
      <c r="N874" s="2487"/>
      <c r="O874" s="2487"/>
      <c r="P874" s="2487"/>
      <c r="Q874" s="2487"/>
      <c r="R874" s="2487"/>
      <c r="S874" s="2487"/>
      <c r="T874" s="2487"/>
      <c r="U874" s="2487"/>
      <c r="V874" s="2487"/>
      <c r="W874" s="2487"/>
      <c r="X874" s="2487"/>
      <c r="Y874" s="2487"/>
      <c r="Z874" s="2487"/>
      <c r="AA874" s="2487"/>
      <c r="AB874" s="2487"/>
      <c r="AC874" s="2487"/>
      <c r="AD874" s="2487"/>
      <c r="AE874" s="2487"/>
      <c r="AF874" s="2487"/>
      <c r="AG874" s="2487"/>
      <c r="AH874" s="2487"/>
      <c r="AI874" s="2487"/>
      <c r="AJ874" s="2487"/>
      <c r="AK874" s="2487"/>
      <c r="AL874" s="2487"/>
      <c r="AM874" s="2487"/>
    </row>
    <row r="875" spans="1:39" ht="15.75" customHeight="1" x14ac:dyDescent="0.25">
      <c r="A875" s="2487"/>
      <c r="B875" s="2487"/>
      <c r="C875" s="2487"/>
      <c r="D875" s="2487"/>
      <c r="E875" s="2487"/>
      <c r="F875" s="2487"/>
      <c r="G875" s="2487"/>
      <c r="H875" s="2487"/>
      <c r="I875" s="2487"/>
      <c r="J875" s="2487"/>
      <c r="K875" s="2487"/>
      <c r="L875" s="2487"/>
      <c r="M875" s="2487"/>
      <c r="N875" s="2487"/>
      <c r="O875" s="2487"/>
      <c r="P875" s="2487"/>
      <c r="Q875" s="2487"/>
      <c r="R875" s="2487"/>
      <c r="S875" s="2487"/>
      <c r="T875" s="2487"/>
      <c r="U875" s="2487"/>
      <c r="V875" s="2487"/>
      <c r="W875" s="2487"/>
      <c r="X875" s="2487"/>
      <c r="Y875" s="2487"/>
      <c r="Z875" s="2487"/>
      <c r="AA875" s="2487"/>
      <c r="AB875" s="2487"/>
      <c r="AC875" s="2487"/>
      <c r="AD875" s="2487"/>
      <c r="AE875" s="2487"/>
      <c r="AF875" s="2487"/>
      <c r="AG875" s="2487"/>
      <c r="AH875" s="2487"/>
      <c r="AI875" s="2487"/>
      <c r="AJ875" s="2487"/>
      <c r="AK875" s="2487"/>
      <c r="AL875" s="2487"/>
      <c r="AM875" s="2487"/>
    </row>
    <row r="876" spans="1:39" ht="15.75" customHeight="1" x14ac:dyDescent="0.25">
      <c r="A876" s="2487"/>
      <c r="B876" s="2487"/>
      <c r="C876" s="2487"/>
      <c r="D876" s="2487"/>
      <c r="E876" s="2487"/>
      <c r="F876" s="2487"/>
      <c r="G876" s="2487"/>
      <c r="H876" s="2487"/>
      <c r="I876" s="2487"/>
      <c r="J876" s="2487"/>
      <c r="K876" s="2487"/>
      <c r="L876" s="2487"/>
      <c r="M876" s="2487"/>
      <c r="N876" s="2487"/>
      <c r="O876" s="2487"/>
      <c r="P876" s="2487"/>
      <c r="Q876" s="2487"/>
      <c r="R876" s="2487"/>
      <c r="S876" s="2487"/>
      <c r="T876" s="2487"/>
      <c r="U876" s="2487"/>
      <c r="V876" s="2487"/>
      <c r="W876" s="2487"/>
      <c r="X876" s="2487"/>
      <c r="Y876" s="2487"/>
      <c r="Z876" s="2487"/>
      <c r="AA876" s="2487"/>
      <c r="AB876" s="2487"/>
      <c r="AC876" s="2487"/>
      <c r="AD876" s="2487"/>
      <c r="AE876" s="2487"/>
      <c r="AF876" s="2487"/>
      <c r="AG876" s="2487"/>
      <c r="AH876" s="2487"/>
      <c r="AI876" s="2487"/>
      <c r="AJ876" s="2487"/>
      <c r="AK876" s="2487"/>
      <c r="AL876" s="2487"/>
      <c r="AM876" s="2487"/>
    </row>
    <row r="877" spans="1:39" ht="15.75" customHeight="1" x14ac:dyDescent="0.25">
      <c r="A877" s="2487"/>
      <c r="B877" s="2487"/>
      <c r="C877" s="2487"/>
      <c r="D877" s="2487"/>
      <c r="E877" s="2487"/>
      <c r="F877" s="2487"/>
      <c r="G877" s="2487"/>
      <c r="H877" s="2487"/>
      <c r="I877" s="2487"/>
      <c r="J877" s="2487"/>
      <c r="K877" s="2487"/>
      <c r="L877" s="2487"/>
      <c r="M877" s="2487"/>
      <c r="N877" s="2487"/>
      <c r="O877" s="2487"/>
      <c r="P877" s="2487"/>
      <c r="Q877" s="2487"/>
      <c r="R877" s="2487"/>
      <c r="S877" s="2487"/>
      <c r="T877" s="2487"/>
      <c r="U877" s="2487"/>
      <c r="V877" s="2487"/>
      <c r="W877" s="2487"/>
      <c r="X877" s="2487"/>
      <c r="Y877" s="2487"/>
      <c r="Z877" s="2487"/>
      <c r="AA877" s="2487"/>
      <c r="AB877" s="2487"/>
      <c r="AC877" s="2487"/>
      <c r="AD877" s="2487"/>
      <c r="AE877" s="2487"/>
      <c r="AF877" s="2487"/>
      <c r="AG877" s="2487"/>
      <c r="AH877" s="2487"/>
      <c r="AI877" s="2487"/>
      <c r="AJ877" s="2487"/>
      <c r="AK877" s="2487"/>
      <c r="AL877" s="2487"/>
      <c r="AM877" s="2487"/>
    </row>
    <row r="878" spans="1:39" ht="15.75" customHeight="1" x14ac:dyDescent="0.25">
      <c r="A878" s="2487"/>
      <c r="B878" s="2487"/>
      <c r="C878" s="2487"/>
      <c r="D878" s="2487"/>
      <c r="E878" s="2487"/>
      <c r="F878" s="2487"/>
      <c r="G878" s="2487"/>
      <c r="H878" s="2487"/>
      <c r="I878" s="2487"/>
      <c r="J878" s="2487"/>
      <c r="K878" s="2487"/>
      <c r="L878" s="2487"/>
      <c r="M878" s="2487"/>
      <c r="N878" s="2487"/>
      <c r="O878" s="2487"/>
      <c r="P878" s="2487"/>
      <c r="Q878" s="2487"/>
      <c r="R878" s="2487"/>
      <c r="S878" s="2487"/>
      <c r="T878" s="2487"/>
      <c r="U878" s="2487"/>
      <c r="V878" s="2487"/>
      <c r="W878" s="2487"/>
      <c r="X878" s="2487"/>
      <c r="Y878" s="2487"/>
      <c r="Z878" s="2487"/>
      <c r="AA878" s="2487"/>
      <c r="AB878" s="2487"/>
      <c r="AC878" s="2487"/>
      <c r="AD878" s="2487"/>
      <c r="AE878" s="2487"/>
      <c r="AF878" s="2487"/>
      <c r="AG878" s="2487"/>
      <c r="AH878" s="2487"/>
      <c r="AI878" s="2487"/>
      <c r="AJ878" s="2487"/>
      <c r="AK878" s="2487"/>
      <c r="AL878" s="2487"/>
      <c r="AM878" s="2487"/>
    </row>
    <row r="879" spans="1:39" ht="15.75" customHeight="1" x14ac:dyDescent="0.25">
      <c r="A879" s="2487"/>
      <c r="B879" s="2487"/>
      <c r="C879" s="2487"/>
      <c r="D879" s="2487"/>
      <c r="E879" s="2487"/>
      <c r="F879" s="2487"/>
      <c r="G879" s="2487"/>
      <c r="H879" s="2487"/>
      <c r="I879" s="2487"/>
      <c r="J879" s="2487"/>
      <c r="K879" s="2487"/>
      <c r="L879" s="2487"/>
      <c r="M879" s="2487"/>
      <c r="N879" s="2487"/>
      <c r="O879" s="2487"/>
      <c r="P879" s="2487"/>
      <c r="Q879" s="2487"/>
      <c r="R879" s="2487"/>
      <c r="S879" s="2487"/>
      <c r="T879" s="2487"/>
      <c r="U879" s="2487"/>
      <c r="V879" s="2487"/>
      <c r="W879" s="2487"/>
      <c r="X879" s="2487"/>
      <c r="Y879" s="2487"/>
      <c r="Z879" s="2487"/>
      <c r="AA879" s="2487"/>
      <c r="AB879" s="2487"/>
      <c r="AC879" s="2487"/>
      <c r="AD879" s="2487"/>
      <c r="AE879" s="2487"/>
      <c r="AF879" s="2487"/>
      <c r="AG879" s="2487"/>
      <c r="AH879" s="2487"/>
      <c r="AI879" s="2487"/>
      <c r="AJ879" s="2487"/>
      <c r="AK879" s="2487"/>
      <c r="AL879" s="2487"/>
      <c r="AM879" s="2487"/>
    </row>
    <row r="880" spans="1:39" ht="15.75" customHeight="1" x14ac:dyDescent="0.25">
      <c r="A880" s="2487"/>
      <c r="B880" s="2487"/>
      <c r="C880" s="2487"/>
      <c r="D880" s="2487"/>
      <c r="E880" s="2487"/>
      <c r="F880" s="2487"/>
      <c r="G880" s="2487"/>
      <c r="H880" s="2487"/>
      <c r="I880" s="2487"/>
      <c r="J880" s="2487"/>
      <c r="K880" s="2487"/>
      <c r="L880" s="2487"/>
      <c r="M880" s="2487"/>
      <c r="N880" s="2487"/>
      <c r="O880" s="2487"/>
      <c r="P880" s="2487"/>
      <c r="Q880" s="2487"/>
      <c r="R880" s="2487"/>
      <c r="S880" s="2487"/>
      <c r="T880" s="2487"/>
      <c r="U880" s="2487"/>
      <c r="V880" s="2487"/>
      <c r="W880" s="2487"/>
      <c r="X880" s="2487"/>
      <c r="Y880" s="2487"/>
      <c r="Z880" s="2487"/>
      <c r="AA880" s="2487"/>
      <c r="AB880" s="2487"/>
      <c r="AC880" s="2487"/>
      <c r="AD880" s="2487"/>
      <c r="AE880" s="2487"/>
      <c r="AF880" s="2487"/>
      <c r="AG880" s="2487"/>
      <c r="AH880" s="2487"/>
      <c r="AI880" s="2487"/>
      <c r="AJ880" s="2487"/>
      <c r="AK880" s="2487"/>
      <c r="AL880" s="2487"/>
      <c r="AM880" s="2487"/>
    </row>
    <row r="881" spans="1:39" ht="15.75" customHeight="1" x14ac:dyDescent="0.25">
      <c r="A881" s="2487"/>
      <c r="B881" s="2487"/>
      <c r="C881" s="2487"/>
      <c r="D881" s="2487"/>
      <c r="E881" s="2487"/>
      <c r="F881" s="2487"/>
      <c r="G881" s="2487"/>
      <c r="H881" s="2487"/>
      <c r="I881" s="2487"/>
      <c r="J881" s="2487"/>
      <c r="K881" s="2487"/>
      <c r="L881" s="2487"/>
      <c r="M881" s="2487"/>
      <c r="N881" s="2487"/>
      <c r="O881" s="2487"/>
      <c r="P881" s="2487"/>
      <c r="Q881" s="2487"/>
      <c r="R881" s="2487"/>
      <c r="S881" s="2487"/>
      <c r="T881" s="2487"/>
      <c r="U881" s="2487"/>
      <c r="V881" s="2487"/>
      <c r="W881" s="2487"/>
      <c r="X881" s="2487"/>
      <c r="Y881" s="2487"/>
      <c r="Z881" s="2487"/>
      <c r="AA881" s="2487"/>
      <c r="AB881" s="2487"/>
      <c r="AC881" s="2487"/>
      <c r="AD881" s="2487"/>
      <c r="AE881" s="2487"/>
      <c r="AF881" s="2487"/>
      <c r="AG881" s="2487"/>
      <c r="AH881" s="2487"/>
      <c r="AI881" s="2487"/>
      <c r="AJ881" s="2487"/>
      <c r="AK881" s="2487"/>
      <c r="AL881" s="2487"/>
      <c r="AM881" s="2487"/>
    </row>
    <row r="882" spans="1:39" ht="15.75" customHeight="1" x14ac:dyDescent="0.25">
      <c r="A882" s="2487"/>
      <c r="B882" s="2487"/>
      <c r="C882" s="2487"/>
      <c r="D882" s="2487"/>
      <c r="E882" s="2487"/>
      <c r="F882" s="2487"/>
      <c r="G882" s="2487"/>
      <c r="H882" s="2487"/>
      <c r="I882" s="2487"/>
      <c r="J882" s="2487"/>
      <c r="K882" s="2487"/>
      <c r="L882" s="2487"/>
      <c r="M882" s="2487"/>
      <c r="N882" s="2487"/>
      <c r="O882" s="2487"/>
      <c r="P882" s="2487"/>
      <c r="Q882" s="2487"/>
      <c r="R882" s="2487"/>
      <c r="S882" s="2487"/>
      <c r="T882" s="2487"/>
      <c r="U882" s="2487"/>
      <c r="V882" s="2487"/>
      <c r="W882" s="2487"/>
      <c r="X882" s="2487"/>
      <c r="Y882" s="2487"/>
      <c r="Z882" s="2487"/>
      <c r="AA882" s="2487"/>
      <c r="AB882" s="2487"/>
      <c r="AC882" s="2487"/>
      <c r="AD882" s="2487"/>
      <c r="AE882" s="2487"/>
      <c r="AF882" s="2487"/>
      <c r="AG882" s="2487"/>
      <c r="AH882" s="2487"/>
      <c r="AI882" s="2487"/>
      <c r="AJ882" s="2487"/>
      <c r="AK882" s="2487"/>
      <c r="AL882" s="2487"/>
      <c r="AM882" s="2487"/>
    </row>
    <row r="883" spans="1:39" ht="15.75" customHeight="1" x14ac:dyDescent="0.25">
      <c r="A883" s="2487"/>
      <c r="B883" s="2487"/>
      <c r="C883" s="2487"/>
      <c r="D883" s="2487"/>
      <c r="E883" s="2487"/>
      <c r="F883" s="2487"/>
      <c r="G883" s="2487"/>
      <c r="H883" s="2487"/>
      <c r="I883" s="2487"/>
      <c r="J883" s="2487"/>
      <c r="K883" s="2487"/>
      <c r="L883" s="2487"/>
      <c r="M883" s="2487"/>
      <c r="N883" s="2487"/>
      <c r="O883" s="2487"/>
      <c r="P883" s="2487"/>
      <c r="Q883" s="2487"/>
      <c r="R883" s="2487"/>
      <c r="S883" s="2487"/>
      <c r="T883" s="2487"/>
      <c r="U883" s="2487"/>
      <c r="V883" s="2487"/>
      <c r="W883" s="2487"/>
      <c r="X883" s="2487"/>
      <c r="Y883" s="2487"/>
      <c r="Z883" s="2487"/>
      <c r="AA883" s="2487"/>
      <c r="AB883" s="2487"/>
      <c r="AC883" s="2487"/>
      <c r="AD883" s="2487"/>
      <c r="AE883" s="2487"/>
      <c r="AF883" s="2487"/>
      <c r="AG883" s="2487"/>
      <c r="AH883" s="2487"/>
      <c r="AI883" s="2487"/>
      <c r="AJ883" s="2487"/>
      <c r="AK883" s="2487"/>
      <c r="AL883" s="2487"/>
      <c r="AM883" s="2487"/>
    </row>
    <row r="884" spans="1:39" ht="15.75" customHeight="1" x14ac:dyDescent="0.25">
      <c r="A884" s="2487"/>
      <c r="B884" s="2487"/>
      <c r="C884" s="2487"/>
      <c r="D884" s="2487"/>
      <c r="E884" s="2487"/>
      <c r="F884" s="2487"/>
      <c r="G884" s="2487"/>
      <c r="H884" s="2487"/>
      <c r="I884" s="2487"/>
      <c r="J884" s="2487"/>
      <c r="K884" s="2487"/>
      <c r="L884" s="2487"/>
      <c r="M884" s="2487"/>
      <c r="N884" s="2487"/>
      <c r="O884" s="2487"/>
      <c r="P884" s="2487"/>
      <c r="Q884" s="2487"/>
      <c r="R884" s="2487"/>
      <c r="S884" s="2487"/>
      <c r="T884" s="2487"/>
      <c r="U884" s="2487"/>
      <c r="V884" s="2487"/>
      <c r="W884" s="2487"/>
      <c r="X884" s="2487"/>
      <c r="Y884" s="2487"/>
      <c r="Z884" s="2487"/>
      <c r="AA884" s="2487"/>
      <c r="AB884" s="2487"/>
      <c r="AC884" s="2487"/>
      <c r="AD884" s="2487"/>
      <c r="AE884" s="2487"/>
      <c r="AF884" s="2487"/>
      <c r="AG884" s="2487"/>
      <c r="AH884" s="2487"/>
      <c r="AI884" s="2487"/>
      <c r="AJ884" s="2487"/>
      <c r="AK884" s="2487"/>
      <c r="AL884" s="2487"/>
      <c r="AM884" s="2487"/>
    </row>
    <row r="885" spans="1:39" ht="15.75" customHeight="1" x14ac:dyDescent="0.25">
      <c r="A885" s="2487"/>
      <c r="B885" s="2487"/>
      <c r="C885" s="2487"/>
      <c r="D885" s="2487"/>
      <c r="E885" s="2487"/>
      <c r="F885" s="2487"/>
      <c r="G885" s="2487"/>
      <c r="H885" s="2487"/>
      <c r="I885" s="2487"/>
      <c r="J885" s="2487"/>
      <c r="K885" s="2487"/>
      <c r="L885" s="2487"/>
      <c r="M885" s="2487"/>
      <c r="N885" s="2487"/>
      <c r="O885" s="2487"/>
      <c r="P885" s="2487"/>
      <c r="Q885" s="2487"/>
      <c r="R885" s="2487"/>
      <c r="S885" s="2487"/>
      <c r="T885" s="2487"/>
      <c r="U885" s="2487"/>
      <c r="V885" s="2487"/>
      <c r="W885" s="2487"/>
      <c r="X885" s="2487"/>
      <c r="Y885" s="2487"/>
      <c r="Z885" s="2487"/>
      <c r="AA885" s="2487"/>
      <c r="AB885" s="2487"/>
      <c r="AC885" s="2487"/>
      <c r="AD885" s="2487"/>
      <c r="AE885" s="2487"/>
      <c r="AF885" s="2487"/>
      <c r="AG885" s="2487"/>
      <c r="AH885" s="2487"/>
      <c r="AI885" s="2487"/>
      <c r="AJ885" s="2487"/>
      <c r="AK885" s="2487"/>
      <c r="AL885" s="2487"/>
      <c r="AM885" s="2487"/>
    </row>
    <row r="886" spans="1:39" ht="15.75" customHeight="1" x14ac:dyDescent="0.25">
      <c r="A886" s="2487"/>
      <c r="B886" s="2487"/>
      <c r="C886" s="2487"/>
      <c r="D886" s="2487"/>
      <c r="E886" s="2487"/>
      <c r="F886" s="2487"/>
      <c r="G886" s="2487"/>
      <c r="H886" s="2487"/>
      <c r="I886" s="2487"/>
      <c r="J886" s="2487"/>
      <c r="K886" s="2487"/>
      <c r="L886" s="2487"/>
      <c r="M886" s="2487"/>
      <c r="N886" s="2487"/>
      <c r="O886" s="2487"/>
      <c r="P886" s="2487"/>
      <c r="Q886" s="2487"/>
      <c r="R886" s="2487"/>
      <c r="S886" s="2487"/>
      <c r="T886" s="2487"/>
      <c r="U886" s="2487"/>
      <c r="V886" s="2487"/>
      <c r="W886" s="2487"/>
      <c r="X886" s="2487"/>
      <c r="Y886" s="2487"/>
      <c r="Z886" s="2487"/>
      <c r="AA886" s="2487"/>
      <c r="AB886" s="2487"/>
      <c r="AC886" s="2487"/>
      <c r="AD886" s="2487"/>
      <c r="AE886" s="2487"/>
      <c r="AF886" s="2487"/>
      <c r="AG886" s="2487"/>
      <c r="AH886" s="2487"/>
      <c r="AI886" s="2487"/>
      <c r="AJ886" s="2487"/>
      <c r="AK886" s="2487"/>
      <c r="AL886" s="2487"/>
      <c r="AM886" s="2487"/>
    </row>
    <row r="887" spans="1:39" ht="15.75" customHeight="1" x14ac:dyDescent="0.25">
      <c r="A887" s="2487"/>
      <c r="B887" s="2487"/>
      <c r="C887" s="2487"/>
      <c r="D887" s="2487"/>
      <c r="E887" s="2487"/>
      <c r="F887" s="2487"/>
      <c r="G887" s="2487"/>
      <c r="H887" s="2487"/>
      <c r="I887" s="2487"/>
      <c r="J887" s="2487"/>
      <c r="K887" s="2487"/>
      <c r="L887" s="2487"/>
      <c r="M887" s="2487"/>
      <c r="N887" s="2487"/>
      <c r="O887" s="2487"/>
      <c r="P887" s="2487"/>
      <c r="Q887" s="2487"/>
      <c r="R887" s="2487"/>
      <c r="S887" s="2487"/>
      <c r="T887" s="2487"/>
      <c r="U887" s="2487"/>
      <c r="V887" s="2487"/>
      <c r="W887" s="2487"/>
      <c r="X887" s="2487"/>
      <c r="Y887" s="2487"/>
      <c r="Z887" s="2487"/>
      <c r="AA887" s="2487"/>
      <c r="AB887" s="2487"/>
      <c r="AC887" s="2487"/>
      <c r="AD887" s="2487"/>
      <c r="AE887" s="2487"/>
      <c r="AF887" s="2487"/>
      <c r="AG887" s="2487"/>
      <c r="AH887" s="2487"/>
      <c r="AI887" s="2487"/>
      <c r="AJ887" s="2487"/>
      <c r="AK887" s="2487"/>
      <c r="AL887" s="2487"/>
      <c r="AM887" s="2487"/>
    </row>
    <row r="888" spans="1:39" ht="15.75" customHeight="1" x14ac:dyDescent="0.25">
      <c r="A888" s="2487"/>
      <c r="B888" s="2487"/>
      <c r="C888" s="2487"/>
      <c r="D888" s="2487"/>
      <c r="E888" s="2487"/>
      <c r="F888" s="2487"/>
      <c r="G888" s="2487"/>
      <c r="H888" s="2487"/>
      <c r="I888" s="2487"/>
      <c r="J888" s="2487"/>
      <c r="K888" s="2487"/>
      <c r="L888" s="2487"/>
      <c r="M888" s="2487"/>
      <c r="N888" s="2487"/>
      <c r="O888" s="2487"/>
      <c r="P888" s="2487"/>
      <c r="Q888" s="2487"/>
      <c r="R888" s="2487"/>
      <c r="S888" s="2487"/>
      <c r="T888" s="2487"/>
      <c r="U888" s="2487"/>
      <c r="V888" s="2487"/>
      <c r="W888" s="2487"/>
      <c r="X888" s="2487"/>
      <c r="Y888" s="2487"/>
      <c r="Z888" s="2487"/>
      <c r="AA888" s="2487"/>
      <c r="AB888" s="2487"/>
      <c r="AC888" s="2487"/>
      <c r="AD888" s="2487"/>
      <c r="AE888" s="2487"/>
      <c r="AF888" s="2487"/>
      <c r="AG888" s="2487"/>
      <c r="AH888" s="2487"/>
      <c r="AI888" s="2487"/>
      <c r="AJ888" s="2487"/>
      <c r="AK888" s="2487"/>
      <c r="AL888" s="2487"/>
      <c r="AM888" s="2487"/>
    </row>
    <row r="889" spans="1:39" ht="15.75" customHeight="1" x14ac:dyDescent="0.25">
      <c r="A889" s="2487"/>
      <c r="B889" s="2487"/>
      <c r="C889" s="2487"/>
      <c r="D889" s="2487"/>
      <c r="E889" s="2487"/>
      <c r="F889" s="2487"/>
      <c r="G889" s="2487"/>
      <c r="H889" s="2487"/>
      <c r="I889" s="2487"/>
      <c r="J889" s="2487"/>
      <c r="K889" s="2487"/>
      <c r="L889" s="2487"/>
      <c r="M889" s="2487"/>
      <c r="N889" s="2487"/>
      <c r="O889" s="2487"/>
      <c r="P889" s="2487"/>
      <c r="Q889" s="2487"/>
      <c r="R889" s="2487"/>
      <c r="S889" s="2487"/>
      <c r="T889" s="2487"/>
      <c r="U889" s="2487"/>
      <c r="V889" s="2487"/>
      <c r="W889" s="2487"/>
      <c r="X889" s="2487"/>
      <c r="Y889" s="2487"/>
      <c r="Z889" s="2487"/>
      <c r="AA889" s="2487"/>
      <c r="AB889" s="2487"/>
      <c r="AC889" s="2487"/>
      <c r="AD889" s="2487"/>
      <c r="AE889" s="2487"/>
      <c r="AF889" s="2487"/>
      <c r="AG889" s="2487"/>
      <c r="AH889" s="2487"/>
      <c r="AI889" s="2487"/>
      <c r="AJ889" s="2487"/>
      <c r="AK889" s="2487"/>
      <c r="AL889" s="2487"/>
      <c r="AM889" s="2487"/>
    </row>
    <row r="890" spans="1:39" ht="15.75" customHeight="1" x14ac:dyDescent="0.25">
      <c r="A890" s="2487"/>
      <c r="B890" s="2487"/>
      <c r="C890" s="2487"/>
      <c r="D890" s="2487"/>
      <c r="E890" s="2487"/>
      <c r="F890" s="2487"/>
      <c r="G890" s="2487"/>
      <c r="H890" s="2487"/>
      <c r="I890" s="2487"/>
      <c r="J890" s="2487"/>
      <c r="K890" s="2487"/>
      <c r="L890" s="2487"/>
      <c r="M890" s="2487"/>
      <c r="N890" s="2487"/>
      <c r="O890" s="2487"/>
      <c r="P890" s="2487"/>
      <c r="Q890" s="2487"/>
      <c r="R890" s="2487"/>
      <c r="S890" s="2487"/>
      <c r="T890" s="2487"/>
      <c r="U890" s="2487"/>
      <c r="V890" s="2487"/>
      <c r="W890" s="2487"/>
      <c r="X890" s="2487"/>
      <c r="Y890" s="2487"/>
      <c r="Z890" s="2487"/>
      <c r="AA890" s="2487"/>
      <c r="AB890" s="2487"/>
      <c r="AC890" s="2487"/>
      <c r="AD890" s="2487"/>
      <c r="AE890" s="2487"/>
      <c r="AF890" s="2487"/>
      <c r="AG890" s="2487"/>
      <c r="AH890" s="2487"/>
      <c r="AI890" s="2487"/>
      <c r="AJ890" s="2487"/>
      <c r="AK890" s="2487"/>
      <c r="AL890" s="2487"/>
      <c r="AM890" s="2487"/>
    </row>
    <row r="891" spans="1:39" ht="15.75" customHeight="1" x14ac:dyDescent="0.25">
      <c r="A891" s="2487"/>
      <c r="B891" s="2487"/>
      <c r="C891" s="2487"/>
      <c r="D891" s="2487"/>
      <c r="E891" s="2487"/>
      <c r="F891" s="2487"/>
      <c r="G891" s="2487"/>
      <c r="H891" s="2487"/>
      <c r="I891" s="2487"/>
      <c r="J891" s="2487"/>
      <c r="K891" s="2487"/>
      <c r="L891" s="2487"/>
      <c r="M891" s="2487"/>
      <c r="N891" s="2487"/>
      <c r="O891" s="2487"/>
      <c r="P891" s="2487"/>
      <c r="Q891" s="2487"/>
      <c r="R891" s="2487"/>
      <c r="S891" s="2487"/>
      <c r="T891" s="2487"/>
      <c r="U891" s="2487"/>
      <c r="V891" s="2487"/>
      <c r="W891" s="2487"/>
      <c r="X891" s="2487"/>
      <c r="Y891" s="2487"/>
      <c r="Z891" s="2487"/>
      <c r="AA891" s="2487"/>
      <c r="AB891" s="2487"/>
      <c r="AC891" s="2487"/>
      <c r="AD891" s="2487"/>
      <c r="AE891" s="2487"/>
      <c r="AF891" s="2487"/>
      <c r="AG891" s="2487"/>
      <c r="AH891" s="2487"/>
      <c r="AI891" s="2487"/>
      <c r="AJ891" s="2487"/>
      <c r="AK891" s="2487"/>
      <c r="AL891" s="2487"/>
      <c r="AM891" s="2487"/>
    </row>
    <row r="892" spans="1:39" ht="15.75" customHeight="1" x14ac:dyDescent="0.25">
      <c r="A892" s="2487"/>
      <c r="B892" s="2487"/>
      <c r="C892" s="2487"/>
      <c r="D892" s="2487"/>
      <c r="E892" s="2487"/>
      <c r="F892" s="2487"/>
      <c r="G892" s="2487"/>
      <c r="H892" s="2487"/>
      <c r="I892" s="2487"/>
      <c r="J892" s="2487"/>
      <c r="K892" s="2487"/>
      <c r="L892" s="2487"/>
      <c r="M892" s="2487"/>
      <c r="N892" s="2487"/>
      <c r="O892" s="2487"/>
      <c r="P892" s="2487"/>
      <c r="Q892" s="2487"/>
      <c r="R892" s="2487"/>
      <c r="S892" s="2487"/>
      <c r="T892" s="2487"/>
      <c r="U892" s="2487"/>
      <c r="V892" s="2487"/>
      <c r="W892" s="2487"/>
      <c r="X892" s="2487"/>
      <c r="Y892" s="2487"/>
      <c r="Z892" s="2487"/>
      <c r="AA892" s="2487"/>
      <c r="AB892" s="2487"/>
      <c r="AC892" s="2487"/>
      <c r="AD892" s="2487"/>
      <c r="AE892" s="2487"/>
      <c r="AF892" s="2487"/>
      <c r="AG892" s="2487"/>
      <c r="AH892" s="2487"/>
      <c r="AI892" s="2487"/>
      <c r="AJ892" s="2487"/>
      <c r="AK892" s="2487"/>
      <c r="AL892" s="2487"/>
      <c r="AM892" s="2487"/>
    </row>
    <row r="893" spans="1:39" ht="15.75" customHeight="1" x14ac:dyDescent="0.25">
      <c r="A893" s="2487"/>
      <c r="B893" s="2487"/>
      <c r="C893" s="2487"/>
      <c r="D893" s="2487"/>
      <c r="E893" s="2487"/>
      <c r="F893" s="2487"/>
      <c r="G893" s="2487"/>
      <c r="H893" s="2487"/>
      <c r="I893" s="2487"/>
      <c r="J893" s="2487"/>
      <c r="K893" s="2487"/>
      <c r="L893" s="2487"/>
      <c r="M893" s="2487"/>
      <c r="N893" s="2487"/>
      <c r="O893" s="2487"/>
      <c r="P893" s="2487"/>
      <c r="Q893" s="2487"/>
      <c r="R893" s="2487"/>
      <c r="S893" s="2487"/>
      <c r="T893" s="2487"/>
      <c r="U893" s="2487"/>
      <c r="V893" s="2487"/>
      <c r="W893" s="2487"/>
      <c r="X893" s="2487"/>
      <c r="Y893" s="2487"/>
      <c r="Z893" s="2487"/>
      <c r="AA893" s="2487"/>
      <c r="AB893" s="2487"/>
      <c r="AC893" s="2487"/>
      <c r="AD893" s="2487"/>
      <c r="AE893" s="2487"/>
      <c r="AF893" s="2487"/>
      <c r="AG893" s="2487"/>
      <c r="AH893" s="2487"/>
      <c r="AI893" s="2487"/>
      <c r="AJ893" s="2487"/>
      <c r="AK893" s="2487"/>
      <c r="AL893" s="2487"/>
      <c r="AM893" s="2487"/>
    </row>
    <row r="894" spans="1:39" ht="15.75" customHeight="1" x14ac:dyDescent="0.25">
      <c r="A894" s="2487"/>
      <c r="B894" s="2487"/>
      <c r="C894" s="2487"/>
      <c r="D894" s="2487"/>
      <c r="E894" s="2487"/>
      <c r="F894" s="2487"/>
      <c r="G894" s="2487"/>
      <c r="H894" s="2487"/>
      <c r="I894" s="2487"/>
      <c r="J894" s="2487"/>
      <c r="K894" s="2487"/>
      <c r="L894" s="2487"/>
      <c r="M894" s="2487"/>
      <c r="N894" s="2487"/>
      <c r="O894" s="2487"/>
      <c r="P894" s="2487"/>
      <c r="Q894" s="2487"/>
      <c r="R894" s="2487"/>
      <c r="S894" s="2487"/>
      <c r="T894" s="2487"/>
      <c r="U894" s="2487"/>
      <c r="V894" s="2487"/>
      <c r="W894" s="2487"/>
      <c r="X894" s="2487"/>
      <c r="Y894" s="2487"/>
      <c r="Z894" s="2487"/>
      <c r="AA894" s="2487"/>
      <c r="AB894" s="2487"/>
      <c r="AC894" s="2487"/>
      <c r="AD894" s="2487"/>
      <c r="AE894" s="2487"/>
      <c r="AF894" s="2487"/>
      <c r="AG894" s="2487"/>
      <c r="AH894" s="2487"/>
      <c r="AI894" s="2487"/>
      <c r="AJ894" s="2487"/>
      <c r="AK894" s="2487"/>
      <c r="AL894" s="2487"/>
      <c r="AM894" s="2487"/>
    </row>
    <row r="895" spans="1:39" ht="15.75" customHeight="1" x14ac:dyDescent="0.25">
      <c r="A895" s="2487"/>
      <c r="B895" s="2487"/>
      <c r="C895" s="2487"/>
      <c r="D895" s="2487"/>
      <c r="E895" s="2487"/>
      <c r="F895" s="2487"/>
      <c r="G895" s="2487"/>
      <c r="H895" s="2487"/>
      <c r="I895" s="2487"/>
      <c r="J895" s="2487"/>
      <c r="K895" s="2487"/>
      <c r="L895" s="2487"/>
      <c r="M895" s="2487"/>
      <c r="N895" s="2487"/>
      <c r="O895" s="2487"/>
      <c r="P895" s="2487"/>
      <c r="Q895" s="2487"/>
      <c r="R895" s="2487"/>
      <c r="S895" s="2487"/>
      <c r="T895" s="2487"/>
      <c r="U895" s="2487"/>
      <c r="V895" s="2487"/>
      <c r="W895" s="2487"/>
      <c r="X895" s="2487"/>
      <c r="Y895" s="2487"/>
      <c r="Z895" s="2487"/>
      <c r="AA895" s="2487"/>
      <c r="AB895" s="2487"/>
      <c r="AC895" s="2487"/>
      <c r="AD895" s="2487"/>
      <c r="AE895" s="2487"/>
      <c r="AF895" s="2487"/>
      <c r="AG895" s="2487"/>
      <c r="AH895" s="2487"/>
      <c r="AI895" s="2487"/>
      <c r="AJ895" s="2487"/>
      <c r="AK895" s="2487"/>
      <c r="AL895" s="2487"/>
      <c r="AM895" s="2487"/>
    </row>
    <row r="896" spans="1:39" ht="15.75" customHeight="1" x14ac:dyDescent="0.25">
      <c r="A896" s="2487"/>
      <c r="B896" s="2487"/>
      <c r="C896" s="2487"/>
      <c r="D896" s="2487"/>
      <c r="E896" s="2487"/>
      <c r="F896" s="2487"/>
      <c r="G896" s="2487"/>
      <c r="H896" s="2487"/>
      <c r="I896" s="2487"/>
      <c r="J896" s="2487"/>
      <c r="K896" s="2487"/>
      <c r="L896" s="2487"/>
      <c r="M896" s="2487"/>
      <c r="N896" s="2487"/>
      <c r="O896" s="2487"/>
      <c r="P896" s="2487"/>
      <c r="Q896" s="2487"/>
      <c r="R896" s="2487"/>
      <c r="S896" s="2487"/>
      <c r="T896" s="2487"/>
      <c r="U896" s="2487"/>
      <c r="V896" s="2487"/>
      <c r="W896" s="2487"/>
      <c r="X896" s="2487"/>
      <c r="Y896" s="2487"/>
      <c r="Z896" s="2487"/>
      <c r="AA896" s="2487"/>
      <c r="AB896" s="2487"/>
      <c r="AC896" s="2487"/>
      <c r="AD896" s="2487"/>
      <c r="AE896" s="2487"/>
      <c r="AF896" s="2487"/>
      <c r="AG896" s="2487"/>
      <c r="AH896" s="2487"/>
      <c r="AI896" s="2487"/>
      <c r="AJ896" s="2487"/>
      <c r="AK896" s="2487"/>
      <c r="AL896" s="2487"/>
      <c r="AM896" s="2487"/>
    </row>
    <row r="897" spans="1:39" ht="15.75" customHeight="1" x14ac:dyDescent="0.25">
      <c r="A897" s="2487"/>
      <c r="B897" s="2487"/>
      <c r="C897" s="2487"/>
      <c r="D897" s="2487"/>
      <c r="E897" s="2487"/>
      <c r="F897" s="2487"/>
      <c r="G897" s="2487"/>
      <c r="H897" s="2487"/>
      <c r="I897" s="2487"/>
      <c r="J897" s="2487"/>
      <c r="K897" s="2487"/>
      <c r="L897" s="2487"/>
      <c r="M897" s="2487"/>
      <c r="N897" s="2487"/>
      <c r="O897" s="2487"/>
      <c r="P897" s="2487"/>
      <c r="Q897" s="2487"/>
      <c r="R897" s="2487"/>
      <c r="S897" s="2487"/>
      <c r="T897" s="2487"/>
      <c r="U897" s="2487"/>
      <c r="V897" s="2487"/>
      <c r="W897" s="2487"/>
      <c r="X897" s="2487"/>
      <c r="Y897" s="2487"/>
      <c r="Z897" s="2487"/>
      <c r="AA897" s="2487"/>
      <c r="AB897" s="2487"/>
      <c r="AC897" s="2487"/>
      <c r="AD897" s="2487"/>
      <c r="AE897" s="2487"/>
      <c r="AF897" s="2487"/>
      <c r="AG897" s="2487"/>
      <c r="AH897" s="2487"/>
      <c r="AI897" s="2487"/>
      <c r="AJ897" s="2487"/>
      <c r="AK897" s="2487"/>
      <c r="AL897" s="2487"/>
      <c r="AM897" s="2487"/>
    </row>
    <row r="898" spans="1:39" ht="15.75" customHeight="1" x14ac:dyDescent="0.25">
      <c r="A898" s="2487"/>
      <c r="B898" s="2487"/>
      <c r="C898" s="2487"/>
      <c r="D898" s="2487"/>
      <c r="E898" s="2487"/>
      <c r="F898" s="2487"/>
      <c r="G898" s="2487"/>
      <c r="H898" s="2487"/>
      <c r="I898" s="2487"/>
      <c r="J898" s="2487"/>
      <c r="K898" s="2487"/>
      <c r="L898" s="2487"/>
      <c r="M898" s="2487"/>
      <c r="N898" s="2487"/>
      <c r="O898" s="2487"/>
      <c r="P898" s="2487"/>
      <c r="Q898" s="2487"/>
      <c r="R898" s="2487"/>
      <c r="S898" s="2487"/>
      <c r="T898" s="2487"/>
      <c r="U898" s="2487"/>
      <c r="V898" s="2487"/>
      <c r="W898" s="2487"/>
      <c r="X898" s="2487"/>
      <c r="Y898" s="2487"/>
      <c r="Z898" s="2487"/>
      <c r="AA898" s="2487"/>
      <c r="AB898" s="2487"/>
      <c r="AC898" s="2487"/>
      <c r="AD898" s="2487"/>
      <c r="AE898" s="2487"/>
      <c r="AF898" s="2487"/>
      <c r="AG898" s="2487"/>
      <c r="AH898" s="2487"/>
      <c r="AI898" s="2487"/>
      <c r="AJ898" s="2487"/>
      <c r="AK898" s="2487"/>
      <c r="AL898" s="2487"/>
      <c r="AM898" s="2487"/>
    </row>
    <row r="899" spans="1:39" ht="15.75" customHeight="1" x14ac:dyDescent="0.25">
      <c r="A899" s="2487"/>
      <c r="B899" s="2487"/>
      <c r="C899" s="2487"/>
      <c r="D899" s="2487"/>
      <c r="E899" s="2487"/>
      <c r="F899" s="2487"/>
      <c r="G899" s="2487"/>
      <c r="H899" s="2487"/>
      <c r="I899" s="2487"/>
      <c r="J899" s="2487"/>
      <c r="K899" s="2487"/>
      <c r="L899" s="2487"/>
      <c r="M899" s="2487"/>
      <c r="N899" s="2487"/>
      <c r="O899" s="2487"/>
      <c r="P899" s="2487"/>
      <c r="Q899" s="2487"/>
      <c r="R899" s="2487"/>
      <c r="S899" s="2487"/>
      <c r="T899" s="2487"/>
      <c r="U899" s="2487"/>
      <c r="V899" s="2487"/>
      <c r="W899" s="2487"/>
      <c r="X899" s="2487"/>
      <c r="Y899" s="2487"/>
      <c r="Z899" s="2487"/>
      <c r="AA899" s="2487"/>
      <c r="AB899" s="2487"/>
      <c r="AC899" s="2487"/>
      <c r="AD899" s="2487"/>
      <c r="AE899" s="2487"/>
      <c r="AF899" s="2487"/>
      <c r="AG899" s="2487"/>
      <c r="AH899" s="2487"/>
      <c r="AI899" s="2487"/>
      <c r="AJ899" s="2487"/>
      <c r="AK899" s="2487"/>
      <c r="AL899" s="2487"/>
      <c r="AM899" s="2487"/>
    </row>
    <row r="900" spans="1:39" ht="15.75" customHeight="1" x14ac:dyDescent="0.25">
      <c r="A900" s="2487"/>
      <c r="B900" s="2487"/>
      <c r="C900" s="2487"/>
      <c r="D900" s="2487"/>
      <c r="E900" s="2487"/>
      <c r="F900" s="2487"/>
      <c r="G900" s="2487"/>
      <c r="H900" s="2487"/>
      <c r="I900" s="2487"/>
      <c r="J900" s="2487"/>
      <c r="K900" s="2487"/>
      <c r="L900" s="2487"/>
      <c r="M900" s="2487"/>
      <c r="N900" s="2487"/>
      <c r="O900" s="2487"/>
      <c r="P900" s="2487"/>
      <c r="Q900" s="2487"/>
      <c r="R900" s="2487"/>
      <c r="S900" s="2487"/>
      <c r="T900" s="2487"/>
      <c r="U900" s="2487"/>
      <c r="V900" s="2487"/>
      <c r="W900" s="2487"/>
      <c r="X900" s="2487"/>
      <c r="Y900" s="2487"/>
      <c r="Z900" s="2487"/>
      <c r="AA900" s="2487"/>
      <c r="AB900" s="2487"/>
      <c r="AC900" s="2487"/>
      <c r="AD900" s="2487"/>
      <c r="AE900" s="2487"/>
      <c r="AF900" s="2487"/>
      <c r="AG900" s="2487"/>
      <c r="AH900" s="2487"/>
      <c r="AI900" s="2487"/>
      <c r="AJ900" s="2487"/>
      <c r="AK900" s="2487"/>
      <c r="AL900" s="2487"/>
      <c r="AM900" s="2487"/>
    </row>
    <row r="901" spans="1:39" ht="15.75" customHeight="1" x14ac:dyDescent="0.25">
      <c r="A901" s="2487"/>
      <c r="B901" s="2487"/>
      <c r="C901" s="2487"/>
      <c r="D901" s="2487"/>
      <c r="E901" s="2487"/>
      <c r="F901" s="2487"/>
      <c r="G901" s="2487"/>
      <c r="H901" s="2487"/>
      <c r="I901" s="2487"/>
      <c r="J901" s="2487"/>
      <c r="K901" s="2487"/>
      <c r="L901" s="2487"/>
      <c r="M901" s="2487"/>
      <c r="N901" s="2487"/>
      <c r="O901" s="2487"/>
      <c r="P901" s="2487"/>
      <c r="Q901" s="2487"/>
      <c r="R901" s="2487"/>
      <c r="S901" s="2487"/>
      <c r="T901" s="2487"/>
      <c r="U901" s="2487"/>
      <c r="V901" s="2487"/>
      <c r="W901" s="2487"/>
      <c r="X901" s="2487"/>
      <c r="Y901" s="2487"/>
      <c r="Z901" s="2487"/>
      <c r="AA901" s="2487"/>
      <c r="AB901" s="2487"/>
      <c r="AC901" s="2487"/>
      <c r="AD901" s="2487"/>
      <c r="AE901" s="2487"/>
      <c r="AF901" s="2487"/>
      <c r="AG901" s="2487"/>
      <c r="AH901" s="2487"/>
      <c r="AI901" s="2487"/>
      <c r="AJ901" s="2487"/>
      <c r="AK901" s="2487"/>
      <c r="AL901" s="2487"/>
      <c r="AM901" s="2487"/>
    </row>
    <row r="902" spans="1:39" ht="15.75" customHeight="1" x14ac:dyDescent="0.25">
      <c r="A902" s="2487"/>
      <c r="B902" s="2487"/>
      <c r="C902" s="2487"/>
      <c r="D902" s="2487"/>
      <c r="E902" s="2487"/>
      <c r="F902" s="2487"/>
      <c r="G902" s="2487"/>
      <c r="H902" s="2487"/>
      <c r="I902" s="2487"/>
      <c r="J902" s="2487"/>
      <c r="K902" s="2487"/>
      <c r="L902" s="2487"/>
      <c r="M902" s="2487"/>
      <c r="N902" s="2487"/>
      <c r="O902" s="2487"/>
      <c r="P902" s="2487"/>
      <c r="Q902" s="2487"/>
      <c r="R902" s="2487"/>
      <c r="S902" s="2487"/>
      <c r="T902" s="2487"/>
      <c r="U902" s="2487"/>
      <c r="V902" s="2487"/>
      <c r="W902" s="2487"/>
      <c r="X902" s="2487"/>
      <c r="Y902" s="2487"/>
      <c r="Z902" s="2487"/>
      <c r="AA902" s="2487"/>
      <c r="AB902" s="2487"/>
      <c r="AC902" s="2487"/>
      <c r="AD902" s="2487"/>
      <c r="AE902" s="2487"/>
      <c r="AF902" s="2487"/>
      <c r="AG902" s="2487"/>
      <c r="AH902" s="2487"/>
      <c r="AI902" s="2487"/>
      <c r="AJ902" s="2487"/>
      <c r="AK902" s="2487"/>
      <c r="AL902" s="2487"/>
      <c r="AM902" s="2487"/>
    </row>
    <row r="903" spans="1:39" ht="15.75" customHeight="1" x14ac:dyDescent="0.25">
      <c r="A903" s="2487"/>
      <c r="B903" s="2487"/>
      <c r="C903" s="2487"/>
      <c r="D903" s="2487"/>
      <c r="E903" s="2487"/>
      <c r="F903" s="2487"/>
      <c r="G903" s="2487"/>
      <c r="H903" s="2487"/>
      <c r="I903" s="2487"/>
      <c r="J903" s="2487"/>
      <c r="K903" s="2487"/>
      <c r="L903" s="2487"/>
      <c r="M903" s="2487"/>
      <c r="N903" s="2487"/>
      <c r="O903" s="2487"/>
      <c r="P903" s="2487"/>
      <c r="Q903" s="2487"/>
      <c r="R903" s="2487"/>
      <c r="S903" s="2487"/>
      <c r="T903" s="2487"/>
      <c r="U903" s="2487"/>
      <c r="V903" s="2487"/>
      <c r="W903" s="2487"/>
      <c r="X903" s="2487"/>
      <c r="Y903" s="2487"/>
      <c r="Z903" s="2487"/>
      <c r="AA903" s="2487"/>
      <c r="AB903" s="2487"/>
      <c r="AC903" s="2487"/>
      <c r="AD903" s="2487"/>
      <c r="AE903" s="2487"/>
      <c r="AF903" s="2487"/>
      <c r="AG903" s="2487"/>
      <c r="AH903" s="2487"/>
      <c r="AI903" s="2487"/>
      <c r="AJ903" s="2487"/>
      <c r="AK903" s="2487"/>
      <c r="AL903" s="2487"/>
      <c r="AM903" s="2487"/>
    </row>
    <row r="904" spans="1:39" ht="15.75" customHeight="1" x14ac:dyDescent="0.25">
      <c r="A904" s="2487"/>
      <c r="B904" s="2487"/>
      <c r="C904" s="2487"/>
      <c r="D904" s="2487"/>
      <c r="E904" s="2487"/>
      <c r="F904" s="2487"/>
      <c r="G904" s="2487"/>
      <c r="H904" s="2487"/>
      <c r="I904" s="2487"/>
      <c r="J904" s="2487"/>
      <c r="K904" s="2487"/>
      <c r="L904" s="2487"/>
      <c r="M904" s="2487"/>
      <c r="N904" s="2487"/>
      <c r="O904" s="2487"/>
      <c r="P904" s="2487"/>
      <c r="Q904" s="2487"/>
      <c r="R904" s="2487"/>
      <c r="S904" s="2487"/>
      <c r="T904" s="2487"/>
      <c r="U904" s="2487"/>
      <c r="V904" s="2487"/>
      <c r="W904" s="2487"/>
      <c r="X904" s="2487"/>
      <c r="Y904" s="2487"/>
      <c r="Z904" s="2487"/>
      <c r="AA904" s="2487"/>
      <c r="AB904" s="2487"/>
      <c r="AC904" s="2487"/>
      <c r="AD904" s="2487"/>
      <c r="AE904" s="2487"/>
      <c r="AF904" s="2487"/>
      <c r="AG904" s="2487"/>
      <c r="AH904" s="2487"/>
      <c r="AI904" s="2487"/>
      <c r="AJ904" s="2487"/>
      <c r="AK904" s="2487"/>
      <c r="AL904" s="2487"/>
      <c r="AM904" s="2487"/>
    </row>
    <row r="905" spans="1:39" ht="15.75" customHeight="1" x14ac:dyDescent="0.25">
      <c r="A905" s="2487"/>
      <c r="B905" s="2487"/>
      <c r="C905" s="2487"/>
      <c r="D905" s="2487"/>
      <c r="E905" s="2487"/>
      <c r="F905" s="2487"/>
      <c r="G905" s="2487"/>
      <c r="H905" s="2487"/>
      <c r="I905" s="2487"/>
      <c r="J905" s="2487"/>
      <c r="K905" s="2487"/>
      <c r="L905" s="2487"/>
      <c r="M905" s="2487"/>
      <c r="N905" s="2487"/>
      <c r="O905" s="2487"/>
      <c r="P905" s="2487"/>
      <c r="Q905" s="2487"/>
      <c r="R905" s="2487"/>
      <c r="S905" s="2487"/>
      <c r="T905" s="2487"/>
      <c r="U905" s="2487"/>
      <c r="V905" s="2487"/>
      <c r="W905" s="2487"/>
      <c r="X905" s="2487"/>
      <c r="Y905" s="2487"/>
      <c r="Z905" s="2487"/>
      <c r="AA905" s="2487"/>
      <c r="AB905" s="2487"/>
      <c r="AC905" s="2487"/>
      <c r="AD905" s="2487"/>
      <c r="AE905" s="2487"/>
      <c r="AF905" s="2487"/>
      <c r="AG905" s="2487"/>
      <c r="AH905" s="2487"/>
      <c r="AI905" s="2487"/>
      <c r="AJ905" s="2487"/>
      <c r="AK905" s="2487"/>
      <c r="AL905" s="2487"/>
      <c r="AM905" s="2487"/>
    </row>
    <row r="906" spans="1:39" ht="15.75" customHeight="1" x14ac:dyDescent="0.25">
      <c r="A906" s="2487"/>
      <c r="B906" s="2487"/>
      <c r="C906" s="2487"/>
      <c r="D906" s="2487"/>
      <c r="E906" s="2487"/>
      <c r="F906" s="2487"/>
      <c r="G906" s="2487"/>
      <c r="H906" s="2487"/>
      <c r="I906" s="2487"/>
      <c r="J906" s="2487"/>
      <c r="K906" s="2487"/>
      <c r="L906" s="2487"/>
      <c r="M906" s="2487"/>
      <c r="N906" s="2487"/>
      <c r="O906" s="2487"/>
      <c r="P906" s="2487"/>
      <c r="Q906" s="2487"/>
      <c r="R906" s="2487"/>
      <c r="S906" s="2487"/>
      <c r="T906" s="2487"/>
      <c r="U906" s="2487"/>
      <c r="V906" s="2487"/>
      <c r="W906" s="2487"/>
      <c r="X906" s="2487"/>
      <c r="Y906" s="2487"/>
      <c r="Z906" s="2487"/>
      <c r="AA906" s="2487"/>
      <c r="AB906" s="2487"/>
      <c r="AC906" s="2487"/>
      <c r="AD906" s="2487"/>
      <c r="AE906" s="2487"/>
      <c r="AF906" s="2487"/>
      <c r="AG906" s="2487"/>
      <c r="AH906" s="2487"/>
      <c r="AI906" s="2487"/>
      <c r="AJ906" s="2487"/>
      <c r="AK906" s="2487"/>
      <c r="AL906" s="2487"/>
      <c r="AM906" s="2487"/>
    </row>
    <row r="907" spans="1:39" ht="15.75" customHeight="1" x14ac:dyDescent="0.25">
      <c r="A907" s="2487"/>
      <c r="B907" s="2487"/>
      <c r="C907" s="2487"/>
      <c r="D907" s="2487"/>
      <c r="E907" s="2487"/>
      <c r="F907" s="2487"/>
      <c r="G907" s="2487"/>
      <c r="H907" s="2487"/>
      <c r="I907" s="2487"/>
      <c r="J907" s="2487"/>
      <c r="K907" s="2487"/>
      <c r="L907" s="2487"/>
      <c r="M907" s="2487"/>
      <c r="N907" s="2487"/>
      <c r="O907" s="2487"/>
      <c r="P907" s="2487"/>
      <c r="Q907" s="2487"/>
      <c r="R907" s="2487"/>
      <c r="S907" s="2487"/>
      <c r="T907" s="2487"/>
      <c r="U907" s="2487"/>
      <c r="V907" s="2487"/>
      <c r="W907" s="2487"/>
      <c r="X907" s="2487"/>
      <c r="Y907" s="2487"/>
      <c r="Z907" s="2487"/>
      <c r="AA907" s="2487"/>
      <c r="AB907" s="2487"/>
      <c r="AC907" s="2487"/>
      <c r="AD907" s="2487"/>
      <c r="AE907" s="2487"/>
      <c r="AF907" s="2487"/>
      <c r="AG907" s="2487"/>
      <c r="AH907" s="2487"/>
      <c r="AI907" s="2487"/>
      <c r="AJ907" s="2487"/>
      <c r="AK907" s="2487"/>
      <c r="AL907" s="2487"/>
      <c r="AM907" s="2487"/>
    </row>
    <row r="908" spans="1:39" ht="15.75" customHeight="1" x14ac:dyDescent="0.25">
      <c r="A908" s="2487"/>
      <c r="B908" s="2487"/>
      <c r="C908" s="2487"/>
      <c r="D908" s="2487"/>
      <c r="E908" s="2487"/>
      <c r="F908" s="2487"/>
      <c r="G908" s="2487"/>
      <c r="H908" s="2487"/>
      <c r="I908" s="2487"/>
      <c r="J908" s="2487"/>
      <c r="K908" s="2487"/>
      <c r="L908" s="2487"/>
      <c r="M908" s="2487"/>
      <c r="N908" s="2487"/>
      <c r="O908" s="2487"/>
      <c r="P908" s="2487"/>
      <c r="Q908" s="2487"/>
      <c r="R908" s="2487"/>
      <c r="S908" s="2487"/>
      <c r="T908" s="2487"/>
      <c r="U908" s="2487"/>
      <c r="V908" s="2487"/>
      <c r="W908" s="2487"/>
      <c r="X908" s="2487"/>
      <c r="Y908" s="2487"/>
      <c r="Z908" s="2487"/>
      <c r="AA908" s="2487"/>
      <c r="AB908" s="2487"/>
      <c r="AC908" s="2487"/>
      <c r="AD908" s="2487"/>
      <c r="AE908" s="2487"/>
      <c r="AF908" s="2487"/>
      <c r="AG908" s="2487"/>
      <c r="AH908" s="2487"/>
      <c r="AI908" s="2487"/>
      <c r="AJ908" s="2487"/>
      <c r="AK908" s="2487"/>
      <c r="AL908" s="2487"/>
      <c r="AM908" s="2487"/>
    </row>
    <row r="909" spans="1:39" ht="15.75" customHeight="1" x14ac:dyDescent="0.25">
      <c r="A909" s="2487"/>
      <c r="B909" s="2487"/>
      <c r="C909" s="2487"/>
      <c r="D909" s="2487"/>
      <c r="E909" s="2487"/>
      <c r="F909" s="2487"/>
      <c r="G909" s="2487"/>
      <c r="H909" s="2487"/>
      <c r="I909" s="2487"/>
      <c r="J909" s="2487"/>
      <c r="K909" s="2487"/>
      <c r="L909" s="2487"/>
      <c r="M909" s="2487"/>
      <c r="N909" s="2487"/>
      <c r="O909" s="2487"/>
      <c r="P909" s="2487"/>
      <c r="Q909" s="2487"/>
      <c r="R909" s="2487"/>
      <c r="S909" s="2487"/>
      <c r="T909" s="2487"/>
      <c r="U909" s="2487"/>
      <c r="V909" s="2487"/>
      <c r="W909" s="2487"/>
      <c r="X909" s="2487"/>
      <c r="Y909" s="2487"/>
      <c r="Z909" s="2487"/>
      <c r="AA909" s="2487"/>
      <c r="AB909" s="2487"/>
      <c r="AC909" s="2487"/>
      <c r="AD909" s="2487"/>
      <c r="AE909" s="2487"/>
      <c r="AF909" s="2487"/>
      <c r="AG909" s="2487"/>
      <c r="AH909" s="2487"/>
      <c r="AI909" s="2487"/>
      <c r="AJ909" s="2487"/>
      <c r="AK909" s="2487"/>
      <c r="AL909" s="2487"/>
      <c r="AM909" s="2487"/>
    </row>
    <row r="910" spans="1:39" ht="15.75" customHeight="1" x14ac:dyDescent="0.25">
      <c r="A910" s="2487"/>
      <c r="B910" s="2487"/>
      <c r="C910" s="2487"/>
      <c r="D910" s="2487"/>
      <c r="E910" s="2487"/>
      <c r="F910" s="2487"/>
      <c r="G910" s="2487"/>
      <c r="H910" s="2487"/>
      <c r="I910" s="2487"/>
      <c r="J910" s="2487"/>
      <c r="K910" s="2487"/>
      <c r="L910" s="2487"/>
      <c r="M910" s="2487"/>
      <c r="N910" s="2487"/>
      <c r="O910" s="2487"/>
      <c r="P910" s="2487"/>
      <c r="Q910" s="2487"/>
      <c r="R910" s="2487"/>
      <c r="S910" s="2487"/>
      <c r="T910" s="2487"/>
      <c r="U910" s="2487"/>
      <c r="V910" s="2487"/>
      <c r="W910" s="2487"/>
      <c r="X910" s="2487"/>
      <c r="Y910" s="2487"/>
      <c r="Z910" s="2487"/>
      <c r="AA910" s="2487"/>
      <c r="AB910" s="2487"/>
      <c r="AC910" s="2487"/>
      <c r="AD910" s="2487"/>
      <c r="AE910" s="2487"/>
      <c r="AF910" s="2487"/>
      <c r="AG910" s="2487"/>
      <c r="AH910" s="2487"/>
      <c r="AI910" s="2487"/>
      <c r="AJ910" s="2487"/>
      <c r="AK910" s="2487"/>
      <c r="AL910" s="2487"/>
      <c r="AM910" s="2487"/>
    </row>
    <row r="911" spans="1:39" ht="15.75" customHeight="1" x14ac:dyDescent="0.25">
      <c r="A911" s="2487"/>
      <c r="B911" s="2487"/>
      <c r="C911" s="2487"/>
      <c r="D911" s="2487"/>
      <c r="E911" s="2487"/>
      <c r="F911" s="2487"/>
      <c r="G911" s="2487"/>
      <c r="H911" s="2487"/>
      <c r="I911" s="2487"/>
      <c r="J911" s="2487"/>
      <c r="K911" s="2487"/>
      <c r="L911" s="2487"/>
      <c r="M911" s="2487"/>
      <c r="N911" s="2487"/>
      <c r="O911" s="2487"/>
      <c r="P911" s="2487"/>
      <c r="Q911" s="2487"/>
      <c r="R911" s="2487"/>
      <c r="S911" s="2487"/>
      <c r="T911" s="2487"/>
      <c r="U911" s="2487"/>
      <c r="V911" s="2487"/>
      <c r="W911" s="2487"/>
      <c r="X911" s="2487"/>
      <c r="Y911" s="2487"/>
      <c r="Z911" s="2487"/>
      <c r="AA911" s="2487"/>
      <c r="AB911" s="2487"/>
      <c r="AC911" s="2487"/>
      <c r="AD911" s="2487"/>
      <c r="AE911" s="2487"/>
      <c r="AF911" s="2487"/>
      <c r="AG911" s="2487"/>
      <c r="AH911" s="2487"/>
      <c r="AI911" s="2487"/>
      <c r="AJ911" s="2487"/>
      <c r="AK911" s="2487"/>
      <c r="AL911" s="2487"/>
      <c r="AM911" s="2487"/>
    </row>
    <row r="912" spans="1:39" ht="15.75" customHeight="1" x14ac:dyDescent="0.25">
      <c r="A912" s="2487"/>
      <c r="B912" s="2487"/>
      <c r="C912" s="2487"/>
      <c r="D912" s="2487"/>
      <c r="E912" s="2487"/>
      <c r="F912" s="2487"/>
      <c r="G912" s="2487"/>
      <c r="H912" s="2487"/>
      <c r="I912" s="2487"/>
      <c r="J912" s="2487"/>
      <c r="K912" s="2487"/>
      <c r="L912" s="2487"/>
      <c r="M912" s="2487"/>
      <c r="N912" s="2487"/>
      <c r="O912" s="2487"/>
      <c r="P912" s="2487"/>
      <c r="Q912" s="2487"/>
      <c r="R912" s="2487"/>
      <c r="S912" s="2487"/>
      <c r="T912" s="2487"/>
      <c r="U912" s="2487"/>
      <c r="V912" s="2487"/>
      <c r="W912" s="2487"/>
      <c r="X912" s="2487"/>
      <c r="Y912" s="2487"/>
      <c r="Z912" s="2487"/>
      <c r="AA912" s="2487"/>
      <c r="AB912" s="2487"/>
      <c r="AC912" s="2487"/>
      <c r="AD912" s="2487"/>
      <c r="AE912" s="2487"/>
      <c r="AF912" s="2487"/>
      <c r="AG912" s="2487"/>
      <c r="AH912" s="2487"/>
      <c r="AI912" s="2487"/>
      <c r="AJ912" s="2487"/>
      <c r="AK912" s="2487"/>
      <c r="AL912" s="2487"/>
      <c r="AM912" s="2487"/>
    </row>
    <row r="913" spans="1:39" ht="15.75" customHeight="1" x14ac:dyDescent="0.25">
      <c r="A913" s="2487"/>
      <c r="B913" s="2487"/>
      <c r="C913" s="2487"/>
      <c r="D913" s="2487"/>
      <c r="E913" s="2487"/>
      <c r="F913" s="2487"/>
      <c r="G913" s="2487"/>
      <c r="H913" s="2487"/>
      <c r="I913" s="2487"/>
      <c r="J913" s="2487"/>
      <c r="K913" s="2487"/>
      <c r="L913" s="2487"/>
      <c r="M913" s="2487"/>
      <c r="N913" s="2487"/>
      <c r="O913" s="2487"/>
      <c r="P913" s="2487"/>
      <c r="Q913" s="2487"/>
      <c r="R913" s="2487"/>
      <c r="S913" s="2487"/>
      <c r="T913" s="2487"/>
      <c r="U913" s="2487"/>
      <c r="V913" s="2487"/>
      <c r="W913" s="2487"/>
      <c r="X913" s="2487"/>
      <c r="Y913" s="2487"/>
      <c r="Z913" s="2487"/>
      <c r="AA913" s="2487"/>
      <c r="AB913" s="2487"/>
      <c r="AC913" s="2487"/>
      <c r="AD913" s="2487"/>
      <c r="AE913" s="2487"/>
      <c r="AF913" s="2487"/>
      <c r="AG913" s="2487"/>
      <c r="AH913" s="2487"/>
      <c r="AI913" s="2487"/>
      <c r="AJ913" s="2487"/>
      <c r="AK913" s="2487"/>
      <c r="AL913" s="2487"/>
      <c r="AM913" s="2487"/>
    </row>
    <row r="914" spans="1:39" ht="15.75" customHeight="1" x14ac:dyDescent="0.25">
      <c r="A914" s="2487"/>
      <c r="B914" s="2487"/>
      <c r="C914" s="2487"/>
      <c r="D914" s="2487"/>
      <c r="E914" s="2487"/>
      <c r="F914" s="2487"/>
      <c r="G914" s="2487"/>
      <c r="H914" s="2487"/>
      <c r="I914" s="2487"/>
      <c r="J914" s="2487"/>
      <c r="K914" s="2487"/>
      <c r="L914" s="2487"/>
      <c r="M914" s="2487"/>
      <c r="N914" s="2487"/>
      <c r="O914" s="2487"/>
      <c r="P914" s="2487"/>
      <c r="Q914" s="2487"/>
      <c r="R914" s="2487"/>
      <c r="S914" s="2487"/>
      <c r="T914" s="2487"/>
      <c r="U914" s="2487"/>
      <c r="V914" s="2487"/>
      <c r="W914" s="2487"/>
      <c r="X914" s="2487"/>
      <c r="Y914" s="2487"/>
      <c r="Z914" s="2487"/>
      <c r="AA914" s="2487"/>
      <c r="AB914" s="2487"/>
      <c r="AC914" s="2487"/>
      <c r="AD914" s="2487"/>
      <c r="AE914" s="2487"/>
      <c r="AF914" s="2487"/>
      <c r="AG914" s="2487"/>
      <c r="AH914" s="2487"/>
      <c r="AI914" s="2487"/>
      <c r="AJ914" s="2487"/>
      <c r="AK914" s="2487"/>
      <c r="AL914" s="2487"/>
      <c r="AM914" s="2487"/>
    </row>
    <row r="915" spans="1:39" ht="15.75" customHeight="1" x14ac:dyDescent="0.25">
      <c r="A915" s="2487"/>
      <c r="B915" s="2487"/>
      <c r="C915" s="2487"/>
      <c r="D915" s="2487"/>
      <c r="E915" s="2487"/>
      <c r="F915" s="2487"/>
      <c r="G915" s="2487"/>
      <c r="H915" s="2487"/>
      <c r="I915" s="2487"/>
      <c r="J915" s="2487"/>
      <c r="K915" s="2487"/>
      <c r="L915" s="2487"/>
      <c r="M915" s="2487"/>
      <c r="N915" s="2487"/>
      <c r="O915" s="2487"/>
      <c r="P915" s="2487"/>
      <c r="Q915" s="2487"/>
      <c r="R915" s="2487"/>
      <c r="S915" s="2487"/>
      <c r="T915" s="2487"/>
      <c r="U915" s="2487"/>
      <c r="V915" s="2487"/>
      <c r="W915" s="2487"/>
      <c r="X915" s="2487"/>
      <c r="Y915" s="2487"/>
      <c r="Z915" s="2487"/>
      <c r="AA915" s="2487"/>
      <c r="AB915" s="2487"/>
      <c r="AC915" s="2487"/>
      <c r="AD915" s="2487"/>
      <c r="AE915" s="2487"/>
      <c r="AF915" s="2487"/>
      <c r="AG915" s="2487"/>
      <c r="AH915" s="2487"/>
      <c r="AI915" s="2487"/>
      <c r="AJ915" s="2487"/>
      <c r="AK915" s="2487"/>
      <c r="AL915" s="2487"/>
      <c r="AM915" s="2487"/>
    </row>
    <row r="916" spans="1:39" ht="15.75" customHeight="1" x14ac:dyDescent="0.25">
      <c r="A916" s="2487"/>
      <c r="B916" s="2487"/>
      <c r="C916" s="2487"/>
      <c r="D916" s="2487"/>
      <c r="E916" s="2487"/>
      <c r="F916" s="2487"/>
      <c r="G916" s="2487"/>
      <c r="H916" s="2487"/>
      <c r="I916" s="2487"/>
      <c r="J916" s="2487"/>
      <c r="K916" s="2487"/>
      <c r="L916" s="2487"/>
      <c r="M916" s="2487"/>
      <c r="N916" s="2487"/>
      <c r="O916" s="2487"/>
      <c r="P916" s="2487"/>
      <c r="Q916" s="2487"/>
      <c r="R916" s="2487"/>
      <c r="S916" s="2487"/>
      <c r="T916" s="2487"/>
      <c r="U916" s="2487"/>
      <c r="V916" s="2487"/>
      <c r="W916" s="2487"/>
      <c r="X916" s="2487"/>
      <c r="Y916" s="2487"/>
      <c r="Z916" s="2487"/>
      <c r="AA916" s="2487"/>
      <c r="AB916" s="2487"/>
      <c r="AC916" s="2487"/>
      <c r="AD916" s="2487"/>
      <c r="AE916" s="2487"/>
      <c r="AF916" s="2487"/>
      <c r="AG916" s="2487"/>
      <c r="AH916" s="2487"/>
      <c r="AI916" s="2487"/>
      <c r="AJ916" s="2487"/>
      <c r="AK916" s="2487"/>
      <c r="AL916" s="2487"/>
      <c r="AM916" s="2487"/>
    </row>
    <row r="917" spans="1:39" ht="15.75" customHeight="1" x14ac:dyDescent="0.25">
      <c r="A917" s="2487"/>
      <c r="B917" s="2487"/>
      <c r="C917" s="2487"/>
      <c r="D917" s="2487"/>
      <c r="E917" s="2487"/>
      <c r="F917" s="2487"/>
      <c r="G917" s="2487"/>
      <c r="H917" s="2487"/>
      <c r="I917" s="2487"/>
      <c r="J917" s="2487"/>
      <c r="K917" s="2487"/>
      <c r="L917" s="2487"/>
      <c r="M917" s="2487"/>
      <c r="N917" s="2487"/>
      <c r="O917" s="2487"/>
      <c r="P917" s="2487"/>
      <c r="Q917" s="2487"/>
      <c r="R917" s="2487"/>
      <c r="S917" s="2487"/>
      <c r="T917" s="2487"/>
      <c r="U917" s="2487"/>
      <c r="V917" s="2487"/>
      <c r="W917" s="2487"/>
      <c r="X917" s="2487"/>
      <c r="Y917" s="2487"/>
      <c r="Z917" s="2487"/>
      <c r="AA917" s="2487"/>
      <c r="AB917" s="2487"/>
      <c r="AC917" s="2487"/>
      <c r="AD917" s="2487"/>
      <c r="AE917" s="2487"/>
      <c r="AF917" s="2487"/>
      <c r="AG917" s="2487"/>
      <c r="AH917" s="2487"/>
      <c r="AI917" s="2487"/>
      <c r="AJ917" s="2487"/>
      <c r="AK917" s="2487"/>
      <c r="AL917" s="2487"/>
      <c r="AM917" s="2487"/>
    </row>
    <row r="918" spans="1:39" ht="15.75" customHeight="1" x14ac:dyDescent="0.25">
      <c r="A918" s="2487"/>
      <c r="B918" s="2487"/>
      <c r="C918" s="2487"/>
      <c r="D918" s="2487"/>
      <c r="E918" s="2487"/>
      <c r="F918" s="2487"/>
      <c r="G918" s="2487"/>
      <c r="H918" s="2487"/>
      <c r="I918" s="2487"/>
      <c r="J918" s="2487"/>
      <c r="K918" s="2487"/>
      <c r="L918" s="2487"/>
      <c r="M918" s="2487"/>
      <c r="N918" s="2487"/>
      <c r="O918" s="2487"/>
      <c r="P918" s="2487"/>
      <c r="Q918" s="2487"/>
      <c r="R918" s="2487"/>
      <c r="S918" s="2487"/>
      <c r="T918" s="2487"/>
      <c r="U918" s="2487"/>
      <c r="V918" s="2487"/>
      <c r="W918" s="2487"/>
      <c r="X918" s="2487"/>
      <c r="Y918" s="2487"/>
      <c r="Z918" s="2487"/>
      <c r="AA918" s="2487"/>
      <c r="AB918" s="2487"/>
      <c r="AC918" s="2487"/>
      <c r="AD918" s="2487"/>
      <c r="AE918" s="2487"/>
      <c r="AF918" s="2487"/>
      <c r="AG918" s="2487"/>
      <c r="AH918" s="2487"/>
      <c r="AI918" s="2487"/>
      <c r="AJ918" s="2487"/>
      <c r="AK918" s="2487"/>
      <c r="AL918" s="2487"/>
      <c r="AM918" s="2487"/>
    </row>
    <row r="919" spans="1:39" ht="15.75" customHeight="1" x14ac:dyDescent="0.25">
      <c r="A919" s="2487"/>
      <c r="B919" s="2487"/>
      <c r="C919" s="2487"/>
      <c r="D919" s="2487"/>
      <c r="E919" s="2487"/>
      <c r="F919" s="2487"/>
      <c r="G919" s="2487"/>
      <c r="H919" s="2487"/>
      <c r="I919" s="2487"/>
      <c r="J919" s="2487"/>
      <c r="K919" s="2487"/>
      <c r="L919" s="2487"/>
      <c r="M919" s="2487"/>
      <c r="N919" s="2487"/>
      <c r="O919" s="2487"/>
      <c r="P919" s="2487"/>
      <c r="Q919" s="2487"/>
      <c r="R919" s="2487"/>
      <c r="S919" s="2487"/>
      <c r="T919" s="2487"/>
      <c r="U919" s="2487"/>
      <c r="V919" s="2487"/>
      <c r="W919" s="2487"/>
      <c r="X919" s="2487"/>
      <c r="Y919" s="2487"/>
      <c r="Z919" s="2487"/>
      <c r="AA919" s="2487"/>
      <c r="AB919" s="2487"/>
      <c r="AC919" s="2487"/>
      <c r="AD919" s="2487"/>
      <c r="AE919" s="2487"/>
      <c r="AF919" s="2487"/>
      <c r="AG919" s="2487"/>
      <c r="AH919" s="2487"/>
      <c r="AI919" s="2487"/>
      <c r="AJ919" s="2487"/>
      <c r="AK919" s="2487"/>
      <c r="AL919" s="2487"/>
      <c r="AM919" s="2487"/>
    </row>
    <row r="920" spans="1:39" ht="15.75" customHeight="1" x14ac:dyDescent="0.25">
      <c r="A920" s="2487"/>
      <c r="B920" s="2487"/>
      <c r="C920" s="2487"/>
      <c r="D920" s="2487"/>
      <c r="E920" s="2487"/>
      <c r="F920" s="2487"/>
      <c r="G920" s="2487"/>
      <c r="H920" s="2487"/>
      <c r="I920" s="2487"/>
      <c r="J920" s="2487"/>
      <c r="K920" s="2487"/>
      <c r="L920" s="2487"/>
      <c r="M920" s="2487"/>
      <c r="N920" s="2487"/>
      <c r="O920" s="2487"/>
      <c r="P920" s="2487"/>
      <c r="Q920" s="2487"/>
      <c r="R920" s="2487"/>
      <c r="S920" s="2487"/>
      <c r="T920" s="2487"/>
      <c r="U920" s="2487"/>
      <c r="V920" s="2487"/>
      <c r="W920" s="2487"/>
      <c r="X920" s="2487"/>
      <c r="Y920" s="2487"/>
      <c r="Z920" s="2487"/>
      <c r="AA920" s="2487"/>
      <c r="AB920" s="2487"/>
      <c r="AC920" s="2487"/>
      <c r="AD920" s="2487"/>
      <c r="AE920" s="2487"/>
      <c r="AF920" s="2487"/>
      <c r="AG920" s="2487"/>
      <c r="AH920" s="2487"/>
      <c r="AI920" s="2487"/>
      <c r="AJ920" s="2487"/>
      <c r="AK920" s="2487"/>
      <c r="AL920" s="2487"/>
      <c r="AM920" s="2487"/>
    </row>
    <row r="921" spans="1:39" ht="15.75" customHeight="1" x14ac:dyDescent="0.25">
      <c r="A921" s="2487"/>
      <c r="B921" s="2487"/>
      <c r="C921" s="2487"/>
      <c r="D921" s="2487"/>
      <c r="E921" s="2487"/>
      <c r="F921" s="2487"/>
      <c r="G921" s="2487"/>
      <c r="H921" s="2487"/>
      <c r="I921" s="2487"/>
      <c r="J921" s="2487"/>
      <c r="K921" s="2487"/>
      <c r="L921" s="2487"/>
      <c r="M921" s="2487"/>
      <c r="N921" s="2487"/>
      <c r="O921" s="2487"/>
      <c r="P921" s="2487"/>
      <c r="Q921" s="2487"/>
      <c r="R921" s="2487"/>
      <c r="S921" s="2487"/>
      <c r="T921" s="2487"/>
      <c r="U921" s="2487"/>
      <c r="V921" s="2487"/>
      <c r="W921" s="2487"/>
      <c r="X921" s="2487"/>
      <c r="Y921" s="2487"/>
      <c r="Z921" s="2487"/>
      <c r="AA921" s="2487"/>
      <c r="AB921" s="2487"/>
      <c r="AC921" s="2487"/>
      <c r="AD921" s="2487"/>
      <c r="AE921" s="2487"/>
      <c r="AF921" s="2487"/>
      <c r="AG921" s="2487"/>
      <c r="AH921" s="2487"/>
      <c r="AI921" s="2487"/>
      <c r="AJ921" s="2487"/>
      <c r="AK921" s="2487"/>
      <c r="AL921" s="2487"/>
      <c r="AM921" s="2487"/>
    </row>
    <row r="922" spans="1:39" ht="15.75" customHeight="1" x14ac:dyDescent="0.25">
      <c r="A922" s="2487"/>
      <c r="B922" s="2487"/>
      <c r="C922" s="2487"/>
      <c r="D922" s="2487"/>
      <c r="E922" s="2487"/>
      <c r="F922" s="2487"/>
      <c r="G922" s="2487"/>
      <c r="H922" s="2487"/>
      <c r="I922" s="2487"/>
      <c r="J922" s="2487"/>
      <c r="K922" s="2487"/>
      <c r="L922" s="2487"/>
      <c r="M922" s="2487"/>
      <c r="N922" s="2487"/>
      <c r="O922" s="2487"/>
      <c r="P922" s="2487"/>
      <c r="Q922" s="2487"/>
      <c r="R922" s="2487"/>
      <c r="S922" s="2487"/>
      <c r="T922" s="2487"/>
      <c r="U922" s="2487"/>
      <c r="V922" s="2487"/>
      <c r="W922" s="2487"/>
      <c r="X922" s="2487"/>
      <c r="Y922" s="2487"/>
      <c r="Z922" s="2487"/>
      <c r="AA922" s="2487"/>
      <c r="AB922" s="2487"/>
      <c r="AC922" s="2487"/>
      <c r="AD922" s="2487"/>
      <c r="AE922" s="2487"/>
      <c r="AF922" s="2487"/>
      <c r="AG922" s="2487"/>
      <c r="AH922" s="2487"/>
      <c r="AI922" s="2487"/>
      <c r="AJ922" s="2487"/>
      <c r="AK922" s="2487"/>
      <c r="AL922" s="2487"/>
      <c r="AM922" s="2487"/>
    </row>
    <row r="923" spans="1:39" ht="15.75" customHeight="1" x14ac:dyDescent="0.25">
      <c r="A923" s="2487"/>
      <c r="B923" s="2487"/>
      <c r="C923" s="2487"/>
      <c r="D923" s="2487"/>
      <c r="E923" s="2487"/>
      <c r="F923" s="2487"/>
      <c r="G923" s="2487"/>
      <c r="H923" s="2487"/>
      <c r="I923" s="2487"/>
      <c r="J923" s="2487"/>
      <c r="K923" s="2487"/>
      <c r="L923" s="2487"/>
      <c r="M923" s="2487"/>
      <c r="N923" s="2487"/>
      <c r="O923" s="2487"/>
      <c r="P923" s="2487"/>
      <c r="Q923" s="2487"/>
      <c r="R923" s="2487"/>
      <c r="S923" s="2487"/>
      <c r="T923" s="2487"/>
      <c r="U923" s="2487"/>
      <c r="V923" s="2487"/>
      <c r="W923" s="2487"/>
      <c r="X923" s="2487"/>
      <c r="Y923" s="2487"/>
      <c r="Z923" s="2487"/>
      <c r="AA923" s="2487"/>
      <c r="AB923" s="2487"/>
      <c r="AC923" s="2487"/>
      <c r="AD923" s="2487"/>
      <c r="AE923" s="2487"/>
      <c r="AF923" s="2487"/>
      <c r="AG923" s="2487"/>
      <c r="AH923" s="2487"/>
      <c r="AI923" s="2487"/>
      <c r="AJ923" s="2487"/>
      <c r="AK923" s="2487"/>
      <c r="AL923" s="2487"/>
      <c r="AM923" s="2487"/>
    </row>
    <row r="924" spans="1:39" ht="15.75" customHeight="1" x14ac:dyDescent="0.25">
      <c r="A924" s="2487"/>
      <c r="B924" s="2487"/>
      <c r="C924" s="2487"/>
      <c r="D924" s="2487"/>
      <c r="E924" s="2487"/>
      <c r="F924" s="2487"/>
      <c r="G924" s="2487"/>
      <c r="H924" s="2487"/>
      <c r="I924" s="2487"/>
      <c r="J924" s="2487"/>
      <c r="K924" s="2487"/>
      <c r="L924" s="2487"/>
      <c r="M924" s="2487"/>
      <c r="N924" s="2487"/>
      <c r="O924" s="2487"/>
      <c r="P924" s="2487"/>
      <c r="Q924" s="2487"/>
      <c r="R924" s="2487"/>
      <c r="S924" s="2487"/>
      <c r="T924" s="2487"/>
      <c r="U924" s="2487"/>
      <c r="V924" s="2487"/>
      <c r="W924" s="2487"/>
      <c r="X924" s="2487"/>
      <c r="Y924" s="2487"/>
      <c r="Z924" s="2487"/>
      <c r="AA924" s="2487"/>
      <c r="AB924" s="2487"/>
      <c r="AC924" s="2487"/>
      <c r="AD924" s="2487"/>
      <c r="AE924" s="2487"/>
      <c r="AF924" s="2487"/>
      <c r="AG924" s="2487"/>
      <c r="AH924" s="2487"/>
      <c r="AI924" s="2487"/>
      <c r="AJ924" s="2487"/>
      <c r="AK924" s="2487"/>
      <c r="AL924" s="2487"/>
      <c r="AM924" s="2487"/>
    </row>
    <row r="925" spans="1:39" ht="15.75" customHeight="1" x14ac:dyDescent="0.25">
      <c r="A925" s="2487"/>
      <c r="B925" s="2487"/>
      <c r="C925" s="2487"/>
      <c r="D925" s="2487"/>
      <c r="E925" s="2487"/>
      <c r="F925" s="2487"/>
      <c r="G925" s="2487"/>
      <c r="H925" s="2487"/>
      <c r="I925" s="2487"/>
      <c r="J925" s="2487"/>
      <c r="K925" s="2487"/>
      <c r="L925" s="2487"/>
      <c r="M925" s="2487"/>
      <c r="N925" s="2487"/>
      <c r="O925" s="2487"/>
      <c r="P925" s="2487"/>
      <c r="Q925" s="2487"/>
      <c r="R925" s="2487"/>
      <c r="S925" s="2487"/>
      <c r="T925" s="2487"/>
      <c r="U925" s="2487"/>
      <c r="V925" s="2487"/>
      <c r="W925" s="2487"/>
      <c r="X925" s="2487"/>
      <c r="Y925" s="2487"/>
      <c r="Z925" s="2487"/>
      <c r="AA925" s="2487"/>
      <c r="AB925" s="2487"/>
      <c r="AC925" s="2487"/>
      <c r="AD925" s="2487"/>
      <c r="AE925" s="2487"/>
      <c r="AF925" s="2487"/>
      <c r="AG925" s="2487"/>
      <c r="AH925" s="2487"/>
      <c r="AI925" s="2487"/>
      <c r="AJ925" s="2487"/>
      <c r="AK925" s="2487"/>
      <c r="AL925" s="2487"/>
      <c r="AM925" s="2487"/>
    </row>
    <row r="926" spans="1:39" ht="15.75" customHeight="1" x14ac:dyDescent="0.25">
      <c r="A926" s="2487"/>
      <c r="B926" s="2487"/>
      <c r="C926" s="2487"/>
      <c r="D926" s="2487"/>
      <c r="E926" s="2487"/>
      <c r="F926" s="2487"/>
      <c r="G926" s="2487"/>
      <c r="H926" s="2487"/>
      <c r="I926" s="2487"/>
      <c r="J926" s="2487"/>
      <c r="K926" s="2487"/>
      <c r="L926" s="2487"/>
      <c r="M926" s="2487"/>
      <c r="N926" s="2487"/>
      <c r="O926" s="2487"/>
      <c r="P926" s="2487"/>
      <c r="Q926" s="2487"/>
      <c r="R926" s="2487"/>
      <c r="S926" s="2487"/>
      <c r="T926" s="2487"/>
      <c r="U926" s="2487"/>
      <c r="V926" s="2487"/>
      <c r="W926" s="2487"/>
      <c r="X926" s="2487"/>
      <c r="Y926" s="2487"/>
      <c r="Z926" s="2487"/>
      <c r="AA926" s="2487"/>
      <c r="AB926" s="2487"/>
      <c r="AC926" s="2487"/>
      <c r="AD926" s="2487"/>
      <c r="AE926" s="2487"/>
      <c r="AF926" s="2487"/>
      <c r="AG926" s="2487"/>
      <c r="AH926" s="2487"/>
      <c r="AI926" s="2487"/>
      <c r="AJ926" s="2487"/>
      <c r="AK926" s="2487"/>
      <c r="AL926" s="2487"/>
      <c r="AM926" s="2487"/>
    </row>
    <row r="927" spans="1:39" ht="15.75" customHeight="1" x14ac:dyDescent="0.25">
      <c r="A927" s="2487"/>
      <c r="B927" s="2487"/>
      <c r="C927" s="2487"/>
      <c r="D927" s="2487"/>
      <c r="E927" s="2487"/>
      <c r="F927" s="2487"/>
      <c r="G927" s="2487"/>
      <c r="H927" s="2487"/>
      <c r="I927" s="2487"/>
      <c r="J927" s="2487"/>
      <c r="K927" s="2487"/>
      <c r="L927" s="2487"/>
      <c r="M927" s="2487"/>
      <c r="N927" s="2487"/>
      <c r="O927" s="2487"/>
      <c r="P927" s="2487"/>
      <c r="Q927" s="2487"/>
      <c r="R927" s="2487"/>
      <c r="S927" s="2487"/>
      <c r="T927" s="2487"/>
      <c r="U927" s="2487"/>
      <c r="V927" s="2487"/>
      <c r="W927" s="2487"/>
      <c r="X927" s="2487"/>
      <c r="Y927" s="2487"/>
      <c r="Z927" s="2487"/>
      <c r="AA927" s="2487"/>
      <c r="AB927" s="2487"/>
      <c r="AC927" s="2487"/>
      <c r="AD927" s="2487"/>
      <c r="AE927" s="2487"/>
      <c r="AF927" s="2487"/>
      <c r="AG927" s="2487"/>
      <c r="AH927" s="2487"/>
      <c r="AI927" s="2487"/>
      <c r="AJ927" s="2487"/>
      <c r="AK927" s="2487"/>
      <c r="AL927" s="2487"/>
      <c r="AM927" s="2487"/>
    </row>
    <row r="928" spans="1:39" ht="15.75" customHeight="1" x14ac:dyDescent="0.25">
      <c r="A928" s="2487"/>
      <c r="B928" s="2487"/>
      <c r="C928" s="2487"/>
      <c r="D928" s="2487"/>
      <c r="E928" s="2487"/>
      <c r="F928" s="2487"/>
      <c r="G928" s="2487"/>
      <c r="H928" s="2487"/>
      <c r="I928" s="2487"/>
      <c r="J928" s="2487"/>
      <c r="K928" s="2487"/>
      <c r="L928" s="2487"/>
      <c r="M928" s="2487"/>
      <c r="N928" s="2487"/>
      <c r="O928" s="2487"/>
      <c r="P928" s="2487"/>
      <c r="Q928" s="2487"/>
      <c r="R928" s="2487"/>
      <c r="S928" s="2487"/>
      <c r="T928" s="2487"/>
      <c r="U928" s="2487"/>
      <c r="V928" s="2487"/>
      <c r="W928" s="2487"/>
      <c r="X928" s="2487"/>
      <c r="Y928" s="2487"/>
      <c r="Z928" s="2487"/>
      <c r="AA928" s="2487"/>
      <c r="AB928" s="2487"/>
      <c r="AC928" s="2487"/>
      <c r="AD928" s="2487"/>
      <c r="AE928" s="2487"/>
      <c r="AF928" s="2487"/>
      <c r="AG928" s="2487"/>
      <c r="AH928" s="2487"/>
      <c r="AI928" s="2487"/>
      <c r="AJ928" s="2487"/>
      <c r="AK928" s="2487"/>
      <c r="AL928" s="2487"/>
      <c r="AM928" s="2487"/>
    </row>
    <row r="929" spans="1:39" ht="15.75" customHeight="1" x14ac:dyDescent="0.25">
      <c r="A929" s="2487"/>
      <c r="B929" s="2487"/>
      <c r="C929" s="2487"/>
      <c r="D929" s="2487"/>
      <c r="E929" s="2487"/>
      <c r="F929" s="2487"/>
      <c r="G929" s="2487"/>
      <c r="H929" s="2487"/>
      <c r="I929" s="2487"/>
      <c r="J929" s="2487"/>
      <c r="K929" s="2487"/>
      <c r="L929" s="2487"/>
      <c r="M929" s="2487"/>
      <c r="N929" s="2487"/>
      <c r="O929" s="2487"/>
      <c r="P929" s="2487"/>
      <c r="Q929" s="2487"/>
      <c r="R929" s="2487"/>
      <c r="S929" s="2487"/>
      <c r="T929" s="2487"/>
      <c r="U929" s="2487"/>
      <c r="V929" s="2487"/>
      <c r="W929" s="2487"/>
      <c r="X929" s="2487"/>
      <c r="Y929" s="2487"/>
      <c r="Z929" s="2487"/>
      <c r="AA929" s="2487"/>
      <c r="AB929" s="2487"/>
      <c r="AC929" s="2487"/>
      <c r="AD929" s="2487"/>
      <c r="AE929" s="2487"/>
      <c r="AF929" s="2487"/>
      <c r="AG929" s="2487"/>
      <c r="AH929" s="2487"/>
      <c r="AI929" s="2487"/>
      <c r="AJ929" s="2487"/>
      <c r="AK929" s="2487"/>
      <c r="AL929" s="2487"/>
      <c r="AM929" s="2487"/>
    </row>
    <row r="930" spans="1:39" ht="15.75" customHeight="1" x14ac:dyDescent="0.25">
      <c r="A930" s="2487"/>
      <c r="B930" s="2487"/>
      <c r="C930" s="2487"/>
      <c r="D930" s="2487"/>
      <c r="E930" s="2487"/>
      <c r="F930" s="2487"/>
      <c r="G930" s="2487"/>
      <c r="H930" s="2487"/>
      <c r="I930" s="2487"/>
      <c r="J930" s="2487"/>
      <c r="K930" s="2487"/>
      <c r="L930" s="2487"/>
      <c r="M930" s="2487"/>
      <c r="N930" s="2487"/>
      <c r="O930" s="2487"/>
      <c r="P930" s="2487"/>
      <c r="Q930" s="2487"/>
      <c r="R930" s="2487"/>
      <c r="S930" s="2487"/>
      <c r="T930" s="2487"/>
      <c r="U930" s="2487"/>
      <c r="V930" s="2487"/>
      <c r="W930" s="2487"/>
      <c r="X930" s="2487"/>
      <c r="Y930" s="2487"/>
      <c r="Z930" s="2487"/>
      <c r="AA930" s="2487"/>
      <c r="AB930" s="2487"/>
      <c r="AC930" s="2487"/>
      <c r="AD930" s="2487"/>
      <c r="AE930" s="2487"/>
      <c r="AF930" s="2487"/>
      <c r="AG930" s="2487"/>
      <c r="AH930" s="2487"/>
      <c r="AI930" s="2487"/>
      <c r="AJ930" s="2487"/>
      <c r="AK930" s="2487"/>
      <c r="AL930" s="2487"/>
      <c r="AM930" s="2487"/>
    </row>
    <row r="931" spans="1:39" ht="15.75" customHeight="1" x14ac:dyDescent="0.25">
      <c r="A931" s="2487"/>
      <c r="B931" s="2487"/>
      <c r="C931" s="2487"/>
      <c r="D931" s="2487"/>
      <c r="E931" s="2487"/>
      <c r="F931" s="2487"/>
      <c r="G931" s="2487"/>
      <c r="H931" s="2487"/>
      <c r="I931" s="2487"/>
      <c r="J931" s="2487"/>
      <c r="K931" s="2487"/>
      <c r="L931" s="2487"/>
      <c r="M931" s="2487"/>
      <c r="N931" s="2487"/>
      <c r="O931" s="2487"/>
      <c r="P931" s="2487"/>
      <c r="Q931" s="2487"/>
      <c r="R931" s="2487"/>
      <c r="S931" s="2487"/>
      <c r="T931" s="2487"/>
      <c r="U931" s="2487"/>
      <c r="V931" s="2487"/>
      <c r="W931" s="2487"/>
      <c r="X931" s="2487"/>
      <c r="Y931" s="2487"/>
      <c r="Z931" s="2487"/>
      <c r="AA931" s="2487"/>
      <c r="AB931" s="2487"/>
      <c r="AC931" s="2487"/>
      <c r="AD931" s="2487"/>
      <c r="AE931" s="2487"/>
      <c r="AF931" s="2487"/>
      <c r="AG931" s="2487"/>
      <c r="AH931" s="2487"/>
      <c r="AI931" s="2487"/>
      <c r="AJ931" s="2487"/>
      <c r="AK931" s="2487"/>
      <c r="AL931" s="2487"/>
      <c r="AM931" s="2487"/>
    </row>
    <row r="932" spans="1:39" ht="15.75" customHeight="1" x14ac:dyDescent="0.25">
      <c r="A932" s="2487"/>
      <c r="B932" s="2487"/>
      <c r="C932" s="2487"/>
      <c r="D932" s="2487"/>
      <c r="E932" s="2487"/>
      <c r="F932" s="2487"/>
      <c r="G932" s="2487"/>
      <c r="H932" s="2487"/>
      <c r="I932" s="2487"/>
      <c r="J932" s="2487"/>
      <c r="K932" s="2487"/>
      <c r="L932" s="2487"/>
      <c r="M932" s="2487"/>
      <c r="N932" s="2487"/>
      <c r="O932" s="2487"/>
      <c r="P932" s="2487"/>
      <c r="Q932" s="2487"/>
      <c r="R932" s="2487"/>
      <c r="S932" s="2487"/>
      <c r="T932" s="2487"/>
      <c r="U932" s="2487"/>
      <c r="V932" s="2487"/>
      <c r="W932" s="2487"/>
      <c r="X932" s="2487"/>
      <c r="Y932" s="2487"/>
      <c r="Z932" s="2487"/>
      <c r="AA932" s="2487"/>
      <c r="AB932" s="2487"/>
      <c r="AC932" s="2487"/>
      <c r="AD932" s="2487"/>
      <c r="AE932" s="2487"/>
      <c r="AF932" s="2487"/>
      <c r="AG932" s="2487"/>
      <c r="AH932" s="2487"/>
      <c r="AI932" s="2487"/>
      <c r="AJ932" s="2487"/>
      <c r="AK932" s="2487"/>
      <c r="AL932" s="2487"/>
      <c r="AM932" s="2487"/>
    </row>
    <row r="933" spans="1:39" ht="15.75" customHeight="1" x14ac:dyDescent="0.25">
      <c r="A933" s="2487"/>
      <c r="B933" s="2487"/>
      <c r="C933" s="2487"/>
      <c r="D933" s="2487"/>
      <c r="E933" s="2487"/>
      <c r="F933" s="2487"/>
      <c r="G933" s="2487"/>
      <c r="H933" s="2487"/>
      <c r="I933" s="2487"/>
      <c r="J933" s="2487"/>
      <c r="K933" s="2487"/>
      <c r="L933" s="2487"/>
      <c r="M933" s="2487"/>
      <c r="N933" s="2487"/>
      <c r="O933" s="2487"/>
      <c r="P933" s="2487"/>
      <c r="Q933" s="2487"/>
      <c r="R933" s="2487"/>
      <c r="S933" s="2487"/>
      <c r="T933" s="2487"/>
      <c r="U933" s="2487"/>
      <c r="V933" s="2487"/>
      <c r="W933" s="2487"/>
      <c r="X933" s="2487"/>
      <c r="Y933" s="2487"/>
      <c r="Z933" s="2487"/>
      <c r="AA933" s="2487"/>
      <c r="AB933" s="2487"/>
      <c r="AC933" s="2487"/>
      <c r="AD933" s="2487"/>
      <c r="AE933" s="2487"/>
      <c r="AF933" s="2487"/>
      <c r="AG933" s="2487"/>
      <c r="AH933" s="2487"/>
      <c r="AI933" s="2487"/>
      <c r="AJ933" s="2487"/>
      <c r="AK933" s="2487"/>
      <c r="AL933" s="2487"/>
      <c r="AM933" s="2487"/>
    </row>
    <row r="934" spans="1:39" ht="15.75" customHeight="1" x14ac:dyDescent="0.25">
      <c r="A934" s="2487"/>
      <c r="B934" s="2487"/>
      <c r="C934" s="2487"/>
      <c r="D934" s="2487"/>
      <c r="E934" s="2487"/>
      <c r="F934" s="2487"/>
      <c r="G934" s="2487"/>
      <c r="H934" s="2487"/>
      <c r="I934" s="2487"/>
      <c r="J934" s="2487"/>
      <c r="K934" s="2487"/>
      <c r="L934" s="2487"/>
      <c r="M934" s="2487"/>
      <c r="N934" s="2487"/>
      <c r="O934" s="2487"/>
      <c r="P934" s="2487"/>
      <c r="Q934" s="2487"/>
      <c r="R934" s="2487"/>
      <c r="S934" s="2487"/>
      <c r="T934" s="2487"/>
      <c r="U934" s="2487"/>
      <c r="V934" s="2487"/>
      <c r="W934" s="2487"/>
      <c r="X934" s="2487"/>
      <c r="Y934" s="2487"/>
      <c r="Z934" s="2487"/>
      <c r="AA934" s="2487"/>
      <c r="AB934" s="2487"/>
      <c r="AC934" s="2487"/>
      <c r="AD934" s="2487"/>
      <c r="AE934" s="2487"/>
      <c r="AF934" s="2487"/>
      <c r="AG934" s="2487"/>
      <c r="AH934" s="2487"/>
      <c r="AI934" s="2487"/>
      <c r="AJ934" s="2487"/>
      <c r="AK934" s="2487"/>
      <c r="AL934" s="2487"/>
      <c r="AM934" s="2487"/>
    </row>
    <row r="935" spans="1:39" ht="15.75" customHeight="1" x14ac:dyDescent="0.25">
      <c r="A935" s="2487"/>
      <c r="B935" s="2487"/>
      <c r="C935" s="2487"/>
      <c r="D935" s="2487"/>
      <c r="E935" s="2487"/>
      <c r="F935" s="2487"/>
      <c r="G935" s="2487"/>
      <c r="H935" s="2487"/>
      <c r="I935" s="2487"/>
      <c r="J935" s="2487"/>
      <c r="K935" s="2487"/>
      <c r="L935" s="2487"/>
      <c r="M935" s="2487"/>
      <c r="N935" s="2487"/>
      <c r="O935" s="2487"/>
      <c r="P935" s="2487"/>
      <c r="Q935" s="2487"/>
      <c r="R935" s="2487"/>
      <c r="S935" s="2487"/>
      <c r="T935" s="2487"/>
      <c r="U935" s="2487"/>
      <c r="V935" s="2487"/>
      <c r="W935" s="2487"/>
      <c r="X935" s="2487"/>
      <c r="Y935" s="2487"/>
      <c r="Z935" s="2487"/>
      <c r="AA935" s="2487"/>
      <c r="AB935" s="2487"/>
      <c r="AC935" s="2487"/>
      <c r="AD935" s="2487"/>
      <c r="AE935" s="2487"/>
      <c r="AF935" s="2487"/>
      <c r="AG935" s="2487"/>
      <c r="AH935" s="2487"/>
      <c r="AI935" s="2487"/>
      <c r="AJ935" s="2487"/>
      <c r="AK935" s="2487"/>
      <c r="AL935" s="2487"/>
      <c r="AM935" s="2487"/>
    </row>
    <row r="936" spans="1:39" ht="15.75" customHeight="1" x14ac:dyDescent="0.25">
      <c r="A936" s="2487"/>
      <c r="B936" s="2487"/>
      <c r="C936" s="2487"/>
      <c r="D936" s="2487"/>
      <c r="E936" s="2487"/>
      <c r="F936" s="2487"/>
      <c r="G936" s="2487"/>
      <c r="H936" s="2487"/>
      <c r="I936" s="2487"/>
      <c r="J936" s="2487"/>
      <c r="K936" s="2487"/>
      <c r="L936" s="2487"/>
      <c r="M936" s="2487"/>
      <c r="N936" s="2487"/>
      <c r="O936" s="2487"/>
      <c r="P936" s="2487"/>
      <c r="Q936" s="2487"/>
      <c r="R936" s="2487"/>
      <c r="S936" s="2487"/>
      <c r="T936" s="2487"/>
      <c r="U936" s="2487"/>
      <c r="V936" s="2487"/>
      <c r="W936" s="2487"/>
      <c r="X936" s="2487"/>
      <c r="Y936" s="2487"/>
      <c r="Z936" s="2487"/>
      <c r="AA936" s="2487"/>
      <c r="AB936" s="2487"/>
      <c r="AC936" s="2487"/>
      <c r="AD936" s="2487"/>
      <c r="AE936" s="2487"/>
      <c r="AF936" s="2487"/>
      <c r="AG936" s="2487"/>
      <c r="AH936" s="2487"/>
      <c r="AI936" s="2487"/>
      <c r="AJ936" s="2487"/>
      <c r="AK936" s="2487"/>
      <c r="AL936" s="2487"/>
      <c r="AM936" s="2487"/>
    </row>
    <row r="937" spans="1:39" ht="15.75" customHeight="1" x14ac:dyDescent="0.25">
      <c r="A937" s="2487"/>
      <c r="B937" s="2487"/>
      <c r="C937" s="2487"/>
      <c r="D937" s="2487"/>
      <c r="E937" s="2487"/>
      <c r="F937" s="2487"/>
      <c r="G937" s="2487"/>
      <c r="H937" s="2487"/>
      <c r="I937" s="2487"/>
      <c r="J937" s="2487"/>
      <c r="K937" s="2487"/>
      <c r="L937" s="2487"/>
      <c r="M937" s="2487"/>
      <c r="N937" s="2487"/>
      <c r="O937" s="2487"/>
      <c r="P937" s="2487"/>
      <c r="Q937" s="2487"/>
      <c r="R937" s="2487"/>
      <c r="S937" s="2487"/>
      <c r="T937" s="2487"/>
      <c r="U937" s="2487"/>
      <c r="V937" s="2487"/>
      <c r="W937" s="2487"/>
      <c r="X937" s="2487"/>
      <c r="Y937" s="2487"/>
      <c r="Z937" s="2487"/>
      <c r="AA937" s="2487"/>
      <c r="AB937" s="2487"/>
      <c r="AC937" s="2487"/>
      <c r="AD937" s="2487"/>
      <c r="AE937" s="2487"/>
      <c r="AF937" s="2487"/>
      <c r="AG937" s="2487"/>
      <c r="AH937" s="2487"/>
      <c r="AI937" s="2487"/>
      <c r="AJ937" s="2487"/>
      <c r="AK937" s="2487"/>
      <c r="AL937" s="2487"/>
      <c r="AM937" s="2487"/>
    </row>
    <row r="938" spans="1:39" ht="15.75" customHeight="1" x14ac:dyDescent="0.25">
      <c r="A938" s="2487"/>
      <c r="B938" s="2487"/>
      <c r="C938" s="2487"/>
      <c r="D938" s="2487"/>
      <c r="E938" s="2487"/>
      <c r="F938" s="2487"/>
      <c r="G938" s="2487"/>
      <c r="H938" s="2487"/>
      <c r="I938" s="2487"/>
      <c r="J938" s="2487"/>
      <c r="K938" s="2487"/>
      <c r="L938" s="2487"/>
      <c r="M938" s="2487"/>
      <c r="N938" s="2487"/>
      <c r="O938" s="2487"/>
      <c r="P938" s="2487"/>
      <c r="Q938" s="2487"/>
      <c r="R938" s="2487"/>
      <c r="S938" s="2487"/>
      <c r="T938" s="2487"/>
      <c r="U938" s="2487"/>
      <c r="V938" s="2487"/>
      <c r="W938" s="2487"/>
      <c r="X938" s="2487"/>
      <c r="Y938" s="2487"/>
      <c r="Z938" s="2487"/>
      <c r="AA938" s="2487"/>
      <c r="AB938" s="2487"/>
      <c r="AC938" s="2487"/>
      <c r="AD938" s="2487"/>
      <c r="AE938" s="2487"/>
      <c r="AF938" s="2487"/>
      <c r="AG938" s="2487"/>
      <c r="AH938" s="2487"/>
      <c r="AI938" s="2487"/>
      <c r="AJ938" s="2487"/>
      <c r="AK938" s="2487"/>
      <c r="AL938" s="2487"/>
      <c r="AM938" s="2487"/>
    </row>
    <row r="939" spans="1:39" ht="15.75" customHeight="1" x14ac:dyDescent="0.25">
      <c r="A939" s="2487"/>
      <c r="B939" s="2487"/>
      <c r="C939" s="2487"/>
      <c r="D939" s="2487"/>
      <c r="E939" s="2487"/>
      <c r="F939" s="2487"/>
      <c r="G939" s="2487"/>
      <c r="H939" s="2487"/>
      <c r="I939" s="2487"/>
      <c r="J939" s="2487"/>
      <c r="K939" s="2487"/>
      <c r="L939" s="2487"/>
      <c r="M939" s="2487"/>
      <c r="N939" s="2487"/>
      <c r="O939" s="2487"/>
      <c r="P939" s="2487"/>
      <c r="Q939" s="2487"/>
      <c r="R939" s="2487"/>
      <c r="S939" s="2487"/>
      <c r="T939" s="2487"/>
      <c r="U939" s="2487"/>
      <c r="V939" s="2487"/>
      <c r="W939" s="2487"/>
      <c r="X939" s="2487"/>
      <c r="Y939" s="2487"/>
      <c r="Z939" s="2487"/>
      <c r="AA939" s="2487"/>
      <c r="AB939" s="2487"/>
      <c r="AC939" s="2487"/>
      <c r="AD939" s="2487"/>
      <c r="AE939" s="2487"/>
      <c r="AF939" s="2487"/>
      <c r="AG939" s="2487"/>
      <c r="AH939" s="2487"/>
      <c r="AI939" s="2487"/>
      <c r="AJ939" s="2487"/>
      <c r="AK939" s="2487"/>
      <c r="AL939" s="2487"/>
      <c r="AM939" s="2487"/>
    </row>
    <row r="940" spans="1:39" ht="15.75" customHeight="1" x14ac:dyDescent="0.25">
      <c r="A940" s="2487"/>
      <c r="B940" s="2487"/>
      <c r="C940" s="2487"/>
      <c r="D940" s="2487"/>
      <c r="E940" s="2487"/>
      <c r="F940" s="2487"/>
      <c r="G940" s="2487"/>
      <c r="H940" s="2487"/>
      <c r="I940" s="2487"/>
      <c r="J940" s="2487"/>
      <c r="K940" s="2487"/>
      <c r="L940" s="2487"/>
      <c r="M940" s="2487"/>
      <c r="N940" s="2487"/>
      <c r="O940" s="2487"/>
      <c r="P940" s="2487"/>
      <c r="Q940" s="2487"/>
      <c r="R940" s="2487"/>
      <c r="S940" s="2487"/>
      <c r="T940" s="2487"/>
      <c r="U940" s="2487"/>
      <c r="V940" s="2487"/>
      <c r="W940" s="2487"/>
      <c r="X940" s="2487"/>
      <c r="Y940" s="2487"/>
      <c r="Z940" s="2487"/>
      <c r="AA940" s="2487"/>
      <c r="AB940" s="2487"/>
      <c r="AC940" s="2487"/>
      <c r="AD940" s="2487"/>
      <c r="AE940" s="2487"/>
      <c r="AF940" s="2487"/>
      <c r="AG940" s="2487"/>
      <c r="AH940" s="2487"/>
      <c r="AI940" s="2487"/>
      <c r="AJ940" s="2487"/>
      <c r="AK940" s="2487"/>
      <c r="AL940" s="2487"/>
      <c r="AM940" s="2487"/>
    </row>
    <row r="941" spans="1:39" ht="15.75" customHeight="1" x14ac:dyDescent="0.25">
      <c r="A941" s="2487"/>
      <c r="B941" s="2487"/>
      <c r="C941" s="2487"/>
      <c r="D941" s="2487"/>
      <c r="E941" s="2487"/>
      <c r="F941" s="2487"/>
      <c r="G941" s="2487"/>
      <c r="H941" s="2487"/>
      <c r="I941" s="2487"/>
      <c r="J941" s="2487"/>
      <c r="K941" s="2487"/>
      <c r="L941" s="2487"/>
      <c r="M941" s="2487"/>
      <c r="N941" s="2487"/>
      <c r="O941" s="2487"/>
      <c r="P941" s="2487"/>
      <c r="Q941" s="2487"/>
      <c r="R941" s="2487"/>
      <c r="S941" s="2487"/>
      <c r="T941" s="2487"/>
      <c r="U941" s="2487"/>
      <c r="V941" s="2487"/>
      <c r="W941" s="2487"/>
      <c r="X941" s="2487"/>
      <c r="Y941" s="2487"/>
      <c r="Z941" s="2487"/>
      <c r="AA941" s="2487"/>
      <c r="AB941" s="2487"/>
      <c r="AC941" s="2487"/>
      <c r="AD941" s="2487"/>
      <c r="AE941" s="2487"/>
      <c r="AF941" s="2487"/>
      <c r="AG941" s="2487"/>
      <c r="AH941" s="2487"/>
      <c r="AI941" s="2487"/>
      <c r="AJ941" s="2487"/>
      <c r="AK941" s="2487"/>
      <c r="AL941" s="2487"/>
      <c r="AM941" s="2487"/>
    </row>
    <row r="942" spans="1:39" ht="15.75" customHeight="1" x14ac:dyDescent="0.25">
      <c r="A942" s="2487"/>
      <c r="B942" s="2487"/>
      <c r="C942" s="2487"/>
      <c r="D942" s="2487"/>
      <c r="E942" s="2487"/>
      <c r="F942" s="2487"/>
      <c r="G942" s="2487"/>
      <c r="H942" s="2487"/>
      <c r="I942" s="2487"/>
      <c r="J942" s="2487"/>
      <c r="K942" s="2487"/>
      <c r="L942" s="2487"/>
      <c r="M942" s="2487"/>
      <c r="N942" s="2487"/>
      <c r="O942" s="2487"/>
      <c r="P942" s="2487"/>
      <c r="Q942" s="2487"/>
      <c r="R942" s="2487"/>
      <c r="S942" s="2487"/>
      <c r="T942" s="2487"/>
      <c r="U942" s="2487"/>
      <c r="V942" s="2487"/>
      <c r="W942" s="2487"/>
      <c r="X942" s="2487"/>
      <c r="Y942" s="2487"/>
      <c r="Z942" s="2487"/>
      <c r="AA942" s="2487"/>
      <c r="AB942" s="2487"/>
      <c r="AC942" s="2487"/>
      <c r="AD942" s="2487"/>
      <c r="AE942" s="2487"/>
      <c r="AF942" s="2487"/>
      <c r="AG942" s="2487"/>
      <c r="AH942" s="2487"/>
      <c r="AI942" s="2487"/>
      <c r="AJ942" s="2487"/>
      <c r="AK942" s="2487"/>
      <c r="AL942" s="2487"/>
      <c r="AM942" s="2487"/>
    </row>
    <row r="943" spans="1:39" ht="15.75" customHeight="1" x14ac:dyDescent="0.25">
      <c r="A943" s="2487"/>
      <c r="B943" s="2487"/>
      <c r="C943" s="2487"/>
      <c r="D943" s="2487"/>
      <c r="E943" s="2487"/>
      <c r="F943" s="2487"/>
      <c r="G943" s="2487"/>
      <c r="H943" s="2487"/>
      <c r="I943" s="2487"/>
      <c r="J943" s="2487"/>
      <c r="K943" s="2487"/>
      <c r="L943" s="2487"/>
      <c r="M943" s="2487"/>
      <c r="N943" s="2487"/>
      <c r="O943" s="2487"/>
      <c r="P943" s="2487"/>
      <c r="Q943" s="2487"/>
      <c r="R943" s="2487"/>
      <c r="S943" s="2487"/>
      <c r="T943" s="2487"/>
      <c r="U943" s="2487"/>
      <c r="V943" s="2487"/>
      <c r="W943" s="2487"/>
      <c r="X943" s="2487"/>
      <c r="Y943" s="2487"/>
      <c r="Z943" s="2487"/>
      <c r="AA943" s="2487"/>
      <c r="AB943" s="2487"/>
      <c r="AC943" s="2487"/>
      <c r="AD943" s="2487"/>
      <c r="AE943" s="2487"/>
      <c r="AF943" s="2487"/>
      <c r="AG943" s="2487"/>
      <c r="AH943" s="2487"/>
      <c r="AI943" s="2487"/>
      <c r="AJ943" s="2487"/>
      <c r="AK943" s="2487"/>
      <c r="AL943" s="2487"/>
      <c r="AM943" s="2487"/>
    </row>
    <row r="944" spans="1:39" ht="15.75" customHeight="1" x14ac:dyDescent="0.25">
      <c r="A944" s="2487"/>
      <c r="B944" s="2487"/>
      <c r="C944" s="2487"/>
      <c r="D944" s="2487"/>
      <c r="E944" s="2487"/>
      <c r="F944" s="2487"/>
      <c r="G944" s="2487"/>
      <c r="H944" s="2487"/>
      <c r="I944" s="2487"/>
      <c r="J944" s="2487"/>
      <c r="K944" s="2487"/>
      <c r="L944" s="2487"/>
      <c r="M944" s="2487"/>
      <c r="N944" s="2487"/>
      <c r="O944" s="2487"/>
      <c r="P944" s="2487"/>
      <c r="Q944" s="2487"/>
      <c r="R944" s="2487"/>
      <c r="S944" s="2487"/>
      <c r="T944" s="2487"/>
      <c r="U944" s="2487"/>
      <c r="V944" s="2487"/>
      <c r="W944" s="2487"/>
      <c r="X944" s="2487"/>
      <c r="Y944" s="2487"/>
      <c r="Z944" s="2487"/>
      <c r="AA944" s="2487"/>
      <c r="AB944" s="2487"/>
      <c r="AC944" s="2487"/>
      <c r="AD944" s="2487"/>
      <c r="AE944" s="2487"/>
      <c r="AF944" s="2487"/>
      <c r="AG944" s="2487"/>
      <c r="AH944" s="2487"/>
      <c r="AI944" s="2487"/>
      <c r="AJ944" s="2487"/>
      <c r="AK944" s="2487"/>
      <c r="AL944" s="2487"/>
      <c r="AM944" s="2487"/>
    </row>
    <row r="945" spans="1:39" ht="15.75" customHeight="1" x14ac:dyDescent="0.25">
      <c r="A945" s="2487"/>
      <c r="B945" s="2487"/>
      <c r="C945" s="2487"/>
      <c r="D945" s="2487"/>
      <c r="E945" s="2487"/>
      <c r="F945" s="2487"/>
      <c r="G945" s="2487"/>
      <c r="H945" s="2487"/>
      <c r="I945" s="2487"/>
      <c r="J945" s="2487"/>
      <c r="K945" s="2487"/>
      <c r="L945" s="2487"/>
      <c r="M945" s="2487"/>
      <c r="N945" s="2487"/>
      <c r="O945" s="2487"/>
      <c r="P945" s="2487"/>
      <c r="Q945" s="2487"/>
      <c r="R945" s="2487"/>
      <c r="S945" s="2487"/>
      <c r="T945" s="2487"/>
      <c r="U945" s="2487"/>
      <c r="V945" s="2487"/>
      <c r="W945" s="2487"/>
      <c r="X945" s="2487"/>
      <c r="Y945" s="2487"/>
      <c r="Z945" s="2487"/>
      <c r="AA945" s="2487"/>
      <c r="AB945" s="2487"/>
      <c r="AC945" s="2487"/>
      <c r="AD945" s="2487"/>
      <c r="AE945" s="2487"/>
      <c r="AF945" s="2487"/>
      <c r="AG945" s="2487"/>
      <c r="AH945" s="2487"/>
      <c r="AI945" s="2487"/>
      <c r="AJ945" s="2487"/>
      <c r="AK945" s="2487"/>
      <c r="AL945" s="2487"/>
      <c r="AM945" s="2487"/>
    </row>
    <row r="946" spans="1:39" ht="15.75" customHeight="1" x14ac:dyDescent="0.25">
      <c r="A946" s="2487"/>
      <c r="B946" s="2487"/>
      <c r="C946" s="2487"/>
      <c r="D946" s="2487"/>
      <c r="E946" s="2487"/>
      <c r="F946" s="2487"/>
      <c r="G946" s="2487"/>
      <c r="H946" s="2487"/>
      <c r="I946" s="2487"/>
      <c r="J946" s="2487"/>
      <c r="K946" s="2487"/>
      <c r="L946" s="2487"/>
      <c r="M946" s="2487"/>
      <c r="N946" s="2487"/>
      <c r="O946" s="2487"/>
      <c r="P946" s="2487"/>
      <c r="Q946" s="2487"/>
      <c r="R946" s="2487"/>
      <c r="S946" s="2487"/>
      <c r="T946" s="2487"/>
      <c r="U946" s="2487"/>
      <c r="V946" s="2487"/>
      <c r="W946" s="2487"/>
      <c r="X946" s="2487"/>
      <c r="Y946" s="2487"/>
      <c r="Z946" s="2487"/>
      <c r="AA946" s="2487"/>
      <c r="AB946" s="2487"/>
      <c r="AC946" s="2487"/>
      <c r="AD946" s="2487"/>
      <c r="AE946" s="2487"/>
      <c r="AF946" s="2487"/>
      <c r="AG946" s="2487"/>
      <c r="AH946" s="2487"/>
      <c r="AI946" s="2487"/>
      <c r="AJ946" s="2487"/>
      <c r="AK946" s="2487"/>
      <c r="AL946" s="2487"/>
      <c r="AM946" s="2487"/>
    </row>
    <row r="947" spans="1:39" ht="15.75" customHeight="1" x14ac:dyDescent="0.25">
      <c r="A947" s="2487"/>
      <c r="B947" s="2487"/>
      <c r="C947" s="2487"/>
      <c r="D947" s="2487"/>
      <c r="E947" s="2487"/>
      <c r="F947" s="2487"/>
      <c r="G947" s="2487"/>
      <c r="H947" s="2487"/>
      <c r="I947" s="2487"/>
      <c r="J947" s="2487"/>
      <c r="K947" s="2487"/>
      <c r="L947" s="2487"/>
      <c r="M947" s="2487"/>
      <c r="N947" s="2487"/>
      <c r="O947" s="2487"/>
      <c r="P947" s="2487"/>
      <c r="Q947" s="2487"/>
      <c r="R947" s="2487"/>
      <c r="S947" s="2487"/>
      <c r="T947" s="2487"/>
      <c r="U947" s="2487"/>
      <c r="V947" s="2487"/>
      <c r="W947" s="2487"/>
      <c r="X947" s="2487"/>
      <c r="Y947" s="2487"/>
      <c r="Z947" s="2487"/>
      <c r="AA947" s="2487"/>
      <c r="AB947" s="2487"/>
      <c r="AC947" s="2487"/>
      <c r="AD947" s="2487"/>
      <c r="AE947" s="2487"/>
      <c r="AF947" s="2487"/>
      <c r="AG947" s="2487"/>
      <c r="AH947" s="2487"/>
      <c r="AI947" s="2487"/>
      <c r="AJ947" s="2487"/>
      <c r="AK947" s="2487"/>
      <c r="AL947" s="2487"/>
      <c r="AM947" s="2487"/>
    </row>
    <row r="948" spans="1:39" ht="15.75" customHeight="1" x14ac:dyDescent="0.25">
      <c r="A948" s="2487"/>
      <c r="B948" s="2487"/>
      <c r="C948" s="2487"/>
      <c r="D948" s="2487"/>
      <c r="E948" s="2487"/>
      <c r="F948" s="2487"/>
      <c r="G948" s="2487"/>
      <c r="H948" s="2487"/>
      <c r="I948" s="2487"/>
      <c r="J948" s="2487"/>
      <c r="K948" s="2487"/>
      <c r="L948" s="2487"/>
      <c r="M948" s="2487"/>
      <c r="N948" s="2487"/>
      <c r="O948" s="2487"/>
      <c r="P948" s="2487"/>
      <c r="Q948" s="2487"/>
      <c r="R948" s="2487"/>
      <c r="S948" s="2487"/>
      <c r="T948" s="2487"/>
      <c r="U948" s="2487"/>
      <c r="V948" s="2487"/>
      <c r="W948" s="2487"/>
      <c r="X948" s="2487"/>
      <c r="Y948" s="2487"/>
      <c r="Z948" s="2487"/>
      <c r="AA948" s="2487"/>
      <c r="AB948" s="2487"/>
      <c r="AC948" s="2487"/>
      <c r="AD948" s="2487"/>
      <c r="AE948" s="2487"/>
      <c r="AF948" s="2487"/>
      <c r="AG948" s="2487"/>
      <c r="AH948" s="2487"/>
      <c r="AI948" s="2487"/>
      <c r="AJ948" s="2487"/>
      <c r="AK948" s="2487"/>
      <c r="AL948" s="2487"/>
      <c r="AM948" s="2487"/>
    </row>
    <row r="949" spans="1:39" ht="15.75" customHeight="1" x14ac:dyDescent="0.25">
      <c r="A949" s="2487"/>
      <c r="B949" s="2487"/>
      <c r="C949" s="2487"/>
      <c r="D949" s="2487"/>
      <c r="E949" s="2487"/>
      <c r="F949" s="2487"/>
      <c r="G949" s="2487"/>
      <c r="H949" s="2487"/>
      <c r="I949" s="2487"/>
      <c r="J949" s="2487"/>
      <c r="K949" s="2487"/>
      <c r="L949" s="2487"/>
      <c r="M949" s="2487"/>
      <c r="N949" s="2487"/>
      <c r="O949" s="2487"/>
      <c r="P949" s="2487"/>
      <c r="Q949" s="2487"/>
      <c r="R949" s="2487"/>
      <c r="S949" s="2487"/>
      <c r="T949" s="2487"/>
      <c r="U949" s="2487"/>
      <c r="V949" s="2487"/>
      <c r="W949" s="2487"/>
      <c r="X949" s="2487"/>
      <c r="Y949" s="2487"/>
      <c r="Z949" s="2487"/>
      <c r="AA949" s="2487"/>
      <c r="AB949" s="2487"/>
      <c r="AC949" s="2487"/>
      <c r="AD949" s="2487"/>
      <c r="AE949" s="2487"/>
      <c r="AF949" s="2487"/>
      <c r="AG949" s="2487"/>
      <c r="AH949" s="2487"/>
      <c r="AI949" s="2487"/>
      <c r="AJ949" s="2487"/>
      <c r="AK949" s="2487"/>
      <c r="AL949" s="2487"/>
      <c r="AM949" s="2487"/>
    </row>
    <row r="950" spans="1:39" ht="15.75" customHeight="1" x14ac:dyDescent="0.25">
      <c r="A950" s="2487"/>
      <c r="B950" s="2487"/>
      <c r="C950" s="2487"/>
      <c r="D950" s="2487"/>
      <c r="E950" s="2487"/>
      <c r="F950" s="2487"/>
      <c r="G950" s="2487"/>
      <c r="H950" s="2487"/>
      <c r="I950" s="2487"/>
      <c r="J950" s="2487"/>
      <c r="K950" s="2487"/>
      <c r="L950" s="2487"/>
      <c r="M950" s="2487"/>
      <c r="N950" s="2487"/>
      <c r="O950" s="2487"/>
      <c r="P950" s="2487"/>
      <c r="Q950" s="2487"/>
      <c r="R950" s="2487"/>
      <c r="S950" s="2487"/>
      <c r="T950" s="2487"/>
      <c r="U950" s="2487"/>
      <c r="V950" s="2487"/>
      <c r="W950" s="2487"/>
      <c r="X950" s="2487"/>
      <c r="Y950" s="2487"/>
      <c r="Z950" s="2487"/>
      <c r="AA950" s="2487"/>
      <c r="AB950" s="2487"/>
      <c r="AC950" s="2487"/>
      <c r="AD950" s="2487"/>
      <c r="AE950" s="2487"/>
      <c r="AF950" s="2487"/>
      <c r="AG950" s="2487"/>
      <c r="AH950" s="2487"/>
      <c r="AI950" s="2487"/>
      <c r="AJ950" s="2487"/>
      <c r="AK950" s="2487"/>
      <c r="AL950" s="2487"/>
      <c r="AM950" s="2487"/>
    </row>
    <row r="951" spans="1:39" ht="15.75" customHeight="1" x14ac:dyDescent="0.25">
      <c r="A951" s="2487"/>
      <c r="B951" s="2487"/>
      <c r="C951" s="2487"/>
      <c r="D951" s="2487"/>
      <c r="E951" s="2487"/>
      <c r="F951" s="2487"/>
      <c r="G951" s="2487"/>
      <c r="H951" s="2487"/>
      <c r="I951" s="2487"/>
      <c r="J951" s="2487"/>
      <c r="K951" s="2487"/>
      <c r="L951" s="2487"/>
      <c r="M951" s="2487"/>
      <c r="N951" s="2487"/>
      <c r="O951" s="2487"/>
      <c r="P951" s="2487"/>
      <c r="Q951" s="2487"/>
      <c r="R951" s="2487"/>
      <c r="S951" s="2487"/>
      <c r="T951" s="2487"/>
      <c r="U951" s="2487"/>
      <c r="V951" s="2487"/>
      <c r="W951" s="2487"/>
      <c r="X951" s="2487"/>
      <c r="Y951" s="2487"/>
      <c r="Z951" s="2487"/>
      <c r="AA951" s="2487"/>
      <c r="AB951" s="2487"/>
      <c r="AC951" s="2487"/>
      <c r="AD951" s="2487"/>
      <c r="AE951" s="2487"/>
      <c r="AF951" s="2487"/>
      <c r="AG951" s="2487"/>
      <c r="AH951" s="2487"/>
      <c r="AI951" s="2487"/>
      <c r="AJ951" s="2487"/>
      <c r="AK951" s="2487"/>
      <c r="AL951" s="2487"/>
      <c r="AM951" s="2487"/>
    </row>
    <row r="952" spans="1:39" ht="15.75" customHeight="1" x14ac:dyDescent="0.25">
      <c r="A952" s="2487"/>
      <c r="B952" s="2487"/>
      <c r="C952" s="2487"/>
      <c r="D952" s="2487"/>
      <c r="E952" s="2487"/>
      <c r="F952" s="2487"/>
      <c r="G952" s="2487"/>
      <c r="H952" s="2487"/>
      <c r="I952" s="2487"/>
      <c r="J952" s="2487"/>
      <c r="K952" s="2487"/>
      <c r="L952" s="2487"/>
      <c r="M952" s="2487"/>
      <c r="N952" s="2487"/>
      <c r="O952" s="2487"/>
      <c r="P952" s="2487"/>
      <c r="Q952" s="2487"/>
      <c r="R952" s="2487"/>
      <c r="S952" s="2487"/>
      <c r="T952" s="2487"/>
      <c r="U952" s="2487"/>
      <c r="V952" s="2487"/>
      <c r="W952" s="2487"/>
      <c r="X952" s="2487"/>
      <c r="Y952" s="2487"/>
      <c r="Z952" s="2487"/>
      <c r="AA952" s="2487"/>
      <c r="AB952" s="2487"/>
      <c r="AC952" s="2487"/>
      <c r="AD952" s="2487"/>
      <c r="AE952" s="2487"/>
      <c r="AF952" s="2487"/>
      <c r="AG952" s="2487"/>
      <c r="AH952" s="2487"/>
      <c r="AI952" s="2487"/>
      <c r="AJ952" s="2487"/>
      <c r="AK952" s="2487"/>
      <c r="AL952" s="2487"/>
      <c r="AM952" s="2487"/>
    </row>
    <row r="953" spans="1:39" ht="15.75" customHeight="1" x14ac:dyDescent="0.25">
      <c r="A953" s="2487"/>
      <c r="B953" s="2487"/>
      <c r="C953" s="2487"/>
      <c r="D953" s="2487"/>
      <c r="E953" s="2487"/>
      <c r="F953" s="2487"/>
      <c r="G953" s="2487"/>
      <c r="H953" s="2487"/>
      <c r="I953" s="2487"/>
      <c r="J953" s="2487"/>
      <c r="K953" s="2487"/>
      <c r="L953" s="2487"/>
      <c r="M953" s="2487"/>
      <c r="N953" s="2487"/>
      <c r="O953" s="2487"/>
      <c r="P953" s="2487"/>
      <c r="Q953" s="2487"/>
      <c r="R953" s="2487"/>
      <c r="S953" s="2487"/>
      <c r="T953" s="2487"/>
      <c r="U953" s="2487"/>
      <c r="V953" s="2487"/>
      <c r="W953" s="2487"/>
      <c r="X953" s="2487"/>
      <c r="Y953" s="2487"/>
      <c r="Z953" s="2487"/>
      <c r="AA953" s="2487"/>
      <c r="AB953" s="2487"/>
      <c r="AC953" s="2487"/>
      <c r="AD953" s="2487"/>
      <c r="AE953" s="2487"/>
      <c r="AF953" s="2487"/>
      <c r="AG953" s="2487"/>
      <c r="AH953" s="2487"/>
      <c r="AI953" s="2487"/>
      <c r="AJ953" s="2487"/>
      <c r="AK953" s="2487"/>
      <c r="AL953" s="2487"/>
      <c r="AM953" s="2487"/>
    </row>
    <row r="954" spans="1:39" ht="15.75" customHeight="1" x14ac:dyDescent="0.25">
      <c r="A954" s="2487"/>
      <c r="B954" s="2487"/>
      <c r="C954" s="2487"/>
      <c r="D954" s="2487"/>
      <c r="E954" s="2487"/>
      <c r="F954" s="2487"/>
      <c r="G954" s="2487"/>
      <c r="H954" s="2487"/>
      <c r="I954" s="2487"/>
      <c r="J954" s="2487"/>
      <c r="K954" s="2487"/>
      <c r="L954" s="2487"/>
      <c r="M954" s="2487"/>
      <c r="N954" s="2487"/>
      <c r="O954" s="2487"/>
      <c r="P954" s="2487"/>
      <c r="Q954" s="2487"/>
      <c r="R954" s="2487"/>
      <c r="S954" s="2487"/>
      <c r="T954" s="2487"/>
      <c r="U954" s="2487"/>
      <c r="V954" s="2487"/>
      <c r="W954" s="2487"/>
      <c r="X954" s="2487"/>
      <c r="Y954" s="2487"/>
      <c r="Z954" s="2487"/>
      <c r="AA954" s="2487"/>
      <c r="AB954" s="2487"/>
      <c r="AC954" s="2487"/>
      <c r="AD954" s="2487"/>
      <c r="AE954" s="2487"/>
      <c r="AF954" s="2487"/>
      <c r="AG954" s="2487"/>
      <c r="AH954" s="2487"/>
      <c r="AI954" s="2487"/>
      <c r="AJ954" s="2487"/>
      <c r="AK954" s="2487"/>
      <c r="AL954" s="2487"/>
      <c r="AM954" s="2487"/>
    </row>
    <row r="955" spans="1:39" ht="15.75" customHeight="1" x14ac:dyDescent="0.25">
      <c r="A955" s="2487"/>
      <c r="B955" s="2487"/>
      <c r="C955" s="2487"/>
      <c r="D955" s="2487"/>
      <c r="E955" s="2487"/>
      <c r="F955" s="2487"/>
      <c r="G955" s="2487"/>
      <c r="H955" s="2487"/>
      <c r="I955" s="2487"/>
      <c r="J955" s="2487"/>
      <c r="K955" s="2487"/>
      <c r="L955" s="2487"/>
      <c r="M955" s="2487"/>
      <c r="N955" s="2487"/>
      <c r="O955" s="2487"/>
      <c r="P955" s="2487"/>
      <c r="Q955" s="2487"/>
      <c r="R955" s="2487"/>
      <c r="S955" s="2487"/>
      <c r="T955" s="2487"/>
      <c r="U955" s="2487"/>
      <c r="V955" s="2487"/>
      <c r="W955" s="2487"/>
      <c r="X955" s="2487"/>
      <c r="Y955" s="2487"/>
      <c r="Z955" s="2487"/>
      <c r="AA955" s="2487"/>
      <c r="AB955" s="2487"/>
      <c r="AC955" s="2487"/>
      <c r="AD955" s="2487"/>
      <c r="AE955" s="2487"/>
      <c r="AF955" s="2487"/>
      <c r="AG955" s="2487"/>
      <c r="AH955" s="2487"/>
      <c r="AI955" s="2487"/>
      <c r="AJ955" s="2487"/>
      <c r="AK955" s="2487"/>
      <c r="AL955" s="2487"/>
      <c r="AM955" s="2487"/>
    </row>
    <row r="956" spans="1:39" ht="15.75" customHeight="1" x14ac:dyDescent="0.25">
      <c r="A956" s="2487"/>
      <c r="B956" s="2487"/>
      <c r="C956" s="2487"/>
      <c r="D956" s="2487"/>
      <c r="E956" s="2487"/>
      <c r="F956" s="2487"/>
      <c r="G956" s="2487"/>
      <c r="H956" s="2487"/>
      <c r="I956" s="2487"/>
      <c r="J956" s="2487"/>
      <c r="K956" s="2487"/>
      <c r="L956" s="2487"/>
      <c r="M956" s="2487"/>
      <c r="N956" s="2487"/>
      <c r="O956" s="2487"/>
      <c r="P956" s="2487"/>
      <c r="Q956" s="2487"/>
      <c r="R956" s="2487"/>
      <c r="S956" s="2487"/>
      <c r="T956" s="2487"/>
      <c r="U956" s="2487"/>
      <c r="V956" s="2487"/>
      <c r="W956" s="2487"/>
      <c r="X956" s="2487"/>
      <c r="Y956" s="2487"/>
      <c r="Z956" s="2487"/>
      <c r="AA956" s="2487"/>
      <c r="AB956" s="2487"/>
      <c r="AC956" s="2487"/>
      <c r="AD956" s="2487"/>
      <c r="AE956" s="2487"/>
      <c r="AF956" s="2487"/>
      <c r="AG956" s="2487"/>
      <c r="AH956" s="2487"/>
      <c r="AI956" s="2487"/>
      <c r="AJ956" s="2487"/>
      <c r="AK956" s="2487"/>
      <c r="AL956" s="2487"/>
      <c r="AM956" s="2487"/>
    </row>
    <row r="957" spans="1:39" ht="15.75" customHeight="1" x14ac:dyDescent="0.25">
      <c r="A957" s="2487"/>
      <c r="B957" s="2487"/>
      <c r="C957" s="2487"/>
      <c r="D957" s="2487"/>
      <c r="E957" s="2487"/>
      <c r="F957" s="2487"/>
      <c r="G957" s="2487"/>
      <c r="H957" s="2487"/>
      <c r="I957" s="2487"/>
      <c r="J957" s="2487"/>
      <c r="K957" s="2487"/>
      <c r="L957" s="2487"/>
      <c r="M957" s="2487"/>
      <c r="N957" s="2487"/>
      <c r="O957" s="2487"/>
      <c r="P957" s="2487"/>
      <c r="Q957" s="2487"/>
      <c r="R957" s="2487"/>
      <c r="S957" s="2487"/>
      <c r="T957" s="2487"/>
      <c r="U957" s="2487"/>
      <c r="V957" s="2487"/>
      <c r="W957" s="2487"/>
      <c r="X957" s="2487"/>
      <c r="Y957" s="2487"/>
      <c r="Z957" s="2487"/>
      <c r="AA957" s="2487"/>
      <c r="AB957" s="2487"/>
      <c r="AC957" s="2487"/>
      <c r="AD957" s="2487"/>
      <c r="AE957" s="2487"/>
      <c r="AF957" s="2487"/>
      <c r="AG957" s="2487"/>
      <c r="AH957" s="2487"/>
      <c r="AI957" s="2487"/>
      <c r="AJ957" s="2487"/>
      <c r="AK957" s="2487"/>
      <c r="AL957" s="2487"/>
      <c r="AM957" s="2487"/>
    </row>
    <row r="958" spans="1:39" ht="15.75" customHeight="1" x14ac:dyDescent="0.25">
      <c r="A958" s="2487"/>
      <c r="B958" s="2487"/>
      <c r="C958" s="2487"/>
      <c r="D958" s="2487"/>
      <c r="E958" s="2487"/>
      <c r="F958" s="2487"/>
      <c r="G958" s="2487"/>
      <c r="H958" s="2487"/>
      <c r="I958" s="2487"/>
      <c r="J958" s="2487"/>
      <c r="K958" s="2487"/>
      <c r="L958" s="2487"/>
      <c r="M958" s="2487"/>
      <c r="N958" s="2487"/>
      <c r="O958" s="2487"/>
      <c r="P958" s="2487"/>
      <c r="Q958" s="2487"/>
      <c r="R958" s="2487"/>
      <c r="S958" s="2487"/>
      <c r="T958" s="2487"/>
      <c r="U958" s="2487"/>
      <c r="V958" s="2487"/>
      <c r="W958" s="2487"/>
      <c r="X958" s="2487"/>
      <c r="Y958" s="2487"/>
      <c r="Z958" s="2487"/>
      <c r="AA958" s="2487"/>
      <c r="AB958" s="2487"/>
      <c r="AC958" s="2487"/>
      <c r="AD958" s="2487"/>
      <c r="AE958" s="2487"/>
      <c r="AF958" s="2487"/>
      <c r="AG958" s="2487"/>
      <c r="AH958" s="2487"/>
      <c r="AI958" s="2487"/>
      <c r="AJ958" s="2487"/>
      <c r="AK958" s="2487"/>
      <c r="AL958" s="2487"/>
      <c r="AM958" s="2487"/>
    </row>
    <row r="959" spans="1:39" ht="15.75" customHeight="1" x14ac:dyDescent="0.25">
      <c r="A959" s="2487"/>
      <c r="B959" s="2487"/>
      <c r="C959" s="2487"/>
      <c r="D959" s="2487"/>
      <c r="E959" s="2487"/>
      <c r="F959" s="2487"/>
      <c r="G959" s="2487"/>
      <c r="H959" s="2487"/>
      <c r="I959" s="2487"/>
      <c r="J959" s="2487"/>
      <c r="K959" s="2487"/>
      <c r="L959" s="2487"/>
      <c r="M959" s="2487"/>
      <c r="N959" s="2487"/>
      <c r="O959" s="2487"/>
      <c r="P959" s="2487"/>
      <c r="Q959" s="2487"/>
      <c r="R959" s="2487"/>
      <c r="S959" s="2487"/>
      <c r="T959" s="2487"/>
      <c r="U959" s="2487"/>
      <c r="V959" s="2487"/>
      <c r="W959" s="2487"/>
      <c r="X959" s="2487"/>
      <c r="Y959" s="2487"/>
      <c r="Z959" s="2487"/>
      <c r="AA959" s="2487"/>
      <c r="AB959" s="2487"/>
      <c r="AC959" s="2487"/>
      <c r="AD959" s="2487"/>
      <c r="AE959" s="2487"/>
      <c r="AF959" s="2487"/>
      <c r="AG959" s="2487"/>
      <c r="AH959" s="2487"/>
      <c r="AI959" s="2487"/>
      <c r="AJ959" s="2487"/>
      <c r="AK959" s="2487"/>
      <c r="AL959" s="2487"/>
      <c r="AM959" s="2487"/>
    </row>
    <row r="960" spans="1:39" ht="15.75" customHeight="1" x14ac:dyDescent="0.25">
      <c r="A960" s="2487"/>
      <c r="B960" s="2487"/>
      <c r="C960" s="2487"/>
      <c r="D960" s="2487"/>
      <c r="E960" s="2487"/>
      <c r="F960" s="2487"/>
      <c r="G960" s="2487"/>
      <c r="H960" s="2487"/>
      <c r="I960" s="2487"/>
      <c r="J960" s="2487"/>
      <c r="K960" s="2487"/>
      <c r="L960" s="2487"/>
      <c r="M960" s="2487"/>
      <c r="N960" s="2487"/>
      <c r="O960" s="2487"/>
      <c r="P960" s="2487"/>
      <c r="Q960" s="2487"/>
      <c r="R960" s="2487"/>
      <c r="S960" s="2487"/>
      <c r="T960" s="2487"/>
      <c r="U960" s="2487"/>
      <c r="V960" s="2487"/>
      <c r="W960" s="2487"/>
      <c r="X960" s="2487"/>
      <c r="Y960" s="2487"/>
      <c r="Z960" s="2487"/>
      <c r="AA960" s="2487"/>
      <c r="AB960" s="2487"/>
      <c r="AC960" s="2487"/>
      <c r="AD960" s="2487"/>
      <c r="AE960" s="2487"/>
      <c r="AF960" s="2487"/>
      <c r="AG960" s="2487"/>
      <c r="AH960" s="2487"/>
      <c r="AI960" s="2487"/>
      <c r="AJ960" s="2487"/>
      <c r="AK960" s="2487"/>
      <c r="AL960" s="2487"/>
      <c r="AM960" s="2487"/>
    </row>
    <row r="961" spans="1:39" ht="15.75" customHeight="1" x14ac:dyDescent="0.25">
      <c r="A961" s="2487"/>
      <c r="B961" s="2487"/>
      <c r="C961" s="2487"/>
      <c r="D961" s="2487"/>
      <c r="E961" s="2487"/>
      <c r="F961" s="2487"/>
      <c r="G961" s="2487"/>
      <c r="H961" s="2487"/>
      <c r="I961" s="2487"/>
      <c r="J961" s="2487"/>
      <c r="K961" s="2487"/>
      <c r="L961" s="2487"/>
      <c r="M961" s="2487"/>
      <c r="N961" s="2487"/>
      <c r="O961" s="2487"/>
      <c r="P961" s="2487"/>
      <c r="Q961" s="2487"/>
      <c r="R961" s="2487"/>
      <c r="S961" s="2487"/>
      <c r="T961" s="2487"/>
      <c r="U961" s="2487"/>
      <c r="V961" s="2487"/>
      <c r="W961" s="2487"/>
      <c r="X961" s="2487"/>
      <c r="Y961" s="2487"/>
      <c r="Z961" s="2487"/>
      <c r="AA961" s="2487"/>
      <c r="AB961" s="2487"/>
      <c r="AC961" s="2487"/>
      <c r="AD961" s="2487"/>
      <c r="AE961" s="2487"/>
      <c r="AF961" s="2487"/>
      <c r="AG961" s="2487"/>
      <c r="AH961" s="2487"/>
      <c r="AI961" s="2487"/>
      <c r="AJ961" s="2487"/>
      <c r="AK961" s="2487"/>
      <c r="AL961" s="2487"/>
      <c r="AM961" s="2487"/>
    </row>
    <row r="962" spans="1:39" ht="15.75" customHeight="1" x14ac:dyDescent="0.25">
      <c r="A962" s="2487"/>
      <c r="B962" s="2487"/>
      <c r="C962" s="2487"/>
      <c r="D962" s="2487"/>
      <c r="E962" s="2487"/>
      <c r="F962" s="2487"/>
      <c r="G962" s="2487"/>
      <c r="H962" s="2487"/>
      <c r="I962" s="2487"/>
      <c r="J962" s="2487"/>
      <c r="K962" s="2487"/>
      <c r="L962" s="2487"/>
      <c r="M962" s="2487"/>
      <c r="N962" s="2487"/>
      <c r="O962" s="2487"/>
      <c r="P962" s="2487"/>
      <c r="Q962" s="2487"/>
      <c r="R962" s="2487"/>
      <c r="S962" s="2487"/>
      <c r="T962" s="2487"/>
      <c r="U962" s="2487"/>
      <c r="V962" s="2487"/>
      <c r="W962" s="2487"/>
      <c r="X962" s="2487"/>
      <c r="Y962" s="2487"/>
      <c r="Z962" s="2487"/>
      <c r="AA962" s="2487"/>
      <c r="AB962" s="2487"/>
      <c r="AC962" s="2487"/>
      <c r="AD962" s="2487"/>
      <c r="AE962" s="2487"/>
      <c r="AF962" s="2487"/>
      <c r="AG962" s="2487"/>
      <c r="AH962" s="2487"/>
      <c r="AI962" s="2487"/>
      <c r="AJ962" s="2487"/>
      <c r="AK962" s="2487"/>
      <c r="AL962" s="2487"/>
      <c r="AM962" s="2487"/>
    </row>
    <row r="963" spans="1:39" ht="15.75" customHeight="1" x14ac:dyDescent="0.25">
      <c r="A963" s="2487"/>
      <c r="B963" s="2487"/>
      <c r="C963" s="2487"/>
      <c r="D963" s="2487"/>
      <c r="E963" s="2487"/>
      <c r="F963" s="2487"/>
      <c r="G963" s="2487"/>
      <c r="H963" s="2487"/>
      <c r="I963" s="2487"/>
      <c r="J963" s="2487"/>
      <c r="K963" s="2487"/>
      <c r="L963" s="2487"/>
      <c r="M963" s="2487"/>
      <c r="N963" s="2487"/>
      <c r="O963" s="2487"/>
      <c r="P963" s="2487"/>
      <c r="Q963" s="2487"/>
      <c r="R963" s="2487"/>
      <c r="S963" s="2487"/>
      <c r="T963" s="2487"/>
      <c r="U963" s="2487"/>
      <c r="V963" s="2487"/>
      <c r="W963" s="2487"/>
      <c r="X963" s="2487"/>
      <c r="Y963" s="2487"/>
      <c r="Z963" s="2487"/>
      <c r="AA963" s="2487"/>
      <c r="AB963" s="2487"/>
      <c r="AC963" s="2487"/>
      <c r="AD963" s="2487"/>
      <c r="AE963" s="2487"/>
      <c r="AF963" s="2487"/>
      <c r="AG963" s="2487"/>
      <c r="AH963" s="2487"/>
      <c r="AI963" s="2487"/>
      <c r="AJ963" s="2487"/>
      <c r="AK963" s="2487"/>
      <c r="AL963" s="2487"/>
      <c r="AM963" s="2487"/>
    </row>
    <row r="964" spans="1:39" ht="15.75" customHeight="1" x14ac:dyDescent="0.25">
      <c r="A964" s="2487"/>
      <c r="B964" s="2487"/>
      <c r="C964" s="2487"/>
      <c r="D964" s="2487"/>
      <c r="E964" s="2487"/>
      <c r="F964" s="2487"/>
      <c r="G964" s="2487"/>
      <c r="H964" s="2487"/>
      <c r="I964" s="2487"/>
      <c r="J964" s="2487"/>
      <c r="K964" s="2487"/>
      <c r="L964" s="2487"/>
      <c r="M964" s="2487"/>
      <c r="N964" s="2487"/>
      <c r="O964" s="2487"/>
      <c r="P964" s="2487"/>
      <c r="Q964" s="2487"/>
      <c r="R964" s="2487"/>
      <c r="S964" s="2487"/>
      <c r="T964" s="2487"/>
      <c r="U964" s="2487"/>
      <c r="V964" s="2487"/>
      <c r="W964" s="2487"/>
      <c r="X964" s="2487"/>
      <c r="Y964" s="2487"/>
      <c r="Z964" s="2487"/>
      <c r="AA964" s="2487"/>
      <c r="AB964" s="2487"/>
      <c r="AC964" s="2487"/>
      <c r="AD964" s="2487"/>
      <c r="AE964" s="2487"/>
      <c r="AF964" s="2487"/>
      <c r="AG964" s="2487"/>
      <c r="AH964" s="2487"/>
      <c r="AI964" s="2487"/>
      <c r="AJ964" s="2487"/>
      <c r="AK964" s="2487"/>
      <c r="AL964" s="2487"/>
      <c r="AM964" s="2487"/>
    </row>
    <row r="965" spans="1:39" ht="15.75" customHeight="1" x14ac:dyDescent="0.25">
      <c r="A965" s="2487"/>
      <c r="B965" s="2487"/>
      <c r="C965" s="2487"/>
      <c r="D965" s="2487"/>
      <c r="E965" s="2487"/>
      <c r="F965" s="2487"/>
      <c r="G965" s="2487"/>
      <c r="H965" s="2487"/>
      <c r="I965" s="2487"/>
      <c r="J965" s="2487"/>
      <c r="K965" s="2487"/>
      <c r="L965" s="2487"/>
      <c r="M965" s="2487"/>
      <c r="N965" s="2487"/>
      <c r="O965" s="2487"/>
      <c r="P965" s="2487"/>
      <c r="Q965" s="2487"/>
      <c r="R965" s="2487"/>
      <c r="S965" s="2487"/>
      <c r="T965" s="2487"/>
      <c r="U965" s="2487"/>
      <c r="V965" s="2487"/>
      <c r="W965" s="2487"/>
      <c r="X965" s="2487"/>
      <c r="Y965" s="2487"/>
      <c r="Z965" s="2487"/>
      <c r="AA965" s="2487"/>
      <c r="AB965" s="2487"/>
      <c r="AC965" s="2487"/>
      <c r="AD965" s="2487"/>
      <c r="AE965" s="2487"/>
      <c r="AF965" s="2487"/>
      <c r="AG965" s="2487"/>
      <c r="AH965" s="2487"/>
      <c r="AI965" s="2487"/>
      <c r="AJ965" s="2487"/>
      <c r="AK965" s="2487"/>
      <c r="AL965" s="2487"/>
      <c r="AM965" s="2487"/>
    </row>
    <row r="966" spans="1:39" ht="15.75" customHeight="1" x14ac:dyDescent="0.25">
      <c r="A966" s="2487"/>
      <c r="B966" s="2487"/>
      <c r="C966" s="2487"/>
      <c r="D966" s="2487"/>
      <c r="E966" s="2487"/>
      <c r="F966" s="2487"/>
      <c r="G966" s="2487"/>
      <c r="H966" s="2487"/>
      <c r="I966" s="2487"/>
      <c r="J966" s="2487"/>
      <c r="K966" s="2487"/>
      <c r="L966" s="2487"/>
      <c r="M966" s="2487"/>
      <c r="N966" s="2487"/>
      <c r="O966" s="2487"/>
      <c r="P966" s="2487"/>
      <c r="Q966" s="2487"/>
      <c r="R966" s="2487"/>
      <c r="S966" s="2487"/>
      <c r="T966" s="2487"/>
      <c r="U966" s="2487"/>
      <c r="V966" s="2487"/>
      <c r="W966" s="2487"/>
      <c r="X966" s="2487"/>
      <c r="Y966" s="2487"/>
      <c r="Z966" s="2487"/>
      <c r="AA966" s="2487"/>
      <c r="AB966" s="2487"/>
      <c r="AC966" s="2487"/>
      <c r="AD966" s="2487"/>
      <c r="AE966" s="2487"/>
      <c r="AF966" s="2487"/>
      <c r="AG966" s="2487"/>
      <c r="AH966" s="2487"/>
      <c r="AI966" s="2487"/>
      <c r="AJ966" s="2487"/>
      <c r="AK966" s="2487"/>
      <c r="AL966" s="2487"/>
      <c r="AM966" s="2487"/>
    </row>
    <row r="967" spans="1:39" ht="15.75" customHeight="1" x14ac:dyDescent="0.25">
      <c r="A967" s="2487"/>
      <c r="B967" s="2487"/>
      <c r="C967" s="2487"/>
      <c r="D967" s="2487"/>
      <c r="E967" s="2487"/>
      <c r="F967" s="2487"/>
      <c r="G967" s="2487"/>
      <c r="H967" s="2487"/>
      <c r="I967" s="2487"/>
      <c r="J967" s="2487"/>
      <c r="K967" s="2487"/>
      <c r="L967" s="2487"/>
      <c r="M967" s="2487"/>
      <c r="N967" s="2487"/>
      <c r="O967" s="2487"/>
      <c r="P967" s="2487"/>
      <c r="Q967" s="2487"/>
      <c r="R967" s="2487"/>
      <c r="S967" s="2487"/>
      <c r="T967" s="2487"/>
      <c r="U967" s="2487"/>
      <c r="V967" s="2487"/>
      <c r="W967" s="2487"/>
      <c r="X967" s="2487"/>
      <c r="Y967" s="2487"/>
      <c r="Z967" s="2487"/>
      <c r="AA967" s="2487"/>
      <c r="AB967" s="2487"/>
      <c r="AC967" s="2487"/>
      <c r="AD967" s="2487"/>
      <c r="AE967" s="2487"/>
      <c r="AF967" s="2487"/>
      <c r="AG967" s="2487"/>
      <c r="AH967" s="2487"/>
      <c r="AI967" s="2487"/>
      <c r="AJ967" s="2487"/>
      <c r="AK967" s="2487"/>
      <c r="AL967" s="2487"/>
      <c r="AM967" s="2487"/>
    </row>
    <row r="968" spans="1:39" ht="15.75" customHeight="1" x14ac:dyDescent="0.25">
      <c r="A968" s="2487"/>
      <c r="B968" s="2487"/>
      <c r="C968" s="2487"/>
      <c r="D968" s="2487"/>
      <c r="E968" s="2487"/>
      <c r="F968" s="2487"/>
      <c r="G968" s="2487"/>
      <c r="H968" s="2487"/>
      <c r="I968" s="2487"/>
      <c r="J968" s="2487"/>
      <c r="K968" s="2487"/>
      <c r="L968" s="2487"/>
      <c r="M968" s="2487"/>
      <c r="N968" s="2487"/>
      <c r="O968" s="2487"/>
      <c r="P968" s="2487"/>
      <c r="Q968" s="2487"/>
      <c r="R968" s="2487"/>
      <c r="S968" s="2487"/>
      <c r="T968" s="2487"/>
      <c r="U968" s="2487"/>
      <c r="V968" s="2487"/>
      <c r="W968" s="2487"/>
      <c r="X968" s="2487"/>
      <c r="Y968" s="2487"/>
      <c r="Z968" s="2487"/>
      <c r="AA968" s="2487"/>
      <c r="AB968" s="2487"/>
      <c r="AC968" s="2487"/>
      <c r="AD968" s="2487"/>
      <c r="AE968" s="2487"/>
      <c r="AF968" s="2487"/>
      <c r="AG968" s="2487"/>
      <c r="AH968" s="2487"/>
      <c r="AI968" s="2487"/>
      <c r="AJ968" s="2487"/>
      <c r="AK968" s="2487"/>
      <c r="AL968" s="2487"/>
      <c r="AM968" s="2487"/>
    </row>
    <row r="969" spans="1:39" ht="15.75" customHeight="1" x14ac:dyDescent="0.25">
      <c r="A969" s="2487"/>
      <c r="B969" s="2487"/>
      <c r="C969" s="2487"/>
      <c r="D969" s="2487"/>
      <c r="E969" s="2487"/>
      <c r="F969" s="2487"/>
      <c r="G969" s="2487"/>
      <c r="H969" s="2487"/>
      <c r="I969" s="2487"/>
      <c r="J969" s="2487"/>
      <c r="K969" s="2487"/>
      <c r="L969" s="2487"/>
      <c r="M969" s="2487"/>
      <c r="N969" s="2487"/>
      <c r="O969" s="2487"/>
      <c r="P969" s="2487"/>
      <c r="Q969" s="2487"/>
      <c r="R969" s="2487"/>
      <c r="S969" s="2487"/>
      <c r="T969" s="2487"/>
      <c r="U969" s="2487"/>
      <c r="V969" s="2487"/>
      <c r="W969" s="2487"/>
      <c r="X969" s="2487"/>
      <c r="Y969" s="2487"/>
      <c r="Z969" s="2487"/>
      <c r="AA969" s="2487"/>
      <c r="AB969" s="2487"/>
      <c r="AC969" s="2487"/>
      <c r="AD969" s="2487"/>
      <c r="AE969" s="2487"/>
      <c r="AF969" s="2487"/>
      <c r="AG969" s="2487"/>
      <c r="AH969" s="2487"/>
      <c r="AI969" s="2487"/>
      <c r="AJ969" s="2487"/>
      <c r="AK969" s="2487"/>
      <c r="AL969" s="2487"/>
      <c r="AM969" s="2487"/>
    </row>
    <row r="970" spans="1:39" ht="15.75" customHeight="1" x14ac:dyDescent="0.25">
      <c r="A970" s="2487"/>
      <c r="B970" s="2487"/>
      <c r="C970" s="2487"/>
      <c r="D970" s="2487"/>
      <c r="E970" s="2487"/>
      <c r="F970" s="2487"/>
      <c r="G970" s="2487"/>
      <c r="H970" s="2487"/>
      <c r="I970" s="2487"/>
      <c r="J970" s="2487"/>
      <c r="K970" s="2487"/>
      <c r="L970" s="2487"/>
      <c r="M970" s="2487"/>
      <c r="N970" s="2487"/>
      <c r="O970" s="2487"/>
      <c r="P970" s="2487"/>
      <c r="Q970" s="2487"/>
      <c r="R970" s="2487"/>
      <c r="S970" s="2487"/>
      <c r="T970" s="2487"/>
      <c r="U970" s="2487"/>
      <c r="V970" s="2487"/>
      <c r="W970" s="2487"/>
      <c r="X970" s="2487"/>
      <c r="Y970" s="2487"/>
      <c r="Z970" s="2487"/>
      <c r="AA970" s="2487"/>
      <c r="AB970" s="2487"/>
      <c r="AC970" s="2487"/>
      <c r="AD970" s="2487"/>
      <c r="AE970" s="2487"/>
      <c r="AF970" s="2487"/>
      <c r="AG970" s="2487"/>
      <c r="AH970" s="2487"/>
      <c r="AI970" s="2487"/>
      <c r="AJ970" s="2487"/>
      <c r="AK970" s="2487"/>
      <c r="AL970" s="2487"/>
      <c r="AM970" s="2487"/>
    </row>
    <row r="971" spans="1:39" ht="15.75" customHeight="1" x14ac:dyDescent="0.25">
      <c r="A971" s="2487"/>
      <c r="B971" s="2487"/>
      <c r="C971" s="2487"/>
      <c r="D971" s="2487"/>
      <c r="E971" s="2487"/>
      <c r="F971" s="2487"/>
      <c r="G971" s="2487"/>
      <c r="H971" s="2487"/>
      <c r="I971" s="2487"/>
      <c r="J971" s="2487"/>
      <c r="K971" s="2487"/>
      <c r="L971" s="2487"/>
      <c r="M971" s="2487"/>
      <c r="N971" s="2487"/>
      <c r="O971" s="2487"/>
      <c r="P971" s="2487"/>
      <c r="Q971" s="2487"/>
      <c r="R971" s="2487"/>
      <c r="S971" s="2487"/>
      <c r="T971" s="2487"/>
      <c r="U971" s="2487"/>
      <c r="V971" s="2487"/>
      <c r="W971" s="2487"/>
      <c r="X971" s="2487"/>
      <c r="Y971" s="2487"/>
      <c r="Z971" s="2487"/>
      <c r="AA971" s="2487"/>
      <c r="AB971" s="2487"/>
      <c r="AC971" s="2487"/>
      <c r="AD971" s="2487"/>
      <c r="AE971" s="2487"/>
      <c r="AF971" s="2487"/>
      <c r="AG971" s="2487"/>
      <c r="AH971" s="2487"/>
      <c r="AI971" s="2487"/>
      <c r="AJ971" s="2487"/>
      <c r="AK971" s="2487"/>
      <c r="AL971" s="2487"/>
      <c r="AM971" s="2487"/>
    </row>
    <row r="972" spans="1:39" ht="15.75" customHeight="1" x14ac:dyDescent="0.25">
      <c r="A972" s="2487"/>
      <c r="B972" s="2487"/>
      <c r="C972" s="2487"/>
      <c r="D972" s="2487"/>
      <c r="E972" s="2487"/>
      <c r="F972" s="2487"/>
      <c r="G972" s="2487"/>
      <c r="H972" s="2487"/>
      <c r="I972" s="2487"/>
      <c r="J972" s="2487"/>
      <c r="K972" s="2487"/>
      <c r="L972" s="2487"/>
      <c r="M972" s="2487"/>
      <c r="N972" s="2487"/>
      <c r="O972" s="2487"/>
      <c r="P972" s="2487"/>
      <c r="Q972" s="2487"/>
      <c r="R972" s="2487"/>
      <c r="S972" s="2487"/>
      <c r="T972" s="2487"/>
      <c r="U972" s="2487"/>
      <c r="V972" s="2487"/>
      <c r="W972" s="2487"/>
      <c r="X972" s="2487"/>
      <c r="Y972" s="2487"/>
      <c r="Z972" s="2487"/>
      <c r="AA972" s="2487"/>
      <c r="AB972" s="2487"/>
      <c r="AC972" s="2487"/>
      <c r="AD972" s="2487"/>
      <c r="AE972" s="2487"/>
      <c r="AF972" s="2487"/>
      <c r="AG972" s="2487"/>
      <c r="AH972" s="2487"/>
      <c r="AI972" s="2487"/>
      <c r="AJ972" s="2487"/>
      <c r="AK972" s="2487"/>
      <c r="AL972" s="2487"/>
      <c r="AM972" s="2487"/>
    </row>
    <row r="973" spans="1:39" ht="15.75" customHeight="1" x14ac:dyDescent="0.25">
      <c r="A973" s="2487"/>
      <c r="B973" s="2487"/>
      <c r="C973" s="2487"/>
      <c r="D973" s="2487"/>
      <c r="E973" s="2487"/>
      <c r="F973" s="2487"/>
      <c r="G973" s="2487"/>
      <c r="H973" s="2487"/>
      <c r="I973" s="2487"/>
      <c r="J973" s="2487"/>
      <c r="K973" s="2487"/>
      <c r="L973" s="2487"/>
      <c r="M973" s="2487"/>
      <c r="N973" s="2487"/>
      <c r="O973" s="2487"/>
      <c r="P973" s="2487"/>
      <c r="Q973" s="2487"/>
      <c r="R973" s="2487"/>
      <c r="S973" s="2487"/>
      <c r="T973" s="2487"/>
      <c r="U973" s="2487"/>
      <c r="V973" s="2487"/>
      <c r="W973" s="2487"/>
      <c r="X973" s="2487"/>
      <c r="Y973" s="2487"/>
      <c r="Z973" s="2487"/>
      <c r="AA973" s="2487"/>
      <c r="AB973" s="2487"/>
      <c r="AC973" s="2487"/>
      <c r="AD973" s="2487"/>
      <c r="AE973" s="2487"/>
      <c r="AF973" s="2487"/>
      <c r="AG973" s="2487"/>
      <c r="AH973" s="2487"/>
      <c r="AI973" s="2487"/>
      <c r="AJ973" s="2487"/>
      <c r="AK973" s="2487"/>
      <c r="AL973" s="2487"/>
      <c r="AM973" s="2487"/>
    </row>
    <row r="974" spans="1:39" ht="15.75" customHeight="1" x14ac:dyDescent="0.25">
      <c r="A974" s="2487"/>
      <c r="B974" s="2487"/>
      <c r="C974" s="2487"/>
      <c r="D974" s="2487"/>
      <c r="E974" s="2487"/>
      <c r="F974" s="2487"/>
      <c r="G974" s="2487"/>
      <c r="H974" s="2487"/>
      <c r="I974" s="2487"/>
      <c r="J974" s="2487"/>
      <c r="K974" s="2487"/>
      <c r="L974" s="2487"/>
      <c r="M974" s="2487"/>
      <c r="N974" s="2487"/>
      <c r="O974" s="2487"/>
      <c r="P974" s="2487"/>
      <c r="Q974" s="2487"/>
      <c r="R974" s="2487"/>
      <c r="S974" s="2487"/>
      <c r="T974" s="2487"/>
      <c r="U974" s="2487"/>
      <c r="V974" s="2487"/>
      <c r="W974" s="2487"/>
      <c r="X974" s="2487"/>
      <c r="Y974" s="2487"/>
      <c r="Z974" s="2487"/>
      <c r="AA974" s="2487"/>
      <c r="AB974" s="2487"/>
      <c r="AC974" s="2487"/>
      <c r="AD974" s="2487"/>
      <c r="AE974" s="2487"/>
      <c r="AF974" s="2487"/>
      <c r="AG974" s="2487"/>
      <c r="AH974" s="2487"/>
      <c r="AI974" s="2487"/>
      <c r="AJ974" s="2487"/>
      <c r="AK974" s="2487"/>
      <c r="AL974" s="2487"/>
      <c r="AM974" s="2487"/>
    </row>
    <row r="975" spans="1:39" ht="15.75" customHeight="1" x14ac:dyDescent="0.25">
      <c r="A975" s="2487"/>
      <c r="B975" s="2487"/>
      <c r="C975" s="2487"/>
      <c r="D975" s="2487"/>
      <c r="E975" s="2487"/>
      <c r="F975" s="2487"/>
      <c r="G975" s="2487"/>
      <c r="H975" s="2487"/>
      <c r="I975" s="2487"/>
      <c r="J975" s="2487"/>
      <c r="K975" s="2487"/>
      <c r="L975" s="2487"/>
      <c r="M975" s="2487"/>
      <c r="N975" s="2487"/>
      <c r="O975" s="2487"/>
      <c r="P975" s="2487"/>
      <c r="Q975" s="2487"/>
      <c r="R975" s="2487"/>
      <c r="S975" s="2487"/>
      <c r="T975" s="2487"/>
      <c r="U975" s="2487"/>
      <c r="V975" s="2487"/>
      <c r="W975" s="2487"/>
      <c r="X975" s="2487"/>
      <c r="Y975" s="2487"/>
      <c r="Z975" s="2487"/>
      <c r="AA975" s="2487"/>
      <c r="AB975" s="2487"/>
      <c r="AC975" s="2487"/>
      <c r="AD975" s="2487"/>
      <c r="AE975" s="2487"/>
      <c r="AF975" s="2487"/>
      <c r="AG975" s="2487"/>
      <c r="AH975" s="2487"/>
      <c r="AI975" s="2487"/>
      <c r="AJ975" s="2487"/>
      <c r="AK975" s="2487"/>
      <c r="AL975" s="2487"/>
      <c r="AM975" s="2487"/>
    </row>
    <row r="976" spans="1:39" ht="15.75" customHeight="1" x14ac:dyDescent="0.25">
      <c r="A976" s="2487"/>
      <c r="B976" s="2487"/>
      <c r="C976" s="2487"/>
      <c r="D976" s="2487"/>
      <c r="E976" s="2487"/>
      <c r="F976" s="2487"/>
      <c r="G976" s="2487"/>
      <c r="H976" s="2487"/>
      <c r="I976" s="2487"/>
      <c r="J976" s="2487"/>
      <c r="K976" s="2487"/>
      <c r="L976" s="2487"/>
      <c r="M976" s="2487"/>
      <c r="N976" s="2487"/>
      <c r="O976" s="2487"/>
      <c r="P976" s="2487"/>
      <c r="Q976" s="2487"/>
      <c r="R976" s="2487"/>
      <c r="S976" s="2487"/>
      <c r="T976" s="2487"/>
      <c r="U976" s="2487"/>
      <c r="V976" s="2487"/>
      <c r="W976" s="2487"/>
      <c r="X976" s="2487"/>
      <c r="Y976" s="2487"/>
      <c r="Z976" s="2487"/>
      <c r="AA976" s="2487"/>
      <c r="AB976" s="2487"/>
      <c r="AC976" s="2487"/>
      <c r="AD976" s="2487"/>
      <c r="AE976" s="2487"/>
      <c r="AF976" s="2487"/>
      <c r="AG976" s="2487"/>
      <c r="AH976" s="2487"/>
      <c r="AI976" s="2487"/>
      <c r="AJ976" s="2487"/>
      <c r="AK976" s="2487"/>
      <c r="AL976" s="2487"/>
      <c r="AM976" s="2487"/>
    </row>
    <row r="977" spans="1:39" ht="15.75" customHeight="1" x14ac:dyDescent="0.25">
      <c r="A977" s="2487"/>
      <c r="B977" s="2487"/>
      <c r="C977" s="2487"/>
      <c r="D977" s="2487"/>
      <c r="E977" s="2487"/>
      <c r="F977" s="2487"/>
      <c r="G977" s="2487"/>
      <c r="H977" s="2487"/>
      <c r="I977" s="2487"/>
      <c r="J977" s="2487"/>
      <c r="K977" s="2487"/>
      <c r="L977" s="2487"/>
      <c r="M977" s="2487"/>
      <c r="N977" s="2487"/>
      <c r="O977" s="2487"/>
      <c r="P977" s="2487"/>
      <c r="Q977" s="2487"/>
      <c r="R977" s="2487"/>
      <c r="S977" s="2487"/>
      <c r="T977" s="2487"/>
      <c r="U977" s="2487"/>
      <c r="V977" s="2487"/>
      <c r="W977" s="2487"/>
      <c r="X977" s="2487"/>
      <c r="Y977" s="2487"/>
      <c r="Z977" s="2487"/>
      <c r="AA977" s="2487"/>
      <c r="AB977" s="2487"/>
      <c r="AC977" s="2487"/>
      <c r="AD977" s="2487"/>
      <c r="AE977" s="2487"/>
      <c r="AF977" s="2487"/>
      <c r="AG977" s="2487"/>
      <c r="AH977" s="2487"/>
      <c r="AI977" s="2487"/>
      <c r="AJ977" s="2487"/>
      <c r="AK977" s="2487"/>
      <c r="AL977" s="2487"/>
      <c r="AM977" s="2487"/>
    </row>
    <row r="978" spans="1:39" ht="15.75" customHeight="1" x14ac:dyDescent="0.25">
      <c r="A978" s="2487"/>
      <c r="B978" s="2487"/>
      <c r="C978" s="2487"/>
      <c r="D978" s="2487"/>
      <c r="E978" s="2487"/>
      <c r="F978" s="2487"/>
      <c r="G978" s="2487"/>
      <c r="H978" s="2487"/>
      <c r="I978" s="2487"/>
      <c r="J978" s="2487"/>
      <c r="K978" s="2487"/>
      <c r="L978" s="2487"/>
      <c r="M978" s="2487"/>
      <c r="N978" s="2487"/>
      <c r="O978" s="2487"/>
      <c r="P978" s="2487"/>
      <c r="Q978" s="2487"/>
      <c r="R978" s="2487"/>
      <c r="S978" s="2487"/>
      <c r="T978" s="2487"/>
      <c r="U978" s="2487"/>
      <c r="V978" s="2487"/>
      <c r="W978" s="2487"/>
      <c r="X978" s="2487"/>
      <c r="Y978" s="2487"/>
      <c r="Z978" s="2487"/>
      <c r="AA978" s="2487"/>
      <c r="AB978" s="2487"/>
      <c r="AC978" s="2487"/>
      <c r="AD978" s="2487"/>
      <c r="AE978" s="2487"/>
      <c r="AF978" s="2487"/>
      <c r="AG978" s="2487"/>
      <c r="AH978" s="2487"/>
      <c r="AI978" s="2487"/>
      <c r="AJ978" s="2487"/>
      <c r="AK978" s="2487"/>
      <c r="AL978" s="2487"/>
      <c r="AM978" s="2487"/>
    </row>
    <row r="979" spans="1:39" ht="15.75" customHeight="1" x14ac:dyDescent="0.25">
      <c r="A979" s="2487"/>
      <c r="B979" s="2487"/>
      <c r="C979" s="2487"/>
      <c r="D979" s="2487"/>
      <c r="E979" s="2487"/>
      <c r="F979" s="2487"/>
      <c r="G979" s="2487"/>
      <c r="H979" s="2487"/>
      <c r="I979" s="2487"/>
      <c r="J979" s="2487"/>
      <c r="K979" s="2487"/>
      <c r="L979" s="2487"/>
      <c r="M979" s="2487"/>
      <c r="N979" s="2487"/>
      <c r="O979" s="2487"/>
      <c r="P979" s="2487"/>
      <c r="Q979" s="2487"/>
      <c r="R979" s="2487"/>
      <c r="S979" s="2487"/>
      <c r="T979" s="2487"/>
      <c r="U979" s="2487"/>
      <c r="V979" s="2487"/>
      <c r="W979" s="2487"/>
      <c r="X979" s="2487"/>
      <c r="Y979" s="2487"/>
      <c r="Z979" s="2487"/>
      <c r="AA979" s="2487"/>
      <c r="AB979" s="2487"/>
      <c r="AC979" s="2487"/>
      <c r="AD979" s="2487"/>
      <c r="AE979" s="2487"/>
      <c r="AF979" s="2487"/>
      <c r="AG979" s="2487"/>
      <c r="AH979" s="2487"/>
      <c r="AI979" s="2487"/>
      <c r="AJ979" s="2487"/>
      <c r="AK979" s="2487"/>
      <c r="AL979" s="2487"/>
      <c r="AM979" s="2487"/>
    </row>
    <row r="980" spans="1:39" ht="15.75" customHeight="1" x14ac:dyDescent="0.25">
      <c r="A980" s="2487"/>
      <c r="B980" s="2487"/>
      <c r="C980" s="2487"/>
      <c r="D980" s="2487"/>
      <c r="E980" s="2487"/>
      <c r="F980" s="2487"/>
      <c r="G980" s="2487"/>
      <c r="H980" s="2487"/>
      <c r="I980" s="2487"/>
      <c r="J980" s="2487"/>
      <c r="K980" s="2487"/>
      <c r="L980" s="2487"/>
      <c r="M980" s="2487"/>
      <c r="N980" s="2487"/>
      <c r="O980" s="2487"/>
      <c r="P980" s="2487"/>
      <c r="Q980" s="2487"/>
      <c r="R980" s="2487"/>
      <c r="S980" s="2487"/>
      <c r="T980" s="2487"/>
      <c r="U980" s="2487"/>
      <c r="V980" s="2487"/>
      <c r="W980" s="2487"/>
      <c r="X980" s="2487"/>
      <c r="Y980" s="2487"/>
      <c r="Z980" s="2487"/>
      <c r="AA980" s="2487"/>
      <c r="AB980" s="2487"/>
      <c r="AC980" s="2487"/>
      <c r="AD980" s="2487"/>
      <c r="AE980" s="2487"/>
      <c r="AF980" s="2487"/>
      <c r="AG980" s="2487"/>
      <c r="AH980" s="2487"/>
      <c r="AI980" s="2487"/>
      <c r="AJ980" s="2487"/>
      <c r="AK980" s="2487"/>
      <c r="AL980" s="2487"/>
      <c r="AM980" s="2487"/>
    </row>
    <row r="981" spans="1:39" ht="15.75" customHeight="1" x14ac:dyDescent="0.25">
      <c r="A981" s="2487"/>
      <c r="B981" s="2487"/>
      <c r="C981" s="2487"/>
      <c r="D981" s="2487"/>
      <c r="E981" s="2487"/>
      <c r="F981" s="2487"/>
      <c r="G981" s="2487"/>
      <c r="H981" s="2487"/>
      <c r="I981" s="2487"/>
      <c r="J981" s="2487"/>
      <c r="K981" s="2487"/>
      <c r="L981" s="2487"/>
      <c r="M981" s="2487"/>
      <c r="N981" s="2487"/>
      <c r="O981" s="2487"/>
      <c r="P981" s="2487"/>
      <c r="Q981" s="2487"/>
      <c r="R981" s="2487"/>
      <c r="S981" s="2487"/>
      <c r="T981" s="2487"/>
      <c r="U981" s="2487"/>
      <c r="V981" s="2487"/>
      <c r="W981" s="2487"/>
      <c r="X981" s="2487"/>
      <c r="Y981" s="2487"/>
      <c r="Z981" s="2487"/>
      <c r="AA981" s="2487"/>
      <c r="AB981" s="2487"/>
      <c r="AC981" s="2487"/>
      <c r="AD981" s="2487"/>
      <c r="AE981" s="2487"/>
      <c r="AF981" s="2487"/>
      <c r="AG981" s="2487"/>
      <c r="AH981" s="2487"/>
      <c r="AI981" s="2487"/>
      <c r="AJ981" s="2487"/>
      <c r="AK981" s="2487"/>
      <c r="AL981" s="2487"/>
      <c r="AM981" s="2487"/>
    </row>
    <row r="982" spans="1:39" ht="15.75" customHeight="1" x14ac:dyDescent="0.25">
      <c r="A982" s="2487"/>
      <c r="B982" s="2487"/>
      <c r="C982" s="2487"/>
      <c r="D982" s="2487"/>
      <c r="E982" s="2487"/>
      <c r="F982" s="2487"/>
      <c r="G982" s="2487"/>
      <c r="H982" s="2487"/>
      <c r="I982" s="2487"/>
      <c r="J982" s="2487"/>
      <c r="K982" s="2487"/>
      <c r="L982" s="2487"/>
      <c r="M982" s="2487"/>
      <c r="N982" s="2487"/>
      <c r="O982" s="2487"/>
      <c r="P982" s="2487"/>
      <c r="Q982" s="2487"/>
      <c r="R982" s="2487"/>
      <c r="S982" s="2487"/>
      <c r="T982" s="2487"/>
      <c r="U982" s="2487"/>
      <c r="V982" s="2487"/>
      <c r="W982" s="2487"/>
      <c r="X982" s="2487"/>
      <c r="Y982" s="2487"/>
      <c r="Z982" s="2487"/>
      <c r="AA982" s="2487"/>
      <c r="AB982" s="2487"/>
      <c r="AC982" s="2487"/>
      <c r="AD982" s="2487"/>
      <c r="AE982" s="2487"/>
      <c r="AF982" s="2487"/>
      <c r="AG982" s="2487"/>
      <c r="AH982" s="2487"/>
      <c r="AI982" s="2487"/>
      <c r="AJ982" s="2487"/>
      <c r="AK982" s="2487"/>
      <c r="AL982" s="2487"/>
      <c r="AM982" s="2487"/>
    </row>
    <row r="983" spans="1:39" ht="15.75" customHeight="1" x14ac:dyDescent="0.25">
      <c r="A983" s="2487"/>
      <c r="B983" s="2487"/>
      <c r="C983" s="2487"/>
      <c r="D983" s="2487"/>
      <c r="E983" s="2487"/>
      <c r="F983" s="2487"/>
      <c r="G983" s="2487"/>
      <c r="H983" s="2487"/>
      <c r="I983" s="2487"/>
      <c r="J983" s="2487"/>
      <c r="K983" s="2487"/>
      <c r="L983" s="2487"/>
      <c r="M983" s="2487"/>
      <c r="N983" s="2487"/>
      <c r="O983" s="2487"/>
      <c r="P983" s="2487"/>
      <c r="Q983" s="2487"/>
      <c r="R983" s="2487"/>
      <c r="S983" s="2487"/>
      <c r="T983" s="2487"/>
      <c r="U983" s="2487"/>
      <c r="V983" s="2487"/>
      <c r="W983" s="2487"/>
      <c r="X983" s="2487"/>
      <c r="Y983" s="2487"/>
      <c r="Z983" s="2487"/>
      <c r="AA983" s="2487"/>
      <c r="AB983" s="2487"/>
      <c r="AC983" s="2487"/>
      <c r="AD983" s="2487"/>
      <c r="AE983" s="2487"/>
      <c r="AF983" s="2487"/>
      <c r="AG983" s="2487"/>
      <c r="AH983" s="2487"/>
      <c r="AI983" s="2487"/>
      <c r="AJ983" s="2487"/>
      <c r="AK983" s="2487"/>
      <c r="AL983" s="2487"/>
      <c r="AM983" s="2487"/>
    </row>
    <row r="984" spans="1:39" ht="15.75" customHeight="1" x14ac:dyDescent="0.25">
      <c r="A984" s="2487"/>
      <c r="B984" s="2487"/>
      <c r="C984" s="2487"/>
      <c r="D984" s="2487"/>
      <c r="E984" s="2487"/>
      <c r="F984" s="2487"/>
      <c r="G984" s="2487"/>
      <c r="H984" s="2487"/>
      <c r="I984" s="2487"/>
      <c r="J984" s="2487"/>
      <c r="K984" s="2487"/>
      <c r="L984" s="2487"/>
      <c r="M984" s="2487"/>
      <c r="N984" s="2487"/>
      <c r="O984" s="2487"/>
      <c r="P984" s="2487"/>
      <c r="Q984" s="2487"/>
      <c r="R984" s="2487"/>
      <c r="S984" s="2487"/>
      <c r="T984" s="2487"/>
      <c r="U984" s="2487"/>
      <c r="V984" s="2487"/>
      <c r="W984" s="2487"/>
      <c r="X984" s="2487"/>
      <c r="Y984" s="2487"/>
      <c r="Z984" s="2487"/>
      <c r="AA984" s="2487"/>
      <c r="AB984" s="2487"/>
      <c r="AC984" s="2487"/>
      <c r="AD984" s="2487"/>
      <c r="AE984" s="2487"/>
      <c r="AF984" s="2487"/>
      <c r="AG984" s="2487"/>
      <c r="AH984" s="2487"/>
      <c r="AI984" s="2487"/>
      <c r="AJ984" s="2487"/>
      <c r="AK984" s="2487"/>
      <c r="AL984" s="2487"/>
      <c r="AM984" s="2487"/>
    </row>
    <row r="985" spans="1:39" ht="15.75" customHeight="1" x14ac:dyDescent="0.25">
      <c r="A985" s="2487"/>
      <c r="B985" s="2487"/>
      <c r="C985" s="2487"/>
      <c r="D985" s="2487"/>
      <c r="E985" s="2487"/>
      <c r="F985" s="2487"/>
      <c r="G985" s="2487"/>
      <c r="H985" s="2487"/>
      <c r="I985" s="2487"/>
      <c r="J985" s="2487"/>
      <c r="K985" s="2487"/>
      <c r="L985" s="2487"/>
      <c r="M985" s="2487"/>
      <c r="N985" s="2487"/>
      <c r="O985" s="2487"/>
      <c r="P985" s="2487"/>
      <c r="Q985" s="2487"/>
      <c r="R985" s="2487"/>
      <c r="S985" s="2487"/>
      <c r="T985" s="2487"/>
      <c r="U985" s="2487"/>
      <c r="V985" s="2487"/>
      <c r="W985" s="2487"/>
      <c r="X985" s="2487"/>
      <c r="Y985" s="2487"/>
      <c r="Z985" s="2487"/>
      <c r="AA985" s="2487"/>
      <c r="AB985" s="2487"/>
      <c r="AC985" s="2487"/>
      <c r="AD985" s="2487"/>
      <c r="AE985" s="2487"/>
      <c r="AF985" s="2487"/>
      <c r="AG985" s="2487"/>
      <c r="AH985" s="2487"/>
      <c r="AI985" s="2487"/>
      <c r="AJ985" s="2487"/>
      <c r="AK985" s="2487"/>
      <c r="AL985" s="2487"/>
      <c r="AM985" s="2487"/>
    </row>
    <row r="986" spans="1:39" ht="15.75" customHeight="1" x14ac:dyDescent="0.25">
      <c r="A986" s="2487"/>
      <c r="B986" s="2487"/>
      <c r="C986" s="2487"/>
      <c r="D986" s="2487"/>
      <c r="E986" s="2487"/>
      <c r="F986" s="2487"/>
      <c r="G986" s="2487"/>
      <c r="H986" s="2487"/>
      <c r="I986" s="2487"/>
      <c r="J986" s="2487"/>
      <c r="K986" s="2487"/>
      <c r="L986" s="2487"/>
      <c r="M986" s="2487"/>
      <c r="N986" s="2487"/>
      <c r="O986" s="2487"/>
      <c r="P986" s="2487"/>
      <c r="Q986" s="2487"/>
      <c r="R986" s="2487"/>
      <c r="S986" s="2487"/>
      <c r="T986" s="2487"/>
      <c r="U986" s="2487"/>
      <c r="V986" s="2487"/>
      <c r="W986" s="2487"/>
      <c r="X986" s="2487"/>
      <c r="Y986" s="2487"/>
      <c r="Z986" s="2487"/>
      <c r="AA986" s="2487"/>
      <c r="AB986" s="2487"/>
      <c r="AC986" s="2487"/>
      <c r="AD986" s="2487"/>
      <c r="AE986" s="2487"/>
      <c r="AF986" s="2487"/>
      <c r="AG986" s="2487"/>
      <c r="AH986" s="2487"/>
      <c r="AI986" s="2487"/>
      <c r="AJ986" s="2487"/>
      <c r="AK986" s="2487"/>
      <c r="AL986" s="2487"/>
      <c r="AM986" s="2487"/>
    </row>
    <row r="987" spans="1:39" ht="15.75" customHeight="1" x14ac:dyDescent="0.25">
      <c r="A987" s="2487"/>
      <c r="B987" s="2487"/>
      <c r="C987" s="2487"/>
      <c r="D987" s="2487"/>
      <c r="E987" s="2487"/>
      <c r="F987" s="2487"/>
      <c r="G987" s="2487"/>
      <c r="H987" s="2487"/>
      <c r="I987" s="2487"/>
      <c r="J987" s="2487"/>
      <c r="K987" s="2487"/>
      <c r="L987" s="2487"/>
      <c r="M987" s="2487"/>
      <c r="N987" s="2487"/>
      <c r="O987" s="2487"/>
      <c r="P987" s="2487"/>
      <c r="Q987" s="2487"/>
      <c r="R987" s="2487"/>
      <c r="S987" s="2487"/>
      <c r="T987" s="2487"/>
      <c r="U987" s="2487"/>
      <c r="V987" s="2487"/>
      <c r="W987" s="2487"/>
      <c r="X987" s="2487"/>
      <c r="Y987" s="2487"/>
      <c r="Z987" s="2487"/>
      <c r="AA987" s="2487"/>
      <c r="AB987" s="2487"/>
      <c r="AC987" s="2487"/>
      <c r="AD987" s="2487"/>
      <c r="AE987" s="2487"/>
      <c r="AF987" s="2487"/>
      <c r="AG987" s="2487"/>
      <c r="AH987" s="2487"/>
      <c r="AI987" s="2487"/>
      <c r="AJ987" s="2487"/>
      <c r="AK987" s="2487"/>
      <c r="AL987" s="2487"/>
      <c r="AM987" s="2487"/>
    </row>
    <row r="988" spans="1:39" ht="15.75" customHeight="1" x14ac:dyDescent="0.25">
      <c r="A988" s="2487"/>
      <c r="B988" s="2487"/>
      <c r="C988" s="2487"/>
      <c r="D988" s="2487"/>
      <c r="E988" s="2487"/>
      <c r="F988" s="2487"/>
      <c r="G988" s="2487"/>
      <c r="H988" s="2487"/>
      <c r="I988" s="2487"/>
      <c r="J988" s="2487"/>
      <c r="K988" s="2487"/>
      <c r="L988" s="2487"/>
      <c r="M988" s="2487"/>
      <c r="N988" s="2487"/>
      <c r="O988" s="2487"/>
      <c r="P988" s="2487"/>
      <c r="Q988" s="2487"/>
      <c r="R988" s="2487"/>
      <c r="S988" s="2487"/>
      <c r="T988" s="2487"/>
      <c r="U988" s="2487"/>
      <c r="V988" s="2487"/>
      <c r="W988" s="2487"/>
      <c r="X988" s="2487"/>
      <c r="Y988" s="2487"/>
      <c r="Z988" s="2487"/>
      <c r="AA988" s="2487"/>
      <c r="AB988" s="2487"/>
      <c r="AC988" s="2487"/>
      <c r="AD988" s="2487"/>
      <c r="AE988" s="2487"/>
      <c r="AF988" s="2487"/>
      <c r="AG988" s="2487"/>
      <c r="AH988" s="2487"/>
      <c r="AI988" s="2487"/>
      <c r="AJ988" s="2487"/>
      <c r="AK988" s="2487"/>
      <c r="AL988" s="2487"/>
      <c r="AM988" s="2487"/>
    </row>
    <row r="989" spans="1:39" ht="15.75" customHeight="1" x14ac:dyDescent="0.25">
      <c r="A989" s="2487"/>
      <c r="B989" s="2487"/>
      <c r="C989" s="2487"/>
      <c r="D989" s="2487"/>
      <c r="E989" s="2487"/>
      <c r="F989" s="2487"/>
      <c r="G989" s="2487"/>
      <c r="H989" s="2487"/>
      <c r="I989" s="2487"/>
      <c r="J989" s="2487"/>
      <c r="K989" s="2487"/>
      <c r="L989" s="2487"/>
      <c r="M989" s="2487"/>
      <c r="N989" s="2487"/>
      <c r="O989" s="2487"/>
      <c r="P989" s="2487"/>
      <c r="Q989" s="2487"/>
      <c r="R989" s="2487"/>
      <c r="S989" s="2487"/>
      <c r="T989" s="2487"/>
      <c r="U989" s="2487"/>
      <c r="V989" s="2487"/>
      <c r="W989" s="2487"/>
      <c r="X989" s="2487"/>
      <c r="Y989" s="2487"/>
      <c r="Z989" s="2487"/>
      <c r="AA989" s="2487"/>
      <c r="AB989" s="2487"/>
      <c r="AC989" s="2487"/>
      <c r="AD989" s="2487"/>
      <c r="AE989" s="2487"/>
      <c r="AF989" s="2487"/>
      <c r="AG989" s="2487"/>
      <c r="AH989" s="2487"/>
      <c r="AI989" s="2487"/>
      <c r="AJ989" s="2487"/>
      <c r="AK989" s="2487"/>
      <c r="AL989" s="2487"/>
      <c r="AM989" s="2487"/>
    </row>
    <row r="990" spans="1:39" ht="15.75" customHeight="1" x14ac:dyDescent="0.25">
      <c r="A990" s="2487"/>
      <c r="B990" s="2487"/>
      <c r="C990" s="2487"/>
      <c r="D990" s="2487"/>
      <c r="E990" s="2487"/>
      <c r="F990" s="2487"/>
      <c r="G990" s="2487"/>
      <c r="H990" s="2487"/>
      <c r="I990" s="2487"/>
      <c r="J990" s="2487"/>
      <c r="K990" s="2487"/>
      <c r="L990" s="2487"/>
      <c r="M990" s="2487"/>
      <c r="N990" s="2487"/>
      <c r="O990" s="2487"/>
      <c r="P990" s="2487"/>
      <c r="Q990" s="2487"/>
      <c r="R990" s="2487"/>
      <c r="S990" s="2487"/>
      <c r="T990" s="2487"/>
      <c r="U990" s="2487"/>
      <c r="V990" s="2487"/>
      <c r="W990" s="2487"/>
      <c r="X990" s="2487"/>
      <c r="Y990" s="2487"/>
      <c r="Z990" s="2487"/>
      <c r="AA990" s="2487"/>
      <c r="AB990" s="2487"/>
      <c r="AC990" s="2487"/>
      <c r="AD990" s="2487"/>
      <c r="AE990" s="2487"/>
      <c r="AF990" s="2487"/>
      <c r="AG990" s="2487"/>
      <c r="AH990" s="2487"/>
      <c r="AI990" s="2487"/>
      <c r="AJ990" s="2487"/>
      <c r="AK990" s="2487"/>
      <c r="AL990" s="2487"/>
      <c r="AM990" s="2487"/>
    </row>
    <row r="991" spans="1:39" ht="15.75" customHeight="1" x14ac:dyDescent="0.25">
      <c r="A991" s="2487"/>
      <c r="B991" s="2487"/>
      <c r="C991" s="2487"/>
      <c r="D991" s="2487"/>
      <c r="E991" s="2487"/>
      <c r="F991" s="2487"/>
      <c r="G991" s="2487"/>
      <c r="H991" s="2487"/>
      <c r="I991" s="2487"/>
      <c r="J991" s="2487"/>
      <c r="K991" s="2487"/>
      <c r="L991" s="2487"/>
      <c r="M991" s="2487"/>
      <c r="N991" s="2487"/>
      <c r="O991" s="2487"/>
      <c r="P991" s="2487"/>
      <c r="Q991" s="2487"/>
      <c r="R991" s="2487"/>
      <c r="S991" s="2487"/>
      <c r="T991" s="2487"/>
      <c r="U991" s="2487"/>
      <c r="V991" s="2487"/>
      <c r="W991" s="2487"/>
      <c r="X991" s="2487"/>
      <c r="Y991" s="2487"/>
      <c r="Z991" s="2487"/>
      <c r="AA991" s="2487"/>
      <c r="AB991" s="2487"/>
      <c r="AC991" s="2487"/>
      <c r="AD991" s="2487"/>
      <c r="AE991" s="2487"/>
      <c r="AF991" s="2487"/>
      <c r="AG991" s="2487"/>
      <c r="AH991" s="2487"/>
      <c r="AI991" s="2487"/>
      <c r="AJ991" s="2487"/>
      <c r="AK991" s="2487"/>
      <c r="AL991" s="2487"/>
      <c r="AM991" s="2487"/>
    </row>
    <row r="992" spans="1:39" ht="15.75" customHeight="1" x14ac:dyDescent="0.25">
      <c r="A992" s="2487"/>
      <c r="B992" s="2487"/>
      <c r="C992" s="2487"/>
      <c r="D992" s="2487"/>
      <c r="E992" s="2487"/>
      <c r="F992" s="2487"/>
      <c r="G992" s="2487"/>
      <c r="H992" s="2487"/>
      <c r="I992" s="2487"/>
      <c r="J992" s="2487"/>
      <c r="K992" s="2487"/>
      <c r="L992" s="2487"/>
      <c r="M992" s="2487"/>
      <c r="N992" s="2487"/>
      <c r="O992" s="2487"/>
      <c r="P992" s="2487"/>
      <c r="Q992" s="2487"/>
      <c r="R992" s="2487"/>
      <c r="S992" s="2487"/>
      <c r="T992" s="2487"/>
      <c r="U992" s="2487"/>
      <c r="V992" s="2487"/>
      <c r="W992" s="2487"/>
      <c r="X992" s="2487"/>
      <c r="Y992" s="2487"/>
      <c r="Z992" s="2487"/>
      <c r="AA992" s="2487"/>
      <c r="AB992" s="2487"/>
      <c r="AC992" s="2487"/>
      <c r="AD992" s="2487"/>
      <c r="AE992" s="2487"/>
      <c r="AF992" s="2487"/>
      <c r="AG992" s="2487"/>
      <c r="AH992" s="2487"/>
      <c r="AI992" s="2487"/>
      <c r="AJ992" s="2487"/>
      <c r="AK992" s="2487"/>
      <c r="AL992" s="2487"/>
      <c r="AM992" s="2487"/>
    </row>
    <row r="993" spans="1:39" ht="15.75" customHeight="1" x14ac:dyDescent="0.25">
      <c r="A993" s="2487"/>
      <c r="B993" s="2487"/>
      <c r="C993" s="2487"/>
      <c r="D993" s="2487"/>
      <c r="E993" s="2487"/>
      <c r="F993" s="2487"/>
      <c r="G993" s="2487"/>
      <c r="H993" s="2487"/>
      <c r="I993" s="2487"/>
      <c r="J993" s="2487"/>
      <c r="K993" s="2487"/>
      <c r="L993" s="2487"/>
      <c r="M993" s="2487"/>
      <c r="N993" s="2487"/>
      <c r="O993" s="2487"/>
      <c r="P993" s="2487"/>
      <c r="Q993" s="2487"/>
      <c r="R993" s="2487"/>
      <c r="S993" s="2487"/>
      <c r="T993" s="2487"/>
      <c r="U993" s="2487"/>
      <c r="V993" s="2487"/>
      <c r="W993" s="2487"/>
      <c r="X993" s="2487"/>
      <c r="Y993" s="2487"/>
      <c r="Z993" s="2487"/>
      <c r="AA993" s="2487"/>
      <c r="AB993" s="2487"/>
      <c r="AC993" s="2487"/>
      <c r="AD993" s="2487"/>
      <c r="AE993" s="2487"/>
      <c r="AF993" s="2487"/>
      <c r="AG993" s="2487"/>
      <c r="AH993" s="2487"/>
      <c r="AI993" s="2487"/>
      <c r="AJ993" s="2487"/>
      <c r="AK993" s="2487"/>
      <c r="AL993" s="2487"/>
      <c r="AM993" s="2487"/>
    </row>
    <row r="994" spans="1:39" ht="15.75" customHeight="1" x14ac:dyDescent="0.25">
      <c r="A994" s="2487"/>
      <c r="B994" s="2487"/>
      <c r="C994" s="2487"/>
      <c r="D994" s="2487"/>
      <c r="E994" s="2487"/>
      <c r="F994" s="2487"/>
      <c r="G994" s="2487"/>
      <c r="H994" s="2487"/>
      <c r="I994" s="2487"/>
      <c r="J994" s="2487"/>
      <c r="K994" s="2487"/>
      <c r="L994" s="2487"/>
      <c r="M994" s="2487"/>
      <c r="N994" s="2487"/>
      <c r="O994" s="2487"/>
      <c r="P994" s="2487"/>
      <c r="Q994" s="2487"/>
      <c r="R994" s="2487"/>
      <c r="S994" s="2487"/>
      <c r="T994" s="2487"/>
      <c r="U994" s="2487"/>
      <c r="V994" s="2487"/>
      <c r="W994" s="2487"/>
      <c r="X994" s="2487"/>
      <c r="Y994" s="2487"/>
      <c r="Z994" s="2487"/>
      <c r="AA994" s="2487"/>
      <c r="AB994" s="2487"/>
      <c r="AC994" s="2487"/>
      <c r="AD994" s="2487"/>
      <c r="AE994" s="2487"/>
      <c r="AF994" s="2487"/>
      <c r="AG994" s="2487"/>
      <c r="AH994" s="2487"/>
      <c r="AI994" s="2487"/>
      <c r="AJ994" s="2487"/>
      <c r="AK994" s="2487"/>
      <c r="AL994" s="2487"/>
      <c r="AM994" s="2487"/>
    </row>
    <row r="995" spans="1:39" ht="15.75" customHeight="1" x14ac:dyDescent="0.25">
      <c r="A995" s="2487"/>
      <c r="B995" s="2487"/>
      <c r="C995" s="2487"/>
      <c r="D995" s="2487"/>
      <c r="E995" s="2487"/>
      <c r="F995" s="2487"/>
      <c r="G995" s="2487"/>
      <c r="H995" s="2487"/>
      <c r="I995" s="2487"/>
      <c r="J995" s="2487"/>
      <c r="K995" s="2487"/>
      <c r="L995" s="2487"/>
      <c r="M995" s="2487"/>
      <c r="N995" s="2487"/>
      <c r="O995" s="2487"/>
      <c r="P995" s="2487"/>
      <c r="Q995" s="2487"/>
      <c r="R995" s="2487"/>
      <c r="S995" s="2487"/>
      <c r="T995" s="2487"/>
      <c r="U995" s="2487"/>
      <c r="V995" s="2487"/>
      <c r="W995" s="2487"/>
      <c r="X995" s="2487"/>
      <c r="Y995" s="2487"/>
      <c r="Z995" s="2487"/>
      <c r="AA995" s="2487"/>
      <c r="AB995" s="2487"/>
      <c r="AC995" s="2487"/>
      <c r="AD995" s="2487"/>
      <c r="AE995" s="2487"/>
      <c r="AF995" s="2487"/>
      <c r="AG995" s="2487"/>
      <c r="AH995" s="2487"/>
      <c r="AI995" s="2487"/>
      <c r="AJ995" s="2487"/>
      <c r="AK995" s="2487"/>
      <c r="AL995" s="2487"/>
      <c r="AM995" s="2487"/>
    </row>
    <row r="996" spans="1:39" ht="15.75" customHeight="1" x14ac:dyDescent="0.25">
      <c r="A996" s="2487"/>
      <c r="B996" s="2487"/>
      <c r="C996" s="2487"/>
      <c r="D996" s="2487"/>
      <c r="E996" s="2487"/>
      <c r="F996" s="2487"/>
      <c r="G996" s="2487"/>
      <c r="H996" s="2487"/>
      <c r="I996" s="2487"/>
      <c r="J996" s="2487"/>
      <c r="K996" s="2487"/>
      <c r="L996" s="2487"/>
      <c r="M996" s="2487"/>
      <c r="N996" s="2487"/>
      <c r="O996" s="2487"/>
      <c r="P996" s="2487"/>
      <c r="Q996" s="2487"/>
      <c r="R996" s="2487"/>
      <c r="S996" s="2487"/>
      <c r="T996" s="2487"/>
      <c r="U996" s="2487"/>
      <c r="V996" s="2487"/>
      <c r="W996" s="2487"/>
      <c r="X996" s="2487"/>
      <c r="Y996" s="2487"/>
      <c r="Z996" s="2487"/>
      <c r="AA996" s="2487"/>
      <c r="AB996" s="2487"/>
      <c r="AC996" s="2487"/>
      <c r="AD996" s="2487"/>
      <c r="AE996" s="2487"/>
      <c r="AF996" s="2487"/>
      <c r="AG996" s="2487"/>
      <c r="AH996" s="2487"/>
      <c r="AI996" s="2487"/>
      <c r="AJ996" s="2487"/>
      <c r="AK996" s="2487"/>
      <c r="AL996" s="2487"/>
      <c r="AM996" s="2487"/>
    </row>
    <row r="997" spans="1:39" ht="15.75" customHeight="1" x14ac:dyDescent="0.25">
      <c r="A997" s="2487"/>
      <c r="B997" s="2487"/>
      <c r="C997" s="2487"/>
      <c r="D997" s="2487"/>
      <c r="E997" s="2487"/>
      <c r="F997" s="2487"/>
      <c r="G997" s="2487"/>
      <c r="H997" s="2487"/>
      <c r="I997" s="2487"/>
      <c r="J997" s="2487"/>
      <c r="K997" s="2487"/>
      <c r="L997" s="2487"/>
      <c r="M997" s="2487"/>
      <c r="N997" s="2487"/>
      <c r="O997" s="2487"/>
      <c r="P997" s="2487"/>
      <c r="Q997" s="2487"/>
      <c r="R997" s="2487"/>
      <c r="S997" s="2487"/>
      <c r="T997" s="2487"/>
      <c r="U997" s="2487"/>
      <c r="V997" s="2487"/>
      <c r="W997" s="2487"/>
      <c r="X997" s="2487"/>
      <c r="Y997" s="2487"/>
      <c r="Z997" s="2487"/>
      <c r="AA997" s="2487"/>
      <c r="AB997" s="2487"/>
      <c r="AC997" s="2487"/>
      <c r="AD997" s="2487"/>
      <c r="AE997" s="2487"/>
      <c r="AF997" s="2487"/>
      <c r="AG997" s="2487"/>
      <c r="AH997" s="2487"/>
      <c r="AI997" s="2487"/>
      <c r="AJ997" s="2487"/>
      <c r="AK997" s="2487"/>
      <c r="AL997" s="2487"/>
      <c r="AM997" s="2487"/>
    </row>
    <row r="998" spans="1:39" ht="15.75" customHeight="1" x14ac:dyDescent="0.25">
      <c r="A998" s="2487"/>
      <c r="B998" s="2487"/>
      <c r="C998" s="2487"/>
      <c r="D998" s="2487"/>
      <c r="E998" s="2487"/>
      <c r="F998" s="2487"/>
      <c r="G998" s="2487"/>
      <c r="H998" s="2487"/>
      <c r="I998" s="2487"/>
      <c r="J998" s="2487"/>
      <c r="K998" s="2487"/>
      <c r="L998" s="2487"/>
      <c r="M998" s="2487"/>
      <c r="N998" s="2487"/>
      <c r="O998" s="2487"/>
      <c r="P998" s="2487"/>
      <c r="Q998" s="2487"/>
      <c r="R998" s="2487"/>
      <c r="S998" s="2487"/>
      <c r="T998" s="2487"/>
      <c r="U998" s="2487"/>
      <c r="V998" s="2487"/>
      <c r="W998" s="2487"/>
      <c r="X998" s="2487"/>
      <c r="Y998" s="2487"/>
      <c r="Z998" s="2487"/>
      <c r="AA998" s="2487"/>
      <c r="AB998" s="2487"/>
      <c r="AC998" s="2487"/>
      <c r="AD998" s="2487"/>
      <c r="AE998" s="2487"/>
      <c r="AF998" s="2487"/>
      <c r="AG998" s="2487"/>
      <c r="AH998" s="2487"/>
      <c r="AI998" s="2487"/>
      <c r="AJ998" s="2487"/>
      <c r="AK998" s="2487"/>
      <c r="AL998" s="2487"/>
      <c r="AM998" s="2487"/>
    </row>
    <row r="999" spans="1:39" ht="15.75" customHeight="1" x14ac:dyDescent="0.25">
      <c r="A999" s="2487"/>
      <c r="B999" s="2487"/>
      <c r="C999" s="2487"/>
      <c r="D999" s="2487"/>
      <c r="E999" s="2487"/>
      <c r="F999" s="2487"/>
      <c r="G999" s="2487"/>
      <c r="H999" s="2487"/>
      <c r="I999" s="2487"/>
      <c r="J999" s="2487"/>
      <c r="K999" s="2487"/>
      <c r="L999" s="2487"/>
      <c r="M999" s="2487"/>
      <c r="N999" s="2487"/>
      <c r="O999" s="2487"/>
      <c r="P999" s="2487"/>
      <c r="Q999" s="2487"/>
      <c r="R999" s="2487"/>
      <c r="S999" s="2487"/>
      <c r="T999" s="2487"/>
      <c r="U999" s="2487"/>
      <c r="V999" s="2487"/>
      <c r="W999" s="2487"/>
      <c r="X999" s="2487"/>
      <c r="Y999" s="2487"/>
      <c r="Z999" s="2487"/>
      <c r="AA999" s="2487"/>
      <c r="AB999" s="2487"/>
      <c r="AC999" s="2487"/>
      <c r="AD999" s="2487"/>
      <c r="AE999" s="2487"/>
      <c r="AF999" s="2487"/>
      <c r="AG999" s="2487"/>
      <c r="AH999" s="2487"/>
      <c r="AI999" s="2487"/>
      <c r="AJ999" s="2487"/>
      <c r="AK999" s="2487"/>
      <c r="AL999" s="2487"/>
      <c r="AM999" s="2487"/>
    </row>
    <row r="1000" spans="1:39" ht="15.75" customHeight="1" x14ac:dyDescent="0.25">
      <c r="A1000" s="2487"/>
      <c r="B1000" s="2487"/>
      <c r="C1000" s="2487"/>
      <c r="D1000" s="2487"/>
      <c r="E1000" s="2487"/>
      <c r="F1000" s="2487"/>
      <c r="G1000" s="2487"/>
      <c r="H1000" s="2487"/>
      <c r="I1000" s="2487"/>
      <c r="J1000" s="2487"/>
      <c r="K1000" s="2487"/>
      <c r="L1000" s="2487"/>
      <c r="M1000" s="2487"/>
      <c r="N1000" s="2487"/>
      <c r="O1000" s="2487"/>
      <c r="P1000" s="2487"/>
      <c r="Q1000" s="2487"/>
      <c r="R1000" s="2487"/>
      <c r="S1000" s="2487"/>
      <c r="T1000" s="2487"/>
      <c r="U1000" s="2487"/>
      <c r="V1000" s="2487"/>
      <c r="W1000" s="2487"/>
      <c r="X1000" s="2487"/>
      <c r="Y1000" s="2487"/>
      <c r="Z1000" s="2487"/>
      <c r="AA1000" s="2487"/>
      <c r="AB1000" s="2487"/>
      <c r="AC1000" s="2487"/>
      <c r="AD1000" s="2487"/>
      <c r="AE1000" s="2487"/>
      <c r="AF1000" s="2487"/>
      <c r="AG1000" s="2487"/>
      <c r="AH1000" s="2487"/>
      <c r="AI1000" s="2487"/>
      <c r="AJ1000" s="2487"/>
      <c r="AK1000" s="2487"/>
      <c r="AL1000" s="2487"/>
      <c r="AM1000" s="2487"/>
    </row>
  </sheetData>
  <mergeCells count="3">
    <mergeCell ref="B4:I4"/>
    <mergeCell ref="AN5:AO5"/>
    <mergeCell ref="B32:N32"/>
  </mergeCells>
  <conditionalFormatting sqref="B32:N32">
    <cfRule type="cellIs" dxfId="1" priority="1" stopIfTrue="1" operator="equal">
      <formula>0</formula>
    </cfRule>
  </conditionalFormatting>
  <conditionalFormatting sqref="B32:N32">
    <cfRule type="cellIs" dxfId="0" priority="2" stopIfTrue="1" operator="notEqual">
      <formula>0</formula>
    </cfRule>
  </conditionalFormatting>
  <pageMargins left="0.7" right="0.7" top="0.75" bottom="0.75" header="0" footer="0"/>
  <pageSetup orientation="landscape"/>
  <drawing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workbookViewId="0"/>
  </sheetViews>
  <sheetFormatPr defaultColWidth="16.85546875" defaultRowHeight="15" customHeight="1" x14ac:dyDescent="0.2"/>
  <cols>
    <col min="1" max="2" width="8.85546875" customWidth="1"/>
    <col min="3" max="3" width="20.85546875" customWidth="1"/>
    <col min="4" max="4" width="15.42578125" customWidth="1"/>
    <col min="5" max="5" width="12.7109375" customWidth="1"/>
    <col min="6" max="6" width="8.85546875" customWidth="1"/>
    <col min="7" max="7" width="18.28515625" customWidth="1"/>
    <col min="8" max="8" width="8.85546875" customWidth="1"/>
    <col min="9" max="9" width="11" customWidth="1"/>
    <col min="10" max="10" width="12.7109375" customWidth="1"/>
    <col min="11" max="26" width="8.85546875" customWidth="1"/>
  </cols>
  <sheetData>
    <row r="1" spans="1:26" ht="30" customHeight="1" x14ac:dyDescent="0.55000000000000004">
      <c r="A1" s="329" t="s">
        <v>2051</v>
      </c>
      <c r="B1" s="606"/>
      <c r="G1" s="881"/>
      <c r="H1" s="327"/>
    </row>
    <row r="2" spans="1:26" ht="111.75" customHeight="1" x14ac:dyDescent="0.3">
      <c r="A2" s="8"/>
      <c r="B2" s="2582"/>
      <c r="C2" s="2582"/>
      <c r="D2" s="2583"/>
      <c r="E2" s="2583"/>
      <c r="F2" s="2583"/>
      <c r="G2" s="2583"/>
      <c r="H2" s="2584"/>
      <c r="I2" s="8"/>
      <c r="J2" s="2584"/>
      <c r="K2" s="2584"/>
      <c r="L2" s="2584"/>
      <c r="M2" s="8"/>
      <c r="N2" s="8"/>
      <c r="O2" s="8"/>
      <c r="P2" s="8"/>
      <c r="Q2" s="8"/>
      <c r="R2" s="8"/>
      <c r="S2" s="8"/>
      <c r="T2" s="8"/>
      <c r="U2" s="8"/>
      <c r="V2" s="8"/>
      <c r="W2" s="8"/>
      <c r="X2" s="8"/>
      <c r="Y2" s="8"/>
      <c r="Z2" s="8"/>
    </row>
    <row r="3" spans="1:26" ht="19.5" customHeight="1" x14ac:dyDescent="0.3">
      <c r="A3" s="8"/>
      <c r="B3" s="2585"/>
      <c r="C3" s="2461"/>
      <c r="D3" s="2586" t="s">
        <v>529</v>
      </c>
      <c r="E3" s="8"/>
      <c r="F3" s="8"/>
      <c r="G3" s="8"/>
      <c r="H3" s="8"/>
      <c r="I3" s="8"/>
      <c r="J3" s="8"/>
      <c r="K3" s="8"/>
      <c r="L3" s="8"/>
      <c r="M3" s="8"/>
      <c r="N3" s="8"/>
      <c r="O3" s="8"/>
      <c r="P3" s="8"/>
      <c r="Q3" s="8"/>
      <c r="R3" s="8"/>
      <c r="S3" s="8"/>
      <c r="T3" s="8"/>
      <c r="U3" s="8"/>
      <c r="V3" s="8"/>
      <c r="W3" s="8"/>
      <c r="X3" s="8"/>
      <c r="Y3" s="8"/>
      <c r="Z3" s="8"/>
    </row>
    <row r="4" spans="1:26" ht="15.6" x14ac:dyDescent="0.35">
      <c r="A4" s="8"/>
      <c r="B4" s="2587"/>
      <c r="C4" s="51"/>
      <c r="D4" s="2588" t="s">
        <v>2052</v>
      </c>
      <c r="E4" s="8"/>
      <c r="F4" s="8"/>
      <c r="G4" s="8"/>
      <c r="H4" s="8"/>
      <c r="I4" s="8"/>
      <c r="J4" s="8"/>
      <c r="K4" s="8"/>
      <c r="L4" s="8"/>
      <c r="M4" s="8"/>
      <c r="N4" s="8"/>
      <c r="O4" s="8"/>
      <c r="P4" s="8"/>
      <c r="Q4" s="8"/>
      <c r="R4" s="8"/>
      <c r="S4" s="8"/>
      <c r="T4" s="8"/>
      <c r="U4" s="8"/>
      <c r="V4" s="8"/>
      <c r="W4" s="8"/>
      <c r="X4" s="8"/>
      <c r="Y4" s="8"/>
      <c r="Z4" s="8"/>
    </row>
    <row r="5" spans="1:26" ht="11.25" customHeight="1" x14ac:dyDescent="0.3">
      <c r="A5" s="8"/>
      <c r="B5" s="2587"/>
      <c r="C5" s="131"/>
      <c r="D5" s="2462"/>
      <c r="E5" s="8"/>
      <c r="F5" s="8"/>
      <c r="G5" s="8"/>
      <c r="H5" s="8"/>
      <c r="I5" s="8"/>
      <c r="J5" s="8"/>
      <c r="K5" s="8"/>
      <c r="L5" s="8"/>
      <c r="M5" s="8"/>
      <c r="N5" s="8"/>
      <c r="O5" s="8"/>
      <c r="P5" s="8"/>
      <c r="Q5" s="8"/>
      <c r="R5" s="8"/>
      <c r="S5" s="8"/>
      <c r="T5" s="8"/>
      <c r="U5" s="8"/>
      <c r="V5" s="8"/>
      <c r="W5" s="8"/>
      <c r="X5" s="8"/>
      <c r="Y5" s="8"/>
      <c r="Z5" s="8"/>
    </row>
    <row r="6" spans="1:26" ht="11.25" customHeight="1" x14ac:dyDescent="0.3">
      <c r="A6" s="8"/>
      <c r="B6" s="2589"/>
      <c r="C6" s="370"/>
      <c r="D6" s="2462"/>
      <c r="E6" s="8"/>
      <c r="F6" s="8"/>
      <c r="G6" s="8"/>
      <c r="H6" s="8"/>
      <c r="I6" s="8"/>
      <c r="J6" s="8"/>
      <c r="K6" s="8"/>
      <c r="L6" s="8"/>
      <c r="M6" s="8"/>
      <c r="N6" s="8"/>
      <c r="O6" s="8"/>
      <c r="P6" s="8"/>
      <c r="Q6" s="8"/>
      <c r="R6" s="8"/>
      <c r="S6" s="8"/>
      <c r="T6" s="8"/>
      <c r="U6" s="8"/>
      <c r="V6" s="8"/>
      <c r="W6" s="8"/>
      <c r="X6" s="8"/>
      <c r="Y6" s="8"/>
      <c r="Z6" s="8"/>
    </row>
    <row r="7" spans="1:26" ht="14.4" x14ac:dyDescent="0.3">
      <c r="A7" s="8"/>
      <c r="B7" s="2590">
        <v>2020</v>
      </c>
      <c r="C7" s="2591" t="s">
        <v>2053</v>
      </c>
      <c r="D7" s="2462">
        <v>3.3000000000000002E-2</v>
      </c>
      <c r="E7" s="958"/>
      <c r="F7" s="8"/>
      <c r="G7" s="8"/>
      <c r="H7" s="8"/>
      <c r="I7" s="8"/>
      <c r="J7" s="8"/>
      <c r="K7" s="8"/>
      <c r="L7" s="8"/>
      <c r="M7" s="8"/>
      <c r="N7" s="8"/>
      <c r="O7" s="8"/>
      <c r="P7" s="8"/>
      <c r="Q7" s="8"/>
      <c r="R7" s="8"/>
      <c r="S7" s="8"/>
      <c r="T7" s="8"/>
      <c r="U7" s="8"/>
      <c r="V7" s="8"/>
      <c r="W7" s="8"/>
      <c r="X7" s="8"/>
      <c r="Y7" s="8"/>
      <c r="Z7" s="8"/>
    </row>
    <row r="8" spans="1:26" ht="11.25" customHeight="1" x14ac:dyDescent="0.3">
      <c r="A8" s="8"/>
      <c r="B8" s="2592"/>
      <c r="C8" s="2593"/>
      <c r="D8" s="2463"/>
      <c r="E8" s="8"/>
      <c r="F8" s="8"/>
      <c r="G8" s="8"/>
      <c r="H8" s="8"/>
      <c r="I8" s="8"/>
      <c r="J8" s="8"/>
      <c r="K8" s="8"/>
      <c r="L8" s="8"/>
      <c r="M8" s="8"/>
      <c r="N8" s="8"/>
      <c r="O8" s="8"/>
      <c r="P8" s="8"/>
      <c r="Q8" s="8"/>
      <c r="R8" s="8"/>
      <c r="S8" s="8"/>
      <c r="T8" s="8"/>
      <c r="U8" s="8"/>
      <c r="V8" s="8"/>
      <c r="W8" s="8"/>
      <c r="X8" s="8"/>
      <c r="Y8" s="8"/>
      <c r="Z8" s="8"/>
    </row>
    <row r="9" spans="1:26" ht="11.25" customHeight="1" x14ac:dyDescent="0.3">
      <c r="A9" s="8"/>
      <c r="B9" s="8"/>
      <c r="C9" s="8"/>
      <c r="D9" s="8"/>
      <c r="E9" s="8"/>
      <c r="F9" s="8"/>
      <c r="G9" s="8"/>
      <c r="H9" s="8"/>
      <c r="I9" s="8"/>
      <c r="J9" s="8"/>
      <c r="K9" s="8"/>
      <c r="L9" s="8"/>
      <c r="M9" s="8"/>
      <c r="N9" s="8"/>
      <c r="O9" s="8"/>
      <c r="P9" s="8"/>
      <c r="Q9" s="8"/>
      <c r="R9" s="8"/>
      <c r="S9" s="8"/>
      <c r="T9" s="8"/>
      <c r="U9" s="8"/>
      <c r="V9" s="8"/>
      <c r="W9" s="8"/>
      <c r="X9" s="8"/>
      <c r="Y9" s="8"/>
      <c r="Z9" s="8"/>
    </row>
    <row r="10" spans="1:26" ht="11.25" customHeight="1" x14ac:dyDescent="0.2"/>
    <row r="11" spans="1:26" ht="11.25" customHeight="1" x14ac:dyDescent="0.2"/>
    <row r="12" spans="1:26" ht="11.25" customHeight="1" x14ac:dyDescent="0.2"/>
    <row r="13" spans="1:26" ht="11.25" customHeight="1" x14ac:dyDescent="0.2"/>
    <row r="14" spans="1:26" ht="11.25" customHeight="1" x14ac:dyDescent="0.2"/>
    <row r="15" spans="1:26" ht="11.25" customHeight="1" x14ac:dyDescent="0.2"/>
    <row r="16" spans="1:26" ht="11.25" customHeight="1" x14ac:dyDescent="0.2"/>
    <row r="17" ht="11.25" customHeight="1" x14ac:dyDescent="0.2"/>
    <row r="18" ht="11.25" customHeight="1" x14ac:dyDescent="0.2"/>
    <row r="19" ht="11.25" customHeight="1" x14ac:dyDescent="0.2"/>
    <row r="20" ht="11.25" customHeight="1" x14ac:dyDescent="0.2"/>
    <row r="21" ht="11.25" customHeight="1" x14ac:dyDescent="0.2"/>
    <row r="22" ht="11.25" customHeight="1" x14ac:dyDescent="0.2"/>
    <row r="23" ht="11.25" customHeight="1" x14ac:dyDescent="0.2"/>
    <row r="24" ht="11.25" customHeight="1" x14ac:dyDescent="0.2"/>
    <row r="25" ht="11.25" customHeight="1" x14ac:dyDescent="0.2"/>
    <row r="26" ht="11.25" customHeight="1" x14ac:dyDescent="0.2"/>
    <row r="27" ht="11.25" customHeight="1" x14ac:dyDescent="0.2"/>
    <row r="28" ht="11.25" customHeight="1" x14ac:dyDescent="0.2"/>
    <row r="29" ht="11.25" customHeight="1" x14ac:dyDescent="0.2"/>
    <row r="30" ht="11.25" customHeight="1" x14ac:dyDescent="0.2"/>
    <row r="31" ht="11.25" customHeight="1" x14ac:dyDescent="0.2"/>
    <row r="3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sheetData>
  <pageMargins left="0.75" right="0.75" top="1" bottom="1" header="0" footer="0"/>
  <pageSetup orientation="portrait"/>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F1215"/>
  <sheetViews>
    <sheetView workbookViewId="0"/>
  </sheetViews>
  <sheetFormatPr defaultColWidth="16.85546875" defaultRowHeight="15" customHeight="1" x14ac:dyDescent="0.2"/>
  <cols>
    <col min="1" max="1" width="6.7109375" customWidth="1"/>
    <col min="2" max="2" width="51.85546875" customWidth="1"/>
    <col min="3" max="3" width="26.140625" customWidth="1"/>
    <col min="4" max="4" width="20.85546875" customWidth="1"/>
  </cols>
  <sheetData>
    <row r="1" spans="1:32" ht="14.4" x14ac:dyDescent="0.3">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row>
    <row r="2" spans="1:32" ht="18" x14ac:dyDescent="0.35">
      <c r="A2" s="8"/>
      <c r="B2" s="3067" t="s">
        <v>47</v>
      </c>
      <c r="C2" s="3068"/>
      <c r="D2" s="3068"/>
      <c r="E2" s="3068"/>
      <c r="F2" s="3068"/>
      <c r="G2" s="3068"/>
      <c r="H2" s="3069"/>
      <c r="I2" s="8"/>
      <c r="J2" s="3070" t="s">
        <v>1</v>
      </c>
      <c r="K2" s="2969"/>
      <c r="L2" s="8"/>
      <c r="M2" s="8"/>
      <c r="N2" s="8"/>
      <c r="O2" s="8"/>
      <c r="P2" s="8"/>
      <c r="Q2" s="8"/>
      <c r="R2" s="8"/>
      <c r="S2" s="8"/>
      <c r="T2" s="8"/>
      <c r="U2" s="8"/>
      <c r="V2" s="8"/>
      <c r="W2" s="8"/>
      <c r="X2" s="8"/>
      <c r="Y2" s="8"/>
      <c r="Z2" s="8"/>
      <c r="AA2" s="8"/>
      <c r="AB2" s="8"/>
      <c r="AC2" s="8"/>
      <c r="AD2" s="8"/>
      <c r="AE2" s="8"/>
      <c r="AF2" s="8"/>
    </row>
    <row r="3" spans="1:32" ht="14.4" x14ac:dyDescent="0.3">
      <c r="A3" s="8"/>
      <c r="B3" s="8"/>
      <c r="C3" s="8"/>
      <c r="D3" s="8"/>
      <c r="E3" s="8"/>
      <c r="F3" s="8"/>
      <c r="G3" s="8"/>
      <c r="H3" s="8"/>
      <c r="I3" s="8"/>
      <c r="J3" s="11"/>
      <c r="K3" s="11" t="str">
        <f>Summary!$E3</f>
        <v>AR5 100-yr GWP</v>
      </c>
      <c r="L3" s="8"/>
      <c r="M3" s="8"/>
      <c r="N3" s="8"/>
      <c r="O3" s="8"/>
      <c r="P3" s="8"/>
      <c r="Q3" s="8"/>
      <c r="R3" s="8"/>
      <c r="S3" s="8"/>
      <c r="T3" s="8"/>
      <c r="U3" s="8"/>
      <c r="V3" s="8"/>
      <c r="W3" s="8"/>
      <c r="X3" s="8"/>
      <c r="Y3" s="8"/>
      <c r="Z3" s="8"/>
      <c r="AA3" s="8"/>
      <c r="AB3" s="8"/>
      <c r="AC3" s="8"/>
      <c r="AD3" s="8"/>
      <c r="AE3" s="8"/>
      <c r="AF3" s="8"/>
    </row>
    <row r="4" spans="1:32" ht="14.4" x14ac:dyDescent="0.3">
      <c r="A4" s="8"/>
      <c r="B4" s="8"/>
      <c r="C4" s="8"/>
      <c r="D4" s="8"/>
      <c r="E4" s="8"/>
      <c r="F4" s="8"/>
      <c r="G4" s="8"/>
      <c r="H4" s="8"/>
      <c r="I4" s="8"/>
      <c r="J4" s="11" t="s">
        <v>4</v>
      </c>
      <c r="K4" s="12">
        <f>Summary!$E$4</f>
        <v>1</v>
      </c>
      <c r="L4" s="8"/>
      <c r="M4" s="8"/>
      <c r="N4" s="8"/>
      <c r="O4" s="8"/>
      <c r="P4" s="8"/>
      <c r="Q4" s="8"/>
      <c r="R4" s="8"/>
      <c r="S4" s="8"/>
      <c r="T4" s="8"/>
      <c r="U4" s="8"/>
      <c r="V4" s="8"/>
      <c r="W4" s="8"/>
      <c r="X4" s="8"/>
      <c r="Y4" s="8"/>
      <c r="Z4" s="8"/>
      <c r="AA4" s="8"/>
      <c r="AB4" s="8"/>
      <c r="AC4" s="8"/>
      <c r="AD4" s="8"/>
      <c r="AE4" s="8"/>
      <c r="AF4" s="8"/>
    </row>
    <row r="5" spans="1:32" ht="14.4" x14ac:dyDescent="0.3">
      <c r="A5" s="8"/>
      <c r="B5" s="8"/>
      <c r="C5" s="8"/>
      <c r="D5" s="8"/>
      <c r="E5" s="8"/>
      <c r="F5" s="8"/>
      <c r="G5" s="8"/>
      <c r="H5" s="8"/>
      <c r="I5" s="8"/>
      <c r="J5" s="11" t="s">
        <v>5</v>
      </c>
      <c r="K5" s="12">
        <f>Summary!$E$5</f>
        <v>28</v>
      </c>
      <c r="L5" s="8"/>
      <c r="M5" s="8"/>
      <c r="N5" s="8"/>
      <c r="O5" s="8"/>
      <c r="P5" s="8"/>
      <c r="Q5" s="8"/>
      <c r="R5" s="8"/>
      <c r="S5" s="8"/>
      <c r="T5" s="8"/>
      <c r="U5" s="8"/>
      <c r="V5" s="8"/>
      <c r="W5" s="8"/>
      <c r="X5" s="8"/>
      <c r="Y5" s="8"/>
      <c r="Z5" s="8"/>
      <c r="AA5" s="8"/>
      <c r="AB5" s="8"/>
      <c r="AC5" s="8"/>
      <c r="AD5" s="8"/>
      <c r="AE5" s="8"/>
      <c r="AF5" s="8"/>
    </row>
    <row r="6" spans="1:32" ht="14.4" x14ac:dyDescent="0.3">
      <c r="A6" s="8"/>
      <c r="C6" s="8"/>
      <c r="D6" s="8"/>
      <c r="E6" s="8"/>
      <c r="F6" s="8"/>
      <c r="G6" s="8"/>
      <c r="H6" s="8"/>
      <c r="I6" s="8"/>
      <c r="J6" s="11" t="s">
        <v>6</v>
      </c>
      <c r="K6" s="12">
        <f>Summary!$E$6</f>
        <v>265</v>
      </c>
      <c r="L6" s="8"/>
      <c r="M6" s="8"/>
      <c r="N6" s="8"/>
      <c r="O6" s="8"/>
      <c r="P6" s="8"/>
      <c r="Q6" s="8"/>
      <c r="R6" s="8"/>
      <c r="S6" s="8"/>
      <c r="T6" s="8"/>
      <c r="U6" s="8"/>
      <c r="V6" s="8"/>
      <c r="W6" s="8"/>
      <c r="X6" s="8"/>
      <c r="Y6" s="8"/>
      <c r="Z6" s="8"/>
      <c r="AA6" s="8"/>
      <c r="AB6" s="8"/>
      <c r="AC6" s="8"/>
      <c r="AD6" s="8"/>
      <c r="AE6" s="8"/>
      <c r="AF6" s="8"/>
    </row>
    <row r="7" spans="1:32" ht="14.4" x14ac:dyDescent="0.3">
      <c r="A7" s="8"/>
      <c r="C7" s="8"/>
      <c r="D7" s="8"/>
      <c r="E7" s="8"/>
      <c r="F7" s="8"/>
      <c r="G7" s="8"/>
      <c r="H7" s="8"/>
      <c r="I7" s="8"/>
      <c r="J7" s="11" t="s">
        <v>7</v>
      </c>
      <c r="K7" s="13">
        <f>Summary!$E$7</f>
        <v>23500</v>
      </c>
      <c r="L7" s="8"/>
      <c r="M7" s="8"/>
      <c r="N7" s="8"/>
      <c r="O7" s="8"/>
      <c r="P7" s="8"/>
      <c r="Q7" s="8"/>
      <c r="R7" s="8"/>
      <c r="S7" s="8"/>
      <c r="T7" s="8"/>
      <c r="U7" s="8"/>
      <c r="V7" s="8"/>
      <c r="W7" s="8"/>
      <c r="X7" s="8"/>
      <c r="Y7" s="8"/>
      <c r="Z7" s="8"/>
      <c r="AA7" s="8"/>
      <c r="AB7" s="8"/>
      <c r="AC7" s="8"/>
      <c r="AD7" s="8"/>
      <c r="AE7" s="8"/>
      <c r="AF7" s="8"/>
    </row>
    <row r="8" spans="1:32" ht="14.4" x14ac:dyDescent="0.3">
      <c r="A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row>
    <row r="9" spans="1:32" ht="14.4" x14ac:dyDescent="0.3">
      <c r="A9" s="8"/>
      <c r="B9" s="14" t="s">
        <v>37</v>
      </c>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row>
    <row r="10" spans="1:32" ht="14.4" x14ac:dyDescent="0.3">
      <c r="A10" s="8"/>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row>
    <row r="11" spans="1:32" ht="14.4" x14ac:dyDescent="0.3">
      <c r="A11" s="8"/>
      <c r="B11" s="16" t="s">
        <v>48</v>
      </c>
      <c r="C11" s="17"/>
      <c r="D11" s="17"/>
      <c r="E11" s="17"/>
      <c r="F11" s="17"/>
      <c r="G11" s="8"/>
      <c r="H11" s="8"/>
      <c r="I11" s="8"/>
      <c r="J11" s="8"/>
      <c r="K11" s="8"/>
      <c r="L11" s="8"/>
      <c r="M11" s="8"/>
      <c r="N11" s="8"/>
      <c r="O11" s="8"/>
      <c r="P11" s="8"/>
      <c r="Q11" s="8"/>
      <c r="R11" s="8"/>
      <c r="S11" s="8"/>
      <c r="T11" s="8"/>
      <c r="U11" s="8"/>
      <c r="V11" s="8"/>
      <c r="W11" s="8"/>
      <c r="X11" s="8"/>
      <c r="Y11" s="8"/>
      <c r="Z11" s="8"/>
      <c r="AA11" s="8"/>
      <c r="AB11" s="8"/>
      <c r="AC11" s="8"/>
      <c r="AD11" s="8"/>
      <c r="AE11" s="8"/>
      <c r="AF11" s="8"/>
    </row>
    <row r="12" spans="1:32" ht="48.6" x14ac:dyDescent="0.3">
      <c r="A12" s="8"/>
      <c r="B12" s="18" t="s">
        <v>49</v>
      </c>
      <c r="C12" s="18" t="s">
        <v>50</v>
      </c>
      <c r="D12" s="18" t="s">
        <v>51</v>
      </c>
      <c r="E12" s="18" t="s">
        <v>52</v>
      </c>
      <c r="F12" s="18" t="s">
        <v>53</v>
      </c>
      <c r="G12" s="18" t="s">
        <v>54</v>
      </c>
      <c r="H12" s="8"/>
      <c r="I12" s="8"/>
      <c r="J12" s="8"/>
      <c r="K12" s="8"/>
      <c r="L12" s="8"/>
      <c r="M12" s="8"/>
      <c r="N12" s="8"/>
      <c r="O12" s="8"/>
      <c r="P12" s="8"/>
      <c r="Q12" s="8"/>
      <c r="R12" s="8"/>
      <c r="S12" s="8"/>
      <c r="T12" s="8"/>
      <c r="U12" s="8"/>
      <c r="V12" s="8"/>
      <c r="W12" s="8"/>
      <c r="X12" s="8"/>
      <c r="Y12" s="8"/>
      <c r="Z12" s="8"/>
      <c r="AA12" s="8"/>
      <c r="AB12" s="8"/>
      <c r="AC12" s="8"/>
      <c r="AD12" s="8"/>
      <c r="AE12" s="8"/>
      <c r="AF12" s="8"/>
    </row>
    <row r="13" spans="1:32" ht="14.4" x14ac:dyDescent="0.3">
      <c r="A13" s="8"/>
      <c r="B13" s="19">
        <v>1990</v>
      </c>
      <c r="C13" s="19">
        <v>77.749999999999986</v>
      </c>
      <c r="D13" s="19">
        <v>1.7749999999999999</v>
      </c>
      <c r="E13" s="19">
        <v>2.17</v>
      </c>
      <c r="F13" s="19">
        <v>-0.48599999999999999</v>
      </c>
      <c r="G13" s="19">
        <v>9.0999999999999998E-2</v>
      </c>
      <c r="H13" s="8"/>
      <c r="I13" s="8"/>
      <c r="J13" s="8"/>
      <c r="K13" s="8"/>
      <c r="L13" s="8"/>
      <c r="M13" s="8"/>
      <c r="N13" s="8"/>
      <c r="O13" s="8"/>
      <c r="P13" s="8"/>
      <c r="Q13" s="8"/>
      <c r="R13" s="8"/>
      <c r="S13" s="8"/>
      <c r="T13" s="8"/>
      <c r="U13" s="8"/>
      <c r="V13" s="8"/>
      <c r="W13" s="8"/>
      <c r="X13" s="8"/>
      <c r="Y13" s="8"/>
      <c r="Z13" s="8"/>
      <c r="AA13" s="8"/>
      <c r="AB13" s="8"/>
      <c r="AC13" s="8"/>
      <c r="AD13" s="8"/>
      <c r="AE13" s="8"/>
      <c r="AF13" s="8"/>
    </row>
    <row r="14" spans="1:32" ht="14.4" x14ac:dyDescent="0.3">
      <c r="A14" s="8"/>
      <c r="B14" s="19">
        <v>1991</v>
      </c>
      <c r="C14" s="19">
        <v>77.325999999999979</v>
      </c>
      <c r="D14" s="19">
        <v>-0.42399999999999999</v>
      </c>
      <c r="E14" s="19">
        <v>0.13900000000000001</v>
      </c>
      <c r="F14" s="19">
        <v>-0.629</v>
      </c>
      <c r="G14" s="19">
        <v>6.6000000000000003E-2</v>
      </c>
      <c r="H14" s="8"/>
      <c r="I14" s="8"/>
      <c r="J14" s="8"/>
      <c r="K14" s="8"/>
      <c r="L14" s="8"/>
      <c r="M14" s="8"/>
      <c r="N14" s="8"/>
      <c r="O14" s="8"/>
      <c r="P14" s="8"/>
      <c r="Q14" s="8"/>
      <c r="R14" s="8"/>
      <c r="S14" s="8"/>
      <c r="T14" s="8"/>
      <c r="U14" s="8"/>
      <c r="V14" s="8"/>
      <c r="W14" s="8"/>
      <c r="X14" s="8"/>
      <c r="Y14" s="8"/>
      <c r="Z14" s="8"/>
      <c r="AA14" s="8"/>
      <c r="AB14" s="8"/>
      <c r="AC14" s="8"/>
      <c r="AD14" s="8"/>
      <c r="AE14" s="8"/>
      <c r="AF14" s="8"/>
    </row>
    <row r="15" spans="1:32" ht="14.4" x14ac:dyDescent="0.3">
      <c r="A15" s="8"/>
      <c r="B15" s="19">
        <v>1992</v>
      </c>
      <c r="C15" s="19">
        <v>78.787999999999982</v>
      </c>
      <c r="D15" s="19">
        <v>1.462</v>
      </c>
      <c r="E15" s="19">
        <v>1.992</v>
      </c>
      <c r="F15" s="19">
        <v>-0.57499999999999996</v>
      </c>
      <c r="G15" s="19">
        <v>4.4999999999999998E-2</v>
      </c>
      <c r="H15" s="8"/>
      <c r="I15" s="8"/>
      <c r="J15" s="8"/>
      <c r="K15" s="8"/>
      <c r="L15" s="8"/>
      <c r="M15" s="8"/>
      <c r="N15" s="8"/>
      <c r="O15" s="8"/>
      <c r="P15" s="8"/>
      <c r="Q15" s="8"/>
      <c r="R15" s="8"/>
      <c r="S15" s="8"/>
      <c r="T15" s="8"/>
      <c r="U15" s="8"/>
      <c r="V15" s="8"/>
      <c r="W15" s="8"/>
      <c r="X15" s="8"/>
      <c r="Y15" s="8"/>
      <c r="Z15" s="8"/>
      <c r="AA15" s="8"/>
      <c r="AB15" s="8"/>
      <c r="AC15" s="8"/>
      <c r="AD15" s="8"/>
      <c r="AE15" s="8"/>
      <c r="AF15" s="8"/>
    </row>
    <row r="16" spans="1:32" ht="14.4" x14ac:dyDescent="0.3">
      <c r="A16" s="8"/>
      <c r="B16" s="19">
        <v>1993</v>
      </c>
      <c r="C16" s="19">
        <v>79.950999999999979</v>
      </c>
      <c r="D16" s="19">
        <v>1.163</v>
      </c>
      <c r="E16" s="19">
        <v>1.665</v>
      </c>
      <c r="F16" s="19">
        <v>-0.53500000000000003</v>
      </c>
      <c r="G16" s="19">
        <v>3.3000000000000002E-2</v>
      </c>
      <c r="H16" s="8"/>
      <c r="I16" s="8"/>
      <c r="J16" s="8"/>
      <c r="K16" s="8"/>
      <c r="L16" s="8"/>
      <c r="M16" s="8"/>
      <c r="N16" s="8"/>
      <c r="O16" s="8"/>
      <c r="P16" s="8"/>
      <c r="Q16" s="8"/>
      <c r="R16" s="8"/>
      <c r="S16" s="8"/>
      <c r="T16" s="8"/>
      <c r="U16" s="8"/>
      <c r="V16" s="8"/>
      <c r="W16" s="8"/>
      <c r="X16" s="8"/>
      <c r="Y16" s="8"/>
      <c r="Z16" s="8"/>
      <c r="AA16" s="8"/>
      <c r="AB16" s="8"/>
      <c r="AC16" s="8"/>
      <c r="AD16" s="8"/>
      <c r="AE16" s="8"/>
      <c r="AF16" s="8"/>
    </row>
    <row r="17" spans="1:32" ht="14.4" x14ac:dyDescent="0.3">
      <c r="A17" s="8"/>
      <c r="B17" s="19">
        <v>1994</v>
      </c>
      <c r="C17" s="19">
        <v>81.604999999999976</v>
      </c>
      <c r="D17" s="19">
        <v>1.6539999999999999</v>
      </c>
      <c r="E17" s="19">
        <v>2.0619999999999998</v>
      </c>
      <c r="F17" s="19">
        <v>-0.45500000000000002</v>
      </c>
      <c r="G17" s="19">
        <v>4.7E-2</v>
      </c>
      <c r="H17" s="8"/>
      <c r="I17" s="8"/>
      <c r="J17" s="8"/>
      <c r="K17" s="8"/>
      <c r="L17" s="8"/>
      <c r="M17" s="8"/>
      <c r="N17" s="8"/>
      <c r="O17" s="8"/>
      <c r="P17" s="8"/>
      <c r="Q17" s="8"/>
      <c r="R17" s="8"/>
      <c r="S17" s="8"/>
      <c r="T17" s="8"/>
      <c r="U17" s="8"/>
      <c r="V17" s="8"/>
      <c r="W17" s="8"/>
      <c r="X17" s="8"/>
      <c r="Y17" s="8"/>
      <c r="Z17" s="8"/>
      <c r="AA17" s="8"/>
      <c r="AB17" s="8"/>
      <c r="AC17" s="8"/>
      <c r="AD17" s="8"/>
      <c r="AE17" s="8"/>
      <c r="AF17" s="8"/>
    </row>
    <row r="18" spans="1:32" ht="14.4" x14ac:dyDescent="0.3">
      <c r="A18" s="8"/>
      <c r="B18" s="19">
        <v>1995</v>
      </c>
      <c r="C18" s="19">
        <v>82.650999999999982</v>
      </c>
      <c r="D18" s="19">
        <v>1.046</v>
      </c>
      <c r="E18" s="19">
        <v>1.4339999999999999</v>
      </c>
      <c r="F18" s="19">
        <v>-0.42299999999999999</v>
      </c>
      <c r="G18" s="19">
        <v>3.5000000000000003E-2</v>
      </c>
      <c r="H18" s="8"/>
      <c r="I18" s="8"/>
      <c r="J18" s="8"/>
      <c r="K18" s="8"/>
      <c r="L18" s="8"/>
      <c r="M18" s="8"/>
      <c r="N18" s="8"/>
      <c r="O18" s="8"/>
      <c r="P18" s="8"/>
      <c r="Q18" s="8"/>
      <c r="R18" s="8"/>
      <c r="S18" s="8"/>
      <c r="T18" s="8"/>
      <c r="U18" s="8"/>
      <c r="V18" s="8"/>
      <c r="W18" s="8"/>
      <c r="X18" s="8"/>
      <c r="Y18" s="8"/>
      <c r="Z18" s="8"/>
      <c r="AA18" s="8"/>
      <c r="AB18" s="8"/>
      <c r="AC18" s="8"/>
      <c r="AD18" s="8"/>
      <c r="AE18" s="8"/>
      <c r="AF18" s="8"/>
    </row>
    <row r="19" spans="1:32" ht="14.4" x14ac:dyDescent="0.3">
      <c r="A19" s="8"/>
      <c r="B19" s="19">
        <v>1996</v>
      </c>
      <c r="C19" s="19">
        <v>84.711999999999989</v>
      </c>
      <c r="D19" s="19">
        <v>2.0609999999999999</v>
      </c>
      <c r="E19" s="19">
        <v>2.38</v>
      </c>
      <c r="F19" s="19">
        <v>-0.38500000000000001</v>
      </c>
      <c r="G19" s="19">
        <v>6.6000000000000003E-2</v>
      </c>
      <c r="H19" s="8"/>
      <c r="I19" s="8"/>
      <c r="J19" s="8"/>
      <c r="K19" s="8"/>
      <c r="L19" s="8"/>
      <c r="M19" s="8"/>
      <c r="N19" s="8"/>
      <c r="O19" s="8"/>
      <c r="P19" s="8"/>
      <c r="Q19" s="8"/>
      <c r="R19" s="8"/>
      <c r="S19" s="8"/>
      <c r="T19" s="8"/>
      <c r="U19" s="8"/>
      <c r="V19" s="8"/>
      <c r="W19" s="8"/>
      <c r="X19" s="8"/>
      <c r="Y19" s="8"/>
      <c r="Z19" s="8"/>
      <c r="AA19" s="8"/>
      <c r="AB19" s="8"/>
      <c r="AC19" s="8"/>
      <c r="AD19" s="8"/>
      <c r="AE19" s="8"/>
      <c r="AF19" s="8"/>
    </row>
    <row r="20" spans="1:32" ht="14.4" x14ac:dyDescent="0.3">
      <c r="A20" s="8"/>
      <c r="B20" s="19">
        <v>1997</v>
      </c>
      <c r="C20" s="19">
        <v>86.071999999999989</v>
      </c>
      <c r="D20" s="19">
        <v>1.36</v>
      </c>
      <c r="E20" s="19">
        <v>1.9039999999999999</v>
      </c>
      <c r="F20" s="19">
        <v>-0.56299999999999994</v>
      </c>
      <c r="G20" s="19">
        <v>1.9E-2</v>
      </c>
      <c r="H20" s="8"/>
      <c r="I20" s="8"/>
      <c r="J20" s="8"/>
      <c r="K20" s="8"/>
      <c r="L20" s="8"/>
      <c r="M20" s="8"/>
      <c r="N20" s="8"/>
      <c r="O20" s="8"/>
      <c r="P20" s="8"/>
      <c r="Q20" s="8"/>
      <c r="R20" s="8"/>
      <c r="S20" s="8"/>
      <c r="T20" s="8"/>
      <c r="U20" s="8"/>
      <c r="V20" s="8"/>
      <c r="W20" s="8"/>
      <c r="X20" s="8"/>
      <c r="Y20" s="8"/>
      <c r="Z20" s="8"/>
      <c r="AA20" s="8"/>
      <c r="AB20" s="8"/>
      <c r="AC20" s="8"/>
      <c r="AD20" s="8"/>
      <c r="AE20" s="8"/>
      <c r="AF20" s="8"/>
    </row>
    <row r="21" spans="1:32" ht="14.4" x14ac:dyDescent="0.3">
      <c r="A21" s="8"/>
      <c r="B21" s="19">
        <v>1998</v>
      </c>
      <c r="C21" s="19">
        <v>87.058999999999983</v>
      </c>
      <c r="D21" s="19">
        <v>0.98699999999999999</v>
      </c>
      <c r="E21" s="19">
        <v>1.6160000000000001</v>
      </c>
      <c r="F21" s="19">
        <v>-0.64500000000000002</v>
      </c>
      <c r="G21" s="19">
        <v>1.6E-2</v>
      </c>
      <c r="H21" s="8"/>
      <c r="I21" s="8"/>
      <c r="J21" s="8"/>
      <c r="K21" s="8"/>
      <c r="L21" s="8"/>
      <c r="M21" s="8"/>
      <c r="N21" s="8"/>
      <c r="O21" s="8"/>
      <c r="P21" s="8"/>
      <c r="Q21" s="8"/>
      <c r="R21" s="8"/>
      <c r="S21" s="8"/>
      <c r="T21" s="8"/>
      <c r="U21" s="8"/>
      <c r="V21" s="8"/>
      <c r="W21" s="8"/>
      <c r="X21" s="8"/>
      <c r="Y21" s="8"/>
      <c r="Z21" s="8"/>
      <c r="AA21" s="8"/>
      <c r="AB21" s="8"/>
      <c r="AC21" s="8"/>
      <c r="AD21" s="8"/>
      <c r="AE21" s="8"/>
      <c r="AF21" s="8"/>
    </row>
    <row r="22" spans="1:32" ht="14.4" x14ac:dyDescent="0.3">
      <c r="A22" s="8"/>
      <c r="B22" s="19">
        <v>1999</v>
      </c>
      <c r="C22" s="19">
        <v>87.842999999999989</v>
      </c>
      <c r="D22" s="19">
        <v>0.78400000000000003</v>
      </c>
      <c r="E22" s="19">
        <v>1.2929999999999999</v>
      </c>
      <c r="F22" s="19">
        <v>-0.52900000000000003</v>
      </c>
      <c r="G22" s="19">
        <v>0.02</v>
      </c>
      <c r="H22" s="8"/>
      <c r="I22" s="8"/>
      <c r="J22" s="8"/>
      <c r="K22" s="8"/>
      <c r="L22" s="8"/>
      <c r="M22" s="8"/>
      <c r="N22" s="8"/>
      <c r="O22" s="8"/>
      <c r="P22" s="8"/>
      <c r="Q22" s="8"/>
      <c r="R22" s="8"/>
      <c r="S22" s="8"/>
      <c r="T22" s="8"/>
      <c r="U22" s="8"/>
      <c r="V22" s="8"/>
      <c r="W22" s="8"/>
      <c r="X22" s="8"/>
      <c r="Y22" s="8"/>
      <c r="Z22" s="8"/>
      <c r="AA22" s="8"/>
      <c r="AB22" s="8"/>
      <c r="AC22" s="8"/>
      <c r="AD22" s="8"/>
      <c r="AE22" s="8"/>
      <c r="AF22" s="8"/>
    </row>
    <row r="23" spans="1:32" ht="14.4" x14ac:dyDescent="0.3">
      <c r="A23" s="8"/>
      <c r="B23" s="19">
        <v>2000</v>
      </c>
      <c r="C23" s="19">
        <v>90.038999999999987</v>
      </c>
      <c r="D23" s="19">
        <v>2.1960000000000002</v>
      </c>
      <c r="E23" s="19">
        <v>2.645</v>
      </c>
      <c r="F23" s="19">
        <v>-0.50600000000000001</v>
      </c>
      <c r="G23" s="19">
        <v>5.7000000000000002E-2</v>
      </c>
      <c r="H23" s="8"/>
      <c r="I23" s="8"/>
      <c r="J23" s="8"/>
      <c r="K23" s="8"/>
      <c r="L23" s="8"/>
      <c r="M23" s="8"/>
      <c r="N23" s="8"/>
      <c r="O23" s="8"/>
      <c r="P23" s="8"/>
      <c r="Q23" s="8"/>
      <c r="R23" s="8"/>
      <c r="S23" s="8"/>
      <c r="T23" s="8"/>
      <c r="U23" s="8"/>
      <c r="V23" s="8"/>
      <c r="W23" s="8"/>
      <c r="X23" s="8"/>
      <c r="Y23" s="8"/>
      <c r="Z23" s="8"/>
      <c r="AA23" s="8"/>
      <c r="AB23" s="8"/>
      <c r="AC23" s="8"/>
      <c r="AD23" s="8"/>
      <c r="AE23" s="8"/>
      <c r="AF23" s="8"/>
    </row>
    <row r="24" spans="1:32" ht="14.4" x14ac:dyDescent="0.3">
      <c r="A24" s="8"/>
      <c r="B24" s="19">
        <v>2001</v>
      </c>
      <c r="C24" s="19">
        <v>92.091999999999985</v>
      </c>
      <c r="D24" s="19">
        <v>2.0529999999999999</v>
      </c>
      <c r="E24" s="19">
        <v>2.6379999999999999</v>
      </c>
      <c r="F24" s="19">
        <v>-0.60399999999999998</v>
      </c>
      <c r="G24" s="19">
        <v>1.9E-2</v>
      </c>
      <c r="H24" s="8"/>
      <c r="I24" s="8"/>
      <c r="J24" s="8"/>
      <c r="K24" s="8"/>
      <c r="L24" s="8"/>
      <c r="M24" s="8"/>
      <c r="N24" s="8"/>
      <c r="O24" s="8"/>
      <c r="P24" s="8"/>
      <c r="Q24" s="8"/>
      <c r="R24" s="8"/>
      <c r="S24" s="8"/>
      <c r="T24" s="8"/>
      <c r="U24" s="8"/>
      <c r="V24" s="8"/>
      <c r="W24" s="8"/>
      <c r="X24" s="8"/>
      <c r="Y24" s="8"/>
      <c r="Z24" s="8"/>
      <c r="AA24" s="8"/>
      <c r="AB24" s="8"/>
      <c r="AC24" s="8"/>
      <c r="AD24" s="8"/>
      <c r="AE24" s="8"/>
      <c r="AF24" s="8"/>
    </row>
    <row r="25" spans="1:32" ht="14.4" x14ac:dyDescent="0.3">
      <c r="A25" s="8"/>
      <c r="B25" s="19">
        <v>2002</v>
      </c>
      <c r="C25" s="19">
        <v>92.387999999999991</v>
      </c>
      <c r="D25" s="19">
        <v>0.29599999999999999</v>
      </c>
      <c r="E25" s="19">
        <v>1.038</v>
      </c>
      <c r="F25" s="19">
        <v>-0.75700000000000001</v>
      </c>
      <c r="G25" s="19">
        <v>1.4999999999999999E-2</v>
      </c>
      <c r="H25" s="8"/>
      <c r="I25" s="8"/>
      <c r="J25" s="8"/>
      <c r="K25" s="8"/>
      <c r="L25" s="8"/>
      <c r="M25" s="8"/>
      <c r="N25" s="8"/>
      <c r="O25" s="8"/>
      <c r="P25" s="8"/>
      <c r="Q25" s="8"/>
      <c r="R25" s="8"/>
      <c r="S25" s="8"/>
      <c r="T25" s="8"/>
      <c r="U25" s="8"/>
      <c r="V25" s="8"/>
      <c r="W25" s="8"/>
      <c r="X25" s="8"/>
      <c r="Y25" s="8"/>
      <c r="Z25" s="8"/>
      <c r="AA25" s="8"/>
      <c r="AB25" s="8"/>
      <c r="AC25" s="8"/>
      <c r="AD25" s="8"/>
      <c r="AE25" s="8"/>
      <c r="AF25" s="8"/>
    </row>
    <row r="26" spans="1:32" ht="14.4" x14ac:dyDescent="0.3">
      <c r="A26" s="8"/>
      <c r="B26" s="19">
        <v>2003</v>
      </c>
      <c r="C26" s="19">
        <v>94.254999999999995</v>
      </c>
      <c r="D26" s="19">
        <v>1.867</v>
      </c>
      <c r="E26" s="19">
        <v>2.5139999999999998</v>
      </c>
      <c r="F26" s="19">
        <v>-0.68899999999999995</v>
      </c>
      <c r="G26" s="19">
        <v>4.2000000000000003E-2</v>
      </c>
      <c r="H26" s="8"/>
      <c r="I26" s="8"/>
      <c r="J26" s="8"/>
      <c r="K26" s="8"/>
      <c r="L26" s="8"/>
      <c r="M26" s="8"/>
      <c r="N26" s="8"/>
      <c r="O26" s="8"/>
      <c r="P26" s="8"/>
      <c r="Q26" s="8"/>
      <c r="R26" s="8"/>
      <c r="S26" s="8"/>
      <c r="T26" s="8"/>
      <c r="U26" s="8"/>
      <c r="V26" s="8"/>
      <c r="W26" s="8"/>
      <c r="X26" s="8"/>
      <c r="Y26" s="8"/>
      <c r="Z26" s="8"/>
      <c r="AA26" s="8"/>
      <c r="AB26" s="8"/>
      <c r="AC26" s="8"/>
      <c r="AD26" s="8"/>
      <c r="AE26" s="8"/>
      <c r="AF26" s="8"/>
    </row>
    <row r="27" spans="1:32" ht="14.4" x14ac:dyDescent="0.3">
      <c r="A27" s="8"/>
      <c r="B27" s="19">
        <v>2004</v>
      </c>
      <c r="C27" s="19">
        <v>96.039000000000001</v>
      </c>
      <c r="D27" s="19">
        <v>1.784</v>
      </c>
      <c r="E27" s="19">
        <v>2.3090000000000002</v>
      </c>
      <c r="F27" s="19">
        <v>-0.54600000000000004</v>
      </c>
      <c r="G27" s="19">
        <v>2.1000000000000001E-2</v>
      </c>
      <c r="H27" s="8"/>
      <c r="I27" s="8"/>
      <c r="J27" s="8"/>
      <c r="K27" s="8"/>
      <c r="L27" s="8"/>
      <c r="M27" s="8"/>
      <c r="N27" s="8"/>
      <c r="O27" s="8"/>
      <c r="P27" s="8"/>
      <c r="Q27" s="8"/>
      <c r="R27" s="8"/>
      <c r="S27" s="8"/>
      <c r="T27" s="8"/>
      <c r="U27" s="8"/>
      <c r="V27" s="8"/>
      <c r="W27" s="8"/>
      <c r="X27" s="8"/>
      <c r="Y27" s="8"/>
      <c r="Z27" s="8"/>
      <c r="AA27" s="8"/>
      <c r="AB27" s="8"/>
      <c r="AC27" s="8"/>
      <c r="AD27" s="8"/>
      <c r="AE27" s="8"/>
      <c r="AF27" s="8"/>
    </row>
    <row r="28" spans="1:32" ht="14.4" x14ac:dyDescent="0.3">
      <c r="A28" s="8"/>
      <c r="B28" s="19">
        <v>2005</v>
      </c>
      <c r="C28" s="19">
        <v>97.454000000000008</v>
      </c>
      <c r="D28" s="19">
        <v>1.415</v>
      </c>
      <c r="E28" s="19">
        <v>1.8480000000000001</v>
      </c>
      <c r="F28" s="19">
        <v>-0.46400000000000002</v>
      </c>
      <c r="G28" s="19">
        <v>3.1E-2</v>
      </c>
      <c r="H28" s="8"/>
      <c r="I28" s="8"/>
      <c r="J28" s="8"/>
      <c r="K28" s="8"/>
      <c r="L28" s="8"/>
      <c r="M28" s="8"/>
      <c r="N28" s="8"/>
      <c r="O28" s="8"/>
      <c r="P28" s="8"/>
      <c r="Q28" s="8"/>
      <c r="R28" s="8"/>
      <c r="S28" s="8"/>
      <c r="T28" s="8"/>
      <c r="U28" s="8"/>
      <c r="V28" s="8"/>
      <c r="W28" s="8"/>
      <c r="X28" s="8"/>
      <c r="Y28" s="8"/>
      <c r="Z28" s="8"/>
      <c r="AA28" s="8"/>
      <c r="AB28" s="8"/>
      <c r="AC28" s="8"/>
      <c r="AD28" s="8"/>
      <c r="AE28" s="8"/>
      <c r="AF28" s="8"/>
    </row>
    <row r="29" spans="1:32" ht="14.4" x14ac:dyDescent="0.3">
      <c r="A29" s="8"/>
      <c r="B29" s="19">
        <v>2006</v>
      </c>
      <c r="C29" s="19">
        <v>99.016000000000005</v>
      </c>
      <c r="D29" s="19">
        <v>1.5620000000000001</v>
      </c>
      <c r="E29" s="19">
        <v>1.95</v>
      </c>
      <c r="F29" s="19">
        <v>-0.41599999999999998</v>
      </c>
      <c r="G29" s="19">
        <v>2.8000000000000001E-2</v>
      </c>
      <c r="H29" s="8"/>
      <c r="I29" s="8"/>
      <c r="J29" s="8"/>
      <c r="K29" s="8"/>
      <c r="L29" s="8"/>
      <c r="M29" s="8"/>
      <c r="N29" s="8"/>
      <c r="O29" s="8"/>
      <c r="P29" s="8"/>
      <c r="Q29" s="8"/>
      <c r="R29" s="8"/>
      <c r="S29" s="8"/>
      <c r="T29" s="8"/>
      <c r="U29" s="8"/>
      <c r="V29" s="8"/>
      <c r="W29" s="8"/>
      <c r="X29" s="8"/>
      <c r="Y29" s="8"/>
      <c r="Z29" s="8"/>
      <c r="AA29" s="8"/>
      <c r="AB29" s="8"/>
      <c r="AC29" s="8"/>
      <c r="AD29" s="8"/>
      <c r="AE29" s="8"/>
      <c r="AF29" s="8"/>
    </row>
    <row r="30" spans="1:32" ht="14.4" x14ac:dyDescent="0.3">
      <c r="A30" s="8"/>
      <c r="B30" s="19">
        <v>2007</v>
      </c>
      <c r="C30" s="19">
        <v>99.903000000000006</v>
      </c>
      <c r="D30" s="19">
        <v>0.88700000000000001</v>
      </c>
      <c r="E30" s="19">
        <v>1.2729999999999999</v>
      </c>
      <c r="F30" s="19">
        <v>-0.40500000000000003</v>
      </c>
      <c r="G30" s="19">
        <v>1.9E-2</v>
      </c>
      <c r="H30" s="8"/>
      <c r="I30" s="8"/>
      <c r="J30" s="8"/>
      <c r="K30" s="8"/>
      <c r="L30" s="8"/>
      <c r="M30" s="8"/>
      <c r="N30" s="8"/>
      <c r="O30" s="8"/>
      <c r="P30" s="8"/>
      <c r="Q30" s="8"/>
      <c r="R30" s="8"/>
      <c r="S30" s="8"/>
      <c r="T30" s="8"/>
      <c r="U30" s="8"/>
      <c r="V30" s="8"/>
      <c r="W30" s="8"/>
      <c r="X30" s="8"/>
      <c r="Y30" s="8"/>
      <c r="Z30" s="8"/>
      <c r="AA30" s="8"/>
      <c r="AB30" s="8"/>
      <c r="AC30" s="8"/>
      <c r="AD30" s="8"/>
      <c r="AE30" s="8"/>
      <c r="AF30" s="8"/>
    </row>
    <row r="31" spans="1:32" ht="14.4" x14ac:dyDescent="0.3">
      <c r="A31" s="8"/>
      <c r="B31" s="19">
        <v>2008</v>
      </c>
      <c r="C31" s="19">
        <v>101.996</v>
      </c>
      <c r="D31" s="19">
        <v>2.093</v>
      </c>
      <c r="E31" s="19">
        <v>2.2850000000000001</v>
      </c>
      <c r="F31" s="19">
        <v>-0.214</v>
      </c>
      <c r="G31" s="19">
        <v>2.3E-2</v>
      </c>
      <c r="H31" s="8"/>
      <c r="I31" s="8"/>
      <c r="J31" s="8"/>
      <c r="K31" s="8"/>
      <c r="L31" s="8"/>
      <c r="M31" s="8"/>
      <c r="N31" s="8"/>
      <c r="O31" s="8"/>
      <c r="P31" s="8"/>
      <c r="Q31" s="8"/>
      <c r="R31" s="8"/>
      <c r="S31" s="8"/>
      <c r="T31" s="8"/>
      <c r="U31" s="8"/>
      <c r="V31" s="8"/>
      <c r="W31" s="8"/>
      <c r="X31" s="8"/>
      <c r="Y31" s="8"/>
      <c r="Z31" s="8"/>
      <c r="AA31" s="8"/>
      <c r="AB31" s="8"/>
      <c r="AC31" s="8"/>
      <c r="AD31" s="8"/>
      <c r="AE31" s="8"/>
      <c r="AF31" s="8"/>
    </row>
    <row r="32" spans="1:32" ht="14.4" x14ac:dyDescent="0.3">
      <c r="A32" s="8"/>
      <c r="B32" s="19">
        <v>2009</v>
      </c>
      <c r="C32" s="19">
        <v>104.76900000000001</v>
      </c>
      <c r="D32" s="19">
        <v>2.7730000000000001</v>
      </c>
      <c r="E32" s="19">
        <v>2.99</v>
      </c>
      <c r="F32" s="19">
        <v>-0.25</v>
      </c>
      <c r="G32" s="19">
        <v>3.3000000000000002E-2</v>
      </c>
      <c r="H32" s="8"/>
      <c r="I32" s="8"/>
      <c r="J32" s="8"/>
      <c r="K32" s="8"/>
      <c r="L32" s="8"/>
      <c r="M32" s="8"/>
      <c r="N32" s="8"/>
      <c r="O32" s="8"/>
      <c r="P32" s="8"/>
      <c r="Q32" s="8"/>
      <c r="R32" s="8"/>
      <c r="S32" s="8"/>
      <c r="T32" s="8"/>
      <c r="U32" s="8"/>
      <c r="V32" s="8"/>
      <c r="W32" s="8"/>
      <c r="X32" s="8"/>
      <c r="Y32" s="8"/>
      <c r="Z32" s="8"/>
      <c r="AA32" s="8"/>
      <c r="AB32" s="8"/>
      <c r="AC32" s="8"/>
      <c r="AD32" s="8"/>
      <c r="AE32" s="8"/>
      <c r="AF32" s="8"/>
    </row>
    <row r="33" spans="1:32" ht="14.4" x14ac:dyDescent="0.3">
      <c r="A33" s="8"/>
      <c r="B33" s="19">
        <v>2010</v>
      </c>
      <c r="C33" s="19">
        <v>105.93300000000001</v>
      </c>
      <c r="D33" s="19">
        <v>1.1639999999999999</v>
      </c>
      <c r="E33" s="19">
        <v>1.351</v>
      </c>
      <c r="F33" s="19">
        <v>-0.215</v>
      </c>
      <c r="G33" s="19">
        <v>2.8000000000000001E-2</v>
      </c>
      <c r="H33" s="8"/>
      <c r="I33" s="8"/>
      <c r="J33" s="8"/>
      <c r="K33" s="8"/>
      <c r="L33" s="8"/>
      <c r="M33" s="8"/>
      <c r="N33" s="8"/>
      <c r="O33" s="8"/>
      <c r="P33" s="8"/>
      <c r="Q33" s="8"/>
      <c r="R33" s="8"/>
      <c r="S33" s="8"/>
      <c r="T33" s="8"/>
      <c r="U33" s="8"/>
      <c r="V33" s="8"/>
      <c r="W33" s="8"/>
      <c r="X33" s="8"/>
      <c r="Y33" s="8"/>
      <c r="Z33" s="8"/>
      <c r="AA33" s="8"/>
      <c r="AB33" s="8"/>
      <c r="AC33" s="8"/>
      <c r="AD33" s="8"/>
      <c r="AE33" s="8"/>
      <c r="AF33" s="8"/>
    </row>
    <row r="34" spans="1:32" ht="14.4" x14ac:dyDescent="0.3">
      <c r="A34" s="8"/>
      <c r="B34" s="19">
        <v>2011</v>
      </c>
      <c r="C34" s="19">
        <v>107.676</v>
      </c>
      <c r="D34" s="19">
        <v>1.7430000000000001</v>
      </c>
      <c r="E34" s="19">
        <v>1.893</v>
      </c>
      <c r="F34" s="19">
        <v>-0.19700000000000001</v>
      </c>
      <c r="G34" s="19">
        <v>4.7E-2</v>
      </c>
      <c r="H34" s="8"/>
      <c r="I34" s="8"/>
      <c r="J34" s="8"/>
      <c r="K34" s="8"/>
      <c r="L34" s="8"/>
      <c r="M34" s="8"/>
      <c r="N34" s="8"/>
      <c r="O34" s="8"/>
      <c r="P34" s="8"/>
      <c r="Q34" s="8"/>
      <c r="R34" s="8"/>
      <c r="S34" s="8"/>
      <c r="T34" s="8"/>
      <c r="U34" s="8"/>
      <c r="V34" s="8"/>
      <c r="W34" s="8"/>
      <c r="X34" s="8"/>
      <c r="Y34" s="8"/>
      <c r="Z34" s="8"/>
      <c r="AA34" s="8"/>
      <c r="AB34" s="8"/>
      <c r="AC34" s="8"/>
      <c r="AD34" s="8"/>
      <c r="AE34" s="8"/>
      <c r="AF34" s="8"/>
    </row>
    <row r="35" spans="1:32" ht="14.4" x14ac:dyDescent="0.3">
      <c r="A35" s="8"/>
      <c r="B35" s="19">
        <v>2012</v>
      </c>
      <c r="C35" s="19">
        <v>109.625</v>
      </c>
      <c r="D35" s="19">
        <v>1.95</v>
      </c>
      <c r="E35" s="19">
        <v>2.3149999999999999</v>
      </c>
      <c r="F35" s="19">
        <v>-0.40100000000000002</v>
      </c>
      <c r="G35" s="19">
        <v>3.5999999999999997E-2</v>
      </c>
      <c r="H35" s="8"/>
      <c r="I35" s="8"/>
      <c r="J35" s="8"/>
      <c r="K35" s="8"/>
      <c r="L35" s="8"/>
      <c r="M35" s="8"/>
      <c r="N35" s="8"/>
      <c r="O35" s="8"/>
      <c r="P35" s="8"/>
      <c r="Q35" s="8"/>
      <c r="R35" s="8"/>
      <c r="S35" s="8"/>
      <c r="T35" s="8"/>
      <c r="U35" s="8"/>
      <c r="V35" s="8"/>
      <c r="W35" s="8"/>
      <c r="X35" s="8"/>
      <c r="Y35" s="8"/>
      <c r="Z35" s="8"/>
      <c r="AA35" s="8"/>
      <c r="AB35" s="8"/>
      <c r="AC35" s="8"/>
      <c r="AD35" s="8"/>
      <c r="AE35" s="8"/>
      <c r="AF35" s="8"/>
    </row>
    <row r="36" spans="1:32" ht="14.4" x14ac:dyDescent="0.3">
      <c r="A36" s="8"/>
      <c r="B36" s="19">
        <v>2013</v>
      </c>
      <c r="C36" s="19">
        <v>112.289</v>
      </c>
      <c r="D36" s="19">
        <v>2.6640000000000001</v>
      </c>
      <c r="E36" s="19">
        <v>2.7669999999999999</v>
      </c>
      <c r="F36" s="19">
        <v>-0.13</v>
      </c>
      <c r="G36" s="19">
        <v>2.7E-2</v>
      </c>
      <c r="H36" s="8"/>
      <c r="I36" s="8"/>
      <c r="J36" s="8"/>
      <c r="K36" s="8"/>
      <c r="L36" s="8"/>
      <c r="M36" s="8"/>
      <c r="N36" s="8"/>
      <c r="O36" s="8"/>
      <c r="P36" s="8"/>
      <c r="Q36" s="8"/>
      <c r="R36" s="8"/>
      <c r="S36" s="8"/>
      <c r="T36" s="8"/>
      <c r="U36" s="8"/>
      <c r="V36" s="8"/>
      <c r="W36" s="8"/>
      <c r="X36" s="8"/>
      <c r="Y36" s="8"/>
      <c r="Z36" s="8"/>
      <c r="AA36" s="8"/>
      <c r="AB36" s="8"/>
      <c r="AC36" s="8"/>
      <c r="AD36" s="8"/>
      <c r="AE36" s="8"/>
      <c r="AF36" s="8"/>
    </row>
    <row r="37" spans="1:32" ht="14.4" x14ac:dyDescent="0.3">
      <c r="A37" s="8"/>
      <c r="B37" s="19">
        <v>2014</v>
      </c>
      <c r="C37" s="19">
        <v>114.872</v>
      </c>
      <c r="D37" s="19">
        <v>2.5830000000000002</v>
      </c>
      <c r="E37" s="19">
        <v>2.7530000000000001</v>
      </c>
      <c r="F37" s="19">
        <v>-0.21</v>
      </c>
      <c r="G37" s="19">
        <v>4.1000000000000002E-2</v>
      </c>
      <c r="H37" s="8"/>
      <c r="I37" s="8"/>
      <c r="J37" s="8"/>
      <c r="K37" s="8"/>
      <c r="L37" s="8"/>
      <c r="M37" s="8"/>
      <c r="N37" s="8"/>
      <c r="O37" s="8"/>
      <c r="P37" s="8"/>
      <c r="Q37" s="8"/>
      <c r="R37" s="8"/>
      <c r="S37" s="8"/>
      <c r="T37" s="8"/>
      <c r="U37" s="8"/>
      <c r="V37" s="8"/>
      <c r="W37" s="8"/>
      <c r="X37" s="8"/>
      <c r="Y37" s="8"/>
      <c r="Z37" s="8"/>
      <c r="AA37" s="8"/>
      <c r="AB37" s="8"/>
      <c r="AC37" s="8"/>
      <c r="AD37" s="8"/>
      <c r="AE37" s="8"/>
      <c r="AF37" s="8"/>
    </row>
    <row r="38" spans="1:32" ht="14.4" x14ac:dyDescent="0.3">
      <c r="A38" s="8"/>
      <c r="B38" s="19">
        <v>2015</v>
      </c>
      <c r="C38" s="19">
        <v>117.636</v>
      </c>
      <c r="D38" s="19">
        <v>2.7639999999999998</v>
      </c>
      <c r="E38" s="19">
        <v>3.0139999999999998</v>
      </c>
      <c r="F38" s="19">
        <v>-0.28399999999999997</v>
      </c>
      <c r="G38" s="19">
        <v>3.5000000000000003E-2</v>
      </c>
      <c r="H38" s="8"/>
      <c r="I38" s="8"/>
      <c r="J38" s="8"/>
      <c r="K38" s="8"/>
      <c r="L38" s="8"/>
      <c r="M38" s="8"/>
      <c r="N38" s="8"/>
      <c r="O38" s="8"/>
      <c r="P38" s="8"/>
      <c r="Q38" s="8"/>
      <c r="R38" s="8"/>
      <c r="S38" s="8"/>
      <c r="T38" s="8"/>
      <c r="U38" s="8"/>
      <c r="V38" s="8"/>
      <c r="W38" s="8"/>
      <c r="X38" s="8"/>
      <c r="Y38" s="8"/>
      <c r="Z38" s="8"/>
      <c r="AA38" s="8"/>
      <c r="AB38" s="8"/>
      <c r="AC38" s="8"/>
      <c r="AD38" s="8"/>
      <c r="AE38" s="8"/>
      <c r="AF38" s="8"/>
    </row>
    <row r="39" spans="1:32" ht="14.4" x14ac:dyDescent="0.3">
      <c r="A39" s="8"/>
      <c r="B39" s="19">
        <v>2016</v>
      </c>
      <c r="C39" s="19">
        <v>117.982</v>
      </c>
      <c r="D39" s="19">
        <v>0.34599999999999997</v>
      </c>
      <c r="E39" s="19">
        <v>0.996</v>
      </c>
      <c r="F39" s="19">
        <v>-0.68</v>
      </c>
      <c r="G39" s="19">
        <v>0.03</v>
      </c>
      <c r="H39" s="8"/>
      <c r="I39" s="8"/>
      <c r="J39" s="8"/>
      <c r="K39" s="8"/>
      <c r="L39" s="8"/>
      <c r="M39" s="8"/>
      <c r="N39" s="8"/>
      <c r="O39" s="8"/>
      <c r="P39" s="8"/>
      <c r="Q39" s="8"/>
      <c r="R39" s="8"/>
      <c r="S39" s="8"/>
      <c r="T39" s="8"/>
      <c r="U39" s="8"/>
      <c r="V39" s="8"/>
      <c r="W39" s="8"/>
      <c r="X39" s="8"/>
      <c r="Y39" s="8"/>
      <c r="Z39" s="8"/>
      <c r="AA39" s="8"/>
      <c r="AB39" s="8"/>
      <c r="AC39" s="8"/>
      <c r="AD39" s="8"/>
      <c r="AE39" s="8"/>
      <c r="AF39" s="8"/>
    </row>
    <row r="40" spans="1:32" ht="14.4" x14ac:dyDescent="0.3">
      <c r="A40" s="8"/>
      <c r="B40" s="19">
        <v>2017</v>
      </c>
      <c r="C40" s="19">
        <v>119.252</v>
      </c>
      <c r="D40" s="19">
        <v>1.27</v>
      </c>
      <c r="E40" s="19" t="s">
        <v>55</v>
      </c>
      <c r="F40" s="19" t="s">
        <v>55</v>
      </c>
      <c r="G40" s="19" t="s">
        <v>55</v>
      </c>
      <c r="H40" s="8"/>
      <c r="I40" s="8"/>
      <c r="J40" s="8"/>
      <c r="K40" s="8"/>
      <c r="L40" s="8"/>
      <c r="M40" s="8"/>
      <c r="N40" s="8"/>
      <c r="O40" s="8"/>
      <c r="P40" s="8"/>
      <c r="Q40" s="8"/>
      <c r="R40" s="8"/>
      <c r="S40" s="8"/>
      <c r="T40" s="8"/>
      <c r="U40" s="8"/>
      <c r="V40" s="8"/>
      <c r="W40" s="8"/>
      <c r="X40" s="8"/>
      <c r="Y40" s="8"/>
      <c r="Z40" s="8"/>
      <c r="AA40" s="8"/>
      <c r="AB40" s="8"/>
      <c r="AC40" s="8"/>
      <c r="AD40" s="8"/>
      <c r="AE40" s="8"/>
      <c r="AF40" s="8"/>
    </row>
    <row r="41" spans="1:32" ht="14.4" x14ac:dyDescent="0.3">
      <c r="A41" s="8"/>
      <c r="B41" s="19">
        <v>2018</v>
      </c>
      <c r="C41" s="19">
        <v>120.062</v>
      </c>
      <c r="D41" s="19">
        <v>0.81</v>
      </c>
      <c r="E41" s="19" t="s">
        <v>55</v>
      </c>
      <c r="F41" s="19" t="s">
        <v>55</v>
      </c>
      <c r="G41" s="19" t="s">
        <v>55</v>
      </c>
      <c r="H41" s="8"/>
      <c r="I41" s="8"/>
      <c r="J41" s="8"/>
      <c r="K41" s="8"/>
      <c r="L41" s="8"/>
      <c r="M41" s="8"/>
      <c r="N41" s="8"/>
      <c r="O41" s="8"/>
      <c r="P41" s="8"/>
      <c r="Q41" s="8"/>
      <c r="R41" s="8"/>
      <c r="S41" s="8"/>
      <c r="T41" s="8"/>
      <c r="U41" s="8"/>
      <c r="V41" s="8"/>
      <c r="W41" s="8"/>
      <c r="X41" s="8"/>
      <c r="Y41" s="8"/>
      <c r="Z41" s="8"/>
      <c r="AA41" s="8"/>
      <c r="AB41" s="8"/>
      <c r="AC41" s="8"/>
      <c r="AD41" s="8"/>
      <c r="AE41" s="8"/>
      <c r="AF41" s="8"/>
    </row>
    <row r="42" spans="1:32" ht="14.4" x14ac:dyDescent="0.3">
      <c r="A42" s="8"/>
      <c r="B42" s="19">
        <v>2019</v>
      </c>
      <c r="C42" s="19">
        <v>120.83799999999999</v>
      </c>
      <c r="D42" s="19">
        <v>0.77600000000000002</v>
      </c>
      <c r="E42" s="19" t="s">
        <v>55</v>
      </c>
      <c r="F42" s="19" t="s">
        <v>55</v>
      </c>
      <c r="G42" s="19" t="s">
        <v>55</v>
      </c>
      <c r="H42" s="8"/>
      <c r="I42" s="8"/>
      <c r="J42" s="8"/>
      <c r="K42" s="8"/>
      <c r="L42" s="8"/>
      <c r="M42" s="8"/>
      <c r="N42" s="8"/>
      <c r="O42" s="8"/>
      <c r="P42" s="8"/>
      <c r="Q42" s="8"/>
      <c r="R42" s="8"/>
      <c r="S42" s="8"/>
      <c r="T42" s="8"/>
      <c r="U42" s="8"/>
      <c r="V42" s="8"/>
      <c r="W42" s="8"/>
      <c r="X42" s="8"/>
      <c r="Y42" s="8"/>
      <c r="Z42" s="8"/>
      <c r="AA42" s="8"/>
      <c r="AB42" s="8"/>
      <c r="AC42" s="8"/>
      <c r="AD42" s="8"/>
      <c r="AE42" s="8"/>
      <c r="AF42" s="8"/>
    </row>
    <row r="43" spans="1:32" ht="14.4" x14ac:dyDescent="0.3">
      <c r="A43" s="8"/>
      <c r="B43" s="19">
        <v>2020</v>
      </c>
      <c r="C43" s="19">
        <v>122.452</v>
      </c>
      <c r="D43" s="19">
        <v>1.6140000000000001</v>
      </c>
      <c r="E43" s="19" t="s">
        <v>55</v>
      </c>
      <c r="F43" s="19" t="s">
        <v>55</v>
      </c>
      <c r="G43" s="19" t="s">
        <v>55</v>
      </c>
      <c r="H43" s="8"/>
      <c r="I43" s="8"/>
      <c r="J43" s="8"/>
      <c r="K43" s="8"/>
      <c r="L43" s="8"/>
      <c r="M43" s="8"/>
      <c r="N43" s="8"/>
      <c r="O43" s="8"/>
      <c r="P43" s="8"/>
      <c r="Q43" s="8"/>
      <c r="R43" s="8"/>
      <c r="S43" s="8"/>
      <c r="T43" s="8"/>
      <c r="U43" s="8"/>
      <c r="V43" s="8"/>
      <c r="W43" s="8"/>
      <c r="X43" s="8"/>
      <c r="Y43" s="8"/>
      <c r="Z43" s="8"/>
      <c r="AA43" s="8"/>
      <c r="AB43" s="8"/>
      <c r="AC43" s="8"/>
      <c r="AD43" s="8"/>
      <c r="AE43" s="8"/>
      <c r="AF43" s="8"/>
    </row>
    <row r="44" spans="1:32" ht="14.4" x14ac:dyDescent="0.3">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row>
    <row r="45" spans="1:32" ht="14.4" x14ac:dyDescent="0.3">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row>
    <row r="46" spans="1:32" ht="14.4" x14ac:dyDescent="0.3">
      <c r="A46" s="8"/>
      <c r="B46" s="16" t="s">
        <v>56</v>
      </c>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row>
    <row r="47" spans="1:32" ht="14.4" x14ac:dyDescent="0.3">
      <c r="A47" s="8"/>
      <c r="B47" s="3071" t="s">
        <v>57</v>
      </c>
      <c r="C47" s="2943"/>
      <c r="D47" s="2943"/>
      <c r="E47" s="2943"/>
      <c r="F47" s="8"/>
      <c r="G47" s="8"/>
      <c r="H47" s="8"/>
      <c r="I47" s="8"/>
      <c r="J47" s="8"/>
      <c r="K47" s="8"/>
      <c r="L47" s="8"/>
      <c r="M47" s="8"/>
      <c r="N47" s="8"/>
      <c r="O47" s="8"/>
      <c r="P47" s="8"/>
      <c r="Q47" s="8"/>
      <c r="R47" s="8"/>
      <c r="S47" s="8"/>
      <c r="T47" s="8"/>
      <c r="U47" s="8"/>
      <c r="V47" s="8"/>
      <c r="W47" s="8"/>
      <c r="X47" s="8"/>
      <c r="Y47" s="8"/>
      <c r="Z47" s="8"/>
      <c r="AA47" s="8"/>
      <c r="AB47" s="8"/>
      <c r="AC47" s="8"/>
      <c r="AD47" s="8"/>
      <c r="AE47" s="8"/>
      <c r="AF47" s="8"/>
    </row>
    <row r="48" spans="1:32" ht="14.4" x14ac:dyDescent="0.3">
      <c r="A48" s="8"/>
      <c r="B48" s="3071" t="s">
        <v>58</v>
      </c>
      <c r="C48" s="2943"/>
      <c r="D48" s="2943"/>
      <c r="E48" s="2943"/>
      <c r="F48" s="8"/>
      <c r="G48" s="8"/>
      <c r="H48" s="8"/>
      <c r="I48" s="8"/>
      <c r="J48" s="8"/>
      <c r="K48" s="8"/>
      <c r="L48" s="8"/>
      <c r="M48" s="8"/>
      <c r="N48" s="8"/>
      <c r="O48" s="8"/>
      <c r="P48" s="8"/>
      <c r="Q48" s="8"/>
      <c r="R48" s="8"/>
      <c r="S48" s="8"/>
      <c r="T48" s="8"/>
      <c r="U48" s="8"/>
      <c r="V48" s="8"/>
      <c r="W48" s="8"/>
      <c r="X48" s="8"/>
      <c r="Y48" s="8"/>
      <c r="Z48" s="8"/>
      <c r="AA48" s="8"/>
      <c r="AB48" s="8"/>
      <c r="AC48" s="8"/>
      <c r="AD48" s="8"/>
      <c r="AE48" s="8"/>
      <c r="AF48" s="8"/>
    </row>
    <row r="49" spans="1:32" ht="14.4" x14ac:dyDescent="0.3">
      <c r="A49" s="8"/>
      <c r="B49" s="3072" t="s">
        <v>59</v>
      </c>
      <c r="C49" s="2943"/>
      <c r="D49" s="2943"/>
      <c r="E49" s="2943"/>
      <c r="F49" s="8"/>
      <c r="G49" s="8"/>
      <c r="H49" s="8"/>
      <c r="I49" s="8"/>
      <c r="J49" s="8"/>
      <c r="K49" s="8"/>
      <c r="L49" s="8"/>
      <c r="M49" s="8"/>
      <c r="N49" s="8"/>
      <c r="O49" s="8"/>
      <c r="P49" s="8"/>
      <c r="Q49" s="8"/>
      <c r="R49" s="8"/>
      <c r="S49" s="8"/>
      <c r="T49" s="8"/>
      <c r="U49" s="8"/>
      <c r="V49" s="8"/>
      <c r="W49" s="8"/>
      <c r="X49" s="8"/>
      <c r="Y49" s="8"/>
      <c r="Z49" s="8"/>
      <c r="AA49" s="8"/>
      <c r="AB49" s="8"/>
      <c r="AC49" s="8"/>
      <c r="AD49" s="8"/>
      <c r="AE49" s="8"/>
      <c r="AF49" s="8"/>
    </row>
    <row r="50" spans="1:32" ht="14.4" x14ac:dyDescent="0.3">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row>
    <row r="51" spans="1:32" ht="14.4" x14ac:dyDescent="0.3">
      <c r="A51" s="8"/>
      <c r="B51" s="3060" t="s">
        <v>60</v>
      </c>
      <c r="C51" s="2943"/>
      <c r="D51" s="21"/>
      <c r="E51" s="21"/>
      <c r="F51" s="21"/>
      <c r="G51" s="21"/>
      <c r="H51" s="4"/>
      <c r="I51" s="4"/>
      <c r="J51" s="4"/>
      <c r="K51" s="4"/>
      <c r="L51" s="4"/>
      <c r="M51" s="4"/>
      <c r="N51" s="4"/>
      <c r="O51" s="4"/>
      <c r="P51" s="4"/>
      <c r="Q51" s="4"/>
      <c r="R51" s="4"/>
      <c r="S51" s="4"/>
      <c r="T51" s="4"/>
      <c r="U51" s="4"/>
      <c r="V51" s="4"/>
      <c r="W51" s="4"/>
      <c r="X51" s="4"/>
      <c r="Y51" s="4"/>
      <c r="Z51" s="4"/>
      <c r="AA51" s="4"/>
      <c r="AB51" s="4"/>
      <c r="AC51" s="4"/>
      <c r="AD51" s="4"/>
      <c r="AE51" s="4"/>
      <c r="AF51" s="4"/>
    </row>
    <row r="52" spans="1:32" ht="14.4" x14ac:dyDescent="0.3">
      <c r="A52" s="8"/>
      <c r="B52" s="22" t="s">
        <v>61</v>
      </c>
      <c r="C52" s="3066" t="s">
        <v>62</v>
      </c>
      <c r="D52" s="2969"/>
      <c r="E52" s="24">
        <v>2006</v>
      </c>
      <c r="F52" s="24">
        <v>2011</v>
      </c>
      <c r="G52" s="24">
        <v>2014</v>
      </c>
      <c r="H52" s="24">
        <v>2017</v>
      </c>
      <c r="I52" s="24" t="s">
        <v>63</v>
      </c>
      <c r="J52" s="2634"/>
      <c r="K52" s="2634"/>
      <c r="L52" s="2634"/>
      <c r="M52" s="2634"/>
      <c r="N52" s="2634"/>
      <c r="O52" s="2634"/>
      <c r="P52" s="2634"/>
      <c r="Q52" s="2634"/>
      <c r="R52" s="2634"/>
      <c r="S52" s="1"/>
      <c r="T52" s="2634"/>
      <c r="U52" s="2634"/>
      <c r="V52" s="2634"/>
      <c r="W52" s="1"/>
      <c r="X52" s="1"/>
      <c r="Y52" s="2634"/>
      <c r="Z52" s="2634"/>
      <c r="AA52" s="1"/>
      <c r="AB52" s="2634"/>
      <c r="AC52" s="1"/>
      <c r="AD52" s="1"/>
      <c r="AE52" s="2634"/>
    </row>
    <row r="53" spans="1:32" ht="14.4" x14ac:dyDescent="0.3">
      <c r="A53" s="8"/>
      <c r="B53" s="25" t="s">
        <v>64</v>
      </c>
      <c r="C53" s="3059" t="s">
        <v>65</v>
      </c>
      <c r="D53" s="2969"/>
      <c r="E53" s="6">
        <v>-0.53</v>
      </c>
      <c r="F53" s="6">
        <v>-0.55000000000000004</v>
      </c>
      <c r="G53" s="6">
        <v>-0.57999999999999996</v>
      </c>
      <c r="H53" s="6">
        <v>-0.62</v>
      </c>
      <c r="I53" s="6">
        <v>-0.66</v>
      </c>
      <c r="J53" s="2635"/>
      <c r="K53" s="2635"/>
      <c r="L53" s="2635"/>
      <c r="M53" s="2635"/>
      <c r="N53" s="2635"/>
      <c r="O53" s="2635"/>
      <c r="P53" s="2635"/>
      <c r="Q53" s="2635"/>
      <c r="R53" s="2635"/>
      <c r="S53" s="1"/>
      <c r="T53" s="2635"/>
      <c r="U53" s="2635"/>
      <c r="V53" s="2635"/>
      <c r="W53" s="1"/>
      <c r="X53" s="1"/>
      <c r="Y53" s="2635"/>
      <c r="Z53" s="2635"/>
      <c r="AA53" s="1"/>
      <c r="AB53" s="2635"/>
      <c r="AC53" s="1"/>
      <c r="AD53" s="1"/>
      <c r="AE53" s="2635"/>
    </row>
    <row r="54" spans="1:32" ht="14.4" x14ac:dyDescent="0.3">
      <c r="A54" s="8"/>
      <c r="B54" s="25" t="s">
        <v>64</v>
      </c>
      <c r="C54" s="3059" t="s">
        <v>66</v>
      </c>
      <c r="D54" s="2969"/>
      <c r="E54" s="6">
        <v>-0.03</v>
      </c>
      <c r="F54" s="6">
        <v>-0.02</v>
      </c>
      <c r="G54" s="6">
        <v>-0.01</v>
      </c>
      <c r="H54" s="6">
        <v>0.01</v>
      </c>
      <c r="I54" s="6">
        <v>0.02</v>
      </c>
      <c r="J54" s="2635"/>
      <c r="K54" s="2635"/>
      <c r="L54" s="2635"/>
      <c r="M54" s="2635"/>
      <c r="N54" s="2635"/>
      <c r="O54" s="2635"/>
      <c r="P54" s="2635"/>
      <c r="Q54" s="2635"/>
      <c r="R54" s="2635"/>
      <c r="S54" s="1"/>
      <c r="T54" s="2635"/>
      <c r="U54" s="2635"/>
      <c r="V54" s="2635"/>
      <c r="W54" s="1"/>
      <c r="X54" s="1"/>
      <c r="Y54" s="2635"/>
      <c r="Z54" s="2635"/>
      <c r="AA54" s="1"/>
      <c r="AB54" s="2635"/>
      <c r="AC54" s="1"/>
      <c r="AD54" s="1"/>
      <c r="AE54" s="2635"/>
    </row>
    <row r="55" spans="1:32" ht="14.4" x14ac:dyDescent="0.3">
      <c r="A55" s="8"/>
      <c r="B55" s="25" t="s">
        <v>64</v>
      </c>
      <c r="C55" s="3059" t="s">
        <v>67</v>
      </c>
      <c r="D55" s="2969"/>
      <c r="E55" s="6">
        <v>0.16</v>
      </c>
      <c r="F55" s="6">
        <v>0.11</v>
      </c>
      <c r="G55" s="6">
        <v>0.08</v>
      </c>
      <c r="H55" s="6">
        <v>0.09</v>
      </c>
      <c r="I55" s="6">
        <v>0.1</v>
      </c>
      <c r="J55" s="2635"/>
      <c r="K55" s="2635"/>
      <c r="L55" s="2635"/>
      <c r="M55" s="2635"/>
      <c r="N55" s="2635"/>
      <c r="O55" s="2635"/>
      <c r="P55" s="2635"/>
      <c r="Q55" s="2635"/>
      <c r="R55" s="2635"/>
      <c r="S55" s="1"/>
      <c r="T55" s="2635"/>
      <c r="U55" s="2635"/>
      <c r="V55" s="2635"/>
      <c r="W55" s="1"/>
      <c r="X55" s="1"/>
      <c r="Y55" s="2635"/>
      <c r="Z55" s="2635"/>
      <c r="AA55" s="1"/>
      <c r="AB55" s="2635"/>
      <c r="AC55" s="1"/>
      <c r="AD55" s="1"/>
      <c r="AE55" s="2635"/>
    </row>
    <row r="56" spans="1:32" ht="14.4" x14ac:dyDescent="0.3">
      <c r="A56" s="8"/>
      <c r="B56" s="25" t="s">
        <v>64</v>
      </c>
      <c r="C56" s="3059" t="s">
        <v>68</v>
      </c>
      <c r="D56" s="2969"/>
      <c r="E56" s="6">
        <v>0</v>
      </c>
      <c r="F56" s="6">
        <v>0</v>
      </c>
      <c r="G56" s="6">
        <v>0</v>
      </c>
      <c r="H56" s="6">
        <v>0</v>
      </c>
      <c r="I56" s="6">
        <v>0</v>
      </c>
      <c r="J56" s="2635"/>
      <c r="K56" s="2635"/>
      <c r="L56" s="2635"/>
      <c r="M56" s="2635"/>
      <c r="N56" s="2635"/>
      <c r="O56" s="2635"/>
      <c r="P56" s="2635"/>
      <c r="Q56" s="2635"/>
      <c r="R56" s="2635"/>
      <c r="S56" s="1"/>
      <c r="T56" s="2635"/>
      <c r="U56" s="2635"/>
      <c r="V56" s="2635"/>
      <c r="W56" s="1"/>
      <c r="X56" s="1"/>
      <c r="Y56" s="2635"/>
      <c r="Z56" s="2635"/>
      <c r="AA56" s="1"/>
      <c r="AB56" s="2635"/>
      <c r="AC56" s="1"/>
      <c r="AD56" s="1"/>
      <c r="AE56" s="2635"/>
    </row>
    <row r="57" spans="1:32" ht="14.4" x14ac:dyDescent="0.3">
      <c r="A57" s="8"/>
      <c r="B57" s="4"/>
      <c r="C57" s="4"/>
      <c r="D57" s="4"/>
      <c r="E57" s="26"/>
      <c r="F57" s="26"/>
      <c r="G57" s="26"/>
      <c r="H57" s="26"/>
      <c r="I57" s="26"/>
      <c r="J57" s="4"/>
      <c r="K57" s="4"/>
      <c r="L57" s="4"/>
      <c r="M57" s="4"/>
      <c r="N57" s="4"/>
      <c r="O57" s="4"/>
      <c r="P57" s="4"/>
      <c r="Q57" s="4"/>
      <c r="R57" s="4"/>
      <c r="S57" s="1"/>
      <c r="T57" s="4"/>
      <c r="U57" s="4"/>
      <c r="V57" s="4"/>
      <c r="W57" s="1"/>
      <c r="X57" s="1"/>
      <c r="Y57" s="4"/>
      <c r="Z57" s="4"/>
      <c r="AA57" s="1"/>
      <c r="AB57" s="4"/>
      <c r="AC57" s="1"/>
      <c r="AD57" s="1"/>
      <c r="AE57" s="4"/>
    </row>
    <row r="58" spans="1:32" ht="14.4" x14ac:dyDescent="0.3">
      <c r="A58" s="8"/>
      <c r="B58" s="3060" t="s">
        <v>69</v>
      </c>
      <c r="C58" s="2943"/>
      <c r="D58" s="2943"/>
      <c r="E58" s="26"/>
      <c r="F58" s="26"/>
      <c r="G58" s="26"/>
      <c r="H58" s="26"/>
      <c r="I58" s="26"/>
      <c r="J58" s="4"/>
      <c r="K58" s="4"/>
      <c r="L58" s="4"/>
      <c r="M58" s="4"/>
      <c r="N58" s="4"/>
      <c r="O58" s="4"/>
      <c r="P58" s="4"/>
      <c r="Q58" s="4"/>
      <c r="R58" s="4"/>
      <c r="S58" s="1"/>
      <c r="T58" s="4"/>
      <c r="U58" s="4"/>
      <c r="V58" s="4"/>
      <c r="W58" s="1"/>
      <c r="X58" s="1"/>
      <c r="Y58" s="4"/>
      <c r="Z58" s="4"/>
      <c r="AA58" s="1"/>
      <c r="AB58" s="4"/>
      <c r="AC58" s="1"/>
      <c r="AD58" s="1"/>
      <c r="AE58" s="4"/>
    </row>
    <row r="59" spans="1:32" ht="14.4" x14ac:dyDescent="0.3">
      <c r="A59" s="8"/>
      <c r="B59" s="22" t="s">
        <v>61</v>
      </c>
      <c r="C59" s="22" t="s">
        <v>70</v>
      </c>
      <c r="D59" s="22" t="s">
        <v>71</v>
      </c>
      <c r="E59" s="24">
        <v>2006</v>
      </c>
      <c r="F59" s="24">
        <v>2011</v>
      </c>
      <c r="G59" s="24">
        <v>2014</v>
      </c>
      <c r="H59" s="24">
        <v>2017</v>
      </c>
      <c r="I59" s="24" t="s">
        <v>63</v>
      </c>
      <c r="J59" s="2634"/>
      <c r="K59" s="2634"/>
      <c r="L59" s="2634"/>
      <c r="M59" s="2634"/>
      <c r="N59" s="2634"/>
      <c r="O59" s="2634"/>
      <c r="P59" s="2634"/>
      <c r="Q59" s="2634"/>
      <c r="R59" s="2634"/>
      <c r="S59" s="1"/>
      <c r="T59" s="2634"/>
      <c r="U59" s="2634"/>
      <c r="V59" s="2634"/>
      <c r="W59" s="1"/>
      <c r="X59" s="1"/>
      <c r="Y59" s="2634"/>
      <c r="Z59" s="2634"/>
      <c r="AA59" s="1"/>
      <c r="AB59" s="2634"/>
      <c r="AC59" s="1"/>
      <c r="AD59" s="1"/>
      <c r="AE59" s="2634"/>
    </row>
    <row r="60" spans="1:32" ht="14.4" x14ac:dyDescent="0.3">
      <c r="A60" s="8"/>
      <c r="B60" s="25" t="s">
        <v>64</v>
      </c>
      <c r="C60" s="25" t="s">
        <v>72</v>
      </c>
      <c r="D60" s="25" t="s">
        <v>73</v>
      </c>
      <c r="E60" s="6">
        <v>-0.04</v>
      </c>
      <c r="F60" s="6">
        <v>-0.04</v>
      </c>
      <c r="G60" s="6">
        <v>-0.04</v>
      </c>
      <c r="H60" s="6">
        <v>-0.04</v>
      </c>
      <c r="I60" s="6">
        <v>-0.04</v>
      </c>
      <c r="J60" s="2635"/>
      <c r="K60" s="2635"/>
      <c r="L60" s="2635"/>
      <c r="M60" s="2635"/>
      <c r="N60" s="2635"/>
      <c r="O60" s="2635"/>
      <c r="P60" s="2635"/>
      <c r="Q60" s="2635"/>
      <c r="R60" s="2635"/>
      <c r="S60" s="1"/>
      <c r="T60" s="2635"/>
      <c r="U60" s="2635"/>
      <c r="V60" s="2635"/>
      <c r="W60" s="1"/>
      <c r="X60" s="1"/>
      <c r="Y60" s="2635"/>
      <c r="Z60" s="2635"/>
      <c r="AA60" s="1"/>
      <c r="AB60" s="2635"/>
      <c r="AC60" s="1"/>
      <c r="AD60" s="1"/>
      <c r="AE60" s="2635"/>
    </row>
    <row r="61" spans="1:32" ht="14.4" x14ac:dyDescent="0.3">
      <c r="A61" s="8"/>
      <c r="B61" s="25" t="s">
        <v>64</v>
      </c>
      <c r="C61" s="25" t="s">
        <v>72</v>
      </c>
      <c r="D61" s="25" t="s">
        <v>74</v>
      </c>
      <c r="E61" s="6">
        <v>-0.11</v>
      </c>
      <c r="F61" s="6">
        <v>-0.1</v>
      </c>
      <c r="G61" s="6">
        <v>-0.1</v>
      </c>
      <c r="H61" s="6">
        <v>-0.1</v>
      </c>
      <c r="I61" s="6">
        <v>-0.1</v>
      </c>
      <c r="J61" s="2635"/>
      <c r="K61" s="2635"/>
      <c r="L61" s="2635"/>
      <c r="M61" s="2635"/>
      <c r="N61" s="2635"/>
      <c r="O61" s="2635"/>
      <c r="P61" s="2635"/>
      <c r="Q61" s="2635"/>
      <c r="R61" s="2635"/>
      <c r="S61" s="1"/>
      <c r="T61" s="2635"/>
      <c r="U61" s="2635"/>
      <c r="V61" s="2635"/>
      <c r="W61" s="1"/>
      <c r="X61" s="1"/>
      <c r="Y61" s="2635"/>
      <c r="Z61" s="2635"/>
      <c r="AA61" s="1"/>
      <c r="AB61" s="2635"/>
      <c r="AC61" s="1"/>
      <c r="AD61" s="1"/>
      <c r="AE61" s="2635"/>
    </row>
    <row r="62" spans="1:32" ht="14.4" x14ac:dyDescent="0.3">
      <c r="A62" s="8"/>
      <c r="B62" s="25" t="s">
        <v>64</v>
      </c>
      <c r="C62" s="25" t="s">
        <v>72</v>
      </c>
      <c r="D62" s="25" t="s">
        <v>75</v>
      </c>
      <c r="E62" s="6">
        <v>0</v>
      </c>
      <c r="F62" s="6">
        <v>0</v>
      </c>
      <c r="G62" s="6">
        <v>0</v>
      </c>
      <c r="H62" s="6">
        <v>0</v>
      </c>
      <c r="I62" s="6">
        <v>0</v>
      </c>
      <c r="J62" s="2635"/>
      <c r="K62" s="2635"/>
      <c r="L62" s="2635"/>
      <c r="M62" s="2635"/>
      <c r="N62" s="2635"/>
      <c r="O62" s="2635"/>
      <c r="P62" s="2635"/>
      <c r="Q62" s="2635"/>
      <c r="R62" s="2635"/>
      <c r="S62" s="1"/>
      <c r="T62" s="2635"/>
      <c r="U62" s="2635"/>
      <c r="V62" s="2635"/>
      <c r="W62" s="1"/>
      <c r="X62" s="1"/>
      <c r="Y62" s="2635"/>
      <c r="Z62" s="2635"/>
      <c r="AA62" s="1"/>
      <c r="AB62" s="2635"/>
      <c r="AC62" s="1"/>
      <c r="AD62" s="1"/>
      <c r="AE62" s="2635"/>
    </row>
    <row r="63" spans="1:32" ht="14.4" x14ac:dyDescent="0.3">
      <c r="A63" s="8"/>
      <c r="B63" s="4"/>
      <c r="C63" s="4"/>
      <c r="D63" s="4"/>
      <c r="E63" s="26"/>
      <c r="F63" s="26"/>
      <c r="G63" s="26"/>
      <c r="H63" s="26"/>
      <c r="I63" s="26"/>
      <c r="J63" s="4"/>
      <c r="K63" s="4"/>
      <c r="L63" s="4"/>
      <c r="M63" s="4"/>
      <c r="N63" s="4"/>
      <c r="O63" s="4"/>
      <c r="P63" s="4"/>
      <c r="Q63" s="4"/>
      <c r="R63" s="4"/>
      <c r="S63" s="1"/>
      <c r="T63" s="4"/>
      <c r="U63" s="4"/>
      <c r="V63" s="4"/>
      <c r="W63" s="1"/>
      <c r="X63" s="1"/>
      <c r="Y63" s="4"/>
      <c r="Z63" s="4"/>
      <c r="AA63" s="1"/>
      <c r="AB63" s="4"/>
      <c r="AC63" s="1"/>
      <c r="AD63" s="1"/>
      <c r="AE63" s="4"/>
    </row>
    <row r="64" spans="1:32" ht="14.4" x14ac:dyDescent="0.3">
      <c r="A64" s="8"/>
      <c r="B64" s="3060" t="s">
        <v>76</v>
      </c>
      <c r="C64" s="2943"/>
      <c r="D64" s="2943"/>
      <c r="E64" s="26"/>
      <c r="F64" s="26"/>
      <c r="G64" s="26"/>
      <c r="H64" s="26"/>
      <c r="I64" s="26"/>
      <c r="J64" s="4"/>
      <c r="K64" s="4"/>
      <c r="L64" s="4"/>
      <c r="M64" s="4"/>
      <c r="N64" s="4"/>
      <c r="O64" s="4"/>
      <c r="P64" s="4"/>
      <c r="Q64" s="4"/>
      <c r="R64" s="4"/>
      <c r="S64" s="1"/>
      <c r="T64" s="4"/>
      <c r="U64" s="4"/>
      <c r="V64" s="4"/>
      <c r="W64" s="1"/>
      <c r="X64" s="1"/>
      <c r="Y64" s="4"/>
      <c r="Z64" s="4"/>
      <c r="AA64" s="1"/>
      <c r="AB64" s="4"/>
      <c r="AC64" s="1"/>
      <c r="AD64" s="1"/>
      <c r="AE64" s="4"/>
    </row>
    <row r="65" spans="1:32" ht="14.4" x14ac:dyDescent="0.3">
      <c r="A65" s="8"/>
      <c r="B65" s="22" t="s">
        <v>61</v>
      </c>
      <c r="C65" s="22" t="s">
        <v>70</v>
      </c>
      <c r="D65" s="22" t="s">
        <v>71</v>
      </c>
      <c r="E65" s="24">
        <v>2006</v>
      </c>
      <c r="F65" s="24">
        <v>2011</v>
      </c>
      <c r="G65" s="24">
        <v>2014</v>
      </c>
      <c r="H65" s="24">
        <v>2017</v>
      </c>
      <c r="I65" s="24" t="s">
        <v>63</v>
      </c>
      <c r="J65" s="2634"/>
      <c r="K65" s="2634"/>
      <c r="L65" s="2634"/>
      <c r="M65" s="2634"/>
      <c r="N65" s="2634"/>
      <c r="O65" s="2634"/>
      <c r="P65" s="2634"/>
      <c r="Q65" s="2634"/>
      <c r="R65" s="2634"/>
      <c r="S65" s="1"/>
      <c r="T65" s="2634"/>
      <c r="U65" s="2634"/>
      <c r="V65" s="2634"/>
      <c r="W65" s="1"/>
      <c r="X65" s="1"/>
      <c r="Y65" s="2634"/>
      <c r="Z65" s="2634"/>
      <c r="AA65" s="1"/>
      <c r="AB65" s="2634"/>
      <c r="AC65" s="1"/>
      <c r="AD65" s="1"/>
      <c r="AE65" s="2634"/>
    </row>
    <row r="66" spans="1:32" ht="14.4" x14ac:dyDescent="0.3">
      <c r="A66" s="8"/>
      <c r="B66" s="25" t="s">
        <v>64</v>
      </c>
      <c r="C66" s="25" t="s">
        <v>72</v>
      </c>
      <c r="D66" s="25" t="s">
        <v>73</v>
      </c>
      <c r="E66" s="6">
        <v>0.09</v>
      </c>
      <c r="F66" s="6">
        <v>0.09</v>
      </c>
      <c r="G66" s="6">
        <v>0.09</v>
      </c>
      <c r="H66" s="6">
        <v>0.09</v>
      </c>
      <c r="I66" s="6">
        <v>0.09</v>
      </c>
      <c r="J66" s="2635"/>
      <c r="K66" s="2635"/>
      <c r="L66" s="2635"/>
      <c r="M66" s="2635"/>
      <c r="N66" s="2635"/>
      <c r="O66" s="2635"/>
      <c r="P66" s="2635"/>
      <c r="Q66" s="2635"/>
      <c r="R66" s="2635"/>
      <c r="S66" s="1"/>
      <c r="T66" s="2635"/>
      <c r="U66" s="2635"/>
      <c r="V66" s="2635"/>
      <c r="W66" s="1"/>
      <c r="X66" s="1"/>
      <c r="Y66" s="2635"/>
      <c r="Z66" s="2635"/>
      <c r="AA66" s="1"/>
      <c r="AB66" s="2635"/>
      <c r="AC66" s="1"/>
      <c r="AD66" s="1"/>
      <c r="AE66" s="2635"/>
    </row>
    <row r="67" spans="1:32" ht="14.4" x14ac:dyDescent="0.3">
      <c r="A67" s="8"/>
      <c r="B67" s="25" t="s">
        <v>64</v>
      </c>
      <c r="C67" s="25" t="s">
        <v>72</v>
      </c>
      <c r="D67" s="25" t="s">
        <v>74</v>
      </c>
      <c r="E67" s="6">
        <v>0.22</v>
      </c>
      <c r="F67" s="6">
        <v>0.22</v>
      </c>
      <c r="G67" s="6">
        <v>0.23</v>
      </c>
      <c r="H67" s="6">
        <v>0.23</v>
      </c>
      <c r="I67" s="6">
        <v>0.23</v>
      </c>
      <c r="J67" s="2635"/>
      <c r="K67" s="2635"/>
      <c r="L67" s="2635"/>
      <c r="M67" s="2635"/>
      <c r="N67" s="2635"/>
      <c r="O67" s="2635"/>
      <c r="P67" s="2635"/>
      <c r="Q67" s="2635"/>
      <c r="R67" s="2635"/>
      <c r="S67" s="1"/>
      <c r="T67" s="2635"/>
      <c r="U67" s="2635"/>
      <c r="V67" s="2635"/>
      <c r="W67" s="1"/>
      <c r="X67" s="1"/>
      <c r="Y67" s="2635"/>
      <c r="Z67" s="2635"/>
      <c r="AA67" s="1"/>
      <c r="AB67" s="2635"/>
      <c r="AC67" s="1"/>
      <c r="AD67" s="1"/>
      <c r="AE67" s="2635"/>
    </row>
    <row r="68" spans="1:32" ht="14.4" x14ac:dyDescent="0.3">
      <c r="A68" s="8"/>
      <c r="B68" s="25" t="s">
        <v>64</v>
      </c>
      <c r="C68" s="25" t="s">
        <v>72</v>
      </c>
      <c r="D68" s="25" t="s">
        <v>75</v>
      </c>
      <c r="E68" s="6">
        <v>0.02</v>
      </c>
      <c r="F68" s="6">
        <v>0.02</v>
      </c>
      <c r="G68" s="6">
        <v>0.02</v>
      </c>
      <c r="H68" s="6">
        <v>0.02</v>
      </c>
      <c r="I68" s="6">
        <v>0.02</v>
      </c>
      <c r="J68" s="2635"/>
      <c r="K68" s="2635"/>
      <c r="L68" s="2635"/>
      <c r="M68" s="2635"/>
      <c r="N68" s="2635"/>
      <c r="O68" s="2635"/>
      <c r="P68" s="2635"/>
      <c r="Q68" s="2635"/>
      <c r="R68" s="2635"/>
      <c r="S68" s="1"/>
      <c r="T68" s="2635"/>
      <c r="U68" s="2635"/>
      <c r="V68" s="2635"/>
      <c r="W68" s="1"/>
      <c r="X68" s="1"/>
      <c r="Y68" s="2635"/>
      <c r="Z68" s="2635"/>
      <c r="AA68" s="1"/>
      <c r="AB68" s="2635"/>
      <c r="AC68" s="1"/>
      <c r="AD68" s="1"/>
      <c r="AE68" s="2635"/>
    </row>
    <row r="69" spans="1:32" ht="14.4" x14ac:dyDescent="0.3">
      <c r="A69" s="8"/>
      <c r="B69" s="3" t="s">
        <v>77</v>
      </c>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row>
    <row r="70" spans="1:32" ht="14.4" x14ac:dyDescent="0.3">
      <c r="A70" s="8"/>
      <c r="B70" s="16"/>
      <c r="C70" s="21"/>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row>
    <row r="71" spans="1:32" ht="14.4" x14ac:dyDescent="0.3">
      <c r="A71" s="8"/>
      <c r="B71" s="16" t="s">
        <v>78</v>
      </c>
      <c r="C71" s="21"/>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row>
    <row r="72" spans="1:32" ht="14.4" x14ac:dyDescent="0.3">
      <c r="A72" s="8"/>
      <c r="B72" s="22" t="s">
        <v>79</v>
      </c>
      <c r="C72" s="27">
        <v>2020</v>
      </c>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row>
    <row r="73" spans="1:32" ht="14.4" x14ac:dyDescent="0.3">
      <c r="A73" s="8"/>
      <c r="B73" s="25" t="s">
        <v>80</v>
      </c>
      <c r="C73" s="28">
        <f>-D43*(44/12)</f>
        <v>-5.9180000000000001</v>
      </c>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row>
    <row r="74" spans="1:32" ht="14.4" x14ac:dyDescent="0.3">
      <c r="A74" s="8"/>
      <c r="B74" s="25" t="s">
        <v>81</v>
      </c>
      <c r="C74" s="28">
        <f>C73*0.196</f>
        <v>-1.1599280000000001</v>
      </c>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row>
    <row r="75" spans="1:32" ht="14.4" x14ac:dyDescent="0.3">
      <c r="A75" s="8"/>
      <c r="B75" s="25" t="s">
        <v>82</v>
      </c>
      <c r="C75" s="28">
        <f t="shared" ref="C75:C77" si="0">I53+I60+I66</f>
        <v>-0.6100000000000001</v>
      </c>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row>
    <row r="76" spans="1:32" ht="14.4" x14ac:dyDescent="0.3">
      <c r="A76" s="8"/>
      <c r="B76" s="25" t="s">
        <v>83</v>
      </c>
      <c r="C76" s="28">
        <f t="shared" si="0"/>
        <v>0.15000000000000002</v>
      </c>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row>
    <row r="77" spans="1:32" ht="14.4" x14ac:dyDescent="0.3">
      <c r="A77" s="8"/>
      <c r="B77" s="25" t="s">
        <v>84</v>
      </c>
      <c r="C77" s="28">
        <f t="shared" si="0"/>
        <v>0.12000000000000001</v>
      </c>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row>
    <row r="78" spans="1:32" ht="14.4" x14ac:dyDescent="0.3">
      <c r="A78" s="8"/>
      <c r="B78" s="25" t="s">
        <v>85</v>
      </c>
      <c r="C78" s="28">
        <f>I56</f>
        <v>0</v>
      </c>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row>
    <row r="79" spans="1:32" ht="14.4" x14ac:dyDescent="0.3">
      <c r="A79" s="8"/>
      <c r="B79" s="29" t="s">
        <v>86</v>
      </c>
      <c r="C79" s="28">
        <f>SUM(C73:C78)</f>
        <v>-7.4179279999999999</v>
      </c>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row>
    <row r="80" spans="1:32" ht="14.4" x14ac:dyDescent="0.3">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row>
    <row r="81" spans="1:32" ht="14.4" x14ac:dyDescent="0.3">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row>
    <row r="82" spans="1:32" ht="14.4" x14ac:dyDescent="0.3">
      <c r="A82" s="8"/>
      <c r="B82" s="14" t="s">
        <v>38</v>
      </c>
      <c r="C82" s="15"/>
      <c r="D82" s="15"/>
      <c r="E82" s="15"/>
      <c r="F82" s="15"/>
      <c r="G82" s="15"/>
      <c r="H82" s="8"/>
      <c r="I82" s="8"/>
      <c r="J82" s="8"/>
      <c r="K82" s="8"/>
      <c r="L82" s="8"/>
      <c r="M82" s="8"/>
      <c r="N82" s="8"/>
      <c r="O82" s="8"/>
      <c r="P82" s="8"/>
      <c r="Q82" s="8"/>
      <c r="R82" s="8"/>
      <c r="S82" s="8"/>
      <c r="T82" s="8"/>
      <c r="U82" s="8"/>
      <c r="V82" s="8"/>
      <c r="W82" s="8"/>
      <c r="X82" s="8"/>
      <c r="Y82" s="8"/>
      <c r="Z82" s="8"/>
      <c r="AA82" s="8"/>
      <c r="AB82" s="8"/>
      <c r="AC82" s="8"/>
      <c r="AD82" s="8"/>
      <c r="AE82" s="8"/>
      <c r="AF82" s="8"/>
    </row>
    <row r="83" spans="1:32" ht="14.4" x14ac:dyDescent="0.3">
      <c r="A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row>
    <row r="84" spans="1:32" ht="14.4" x14ac:dyDescent="0.3">
      <c r="A84" s="8"/>
      <c r="B84" s="16" t="s">
        <v>87</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row>
    <row r="85" spans="1:32" x14ac:dyDescent="0.35">
      <c r="A85" s="8"/>
      <c r="B85" s="30" t="s">
        <v>88</v>
      </c>
      <c r="C85" s="31">
        <v>2006</v>
      </c>
      <c r="D85" s="31">
        <v>2011</v>
      </c>
      <c r="E85" s="31">
        <v>2014</v>
      </c>
      <c r="F85" s="31">
        <v>2017</v>
      </c>
      <c r="G85" s="31">
        <v>2020</v>
      </c>
      <c r="H85" s="8"/>
      <c r="I85" s="8"/>
      <c r="J85" s="8"/>
      <c r="K85" s="8"/>
      <c r="L85" s="8"/>
      <c r="M85" s="8"/>
      <c r="N85" s="8"/>
      <c r="O85" s="8"/>
      <c r="P85" s="8"/>
      <c r="Q85" s="8"/>
      <c r="R85" s="8"/>
      <c r="S85" s="8"/>
      <c r="T85" s="8"/>
      <c r="U85" s="8"/>
      <c r="V85" s="8"/>
      <c r="W85" s="8"/>
      <c r="X85" s="8"/>
      <c r="Y85" s="8"/>
      <c r="Z85" s="8"/>
      <c r="AA85" s="8"/>
      <c r="AB85" s="8"/>
      <c r="AC85" s="8"/>
      <c r="AD85" s="8"/>
      <c r="AE85" s="8"/>
      <c r="AF85" s="8"/>
    </row>
    <row r="86" spans="1:32" ht="14.4" x14ac:dyDescent="0.3">
      <c r="A86" s="8"/>
      <c r="B86" s="32" t="s">
        <v>87</v>
      </c>
      <c r="C86" s="33">
        <v>-0.18467683894012488</v>
      </c>
      <c r="D86" s="33">
        <v>-0.21822819744427552</v>
      </c>
      <c r="E86" s="33">
        <f>E87+E88+E89+E90</f>
        <v>-0.18595409998000001</v>
      </c>
      <c r="F86" s="33">
        <f>SUM(F87:F90)</f>
        <v>-0.16864007253577512</v>
      </c>
      <c r="G86" s="33">
        <v>-0.49</v>
      </c>
      <c r="H86" s="8"/>
      <c r="I86" s="8"/>
      <c r="J86" s="8"/>
      <c r="K86" s="8"/>
      <c r="L86" s="8"/>
      <c r="M86" s="8"/>
      <c r="N86" s="8"/>
      <c r="O86" s="8"/>
      <c r="P86" s="8"/>
      <c r="Q86" s="8"/>
      <c r="R86" s="8"/>
      <c r="S86" s="8"/>
      <c r="T86" s="8"/>
      <c r="U86" s="8"/>
      <c r="V86" s="8"/>
      <c r="W86" s="8"/>
      <c r="X86" s="8"/>
      <c r="Y86" s="8"/>
      <c r="Z86" s="8"/>
      <c r="AA86" s="8"/>
      <c r="AB86" s="8"/>
      <c r="AC86" s="8"/>
      <c r="AD86" s="8"/>
      <c r="AE86" s="8"/>
      <c r="AF86" s="8"/>
    </row>
    <row r="87" spans="1:32" ht="14.4" x14ac:dyDescent="0.3">
      <c r="A87" s="8"/>
      <c r="B87" s="34" t="s">
        <v>89</v>
      </c>
      <c r="C87" s="35">
        <v>-8.4802520728281365E-3</v>
      </c>
      <c r="D87" s="35">
        <v>-1.2684842167839765E-2</v>
      </c>
      <c r="E87" s="35">
        <v>-1.061836128E-2</v>
      </c>
      <c r="F87" s="35">
        <v>-9.5545989087629721E-3</v>
      </c>
      <c r="G87" s="35">
        <v>-0.04</v>
      </c>
      <c r="H87" s="8"/>
      <c r="I87" s="8"/>
      <c r="J87" s="8"/>
      <c r="K87" s="8"/>
      <c r="L87" s="8"/>
      <c r="M87" s="8"/>
      <c r="N87" s="8"/>
      <c r="O87" s="8"/>
      <c r="P87" s="8"/>
      <c r="Q87" s="8"/>
      <c r="R87" s="8"/>
      <c r="S87" s="8"/>
      <c r="T87" s="8"/>
      <c r="U87" s="8"/>
      <c r="V87" s="8"/>
      <c r="W87" s="8"/>
      <c r="X87" s="8"/>
      <c r="Y87" s="8"/>
      <c r="Z87" s="8"/>
      <c r="AA87" s="8"/>
      <c r="AB87" s="8"/>
      <c r="AC87" s="8"/>
      <c r="AD87" s="8"/>
      <c r="AE87" s="8"/>
      <c r="AF87" s="8"/>
    </row>
    <row r="88" spans="1:32" ht="14.4" x14ac:dyDescent="0.3">
      <c r="A88" s="8"/>
      <c r="B88" s="34" t="s">
        <v>90</v>
      </c>
      <c r="C88" s="35">
        <v>-6.1942198859260007E-2</v>
      </c>
      <c r="D88" s="35">
        <v>-7.0873721137987705E-2</v>
      </c>
      <c r="E88" s="35">
        <v>-5.6721999869999998E-2</v>
      </c>
      <c r="F88" s="35">
        <v>-4.900786961971372E-2</v>
      </c>
      <c r="G88" s="35">
        <v>-0.2</v>
      </c>
      <c r="H88" s="8"/>
      <c r="I88" s="8"/>
      <c r="J88" s="8"/>
      <c r="K88" s="8"/>
      <c r="L88" s="8"/>
      <c r="M88" s="8"/>
      <c r="N88" s="8"/>
      <c r="O88" s="8"/>
      <c r="P88" s="8"/>
      <c r="Q88" s="8"/>
      <c r="R88" s="8"/>
      <c r="S88" s="8"/>
      <c r="T88" s="8"/>
      <c r="U88" s="8"/>
      <c r="V88" s="8"/>
      <c r="W88" s="8"/>
      <c r="X88" s="8"/>
      <c r="Y88" s="8"/>
      <c r="Z88" s="8"/>
      <c r="AA88" s="8"/>
      <c r="AB88" s="8"/>
      <c r="AC88" s="8"/>
      <c r="AD88" s="8"/>
      <c r="AE88" s="8"/>
      <c r="AF88" s="8"/>
    </row>
    <row r="89" spans="1:32" ht="14.4" x14ac:dyDescent="0.3">
      <c r="A89" s="8"/>
      <c r="B89" s="34" t="s">
        <v>91</v>
      </c>
      <c r="C89" s="35">
        <v>-5.6039595623909609E-2</v>
      </c>
      <c r="D89" s="35">
        <v>-6.4577261430635649E-2</v>
      </c>
      <c r="E89" s="35">
        <v>-5.1412480519999998E-2</v>
      </c>
      <c r="F89" s="35">
        <v>-4.4283838656574669E-2</v>
      </c>
      <c r="G89" s="35">
        <v>-0.19</v>
      </c>
      <c r="H89" s="8"/>
      <c r="I89" s="8"/>
      <c r="J89" s="8"/>
      <c r="K89" s="8"/>
      <c r="L89" s="8"/>
      <c r="M89" s="8"/>
      <c r="N89" s="8"/>
      <c r="O89" s="8"/>
      <c r="P89" s="8"/>
      <c r="Q89" s="8"/>
      <c r="R89" s="8"/>
      <c r="S89" s="8"/>
      <c r="T89" s="8"/>
      <c r="U89" s="8"/>
      <c r="V89" s="8"/>
      <c r="W89" s="8"/>
      <c r="X89" s="8"/>
      <c r="Y89" s="8"/>
      <c r="Z89" s="8"/>
      <c r="AA89" s="8"/>
      <c r="AB89" s="8"/>
      <c r="AC89" s="8"/>
      <c r="AD89" s="8"/>
      <c r="AE89" s="8"/>
      <c r="AF89" s="8"/>
    </row>
    <row r="90" spans="1:32" ht="14.4" x14ac:dyDescent="0.3">
      <c r="A90" s="8"/>
      <c r="B90" s="34" t="s">
        <v>92</v>
      </c>
      <c r="C90" s="35">
        <v>-5.821479238412712E-2</v>
      </c>
      <c r="D90" s="35">
        <v>-7.0092372707812392E-2</v>
      </c>
      <c r="E90" s="35">
        <v>-6.7201258309999998E-2</v>
      </c>
      <c r="F90" s="35">
        <v>-6.5793765350723746E-2</v>
      </c>
      <c r="G90" s="35">
        <v>-0.06</v>
      </c>
      <c r="H90" s="8"/>
      <c r="I90" s="8"/>
      <c r="J90" s="8"/>
      <c r="K90" s="8"/>
      <c r="L90" s="8"/>
      <c r="M90" s="8"/>
      <c r="N90" s="8"/>
      <c r="O90" s="8"/>
      <c r="P90" s="8"/>
      <c r="Q90" s="8"/>
      <c r="R90" s="8"/>
      <c r="S90" s="8"/>
      <c r="T90" s="8"/>
      <c r="U90" s="8"/>
      <c r="V90" s="8"/>
      <c r="W90" s="8"/>
      <c r="X90" s="8"/>
      <c r="Y90" s="8"/>
      <c r="Z90" s="8"/>
      <c r="AA90" s="8"/>
      <c r="AB90" s="8"/>
      <c r="AC90" s="8"/>
      <c r="AD90" s="8"/>
      <c r="AE90" s="8"/>
      <c r="AF90" s="8"/>
    </row>
    <row r="91" spans="1:32" ht="14.4" x14ac:dyDescent="0.3">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row>
    <row r="92" spans="1:32" ht="14.4" x14ac:dyDescent="0.3">
      <c r="A92" s="8"/>
      <c r="B92" s="16" t="s">
        <v>93</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row>
    <row r="93" spans="1:32" ht="14.4" x14ac:dyDescent="0.3">
      <c r="A93" s="8"/>
      <c r="B93" s="3061" t="s">
        <v>94</v>
      </c>
      <c r="C93" s="3062"/>
      <c r="D93" s="3062"/>
      <c r="E93" s="3062"/>
      <c r="F93" s="36"/>
      <c r="G93" s="36"/>
      <c r="H93" s="8"/>
      <c r="I93" s="8"/>
      <c r="J93" s="8"/>
      <c r="K93" s="8"/>
      <c r="L93" s="8"/>
      <c r="M93" s="8"/>
      <c r="N93" s="8"/>
      <c r="O93" s="8"/>
      <c r="P93" s="8"/>
      <c r="Q93" s="8"/>
      <c r="R93" s="8"/>
      <c r="S93" s="8"/>
      <c r="T93" s="8"/>
      <c r="U93" s="8"/>
      <c r="V93" s="8"/>
      <c r="W93" s="8"/>
      <c r="X93" s="8"/>
      <c r="Y93" s="8"/>
      <c r="Z93" s="8"/>
      <c r="AA93" s="8"/>
      <c r="AB93" s="8"/>
      <c r="AC93" s="8"/>
      <c r="AD93" s="8"/>
      <c r="AE93" s="8"/>
      <c r="AF93" s="8"/>
    </row>
    <row r="94" spans="1:32" x14ac:dyDescent="0.35">
      <c r="A94" s="8"/>
      <c r="B94" s="37"/>
      <c r="C94" s="38">
        <v>2006</v>
      </c>
      <c r="D94" s="38">
        <v>2011</v>
      </c>
      <c r="E94" s="38">
        <v>2014</v>
      </c>
      <c r="F94" s="38">
        <v>2017</v>
      </c>
      <c r="G94" s="39">
        <v>2020</v>
      </c>
      <c r="J94" s="8"/>
      <c r="K94" s="8"/>
      <c r="L94" s="8"/>
      <c r="M94" s="8"/>
      <c r="N94" s="8"/>
      <c r="O94" s="8"/>
      <c r="P94" s="8"/>
      <c r="Q94" s="8"/>
      <c r="R94" s="8"/>
      <c r="S94" s="8"/>
      <c r="T94" s="8"/>
      <c r="U94" s="8"/>
      <c r="V94" s="8"/>
      <c r="W94" s="8"/>
      <c r="X94" s="8"/>
      <c r="Y94" s="8"/>
      <c r="Z94" s="8"/>
      <c r="AA94" s="8"/>
      <c r="AB94" s="8"/>
      <c r="AC94" s="8"/>
      <c r="AD94" s="8"/>
      <c r="AE94" s="8"/>
      <c r="AF94" s="8"/>
    </row>
    <row r="95" spans="1:32" x14ac:dyDescent="0.35">
      <c r="A95" s="8"/>
      <c r="B95" s="40" t="s">
        <v>95</v>
      </c>
      <c r="C95" s="41">
        <v>-0.72</v>
      </c>
      <c r="D95" s="41">
        <v>-0.72</v>
      </c>
      <c r="E95" s="41">
        <v>-0.72</v>
      </c>
      <c r="F95" s="41">
        <v>-0.72</v>
      </c>
      <c r="G95" s="42">
        <v>-0.72</v>
      </c>
      <c r="J95" s="8"/>
      <c r="K95" s="8"/>
      <c r="L95" s="8"/>
      <c r="M95" s="8"/>
      <c r="N95" s="8"/>
      <c r="O95" s="8"/>
      <c r="P95" s="8"/>
      <c r="Q95" s="8"/>
      <c r="R95" s="8"/>
      <c r="S95" s="8"/>
      <c r="T95" s="8"/>
      <c r="U95" s="8"/>
      <c r="V95" s="8"/>
      <c r="W95" s="8"/>
      <c r="X95" s="8"/>
      <c r="Y95" s="8"/>
      <c r="Z95" s="8"/>
      <c r="AA95" s="8"/>
      <c r="AB95" s="8"/>
      <c r="AC95" s="8"/>
      <c r="AD95" s="8"/>
      <c r="AE95" s="8"/>
      <c r="AF95" s="8"/>
    </row>
    <row r="96" spans="1:32" ht="14.4" x14ac:dyDescent="0.3">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row>
    <row r="97" spans="1:32" ht="14.4" x14ac:dyDescent="0.3">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row>
    <row r="98" spans="1:32" ht="14.4" x14ac:dyDescent="0.3">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row>
    <row r="99" spans="1:32" ht="14.4" x14ac:dyDescent="0.3">
      <c r="A99" s="8"/>
      <c r="B99" s="14" t="s">
        <v>39</v>
      </c>
      <c r="C99" s="15"/>
      <c r="D99" s="15"/>
      <c r="E99" s="15"/>
      <c r="F99" s="15"/>
      <c r="G99" s="15"/>
      <c r="H99" s="8"/>
      <c r="I99" s="8"/>
      <c r="J99" s="8"/>
      <c r="K99" s="8"/>
      <c r="L99" s="8"/>
      <c r="M99" s="8"/>
      <c r="N99" s="8"/>
      <c r="O99" s="8"/>
      <c r="P99" s="8"/>
      <c r="Q99" s="8"/>
      <c r="R99" s="8"/>
      <c r="S99" s="8"/>
      <c r="T99" s="8"/>
      <c r="U99" s="8"/>
      <c r="V99" s="8"/>
      <c r="W99" s="8"/>
      <c r="X99" s="8"/>
      <c r="Y99" s="8"/>
      <c r="Z99" s="8"/>
      <c r="AA99" s="8"/>
      <c r="AB99" s="8"/>
      <c r="AC99" s="8"/>
      <c r="AD99" s="8"/>
      <c r="AE99" s="8"/>
      <c r="AF99" s="8"/>
    </row>
    <row r="100" spans="1:32" ht="14.4" x14ac:dyDescent="0.3">
      <c r="A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row>
    <row r="101" spans="1:32" ht="36.6" x14ac:dyDescent="0.3">
      <c r="A101" s="8"/>
      <c r="B101" s="43" t="s">
        <v>49</v>
      </c>
      <c r="C101" s="44" t="s">
        <v>96</v>
      </c>
      <c r="D101" s="44" t="s">
        <v>97</v>
      </c>
      <c r="E101" s="44" t="s">
        <v>98</v>
      </c>
      <c r="F101" s="44" t="s">
        <v>99</v>
      </c>
      <c r="G101" s="44" t="s">
        <v>100</v>
      </c>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row>
    <row r="102" spans="1:32" ht="14.4" x14ac:dyDescent="0.3">
      <c r="A102" s="8"/>
      <c r="B102" s="43">
        <v>2020</v>
      </c>
      <c r="C102" s="45">
        <v>4022</v>
      </c>
      <c r="D102" s="46">
        <v>0.01</v>
      </c>
      <c r="E102" s="47">
        <v>1.57</v>
      </c>
      <c r="F102" s="47">
        <f t="shared" ref="F102:F106" si="1">K$6</f>
        <v>265</v>
      </c>
      <c r="G102" s="48">
        <f t="shared" ref="G102:G106" si="2">C102*D102*E102*F102/1000000</f>
        <v>1.6733530999999999E-2</v>
      </c>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row>
    <row r="103" spans="1:32" ht="14.4" x14ac:dyDescent="0.3">
      <c r="A103" s="8"/>
      <c r="B103" s="43">
        <v>2017</v>
      </c>
      <c r="C103" s="49">
        <v>4022</v>
      </c>
      <c r="D103" s="50">
        <v>0.01</v>
      </c>
      <c r="E103" s="43">
        <v>1.57</v>
      </c>
      <c r="F103" s="47">
        <f t="shared" si="1"/>
        <v>265</v>
      </c>
      <c r="G103" s="48">
        <f t="shared" si="2"/>
        <v>1.6733530999999999E-2</v>
      </c>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row>
    <row r="104" spans="1:32" ht="14.4" x14ac:dyDescent="0.3">
      <c r="A104" s="8"/>
      <c r="B104" s="43">
        <v>2014</v>
      </c>
      <c r="C104" s="49">
        <v>4022</v>
      </c>
      <c r="D104" s="50">
        <v>0.01</v>
      </c>
      <c r="E104" s="43">
        <v>1.57</v>
      </c>
      <c r="F104" s="47">
        <f t="shared" si="1"/>
        <v>265</v>
      </c>
      <c r="G104" s="48">
        <f t="shared" si="2"/>
        <v>1.6733530999999999E-2</v>
      </c>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row>
    <row r="105" spans="1:32" ht="14.4" x14ac:dyDescent="0.3">
      <c r="A105" s="8"/>
      <c r="B105" s="43">
        <v>2011</v>
      </c>
      <c r="C105" s="49">
        <v>3993</v>
      </c>
      <c r="D105" s="50">
        <v>0.01</v>
      </c>
      <c r="E105" s="43">
        <v>1.57</v>
      </c>
      <c r="F105" s="47">
        <f t="shared" si="1"/>
        <v>265</v>
      </c>
      <c r="G105" s="48">
        <f t="shared" si="2"/>
        <v>1.6612876499999998E-2</v>
      </c>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spans="1:32" ht="14.4" x14ac:dyDescent="0.3">
      <c r="A106" s="8"/>
      <c r="B106" s="43">
        <v>2006</v>
      </c>
      <c r="C106" s="49">
        <v>4686</v>
      </c>
      <c r="D106" s="50">
        <v>0.01</v>
      </c>
      <c r="E106" s="43">
        <v>1.57</v>
      </c>
      <c r="F106" s="47">
        <f t="shared" si="1"/>
        <v>265</v>
      </c>
      <c r="G106" s="48">
        <f t="shared" si="2"/>
        <v>1.9496103000000001E-2</v>
      </c>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row>
    <row r="107" spans="1:32" ht="14.4" x14ac:dyDescent="0.3">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row>
    <row r="108" spans="1:32" ht="14.4" x14ac:dyDescent="0.3">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row>
    <row r="109" spans="1:32" ht="14.4" x14ac:dyDescent="0.3">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row>
    <row r="110" spans="1:32" ht="14.4" x14ac:dyDescent="0.3">
      <c r="A110" s="8"/>
      <c r="B110" s="14" t="s">
        <v>40</v>
      </c>
      <c r="C110" s="15"/>
      <c r="D110" s="15"/>
      <c r="E110" s="15"/>
      <c r="F110" s="15"/>
      <c r="G110" s="15"/>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row>
    <row r="111" spans="1:32" ht="14.4" x14ac:dyDescent="0.3">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row>
    <row r="112" spans="1:32" ht="14.4" x14ac:dyDescent="0.3">
      <c r="A112" s="8"/>
      <c r="B112" s="8"/>
      <c r="C112" s="3063" t="s">
        <v>101</v>
      </c>
      <c r="D112" s="2992"/>
      <c r="E112" s="2992"/>
      <c r="F112" s="2992"/>
      <c r="G112" s="2969"/>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row>
    <row r="113" spans="1:32" ht="14.4" x14ac:dyDescent="0.3">
      <c r="A113" s="8"/>
      <c r="B113" s="51"/>
      <c r="C113" s="52">
        <v>2006</v>
      </c>
      <c r="D113" s="52">
        <v>2011</v>
      </c>
      <c r="E113" s="52">
        <v>2014</v>
      </c>
      <c r="F113" s="52">
        <v>2017</v>
      </c>
      <c r="G113" s="52">
        <v>2020</v>
      </c>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row>
    <row r="114" spans="1:32" ht="14.4" x14ac:dyDescent="0.3">
      <c r="A114" s="8"/>
      <c r="B114" s="53" t="s">
        <v>102</v>
      </c>
      <c r="C114" s="54">
        <v>2458</v>
      </c>
      <c r="D114" s="54">
        <v>3363</v>
      </c>
      <c r="E114" s="54">
        <v>696</v>
      </c>
      <c r="F114" s="54">
        <v>880</v>
      </c>
      <c r="G114" s="54">
        <v>575.29999999999995</v>
      </c>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row>
    <row r="115" spans="1:32" ht="14.4" x14ac:dyDescent="0.3">
      <c r="A115" s="8"/>
      <c r="B115" s="55" t="s">
        <v>103</v>
      </c>
      <c r="C115" s="56">
        <v>152440</v>
      </c>
      <c r="D115" s="56">
        <v>152440</v>
      </c>
      <c r="E115" s="56">
        <v>152440</v>
      </c>
      <c r="F115" s="56">
        <v>152440</v>
      </c>
      <c r="G115" s="56">
        <v>152440</v>
      </c>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row>
    <row r="116" spans="1:32" ht="14.4" x14ac:dyDescent="0.3">
      <c r="A116" s="8"/>
      <c r="B116" s="55" t="s">
        <v>104</v>
      </c>
      <c r="C116" s="57">
        <v>0.45</v>
      </c>
      <c r="D116" s="57">
        <v>0.45</v>
      </c>
      <c r="E116" s="57">
        <v>0.45</v>
      </c>
      <c r="F116" s="57">
        <v>0.45</v>
      </c>
      <c r="G116" s="57">
        <v>0.45</v>
      </c>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row>
    <row r="117" spans="1:32" ht="14.4" x14ac:dyDescent="0.3">
      <c r="A117" s="8"/>
      <c r="B117" s="55"/>
      <c r="C117" s="54"/>
      <c r="D117" s="54"/>
      <c r="E117" s="54"/>
      <c r="F117" s="54"/>
      <c r="G117" s="54"/>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row>
    <row r="118" spans="1:32" ht="14.4" x14ac:dyDescent="0.3">
      <c r="A118" s="8"/>
      <c r="B118" s="55" t="s">
        <v>105</v>
      </c>
      <c r="C118" s="54">
        <v>0.11</v>
      </c>
      <c r="D118" s="54">
        <v>0.11</v>
      </c>
      <c r="E118" s="54">
        <v>0.11</v>
      </c>
      <c r="F118" s="54">
        <v>0.11</v>
      </c>
      <c r="G118" s="54">
        <v>0.11</v>
      </c>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row>
    <row r="119" spans="1:32" ht="14.4" x14ac:dyDescent="0.3">
      <c r="A119" s="8"/>
      <c r="B119" s="53" t="s">
        <v>106</v>
      </c>
      <c r="C119" s="58">
        <f t="shared" ref="C119:G119" si="3">C114*C115*C116*C118/1000000</f>
        <v>18.547527239999997</v>
      </c>
      <c r="D119" s="58">
        <f t="shared" si="3"/>
        <v>25.37645814</v>
      </c>
      <c r="E119" s="58">
        <f t="shared" si="3"/>
        <v>5.25186288</v>
      </c>
      <c r="F119" s="58">
        <f t="shared" si="3"/>
        <v>6.6402864000000008</v>
      </c>
      <c r="G119" s="58">
        <f t="shared" si="3"/>
        <v>4.3410872339999997</v>
      </c>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row>
    <row r="120" spans="1:32" ht="14.4" x14ac:dyDescent="0.3">
      <c r="A120" s="8"/>
      <c r="B120" s="37"/>
      <c r="C120" s="59"/>
      <c r="D120" s="59"/>
      <c r="E120" s="59"/>
      <c r="F120" s="59"/>
      <c r="G120" s="59"/>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row>
    <row r="121" spans="1:32" ht="14.4" x14ac:dyDescent="0.3">
      <c r="A121" s="8"/>
      <c r="B121" s="55" t="s">
        <v>105</v>
      </c>
      <c r="C121" s="54">
        <v>8.1</v>
      </c>
      <c r="D121" s="54">
        <v>8.1</v>
      </c>
      <c r="E121" s="54">
        <v>8.1</v>
      </c>
      <c r="F121" s="54">
        <v>8.1</v>
      </c>
      <c r="G121" s="54">
        <v>8.1</v>
      </c>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row>
    <row r="122" spans="1:32" ht="14.4" x14ac:dyDescent="0.3">
      <c r="A122" s="8"/>
      <c r="B122" s="53" t="s">
        <v>107</v>
      </c>
      <c r="C122" s="60">
        <f t="shared" ref="C122:G122" si="4">(C114*C115*C116*C121)/1000000</f>
        <v>1365.7724603999998</v>
      </c>
      <c r="D122" s="60">
        <f t="shared" si="4"/>
        <v>1868.6300993999998</v>
      </c>
      <c r="E122" s="60">
        <f t="shared" si="4"/>
        <v>386.72808480000003</v>
      </c>
      <c r="F122" s="60">
        <f t="shared" si="4"/>
        <v>488.966544</v>
      </c>
      <c r="G122" s="60">
        <f t="shared" si="4"/>
        <v>319.66187814</v>
      </c>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14.4" x14ac:dyDescent="0.3">
      <c r="A123" s="8"/>
      <c r="B123" s="36"/>
      <c r="C123" s="36"/>
      <c r="D123" s="36"/>
      <c r="E123" s="36"/>
      <c r="F123" s="36"/>
      <c r="G123" s="36"/>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row>
    <row r="124" spans="1:32" ht="14.4" x14ac:dyDescent="0.3">
      <c r="A124" s="8"/>
      <c r="B124" s="37"/>
      <c r="C124" s="3064" t="s">
        <v>108</v>
      </c>
      <c r="D124" s="3062"/>
      <c r="E124" s="3062"/>
      <c r="F124" s="3062"/>
      <c r="G124" s="3065"/>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row>
    <row r="125" spans="1:32" ht="14.4" x14ac:dyDescent="0.3">
      <c r="A125" s="8"/>
      <c r="B125" s="37"/>
      <c r="C125" s="52">
        <v>2006</v>
      </c>
      <c r="D125" s="52">
        <v>2011</v>
      </c>
      <c r="E125" s="52">
        <v>2014</v>
      </c>
      <c r="F125" s="52">
        <v>2017</v>
      </c>
      <c r="G125" s="52">
        <v>2020</v>
      </c>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row>
    <row r="126" spans="1:32" ht="14.4" x14ac:dyDescent="0.3">
      <c r="A126" s="8"/>
      <c r="B126" s="53" t="s">
        <v>102</v>
      </c>
      <c r="C126" s="54">
        <v>202.7</v>
      </c>
      <c r="D126" s="54">
        <v>295.2</v>
      </c>
      <c r="E126" s="54">
        <v>440.5</v>
      </c>
      <c r="F126" s="54">
        <v>604.9</v>
      </c>
      <c r="G126" s="54">
        <v>181.3</v>
      </c>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row>
    <row r="127" spans="1:32" ht="14.4" x14ac:dyDescent="0.3">
      <c r="A127" s="8"/>
      <c r="B127" s="55" t="s">
        <v>103</v>
      </c>
      <c r="C127" s="56">
        <v>152440</v>
      </c>
      <c r="D127" s="56">
        <v>152440</v>
      </c>
      <c r="E127" s="56">
        <v>152440</v>
      </c>
      <c r="F127" s="56">
        <v>152440</v>
      </c>
      <c r="G127" s="56">
        <v>152440</v>
      </c>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row>
    <row r="128" spans="1:32" ht="14.4" x14ac:dyDescent="0.3">
      <c r="A128" s="8"/>
      <c r="B128" s="55" t="s">
        <v>104</v>
      </c>
      <c r="C128" s="57">
        <v>0.72</v>
      </c>
      <c r="D128" s="57">
        <v>0.72</v>
      </c>
      <c r="E128" s="57">
        <v>0.72</v>
      </c>
      <c r="F128" s="57">
        <v>0.72</v>
      </c>
      <c r="G128" s="57">
        <v>0.72</v>
      </c>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row>
    <row r="129" spans="1:32" ht="14.4" x14ac:dyDescent="0.3">
      <c r="A129" s="8"/>
      <c r="B129" s="55"/>
      <c r="C129" s="54"/>
      <c r="D129" s="54"/>
      <c r="E129" s="54"/>
      <c r="F129" s="54"/>
      <c r="G129" s="54"/>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row>
    <row r="130" spans="1:32" ht="14.4" x14ac:dyDescent="0.3">
      <c r="A130" s="8"/>
      <c r="B130" s="55" t="s">
        <v>105</v>
      </c>
      <c r="C130" s="54">
        <v>0.11</v>
      </c>
      <c r="D130" s="54">
        <v>0.11</v>
      </c>
      <c r="E130" s="54">
        <v>0.11</v>
      </c>
      <c r="F130" s="54">
        <v>0.11</v>
      </c>
      <c r="G130" s="54">
        <v>0.11</v>
      </c>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row>
    <row r="131" spans="1:32" ht="14.4" x14ac:dyDescent="0.3">
      <c r="A131" s="8"/>
      <c r="B131" s="53" t="s">
        <v>106</v>
      </c>
      <c r="C131" s="58">
        <f t="shared" ref="C131:G131" si="5">C126*C127*C128*C130/1000000</f>
        <v>2.4472473695999999</v>
      </c>
      <c r="D131" s="58">
        <f t="shared" si="5"/>
        <v>3.5640228096</v>
      </c>
      <c r="E131" s="58">
        <f t="shared" si="5"/>
        <v>5.3182657439999996</v>
      </c>
      <c r="F131" s="58">
        <f t="shared" si="5"/>
        <v>7.3031077152000003</v>
      </c>
      <c r="G131" s="58">
        <f t="shared" si="5"/>
        <v>2.1888798623999999</v>
      </c>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row>
    <row r="132" spans="1:32" ht="14.4" x14ac:dyDescent="0.3">
      <c r="A132" s="8"/>
      <c r="B132" s="37"/>
      <c r="C132" s="59"/>
      <c r="D132" s="59"/>
      <c r="E132" s="59"/>
      <c r="F132" s="59"/>
      <c r="G132" s="59"/>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row>
    <row r="133" spans="1:32" ht="14.4" x14ac:dyDescent="0.3">
      <c r="A133" s="8"/>
      <c r="B133" s="55" t="s">
        <v>105</v>
      </c>
      <c r="C133" s="54">
        <v>8.1</v>
      </c>
      <c r="D133" s="54">
        <v>8.1</v>
      </c>
      <c r="E133" s="54">
        <v>8.1</v>
      </c>
      <c r="F133" s="54">
        <v>8.1</v>
      </c>
      <c r="G133" s="54">
        <v>8.1</v>
      </c>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row>
    <row r="134" spans="1:32" ht="14.4" x14ac:dyDescent="0.3">
      <c r="A134" s="8"/>
      <c r="B134" s="53" t="s">
        <v>107</v>
      </c>
      <c r="C134" s="60">
        <f t="shared" ref="C134:G134" si="6">(C126*C127*C128*C133)/1000000</f>
        <v>180.206397216</v>
      </c>
      <c r="D134" s="60">
        <f t="shared" si="6"/>
        <v>262.44167961599999</v>
      </c>
      <c r="E134" s="60">
        <f t="shared" si="6"/>
        <v>391.61775023999996</v>
      </c>
      <c r="F134" s="60">
        <f t="shared" si="6"/>
        <v>537.774295392</v>
      </c>
      <c r="G134" s="60">
        <f t="shared" si="6"/>
        <v>161.18115350399998</v>
      </c>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row>
    <row r="135" spans="1:32" ht="14.4" x14ac:dyDescent="0.3">
      <c r="A135" s="8"/>
      <c r="B135" s="36"/>
      <c r="C135" s="36"/>
      <c r="D135" s="36"/>
      <c r="E135" s="36"/>
      <c r="F135" s="36"/>
      <c r="G135" s="36"/>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row>
    <row r="136" spans="1:32" ht="14.4" x14ac:dyDescent="0.3">
      <c r="A136" s="8"/>
      <c r="B136" s="37"/>
      <c r="C136" s="52">
        <v>2006</v>
      </c>
      <c r="D136" s="52">
        <v>2011</v>
      </c>
      <c r="E136" s="52">
        <v>2014</v>
      </c>
      <c r="F136" s="52">
        <v>2017</v>
      </c>
      <c r="G136" s="52">
        <v>2020</v>
      </c>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row>
    <row r="137" spans="1:32" ht="14.4" x14ac:dyDescent="0.3">
      <c r="A137" s="8"/>
      <c r="B137" s="53" t="s">
        <v>107</v>
      </c>
      <c r="C137" s="61">
        <f t="shared" ref="C137:G137" si="7">C134+C122</f>
        <v>1545.9788576159997</v>
      </c>
      <c r="D137" s="61">
        <f t="shared" si="7"/>
        <v>2131.0717790159997</v>
      </c>
      <c r="E137" s="61">
        <f t="shared" si="7"/>
        <v>778.34583504</v>
      </c>
      <c r="F137" s="61">
        <f t="shared" si="7"/>
        <v>1026.740839392</v>
      </c>
      <c r="G137" s="61">
        <f t="shared" si="7"/>
        <v>480.84303164400001</v>
      </c>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row>
    <row r="138" spans="1:32" ht="14.4" x14ac:dyDescent="0.3">
      <c r="A138" s="8"/>
      <c r="B138" s="53" t="s">
        <v>109</v>
      </c>
      <c r="C138" s="54">
        <f>$K$5</f>
        <v>28</v>
      </c>
      <c r="D138" s="54">
        <f t="shared" ref="D138:G138" si="8">$K$5</f>
        <v>28</v>
      </c>
      <c r="E138" s="54">
        <f t="shared" si="8"/>
        <v>28</v>
      </c>
      <c r="F138" s="54">
        <f t="shared" si="8"/>
        <v>28</v>
      </c>
      <c r="G138" s="54">
        <f t="shared" si="8"/>
        <v>28</v>
      </c>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row>
    <row r="139" spans="1:32" ht="14.4" x14ac:dyDescent="0.3">
      <c r="A139" s="8"/>
      <c r="B139" s="53" t="s">
        <v>110</v>
      </c>
      <c r="C139" s="62">
        <f t="shared" ref="C139:G139" si="9">(C137*C138)/1000000</f>
        <v>4.3287408013247992E-2</v>
      </c>
      <c r="D139" s="62">
        <f t="shared" si="9"/>
        <v>5.9670009812447994E-2</v>
      </c>
      <c r="E139" s="62">
        <f t="shared" si="9"/>
        <v>2.1793683381120001E-2</v>
      </c>
      <c r="F139" s="62">
        <f t="shared" si="9"/>
        <v>2.8748743502976001E-2</v>
      </c>
      <c r="G139" s="62">
        <f t="shared" si="9"/>
        <v>1.3463604886032E-2</v>
      </c>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row>
    <row r="140" spans="1:32" ht="14.4" x14ac:dyDescent="0.3">
      <c r="A140" s="8"/>
      <c r="B140" s="53" t="s">
        <v>106</v>
      </c>
      <c r="C140" s="63">
        <f t="shared" ref="C140:G140" si="10">C119+C131</f>
        <v>20.994774609599997</v>
      </c>
      <c r="D140" s="63">
        <f t="shared" si="10"/>
        <v>28.940480949600001</v>
      </c>
      <c r="E140" s="63">
        <f t="shared" si="10"/>
        <v>10.570128623999999</v>
      </c>
      <c r="F140" s="63">
        <f t="shared" si="10"/>
        <v>13.9433941152</v>
      </c>
      <c r="G140" s="63">
        <f t="shared" si="10"/>
        <v>6.5299670964000001</v>
      </c>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row>
    <row r="141" spans="1:32" ht="14.4" x14ac:dyDescent="0.3">
      <c r="A141" s="8"/>
      <c r="B141" s="53" t="s">
        <v>99</v>
      </c>
      <c r="C141" s="54">
        <f>$K$6</f>
        <v>265</v>
      </c>
      <c r="D141" s="54">
        <f t="shared" ref="D141:G141" si="11">$K$6</f>
        <v>265</v>
      </c>
      <c r="E141" s="54">
        <f t="shared" si="11"/>
        <v>265</v>
      </c>
      <c r="F141" s="54">
        <f t="shared" si="11"/>
        <v>265</v>
      </c>
      <c r="G141" s="54">
        <f t="shared" si="11"/>
        <v>265</v>
      </c>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row>
    <row r="142" spans="1:32" ht="14.4" x14ac:dyDescent="0.3">
      <c r="A142" s="8"/>
      <c r="B142" s="53" t="s">
        <v>110</v>
      </c>
      <c r="C142" s="62">
        <f t="shared" ref="C142:G142" si="12">(C140*C141)/1000000</f>
        <v>5.5636152715439991E-3</v>
      </c>
      <c r="D142" s="62">
        <f t="shared" si="12"/>
        <v>7.6692274516439998E-3</v>
      </c>
      <c r="E142" s="62">
        <f t="shared" si="12"/>
        <v>2.8010840853599996E-3</v>
      </c>
      <c r="F142" s="62">
        <f t="shared" si="12"/>
        <v>3.694999440528E-3</v>
      </c>
      <c r="G142" s="62">
        <f t="shared" si="12"/>
        <v>1.7304412805459999E-3</v>
      </c>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row>
    <row r="143" spans="1:32" ht="14.4" x14ac:dyDescent="0.3">
      <c r="A143" s="8"/>
      <c r="B143" s="37"/>
      <c r="C143" s="54"/>
      <c r="D143" s="54"/>
      <c r="E143" s="54"/>
      <c r="F143" s="54"/>
      <c r="G143" s="54"/>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row>
    <row r="144" spans="1:32" ht="14.4" x14ac:dyDescent="0.3">
      <c r="A144" s="8"/>
      <c r="B144" s="64" t="s">
        <v>111</v>
      </c>
      <c r="C144" s="58">
        <f t="shared" ref="C144:G144" si="13">C139+C142</f>
        <v>4.8851023284791989E-2</v>
      </c>
      <c r="D144" s="58">
        <f t="shared" si="13"/>
        <v>6.7339237264091995E-2</v>
      </c>
      <c r="E144" s="58">
        <f t="shared" si="13"/>
        <v>2.459476746648E-2</v>
      </c>
      <c r="F144" s="58">
        <f t="shared" si="13"/>
        <v>3.2443742943504002E-2</v>
      </c>
      <c r="G144" s="58">
        <f t="shared" si="13"/>
        <v>1.5194046166578001E-2</v>
      </c>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row>
    <row r="145" spans="1:32" ht="14.4" x14ac:dyDescent="0.3">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row>
    <row r="146" spans="1:32" ht="14.4" x14ac:dyDescent="0.3">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row>
    <row r="147" spans="1:32" ht="14.4" x14ac:dyDescent="0.3">
      <c r="A147" s="8"/>
      <c r="B147" s="14" t="s">
        <v>41</v>
      </c>
      <c r="C147" s="15"/>
      <c r="D147" s="15"/>
      <c r="E147" s="15"/>
      <c r="F147" s="15"/>
      <c r="G147" s="15"/>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row>
    <row r="148" spans="1:32" ht="14.4" x14ac:dyDescent="0.3">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row>
    <row r="149" spans="1:32" ht="14.4" x14ac:dyDescent="0.3">
      <c r="A149" s="8"/>
      <c r="B149" s="65" t="s">
        <v>112</v>
      </c>
      <c r="C149" s="65"/>
      <c r="D149" s="65"/>
      <c r="E149" s="65"/>
      <c r="F149" s="36"/>
      <c r="G149" s="36"/>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row>
    <row r="150" spans="1:32" x14ac:dyDescent="0.35">
      <c r="A150" s="8"/>
      <c r="B150" s="37"/>
      <c r="C150" s="66">
        <v>2006</v>
      </c>
      <c r="D150" s="66">
        <v>2011</v>
      </c>
      <c r="E150" s="66">
        <v>2014</v>
      </c>
      <c r="F150" s="66">
        <v>2017</v>
      </c>
      <c r="G150" s="66" t="s">
        <v>63</v>
      </c>
      <c r="H150" s="3057"/>
      <c r="I150" s="2943"/>
      <c r="J150" s="2943"/>
      <c r="K150" s="8"/>
      <c r="L150" s="8"/>
      <c r="M150" s="8"/>
      <c r="N150" s="8"/>
      <c r="O150" s="8"/>
      <c r="P150" s="8"/>
      <c r="Q150" s="8"/>
      <c r="R150" s="8"/>
      <c r="S150" s="8"/>
      <c r="T150" s="8"/>
      <c r="U150" s="8"/>
      <c r="V150" s="8"/>
      <c r="W150" s="8"/>
      <c r="X150" s="8"/>
      <c r="Y150" s="8"/>
      <c r="Z150" s="8"/>
      <c r="AA150" s="8"/>
      <c r="AB150" s="8"/>
      <c r="AC150" s="8"/>
      <c r="AD150" s="8"/>
      <c r="AE150" s="8"/>
      <c r="AF150" s="8"/>
    </row>
    <row r="151" spans="1:32" x14ac:dyDescent="0.35">
      <c r="A151" s="8"/>
      <c r="B151" s="67" t="s">
        <v>86</v>
      </c>
      <c r="C151" s="68">
        <v>-0.39400000000000002</v>
      </c>
      <c r="D151" s="68">
        <v>-0.29799999999999999</v>
      </c>
      <c r="E151" s="68">
        <v>-0.13600000000000001</v>
      </c>
      <c r="F151" s="68">
        <v>-0.22700000000000001</v>
      </c>
      <c r="G151" s="68">
        <v>-0.16200000000000001</v>
      </c>
      <c r="H151" s="20"/>
      <c r="I151" s="20"/>
      <c r="J151" s="20"/>
      <c r="K151" s="8"/>
      <c r="L151" s="8"/>
      <c r="M151" s="8"/>
      <c r="N151" s="8"/>
      <c r="O151" s="8"/>
      <c r="P151" s="8"/>
      <c r="Q151" s="8"/>
      <c r="R151" s="8"/>
      <c r="S151" s="8"/>
      <c r="T151" s="8"/>
      <c r="U151" s="8"/>
      <c r="V151" s="8"/>
      <c r="W151" s="8"/>
      <c r="X151" s="8"/>
      <c r="Y151" s="8"/>
      <c r="Z151" s="8"/>
      <c r="AA151" s="8"/>
      <c r="AB151" s="8"/>
      <c r="AC151" s="8"/>
      <c r="AD151" s="8"/>
      <c r="AE151" s="8"/>
      <c r="AF151" s="8"/>
    </row>
    <row r="152" spans="1:32" ht="14.4" x14ac:dyDescent="0.3">
      <c r="A152" s="8"/>
      <c r="B152" s="3" t="s">
        <v>77</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1:32" ht="14.4" x14ac:dyDescent="0.3">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row>
    <row r="154" spans="1:32" ht="14.4" x14ac:dyDescent="0.3">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row>
    <row r="155" spans="1:32" ht="14.4" x14ac:dyDescent="0.3">
      <c r="A155" s="8"/>
      <c r="B155" s="14" t="s">
        <v>113</v>
      </c>
      <c r="C155" s="15"/>
      <c r="D155" s="15"/>
      <c r="E155" s="15"/>
      <c r="F155" s="15"/>
      <c r="G155" s="15"/>
      <c r="H155" s="15"/>
      <c r="I155" s="15"/>
      <c r="J155" s="15"/>
      <c r="K155" s="15"/>
      <c r="L155" s="15"/>
      <c r="M155" s="15"/>
      <c r="N155" s="15"/>
      <c r="O155" s="15"/>
      <c r="P155" s="15"/>
      <c r="Q155" s="15"/>
      <c r="R155" s="15"/>
      <c r="S155" s="15"/>
      <c r="T155" s="8"/>
      <c r="U155" s="8"/>
      <c r="V155" s="8"/>
      <c r="W155" s="8"/>
      <c r="X155" s="8"/>
      <c r="Y155" s="8"/>
      <c r="Z155" s="8"/>
      <c r="AA155" s="8"/>
      <c r="AB155" s="8"/>
      <c r="AC155" s="8"/>
      <c r="AD155" s="8"/>
      <c r="AE155" s="8"/>
      <c r="AF155" s="8"/>
    </row>
    <row r="156" spans="1:32" ht="14.4" x14ac:dyDescent="0.3">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row>
    <row r="157" spans="1:32" ht="14.4" x14ac:dyDescent="0.3">
      <c r="A157" s="8"/>
      <c r="B157" s="16" t="s">
        <v>114</v>
      </c>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row>
    <row r="158" spans="1:32" ht="14.4" x14ac:dyDescent="0.3">
      <c r="A158" s="8"/>
      <c r="B158" s="4"/>
      <c r="D158" s="3058" t="s">
        <v>115</v>
      </c>
      <c r="E158" s="2992"/>
      <c r="F158" s="2992"/>
      <c r="G158" s="2992"/>
      <c r="H158" s="2992"/>
      <c r="I158" s="2992"/>
      <c r="J158" s="2969"/>
      <c r="K158" s="8"/>
      <c r="L158" s="8"/>
      <c r="M158" s="8"/>
      <c r="N158" s="8"/>
      <c r="O158" s="8"/>
      <c r="P158" s="8"/>
      <c r="Q158" s="8"/>
      <c r="R158" s="8"/>
      <c r="S158" s="8"/>
      <c r="T158" s="8"/>
      <c r="U158" s="8"/>
      <c r="V158" s="8"/>
      <c r="W158" s="8"/>
      <c r="X158" s="8"/>
      <c r="Y158" s="8"/>
      <c r="Z158" s="8"/>
      <c r="AA158" s="8"/>
      <c r="AB158" s="8"/>
      <c r="AC158" s="8"/>
      <c r="AD158" s="8"/>
      <c r="AE158" s="8"/>
      <c r="AF158" s="8"/>
    </row>
    <row r="159" spans="1:32" ht="14.4" x14ac:dyDescent="0.3">
      <c r="A159" s="8"/>
      <c r="B159" s="69" t="s">
        <v>116</v>
      </c>
      <c r="C159" s="70"/>
      <c r="D159" s="71">
        <v>2006</v>
      </c>
      <c r="E159" s="71">
        <v>2010</v>
      </c>
      <c r="F159" s="71">
        <v>2011</v>
      </c>
      <c r="G159" s="71">
        <v>2014</v>
      </c>
      <c r="H159" s="71">
        <v>2016</v>
      </c>
      <c r="I159" s="71">
        <v>2017</v>
      </c>
      <c r="J159" s="71">
        <v>2020</v>
      </c>
      <c r="K159" s="8"/>
      <c r="L159" s="8"/>
      <c r="M159" s="8"/>
      <c r="N159" s="8"/>
      <c r="O159" s="8"/>
      <c r="P159" s="8"/>
      <c r="Q159" s="8"/>
      <c r="R159" s="8"/>
      <c r="S159" s="8"/>
      <c r="T159" s="8"/>
      <c r="U159" s="8"/>
      <c r="V159" s="8"/>
      <c r="W159" s="8"/>
      <c r="X159" s="8"/>
      <c r="Y159" s="8"/>
      <c r="Z159" s="8"/>
      <c r="AA159" s="8"/>
      <c r="AB159" s="8"/>
      <c r="AC159" s="8"/>
      <c r="AD159" s="8"/>
      <c r="AE159" s="8"/>
      <c r="AF159" s="8"/>
    </row>
    <row r="160" spans="1:32" ht="14.4" x14ac:dyDescent="0.3">
      <c r="A160" s="8"/>
      <c r="B160" s="25" t="s">
        <v>117</v>
      </c>
      <c r="C160" s="70"/>
      <c r="D160" s="72">
        <v>16412.714100000001</v>
      </c>
      <c r="E160" s="72">
        <v>16420.720301999998</v>
      </c>
      <c r="F160" s="72">
        <v>16418</v>
      </c>
      <c r="G160" s="72">
        <v>16409</v>
      </c>
      <c r="H160" s="72">
        <v>16405.152687000002</v>
      </c>
      <c r="I160" s="72">
        <v>16405.152687000002</v>
      </c>
      <c r="J160" s="72">
        <v>16405.152687000002</v>
      </c>
      <c r="K160" s="8"/>
      <c r="L160" s="8"/>
      <c r="M160" s="8"/>
      <c r="N160" s="8"/>
      <c r="O160" s="8"/>
      <c r="P160" s="8"/>
      <c r="Q160" s="8"/>
      <c r="R160" s="8"/>
      <c r="S160" s="8"/>
      <c r="T160" s="8"/>
      <c r="U160" s="8"/>
      <c r="V160" s="8"/>
      <c r="W160" s="8"/>
      <c r="X160" s="8"/>
      <c r="Y160" s="8"/>
      <c r="Z160" s="8"/>
      <c r="AA160" s="8"/>
      <c r="AB160" s="8"/>
      <c r="AC160" s="8"/>
      <c r="AD160" s="8"/>
      <c r="AE160" s="8"/>
      <c r="AF160" s="8"/>
    </row>
    <row r="161" spans="1:32" ht="14.4" x14ac:dyDescent="0.3">
      <c r="A161" s="8"/>
      <c r="B161" s="25" t="s">
        <v>118</v>
      </c>
      <c r="C161" s="70"/>
      <c r="D161" s="72">
        <v>181364.938719</v>
      </c>
      <c r="E161" s="72">
        <v>182982.636241</v>
      </c>
      <c r="F161" s="72">
        <f>E161+((H161-E161)/6)</f>
        <v>182966.21611450001</v>
      </c>
      <c r="G161" s="72">
        <f>E161-(16*4)</f>
        <v>182918.636241</v>
      </c>
      <c r="H161" s="72">
        <v>182884.11548200002</v>
      </c>
      <c r="I161" s="72">
        <v>182884.11548200002</v>
      </c>
      <c r="J161" s="72">
        <v>182884.11548200002</v>
      </c>
      <c r="K161" s="8"/>
      <c r="L161" s="8"/>
      <c r="M161" s="8"/>
      <c r="N161" s="8"/>
      <c r="O161" s="8"/>
      <c r="P161" s="8"/>
      <c r="Q161" s="8"/>
      <c r="R161" s="8"/>
      <c r="S161" s="8"/>
      <c r="T161" s="8"/>
      <c r="U161" s="8"/>
      <c r="V161" s="8"/>
      <c r="W161" s="8"/>
      <c r="X161" s="8"/>
      <c r="Y161" s="8"/>
      <c r="Z161" s="8"/>
      <c r="AA161" s="8"/>
      <c r="AB161" s="8"/>
      <c r="AC161" s="8"/>
      <c r="AD161" s="8"/>
      <c r="AE161" s="8"/>
      <c r="AF161" s="8"/>
    </row>
    <row r="162" spans="1:32" ht="14.4" x14ac:dyDescent="0.3">
      <c r="A162" s="8"/>
      <c r="B162" s="25" t="s">
        <v>119</v>
      </c>
      <c r="C162" s="70"/>
      <c r="D162" s="72">
        <f>5360.61*2.47105</f>
        <v>13246.3353405</v>
      </c>
      <c r="E162" s="72">
        <f>7147.89*2.47105</f>
        <v>17662.793584499999</v>
      </c>
      <c r="F162" s="72">
        <f>4150.79*2.47105</f>
        <v>10256.8096295</v>
      </c>
      <c r="G162" s="72">
        <f>4071.19*2.47105</f>
        <v>10060.1140495</v>
      </c>
      <c r="H162" s="72">
        <f>4600.55*2.47105</f>
        <v>11368.189077500001</v>
      </c>
      <c r="I162" s="72">
        <f>5307.45*2.47105</f>
        <v>13114.9743225</v>
      </c>
      <c r="J162" s="72">
        <f>4925.11*2.47105</f>
        <v>12170.1930655</v>
      </c>
      <c r="K162" s="8"/>
      <c r="L162" s="8"/>
      <c r="M162" s="8"/>
      <c r="N162" s="8"/>
      <c r="O162" s="8"/>
      <c r="P162" s="8"/>
      <c r="Q162" s="8"/>
      <c r="R162" s="8"/>
      <c r="S162" s="8"/>
      <c r="T162" s="8"/>
      <c r="U162" s="8"/>
      <c r="V162" s="8"/>
      <c r="W162" s="8"/>
      <c r="X162" s="8"/>
      <c r="Y162" s="8"/>
      <c r="Z162" s="8"/>
      <c r="AA162" s="8"/>
      <c r="AB162" s="8"/>
      <c r="AC162" s="8"/>
      <c r="AD162" s="8"/>
      <c r="AE162" s="8"/>
      <c r="AF162" s="8"/>
    </row>
    <row r="163" spans="1:32" ht="14.4" x14ac:dyDescent="0.3">
      <c r="A163" s="8"/>
      <c r="B163" s="25" t="s">
        <v>120</v>
      </c>
      <c r="C163" s="70"/>
      <c r="D163" s="72">
        <f>2929.88*2.47105</f>
        <v>7239.8799740000004</v>
      </c>
      <c r="E163" s="72">
        <f>3262.95*2.47105</f>
        <v>8062.9125974999997</v>
      </c>
      <c r="F163" s="72">
        <f>1270.81*2.47105</f>
        <v>3140.2350504999999</v>
      </c>
      <c r="G163" s="72">
        <f>1456.42*2.47105</f>
        <v>3598.8866410000001</v>
      </c>
      <c r="H163" s="72">
        <f>2439.24*2.47105</f>
        <v>6027.4840019999992</v>
      </c>
      <c r="I163" s="72">
        <f>2211.64*2.47105</f>
        <v>5465.0730219999996</v>
      </c>
      <c r="J163" s="72">
        <f>2135.09*2.47105</f>
        <v>5275.9141445000005</v>
      </c>
      <c r="K163" s="8"/>
      <c r="L163" s="8"/>
      <c r="M163" s="8"/>
      <c r="N163" s="8"/>
      <c r="O163" s="8"/>
      <c r="P163" s="8"/>
      <c r="Q163" s="8"/>
      <c r="R163" s="8"/>
      <c r="S163" s="8"/>
      <c r="T163" s="8"/>
      <c r="U163" s="8"/>
      <c r="V163" s="8"/>
      <c r="W163" s="8"/>
      <c r="X163" s="8"/>
      <c r="Y163" s="8"/>
      <c r="Z163" s="8"/>
      <c r="AA163" s="8"/>
      <c r="AB163" s="8"/>
      <c r="AC163" s="8"/>
      <c r="AD163" s="8"/>
      <c r="AE163" s="8"/>
      <c r="AF163" s="8"/>
    </row>
    <row r="164" spans="1:32" ht="14.4" x14ac:dyDescent="0.3">
      <c r="A164" s="8"/>
      <c r="B164" s="25" t="s">
        <v>121</v>
      </c>
      <c r="C164" s="70"/>
      <c r="D164" s="72">
        <f>3889.93*2.47105</f>
        <v>9612.2115264999993</v>
      </c>
      <c r="E164" s="72">
        <f>4903.61*2.47105</f>
        <v>12117.065490499999</v>
      </c>
      <c r="F164" s="72">
        <f>6433.54*2.47105</f>
        <v>15897.599017</v>
      </c>
      <c r="G164" s="72">
        <f>9306.29*2.47105</f>
        <v>22996.307904500001</v>
      </c>
      <c r="H164" s="72">
        <f>15490.41*2.47105</f>
        <v>38277.577630499996</v>
      </c>
      <c r="I164" s="72">
        <f>15849.06*2.47105</f>
        <v>39163.819712999997</v>
      </c>
      <c r="J164" s="72">
        <f>6100.03*2.47105</f>
        <v>15073.479131499998</v>
      </c>
      <c r="K164" s="8"/>
      <c r="L164" s="8"/>
      <c r="M164" s="8"/>
      <c r="N164" s="8"/>
      <c r="O164" s="8"/>
      <c r="P164" s="8"/>
      <c r="Q164" s="8"/>
      <c r="R164" s="8"/>
      <c r="S164" s="8"/>
      <c r="T164" s="8"/>
      <c r="U164" s="8"/>
      <c r="V164" s="8"/>
      <c r="W164" s="8"/>
      <c r="X164" s="8"/>
      <c r="Y164" s="8"/>
      <c r="Z164" s="8"/>
      <c r="AA164" s="8"/>
      <c r="AB164" s="8"/>
      <c r="AC164" s="8"/>
      <c r="AD164" s="8"/>
      <c r="AE164" s="8"/>
      <c r="AF164" s="8"/>
    </row>
    <row r="165" spans="1:32" ht="14.4" x14ac:dyDescent="0.3">
      <c r="A165" s="8"/>
      <c r="B165" s="25" t="s">
        <v>122</v>
      </c>
      <c r="C165" s="70"/>
      <c r="D165" s="73">
        <f>2981.61*2.47105</f>
        <v>7367.7073905000007</v>
      </c>
      <c r="E165" s="73">
        <f>3655.35*2.47105</f>
        <v>9032.5526174999995</v>
      </c>
      <c r="F165" s="73">
        <f>2295.63*2.47105</f>
        <v>5672.6165115000003</v>
      </c>
      <c r="G165" s="73">
        <f>2627.03*2.47105</f>
        <v>6491.5224815000001</v>
      </c>
      <c r="H165" s="73"/>
      <c r="I165" s="73">
        <f>2283.3*2.47105</f>
        <v>5642.1484650000002</v>
      </c>
      <c r="J165" s="73">
        <f>2130.31*2.47105</f>
        <v>5264.1025254999995</v>
      </c>
      <c r="K165" s="8"/>
      <c r="L165" s="8"/>
      <c r="M165" s="8"/>
      <c r="N165" s="8"/>
      <c r="O165" s="8"/>
      <c r="P165" s="8"/>
      <c r="Q165" s="8"/>
      <c r="R165" s="8"/>
      <c r="S165" s="8"/>
      <c r="T165" s="8"/>
      <c r="U165" s="8"/>
      <c r="V165" s="8"/>
      <c r="W165" s="8"/>
      <c r="X165" s="8"/>
      <c r="Y165" s="8"/>
      <c r="Z165" s="8"/>
      <c r="AA165" s="8"/>
      <c r="AB165" s="8"/>
      <c r="AC165" s="8"/>
      <c r="AD165" s="8"/>
      <c r="AE165" s="8"/>
      <c r="AF165" s="8"/>
    </row>
    <row r="166" spans="1:32" ht="14.4" x14ac:dyDescent="0.3">
      <c r="A166" s="8"/>
      <c r="B166" s="25" t="s">
        <v>123</v>
      </c>
      <c r="C166" s="70"/>
      <c r="D166" s="74">
        <f t="shared" ref="D166:J166" si="14">D160+D161</f>
        <v>197777.65281900001</v>
      </c>
      <c r="E166" s="74">
        <f t="shared" si="14"/>
        <v>199403.356543</v>
      </c>
      <c r="F166" s="74">
        <f t="shared" si="14"/>
        <v>199384.21611450001</v>
      </c>
      <c r="G166" s="74">
        <f t="shared" si="14"/>
        <v>199327.636241</v>
      </c>
      <c r="H166" s="74">
        <f t="shared" si="14"/>
        <v>199289.26816900002</v>
      </c>
      <c r="I166" s="74">
        <f t="shared" si="14"/>
        <v>199289.26816900002</v>
      </c>
      <c r="J166" s="74">
        <f t="shared" si="14"/>
        <v>199289.26816900002</v>
      </c>
      <c r="K166" s="8"/>
      <c r="L166" s="8"/>
      <c r="M166" s="8"/>
      <c r="N166" s="8"/>
      <c r="O166" s="8"/>
      <c r="P166" s="8"/>
      <c r="Q166" s="8"/>
      <c r="R166" s="8"/>
      <c r="S166" s="8"/>
      <c r="T166" s="8"/>
      <c r="U166" s="8"/>
      <c r="V166" s="8"/>
      <c r="W166" s="8"/>
      <c r="X166" s="8"/>
      <c r="Y166" s="8"/>
      <c r="Z166" s="8"/>
      <c r="AA166" s="8"/>
      <c r="AB166" s="8"/>
      <c r="AC166" s="8"/>
      <c r="AD166" s="8"/>
      <c r="AE166" s="8"/>
      <c r="AF166" s="8"/>
    </row>
    <row r="167" spans="1:32" ht="14.4" x14ac:dyDescent="0.3">
      <c r="A167" s="8"/>
      <c r="B167" s="25" t="s">
        <v>124</v>
      </c>
      <c r="C167" s="70"/>
      <c r="D167" s="72">
        <f t="shared" ref="D167:J167" si="15">SUM(D162:D165)</f>
        <v>37466.1342315</v>
      </c>
      <c r="E167" s="72">
        <f t="shared" si="15"/>
        <v>46875.324289999997</v>
      </c>
      <c r="F167" s="72">
        <f t="shared" si="15"/>
        <v>34967.260208499996</v>
      </c>
      <c r="G167" s="72">
        <f t="shared" si="15"/>
        <v>43146.831076500006</v>
      </c>
      <c r="H167" s="72">
        <f t="shared" si="15"/>
        <v>55673.250709999993</v>
      </c>
      <c r="I167" s="72">
        <f t="shared" si="15"/>
        <v>63386.015522499998</v>
      </c>
      <c r="J167" s="72">
        <f t="shared" si="15"/>
        <v>37783.688866999997</v>
      </c>
      <c r="K167" s="8"/>
      <c r="L167" s="8"/>
      <c r="M167" s="8"/>
      <c r="N167" s="8"/>
      <c r="O167" s="8"/>
      <c r="P167" s="8"/>
      <c r="Q167" s="8"/>
      <c r="R167" s="8"/>
      <c r="S167" s="8"/>
      <c r="T167" s="8"/>
      <c r="U167" s="8"/>
      <c r="V167" s="8"/>
      <c r="W167" s="8"/>
      <c r="X167" s="8"/>
      <c r="Y167" s="8"/>
      <c r="Z167" s="8"/>
      <c r="AA167" s="8"/>
      <c r="AB167" s="8"/>
      <c r="AC167" s="8"/>
      <c r="AD167" s="8"/>
      <c r="AE167" s="8"/>
      <c r="AF167" s="8"/>
    </row>
    <row r="168" spans="1:32" ht="14.4" x14ac:dyDescent="0.3">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row>
    <row r="169" spans="1:32" ht="14.4" x14ac:dyDescent="0.3">
      <c r="A169" s="8"/>
      <c r="B169" s="8"/>
      <c r="C169" s="1"/>
      <c r="D169" s="3058" t="s">
        <v>125</v>
      </c>
      <c r="E169" s="2992"/>
      <c r="F169" s="2992"/>
      <c r="G169" s="2992"/>
      <c r="H169" s="2992"/>
      <c r="I169" s="2992"/>
      <c r="J169" s="2969"/>
      <c r="K169" s="8"/>
      <c r="L169" s="8"/>
      <c r="M169" s="8"/>
      <c r="N169" s="8"/>
      <c r="O169" s="8"/>
      <c r="P169" s="8"/>
      <c r="Q169" s="8"/>
      <c r="R169" s="8"/>
      <c r="S169" s="8"/>
      <c r="T169" s="8"/>
      <c r="U169" s="8"/>
      <c r="V169" s="8"/>
      <c r="W169" s="8"/>
      <c r="X169" s="8"/>
      <c r="Y169" s="8"/>
      <c r="Z169" s="8"/>
      <c r="AA169" s="8"/>
      <c r="AB169" s="8"/>
      <c r="AC169" s="8"/>
      <c r="AD169" s="8"/>
      <c r="AE169" s="8"/>
      <c r="AF169" s="8"/>
    </row>
    <row r="170" spans="1:32" ht="14.4" x14ac:dyDescent="0.3">
      <c r="A170" s="8"/>
      <c r="B170" s="69" t="s">
        <v>116</v>
      </c>
      <c r="C170" s="75" t="s">
        <v>126</v>
      </c>
      <c r="D170" s="71">
        <v>2006</v>
      </c>
      <c r="E170" s="71">
        <v>2010</v>
      </c>
      <c r="F170" s="71">
        <v>2011</v>
      </c>
      <c r="G170" s="71">
        <v>2014</v>
      </c>
      <c r="H170" s="71">
        <v>2016</v>
      </c>
      <c r="I170" s="71">
        <v>2017</v>
      </c>
      <c r="J170" s="71">
        <v>2020</v>
      </c>
      <c r="K170" s="8"/>
      <c r="L170" s="8"/>
      <c r="M170" s="8"/>
      <c r="N170" s="8"/>
      <c r="O170" s="8"/>
      <c r="P170" s="8"/>
      <c r="Q170" s="8"/>
      <c r="R170" s="8"/>
      <c r="S170" s="8"/>
      <c r="T170" s="8"/>
      <c r="U170" s="8"/>
      <c r="V170" s="8"/>
      <c r="W170" s="8"/>
      <c r="X170" s="8"/>
      <c r="Y170" s="8"/>
      <c r="Z170" s="8"/>
      <c r="AA170" s="8"/>
      <c r="AB170" s="8"/>
      <c r="AC170" s="8"/>
      <c r="AD170" s="8"/>
      <c r="AE170" s="8"/>
      <c r="AF170" s="8"/>
    </row>
    <row r="171" spans="1:32" ht="14.4" x14ac:dyDescent="0.3">
      <c r="A171" s="8"/>
      <c r="B171" s="76" t="s">
        <v>117</v>
      </c>
      <c r="C171" s="77">
        <f t="shared" ref="C171:C172" si="16">-2.067/2.47105*44/12</f>
        <v>-3.0671172173772288</v>
      </c>
      <c r="D171" s="72">
        <f t="shared" ref="D171:J171" si="17">$C171*D160</f>
        <v>-50339.718000000008</v>
      </c>
      <c r="E171" s="72">
        <f t="shared" si="17"/>
        <v>-50364.273959999999</v>
      </c>
      <c r="F171" s="72">
        <f t="shared" si="17"/>
        <v>-50355.930474899338</v>
      </c>
      <c r="G171" s="72">
        <f t="shared" si="17"/>
        <v>-50328.326419942947</v>
      </c>
      <c r="H171" s="72">
        <f t="shared" si="17"/>
        <v>-50316.526260000013</v>
      </c>
      <c r="I171" s="72">
        <f t="shared" si="17"/>
        <v>-50316.526260000013</v>
      </c>
      <c r="J171" s="72">
        <f t="shared" si="17"/>
        <v>-50316.526260000013</v>
      </c>
      <c r="K171" s="8"/>
      <c r="L171" s="8"/>
      <c r="M171" s="8"/>
      <c r="N171" s="8"/>
      <c r="O171" s="8"/>
      <c r="P171" s="8"/>
      <c r="Q171" s="8"/>
      <c r="R171" s="8"/>
      <c r="S171" s="8"/>
      <c r="T171" s="8"/>
      <c r="U171" s="8"/>
      <c r="V171" s="8"/>
      <c r="W171" s="8"/>
      <c r="X171" s="8"/>
      <c r="Y171" s="8"/>
      <c r="Z171" s="8"/>
      <c r="AA171" s="8"/>
      <c r="AB171" s="8"/>
      <c r="AC171" s="8"/>
      <c r="AD171" s="8"/>
      <c r="AE171" s="8"/>
      <c r="AF171" s="8"/>
    </row>
    <row r="172" spans="1:32" ht="14.4" x14ac:dyDescent="0.3">
      <c r="A172" s="8"/>
      <c r="B172" s="76" t="s">
        <v>118</v>
      </c>
      <c r="C172" s="77">
        <f t="shared" si="16"/>
        <v>-3.0671172173772288</v>
      </c>
      <c r="D172" s="72">
        <f t="shared" ref="D172:J172" si="18">$C172*D161</f>
        <v>-556267.52617361094</v>
      </c>
      <c r="E172" s="72">
        <f t="shared" si="18"/>
        <v>-561229.19409584557</v>
      </c>
      <c r="F172" s="72">
        <f t="shared" si="18"/>
        <v>-561178.831643146</v>
      </c>
      <c r="G172" s="72">
        <f t="shared" si="18"/>
        <v>-561032.89859393344</v>
      </c>
      <c r="H172" s="72">
        <f t="shared" si="18"/>
        <v>-560927.01937964768</v>
      </c>
      <c r="I172" s="72">
        <f t="shared" si="18"/>
        <v>-560927.01937964768</v>
      </c>
      <c r="J172" s="72">
        <f t="shared" si="18"/>
        <v>-560927.01937964768</v>
      </c>
      <c r="K172" s="8"/>
      <c r="L172" s="8"/>
      <c r="M172" s="8"/>
      <c r="N172" s="8"/>
      <c r="O172" s="8"/>
      <c r="P172" s="8"/>
      <c r="Q172" s="8"/>
      <c r="R172" s="8"/>
      <c r="S172" s="8"/>
      <c r="T172" s="8"/>
      <c r="U172" s="8"/>
      <c r="V172" s="8"/>
      <c r="W172" s="8"/>
      <c r="X172" s="8"/>
      <c r="Y172" s="8"/>
      <c r="Z172" s="8"/>
      <c r="AA172" s="8"/>
      <c r="AB172" s="8"/>
      <c r="AC172" s="8"/>
      <c r="AD172" s="8"/>
      <c r="AE172" s="8"/>
      <c r="AF172" s="8"/>
    </row>
    <row r="173" spans="1:32" ht="14.4" x14ac:dyDescent="0.3">
      <c r="A173" s="8"/>
      <c r="B173" s="76" t="s">
        <v>119</v>
      </c>
      <c r="C173" s="77">
        <f>-1.111/2.47105</f>
        <v>-0.44960644260537019</v>
      </c>
      <c r="D173" s="72">
        <f t="shared" ref="D173:J173" si="19">$C173*D162</f>
        <v>-5955.63771</v>
      </c>
      <c r="E173" s="72">
        <f t="shared" si="19"/>
        <v>-7941.3057899999994</v>
      </c>
      <c r="F173" s="72">
        <f t="shared" si="19"/>
        <v>-4611.5276899999999</v>
      </c>
      <c r="G173" s="72">
        <f t="shared" si="19"/>
        <v>-4523.0920900000001</v>
      </c>
      <c r="H173" s="72">
        <f t="shared" si="19"/>
        <v>-5111.2110500000008</v>
      </c>
      <c r="I173" s="72">
        <f t="shared" si="19"/>
        <v>-5896.5769500000006</v>
      </c>
      <c r="J173" s="72">
        <f t="shared" si="19"/>
        <v>-5471.7972099999997</v>
      </c>
      <c r="K173" s="8"/>
      <c r="L173" s="8"/>
      <c r="M173" s="8"/>
      <c r="N173" s="8"/>
      <c r="O173" s="8"/>
      <c r="P173" s="8"/>
      <c r="Q173" s="8"/>
      <c r="R173" s="8"/>
      <c r="S173" s="8"/>
      <c r="T173" s="8"/>
      <c r="U173" s="8"/>
      <c r="V173" s="8"/>
      <c r="W173" s="8"/>
      <c r="X173" s="8"/>
      <c r="Y173" s="8"/>
      <c r="Z173" s="8"/>
      <c r="AA173" s="8"/>
      <c r="AB173" s="8"/>
      <c r="AC173" s="8"/>
      <c r="AD173" s="8"/>
      <c r="AE173" s="8"/>
      <c r="AF173" s="8"/>
    </row>
    <row r="174" spans="1:32" ht="14.4" x14ac:dyDescent="0.3">
      <c r="A174" s="8"/>
      <c r="B174" s="76" t="s">
        <v>120</v>
      </c>
      <c r="C174" s="77">
        <f>-1.1/2.47105</f>
        <v>-0.44515489366868338</v>
      </c>
      <c r="D174" s="72">
        <f t="shared" ref="D174:J174" si="20">$C174*D163</f>
        <v>-3222.8680000000004</v>
      </c>
      <c r="E174" s="72">
        <f t="shared" si="20"/>
        <v>-3589.2449999999999</v>
      </c>
      <c r="F174" s="72">
        <f t="shared" si="20"/>
        <v>-1397.8910000000001</v>
      </c>
      <c r="G174" s="72">
        <f t="shared" si="20"/>
        <v>-1602.0620000000001</v>
      </c>
      <c r="H174" s="72">
        <f t="shared" si="20"/>
        <v>-2683.1639999999998</v>
      </c>
      <c r="I174" s="72">
        <f t="shared" si="20"/>
        <v>-2432.8040000000001</v>
      </c>
      <c r="J174" s="72">
        <f t="shared" si="20"/>
        <v>-2348.5990000000002</v>
      </c>
      <c r="K174" s="8"/>
      <c r="L174" s="8"/>
      <c r="M174" s="8"/>
      <c r="N174" s="8"/>
      <c r="O174" s="8"/>
      <c r="P174" s="8"/>
      <c r="Q174" s="8"/>
      <c r="R174" s="8"/>
      <c r="S174" s="8"/>
      <c r="T174" s="8"/>
      <c r="U174" s="8"/>
      <c r="V174" s="8"/>
      <c r="W174" s="8"/>
      <c r="X174" s="8"/>
      <c r="Y174" s="8"/>
      <c r="Z174" s="8"/>
      <c r="AA174" s="8"/>
      <c r="AB174" s="8"/>
      <c r="AC174" s="8"/>
      <c r="AD174" s="8"/>
      <c r="AE174" s="8"/>
      <c r="AF174" s="8"/>
    </row>
    <row r="175" spans="1:32" ht="14.4" x14ac:dyDescent="0.3">
      <c r="A175" s="8"/>
      <c r="B175" s="76" t="s">
        <v>121</v>
      </c>
      <c r="C175" s="77">
        <f>-0.38/2.47105</f>
        <v>-0.15378078144918153</v>
      </c>
      <c r="D175" s="72">
        <f t="shared" ref="D175:J175" si="21">$C175*D164</f>
        <v>-1478.1733999999999</v>
      </c>
      <c r="E175" s="72">
        <f t="shared" si="21"/>
        <v>-1863.3717999999999</v>
      </c>
      <c r="F175" s="72">
        <f t="shared" si="21"/>
        <v>-2444.7452000000003</v>
      </c>
      <c r="G175" s="72">
        <f t="shared" si="21"/>
        <v>-3536.3902000000003</v>
      </c>
      <c r="H175" s="72">
        <f t="shared" si="21"/>
        <v>-5886.3557999999994</v>
      </c>
      <c r="I175" s="72">
        <f t="shared" si="21"/>
        <v>-6022.6427999999996</v>
      </c>
      <c r="J175" s="72">
        <f t="shared" si="21"/>
        <v>-2318.0113999999999</v>
      </c>
      <c r="K175" s="8"/>
      <c r="L175" s="8"/>
      <c r="M175" s="8"/>
      <c r="N175" s="8"/>
      <c r="O175" s="8"/>
      <c r="P175" s="8"/>
      <c r="Q175" s="8"/>
      <c r="R175" s="8"/>
      <c r="S175" s="8"/>
      <c r="T175" s="8"/>
      <c r="U175" s="8"/>
      <c r="V175" s="8"/>
      <c r="W175" s="8"/>
      <c r="X175" s="8"/>
      <c r="Y175" s="8"/>
      <c r="Z175" s="8"/>
      <c r="AA175" s="8"/>
      <c r="AB175" s="8"/>
      <c r="AC175" s="8"/>
      <c r="AD175" s="8"/>
      <c r="AE175" s="8"/>
      <c r="AF175" s="8"/>
    </row>
    <row r="176" spans="1:32" ht="14.4" x14ac:dyDescent="0.3">
      <c r="A176" s="8"/>
      <c r="B176" s="78" t="s">
        <v>122</v>
      </c>
      <c r="C176" s="79">
        <f>-1.01/2.47105</f>
        <v>-0.40873312964124564</v>
      </c>
      <c r="D176" s="73">
        <f t="shared" ref="D176:J176" si="22">$C176*D165</f>
        <v>-3011.4261000000006</v>
      </c>
      <c r="E176" s="73">
        <f t="shared" si="22"/>
        <v>-3691.9034999999999</v>
      </c>
      <c r="F176" s="73">
        <f t="shared" si="22"/>
        <v>-2318.5863000000004</v>
      </c>
      <c r="G176" s="73">
        <f t="shared" si="22"/>
        <v>-2653.3003000000003</v>
      </c>
      <c r="H176" s="73">
        <f t="shared" si="22"/>
        <v>0</v>
      </c>
      <c r="I176" s="73">
        <f t="shared" si="22"/>
        <v>-2306.1330000000003</v>
      </c>
      <c r="J176" s="73">
        <f t="shared" si="22"/>
        <v>-2151.6131</v>
      </c>
      <c r="K176" s="8"/>
      <c r="L176" s="8"/>
      <c r="M176" s="8"/>
      <c r="N176" s="8"/>
      <c r="O176" s="8"/>
      <c r="P176" s="8"/>
      <c r="Q176" s="8"/>
      <c r="R176" s="8"/>
      <c r="S176" s="8"/>
      <c r="T176" s="8"/>
      <c r="U176" s="8"/>
      <c r="V176" s="8"/>
      <c r="W176" s="8"/>
      <c r="X176" s="8"/>
      <c r="Y176" s="8"/>
      <c r="Z176" s="8"/>
      <c r="AA176" s="8"/>
      <c r="AB176" s="8"/>
      <c r="AC176" s="8"/>
      <c r="AD176" s="8"/>
      <c r="AE176" s="8"/>
      <c r="AF176" s="8"/>
    </row>
    <row r="177" spans="1:32" ht="14.4" x14ac:dyDescent="0.3">
      <c r="A177" s="8"/>
      <c r="B177" s="80" t="s">
        <v>123</v>
      </c>
      <c r="C177" s="81"/>
      <c r="D177" s="74">
        <f t="shared" ref="D177:J177" si="23">SUM(D171:D172)</f>
        <v>-606607.24417361093</v>
      </c>
      <c r="E177" s="74">
        <f t="shared" si="23"/>
        <v>-611593.46805584559</v>
      </c>
      <c r="F177" s="74">
        <f t="shared" si="23"/>
        <v>-611534.76211804536</v>
      </c>
      <c r="G177" s="74">
        <f t="shared" si="23"/>
        <v>-611361.22501387633</v>
      </c>
      <c r="H177" s="74">
        <f t="shared" si="23"/>
        <v>-611243.54563964764</v>
      </c>
      <c r="I177" s="74">
        <f t="shared" si="23"/>
        <v>-611243.54563964764</v>
      </c>
      <c r="J177" s="74">
        <f t="shared" si="23"/>
        <v>-611243.54563964764</v>
      </c>
      <c r="K177" s="8"/>
      <c r="L177" s="8"/>
      <c r="M177" s="8"/>
      <c r="N177" s="8"/>
      <c r="O177" s="8"/>
      <c r="P177" s="8"/>
      <c r="Q177" s="8"/>
      <c r="R177" s="8"/>
      <c r="S177" s="8"/>
      <c r="T177" s="8"/>
      <c r="U177" s="8"/>
      <c r="V177" s="8"/>
      <c r="W177" s="8"/>
      <c r="X177" s="8"/>
      <c r="Y177" s="8"/>
      <c r="Z177" s="8"/>
      <c r="AA177" s="8"/>
      <c r="AB177" s="8"/>
      <c r="AC177" s="8"/>
      <c r="AD177" s="8"/>
      <c r="AE177" s="8"/>
      <c r="AF177" s="8"/>
    </row>
    <row r="178" spans="1:32" ht="14.4" x14ac:dyDescent="0.3">
      <c r="A178" s="8"/>
      <c r="B178" s="76" t="s">
        <v>124</v>
      </c>
      <c r="C178" s="51"/>
      <c r="D178" s="72">
        <f t="shared" ref="D178:J178" si="24">SUM(D173:D176)</f>
        <v>-13668.105210000002</v>
      </c>
      <c r="E178" s="72">
        <f t="shared" si="24"/>
        <v>-17085.826089999999</v>
      </c>
      <c r="F178" s="72">
        <f t="shared" si="24"/>
        <v>-10772.750190000001</v>
      </c>
      <c r="G178" s="72">
        <f t="shared" si="24"/>
        <v>-12314.844590000001</v>
      </c>
      <c r="H178" s="72">
        <f t="shared" si="24"/>
        <v>-13680.73085</v>
      </c>
      <c r="I178" s="72">
        <f t="shared" si="24"/>
        <v>-16658.156750000002</v>
      </c>
      <c r="J178" s="72">
        <f t="shared" si="24"/>
        <v>-12290.020710000001</v>
      </c>
      <c r="K178" s="8"/>
      <c r="L178" s="8"/>
      <c r="M178" s="8"/>
      <c r="N178" s="8"/>
      <c r="O178" s="8"/>
      <c r="P178" s="8"/>
      <c r="Q178" s="8"/>
      <c r="R178" s="8"/>
      <c r="S178" s="8"/>
      <c r="T178" s="8"/>
      <c r="U178" s="8"/>
      <c r="V178" s="8"/>
      <c r="W178" s="8"/>
      <c r="X178" s="8"/>
      <c r="Y178" s="8"/>
      <c r="Z178" s="8"/>
      <c r="AA178" s="8"/>
      <c r="AB178" s="8"/>
      <c r="AC178" s="8"/>
      <c r="AD178" s="8"/>
      <c r="AE178" s="8"/>
      <c r="AF178" s="8"/>
    </row>
    <row r="179" spans="1:32" ht="14.4" x14ac:dyDescent="0.3">
      <c r="A179" s="8"/>
      <c r="B179" s="1"/>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row>
    <row r="180" spans="1:32" ht="14.4" x14ac:dyDescent="0.3">
      <c r="A180" s="8"/>
      <c r="B180" s="8"/>
      <c r="C180" s="1"/>
      <c r="D180" s="3058" t="s">
        <v>127</v>
      </c>
      <c r="E180" s="2992"/>
      <c r="F180" s="2992"/>
      <c r="G180" s="2992"/>
      <c r="H180" s="2992"/>
      <c r="I180" s="2992"/>
      <c r="J180" s="2969"/>
      <c r="K180" s="8"/>
      <c r="L180" s="8"/>
      <c r="M180" s="8"/>
      <c r="N180" s="8"/>
      <c r="O180" s="8"/>
      <c r="P180" s="8"/>
      <c r="Q180" s="8"/>
      <c r="R180" s="8"/>
      <c r="S180" s="8"/>
      <c r="T180" s="8"/>
      <c r="U180" s="8"/>
      <c r="V180" s="8"/>
      <c r="W180" s="8"/>
      <c r="X180" s="8"/>
      <c r="Y180" s="8"/>
      <c r="Z180" s="8"/>
      <c r="AA180" s="8"/>
      <c r="AB180" s="8"/>
      <c r="AC180" s="8"/>
      <c r="AD180" s="8"/>
      <c r="AE180" s="8"/>
      <c r="AF180" s="8"/>
    </row>
    <row r="181" spans="1:32" ht="14.4" x14ac:dyDescent="0.3">
      <c r="A181" s="8"/>
      <c r="B181" s="69" t="s">
        <v>116</v>
      </c>
      <c r="C181" s="75" t="s">
        <v>128</v>
      </c>
      <c r="D181" s="82">
        <v>2006</v>
      </c>
      <c r="E181" s="82">
        <v>2010</v>
      </c>
      <c r="F181" s="82">
        <v>2011</v>
      </c>
      <c r="G181" s="82">
        <v>2014</v>
      </c>
      <c r="H181" s="82">
        <v>2016</v>
      </c>
      <c r="I181" s="82">
        <v>2017</v>
      </c>
      <c r="J181" s="82">
        <v>2020</v>
      </c>
      <c r="K181" s="8"/>
      <c r="L181" s="8"/>
      <c r="M181" s="8"/>
      <c r="N181" s="8"/>
      <c r="O181" s="8"/>
      <c r="P181" s="8"/>
      <c r="Q181" s="8"/>
      <c r="R181" s="8"/>
      <c r="S181" s="8"/>
      <c r="T181" s="8"/>
      <c r="U181" s="8"/>
      <c r="V181" s="8"/>
      <c r="W181" s="8"/>
      <c r="X181" s="8"/>
      <c r="Y181" s="8"/>
      <c r="Z181" s="8"/>
      <c r="AA181" s="8"/>
      <c r="AB181" s="8"/>
      <c r="AC181" s="8"/>
      <c r="AD181" s="8"/>
      <c r="AE181" s="8"/>
      <c r="AF181" s="8"/>
    </row>
    <row r="182" spans="1:32" ht="14.4" x14ac:dyDescent="0.3">
      <c r="A182" s="8"/>
      <c r="B182" s="76" t="s">
        <v>117</v>
      </c>
      <c r="C182" s="83">
        <f>0.00747375141244849/2.47105</f>
        <v>3.0245245593769816E-3</v>
      </c>
      <c r="D182" s="72">
        <f t="shared" ref="D182:J182" si="25">$C182*D160</f>
        <v>49.640656881482876</v>
      </c>
      <c r="E182" s="72">
        <f t="shared" si="25"/>
        <v>49.664871836059199</v>
      </c>
      <c r="F182" s="72">
        <f t="shared" si="25"/>
        <v>49.656644215851287</v>
      </c>
      <c r="G182" s="72">
        <f t="shared" si="25"/>
        <v>49.629423494816891</v>
      </c>
      <c r="H182" s="72">
        <f t="shared" si="25"/>
        <v>49.617787202160784</v>
      </c>
      <c r="I182" s="72">
        <f t="shared" si="25"/>
        <v>49.617787202160784</v>
      </c>
      <c r="J182" s="72">
        <f t="shared" si="25"/>
        <v>49.617787202160784</v>
      </c>
      <c r="K182" s="8"/>
      <c r="L182" s="8"/>
      <c r="M182" s="8"/>
      <c r="N182" s="8"/>
      <c r="O182" s="8"/>
      <c r="P182" s="8"/>
      <c r="Q182" s="8"/>
      <c r="R182" s="8"/>
      <c r="S182" s="8"/>
      <c r="T182" s="8"/>
      <c r="U182" s="8"/>
      <c r="V182" s="8"/>
      <c r="W182" s="8"/>
      <c r="X182" s="8"/>
      <c r="Y182" s="8"/>
      <c r="Z182" s="8"/>
      <c r="AA182" s="8"/>
      <c r="AB182" s="8"/>
      <c r="AC182" s="8"/>
      <c r="AD182" s="8"/>
      <c r="AE182" s="8"/>
      <c r="AF182" s="8"/>
    </row>
    <row r="183" spans="1:32" ht="14.4" x14ac:dyDescent="0.3">
      <c r="A183" s="8"/>
      <c r="B183" s="76" t="s">
        <v>118</v>
      </c>
      <c r="C183" s="83">
        <f>0.147994684096754/2.47105</f>
        <v>5.989141623874629E-2</v>
      </c>
      <c r="D183" s="72">
        <f t="shared" ref="D183:J183" si="26">$C183*D161</f>
        <v>10862.203035934343</v>
      </c>
      <c r="E183" s="72">
        <f t="shared" si="26"/>
        <v>10959.089231572832</v>
      </c>
      <c r="F183" s="72">
        <f t="shared" si="26"/>
        <v>10958.105806941929</v>
      </c>
      <c r="G183" s="72">
        <f t="shared" si="26"/>
        <v>10955.256180933553</v>
      </c>
      <c r="H183" s="72">
        <f t="shared" si="26"/>
        <v>10953.188683787408</v>
      </c>
      <c r="I183" s="72">
        <f t="shared" si="26"/>
        <v>10953.188683787408</v>
      </c>
      <c r="J183" s="72">
        <f t="shared" si="26"/>
        <v>10953.188683787408</v>
      </c>
      <c r="K183" s="8"/>
      <c r="L183" s="8"/>
      <c r="M183" s="8"/>
      <c r="N183" s="8"/>
      <c r="O183" s="8"/>
      <c r="P183" s="8"/>
      <c r="Q183" s="8"/>
      <c r="R183" s="8"/>
      <c r="S183" s="8"/>
      <c r="T183" s="8"/>
      <c r="U183" s="8"/>
      <c r="V183" s="8"/>
      <c r="W183" s="8"/>
      <c r="X183" s="8"/>
      <c r="Y183" s="8"/>
      <c r="Z183" s="8"/>
      <c r="AA183" s="8"/>
      <c r="AB183" s="8"/>
      <c r="AC183" s="8"/>
      <c r="AD183" s="8"/>
      <c r="AE183" s="8"/>
      <c r="AF183" s="8"/>
    </row>
    <row r="184" spans="1:32" ht="14.4" x14ac:dyDescent="0.3">
      <c r="A184" s="8"/>
      <c r="B184" s="76" t="s">
        <v>119</v>
      </c>
      <c r="C184" s="83">
        <f t="shared" ref="C184:C187" si="27">0.008/2.47105</f>
        <v>3.2374901357722428E-3</v>
      </c>
      <c r="D184" s="72">
        <f t="shared" ref="D184:J184" si="28">$C184*D162</f>
        <v>42.884880000000003</v>
      </c>
      <c r="E184" s="72">
        <f t="shared" si="28"/>
        <v>57.183120000000002</v>
      </c>
      <c r="F184" s="72">
        <f t="shared" si="28"/>
        <v>33.206319999999998</v>
      </c>
      <c r="G184" s="72">
        <f t="shared" si="28"/>
        <v>32.569520000000004</v>
      </c>
      <c r="H184" s="72">
        <f t="shared" si="28"/>
        <v>36.804400000000008</v>
      </c>
      <c r="I184" s="72">
        <f t="shared" si="28"/>
        <v>42.459600000000002</v>
      </c>
      <c r="J184" s="72">
        <f t="shared" si="28"/>
        <v>39.400880000000001</v>
      </c>
      <c r="K184" s="8"/>
      <c r="L184" s="8"/>
      <c r="M184" s="8"/>
      <c r="N184" s="8"/>
      <c r="O184" s="8"/>
      <c r="P184" s="8"/>
      <c r="Q184" s="8"/>
      <c r="R184" s="8"/>
      <c r="S184" s="8"/>
      <c r="T184" s="8"/>
      <c r="U184" s="8"/>
      <c r="V184" s="8"/>
      <c r="W184" s="8"/>
      <c r="X184" s="8"/>
      <c r="Y184" s="8"/>
      <c r="Z184" s="8"/>
      <c r="AA184" s="8"/>
      <c r="AB184" s="8"/>
      <c r="AC184" s="8"/>
      <c r="AD184" s="8"/>
      <c r="AE184" s="8"/>
      <c r="AF184" s="8"/>
    </row>
    <row r="185" spans="1:32" ht="14.4" x14ac:dyDescent="0.3">
      <c r="A185" s="8"/>
      <c r="B185" s="76" t="s">
        <v>120</v>
      </c>
      <c r="C185" s="83">
        <f t="shared" si="27"/>
        <v>3.2374901357722428E-3</v>
      </c>
      <c r="D185" s="72">
        <f t="shared" ref="D185:J185" si="29">$C185*D163</f>
        <v>23.439040000000002</v>
      </c>
      <c r="E185" s="72">
        <f t="shared" si="29"/>
        <v>26.1036</v>
      </c>
      <c r="F185" s="72">
        <f t="shared" si="29"/>
        <v>10.16648</v>
      </c>
      <c r="G185" s="72">
        <f t="shared" si="29"/>
        <v>11.65136</v>
      </c>
      <c r="H185" s="72">
        <f t="shared" si="29"/>
        <v>19.513919999999999</v>
      </c>
      <c r="I185" s="72">
        <f t="shared" si="29"/>
        <v>17.69312</v>
      </c>
      <c r="J185" s="72">
        <f t="shared" si="29"/>
        <v>17.080720000000003</v>
      </c>
      <c r="K185" s="8"/>
      <c r="L185" s="8"/>
      <c r="M185" s="8"/>
      <c r="N185" s="8"/>
      <c r="O185" s="8"/>
      <c r="P185" s="8"/>
      <c r="Q185" s="8"/>
      <c r="R185" s="8"/>
      <c r="S185" s="8"/>
      <c r="T185" s="8"/>
      <c r="U185" s="8"/>
      <c r="V185" s="8"/>
      <c r="W185" s="8"/>
      <c r="X185" s="8"/>
      <c r="Y185" s="8"/>
      <c r="Z185" s="8"/>
      <c r="AA185" s="8"/>
      <c r="AB185" s="8"/>
      <c r="AC185" s="8"/>
      <c r="AD185" s="8"/>
      <c r="AE185" s="8"/>
      <c r="AF185" s="8"/>
    </row>
    <row r="186" spans="1:32" ht="14.4" x14ac:dyDescent="0.3">
      <c r="A186" s="8"/>
      <c r="B186" s="76" t="s">
        <v>121</v>
      </c>
      <c r="C186" s="83">
        <f t="shared" si="27"/>
        <v>3.2374901357722428E-3</v>
      </c>
      <c r="D186" s="72">
        <f t="shared" ref="D186:J186" si="30">$C186*D164</f>
        <v>31.119440000000001</v>
      </c>
      <c r="E186" s="72">
        <f t="shared" si="30"/>
        <v>39.228880000000004</v>
      </c>
      <c r="F186" s="72">
        <f t="shared" si="30"/>
        <v>51.468320000000006</v>
      </c>
      <c r="G186" s="72">
        <f t="shared" si="30"/>
        <v>74.450320000000005</v>
      </c>
      <c r="H186" s="72">
        <f t="shared" si="30"/>
        <v>123.92327999999999</v>
      </c>
      <c r="I186" s="72">
        <f t="shared" si="30"/>
        <v>126.79248</v>
      </c>
      <c r="J186" s="72">
        <f t="shared" si="30"/>
        <v>48.800239999999995</v>
      </c>
      <c r="K186" s="8"/>
      <c r="L186" s="8"/>
      <c r="M186" s="8"/>
      <c r="N186" s="8"/>
      <c r="O186" s="8"/>
      <c r="P186" s="8"/>
      <c r="Q186" s="8"/>
      <c r="R186" s="8"/>
      <c r="S186" s="8"/>
      <c r="T186" s="8"/>
      <c r="U186" s="8"/>
      <c r="V186" s="8"/>
      <c r="W186" s="8"/>
      <c r="X186" s="8"/>
      <c r="Y186" s="8"/>
      <c r="Z186" s="8"/>
      <c r="AA186" s="8"/>
      <c r="AB186" s="8"/>
      <c r="AC186" s="8"/>
      <c r="AD186" s="8"/>
      <c r="AE186" s="8"/>
      <c r="AF186" s="8"/>
    </row>
    <row r="187" spans="1:32" ht="14.4" x14ac:dyDescent="0.3">
      <c r="A187" s="8"/>
      <c r="B187" s="78" t="s">
        <v>122</v>
      </c>
      <c r="C187" s="83">
        <f t="shared" si="27"/>
        <v>3.2374901357722428E-3</v>
      </c>
      <c r="D187" s="72">
        <f t="shared" ref="D187:J187" si="31">$C187*D165</f>
        <v>23.852880000000003</v>
      </c>
      <c r="E187" s="72">
        <f t="shared" si="31"/>
        <v>29.242800000000003</v>
      </c>
      <c r="F187" s="72">
        <f t="shared" si="31"/>
        <v>18.365040000000004</v>
      </c>
      <c r="G187" s="72">
        <f t="shared" si="31"/>
        <v>21.016240000000003</v>
      </c>
      <c r="H187" s="72">
        <f t="shared" si="31"/>
        <v>0</v>
      </c>
      <c r="I187" s="72">
        <f t="shared" si="31"/>
        <v>18.266400000000001</v>
      </c>
      <c r="J187" s="72">
        <f t="shared" si="31"/>
        <v>17.042480000000001</v>
      </c>
      <c r="K187" s="8"/>
      <c r="L187" s="8"/>
      <c r="M187" s="8"/>
      <c r="N187" s="8"/>
      <c r="O187" s="8"/>
      <c r="P187" s="8"/>
      <c r="Q187" s="8"/>
      <c r="R187" s="8"/>
      <c r="S187" s="8"/>
      <c r="T187" s="8"/>
      <c r="U187" s="8"/>
      <c r="V187" s="8"/>
      <c r="W187" s="8"/>
      <c r="X187" s="8"/>
      <c r="Y187" s="8"/>
      <c r="Z187" s="8"/>
      <c r="AA187" s="8"/>
      <c r="AB187" s="8"/>
      <c r="AC187" s="8"/>
      <c r="AD187" s="8"/>
      <c r="AE187" s="8"/>
      <c r="AF187" s="8"/>
    </row>
    <row r="188" spans="1:32" ht="14.4" x14ac:dyDescent="0.3">
      <c r="A188" s="8"/>
      <c r="B188" s="80" t="s">
        <v>123</v>
      </c>
      <c r="C188" s="81"/>
      <c r="D188" s="74">
        <f t="shared" ref="D188:J188" si="32">SUM(D182:D183)</f>
        <v>10911.843692815826</v>
      </c>
      <c r="E188" s="74">
        <f t="shared" si="32"/>
        <v>11008.754103408892</v>
      </c>
      <c r="F188" s="74">
        <f t="shared" si="32"/>
        <v>11007.76245115778</v>
      </c>
      <c r="G188" s="74">
        <f t="shared" si="32"/>
        <v>11004.885604428369</v>
      </c>
      <c r="H188" s="74">
        <f t="shared" si="32"/>
        <v>11002.806470989568</v>
      </c>
      <c r="I188" s="74">
        <f t="shared" si="32"/>
        <v>11002.806470989568</v>
      </c>
      <c r="J188" s="74">
        <f t="shared" si="32"/>
        <v>11002.806470989568</v>
      </c>
      <c r="K188" s="8"/>
      <c r="L188" s="8"/>
      <c r="M188" s="8"/>
      <c r="N188" s="8"/>
      <c r="O188" s="8"/>
      <c r="P188" s="8"/>
      <c r="Q188" s="8"/>
      <c r="R188" s="8"/>
      <c r="S188" s="8"/>
      <c r="T188" s="8"/>
      <c r="U188" s="8"/>
      <c r="V188" s="8"/>
      <c r="W188" s="8"/>
      <c r="X188" s="8"/>
      <c r="Y188" s="8"/>
      <c r="Z188" s="8"/>
      <c r="AA188" s="8"/>
      <c r="AB188" s="8"/>
      <c r="AC188" s="8"/>
      <c r="AD188" s="8"/>
      <c r="AE188" s="8"/>
      <c r="AF188" s="8"/>
    </row>
    <row r="189" spans="1:32" ht="14.4" x14ac:dyDescent="0.3">
      <c r="A189" s="8"/>
      <c r="B189" s="76" t="s">
        <v>124</v>
      </c>
      <c r="C189" s="51"/>
      <c r="D189" s="72">
        <f t="shared" ref="D189:J189" si="33">SUM(D184:D187)</f>
        <v>121.29624</v>
      </c>
      <c r="E189" s="72">
        <f t="shared" si="33"/>
        <v>151.75839999999999</v>
      </c>
      <c r="F189" s="72">
        <f t="shared" si="33"/>
        <v>113.20616000000001</v>
      </c>
      <c r="G189" s="72">
        <f t="shared" si="33"/>
        <v>139.68744000000001</v>
      </c>
      <c r="H189" s="72">
        <f t="shared" si="33"/>
        <v>180.24160000000001</v>
      </c>
      <c r="I189" s="72">
        <f t="shared" si="33"/>
        <v>205.2116</v>
      </c>
      <c r="J189" s="72">
        <f t="shared" si="33"/>
        <v>122.32431999999999</v>
      </c>
      <c r="K189" s="8"/>
      <c r="L189" s="8"/>
      <c r="M189" s="8"/>
      <c r="N189" s="8"/>
      <c r="O189" s="8"/>
      <c r="P189" s="8"/>
      <c r="Q189" s="8"/>
      <c r="R189" s="8"/>
      <c r="S189" s="8"/>
      <c r="T189" s="8"/>
      <c r="U189" s="8"/>
      <c r="V189" s="8"/>
      <c r="W189" s="8"/>
      <c r="X189" s="8"/>
      <c r="Y189" s="8"/>
      <c r="Z189" s="8"/>
      <c r="AA189" s="8"/>
      <c r="AB189" s="8"/>
      <c r="AC189" s="8"/>
      <c r="AD189" s="8"/>
      <c r="AE189" s="8"/>
      <c r="AF189" s="8"/>
    </row>
    <row r="190" spans="1:32" ht="14.4" x14ac:dyDescent="0.3">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row>
    <row r="191" spans="1:32" ht="14.4" x14ac:dyDescent="0.3">
      <c r="A191" s="8"/>
      <c r="B191" s="8"/>
      <c r="D191" s="3058" t="s">
        <v>129</v>
      </c>
      <c r="E191" s="2992"/>
      <c r="F191" s="2992"/>
      <c r="G191" s="2992"/>
      <c r="H191" s="2992"/>
      <c r="I191" s="2992"/>
      <c r="J191" s="2969"/>
      <c r="K191" s="8"/>
      <c r="L191" s="8"/>
      <c r="M191" s="8"/>
      <c r="N191" s="8"/>
      <c r="O191" s="8"/>
      <c r="P191" s="8"/>
      <c r="Q191" s="8"/>
      <c r="R191" s="8"/>
      <c r="S191" s="8"/>
      <c r="T191" s="8"/>
      <c r="U191" s="8"/>
      <c r="V191" s="8"/>
      <c r="W191" s="8"/>
      <c r="X191" s="8"/>
      <c r="Y191" s="8"/>
      <c r="Z191" s="8"/>
      <c r="AA191" s="8"/>
      <c r="AB191" s="8"/>
      <c r="AC191" s="8"/>
      <c r="AD191" s="8"/>
      <c r="AE191" s="8"/>
      <c r="AF191" s="8"/>
    </row>
    <row r="192" spans="1:32" ht="14.4" x14ac:dyDescent="0.3">
      <c r="A192" s="8"/>
      <c r="B192" s="84" t="s">
        <v>130</v>
      </c>
      <c r="C192" s="70"/>
      <c r="D192" s="75">
        <v>2006</v>
      </c>
      <c r="E192" s="75">
        <v>2010</v>
      </c>
      <c r="F192" s="75">
        <v>2011</v>
      </c>
      <c r="G192" s="75">
        <v>2014</v>
      </c>
      <c r="H192" s="75">
        <v>2016</v>
      </c>
      <c r="I192" s="75">
        <v>2017</v>
      </c>
      <c r="J192" s="75">
        <v>2020</v>
      </c>
      <c r="K192" s="8"/>
      <c r="L192" s="8"/>
      <c r="M192" s="8"/>
      <c r="N192" s="8"/>
      <c r="O192" s="8"/>
      <c r="P192" s="8"/>
      <c r="Q192" s="8"/>
      <c r="R192" s="8"/>
      <c r="S192" s="8"/>
      <c r="T192" s="8"/>
      <c r="U192" s="8"/>
      <c r="V192" s="8"/>
      <c r="W192" s="8"/>
      <c r="X192" s="8"/>
      <c r="Y192" s="8"/>
      <c r="Z192" s="8"/>
      <c r="AA192" s="8"/>
      <c r="AB192" s="8"/>
      <c r="AC192" s="8"/>
      <c r="AD192" s="8"/>
      <c r="AE192" s="8"/>
      <c r="AF192" s="8"/>
    </row>
    <row r="193" spans="1:32" ht="24.6" x14ac:dyDescent="0.3">
      <c r="A193" s="8"/>
      <c r="B193" s="85" t="s">
        <v>131</v>
      </c>
      <c r="C193" s="70"/>
      <c r="D193" s="86">
        <f t="shared" ref="D193:E193" si="34">0.017961122569791*1000000</f>
        <v>17961.122569790998</v>
      </c>
      <c r="E193" s="86">
        <f t="shared" si="34"/>
        <v>17961.122569790998</v>
      </c>
      <c r="F193" s="86">
        <f t="shared" ref="F193:J193" si="35">0.0123991749336441*1000000</f>
        <v>12399.174933644101</v>
      </c>
      <c r="G193" s="86">
        <f t="shared" si="35"/>
        <v>12399.174933644101</v>
      </c>
      <c r="H193" s="86">
        <f t="shared" si="35"/>
        <v>12399.174933644101</v>
      </c>
      <c r="I193" s="86">
        <f t="shared" si="35"/>
        <v>12399.174933644101</v>
      </c>
      <c r="J193" s="86">
        <f t="shared" si="35"/>
        <v>12399.174933644101</v>
      </c>
      <c r="K193" s="8"/>
      <c r="L193" s="8"/>
      <c r="M193" s="8"/>
      <c r="N193" s="8"/>
      <c r="O193" s="8"/>
      <c r="P193" s="8"/>
      <c r="Q193" s="8"/>
      <c r="R193" s="8"/>
      <c r="S193" s="8"/>
      <c r="T193" s="8"/>
      <c r="U193" s="8"/>
      <c r="V193" s="8"/>
      <c r="W193" s="8"/>
      <c r="X193" s="8"/>
      <c r="Y193" s="8"/>
      <c r="Z193" s="8"/>
      <c r="AA193" s="8"/>
      <c r="AB193" s="8"/>
      <c r="AC193" s="8"/>
      <c r="AD193" s="8"/>
      <c r="AE193" s="8"/>
      <c r="AF193" s="8"/>
    </row>
    <row r="194" spans="1:32" ht="14.4" x14ac:dyDescent="0.3">
      <c r="A194" s="8"/>
      <c r="B194" s="25" t="s">
        <v>132</v>
      </c>
      <c r="C194" s="70"/>
      <c r="D194" s="87">
        <f t="shared" ref="D194:E194" si="36">0.000443677622843492*1000000</f>
        <v>443.67762284349203</v>
      </c>
      <c r="E194" s="87">
        <f t="shared" si="36"/>
        <v>443.67762284349203</v>
      </c>
      <c r="F194" s="87">
        <f t="shared" ref="F194:J194" si="37">0.000406051384004542*1000000</f>
        <v>406.051384004542</v>
      </c>
      <c r="G194" s="87">
        <f t="shared" si="37"/>
        <v>406.051384004542</v>
      </c>
      <c r="H194" s="87">
        <f t="shared" si="37"/>
        <v>406.051384004542</v>
      </c>
      <c r="I194" s="87">
        <f t="shared" si="37"/>
        <v>406.051384004542</v>
      </c>
      <c r="J194" s="87">
        <f t="shared" si="37"/>
        <v>406.051384004542</v>
      </c>
      <c r="K194" s="8"/>
      <c r="L194" s="8"/>
      <c r="M194" s="8"/>
      <c r="N194" s="8"/>
      <c r="O194" s="8"/>
      <c r="P194" s="8"/>
      <c r="Q194" s="8"/>
      <c r="R194" s="8"/>
      <c r="S194" s="8"/>
      <c r="T194" s="8"/>
      <c r="U194" s="8"/>
      <c r="V194" s="8"/>
      <c r="W194" s="8"/>
      <c r="X194" s="8"/>
      <c r="Y194" s="8"/>
      <c r="Z194" s="8"/>
      <c r="AA194" s="8"/>
      <c r="AB194" s="8"/>
      <c r="AC194" s="8"/>
      <c r="AD194" s="8"/>
      <c r="AE194" s="8"/>
      <c r="AF194" s="8"/>
    </row>
    <row r="195" spans="1:32" ht="14.4" x14ac:dyDescent="0.3">
      <c r="A195" s="8"/>
      <c r="B195" s="25" t="s">
        <v>133</v>
      </c>
      <c r="C195" s="70"/>
      <c r="D195" s="87">
        <v>0</v>
      </c>
      <c r="E195" s="87">
        <v>0</v>
      </c>
      <c r="F195" s="87">
        <v>0</v>
      </c>
      <c r="G195" s="87">
        <v>0</v>
      </c>
      <c r="H195" s="87">
        <v>0</v>
      </c>
      <c r="I195" s="87">
        <v>0</v>
      </c>
      <c r="J195" s="87">
        <v>0</v>
      </c>
      <c r="K195" s="8"/>
      <c r="L195" s="8"/>
      <c r="M195" s="8"/>
      <c r="N195" s="8"/>
      <c r="O195" s="8"/>
      <c r="P195" s="8"/>
      <c r="Q195" s="8"/>
      <c r="R195" s="8"/>
      <c r="S195" s="8"/>
      <c r="T195" s="8"/>
      <c r="U195" s="8"/>
      <c r="V195" s="8"/>
      <c r="W195" s="8"/>
      <c r="X195" s="8"/>
      <c r="Y195" s="8"/>
      <c r="Z195" s="8"/>
      <c r="AA195" s="8"/>
      <c r="AB195" s="8"/>
      <c r="AC195" s="8"/>
      <c r="AD195" s="8"/>
      <c r="AE195" s="8"/>
      <c r="AF195" s="8"/>
    </row>
    <row r="196" spans="1:32" ht="14.4" x14ac:dyDescent="0.3">
      <c r="A196" s="8"/>
      <c r="B196" s="25" t="s">
        <v>134</v>
      </c>
      <c r="C196" s="70"/>
      <c r="D196" s="87">
        <f t="shared" ref="D196:E196" si="38">0.0175174449469475*1000000</f>
        <v>17517.4449469475</v>
      </c>
      <c r="E196" s="87">
        <f t="shared" si="38"/>
        <v>17517.4449469475</v>
      </c>
      <c r="F196" s="87">
        <f t="shared" ref="F196:J196" si="39">0.0119931235496396*1000000</f>
        <v>11993.1235496396</v>
      </c>
      <c r="G196" s="87">
        <f t="shared" si="39"/>
        <v>11993.1235496396</v>
      </c>
      <c r="H196" s="87">
        <f t="shared" si="39"/>
        <v>11993.1235496396</v>
      </c>
      <c r="I196" s="87">
        <f t="shared" si="39"/>
        <v>11993.1235496396</v>
      </c>
      <c r="J196" s="87">
        <f t="shared" si="39"/>
        <v>11993.1235496396</v>
      </c>
      <c r="K196" s="8"/>
      <c r="L196" s="8"/>
      <c r="M196" s="8"/>
      <c r="N196" s="8"/>
      <c r="O196" s="8"/>
      <c r="P196" s="8"/>
      <c r="Q196" s="8"/>
      <c r="R196" s="8"/>
      <c r="S196" s="8"/>
      <c r="T196" s="8"/>
      <c r="U196" s="8"/>
      <c r="V196" s="8"/>
      <c r="W196" s="8"/>
      <c r="X196" s="8"/>
      <c r="Y196" s="8"/>
      <c r="Z196" s="8"/>
      <c r="AA196" s="8"/>
      <c r="AB196" s="8"/>
      <c r="AC196" s="8"/>
      <c r="AD196" s="8"/>
      <c r="AE196" s="8"/>
      <c r="AF196" s="8"/>
    </row>
    <row r="197" spans="1:32" ht="24.6" x14ac:dyDescent="0.3">
      <c r="A197" s="8"/>
      <c r="B197" s="85" t="s">
        <v>135</v>
      </c>
      <c r="C197" s="70"/>
      <c r="D197" s="88">
        <f>-0.00623927632943711*1000000</f>
        <v>-6239.2763294371098</v>
      </c>
      <c r="E197" s="88">
        <f>-0.00624327632943711*1000000</f>
        <v>-6243.2763294371107</v>
      </c>
      <c r="F197" s="88">
        <f>-0.00240616503570155*1000000</f>
        <v>-2406.1650357015496</v>
      </c>
      <c r="G197" s="88">
        <f>-0.00240916503570155*1000000</f>
        <v>-2409.1650357015496</v>
      </c>
      <c r="H197" s="88">
        <f>-0.00241116503570155*1000000</f>
        <v>-2411.1650357015501</v>
      </c>
      <c r="I197" s="88">
        <f>-0.00241216503570155*1000000</f>
        <v>-2412.1650357015501</v>
      </c>
      <c r="J197" s="88">
        <f>-0.00241516503570155*1000000</f>
        <v>-2415.1650357015501</v>
      </c>
      <c r="K197" s="8"/>
      <c r="L197" s="8"/>
      <c r="M197" s="8"/>
      <c r="N197" s="8"/>
      <c r="O197" s="8"/>
      <c r="P197" s="8"/>
      <c r="Q197" s="8"/>
      <c r="R197" s="8"/>
      <c r="S197" s="8"/>
      <c r="T197" s="8"/>
      <c r="U197" s="8"/>
      <c r="V197" s="8"/>
      <c r="W197" s="8"/>
      <c r="X197" s="8"/>
      <c r="Y197" s="8"/>
      <c r="Z197" s="8"/>
      <c r="AA197" s="8"/>
      <c r="AB197" s="8"/>
      <c r="AC197" s="8"/>
      <c r="AD197" s="8"/>
      <c r="AE197" s="8"/>
      <c r="AF197" s="8"/>
    </row>
    <row r="198" spans="1:32" ht="14.4" x14ac:dyDescent="0.3">
      <c r="A198" s="8"/>
      <c r="B198" s="25" t="s">
        <v>132</v>
      </c>
      <c r="C198" s="70"/>
      <c r="D198" s="89">
        <v>-5.8802495598014046E-3</v>
      </c>
      <c r="E198" s="89">
        <f>-0.00588424955980141*1000000</f>
        <v>-5884.2495598014102</v>
      </c>
      <c r="F198" s="89">
        <f>-0.00233277934304636*1000000</f>
        <v>-2332.7793430463603</v>
      </c>
      <c r="G198" s="89">
        <f>-0.00233577934304636*1000000</f>
        <v>-2335.7793430463598</v>
      </c>
      <c r="H198" s="89">
        <f>-0.00233777934304636*1000000</f>
        <v>-2337.7793430463598</v>
      </c>
      <c r="I198" s="89">
        <f>-0.00233877934304636*1000000</f>
        <v>-2338.7793430463598</v>
      </c>
      <c r="J198" s="89">
        <f>-0.00234177934304636*1000000</f>
        <v>-2341.7793430463598</v>
      </c>
      <c r="K198" s="8"/>
      <c r="L198" s="8"/>
      <c r="M198" s="8"/>
      <c r="N198" s="8"/>
      <c r="O198" s="8"/>
      <c r="P198" s="8"/>
      <c r="Q198" s="8"/>
      <c r="R198" s="8"/>
      <c r="S198" s="8"/>
      <c r="T198" s="8"/>
      <c r="U198" s="8"/>
      <c r="V198" s="8"/>
      <c r="W198" s="8"/>
      <c r="X198" s="8"/>
      <c r="Y198" s="8"/>
      <c r="Z198" s="8"/>
      <c r="AA198" s="8"/>
      <c r="AB198" s="8"/>
      <c r="AC198" s="8"/>
      <c r="AD198" s="8"/>
      <c r="AE198" s="8"/>
      <c r="AF198" s="8"/>
    </row>
    <row r="199" spans="1:32" ht="14.4" x14ac:dyDescent="0.3">
      <c r="A199" s="8"/>
      <c r="B199" s="25" t="s">
        <v>133</v>
      </c>
      <c r="C199" s="70"/>
      <c r="D199" s="89">
        <v>0</v>
      </c>
      <c r="E199" s="89">
        <v>0</v>
      </c>
      <c r="F199" s="89">
        <v>0</v>
      </c>
      <c r="G199" s="89">
        <v>0</v>
      </c>
      <c r="H199" s="89">
        <v>0</v>
      </c>
      <c r="I199" s="89">
        <v>0</v>
      </c>
      <c r="J199" s="89">
        <v>0</v>
      </c>
      <c r="K199" s="8"/>
      <c r="L199" s="8"/>
      <c r="M199" s="8"/>
      <c r="N199" s="8"/>
      <c r="O199" s="8"/>
      <c r="P199" s="8"/>
      <c r="Q199" s="8"/>
      <c r="R199" s="8"/>
      <c r="S199" s="8"/>
      <c r="T199" s="8"/>
      <c r="U199" s="8"/>
      <c r="V199" s="8"/>
      <c r="W199" s="8"/>
      <c r="X199" s="8"/>
      <c r="Y199" s="8"/>
      <c r="Z199" s="8"/>
      <c r="AA199" s="8"/>
      <c r="AB199" s="8"/>
      <c r="AC199" s="8"/>
      <c r="AD199" s="8"/>
      <c r="AE199" s="8"/>
      <c r="AF199" s="8"/>
    </row>
    <row r="200" spans="1:32" ht="14.4" x14ac:dyDescent="0.3">
      <c r="A200" s="8"/>
      <c r="B200" s="90" t="s">
        <v>134</v>
      </c>
      <c r="C200" s="91"/>
      <c r="D200" s="92">
        <f t="shared" ref="D200:E200" si="40">-0.000359026769635702*1000000</f>
        <v>-359.02676963570201</v>
      </c>
      <c r="E200" s="92">
        <f t="shared" si="40"/>
        <v>-359.02676963570201</v>
      </c>
      <c r="F200" s="92">
        <f t="shared" ref="F200:J200" si="41">-0.0000733856926551827*1000000</f>
        <v>-73.385692655182694</v>
      </c>
      <c r="G200" s="92">
        <f t="shared" si="41"/>
        <v>-73.385692655182694</v>
      </c>
      <c r="H200" s="92">
        <f t="shared" si="41"/>
        <v>-73.385692655182694</v>
      </c>
      <c r="I200" s="92">
        <f t="shared" si="41"/>
        <v>-73.385692655182694</v>
      </c>
      <c r="J200" s="92">
        <f t="shared" si="41"/>
        <v>-73.385692655182694</v>
      </c>
      <c r="K200" s="8"/>
      <c r="L200" s="8"/>
      <c r="M200" s="8"/>
      <c r="N200" s="8"/>
      <c r="O200" s="8"/>
      <c r="P200" s="8"/>
      <c r="Q200" s="8"/>
      <c r="R200" s="8"/>
      <c r="S200" s="8"/>
      <c r="T200" s="8"/>
      <c r="U200" s="8"/>
      <c r="V200" s="8"/>
      <c r="W200" s="8"/>
      <c r="X200" s="8"/>
      <c r="Y200" s="8"/>
      <c r="Z200" s="8"/>
      <c r="AA200" s="8"/>
      <c r="AB200" s="8"/>
      <c r="AC200" s="8"/>
      <c r="AD200" s="8"/>
      <c r="AE200" s="8"/>
      <c r="AF200" s="8"/>
    </row>
    <row r="201" spans="1:32" ht="14.4" x14ac:dyDescent="0.3">
      <c r="A201" s="8"/>
      <c r="B201" s="93" t="s">
        <v>136</v>
      </c>
      <c r="C201" s="94"/>
      <c r="D201" s="95">
        <f t="shared" ref="D201:J201" si="42">D197+D193</f>
        <v>11721.846240353887</v>
      </c>
      <c r="E201" s="95">
        <f t="shared" si="42"/>
        <v>11717.846240353887</v>
      </c>
      <c r="F201" s="95">
        <f t="shared" si="42"/>
        <v>9993.0098979425511</v>
      </c>
      <c r="G201" s="95">
        <f t="shared" si="42"/>
        <v>9990.0098979425511</v>
      </c>
      <c r="H201" s="95">
        <f t="shared" si="42"/>
        <v>9988.0098979425511</v>
      </c>
      <c r="I201" s="95">
        <f t="shared" si="42"/>
        <v>9987.0098979425511</v>
      </c>
      <c r="J201" s="95">
        <f t="shared" si="42"/>
        <v>9984.0098979425511</v>
      </c>
      <c r="K201" s="8"/>
      <c r="L201" s="8"/>
      <c r="M201" s="8"/>
      <c r="N201" s="8"/>
      <c r="O201" s="8"/>
      <c r="P201" s="8"/>
      <c r="Q201" s="8"/>
      <c r="R201" s="8"/>
      <c r="S201" s="8"/>
      <c r="T201" s="8"/>
      <c r="U201" s="8"/>
      <c r="V201" s="8"/>
      <c r="W201" s="8"/>
      <c r="X201" s="8"/>
      <c r="Y201" s="8"/>
      <c r="Z201" s="8"/>
      <c r="AA201" s="8"/>
      <c r="AB201" s="8"/>
      <c r="AC201" s="8"/>
      <c r="AD201" s="8"/>
      <c r="AE201" s="8"/>
      <c r="AF201" s="8"/>
    </row>
    <row r="202" spans="1:32" ht="14.4" x14ac:dyDescent="0.3">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row>
    <row r="203" spans="1:32" ht="14.4" x14ac:dyDescent="0.3">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row>
    <row r="204" spans="1:32" ht="14.4" x14ac:dyDescent="0.3">
      <c r="A204" s="8"/>
      <c r="B204" s="16" t="s">
        <v>137</v>
      </c>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row>
    <row r="205" spans="1:32" ht="14.4" x14ac:dyDescent="0.3">
      <c r="A205" s="8"/>
      <c r="B205" s="8"/>
      <c r="C205" s="96"/>
      <c r="D205" s="96"/>
      <c r="E205" s="96"/>
      <c r="F205" s="96"/>
      <c r="G205" s="96"/>
      <c r="H205" s="96"/>
      <c r="I205" s="96"/>
      <c r="J205" s="96"/>
      <c r="K205" s="96"/>
      <c r="L205" s="96"/>
      <c r="M205" s="96"/>
      <c r="N205" s="96"/>
      <c r="O205" s="96"/>
      <c r="P205" s="96"/>
      <c r="Q205" s="96"/>
      <c r="R205" s="96"/>
      <c r="S205" s="96"/>
      <c r="T205" s="8"/>
      <c r="U205" s="8"/>
      <c r="V205" s="8"/>
      <c r="W205" s="8"/>
      <c r="X205" s="8"/>
      <c r="Y205" s="8"/>
      <c r="Z205" s="8"/>
      <c r="AA205" s="8"/>
      <c r="AB205" s="8"/>
      <c r="AC205" s="8"/>
      <c r="AD205" s="8"/>
      <c r="AE205" s="8"/>
      <c r="AF205" s="8"/>
    </row>
    <row r="206" spans="1:32" ht="14.4" x14ac:dyDescent="0.3">
      <c r="A206" s="8"/>
      <c r="B206" s="8"/>
      <c r="C206" s="3054" t="s">
        <v>138</v>
      </c>
      <c r="D206" s="3052"/>
      <c r="E206" s="3052"/>
      <c r="F206" s="3053"/>
      <c r="G206" s="3055" t="s">
        <v>139</v>
      </c>
      <c r="H206" s="3052"/>
      <c r="I206" s="3052"/>
      <c r="J206" s="3052"/>
      <c r="K206" s="3053"/>
      <c r="L206" s="3051" t="s">
        <v>140</v>
      </c>
      <c r="M206" s="3052"/>
      <c r="N206" s="3052"/>
      <c r="O206" s="3052"/>
      <c r="P206" s="3053"/>
      <c r="Q206" s="96"/>
      <c r="R206" s="96"/>
      <c r="S206" s="96"/>
      <c r="T206" s="8"/>
      <c r="U206" s="8"/>
      <c r="V206" s="8"/>
      <c r="W206" s="8"/>
      <c r="X206" s="8"/>
      <c r="Y206" s="8"/>
      <c r="Z206" s="8"/>
      <c r="AA206" s="8"/>
      <c r="AB206" s="8"/>
      <c r="AC206" s="8"/>
      <c r="AD206" s="8"/>
      <c r="AE206" s="8"/>
      <c r="AF206" s="8"/>
    </row>
    <row r="207" spans="1:32" ht="14.4" x14ac:dyDescent="0.3">
      <c r="A207" s="8"/>
      <c r="B207" s="23" t="s">
        <v>141</v>
      </c>
      <c r="C207" s="97" t="s">
        <v>142</v>
      </c>
      <c r="D207" s="98" t="s">
        <v>143</v>
      </c>
      <c r="E207" s="98" t="s">
        <v>144</v>
      </c>
      <c r="F207" s="99" t="s">
        <v>145</v>
      </c>
      <c r="G207" s="97">
        <v>2006</v>
      </c>
      <c r="H207" s="98">
        <v>2011</v>
      </c>
      <c r="I207" s="98">
        <v>2014</v>
      </c>
      <c r="J207" s="98">
        <v>2017</v>
      </c>
      <c r="K207" s="99">
        <v>2020</v>
      </c>
      <c r="L207" s="97">
        <v>2006</v>
      </c>
      <c r="M207" s="98">
        <v>2011</v>
      </c>
      <c r="N207" s="98">
        <v>2014</v>
      </c>
      <c r="O207" s="98">
        <v>2017</v>
      </c>
      <c r="P207" s="99">
        <v>2020</v>
      </c>
      <c r="Q207" s="96"/>
      <c r="R207" s="96"/>
      <c r="S207" s="96"/>
      <c r="T207" s="8"/>
      <c r="U207" s="8"/>
      <c r="V207" s="8"/>
      <c r="W207" s="8"/>
      <c r="X207" s="8"/>
      <c r="Y207" s="8"/>
      <c r="Z207" s="8"/>
      <c r="AA207" s="8"/>
      <c r="AB207" s="8"/>
      <c r="AC207" s="8"/>
      <c r="AD207" s="8"/>
      <c r="AE207" s="8"/>
      <c r="AF207" s="8"/>
    </row>
    <row r="208" spans="1:32" ht="14.4" x14ac:dyDescent="0.3">
      <c r="A208" s="8"/>
      <c r="B208" s="100" t="s">
        <v>146</v>
      </c>
      <c r="C208" s="101" t="s">
        <v>147</v>
      </c>
      <c r="D208" s="102">
        <v>54</v>
      </c>
      <c r="E208" s="103"/>
      <c r="F208" s="104"/>
      <c r="G208" s="105">
        <v>2135.3404</v>
      </c>
      <c r="H208" s="72">
        <v>2144.8393219999998</v>
      </c>
      <c r="I208" s="72">
        <v>2144.8393219999998</v>
      </c>
      <c r="J208" s="72">
        <v>2144.8389999999999</v>
      </c>
      <c r="K208" s="106">
        <v>2144.8389999999999</v>
      </c>
      <c r="L208" s="105">
        <f t="shared" ref="L208:P208" si="43">G208*$D208/1000</f>
        <v>115.3083816</v>
      </c>
      <c r="M208" s="72">
        <f t="shared" si="43"/>
        <v>115.821323388</v>
      </c>
      <c r="N208" s="72">
        <f t="shared" si="43"/>
        <v>115.821323388</v>
      </c>
      <c r="O208" s="72">
        <f t="shared" si="43"/>
        <v>115.82130599999999</v>
      </c>
      <c r="P208" s="106">
        <f t="shared" si="43"/>
        <v>115.82130599999999</v>
      </c>
      <c r="Q208" s="107"/>
      <c r="R208" s="107"/>
      <c r="S208" s="107"/>
      <c r="T208" s="8"/>
      <c r="U208" s="8"/>
      <c r="V208" s="8"/>
      <c r="W208" s="8"/>
      <c r="X208" s="8"/>
      <c r="Y208" s="8"/>
      <c r="Z208" s="8"/>
      <c r="AA208" s="8"/>
      <c r="AB208" s="8"/>
      <c r="AC208" s="8"/>
      <c r="AD208" s="8"/>
      <c r="AE208" s="8"/>
      <c r="AF208" s="8"/>
    </row>
    <row r="209" spans="1:32" ht="14.4" x14ac:dyDescent="0.3">
      <c r="A209" s="8"/>
      <c r="B209" s="108" t="s">
        <v>146</v>
      </c>
      <c r="C209" s="109" t="s">
        <v>148</v>
      </c>
      <c r="D209" s="110">
        <v>80.3</v>
      </c>
      <c r="E209" s="111"/>
      <c r="F209" s="104"/>
      <c r="G209" s="105">
        <v>5990.6760039999999</v>
      </c>
      <c r="H209" s="72">
        <v>5990.6760039999999</v>
      </c>
      <c r="I209" s="72">
        <v>5990.6760039999999</v>
      </c>
      <c r="J209" s="72">
        <v>5990.6760000000004</v>
      </c>
      <c r="K209" s="106">
        <v>5990.6760000000004</v>
      </c>
      <c r="L209" s="105">
        <f t="shared" ref="L209:P209" si="44">G209*$D209/1000</f>
        <v>481.05128312120002</v>
      </c>
      <c r="M209" s="72">
        <f t="shared" si="44"/>
        <v>481.05128312120002</v>
      </c>
      <c r="N209" s="72">
        <f t="shared" si="44"/>
        <v>481.05128312120002</v>
      </c>
      <c r="O209" s="72">
        <f t="shared" si="44"/>
        <v>481.05128279999997</v>
      </c>
      <c r="P209" s="106">
        <f t="shared" si="44"/>
        <v>481.05128279999997</v>
      </c>
      <c r="Q209" s="107"/>
      <c r="R209" s="107"/>
      <c r="S209" s="107"/>
      <c r="T209" s="8"/>
      <c r="U209" s="8"/>
      <c r="V209" s="8"/>
      <c r="W209" s="8"/>
      <c r="X209" s="8"/>
      <c r="Y209" s="8"/>
      <c r="Z209" s="8"/>
      <c r="AA209" s="8"/>
      <c r="AB209" s="8"/>
      <c r="AC209" s="8"/>
      <c r="AD209" s="8"/>
      <c r="AE209" s="8"/>
      <c r="AF209" s="8"/>
    </row>
    <row r="210" spans="1:32" ht="14.4" x14ac:dyDescent="0.3">
      <c r="A210" s="8"/>
      <c r="B210" s="112" t="s">
        <v>149</v>
      </c>
      <c r="C210" s="113" t="s">
        <v>147</v>
      </c>
      <c r="D210" s="114">
        <v>84.7</v>
      </c>
      <c r="E210" s="114">
        <v>1.02</v>
      </c>
      <c r="F210" s="104">
        <f t="shared" ref="F210:F211" si="45">E210*44/12</f>
        <v>3.74</v>
      </c>
      <c r="G210" s="105">
        <v>9.4989216869999993</v>
      </c>
      <c r="H210" s="72">
        <v>0</v>
      </c>
      <c r="I210" s="72">
        <v>0</v>
      </c>
      <c r="J210" s="72">
        <v>0</v>
      </c>
      <c r="K210" s="106">
        <v>0</v>
      </c>
      <c r="L210" s="105">
        <f t="shared" ref="L210:P210" si="46">G210*$D210/1000</f>
        <v>0.80455866688889999</v>
      </c>
      <c r="M210" s="72">
        <f t="shared" si="46"/>
        <v>0</v>
      </c>
      <c r="N210" s="72">
        <f t="shared" si="46"/>
        <v>0</v>
      </c>
      <c r="O210" s="72">
        <f t="shared" si="46"/>
        <v>0</v>
      </c>
      <c r="P210" s="106">
        <f t="shared" si="46"/>
        <v>0</v>
      </c>
      <c r="Q210" s="107"/>
      <c r="R210" s="107"/>
      <c r="S210" s="107"/>
      <c r="T210" s="8"/>
      <c r="U210" s="8"/>
      <c r="V210" s="8"/>
      <c r="W210" s="8"/>
      <c r="X210" s="8"/>
      <c r="Y210" s="8"/>
      <c r="Z210" s="8"/>
      <c r="AA210" s="8"/>
      <c r="AB210" s="8"/>
      <c r="AC210" s="8"/>
      <c r="AD210" s="8"/>
      <c r="AE210" s="8"/>
      <c r="AF210" s="8"/>
    </row>
    <row r="211" spans="1:32" ht="14.4" x14ac:dyDescent="0.3">
      <c r="A211" s="8"/>
      <c r="B211" s="112" t="s">
        <v>149</v>
      </c>
      <c r="C211" s="109" t="s">
        <v>148</v>
      </c>
      <c r="D211" s="114">
        <v>127.5</v>
      </c>
      <c r="E211" s="114">
        <v>1.46</v>
      </c>
      <c r="F211" s="104">
        <f t="shared" si="45"/>
        <v>5.3533333333333326</v>
      </c>
      <c r="G211" s="105">
        <v>0</v>
      </c>
      <c r="H211" s="72">
        <v>0</v>
      </c>
      <c r="I211" s="72">
        <v>0</v>
      </c>
      <c r="J211" s="72">
        <v>0</v>
      </c>
      <c r="K211" s="106">
        <v>0</v>
      </c>
      <c r="L211" s="105">
        <f t="shared" ref="L211:P211" si="47">G211*$D211/1000</f>
        <v>0</v>
      </c>
      <c r="M211" s="72">
        <f t="shared" si="47"/>
        <v>0</v>
      </c>
      <c r="N211" s="72">
        <f t="shared" si="47"/>
        <v>0</v>
      </c>
      <c r="O211" s="72">
        <f t="shared" si="47"/>
        <v>0</v>
      </c>
      <c r="P211" s="106">
        <f t="shared" si="47"/>
        <v>0</v>
      </c>
      <c r="Q211" s="107"/>
      <c r="R211" s="107"/>
      <c r="S211" s="107"/>
      <c r="T211" s="8"/>
      <c r="U211" s="8"/>
      <c r="V211" s="8"/>
      <c r="W211" s="8"/>
      <c r="X211" s="8"/>
      <c r="Y211" s="8"/>
      <c r="Z211" s="8"/>
      <c r="AA211" s="8"/>
      <c r="AB211" s="8"/>
      <c r="AC211" s="8"/>
      <c r="AD211" s="8"/>
      <c r="AE211" s="8"/>
      <c r="AF211" s="8"/>
    </row>
    <row r="212" spans="1:32" ht="14.4" x14ac:dyDescent="0.3">
      <c r="A212" s="8"/>
      <c r="B212" s="108" t="s">
        <v>150</v>
      </c>
      <c r="C212" s="109" t="s">
        <v>151</v>
      </c>
      <c r="D212" s="115">
        <v>0.09</v>
      </c>
      <c r="E212" s="111"/>
      <c r="F212" s="104"/>
      <c r="G212" s="109"/>
      <c r="H212" s="111"/>
      <c r="I212" s="111"/>
      <c r="J212" s="111"/>
      <c r="K212" s="116"/>
      <c r="L212" s="105">
        <f t="shared" ref="L212:P212" si="48">SUM(L208:L211)*$D212</f>
        <v>53.744780104927997</v>
      </c>
      <c r="M212" s="72">
        <f t="shared" si="48"/>
        <v>53.718534585828003</v>
      </c>
      <c r="N212" s="72">
        <f t="shared" si="48"/>
        <v>53.718534585828003</v>
      </c>
      <c r="O212" s="72">
        <f t="shared" si="48"/>
        <v>53.718532991999986</v>
      </c>
      <c r="P212" s="106">
        <f t="shared" si="48"/>
        <v>53.718532991999986</v>
      </c>
      <c r="Q212" s="107"/>
      <c r="R212" s="107"/>
      <c r="S212" s="107"/>
      <c r="T212" s="8"/>
      <c r="U212" s="8"/>
      <c r="V212" s="8"/>
      <c r="W212" s="8"/>
      <c r="X212" s="8"/>
      <c r="Y212" s="8"/>
      <c r="Z212" s="8"/>
      <c r="AA212" s="8"/>
      <c r="AB212" s="8"/>
      <c r="AC212" s="8"/>
      <c r="AD212" s="8"/>
      <c r="AE212" s="8"/>
      <c r="AF212" s="8"/>
    </row>
    <row r="213" spans="1:32" ht="14.4" x14ac:dyDescent="0.3">
      <c r="A213" s="8"/>
      <c r="B213" s="108" t="s">
        <v>152</v>
      </c>
      <c r="C213" s="109" t="s">
        <v>151</v>
      </c>
      <c r="D213" s="110">
        <v>183</v>
      </c>
      <c r="E213" s="111"/>
      <c r="F213" s="104"/>
      <c r="G213" s="105">
        <v>378.54672799999997</v>
      </c>
      <c r="H213" s="72">
        <v>381.76787580000001</v>
      </c>
      <c r="I213" s="72">
        <v>384.71023600000001</v>
      </c>
      <c r="J213" s="72">
        <v>384.71019999999999</v>
      </c>
      <c r="K213" s="106">
        <v>384.71019999999999</v>
      </c>
      <c r="L213" s="105">
        <f t="shared" ref="L213:P213" si="49">G213*$D213/1000</f>
        <v>69.27405122399999</v>
      </c>
      <c r="M213" s="72">
        <f t="shared" si="49"/>
        <v>69.863521271400003</v>
      </c>
      <c r="N213" s="72">
        <f t="shared" si="49"/>
        <v>70.401973187999999</v>
      </c>
      <c r="O213" s="72">
        <f t="shared" si="49"/>
        <v>70.401966599999994</v>
      </c>
      <c r="P213" s="106">
        <f t="shared" si="49"/>
        <v>70.401966599999994</v>
      </c>
      <c r="Q213" s="107"/>
      <c r="R213" s="107"/>
      <c r="S213" s="107"/>
      <c r="T213" s="8"/>
      <c r="U213" s="8"/>
      <c r="V213" s="8"/>
      <c r="W213" s="8"/>
      <c r="X213" s="8"/>
      <c r="Y213" s="8"/>
      <c r="Z213" s="8"/>
      <c r="AA213" s="8"/>
      <c r="AB213" s="8"/>
      <c r="AC213" s="8"/>
      <c r="AD213" s="8"/>
      <c r="AE213" s="8"/>
      <c r="AF213" s="8"/>
    </row>
    <row r="214" spans="1:32" ht="14.4" x14ac:dyDescent="0.3">
      <c r="A214" s="8"/>
      <c r="B214" s="108" t="s">
        <v>153</v>
      </c>
      <c r="C214" s="113" t="s">
        <v>147</v>
      </c>
      <c r="D214" s="110">
        <v>183</v>
      </c>
      <c r="E214" s="114">
        <v>1.02</v>
      </c>
      <c r="F214" s="104">
        <f t="shared" ref="F214:F215" si="50">E214*44/12</f>
        <v>3.74</v>
      </c>
      <c r="G214" s="105">
        <v>0</v>
      </c>
      <c r="H214" s="72">
        <v>0</v>
      </c>
      <c r="I214" s="72">
        <v>0</v>
      </c>
      <c r="J214" s="72">
        <v>0</v>
      </c>
      <c r="K214" s="106">
        <v>0</v>
      </c>
      <c r="L214" s="105">
        <f t="shared" ref="L214:P214" si="51">G214*$D214/1000</f>
        <v>0</v>
      </c>
      <c r="M214" s="72">
        <f t="shared" si="51"/>
        <v>0</v>
      </c>
      <c r="N214" s="72">
        <f t="shared" si="51"/>
        <v>0</v>
      </c>
      <c r="O214" s="72">
        <f t="shared" si="51"/>
        <v>0</v>
      </c>
      <c r="P214" s="106">
        <f t="shared" si="51"/>
        <v>0</v>
      </c>
      <c r="Q214" s="107"/>
      <c r="R214" s="107"/>
      <c r="S214" s="107"/>
      <c r="T214" s="8"/>
      <c r="U214" s="8"/>
      <c r="V214" s="8"/>
      <c r="W214" s="8"/>
      <c r="X214" s="8"/>
      <c r="Y214" s="8"/>
      <c r="Z214" s="8"/>
      <c r="AA214" s="8"/>
      <c r="AB214" s="8"/>
      <c r="AC214" s="8"/>
      <c r="AD214" s="8"/>
      <c r="AE214" s="8"/>
      <c r="AF214" s="8"/>
    </row>
    <row r="215" spans="1:32" ht="14.4" x14ac:dyDescent="0.3">
      <c r="A215" s="8"/>
      <c r="B215" s="108" t="s">
        <v>153</v>
      </c>
      <c r="C215" s="109" t="s">
        <v>148</v>
      </c>
      <c r="D215" s="110">
        <v>183</v>
      </c>
      <c r="E215" s="114">
        <v>1.46</v>
      </c>
      <c r="F215" s="104">
        <f t="shared" si="50"/>
        <v>5.3533333333333326</v>
      </c>
      <c r="G215" s="105">
        <v>6.1635079480000003</v>
      </c>
      <c r="H215" s="72">
        <v>8.6464103950000002</v>
      </c>
      <c r="I215" s="72">
        <v>5.7040501949999998</v>
      </c>
      <c r="J215" s="72">
        <v>5.7040499999999996</v>
      </c>
      <c r="K215" s="106">
        <v>5.7040499999999996</v>
      </c>
      <c r="L215" s="105">
        <f t="shared" ref="L215:P215" si="52">G215*$D215/1000</f>
        <v>1.127921954484</v>
      </c>
      <c r="M215" s="72">
        <f t="shared" si="52"/>
        <v>1.582293102285</v>
      </c>
      <c r="N215" s="72">
        <f t="shared" si="52"/>
        <v>1.0438411856850001</v>
      </c>
      <c r="O215" s="72">
        <f t="shared" si="52"/>
        <v>1.04384115</v>
      </c>
      <c r="P215" s="106">
        <f t="shared" si="52"/>
        <v>1.04384115</v>
      </c>
      <c r="Q215" s="107"/>
      <c r="R215" s="107"/>
      <c r="S215" s="107"/>
      <c r="T215" s="8"/>
      <c r="U215" s="8"/>
      <c r="V215" s="8"/>
      <c r="W215" s="8"/>
      <c r="X215" s="8"/>
      <c r="Y215" s="8"/>
      <c r="Z215" s="8"/>
      <c r="AA215" s="8"/>
      <c r="AB215" s="8"/>
      <c r="AC215" s="8"/>
      <c r="AD215" s="8"/>
      <c r="AE215" s="8"/>
      <c r="AF215" s="8"/>
    </row>
    <row r="216" spans="1:32" ht="14.4" x14ac:dyDescent="0.3">
      <c r="A216" s="8"/>
      <c r="B216" s="108" t="s">
        <v>154</v>
      </c>
      <c r="C216" s="117" t="s">
        <v>151</v>
      </c>
      <c r="D216" s="118">
        <v>416</v>
      </c>
      <c r="E216" s="119"/>
      <c r="F216" s="120"/>
      <c r="G216" s="121">
        <v>230.3975188</v>
      </c>
      <c r="H216" s="122">
        <v>230.3975188</v>
      </c>
      <c r="I216" s="122">
        <v>230.3975188</v>
      </c>
      <c r="J216" s="122">
        <v>230.39750000000001</v>
      </c>
      <c r="K216" s="123">
        <v>230.39750000000001</v>
      </c>
      <c r="L216" s="121">
        <f t="shared" ref="L216:P216" si="53">G216*$D216/1000</f>
        <v>95.845367820800007</v>
      </c>
      <c r="M216" s="122">
        <f t="shared" si="53"/>
        <v>95.845367820800007</v>
      </c>
      <c r="N216" s="122">
        <f t="shared" si="53"/>
        <v>95.845367820800007</v>
      </c>
      <c r="O216" s="122">
        <f t="shared" si="53"/>
        <v>95.845359999999999</v>
      </c>
      <c r="P216" s="123">
        <f t="shared" si="53"/>
        <v>95.845359999999999</v>
      </c>
      <c r="Q216" s="107"/>
      <c r="R216" s="107"/>
      <c r="S216" s="107"/>
      <c r="T216" s="8"/>
      <c r="U216" s="8"/>
      <c r="V216" s="8"/>
      <c r="W216" s="8"/>
      <c r="X216" s="8"/>
      <c r="Y216" s="8"/>
      <c r="Z216" s="8"/>
      <c r="AA216" s="8"/>
      <c r="AB216" s="8"/>
      <c r="AC216" s="8"/>
      <c r="AD216" s="8"/>
      <c r="AE216" s="8"/>
      <c r="AF216" s="8"/>
    </row>
    <row r="217" spans="1:32" ht="14.4" x14ac:dyDescent="0.3">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row>
    <row r="218" spans="1:32" ht="14.4" x14ac:dyDescent="0.3">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row>
    <row r="219" spans="1:32" ht="14.4" x14ac:dyDescent="0.3">
      <c r="A219" s="8"/>
      <c r="B219" s="8"/>
      <c r="C219" s="3054" t="s">
        <v>138</v>
      </c>
      <c r="D219" s="3052"/>
      <c r="E219" s="3052"/>
      <c r="F219" s="3053"/>
      <c r="G219" s="3055" t="s">
        <v>139</v>
      </c>
      <c r="H219" s="3052"/>
      <c r="I219" s="3052"/>
      <c r="J219" s="3052"/>
      <c r="K219" s="3053"/>
      <c r="L219" s="3056" t="s">
        <v>155</v>
      </c>
      <c r="M219" s="3052"/>
      <c r="N219" s="3052"/>
      <c r="O219" s="3052"/>
      <c r="P219" s="3053"/>
      <c r="T219" s="8"/>
      <c r="U219" s="8"/>
      <c r="V219" s="8"/>
      <c r="W219" s="8"/>
      <c r="X219" s="8"/>
      <c r="Y219" s="8"/>
      <c r="Z219" s="8"/>
      <c r="AA219" s="8"/>
      <c r="AB219" s="8"/>
      <c r="AC219" s="8"/>
      <c r="AD219" s="8"/>
      <c r="AE219" s="8"/>
      <c r="AF219" s="8"/>
    </row>
    <row r="220" spans="1:32" ht="14.4" x14ac:dyDescent="0.3">
      <c r="A220" s="8"/>
      <c r="B220" s="23" t="s">
        <v>141</v>
      </c>
      <c r="C220" s="97" t="s">
        <v>142</v>
      </c>
      <c r="D220" s="98" t="s">
        <v>143</v>
      </c>
      <c r="E220" s="98" t="s">
        <v>144</v>
      </c>
      <c r="F220" s="99" t="s">
        <v>145</v>
      </c>
      <c r="G220" s="97">
        <v>2006</v>
      </c>
      <c r="H220" s="98">
        <v>2011</v>
      </c>
      <c r="I220" s="98">
        <v>2014</v>
      </c>
      <c r="J220" s="98">
        <v>2017</v>
      </c>
      <c r="K220" s="99">
        <v>2020</v>
      </c>
      <c r="L220" s="97">
        <v>2006</v>
      </c>
      <c r="M220" s="98">
        <v>2011</v>
      </c>
      <c r="N220" s="98">
        <v>2014</v>
      </c>
      <c r="O220" s="98">
        <v>2017</v>
      </c>
      <c r="P220" s="99">
        <v>2020</v>
      </c>
      <c r="T220" s="8"/>
      <c r="U220" s="8"/>
      <c r="V220" s="8"/>
      <c r="W220" s="8"/>
      <c r="X220" s="8"/>
      <c r="Y220" s="8"/>
      <c r="Z220" s="8"/>
      <c r="AA220" s="8"/>
      <c r="AB220" s="8"/>
      <c r="AC220" s="8"/>
      <c r="AD220" s="8"/>
      <c r="AE220" s="8"/>
      <c r="AF220" s="8"/>
    </row>
    <row r="221" spans="1:32" ht="14.4" x14ac:dyDescent="0.3">
      <c r="A221" s="8"/>
      <c r="B221" s="100" t="s">
        <v>146</v>
      </c>
      <c r="C221" s="101" t="s">
        <v>147</v>
      </c>
      <c r="D221" s="102">
        <v>54</v>
      </c>
      <c r="E221" s="103"/>
      <c r="F221" s="104"/>
      <c r="G221" s="105">
        <v>2135.3404</v>
      </c>
      <c r="H221" s="72">
        <v>2144.8393219999998</v>
      </c>
      <c r="I221" s="72">
        <v>2144.8393219999998</v>
      </c>
      <c r="J221" s="72">
        <v>2144.8389999999999</v>
      </c>
      <c r="K221" s="106">
        <v>2144.8389999999999</v>
      </c>
      <c r="L221" s="105">
        <f t="shared" ref="L221:P221" si="54">G221*$F221</f>
        <v>0</v>
      </c>
      <c r="M221" s="72">
        <f t="shared" si="54"/>
        <v>0</v>
      </c>
      <c r="N221" s="72">
        <f t="shared" si="54"/>
        <v>0</v>
      </c>
      <c r="O221" s="72">
        <f t="shared" si="54"/>
        <v>0</v>
      </c>
      <c r="P221" s="106">
        <f t="shared" si="54"/>
        <v>0</v>
      </c>
      <c r="T221" s="8"/>
      <c r="U221" s="8"/>
      <c r="V221" s="8"/>
      <c r="W221" s="8"/>
      <c r="X221" s="8"/>
      <c r="Y221" s="8"/>
      <c r="Z221" s="8"/>
      <c r="AA221" s="8"/>
      <c r="AB221" s="8"/>
      <c r="AC221" s="8"/>
      <c r="AD221" s="8"/>
      <c r="AE221" s="8"/>
      <c r="AF221" s="8"/>
    </row>
    <row r="222" spans="1:32" ht="14.4" x14ac:dyDescent="0.3">
      <c r="A222" s="8"/>
      <c r="B222" s="108" t="s">
        <v>146</v>
      </c>
      <c r="C222" s="109" t="s">
        <v>148</v>
      </c>
      <c r="D222" s="110">
        <v>80.3</v>
      </c>
      <c r="E222" s="111"/>
      <c r="F222" s="104"/>
      <c r="G222" s="105">
        <v>5990.6760039999999</v>
      </c>
      <c r="H222" s="72">
        <v>5990.6760039999999</v>
      </c>
      <c r="I222" s="72">
        <v>5990.6760039999999</v>
      </c>
      <c r="J222" s="72">
        <v>5990.6760000000004</v>
      </c>
      <c r="K222" s="106">
        <v>5990.6760000000004</v>
      </c>
      <c r="L222" s="105">
        <f t="shared" ref="L222:P222" si="55">G222*$F222</f>
        <v>0</v>
      </c>
      <c r="M222" s="72">
        <f t="shared" si="55"/>
        <v>0</v>
      </c>
      <c r="N222" s="72">
        <f t="shared" si="55"/>
        <v>0</v>
      </c>
      <c r="O222" s="72">
        <f t="shared" si="55"/>
        <v>0</v>
      </c>
      <c r="P222" s="106">
        <f t="shared" si="55"/>
        <v>0</v>
      </c>
      <c r="T222" s="8"/>
      <c r="U222" s="8"/>
      <c r="V222" s="8"/>
      <c r="W222" s="8"/>
      <c r="X222" s="8"/>
      <c r="Y222" s="8"/>
      <c r="Z222" s="8"/>
      <c r="AA222" s="8"/>
      <c r="AB222" s="8"/>
      <c r="AC222" s="8"/>
      <c r="AD222" s="8"/>
      <c r="AE222" s="8"/>
      <c r="AF222" s="8"/>
    </row>
    <row r="223" spans="1:32" ht="14.4" x14ac:dyDescent="0.3">
      <c r="A223" s="8"/>
      <c r="B223" s="112" t="s">
        <v>149</v>
      </c>
      <c r="C223" s="113" t="s">
        <v>147</v>
      </c>
      <c r="D223" s="114">
        <v>84.7</v>
      </c>
      <c r="E223" s="114">
        <v>1.02</v>
      </c>
      <c r="F223" s="104">
        <f t="shared" ref="F223:F224" si="56">E223*44/12</f>
        <v>3.74</v>
      </c>
      <c r="G223" s="105">
        <v>9.4989216869999993</v>
      </c>
      <c r="H223" s="72">
        <v>0</v>
      </c>
      <c r="I223" s="72">
        <v>0</v>
      </c>
      <c r="J223" s="72">
        <v>0</v>
      </c>
      <c r="K223" s="106">
        <v>0</v>
      </c>
      <c r="L223" s="105">
        <f t="shared" ref="L223:P223" si="57">G223*$F223</f>
        <v>35.525967109379998</v>
      </c>
      <c r="M223" s="72">
        <f t="shared" si="57"/>
        <v>0</v>
      </c>
      <c r="N223" s="72">
        <f t="shared" si="57"/>
        <v>0</v>
      </c>
      <c r="O223" s="72">
        <f t="shared" si="57"/>
        <v>0</v>
      </c>
      <c r="P223" s="106">
        <f t="shared" si="57"/>
        <v>0</v>
      </c>
      <c r="T223" s="8"/>
      <c r="U223" s="8"/>
      <c r="V223" s="8"/>
      <c r="W223" s="8"/>
      <c r="X223" s="8"/>
      <c r="Y223" s="8"/>
      <c r="Z223" s="8"/>
      <c r="AA223" s="8"/>
      <c r="AB223" s="8"/>
      <c r="AC223" s="8"/>
      <c r="AD223" s="8"/>
      <c r="AE223" s="8"/>
      <c r="AF223" s="8"/>
    </row>
    <row r="224" spans="1:32" ht="14.4" x14ac:dyDescent="0.3">
      <c r="A224" s="8"/>
      <c r="B224" s="112" t="s">
        <v>149</v>
      </c>
      <c r="C224" s="109" t="s">
        <v>148</v>
      </c>
      <c r="D224" s="114">
        <v>127.5</v>
      </c>
      <c r="E224" s="114">
        <v>1.46</v>
      </c>
      <c r="F224" s="104">
        <f t="shared" si="56"/>
        <v>5.3533333333333326</v>
      </c>
      <c r="G224" s="105">
        <v>0</v>
      </c>
      <c r="H224" s="72">
        <v>0</v>
      </c>
      <c r="I224" s="72">
        <v>0</v>
      </c>
      <c r="J224" s="72">
        <v>0</v>
      </c>
      <c r="K224" s="106">
        <v>0</v>
      </c>
      <c r="L224" s="105">
        <f t="shared" ref="L224:P224" si="58">G224*$F224</f>
        <v>0</v>
      </c>
      <c r="M224" s="72">
        <f t="shared" si="58"/>
        <v>0</v>
      </c>
      <c r="N224" s="72">
        <f t="shared" si="58"/>
        <v>0</v>
      </c>
      <c r="O224" s="72">
        <f t="shared" si="58"/>
        <v>0</v>
      </c>
      <c r="P224" s="106">
        <f t="shared" si="58"/>
        <v>0</v>
      </c>
      <c r="T224" s="8"/>
      <c r="U224" s="8"/>
      <c r="V224" s="8"/>
      <c r="W224" s="8"/>
      <c r="X224" s="8"/>
      <c r="Y224" s="8"/>
      <c r="Z224" s="8"/>
      <c r="AA224" s="8"/>
      <c r="AB224" s="8"/>
      <c r="AC224" s="8"/>
      <c r="AD224" s="8"/>
      <c r="AE224" s="8"/>
      <c r="AF224" s="8"/>
    </row>
    <row r="225" spans="1:32" ht="14.4" x14ac:dyDescent="0.3">
      <c r="A225" s="8"/>
      <c r="B225" s="108" t="s">
        <v>150</v>
      </c>
      <c r="C225" s="109" t="s">
        <v>151</v>
      </c>
      <c r="D225" s="115">
        <v>0.09</v>
      </c>
      <c r="E225" s="111"/>
      <c r="F225" s="104"/>
      <c r="G225" s="109"/>
      <c r="H225" s="111"/>
      <c r="I225" s="111"/>
      <c r="J225" s="111"/>
      <c r="K225" s="116"/>
      <c r="L225" s="105"/>
      <c r="M225" s="72"/>
      <c r="N225" s="72"/>
      <c r="O225" s="72"/>
      <c r="P225" s="106"/>
      <c r="T225" s="8"/>
      <c r="U225" s="8"/>
      <c r="V225" s="8"/>
      <c r="W225" s="8"/>
      <c r="X225" s="8"/>
      <c r="Y225" s="8"/>
      <c r="Z225" s="8"/>
      <c r="AA225" s="8"/>
      <c r="AB225" s="8"/>
      <c r="AC225" s="8"/>
      <c r="AD225" s="8"/>
      <c r="AE225" s="8"/>
      <c r="AF225" s="8"/>
    </row>
    <row r="226" spans="1:32" ht="14.4" x14ac:dyDescent="0.3">
      <c r="A226" s="8"/>
      <c r="B226" s="108" t="s">
        <v>152</v>
      </c>
      <c r="C226" s="109" t="s">
        <v>151</v>
      </c>
      <c r="D226" s="110">
        <v>183</v>
      </c>
      <c r="E226" s="111"/>
      <c r="F226" s="104"/>
      <c r="G226" s="105">
        <v>378.54672799999997</v>
      </c>
      <c r="H226" s="72">
        <v>381.76787580000001</v>
      </c>
      <c r="I226" s="72">
        <v>384.71023600000001</v>
      </c>
      <c r="J226" s="72">
        <v>384.71019999999999</v>
      </c>
      <c r="K226" s="106">
        <v>384.71019999999999</v>
      </c>
      <c r="L226" s="105">
        <f t="shared" ref="L226:P226" si="59">G226*$F226</f>
        <v>0</v>
      </c>
      <c r="M226" s="72">
        <f t="shared" si="59"/>
        <v>0</v>
      </c>
      <c r="N226" s="72">
        <f t="shared" si="59"/>
        <v>0</v>
      </c>
      <c r="O226" s="72">
        <f t="shared" si="59"/>
        <v>0</v>
      </c>
      <c r="P226" s="106">
        <f t="shared" si="59"/>
        <v>0</v>
      </c>
      <c r="T226" s="8"/>
      <c r="U226" s="8"/>
      <c r="V226" s="8"/>
      <c r="W226" s="8"/>
      <c r="X226" s="8"/>
      <c r="Y226" s="8"/>
      <c r="Z226" s="8"/>
      <c r="AA226" s="8"/>
      <c r="AB226" s="8"/>
      <c r="AC226" s="8"/>
      <c r="AD226" s="8"/>
      <c r="AE226" s="8"/>
      <c r="AF226" s="8"/>
    </row>
    <row r="227" spans="1:32" ht="14.4" x14ac:dyDescent="0.3">
      <c r="A227" s="8"/>
      <c r="B227" s="108" t="s">
        <v>153</v>
      </c>
      <c r="C227" s="113" t="s">
        <v>147</v>
      </c>
      <c r="D227" s="110">
        <v>183</v>
      </c>
      <c r="E227" s="114">
        <v>1.02</v>
      </c>
      <c r="F227" s="104">
        <f t="shared" ref="F227:F228" si="60">E227*44/12</f>
        <v>3.74</v>
      </c>
      <c r="G227" s="105">
        <v>0</v>
      </c>
      <c r="H227" s="72">
        <v>0</v>
      </c>
      <c r="I227" s="72">
        <v>0</v>
      </c>
      <c r="J227" s="72">
        <v>0</v>
      </c>
      <c r="K227" s="106">
        <v>0</v>
      </c>
      <c r="L227" s="105">
        <f t="shared" ref="L227:P227" si="61">G227*$F227</f>
        <v>0</v>
      </c>
      <c r="M227" s="72">
        <f t="shared" si="61"/>
        <v>0</v>
      </c>
      <c r="N227" s="72">
        <f t="shared" si="61"/>
        <v>0</v>
      </c>
      <c r="O227" s="72">
        <f t="shared" si="61"/>
        <v>0</v>
      </c>
      <c r="P227" s="106">
        <f t="shared" si="61"/>
        <v>0</v>
      </c>
      <c r="T227" s="8"/>
      <c r="U227" s="8"/>
      <c r="V227" s="8"/>
      <c r="W227" s="8"/>
      <c r="X227" s="8"/>
      <c r="Y227" s="8"/>
      <c r="Z227" s="8"/>
      <c r="AA227" s="8"/>
      <c r="AB227" s="8"/>
      <c r="AC227" s="8"/>
      <c r="AD227" s="8"/>
      <c r="AE227" s="8"/>
      <c r="AF227" s="8"/>
    </row>
    <row r="228" spans="1:32" ht="14.4" x14ac:dyDescent="0.3">
      <c r="A228" s="8"/>
      <c r="B228" s="108" t="s">
        <v>153</v>
      </c>
      <c r="C228" s="109" t="s">
        <v>148</v>
      </c>
      <c r="D228" s="110">
        <v>183</v>
      </c>
      <c r="E228" s="114">
        <v>1.46</v>
      </c>
      <c r="F228" s="104">
        <f t="shared" si="60"/>
        <v>5.3533333333333326</v>
      </c>
      <c r="G228" s="105">
        <v>6.1635079480000003</v>
      </c>
      <c r="H228" s="72">
        <v>8.6464103950000002</v>
      </c>
      <c r="I228" s="72">
        <v>5.7040501949999998</v>
      </c>
      <c r="J228" s="72">
        <v>5.7040499999999996</v>
      </c>
      <c r="K228" s="106">
        <v>5.7040499999999996</v>
      </c>
      <c r="L228" s="105">
        <f t="shared" ref="L228:P228" si="62">G228*$F228</f>
        <v>32.995312548293327</v>
      </c>
      <c r="M228" s="72">
        <f t="shared" si="62"/>
        <v>46.287116981233325</v>
      </c>
      <c r="N228" s="72">
        <f t="shared" si="62"/>
        <v>30.535682043899996</v>
      </c>
      <c r="O228" s="72">
        <f t="shared" si="62"/>
        <v>30.535680999999993</v>
      </c>
      <c r="P228" s="106">
        <f t="shared" si="62"/>
        <v>30.535680999999993</v>
      </c>
      <c r="T228" s="8"/>
      <c r="U228" s="8"/>
      <c r="V228" s="8"/>
      <c r="W228" s="8"/>
      <c r="X228" s="8"/>
      <c r="Y228" s="8"/>
      <c r="Z228" s="8"/>
      <c r="AA228" s="8"/>
      <c r="AB228" s="8"/>
      <c r="AC228" s="8"/>
      <c r="AD228" s="8"/>
      <c r="AE228" s="8"/>
      <c r="AF228" s="8"/>
    </row>
    <row r="229" spans="1:32" ht="14.4" x14ac:dyDescent="0.3">
      <c r="A229" s="8"/>
      <c r="B229" s="108" t="s">
        <v>154</v>
      </c>
      <c r="C229" s="117" t="s">
        <v>151</v>
      </c>
      <c r="D229" s="118">
        <v>416</v>
      </c>
      <c r="E229" s="119"/>
      <c r="F229" s="120"/>
      <c r="G229" s="121">
        <v>230.3975188</v>
      </c>
      <c r="H229" s="122">
        <v>230.3975188</v>
      </c>
      <c r="I229" s="122">
        <v>230.3975188</v>
      </c>
      <c r="J229" s="122">
        <v>230.39750000000001</v>
      </c>
      <c r="K229" s="123">
        <v>230.39750000000001</v>
      </c>
      <c r="L229" s="121">
        <f t="shared" ref="L229:P229" si="63">G229*$F229</f>
        <v>0</v>
      </c>
      <c r="M229" s="122">
        <f t="shared" si="63"/>
        <v>0</v>
      </c>
      <c r="N229" s="122">
        <f t="shared" si="63"/>
        <v>0</v>
      </c>
      <c r="O229" s="122">
        <f t="shared" si="63"/>
        <v>0</v>
      </c>
      <c r="P229" s="123">
        <f t="shared" si="63"/>
        <v>0</v>
      </c>
      <c r="T229" s="8"/>
      <c r="U229" s="8"/>
      <c r="V229" s="8"/>
      <c r="W229" s="8"/>
      <c r="X229" s="8"/>
      <c r="Y229" s="8"/>
      <c r="Z229" s="8"/>
      <c r="AA229" s="8"/>
      <c r="AB229" s="8"/>
      <c r="AC229" s="8"/>
      <c r="AD229" s="8"/>
      <c r="AE229" s="8"/>
      <c r="AF229" s="8"/>
    </row>
    <row r="230" spans="1:32" ht="14.4" x14ac:dyDescent="0.3">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row>
    <row r="231" spans="1:32" ht="14.4" x14ac:dyDescent="0.3">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row>
    <row r="232" spans="1:32" ht="14.4" x14ac:dyDescent="0.3">
      <c r="A232" s="8"/>
      <c r="B232" s="16" t="s">
        <v>156</v>
      </c>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row>
    <row r="233" spans="1:32" ht="14.4" x14ac:dyDescent="0.3">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row>
    <row r="234" spans="1:32" ht="14.4" x14ac:dyDescent="0.3">
      <c r="A234" s="8"/>
      <c r="B234" s="22" t="s">
        <v>79</v>
      </c>
      <c r="C234" s="75">
        <v>2020</v>
      </c>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row>
    <row r="235" spans="1:32" ht="14.4" x14ac:dyDescent="0.3">
      <c r="A235" s="8"/>
      <c r="B235" s="29" t="s">
        <v>4</v>
      </c>
      <c r="C235" s="124">
        <f>SUM(C236:C238)</f>
        <v>-0.61351902077070508</v>
      </c>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row>
    <row r="236" spans="1:32" ht="14.4" x14ac:dyDescent="0.3">
      <c r="A236" s="8"/>
      <c r="B236" s="125" t="s">
        <v>157</v>
      </c>
      <c r="C236" s="126">
        <f>(J177+J201)/1000000</f>
        <v>-0.6012595357417051</v>
      </c>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row>
    <row r="237" spans="1:32" ht="14.4" x14ac:dyDescent="0.3">
      <c r="A237" s="8"/>
      <c r="B237" s="125" t="s">
        <v>158</v>
      </c>
      <c r="C237" s="126">
        <f>J178/1000000</f>
        <v>-1.229002071E-2</v>
      </c>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row>
    <row r="238" spans="1:32" ht="14.4" x14ac:dyDescent="0.3">
      <c r="A238" s="8"/>
      <c r="B238" s="125" t="s">
        <v>159</v>
      </c>
      <c r="C238" s="126">
        <f>SUM(P221:P229)/1000000</f>
        <v>3.0535680999999994E-5</v>
      </c>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row>
    <row r="239" spans="1:32" ht="14.4" x14ac:dyDescent="0.3">
      <c r="A239" s="8"/>
      <c r="B239" s="29" t="s">
        <v>5</v>
      </c>
      <c r="C239" s="124">
        <f>SUM(C240:C242)</f>
        <v>0.3344043662548839</v>
      </c>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row>
    <row r="240" spans="1:32" ht="14.4" x14ac:dyDescent="0.3">
      <c r="A240" s="8"/>
      <c r="B240" s="125" t="s">
        <v>157</v>
      </c>
      <c r="C240" s="126">
        <f>J188*K5/1000000</f>
        <v>0.30807858118770792</v>
      </c>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row>
    <row r="241" spans="1:32" ht="14.4" x14ac:dyDescent="0.3">
      <c r="A241" s="8"/>
      <c r="B241" s="125" t="s">
        <v>158</v>
      </c>
      <c r="C241" s="126">
        <f>J189*K5/1000000</f>
        <v>3.4250809599999997E-3</v>
      </c>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row>
    <row r="242" spans="1:32" ht="14.4" x14ac:dyDescent="0.3">
      <c r="A242" s="8"/>
      <c r="B242" s="125" t="s">
        <v>159</v>
      </c>
      <c r="C242" s="126">
        <f>SUM(P208:P216)*K5/1000000</f>
        <v>2.2900704107175998E-2</v>
      </c>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row>
    <row r="243" spans="1:32" ht="14.4" x14ac:dyDescent="0.3">
      <c r="A243" s="8"/>
      <c r="B243" s="29" t="s">
        <v>86</v>
      </c>
      <c r="C243" s="124">
        <f>C235+C239</f>
        <v>-0.27911465451582118</v>
      </c>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row>
    <row r="244" spans="1:32" ht="14.4" x14ac:dyDescent="0.3">
      <c r="A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row>
    <row r="245" spans="1:32" ht="14.4" x14ac:dyDescent="0.3">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row>
    <row r="246" spans="1:32" ht="14.4" x14ac:dyDescent="0.3">
      <c r="A246" s="8"/>
      <c r="B246" s="14" t="s">
        <v>160</v>
      </c>
      <c r="C246" s="15"/>
      <c r="D246" s="15"/>
      <c r="E246" s="15"/>
      <c r="F246" s="15"/>
      <c r="G246" s="15"/>
      <c r="H246" s="15"/>
      <c r="I246" s="15"/>
      <c r="J246" s="15"/>
      <c r="K246" s="15"/>
      <c r="L246" s="15"/>
      <c r="M246" s="15"/>
      <c r="N246" s="15"/>
      <c r="O246" s="15"/>
      <c r="P246" s="15"/>
      <c r="Q246" s="15"/>
      <c r="R246" s="15"/>
      <c r="S246" s="15"/>
      <c r="T246" s="8"/>
      <c r="U246" s="8"/>
      <c r="V246" s="8"/>
      <c r="W246" s="8"/>
      <c r="X246" s="8"/>
      <c r="Y246" s="8"/>
      <c r="Z246" s="8"/>
      <c r="AA246" s="8"/>
      <c r="AB246" s="8"/>
      <c r="AC246" s="8"/>
      <c r="AD246" s="8"/>
      <c r="AE246" s="8"/>
      <c r="AF246" s="8"/>
    </row>
    <row r="247" spans="1:32" ht="14.4" x14ac:dyDescent="0.3">
      <c r="A247" s="8"/>
      <c r="B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row>
    <row r="248" spans="1:32" ht="14.4" x14ac:dyDescent="0.3">
      <c r="A248" s="8"/>
      <c r="B248" s="127"/>
      <c r="C248" s="128">
        <v>2020</v>
      </c>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row>
    <row r="249" spans="1:32" ht="14.4" x14ac:dyDescent="0.3">
      <c r="A249" s="8"/>
      <c r="B249" s="129" t="s">
        <v>161</v>
      </c>
      <c r="C249" s="130">
        <f>C250+C257+C260+C262+C265+C266</f>
        <v>-9.0371150773492452</v>
      </c>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row>
    <row r="250" spans="1:32" ht="14.4" x14ac:dyDescent="0.3">
      <c r="A250" s="8"/>
      <c r="B250" s="131" t="s">
        <v>37</v>
      </c>
      <c r="C250" s="132">
        <f>SUM(C251:C256)</f>
        <v>-7.4179279999999999</v>
      </c>
      <c r="E250" s="133"/>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row>
    <row r="251" spans="1:32" ht="14.4" x14ac:dyDescent="0.3">
      <c r="A251" s="8"/>
      <c r="B251" s="134" t="s">
        <v>80</v>
      </c>
      <c r="C251" s="135">
        <f t="shared" ref="C251:C256" si="64">C73</f>
        <v>-5.9180000000000001</v>
      </c>
      <c r="E251" s="133"/>
      <c r="F251" s="136"/>
      <c r="G251" s="136"/>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row>
    <row r="252" spans="1:32" ht="14.4" x14ac:dyDescent="0.3">
      <c r="A252" s="8"/>
      <c r="B252" s="134" t="s">
        <v>81</v>
      </c>
      <c r="C252" s="135">
        <f t="shared" si="64"/>
        <v>-1.1599280000000001</v>
      </c>
      <c r="E252" s="133"/>
      <c r="F252" s="136"/>
      <c r="G252" s="136"/>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row>
    <row r="253" spans="1:32" ht="14.4" x14ac:dyDescent="0.3">
      <c r="A253" s="8"/>
      <c r="B253" s="134" t="s">
        <v>82</v>
      </c>
      <c r="C253" s="135">
        <f t="shared" si="64"/>
        <v>-0.6100000000000001</v>
      </c>
      <c r="E253" s="133"/>
      <c r="F253" s="136"/>
      <c r="G253" s="136"/>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row>
    <row r="254" spans="1:32" ht="14.4" x14ac:dyDescent="0.3">
      <c r="A254" s="8"/>
      <c r="B254" s="134" t="s">
        <v>83</v>
      </c>
      <c r="C254" s="135">
        <f t="shared" si="64"/>
        <v>0.15000000000000002</v>
      </c>
      <c r="E254" s="133"/>
      <c r="F254" s="136"/>
      <c r="G254" s="136"/>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row>
    <row r="255" spans="1:32" ht="14.4" x14ac:dyDescent="0.3">
      <c r="A255" s="8"/>
      <c r="B255" s="134" t="s">
        <v>84</v>
      </c>
      <c r="C255" s="135">
        <f t="shared" si="64"/>
        <v>0.12000000000000001</v>
      </c>
      <c r="E255" s="133"/>
      <c r="F255" s="136"/>
      <c r="G255" s="136"/>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row>
    <row r="256" spans="1:32" ht="14.4" x14ac:dyDescent="0.3">
      <c r="A256" s="8"/>
      <c r="B256" s="134" t="s">
        <v>85</v>
      </c>
      <c r="C256" s="135">
        <f t="shared" si="64"/>
        <v>0</v>
      </c>
      <c r="E256" s="133"/>
      <c r="F256" s="136"/>
      <c r="G256" s="136"/>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row>
    <row r="257" spans="1:32" ht="14.4" x14ac:dyDescent="0.3">
      <c r="A257" s="8"/>
      <c r="B257" s="131" t="s">
        <v>38</v>
      </c>
      <c r="C257" s="132">
        <f>C258+C259</f>
        <v>-1.21</v>
      </c>
      <c r="E257" s="133"/>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row>
    <row r="258" spans="1:32" ht="14.4" x14ac:dyDescent="0.3">
      <c r="A258" s="8"/>
      <c r="B258" s="134" t="s">
        <v>87</v>
      </c>
      <c r="C258" s="135">
        <f>G86</f>
        <v>-0.49</v>
      </c>
      <c r="E258" s="133"/>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row>
    <row r="259" spans="1:32" ht="14.4" x14ac:dyDescent="0.3">
      <c r="A259" s="8"/>
      <c r="B259" s="134" t="s">
        <v>93</v>
      </c>
      <c r="C259" s="135">
        <f>G95</f>
        <v>-0.72</v>
      </c>
      <c r="E259" s="133"/>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row>
    <row r="260" spans="1:32" ht="14.4" x14ac:dyDescent="0.3">
      <c r="A260" s="8"/>
      <c r="B260" s="131" t="s">
        <v>39</v>
      </c>
      <c r="C260" s="132">
        <f>C261</f>
        <v>1.6733530999999999E-2</v>
      </c>
      <c r="E260" s="133"/>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row>
    <row r="261" spans="1:32" ht="14.4" x14ac:dyDescent="0.3">
      <c r="A261" s="8"/>
      <c r="B261" s="134" t="s">
        <v>6</v>
      </c>
      <c r="C261" s="135">
        <f>G102</f>
        <v>1.6733530999999999E-2</v>
      </c>
      <c r="E261" s="133"/>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row>
    <row r="262" spans="1:32" ht="14.4" x14ac:dyDescent="0.3">
      <c r="A262" s="8"/>
      <c r="B262" s="137" t="s">
        <v>40</v>
      </c>
      <c r="C262" s="132">
        <f>C263+C264</f>
        <v>1.5194046166578001E-2</v>
      </c>
      <c r="E262" s="133"/>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row>
    <row r="263" spans="1:32" ht="14.4" x14ac:dyDescent="0.3">
      <c r="A263" s="8"/>
      <c r="B263" s="134" t="s">
        <v>5</v>
      </c>
      <c r="C263" s="135">
        <f>G139</f>
        <v>1.3463604886032E-2</v>
      </c>
      <c r="E263" s="133"/>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row>
    <row r="264" spans="1:32" ht="14.4" x14ac:dyDescent="0.3">
      <c r="A264" s="8"/>
      <c r="B264" s="134" t="s">
        <v>6</v>
      </c>
      <c r="C264" s="135">
        <f>G142</f>
        <v>1.7304412805459999E-3</v>
      </c>
      <c r="E264" s="133"/>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row>
    <row r="265" spans="1:32" ht="14.4" x14ac:dyDescent="0.3">
      <c r="A265" s="8"/>
      <c r="B265" s="137" t="s">
        <v>162</v>
      </c>
      <c r="C265" s="132">
        <f>G151</f>
        <v>-0.16200000000000001</v>
      </c>
      <c r="E265" s="133"/>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row>
    <row r="266" spans="1:32" ht="14.4" x14ac:dyDescent="0.3">
      <c r="A266" s="8"/>
      <c r="B266" s="137" t="s">
        <v>42</v>
      </c>
      <c r="C266" s="132">
        <f>SUM(C267:C268)</f>
        <v>-0.27911465451582118</v>
      </c>
      <c r="E266" s="133"/>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row>
    <row r="267" spans="1:32" ht="14.4" x14ac:dyDescent="0.3">
      <c r="A267" s="8"/>
      <c r="B267" s="134" t="s">
        <v>4</v>
      </c>
      <c r="C267" s="135">
        <f>C235</f>
        <v>-0.61351902077070508</v>
      </c>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row>
    <row r="268" spans="1:32" ht="14.4" x14ac:dyDescent="0.3">
      <c r="A268" s="8"/>
      <c r="B268" s="134" t="s">
        <v>5</v>
      </c>
      <c r="C268" s="135">
        <f>C239</f>
        <v>0.3344043662548839</v>
      </c>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row>
    <row r="269" spans="1:32" ht="14.4" x14ac:dyDescent="0.3">
      <c r="A269" s="8"/>
      <c r="B269" s="138" t="s">
        <v>163</v>
      </c>
      <c r="C269" s="138"/>
      <c r="D269" s="138"/>
      <c r="E269" s="138"/>
      <c r="F269" s="138"/>
      <c r="G269" s="138"/>
      <c r="H269" s="138"/>
      <c r="I269" s="138"/>
      <c r="J269" s="8"/>
      <c r="K269" s="8"/>
      <c r="L269" s="8"/>
      <c r="M269" s="8"/>
      <c r="N269" s="8"/>
      <c r="O269" s="8"/>
      <c r="P269" s="8"/>
      <c r="Q269" s="8"/>
      <c r="R269" s="8"/>
      <c r="S269" s="8"/>
      <c r="T269" s="8"/>
      <c r="U269" s="8"/>
      <c r="V269" s="8"/>
      <c r="W269" s="8"/>
      <c r="X269" s="8"/>
      <c r="Y269" s="8"/>
      <c r="Z269" s="8"/>
      <c r="AA269" s="8"/>
      <c r="AB269" s="8"/>
      <c r="AC269" s="8"/>
      <c r="AD269" s="8"/>
      <c r="AE269" s="8"/>
      <c r="AF269" s="8"/>
    </row>
    <row r="270" spans="1:32" ht="14.4" x14ac:dyDescent="0.3">
      <c r="A270" s="8"/>
      <c r="B270" s="138" t="s">
        <v>164</v>
      </c>
      <c r="C270" s="138"/>
      <c r="D270" s="138"/>
      <c r="E270" s="138"/>
      <c r="F270" s="138"/>
      <c r="G270" s="138"/>
      <c r="H270" s="138"/>
      <c r="I270" s="139"/>
      <c r="J270" s="8"/>
      <c r="K270" s="8"/>
      <c r="L270" s="8"/>
      <c r="M270" s="8"/>
      <c r="N270" s="8"/>
      <c r="O270" s="8"/>
      <c r="P270" s="8"/>
      <c r="Q270" s="8"/>
      <c r="R270" s="8"/>
      <c r="S270" s="8"/>
      <c r="T270" s="8"/>
      <c r="U270" s="8"/>
      <c r="V270" s="8"/>
      <c r="W270" s="8"/>
      <c r="X270" s="8"/>
      <c r="Y270" s="8"/>
      <c r="Z270" s="8"/>
      <c r="AA270" s="8"/>
      <c r="AB270" s="8"/>
      <c r="AC270" s="8"/>
      <c r="AD270" s="8"/>
      <c r="AE270" s="8"/>
      <c r="AF270" s="8"/>
    </row>
    <row r="271" spans="1:32" ht="14.4" x14ac:dyDescent="0.3">
      <c r="A271" s="8"/>
      <c r="B271" s="138" t="s">
        <v>165</v>
      </c>
      <c r="C271" s="138"/>
      <c r="D271" s="138"/>
      <c r="E271" s="138"/>
      <c r="F271" s="138"/>
      <c r="G271" s="138"/>
      <c r="H271" s="138"/>
      <c r="I271" s="138"/>
      <c r="J271" s="8"/>
      <c r="K271" s="8"/>
      <c r="L271" s="8"/>
      <c r="M271" s="8"/>
      <c r="N271" s="8"/>
      <c r="O271" s="8"/>
      <c r="P271" s="8"/>
      <c r="Q271" s="8"/>
      <c r="R271" s="8"/>
      <c r="S271" s="8"/>
      <c r="T271" s="8"/>
      <c r="U271" s="8"/>
      <c r="V271" s="8"/>
      <c r="W271" s="8"/>
      <c r="X271" s="8"/>
      <c r="Y271" s="8"/>
      <c r="Z271" s="8"/>
      <c r="AA271" s="8"/>
      <c r="AB271" s="8"/>
      <c r="AC271" s="8"/>
      <c r="AD271" s="8"/>
      <c r="AE271" s="8"/>
      <c r="AF271" s="8"/>
    </row>
    <row r="272" spans="1:32" ht="14.4" x14ac:dyDescent="0.3">
      <c r="A272" s="8"/>
      <c r="B272" s="1"/>
      <c r="C272" s="1"/>
      <c r="D272" s="1"/>
      <c r="E272" s="1"/>
      <c r="F272" s="1"/>
      <c r="G272" s="1"/>
      <c r="H272" s="1"/>
      <c r="I272" s="1"/>
      <c r="J272" s="8"/>
      <c r="K272" s="8"/>
      <c r="L272" s="8"/>
      <c r="M272" s="8"/>
      <c r="N272" s="8"/>
      <c r="O272" s="8"/>
      <c r="P272" s="8"/>
      <c r="Q272" s="8"/>
      <c r="R272" s="8"/>
      <c r="S272" s="8"/>
      <c r="T272" s="8"/>
      <c r="U272" s="8"/>
      <c r="V272" s="8"/>
      <c r="W272" s="8"/>
      <c r="X272" s="8"/>
      <c r="Y272" s="8"/>
      <c r="Z272" s="8"/>
      <c r="AA272" s="8"/>
      <c r="AB272" s="8"/>
      <c r="AC272" s="8"/>
      <c r="AD272" s="8"/>
      <c r="AE272" s="8"/>
      <c r="AF272" s="8"/>
    </row>
    <row r="273" spans="1:32" ht="14.4" x14ac:dyDescent="0.3">
      <c r="A273" s="8"/>
      <c r="B273" s="138"/>
      <c r="C273" s="1"/>
      <c r="D273" s="1"/>
      <c r="E273" s="1"/>
      <c r="F273" s="1"/>
      <c r="G273" s="1"/>
      <c r="H273" s="1"/>
      <c r="I273" s="1"/>
      <c r="J273" s="8"/>
      <c r="K273" s="8"/>
      <c r="L273" s="8"/>
      <c r="M273" s="8"/>
      <c r="N273" s="8"/>
      <c r="O273" s="8"/>
      <c r="P273" s="8"/>
      <c r="Q273" s="8"/>
      <c r="R273" s="8"/>
      <c r="S273" s="8"/>
      <c r="T273" s="8"/>
      <c r="U273" s="8"/>
      <c r="V273" s="8"/>
      <c r="W273" s="8"/>
      <c r="X273" s="8"/>
      <c r="Y273" s="8"/>
      <c r="Z273" s="8"/>
      <c r="AA273" s="8"/>
      <c r="AB273" s="8"/>
      <c r="AC273" s="8"/>
      <c r="AD273" s="8"/>
      <c r="AE273" s="8"/>
      <c r="AF273" s="8"/>
    </row>
    <row r="274" spans="1:32" ht="14.4" x14ac:dyDescent="0.3">
      <c r="A274" s="8"/>
      <c r="B274" s="138"/>
      <c r="C274" s="1"/>
      <c r="D274" s="1"/>
      <c r="E274" s="1"/>
      <c r="F274" s="1"/>
      <c r="G274" s="1"/>
      <c r="H274" s="1"/>
      <c r="I274" s="1"/>
      <c r="J274" s="8"/>
      <c r="K274" s="8"/>
      <c r="L274" s="8"/>
      <c r="M274" s="8"/>
      <c r="N274" s="8"/>
      <c r="O274" s="8"/>
      <c r="P274" s="8"/>
      <c r="Q274" s="8"/>
      <c r="R274" s="8"/>
      <c r="S274" s="8"/>
      <c r="T274" s="8"/>
      <c r="U274" s="8"/>
      <c r="V274" s="8"/>
      <c r="W274" s="8"/>
      <c r="X274" s="8"/>
      <c r="Y274" s="8"/>
      <c r="Z274" s="8"/>
      <c r="AA274" s="8"/>
      <c r="AB274" s="8"/>
      <c r="AC274" s="8"/>
      <c r="AD274" s="8"/>
      <c r="AE274" s="8"/>
      <c r="AF274" s="8"/>
    </row>
    <row r="275" spans="1:32" ht="14.4" x14ac:dyDescent="0.3">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row>
    <row r="276" spans="1:32" ht="14.4" x14ac:dyDescent="0.3">
      <c r="A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row>
    <row r="277" spans="1:32" ht="14.4" x14ac:dyDescent="0.3">
      <c r="A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row>
    <row r="278" spans="1:32" ht="14.4" x14ac:dyDescent="0.3">
      <c r="A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row>
    <row r="279" spans="1:32" ht="14.4" x14ac:dyDescent="0.3">
      <c r="A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row>
    <row r="280" spans="1:32" ht="14.4" x14ac:dyDescent="0.3">
      <c r="A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row>
    <row r="281" spans="1:32" ht="14.4" x14ac:dyDescent="0.3">
      <c r="A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row>
    <row r="282" spans="1:32" ht="14.4" x14ac:dyDescent="0.3">
      <c r="A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row>
    <row r="283" spans="1:32" ht="14.4" x14ac:dyDescent="0.3">
      <c r="A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row>
    <row r="284" spans="1:32" ht="14.4" x14ac:dyDescent="0.3">
      <c r="A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row>
    <row r="285" spans="1:32" ht="14.4" x14ac:dyDescent="0.3">
      <c r="A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row>
    <row r="286" spans="1:32" ht="14.4" x14ac:dyDescent="0.3">
      <c r="A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row>
    <row r="287" spans="1:32" ht="14.4" x14ac:dyDescent="0.3">
      <c r="A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288" spans="1:32" ht="14.4" x14ac:dyDescent="0.3">
      <c r="A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row>
    <row r="289" spans="1:32" ht="14.4" x14ac:dyDescent="0.3">
      <c r="A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row>
    <row r="290" spans="1:32" ht="14.4" x14ac:dyDescent="0.3">
      <c r="A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row>
    <row r="291" spans="1:32" ht="14.4" x14ac:dyDescent="0.3">
      <c r="A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row>
    <row r="292" spans="1:32" ht="14.4" x14ac:dyDescent="0.3">
      <c r="A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row>
    <row r="293" spans="1:32" ht="14.4" x14ac:dyDescent="0.3">
      <c r="A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row>
    <row r="294" spans="1:32" ht="14.4" x14ac:dyDescent="0.3">
      <c r="A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row>
    <row r="295" spans="1:32" ht="14.4" x14ac:dyDescent="0.3">
      <c r="A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row>
    <row r="296" spans="1:32" ht="14.4" x14ac:dyDescent="0.3">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row>
    <row r="297" spans="1:32" ht="14.4" x14ac:dyDescent="0.3">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row>
    <row r="298" spans="1:32" ht="14.4" x14ac:dyDescent="0.3">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row>
    <row r="299" spans="1:32" ht="14.4" x14ac:dyDescent="0.3">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row>
    <row r="300" spans="1:32" ht="14.4" x14ac:dyDescent="0.3">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row>
    <row r="301" spans="1:32" ht="14.4" x14ac:dyDescent="0.3">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row>
    <row r="302" spans="1:32" ht="14.4" x14ac:dyDescent="0.3">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row>
    <row r="303" spans="1:32" ht="14.4" x14ac:dyDescent="0.3">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row>
    <row r="304" spans="1:32" ht="14.4" x14ac:dyDescent="0.3">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row>
    <row r="305" spans="1:32" ht="14.4" x14ac:dyDescent="0.3">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row>
    <row r="306" spans="1:32" ht="14.4" x14ac:dyDescent="0.3">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row>
    <row r="307" spans="1:32" ht="14.4" x14ac:dyDescent="0.3">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row>
    <row r="308" spans="1:32" ht="14.4" x14ac:dyDescent="0.3">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row>
    <row r="309" spans="1:32" ht="14.4" x14ac:dyDescent="0.3">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row>
    <row r="310" spans="1:32" ht="14.4" x14ac:dyDescent="0.3">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row>
    <row r="311" spans="1:32" ht="14.4" x14ac:dyDescent="0.3">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row>
    <row r="312" spans="1:32" ht="14.4" x14ac:dyDescent="0.3">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row>
    <row r="313" spans="1:32" ht="14.4" x14ac:dyDescent="0.3">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row>
    <row r="314" spans="1:32" ht="14.4" x14ac:dyDescent="0.3">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15" spans="1:32" ht="14.4" x14ac:dyDescent="0.3">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row>
    <row r="316" spans="1:32" ht="14.4" x14ac:dyDescent="0.3">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row>
    <row r="317" spans="1:32" ht="14.4" x14ac:dyDescent="0.3">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row>
    <row r="318" spans="1:32" ht="14.4" x14ac:dyDescent="0.3">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row>
    <row r="319" spans="1:32" ht="14.4" x14ac:dyDescent="0.3">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row>
    <row r="320" spans="1:32" ht="14.4" x14ac:dyDescent="0.3">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row>
    <row r="321" spans="1:32" ht="14.4" x14ac:dyDescent="0.3">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row>
    <row r="322" spans="1:32" ht="14.4" x14ac:dyDescent="0.3">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row>
    <row r="323" spans="1:32" ht="14.4" x14ac:dyDescent="0.3">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row>
    <row r="324" spans="1:32" ht="14.4" x14ac:dyDescent="0.3">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row>
    <row r="325" spans="1:32" ht="14.4" x14ac:dyDescent="0.3">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row>
    <row r="326" spans="1:32" ht="14.4" x14ac:dyDescent="0.3">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row>
    <row r="327" spans="1:32" ht="14.4" x14ac:dyDescent="0.3">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row>
    <row r="328" spans="1:32" ht="14.4" x14ac:dyDescent="0.3">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row>
    <row r="329" spans="1:32" ht="14.4" x14ac:dyDescent="0.3">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row>
    <row r="330" spans="1:32" ht="14.4" x14ac:dyDescent="0.3">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row>
    <row r="331" spans="1:32" ht="14.4" x14ac:dyDescent="0.3">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row>
    <row r="332" spans="1:32" ht="14.4" x14ac:dyDescent="0.3">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row>
    <row r="333" spans="1:32" ht="14.4" x14ac:dyDescent="0.3">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row>
    <row r="334" spans="1:32" ht="14.4" x14ac:dyDescent="0.3">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row>
    <row r="335" spans="1:32" ht="14.4" x14ac:dyDescent="0.3">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row>
    <row r="336" spans="1:32" ht="14.4" x14ac:dyDescent="0.3">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row>
    <row r="337" spans="1:32" ht="14.4" x14ac:dyDescent="0.3">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row>
    <row r="338" spans="1:32" ht="14.4" x14ac:dyDescent="0.3">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row>
    <row r="339" spans="1:32" ht="14.4" x14ac:dyDescent="0.3">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row>
    <row r="340" spans="1:32" ht="14.4" x14ac:dyDescent="0.3">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row>
    <row r="341" spans="1:32" ht="14.4" x14ac:dyDescent="0.3">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row>
    <row r="342" spans="1:32" ht="14.4" x14ac:dyDescent="0.3">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row>
    <row r="343" spans="1:32" ht="14.4" x14ac:dyDescent="0.3">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row>
    <row r="344" spans="1:32" ht="14.4" x14ac:dyDescent="0.3">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row>
    <row r="345" spans="1:32" ht="14.4" x14ac:dyDescent="0.3">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row>
    <row r="346" spans="1:32" ht="14.4" x14ac:dyDescent="0.3">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row>
    <row r="347" spans="1:32" ht="14.4" x14ac:dyDescent="0.3">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row>
    <row r="348" spans="1:32" ht="14.4" x14ac:dyDescent="0.3">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row>
    <row r="349" spans="1:32" ht="14.4" x14ac:dyDescent="0.3">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row>
    <row r="350" spans="1:32" ht="14.4" x14ac:dyDescent="0.3">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row>
    <row r="351" spans="1:32" ht="14.4" x14ac:dyDescent="0.3">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row>
    <row r="352" spans="1:32" ht="14.4" x14ac:dyDescent="0.3">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row>
    <row r="353" spans="1:32" ht="14.4" x14ac:dyDescent="0.3">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row>
    <row r="354" spans="1:32" ht="14.4" x14ac:dyDescent="0.3">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row>
    <row r="355" spans="1:32" ht="14.4" x14ac:dyDescent="0.3">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row>
    <row r="356" spans="1:32" ht="14.4" x14ac:dyDescent="0.3">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row>
    <row r="357" spans="1:32" ht="14.4" x14ac:dyDescent="0.3">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row>
    <row r="358" spans="1:32" ht="14.4" x14ac:dyDescent="0.3">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row>
    <row r="359" spans="1:32" ht="14.4" x14ac:dyDescent="0.3">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row>
    <row r="360" spans="1:32" ht="14.4" x14ac:dyDescent="0.3">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row>
    <row r="361" spans="1:32" ht="14.4" x14ac:dyDescent="0.3">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row>
    <row r="362" spans="1:32" ht="14.4" x14ac:dyDescent="0.3">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row>
    <row r="363" spans="1:32" ht="14.4" x14ac:dyDescent="0.3">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row>
    <row r="364" spans="1:32" ht="14.4" x14ac:dyDescent="0.3">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row>
    <row r="365" spans="1:32" ht="14.4" x14ac:dyDescent="0.3">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row>
    <row r="366" spans="1:32" ht="14.4" x14ac:dyDescent="0.3">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row>
    <row r="367" spans="1:32" ht="14.4" x14ac:dyDescent="0.3">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row>
    <row r="368" spans="1:32" ht="14.4" x14ac:dyDescent="0.3">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row>
    <row r="369" spans="1:32" ht="14.4" x14ac:dyDescent="0.3">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row>
    <row r="370" spans="1:32" ht="14.4" x14ac:dyDescent="0.3">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row>
    <row r="371" spans="1:32" ht="14.4" x14ac:dyDescent="0.3">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row>
    <row r="372" spans="1:32" ht="14.4" x14ac:dyDescent="0.3">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row>
    <row r="373" spans="1:32" ht="14.4" x14ac:dyDescent="0.3">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row>
    <row r="374" spans="1:32" ht="14.4" x14ac:dyDescent="0.3">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row>
    <row r="375" spans="1:32" ht="14.4" x14ac:dyDescent="0.3">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row>
    <row r="376" spans="1:32" ht="14.4" x14ac:dyDescent="0.3">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row>
    <row r="377" spans="1:32" ht="14.4" x14ac:dyDescent="0.3">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row>
    <row r="378" spans="1:32" ht="14.4" x14ac:dyDescent="0.3">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row>
    <row r="379" spans="1:32" ht="14.4" x14ac:dyDescent="0.3">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row>
    <row r="380" spans="1:32" ht="14.4" x14ac:dyDescent="0.3">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row>
    <row r="381" spans="1:32" ht="14.4" x14ac:dyDescent="0.3">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row>
    <row r="382" spans="1:32" ht="14.4" x14ac:dyDescent="0.3">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row>
    <row r="383" spans="1:32" ht="14.4" x14ac:dyDescent="0.3">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row>
    <row r="384" spans="1:32" ht="14.4" x14ac:dyDescent="0.3">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row>
    <row r="385" spans="1:32" ht="14.4" x14ac:dyDescent="0.3">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row>
    <row r="386" spans="1:32" ht="14.4" x14ac:dyDescent="0.3">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row>
    <row r="387" spans="1:32" ht="14.4" x14ac:dyDescent="0.3">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row>
    <row r="388" spans="1:32" ht="14.4" x14ac:dyDescent="0.3">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389" spans="1:32" ht="14.4" x14ac:dyDescent="0.3">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row>
    <row r="390" spans="1:32" ht="14.4" x14ac:dyDescent="0.3">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row>
    <row r="391" spans="1:32" ht="14.4" x14ac:dyDescent="0.3">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row>
    <row r="392" spans="1:32" ht="14.4" x14ac:dyDescent="0.3">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row>
    <row r="393" spans="1:32" ht="14.4" x14ac:dyDescent="0.3">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row>
    <row r="394" spans="1:32" ht="14.4" x14ac:dyDescent="0.3">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row>
    <row r="395" spans="1:32" ht="14.4" x14ac:dyDescent="0.3">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row>
    <row r="396" spans="1:32" ht="14.4" x14ac:dyDescent="0.3">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row>
    <row r="397" spans="1:32" ht="14.4" x14ac:dyDescent="0.3">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row>
    <row r="398" spans="1:32" ht="14.4" x14ac:dyDescent="0.3">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row>
    <row r="399" spans="1:32" ht="14.4" x14ac:dyDescent="0.3">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row>
    <row r="400" spans="1:32" ht="14.4" x14ac:dyDescent="0.3">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row>
    <row r="401" spans="1:32" ht="14.4" x14ac:dyDescent="0.3">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row>
    <row r="402" spans="1:32" ht="14.4" x14ac:dyDescent="0.3">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row>
    <row r="403" spans="1:32" ht="14.4" x14ac:dyDescent="0.3">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row>
    <row r="404" spans="1:32" ht="14.4" x14ac:dyDescent="0.3">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row>
    <row r="405" spans="1:32" ht="14.4" x14ac:dyDescent="0.3">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row>
    <row r="406" spans="1:32" ht="14.4" x14ac:dyDescent="0.3">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row>
    <row r="407" spans="1:32" ht="14.4" x14ac:dyDescent="0.3">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row>
    <row r="408" spans="1:32" ht="14.4" x14ac:dyDescent="0.3">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row>
    <row r="409" spans="1:32" ht="14.4" x14ac:dyDescent="0.3">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row>
    <row r="410" spans="1:32" ht="14.4" x14ac:dyDescent="0.3">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row>
    <row r="411" spans="1:32" ht="14.4" x14ac:dyDescent="0.3">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row>
    <row r="412" spans="1:32" ht="14.4" x14ac:dyDescent="0.3">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row>
    <row r="413" spans="1:32" ht="14.4" x14ac:dyDescent="0.3">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row>
    <row r="414" spans="1:32" ht="14.4" x14ac:dyDescent="0.3">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row>
    <row r="415" spans="1:32" ht="14.4" x14ac:dyDescent="0.3">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row>
    <row r="416" spans="1:32" ht="14.4" x14ac:dyDescent="0.3">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17" spans="1:32" ht="14.4" x14ac:dyDescent="0.3">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row>
    <row r="418" spans="1:32" ht="14.4" x14ac:dyDescent="0.3">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row>
    <row r="419" spans="1:32" ht="14.4" x14ac:dyDescent="0.3">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row>
    <row r="420" spans="1:32" ht="14.4" x14ac:dyDescent="0.3">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row>
    <row r="421" spans="1:32" ht="14.4" x14ac:dyDescent="0.3">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row>
    <row r="422" spans="1:32" ht="14.4" x14ac:dyDescent="0.3">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row>
    <row r="423" spans="1:32" ht="14.4" x14ac:dyDescent="0.3">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row>
    <row r="424" spans="1:32" ht="14.4" x14ac:dyDescent="0.3">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row>
    <row r="425" spans="1:32" ht="14.4" x14ac:dyDescent="0.3">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row>
    <row r="426" spans="1:32" ht="14.4" x14ac:dyDescent="0.3">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row>
    <row r="427" spans="1:32" ht="14.4" x14ac:dyDescent="0.3">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row>
    <row r="428" spans="1:32" ht="14.4" x14ac:dyDescent="0.3">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row>
    <row r="429" spans="1:32" ht="14.4" x14ac:dyDescent="0.3">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row>
    <row r="430" spans="1:32" ht="14.4" x14ac:dyDescent="0.3">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row>
    <row r="431" spans="1:32" ht="14.4" x14ac:dyDescent="0.3">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row>
    <row r="432" spans="1:32" ht="14.4" x14ac:dyDescent="0.3">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row>
    <row r="433" spans="1:32" ht="14.4" x14ac:dyDescent="0.3">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row>
    <row r="434" spans="1:32" ht="14.4" x14ac:dyDescent="0.3">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row>
    <row r="435" spans="1:32" ht="14.4" x14ac:dyDescent="0.3">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row>
    <row r="436" spans="1:32" ht="14.4" x14ac:dyDescent="0.3">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row>
    <row r="437" spans="1:32" ht="14.4" x14ac:dyDescent="0.3">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row>
    <row r="438" spans="1:32" ht="14.4" x14ac:dyDescent="0.3">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row>
    <row r="439" spans="1:32" ht="14.4" x14ac:dyDescent="0.3">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row>
    <row r="440" spans="1:32" ht="14.4" x14ac:dyDescent="0.3">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row>
    <row r="441" spans="1:32" ht="14.4" x14ac:dyDescent="0.3">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row>
    <row r="442" spans="1:32" ht="14.4" x14ac:dyDescent="0.3">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row>
    <row r="443" spans="1:32" ht="14.4" x14ac:dyDescent="0.3">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row>
    <row r="444" spans="1:32" ht="14.4" x14ac:dyDescent="0.3">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45" spans="1:32" ht="14.4" x14ac:dyDescent="0.3">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row>
    <row r="446" spans="1:32" ht="14.4" x14ac:dyDescent="0.3">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row>
    <row r="447" spans="1:32" ht="14.4" x14ac:dyDescent="0.3">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row>
    <row r="448" spans="1:32" ht="14.4" x14ac:dyDescent="0.3">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row>
    <row r="449" spans="1:32" ht="14.4" x14ac:dyDescent="0.3">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row>
    <row r="450" spans="1:32" ht="14.4" x14ac:dyDescent="0.3">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row>
    <row r="451" spans="1:32" ht="14.4" x14ac:dyDescent="0.3">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row>
    <row r="452" spans="1:32" ht="14.4" x14ac:dyDescent="0.3">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row>
    <row r="453" spans="1:32" ht="14.4" x14ac:dyDescent="0.3">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row>
    <row r="454" spans="1:32" ht="14.4" x14ac:dyDescent="0.3">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row>
    <row r="455" spans="1:32" ht="14.4" x14ac:dyDescent="0.3">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row>
    <row r="456" spans="1:32" ht="14.4" x14ac:dyDescent="0.3">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row>
    <row r="457" spans="1:32" ht="14.4" x14ac:dyDescent="0.3">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row>
    <row r="458" spans="1:32" ht="14.4" x14ac:dyDescent="0.3">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row>
    <row r="459" spans="1:32" ht="14.4" x14ac:dyDescent="0.3">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row>
    <row r="460" spans="1:32" ht="14.4" x14ac:dyDescent="0.3">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row>
    <row r="461" spans="1:32" ht="14.4" x14ac:dyDescent="0.3">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row>
    <row r="462" spans="1:32" ht="14.4" x14ac:dyDescent="0.3">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row>
    <row r="463" spans="1:32" ht="14.4" x14ac:dyDescent="0.3">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row>
    <row r="464" spans="1:32" ht="14.4" x14ac:dyDescent="0.3">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row>
    <row r="465" spans="1:32" ht="14.4" x14ac:dyDescent="0.3">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row>
    <row r="466" spans="1:32" ht="14.4" x14ac:dyDescent="0.3">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row>
    <row r="467" spans="1:32" ht="14.4" x14ac:dyDescent="0.3">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row>
    <row r="468" spans="1:32" ht="14.4" x14ac:dyDescent="0.3">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69" spans="1:32" ht="14.4" x14ac:dyDescent="0.3">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row>
    <row r="470" spans="1:32" ht="14.4" x14ac:dyDescent="0.3">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row>
    <row r="471" spans="1:32" ht="14.4" x14ac:dyDescent="0.3">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row>
    <row r="472" spans="1:32" ht="14.4" x14ac:dyDescent="0.3">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row>
    <row r="473" spans="1:32" ht="14.4" x14ac:dyDescent="0.3">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row>
    <row r="474" spans="1:32" ht="14.4" x14ac:dyDescent="0.3">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row>
    <row r="475" spans="1:32" ht="14.4" x14ac:dyDescent="0.3">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row>
    <row r="476" spans="1:32" ht="14.4" x14ac:dyDescent="0.3">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row>
    <row r="477" spans="1:32" ht="14.4" x14ac:dyDescent="0.3">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row>
    <row r="478" spans="1:32" ht="14.4" x14ac:dyDescent="0.3">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row>
    <row r="479" spans="1:32" ht="14.4" x14ac:dyDescent="0.3">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row>
    <row r="480" spans="1:32" ht="14.4" x14ac:dyDescent="0.3">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row>
    <row r="481" spans="1:32" ht="14.4" x14ac:dyDescent="0.3">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row>
    <row r="482" spans="1:32" ht="14.4" x14ac:dyDescent="0.3">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row>
    <row r="483" spans="1:32" ht="14.4" x14ac:dyDescent="0.3">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row>
    <row r="484" spans="1:32" ht="14.4" x14ac:dyDescent="0.3">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row>
    <row r="485" spans="1:32" ht="14.4" x14ac:dyDescent="0.3">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row>
    <row r="486" spans="1:32" ht="14.4" x14ac:dyDescent="0.3">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row>
    <row r="487" spans="1:32" ht="14.4" x14ac:dyDescent="0.3">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row>
    <row r="488" spans="1:32" ht="14.4" x14ac:dyDescent="0.3">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row>
    <row r="489" spans="1:32" ht="14.4" x14ac:dyDescent="0.3">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row>
    <row r="490" spans="1:32" ht="14.4" x14ac:dyDescent="0.3">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row>
    <row r="491" spans="1:32" ht="14.4" x14ac:dyDescent="0.3">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row>
    <row r="492" spans="1:32" ht="14.4" x14ac:dyDescent="0.3">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row>
    <row r="493" spans="1:32" ht="14.4" x14ac:dyDescent="0.3">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row>
    <row r="494" spans="1:32" ht="14.4" x14ac:dyDescent="0.3">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row>
    <row r="495" spans="1:32" ht="14.4" x14ac:dyDescent="0.3">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row>
    <row r="496" spans="1:32" ht="14.4" x14ac:dyDescent="0.3">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row>
    <row r="497" spans="1:32" ht="14.4" x14ac:dyDescent="0.3">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498" spans="1:32" ht="14.4" x14ac:dyDescent="0.3">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row>
    <row r="499" spans="1:32" ht="14.4" x14ac:dyDescent="0.3">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row>
    <row r="500" spans="1:32" ht="14.4" x14ac:dyDescent="0.3">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row>
    <row r="501" spans="1:32" ht="14.4" x14ac:dyDescent="0.3">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row>
    <row r="502" spans="1:32" ht="14.4" x14ac:dyDescent="0.3">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row>
    <row r="503" spans="1:32" ht="14.4" x14ac:dyDescent="0.3">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row>
    <row r="504" spans="1:32" ht="14.4" x14ac:dyDescent="0.3">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row>
    <row r="505" spans="1:32" ht="14.4" x14ac:dyDescent="0.3">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row>
    <row r="506" spans="1:32" ht="14.4" x14ac:dyDescent="0.3">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row>
    <row r="507" spans="1:32" ht="14.4" x14ac:dyDescent="0.3">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row>
    <row r="508" spans="1:32" ht="14.4" x14ac:dyDescent="0.3">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row>
    <row r="509" spans="1:32" ht="14.4" x14ac:dyDescent="0.3">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row>
    <row r="510" spans="1:32" ht="14.4" x14ac:dyDescent="0.3">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row>
    <row r="511" spans="1:32" ht="14.4" x14ac:dyDescent="0.3">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row>
    <row r="512" spans="1:32" ht="14.4" x14ac:dyDescent="0.3">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row>
    <row r="513" spans="1:32" ht="14.4" x14ac:dyDescent="0.3">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row>
    <row r="514" spans="1:32" ht="14.4" x14ac:dyDescent="0.3">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row>
    <row r="515" spans="1:32" ht="14.4" x14ac:dyDescent="0.3">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row>
    <row r="516" spans="1:32" ht="14.4" x14ac:dyDescent="0.3">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row>
    <row r="517" spans="1:32" ht="14.4" x14ac:dyDescent="0.3">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row>
    <row r="518" spans="1:32" ht="14.4" x14ac:dyDescent="0.3">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row>
    <row r="519" spans="1:32" ht="14.4" x14ac:dyDescent="0.3">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row>
    <row r="520" spans="1:32" ht="14.4" x14ac:dyDescent="0.3">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row>
    <row r="521" spans="1:32" ht="14.4" x14ac:dyDescent="0.3">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row>
    <row r="522" spans="1:32" ht="14.4" x14ac:dyDescent="0.3">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row>
    <row r="523" spans="1:32" ht="14.4" x14ac:dyDescent="0.3">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row>
    <row r="524" spans="1:32" ht="14.4" x14ac:dyDescent="0.3">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row>
    <row r="525" spans="1:32" ht="14.4" x14ac:dyDescent="0.3">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row>
    <row r="526" spans="1:32" ht="14.4" x14ac:dyDescent="0.3">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27" spans="1:32" ht="14.4" x14ac:dyDescent="0.3">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row>
    <row r="528" spans="1:32" ht="14.4" x14ac:dyDescent="0.3">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row>
    <row r="529" spans="1:32" ht="14.4" x14ac:dyDescent="0.3">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row>
    <row r="530" spans="1:32" ht="14.4" x14ac:dyDescent="0.3">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row>
    <row r="531" spans="1:32" ht="14.4" x14ac:dyDescent="0.3">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row>
    <row r="532" spans="1:32" ht="14.4" x14ac:dyDescent="0.3">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row>
    <row r="533" spans="1:32" ht="14.4" x14ac:dyDescent="0.3">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row>
    <row r="534" spans="1:32" ht="14.4" x14ac:dyDescent="0.3">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row>
    <row r="535" spans="1:32" ht="14.4" x14ac:dyDescent="0.3">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row>
    <row r="536" spans="1:32" ht="14.4" x14ac:dyDescent="0.3">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row>
    <row r="537" spans="1:32" ht="14.4" x14ac:dyDescent="0.3">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row>
    <row r="538" spans="1:32" ht="14.4" x14ac:dyDescent="0.3">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row>
    <row r="539" spans="1:32" ht="14.4" x14ac:dyDescent="0.3">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row>
    <row r="540" spans="1:32" ht="14.4" x14ac:dyDescent="0.3">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row>
    <row r="541" spans="1:32" ht="14.4" x14ac:dyDescent="0.3">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row>
    <row r="542" spans="1:32" ht="14.4" x14ac:dyDescent="0.3">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row>
    <row r="543" spans="1:32" ht="14.4" x14ac:dyDescent="0.3">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row>
    <row r="544" spans="1:32" ht="14.4" x14ac:dyDescent="0.3">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row>
    <row r="545" spans="1:32" ht="14.4" x14ac:dyDescent="0.3">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row>
    <row r="546" spans="1:32" ht="14.4" x14ac:dyDescent="0.3">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row>
    <row r="547" spans="1:32" ht="14.4" x14ac:dyDescent="0.3">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row>
    <row r="548" spans="1:32" ht="14.4" x14ac:dyDescent="0.3">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row>
    <row r="549" spans="1:32" ht="14.4" x14ac:dyDescent="0.3">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row>
    <row r="550" spans="1:32" ht="14.4" x14ac:dyDescent="0.3">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row>
    <row r="551" spans="1:32" ht="14.4" x14ac:dyDescent="0.3">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row>
    <row r="552" spans="1:32" ht="14.4" x14ac:dyDescent="0.3">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row>
    <row r="553" spans="1:32" ht="14.4" x14ac:dyDescent="0.3">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row>
    <row r="554" spans="1:32" ht="14.4" x14ac:dyDescent="0.3">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row>
    <row r="555" spans="1:32" ht="14.4" x14ac:dyDescent="0.3">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row>
    <row r="556" spans="1:32" ht="14.4" x14ac:dyDescent="0.3">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row>
    <row r="557" spans="1:32" ht="14.4" x14ac:dyDescent="0.3">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row>
    <row r="558" spans="1:32" ht="14.4" x14ac:dyDescent="0.3">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row>
    <row r="559" spans="1:32" ht="14.4" x14ac:dyDescent="0.3">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row>
    <row r="560" spans="1:32" ht="14.4" x14ac:dyDescent="0.3">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row>
    <row r="561" spans="1:32" ht="14.4" x14ac:dyDescent="0.3">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row>
    <row r="562" spans="1:32" ht="14.4" x14ac:dyDescent="0.3">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row>
    <row r="563" spans="1:32" ht="14.4" x14ac:dyDescent="0.3">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row>
    <row r="564" spans="1:32" ht="14.4" x14ac:dyDescent="0.3">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row>
    <row r="565" spans="1:32" ht="14.4" x14ac:dyDescent="0.3">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row>
    <row r="566" spans="1:32" ht="14.4" x14ac:dyDescent="0.3">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row>
    <row r="567" spans="1:32" ht="14.4" x14ac:dyDescent="0.3">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row>
    <row r="568" spans="1:32" ht="14.4" x14ac:dyDescent="0.3">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row>
    <row r="569" spans="1:32" ht="14.4" x14ac:dyDescent="0.3">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row>
    <row r="570" spans="1:32" ht="14.4" x14ac:dyDescent="0.3">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row>
    <row r="571" spans="1:32" ht="14.4" x14ac:dyDescent="0.3">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row>
    <row r="572" spans="1:32" ht="14.4" x14ac:dyDescent="0.3">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row>
    <row r="573" spans="1:32" ht="14.4" x14ac:dyDescent="0.3">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row>
    <row r="574" spans="1:32" ht="14.4" x14ac:dyDescent="0.3">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row>
    <row r="575" spans="1:32" ht="14.4" x14ac:dyDescent="0.3">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row>
    <row r="576" spans="1:32" ht="14.4" x14ac:dyDescent="0.3">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row>
    <row r="577" spans="1:32" ht="14.4" x14ac:dyDescent="0.3">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row>
    <row r="578" spans="1:32" ht="14.4" x14ac:dyDescent="0.3">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row>
    <row r="579" spans="1:32" ht="14.4" x14ac:dyDescent="0.3">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row>
    <row r="580" spans="1:32" ht="14.4" x14ac:dyDescent="0.3">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row>
    <row r="581" spans="1:32" ht="14.4" x14ac:dyDescent="0.3">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row>
    <row r="582" spans="1:32" ht="14.4" x14ac:dyDescent="0.3">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row>
    <row r="583" spans="1:32" ht="14.4" x14ac:dyDescent="0.3">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row>
    <row r="584" spans="1:32" ht="14.4" x14ac:dyDescent="0.3">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row>
    <row r="585" spans="1:32" ht="14.4" x14ac:dyDescent="0.3">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row>
    <row r="586" spans="1:32" ht="14.4" x14ac:dyDescent="0.3">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row>
    <row r="587" spans="1:32" ht="14.4" x14ac:dyDescent="0.3">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row>
    <row r="588" spans="1:32" ht="14.4" x14ac:dyDescent="0.3">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row>
    <row r="589" spans="1:32" ht="14.4" x14ac:dyDescent="0.3">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row>
    <row r="590" spans="1:32" ht="14.4" x14ac:dyDescent="0.3">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row>
    <row r="591" spans="1:32" ht="14.4" x14ac:dyDescent="0.3">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row>
    <row r="592" spans="1:32" ht="14.4" x14ac:dyDescent="0.3">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row>
    <row r="593" spans="1:32" ht="14.4" x14ac:dyDescent="0.3">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row>
    <row r="594" spans="1:32" ht="14.4" x14ac:dyDescent="0.3">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row>
    <row r="595" spans="1:32" ht="14.4" x14ac:dyDescent="0.3">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row>
    <row r="596" spans="1:32" ht="14.4" x14ac:dyDescent="0.3">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row>
    <row r="597" spans="1:32" ht="14.4" x14ac:dyDescent="0.3">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row>
    <row r="598" spans="1:32" ht="14.4" x14ac:dyDescent="0.3">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row>
    <row r="599" spans="1:32" ht="14.4" x14ac:dyDescent="0.3">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row>
    <row r="600" spans="1:32" ht="14.4" x14ac:dyDescent="0.3">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row>
    <row r="601" spans="1:32" ht="14.4" x14ac:dyDescent="0.3">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row>
    <row r="602" spans="1:32" ht="14.4" x14ac:dyDescent="0.3">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row>
    <row r="603" spans="1:32" ht="14.4" x14ac:dyDescent="0.3">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row>
    <row r="604" spans="1:32" ht="14.4" x14ac:dyDescent="0.3">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row>
    <row r="605" spans="1:32" ht="14.4" x14ac:dyDescent="0.3">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row>
    <row r="606" spans="1:32" ht="14.4" x14ac:dyDescent="0.3">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row>
    <row r="607" spans="1:32" ht="14.4" x14ac:dyDescent="0.3">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row>
    <row r="608" spans="1:32" ht="14.4" x14ac:dyDescent="0.3">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row>
    <row r="609" spans="1:32" ht="14.4" x14ac:dyDescent="0.3">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row>
    <row r="610" spans="1:32" ht="14.4" x14ac:dyDescent="0.3">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row>
    <row r="611" spans="1:32" ht="14.4" x14ac:dyDescent="0.3">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row>
    <row r="612" spans="1:32" ht="14.4" x14ac:dyDescent="0.3">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row>
    <row r="613" spans="1:32" ht="14.4" x14ac:dyDescent="0.3">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row>
    <row r="614" spans="1:32" ht="14.4" x14ac:dyDescent="0.3">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row>
    <row r="615" spans="1:32" ht="14.4" x14ac:dyDescent="0.3">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row>
    <row r="616" spans="1:32" ht="14.4" x14ac:dyDescent="0.3">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row>
    <row r="617" spans="1:32" ht="14.4" x14ac:dyDescent="0.3">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row>
    <row r="618" spans="1:32" ht="14.4" x14ac:dyDescent="0.3">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row>
    <row r="619" spans="1:32" ht="14.4" x14ac:dyDescent="0.3">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row>
    <row r="620" spans="1:32" ht="14.4" x14ac:dyDescent="0.3">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row>
    <row r="621" spans="1:32" ht="14.4" x14ac:dyDescent="0.3">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row>
    <row r="622" spans="1:32" ht="14.4" x14ac:dyDescent="0.3">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row>
    <row r="623" spans="1:32" ht="14.4" x14ac:dyDescent="0.3">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row>
    <row r="624" spans="1:32" ht="14.4" x14ac:dyDescent="0.3">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row>
    <row r="625" spans="1:32" ht="14.4" x14ac:dyDescent="0.3">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row>
    <row r="626" spans="1:32" ht="14.4" x14ac:dyDescent="0.3">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row>
    <row r="627" spans="1:32" ht="14.4" x14ac:dyDescent="0.3">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row>
    <row r="628" spans="1:32" ht="14.4" x14ac:dyDescent="0.3">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row>
    <row r="629" spans="1:32" ht="14.4" x14ac:dyDescent="0.3">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row>
    <row r="630" spans="1:32" ht="14.4" x14ac:dyDescent="0.3">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row>
    <row r="631" spans="1:32" ht="14.4" x14ac:dyDescent="0.3">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row>
    <row r="632" spans="1:32" ht="14.4" x14ac:dyDescent="0.3">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row>
    <row r="633" spans="1:32" ht="14.4" x14ac:dyDescent="0.3">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row>
    <row r="634" spans="1:32" ht="14.4" x14ac:dyDescent="0.3">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row>
    <row r="635" spans="1:32" ht="14.4" x14ac:dyDescent="0.3">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row>
    <row r="636" spans="1:32" ht="14.4" x14ac:dyDescent="0.3">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row>
    <row r="637" spans="1:32" ht="14.4" x14ac:dyDescent="0.3">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row>
    <row r="638" spans="1:32" ht="14.4" x14ac:dyDescent="0.3">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row>
    <row r="639" spans="1:32" ht="14.4" x14ac:dyDescent="0.3">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row>
    <row r="640" spans="1:32" ht="14.4" x14ac:dyDescent="0.3">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row>
    <row r="641" spans="1:32" ht="14.4" x14ac:dyDescent="0.3">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row>
    <row r="642" spans="1:32" ht="14.4" x14ac:dyDescent="0.3">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row>
    <row r="643" spans="1:32" ht="14.4" x14ac:dyDescent="0.3">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row>
    <row r="644" spans="1:32" ht="14.4" x14ac:dyDescent="0.3">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row>
    <row r="645" spans="1:32" ht="14.4" x14ac:dyDescent="0.3">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row>
    <row r="646" spans="1:32" ht="14.4" x14ac:dyDescent="0.3">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row>
    <row r="647" spans="1:32" ht="14.4" x14ac:dyDescent="0.3">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row>
    <row r="648" spans="1:32" ht="14.4" x14ac:dyDescent="0.3">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row>
    <row r="649" spans="1:32" ht="14.4" x14ac:dyDescent="0.3">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row>
    <row r="650" spans="1:32" ht="14.4" x14ac:dyDescent="0.3">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row>
    <row r="651" spans="1:32" ht="14.4" x14ac:dyDescent="0.3">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row>
    <row r="652" spans="1:32" ht="14.4" x14ac:dyDescent="0.3">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row>
    <row r="653" spans="1:32" ht="14.4" x14ac:dyDescent="0.3">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row>
    <row r="654" spans="1:32" ht="14.4" x14ac:dyDescent="0.3">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row>
    <row r="655" spans="1:32" ht="14.4" x14ac:dyDescent="0.3">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row>
    <row r="656" spans="1:32" ht="14.4" x14ac:dyDescent="0.3">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row>
    <row r="657" spans="1:32" ht="14.4" x14ac:dyDescent="0.3">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row>
    <row r="658" spans="1:32" ht="14.4" x14ac:dyDescent="0.3">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row>
    <row r="659" spans="1:32" ht="14.4" x14ac:dyDescent="0.3">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row>
    <row r="660" spans="1:32" ht="14.4" x14ac:dyDescent="0.3">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row>
    <row r="661" spans="1:32" ht="14.4" x14ac:dyDescent="0.3">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row>
    <row r="662" spans="1:32" ht="14.4" x14ac:dyDescent="0.3">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row>
    <row r="663" spans="1:32" ht="14.4" x14ac:dyDescent="0.3">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row>
    <row r="664" spans="1:32" ht="14.4" x14ac:dyDescent="0.3">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row>
    <row r="665" spans="1:32" ht="14.4" x14ac:dyDescent="0.3">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row>
    <row r="666" spans="1:32" ht="14.4" x14ac:dyDescent="0.3">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row>
    <row r="667" spans="1:32" ht="14.4" x14ac:dyDescent="0.3">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row>
    <row r="668" spans="1:32" ht="14.4" x14ac:dyDescent="0.3">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row>
    <row r="669" spans="1:32" ht="14.4" x14ac:dyDescent="0.3">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row>
    <row r="670" spans="1:32" ht="14.4" x14ac:dyDescent="0.3">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row>
    <row r="671" spans="1:32" ht="14.4" x14ac:dyDescent="0.3">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row>
    <row r="672" spans="1:32" ht="14.4" x14ac:dyDescent="0.3">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row>
    <row r="673" spans="1:32" ht="14.4" x14ac:dyDescent="0.3">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row>
    <row r="674" spans="1:32" ht="14.4" x14ac:dyDescent="0.3">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row>
    <row r="675" spans="1:32" ht="14.4" x14ac:dyDescent="0.3">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row>
    <row r="676" spans="1:32" ht="14.4" x14ac:dyDescent="0.3">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row>
    <row r="677" spans="1:32" ht="14.4" x14ac:dyDescent="0.3">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row>
    <row r="678" spans="1:32" ht="14.4" x14ac:dyDescent="0.3">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row>
    <row r="679" spans="1:32" ht="14.4" x14ac:dyDescent="0.3">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row>
    <row r="680" spans="1:32" ht="14.4" x14ac:dyDescent="0.3">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row>
    <row r="681" spans="1:32" ht="14.4" x14ac:dyDescent="0.3">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row>
    <row r="682" spans="1:32" ht="14.4" x14ac:dyDescent="0.3">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row>
    <row r="683" spans="1:32" ht="14.4" x14ac:dyDescent="0.3">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row>
    <row r="684" spans="1:32" ht="14.4" x14ac:dyDescent="0.3">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row>
    <row r="685" spans="1:32" ht="14.4" x14ac:dyDescent="0.3">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row>
    <row r="686" spans="1:32" ht="14.4" x14ac:dyDescent="0.3">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14.4" x14ac:dyDescent="0.3">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row>
    <row r="688" spans="1:32" ht="14.4" x14ac:dyDescent="0.3">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row>
    <row r="689" spans="1:32" ht="14.4" x14ac:dyDescent="0.3">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row>
    <row r="690" spans="1:32" ht="14.4" x14ac:dyDescent="0.3">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row>
    <row r="691" spans="1:32" ht="14.4" x14ac:dyDescent="0.3">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row>
    <row r="692" spans="1:32" ht="14.4" x14ac:dyDescent="0.3">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row>
    <row r="693" spans="1:32" ht="14.4" x14ac:dyDescent="0.3">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row>
    <row r="694" spans="1:32" ht="14.4" x14ac:dyDescent="0.3">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row>
    <row r="695" spans="1:32" ht="14.4" x14ac:dyDescent="0.3">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row>
    <row r="696" spans="1:32" ht="14.4" x14ac:dyDescent="0.3">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row>
    <row r="697" spans="1:32" ht="14.4" x14ac:dyDescent="0.3">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row>
    <row r="698" spans="1:32" ht="14.4" x14ac:dyDescent="0.3">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row>
    <row r="699" spans="1:32" ht="14.4" x14ac:dyDescent="0.3">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row>
    <row r="700" spans="1:32" ht="14.4" x14ac:dyDescent="0.3">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row>
    <row r="701" spans="1:32" ht="14.4" x14ac:dyDescent="0.3">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row>
    <row r="702" spans="1:32" ht="14.4" x14ac:dyDescent="0.3">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row>
    <row r="703" spans="1:32" ht="14.4" x14ac:dyDescent="0.3">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row>
    <row r="704" spans="1:32" ht="14.4" x14ac:dyDescent="0.3">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row>
    <row r="705" spans="1:32" ht="14.4" x14ac:dyDescent="0.3">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row>
    <row r="706" spans="1:32" ht="14.4" x14ac:dyDescent="0.3">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row>
    <row r="707" spans="1:32" ht="14.4" x14ac:dyDescent="0.3">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row>
    <row r="708" spans="1:32" ht="14.4" x14ac:dyDescent="0.3">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row>
    <row r="709" spans="1:32" ht="14.4" x14ac:dyDescent="0.3">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row>
    <row r="710" spans="1:32" ht="14.4" x14ac:dyDescent="0.3">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row>
    <row r="711" spans="1:32" ht="14.4" x14ac:dyDescent="0.3">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row>
    <row r="712" spans="1:32" ht="14.4" x14ac:dyDescent="0.3">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row>
    <row r="713" spans="1:32" ht="14.4" x14ac:dyDescent="0.3">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row>
    <row r="714" spans="1:32" ht="14.4" x14ac:dyDescent="0.3">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row>
    <row r="715" spans="1:32" ht="14.4" x14ac:dyDescent="0.3">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row>
    <row r="716" spans="1:32" ht="14.4" x14ac:dyDescent="0.3">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row>
    <row r="717" spans="1:32" ht="14.4" x14ac:dyDescent="0.3">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row>
    <row r="718" spans="1:32" ht="14.4" x14ac:dyDescent="0.3">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row>
    <row r="719" spans="1:32" ht="14.4" x14ac:dyDescent="0.3">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row>
    <row r="720" spans="1:32" ht="14.4" x14ac:dyDescent="0.3">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row>
    <row r="721" spans="1:32" ht="14.4" x14ac:dyDescent="0.3">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row>
    <row r="722" spans="1:32" ht="14.4" x14ac:dyDescent="0.3">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row>
    <row r="723" spans="1:32" ht="14.4" x14ac:dyDescent="0.3">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row>
    <row r="724" spans="1:32" ht="14.4" x14ac:dyDescent="0.3">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row>
    <row r="725" spans="1:32" ht="14.4" x14ac:dyDescent="0.3">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row>
    <row r="726" spans="1:32" ht="14.4" x14ac:dyDescent="0.3">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row>
    <row r="727" spans="1:32" ht="14.4" x14ac:dyDescent="0.3">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row>
    <row r="728" spans="1:32" ht="14.4" x14ac:dyDescent="0.3">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row>
    <row r="729" spans="1:32" ht="14.4" x14ac:dyDescent="0.3">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row>
    <row r="730" spans="1:32" ht="14.4" x14ac:dyDescent="0.3">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row>
    <row r="731" spans="1:32" ht="14.4" x14ac:dyDescent="0.3">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row>
    <row r="732" spans="1:32" ht="14.4" x14ac:dyDescent="0.3">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row>
    <row r="733" spans="1:32" ht="14.4" x14ac:dyDescent="0.3">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row>
    <row r="734" spans="1:32" ht="14.4" x14ac:dyDescent="0.3">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row>
    <row r="735" spans="1:32" ht="14.4" x14ac:dyDescent="0.3">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row>
    <row r="736" spans="1:32" ht="14.4" x14ac:dyDescent="0.3">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row>
    <row r="737" spans="1:32" ht="14.4" x14ac:dyDescent="0.3">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row>
    <row r="738" spans="1:32" ht="14.4" x14ac:dyDescent="0.3">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row>
    <row r="739" spans="1:32" ht="14.4" x14ac:dyDescent="0.3">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row>
    <row r="740" spans="1:32" ht="14.4" x14ac:dyDescent="0.3">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row>
    <row r="741" spans="1:32" ht="14.4" x14ac:dyDescent="0.3">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row>
    <row r="742" spans="1:32" ht="14.4" x14ac:dyDescent="0.3">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row>
    <row r="743" spans="1:32" ht="14.4" x14ac:dyDescent="0.3">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row>
    <row r="744" spans="1:32" ht="14.4" x14ac:dyDescent="0.3">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row>
    <row r="745" spans="1:32" ht="14.4" x14ac:dyDescent="0.3">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row>
    <row r="746" spans="1:32" ht="14.4" x14ac:dyDescent="0.3">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row>
    <row r="747" spans="1:32" ht="14.4" x14ac:dyDescent="0.3">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row>
    <row r="748" spans="1:32" ht="14.4" x14ac:dyDescent="0.3">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row>
    <row r="749" spans="1:32" ht="14.4" x14ac:dyDescent="0.3">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row>
    <row r="750" spans="1:32" ht="14.4" x14ac:dyDescent="0.3">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row>
    <row r="751" spans="1:32" ht="14.4" x14ac:dyDescent="0.3">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row>
    <row r="752" spans="1:32" ht="14.4" x14ac:dyDescent="0.3">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row>
    <row r="753" spans="1:32" ht="14.4" x14ac:dyDescent="0.3">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row>
    <row r="754" spans="1:32" ht="14.4" x14ac:dyDescent="0.3">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row>
    <row r="755" spans="1:32" ht="14.4" x14ac:dyDescent="0.3">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row>
    <row r="756" spans="1:32" ht="14.4" x14ac:dyDescent="0.3">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row>
    <row r="757" spans="1:32" ht="14.4" x14ac:dyDescent="0.3">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row>
    <row r="758" spans="1:32" ht="14.4" x14ac:dyDescent="0.3">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row>
    <row r="759" spans="1:32" ht="14.4" x14ac:dyDescent="0.3">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row>
    <row r="760" spans="1:32" ht="14.4" x14ac:dyDescent="0.3">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row>
    <row r="761" spans="1:32" ht="14.4" x14ac:dyDescent="0.3">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row>
    <row r="762" spans="1:32" ht="14.4" x14ac:dyDescent="0.3">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row>
    <row r="763" spans="1:32" ht="14.4" x14ac:dyDescent="0.3">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row>
    <row r="764" spans="1:32" ht="14.4" x14ac:dyDescent="0.3">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row>
    <row r="765" spans="1:32" ht="14.4" x14ac:dyDescent="0.3">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row>
    <row r="766" spans="1:32" ht="14.4" x14ac:dyDescent="0.3">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row>
    <row r="767" spans="1:32" ht="14.4" x14ac:dyDescent="0.3">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row>
    <row r="768" spans="1:32" ht="14.4" x14ac:dyDescent="0.3">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row>
    <row r="769" spans="1:32" ht="14.4" x14ac:dyDescent="0.3">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row>
    <row r="770" spans="1:32" ht="14.4" x14ac:dyDescent="0.3">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row>
    <row r="771" spans="1:32" ht="14.4" x14ac:dyDescent="0.3">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row>
    <row r="772" spans="1:32" ht="14.4" x14ac:dyDescent="0.3">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row>
    <row r="773" spans="1:32" ht="14.4" x14ac:dyDescent="0.3">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row>
    <row r="774" spans="1:32" ht="14.4" x14ac:dyDescent="0.3">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row>
    <row r="775" spans="1:32" ht="14.4" x14ac:dyDescent="0.3">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row>
    <row r="776" spans="1:32" ht="14.4" x14ac:dyDescent="0.3">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row>
    <row r="777" spans="1:32" ht="14.4" x14ac:dyDescent="0.3">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row>
    <row r="778" spans="1:32" ht="14.4" x14ac:dyDescent="0.3">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row>
    <row r="779" spans="1:32" ht="14.4" x14ac:dyDescent="0.3">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row>
    <row r="780" spans="1:32" ht="14.4" x14ac:dyDescent="0.3">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row>
    <row r="781" spans="1:32" ht="14.4" x14ac:dyDescent="0.3">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row>
    <row r="782" spans="1:32" ht="14.4" x14ac:dyDescent="0.3">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row>
    <row r="783" spans="1:32" ht="14.4" x14ac:dyDescent="0.3">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row>
    <row r="784" spans="1:32" ht="14.4" x14ac:dyDescent="0.3">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row>
    <row r="785" spans="1:32" ht="14.4" x14ac:dyDescent="0.3">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row>
    <row r="786" spans="1:32" ht="14.4" x14ac:dyDescent="0.3">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row>
    <row r="787" spans="1:32" ht="14.4" x14ac:dyDescent="0.3">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row>
    <row r="788" spans="1:32" ht="14.4" x14ac:dyDescent="0.3">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row>
    <row r="789" spans="1:32" ht="14.4" x14ac:dyDescent="0.3">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row>
    <row r="790" spans="1:32" ht="14.4" x14ac:dyDescent="0.3">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row>
    <row r="791" spans="1:32" ht="14.4" x14ac:dyDescent="0.3">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row>
    <row r="792" spans="1:32" ht="14.4" x14ac:dyDescent="0.3">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row>
    <row r="793" spans="1:32" ht="14.4" x14ac:dyDescent="0.3">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row>
    <row r="794" spans="1:32" ht="14.4" x14ac:dyDescent="0.3">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row>
    <row r="795" spans="1:32" ht="14.4" x14ac:dyDescent="0.3">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row>
    <row r="796" spans="1:32" ht="14.4" x14ac:dyDescent="0.3">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row>
    <row r="797" spans="1:32" ht="14.4" x14ac:dyDescent="0.3">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row>
    <row r="798" spans="1:32" ht="14.4" x14ac:dyDescent="0.3">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row>
    <row r="799" spans="1:32" ht="14.4" x14ac:dyDescent="0.3">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row>
    <row r="800" spans="1:32" ht="14.4" x14ac:dyDescent="0.3">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row>
    <row r="801" spans="1:32" ht="14.4" x14ac:dyDescent="0.3">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row>
    <row r="802" spans="1:32" ht="14.4" x14ac:dyDescent="0.3">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row>
    <row r="803" spans="1:32" ht="14.4" x14ac:dyDescent="0.3">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row>
    <row r="804" spans="1:32" ht="14.4" x14ac:dyDescent="0.3">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row>
    <row r="805" spans="1:32" ht="14.4" x14ac:dyDescent="0.3">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row>
    <row r="806" spans="1:32" ht="14.4" x14ac:dyDescent="0.3">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row>
    <row r="807" spans="1:32" ht="14.4" x14ac:dyDescent="0.3">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row>
    <row r="808" spans="1:32" ht="14.4" x14ac:dyDescent="0.3">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row>
    <row r="809" spans="1:32" ht="14.4" x14ac:dyDescent="0.3">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row>
    <row r="810" spans="1:32" ht="14.4" x14ac:dyDescent="0.3">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row>
    <row r="811" spans="1:32" ht="14.4" x14ac:dyDescent="0.3">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row>
    <row r="812" spans="1:32" ht="14.4" x14ac:dyDescent="0.3">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row>
    <row r="813" spans="1:32" ht="14.4" x14ac:dyDescent="0.3">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row>
    <row r="814" spans="1:32" ht="14.4" x14ac:dyDescent="0.3">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row>
    <row r="815" spans="1:32" ht="14.4" x14ac:dyDescent="0.3">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row>
    <row r="816" spans="1:32" ht="14.4" x14ac:dyDescent="0.3">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row>
    <row r="817" spans="1:32" ht="14.4" x14ac:dyDescent="0.3">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row>
    <row r="818" spans="1:32" ht="14.4" x14ac:dyDescent="0.3">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row>
    <row r="819" spans="1:32" ht="14.4" x14ac:dyDescent="0.3">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row>
    <row r="820" spans="1:32" ht="14.4" x14ac:dyDescent="0.3">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row>
    <row r="821" spans="1:32" ht="14.4" x14ac:dyDescent="0.3">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row>
    <row r="822" spans="1:32" ht="14.4" x14ac:dyDescent="0.3">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row>
    <row r="823" spans="1:32" ht="14.4" x14ac:dyDescent="0.3">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row>
    <row r="824" spans="1:32" ht="14.4" x14ac:dyDescent="0.3">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row>
    <row r="825" spans="1:32" ht="14.4" x14ac:dyDescent="0.3">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row>
    <row r="826" spans="1:32" ht="14.4" x14ac:dyDescent="0.3">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row>
    <row r="827" spans="1:32" ht="14.4" x14ac:dyDescent="0.3">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row>
    <row r="828" spans="1:32" ht="14.4" x14ac:dyDescent="0.3">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row>
    <row r="829" spans="1:32" ht="14.4" x14ac:dyDescent="0.3">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row>
    <row r="830" spans="1:32" ht="14.4" x14ac:dyDescent="0.3">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row>
    <row r="831" spans="1:32" ht="14.4" x14ac:dyDescent="0.3">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row>
    <row r="832" spans="1:32" ht="14.4" x14ac:dyDescent="0.3">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row>
    <row r="833" spans="1:32" ht="14.4" x14ac:dyDescent="0.3">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row>
    <row r="834" spans="1:32" ht="14.4" x14ac:dyDescent="0.3">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row>
    <row r="835" spans="1:32" ht="14.4" x14ac:dyDescent="0.3">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row>
    <row r="836" spans="1:32" ht="14.4" x14ac:dyDescent="0.3">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row>
    <row r="837" spans="1:32" ht="14.4" x14ac:dyDescent="0.3">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row>
    <row r="838" spans="1:32" ht="14.4" x14ac:dyDescent="0.3">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row>
    <row r="839" spans="1:32" ht="14.4" x14ac:dyDescent="0.3">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row>
    <row r="840" spans="1:32" ht="14.4" x14ac:dyDescent="0.3">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row>
    <row r="841" spans="1:32" ht="14.4" x14ac:dyDescent="0.3">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row>
    <row r="842" spans="1:32" ht="14.4" x14ac:dyDescent="0.3">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row>
    <row r="843" spans="1:32" ht="14.4" x14ac:dyDescent="0.3">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row>
    <row r="844" spans="1:32" ht="14.4" x14ac:dyDescent="0.3">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row>
    <row r="845" spans="1:32" ht="14.4" x14ac:dyDescent="0.3">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row>
    <row r="846" spans="1:32" ht="14.4" x14ac:dyDescent="0.3">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row>
    <row r="847" spans="1:32" ht="14.4" x14ac:dyDescent="0.3">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row>
    <row r="848" spans="1:32" ht="14.4" x14ac:dyDescent="0.3">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row>
    <row r="849" spans="1:32" ht="14.4" x14ac:dyDescent="0.3">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row>
    <row r="850" spans="1:32" ht="14.4" x14ac:dyDescent="0.3">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row>
    <row r="851" spans="1:32" ht="14.4" x14ac:dyDescent="0.3">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row>
    <row r="852" spans="1:32" ht="14.4" x14ac:dyDescent="0.3">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row>
    <row r="853" spans="1:32" ht="14.4" x14ac:dyDescent="0.3">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row>
    <row r="854" spans="1:32" ht="14.4" x14ac:dyDescent="0.3">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row>
    <row r="855" spans="1:32" ht="14.4" x14ac:dyDescent="0.3">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row>
    <row r="856" spans="1:32" ht="14.4" x14ac:dyDescent="0.3">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row>
    <row r="857" spans="1:32" ht="14.4" x14ac:dyDescent="0.3">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row>
    <row r="858" spans="1:32" ht="14.4" x14ac:dyDescent="0.3">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row>
    <row r="859" spans="1:32" ht="14.4" x14ac:dyDescent="0.3">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row>
    <row r="860" spans="1:32" ht="14.4" x14ac:dyDescent="0.3">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row>
    <row r="861" spans="1:32" ht="14.4" x14ac:dyDescent="0.3">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row>
    <row r="862" spans="1:32" ht="14.4" x14ac:dyDescent="0.3">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row>
    <row r="863" spans="1:32" ht="14.4" x14ac:dyDescent="0.3">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row>
    <row r="864" spans="1:32" ht="14.4" x14ac:dyDescent="0.3">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row>
    <row r="865" spans="1:32" ht="14.4" x14ac:dyDescent="0.3">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row>
    <row r="866" spans="1:32" ht="14.4" x14ac:dyDescent="0.3">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row>
    <row r="867" spans="1:32" ht="14.4" x14ac:dyDescent="0.3">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row>
    <row r="868" spans="1:32" ht="14.4" x14ac:dyDescent="0.3">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row>
    <row r="869" spans="1:32" ht="14.4" x14ac:dyDescent="0.3">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row>
    <row r="870" spans="1:32" ht="14.4" x14ac:dyDescent="0.3">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row>
    <row r="871" spans="1:32" ht="14.4" x14ac:dyDescent="0.3">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row>
    <row r="872" spans="1:32" ht="14.4" x14ac:dyDescent="0.3">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row>
    <row r="873" spans="1:32" ht="14.4" x14ac:dyDescent="0.3">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row>
    <row r="874" spans="1:32" ht="14.4" x14ac:dyDescent="0.3">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row>
    <row r="875" spans="1:32" ht="14.4" x14ac:dyDescent="0.3">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row>
    <row r="876" spans="1:32" ht="14.4" x14ac:dyDescent="0.3">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row>
    <row r="877" spans="1:32" ht="14.4" x14ac:dyDescent="0.3">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row>
    <row r="878" spans="1:32" ht="14.4" x14ac:dyDescent="0.3">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row>
    <row r="879" spans="1:32" ht="14.4" x14ac:dyDescent="0.3">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row>
    <row r="880" spans="1:32" ht="14.4" x14ac:dyDescent="0.3">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row>
    <row r="881" spans="1:32" ht="14.4" x14ac:dyDescent="0.3">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row>
    <row r="882" spans="1:32" ht="14.4" x14ac:dyDescent="0.3">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row>
    <row r="883" spans="1:32" ht="14.4" x14ac:dyDescent="0.3">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row>
    <row r="884" spans="1:32" ht="14.4" x14ac:dyDescent="0.3">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row>
    <row r="885" spans="1:32" ht="14.4" x14ac:dyDescent="0.3">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row>
    <row r="886" spans="1:32" ht="14.4" x14ac:dyDescent="0.3">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row>
    <row r="887" spans="1:32" ht="14.4" x14ac:dyDescent="0.3">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row>
    <row r="888" spans="1:32" ht="14.4" x14ac:dyDescent="0.3">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row>
    <row r="889" spans="1:32" ht="14.4" x14ac:dyDescent="0.3">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row>
    <row r="890" spans="1:32" ht="14.4" x14ac:dyDescent="0.3">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row>
    <row r="891" spans="1:32" ht="14.4" x14ac:dyDescent="0.3">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row>
    <row r="892" spans="1:32" ht="14.4" x14ac:dyDescent="0.3">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row>
    <row r="893" spans="1:32" ht="14.4" x14ac:dyDescent="0.3">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row>
    <row r="894" spans="1:32" ht="14.4" x14ac:dyDescent="0.3">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row>
    <row r="895" spans="1:32" ht="14.4" x14ac:dyDescent="0.3">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row>
    <row r="896" spans="1:32" ht="14.4" x14ac:dyDescent="0.3">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row>
    <row r="897" spans="1:32" ht="14.4" x14ac:dyDescent="0.3">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row>
    <row r="898" spans="1:32" ht="14.4" x14ac:dyDescent="0.3">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row>
    <row r="899" spans="1:32" ht="14.4" x14ac:dyDescent="0.3">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row>
    <row r="900" spans="1:32" ht="14.4" x14ac:dyDescent="0.3">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row>
    <row r="901" spans="1:32" ht="14.4" x14ac:dyDescent="0.3">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row>
    <row r="902" spans="1:32" ht="14.4" x14ac:dyDescent="0.3">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row>
    <row r="903" spans="1:32" ht="14.4" x14ac:dyDescent="0.3">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row>
    <row r="904" spans="1:32" ht="14.4" x14ac:dyDescent="0.3">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row>
    <row r="905" spans="1:32" ht="14.4" x14ac:dyDescent="0.3">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row>
    <row r="906" spans="1:32" ht="14.4" x14ac:dyDescent="0.3">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row>
    <row r="907" spans="1:32" ht="14.4" x14ac:dyDescent="0.3">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row>
    <row r="908" spans="1:32" ht="14.4" x14ac:dyDescent="0.3">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row>
    <row r="909" spans="1:32" ht="14.4" x14ac:dyDescent="0.3">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row>
    <row r="910" spans="1:32" ht="14.4" x14ac:dyDescent="0.3">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row>
    <row r="911" spans="1:32" ht="14.4" x14ac:dyDescent="0.3">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row>
    <row r="912" spans="1:32" ht="14.4" x14ac:dyDescent="0.3">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row>
    <row r="913" spans="1:32" ht="14.4" x14ac:dyDescent="0.3">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row>
    <row r="914" spans="1:32" ht="14.4" x14ac:dyDescent="0.3">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row>
    <row r="915" spans="1:32" ht="14.4" x14ac:dyDescent="0.3">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row>
    <row r="916" spans="1:32" ht="14.4" x14ac:dyDescent="0.3">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row>
    <row r="917" spans="1:32" ht="14.4" x14ac:dyDescent="0.3">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row>
    <row r="918" spans="1:32" ht="14.4" x14ac:dyDescent="0.3">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row>
    <row r="919" spans="1:32" ht="14.4" x14ac:dyDescent="0.3">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row>
    <row r="920" spans="1:32" ht="14.4" x14ac:dyDescent="0.3">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row>
    <row r="921" spans="1:32" ht="14.4" x14ac:dyDescent="0.3">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row>
    <row r="922" spans="1:32" ht="14.4" x14ac:dyDescent="0.3">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row>
    <row r="923" spans="1:32" ht="14.4" x14ac:dyDescent="0.3">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row>
    <row r="924" spans="1:32" ht="14.4" x14ac:dyDescent="0.3">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row>
    <row r="925" spans="1:32" ht="14.4" x14ac:dyDescent="0.3">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row>
    <row r="926" spans="1:32" ht="14.4" x14ac:dyDescent="0.3">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row>
    <row r="927" spans="1:32" ht="14.4" x14ac:dyDescent="0.3">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row>
    <row r="928" spans="1:32" ht="14.4" x14ac:dyDescent="0.3">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row>
    <row r="929" spans="1:32" ht="14.4" x14ac:dyDescent="0.3">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row>
    <row r="930" spans="1:32" ht="14.4" x14ac:dyDescent="0.3">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row>
    <row r="931" spans="1:32" ht="14.4" x14ac:dyDescent="0.3">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row>
    <row r="932" spans="1:32" ht="14.4" x14ac:dyDescent="0.3">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row>
    <row r="933" spans="1:32" ht="14.4" x14ac:dyDescent="0.3">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row>
    <row r="934" spans="1:32" ht="14.4" x14ac:dyDescent="0.3">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row>
    <row r="935" spans="1:32" ht="14.4" x14ac:dyDescent="0.3">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row>
    <row r="936" spans="1:32" ht="14.4" x14ac:dyDescent="0.3">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row>
    <row r="937" spans="1:32" ht="14.4" x14ac:dyDescent="0.3">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row>
    <row r="938" spans="1:32" ht="14.4" x14ac:dyDescent="0.3">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row>
    <row r="939" spans="1:32" ht="14.4" x14ac:dyDescent="0.3">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row>
    <row r="940" spans="1:32" ht="14.4" x14ac:dyDescent="0.3">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row>
    <row r="941" spans="1:32" ht="14.4" x14ac:dyDescent="0.3">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row>
    <row r="942" spans="1:32" ht="14.4" x14ac:dyDescent="0.3">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row>
    <row r="943" spans="1:32" ht="14.4" x14ac:dyDescent="0.3">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row>
    <row r="944" spans="1:32" ht="14.4" x14ac:dyDescent="0.3">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row>
    <row r="945" spans="1:32" ht="14.4" x14ac:dyDescent="0.3">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row>
    <row r="946" spans="1:32" ht="14.4" x14ac:dyDescent="0.3">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row>
    <row r="947" spans="1:32" ht="14.4" x14ac:dyDescent="0.3">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row>
    <row r="948" spans="1:32" ht="14.4" x14ac:dyDescent="0.3">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row>
    <row r="949" spans="1:32" ht="14.4" x14ac:dyDescent="0.3">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row>
    <row r="950" spans="1:32" ht="14.4" x14ac:dyDescent="0.3">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row>
    <row r="951" spans="1:32" ht="14.4" x14ac:dyDescent="0.3">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row>
    <row r="952" spans="1:32" ht="14.4" x14ac:dyDescent="0.3">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row>
    <row r="953" spans="1:32" ht="14.4" x14ac:dyDescent="0.3">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row>
    <row r="954" spans="1:32" ht="14.4" x14ac:dyDescent="0.3">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row>
    <row r="955" spans="1:32" ht="14.4" x14ac:dyDescent="0.3">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row>
    <row r="956" spans="1:32" ht="14.4" x14ac:dyDescent="0.3">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row>
    <row r="957" spans="1:32" ht="14.4" x14ac:dyDescent="0.3">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row>
    <row r="958" spans="1:32" ht="14.4" x14ac:dyDescent="0.3">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row>
    <row r="959" spans="1:32" ht="14.4" x14ac:dyDescent="0.3">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row>
    <row r="960" spans="1:32" ht="14.4" x14ac:dyDescent="0.3">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row>
    <row r="961" spans="1:32" ht="14.4" x14ac:dyDescent="0.3">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row>
    <row r="962" spans="1:32" ht="14.4" x14ac:dyDescent="0.3">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row>
    <row r="963" spans="1:32" ht="14.4" x14ac:dyDescent="0.3">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row>
    <row r="964" spans="1:32" ht="14.4" x14ac:dyDescent="0.3">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row>
    <row r="965" spans="1:32" ht="14.4" x14ac:dyDescent="0.3">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row>
    <row r="966" spans="1:32" ht="14.4" x14ac:dyDescent="0.3">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row>
    <row r="967" spans="1:32" ht="14.4" x14ac:dyDescent="0.3">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row>
    <row r="968" spans="1:32" ht="14.4" x14ac:dyDescent="0.3">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row>
    <row r="969" spans="1:32" ht="14.4" x14ac:dyDescent="0.3">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row>
    <row r="970" spans="1:32" ht="14.4" x14ac:dyDescent="0.3">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row>
    <row r="971" spans="1:32" ht="14.4" x14ac:dyDescent="0.3">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row>
    <row r="972" spans="1:32" ht="14.4" x14ac:dyDescent="0.3">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row>
    <row r="973" spans="1:32" ht="14.4" x14ac:dyDescent="0.3">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row>
    <row r="974" spans="1:32" ht="14.4" x14ac:dyDescent="0.3">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row>
    <row r="975" spans="1:32" ht="14.4" x14ac:dyDescent="0.3">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row>
    <row r="976" spans="1:32" ht="14.4" x14ac:dyDescent="0.3">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row>
    <row r="977" spans="1:32" ht="14.4" x14ac:dyDescent="0.3">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row>
    <row r="978" spans="1:32" ht="14.4" x14ac:dyDescent="0.3">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row>
    <row r="979" spans="1:32" ht="14.4" x14ac:dyDescent="0.3">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row>
    <row r="980" spans="1:32" ht="14.4" x14ac:dyDescent="0.3">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row>
    <row r="981" spans="1:32" ht="14.4" x14ac:dyDescent="0.3">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row>
    <row r="982" spans="1:32" ht="14.4" x14ac:dyDescent="0.3">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row>
    <row r="983" spans="1:32" ht="14.4" x14ac:dyDescent="0.3">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row>
    <row r="984" spans="1:32" ht="14.4" x14ac:dyDescent="0.3">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row>
    <row r="985" spans="1:32" ht="14.4" x14ac:dyDescent="0.3">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row>
    <row r="986" spans="1:32" ht="14.4" x14ac:dyDescent="0.3">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row>
    <row r="987" spans="1:32" ht="14.4" x14ac:dyDescent="0.3">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row>
    <row r="988" spans="1:32" ht="14.4" x14ac:dyDescent="0.3">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row>
    <row r="989" spans="1:32" ht="14.4" x14ac:dyDescent="0.3">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row>
    <row r="990" spans="1:32" ht="14.4" x14ac:dyDescent="0.3">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row>
    <row r="991" spans="1:32" ht="14.4" x14ac:dyDescent="0.3">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row>
    <row r="992" spans="1:32" ht="14.4" x14ac:dyDescent="0.3">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row>
    <row r="993" spans="1:32" ht="14.4" x14ac:dyDescent="0.3">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row>
    <row r="994" spans="1:32" ht="14.4" x14ac:dyDescent="0.3">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row>
    <row r="995" spans="1:32" ht="14.4" x14ac:dyDescent="0.3">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row>
    <row r="996" spans="1:32" ht="14.4" x14ac:dyDescent="0.3">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row>
    <row r="997" spans="1:32" ht="14.4" x14ac:dyDescent="0.3">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row>
    <row r="998" spans="1:32" ht="14.4" x14ac:dyDescent="0.3">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row>
    <row r="999" spans="1:32" ht="14.4" x14ac:dyDescent="0.3">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row>
    <row r="1000" spans="1:32" ht="14.4" x14ac:dyDescent="0.3">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row>
    <row r="1001" spans="1:32" ht="14.4" x14ac:dyDescent="0.3">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row>
    <row r="1002" spans="1:32" ht="14.4" x14ac:dyDescent="0.3">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row>
    <row r="1003" spans="1:32" ht="14.4" x14ac:dyDescent="0.3">
      <c r="A1003" s="8"/>
      <c r="B1003" s="8"/>
      <c r="C1003" s="8"/>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row>
    <row r="1004" spans="1:32" ht="14.4" x14ac:dyDescent="0.3">
      <c r="A1004" s="8"/>
      <c r="B1004" s="8"/>
      <c r="C1004" s="8"/>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row>
    <row r="1005" spans="1:32" ht="14.4" x14ac:dyDescent="0.3">
      <c r="A1005" s="8"/>
      <c r="B1005" s="8"/>
      <c r="C1005" s="8"/>
      <c r="D1005" s="8"/>
      <c r="E1005" s="8"/>
      <c r="F1005" s="8"/>
      <c r="G1005" s="8"/>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row>
    <row r="1006" spans="1:32" ht="14.4" x14ac:dyDescent="0.3">
      <c r="A1006" s="8"/>
      <c r="B1006" s="8"/>
      <c r="C1006" s="8"/>
      <c r="D1006" s="8"/>
      <c r="E1006" s="8"/>
      <c r="F1006" s="8"/>
      <c r="G1006" s="8"/>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row>
    <row r="1007" spans="1:32" ht="14.4" x14ac:dyDescent="0.3">
      <c r="A1007" s="8"/>
      <c r="B1007" s="8"/>
      <c r="C1007" s="8"/>
      <c r="D1007" s="8"/>
      <c r="E1007" s="8"/>
      <c r="F1007" s="8"/>
      <c r="G1007" s="8"/>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row>
    <row r="1008" spans="1:32" ht="14.4" x14ac:dyDescent="0.3">
      <c r="A1008" s="8"/>
      <c r="B1008" s="8"/>
      <c r="C1008" s="8"/>
      <c r="D1008" s="8"/>
      <c r="E1008" s="8"/>
      <c r="F1008" s="8"/>
      <c r="G1008" s="8"/>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row>
    <row r="1009" spans="1:32" ht="14.4" x14ac:dyDescent="0.3">
      <c r="A1009" s="8"/>
      <c r="B1009" s="8"/>
      <c r="C1009" s="8"/>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8"/>
    </row>
    <row r="1010" spans="1:32" ht="14.4" x14ac:dyDescent="0.3">
      <c r="A1010" s="8"/>
      <c r="B1010" s="8"/>
      <c r="C1010" s="8"/>
      <c r="D1010" s="8"/>
      <c r="E1010" s="8"/>
      <c r="F1010" s="8"/>
      <c r="G1010" s="8"/>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row>
    <row r="1011" spans="1:32" ht="14.4" x14ac:dyDescent="0.3">
      <c r="A1011" s="8"/>
      <c r="B1011" s="8"/>
      <c r="C1011" s="8"/>
      <c r="D1011" s="8"/>
      <c r="E1011" s="8"/>
      <c r="F1011" s="8"/>
      <c r="G1011" s="8"/>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row>
    <row r="1012" spans="1:32" ht="14.4" x14ac:dyDescent="0.3">
      <c r="A1012" s="8"/>
      <c r="B1012" s="8"/>
      <c r="C1012" s="8"/>
      <c r="D1012" s="8"/>
      <c r="E1012" s="8"/>
      <c r="F1012" s="8"/>
      <c r="G1012" s="8"/>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row>
    <row r="1013" spans="1:32" ht="14.4" x14ac:dyDescent="0.3">
      <c r="A1013" s="8"/>
      <c r="B1013" s="8"/>
      <c r="C1013" s="8"/>
      <c r="D1013" s="8"/>
      <c r="E1013" s="8"/>
      <c r="F1013" s="8"/>
      <c r="G1013" s="8"/>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row>
    <row r="1014" spans="1:32" ht="14.4" x14ac:dyDescent="0.3">
      <c r="A1014" s="8"/>
      <c r="B1014" s="8"/>
      <c r="C1014" s="8"/>
      <c r="D1014" s="8"/>
      <c r="E1014" s="8"/>
      <c r="F1014" s="8"/>
      <c r="G1014" s="8"/>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row>
    <row r="1015" spans="1:32" ht="14.4" x14ac:dyDescent="0.3">
      <c r="A1015" s="8"/>
      <c r="B1015" s="8"/>
      <c r="C1015" s="8"/>
      <c r="D1015" s="8"/>
      <c r="E1015" s="8"/>
      <c r="F1015" s="8"/>
      <c r="G1015" s="8"/>
      <c r="H1015" s="8"/>
      <c r="I1015" s="8"/>
      <c r="J1015" s="8"/>
      <c r="K1015" s="8"/>
      <c r="L1015" s="8"/>
      <c r="M1015" s="8"/>
      <c r="N1015" s="8"/>
      <c r="O1015" s="8"/>
      <c r="P1015" s="8"/>
      <c r="Q1015" s="8"/>
      <c r="R1015" s="8"/>
      <c r="S1015" s="8"/>
      <c r="T1015" s="8"/>
      <c r="U1015" s="8"/>
      <c r="V1015" s="8"/>
      <c r="W1015" s="8"/>
      <c r="X1015" s="8"/>
      <c r="Y1015" s="8"/>
      <c r="Z1015" s="8"/>
      <c r="AA1015" s="8"/>
      <c r="AB1015" s="8"/>
      <c r="AC1015" s="8"/>
      <c r="AD1015" s="8"/>
      <c r="AE1015" s="8"/>
      <c r="AF1015" s="8"/>
    </row>
    <row r="1016" spans="1:32" ht="14.4" x14ac:dyDescent="0.3">
      <c r="A1016" s="8"/>
      <c r="B1016" s="8"/>
      <c r="C1016" s="8"/>
      <c r="D1016" s="8"/>
      <c r="E1016" s="8"/>
      <c r="F1016" s="8"/>
      <c r="G1016" s="8"/>
      <c r="H1016" s="8"/>
      <c r="I1016" s="8"/>
      <c r="J1016" s="8"/>
      <c r="K1016" s="8"/>
      <c r="L1016" s="8"/>
      <c r="M1016" s="8"/>
      <c r="N1016" s="8"/>
      <c r="O1016" s="8"/>
      <c r="P1016" s="8"/>
      <c r="Q1016" s="8"/>
      <c r="R1016" s="8"/>
      <c r="S1016" s="8"/>
      <c r="T1016" s="8"/>
      <c r="U1016" s="8"/>
      <c r="V1016" s="8"/>
      <c r="W1016" s="8"/>
      <c r="X1016" s="8"/>
      <c r="Y1016" s="8"/>
      <c r="Z1016" s="8"/>
      <c r="AA1016" s="8"/>
      <c r="AB1016" s="8"/>
      <c r="AC1016" s="8"/>
      <c r="AD1016" s="8"/>
      <c r="AE1016" s="8"/>
      <c r="AF1016" s="8"/>
    </row>
    <row r="1017" spans="1:32" ht="14.4" x14ac:dyDescent="0.3">
      <c r="A1017" s="8"/>
      <c r="B1017" s="8"/>
      <c r="C1017" s="8"/>
      <c r="D1017" s="8"/>
      <c r="E1017" s="8"/>
      <c r="F1017" s="8"/>
      <c r="G1017" s="8"/>
      <c r="H1017" s="8"/>
      <c r="I1017" s="8"/>
      <c r="J1017" s="8"/>
      <c r="K1017" s="8"/>
      <c r="L1017" s="8"/>
      <c r="M1017" s="8"/>
      <c r="N1017" s="8"/>
      <c r="O1017" s="8"/>
      <c r="P1017" s="8"/>
      <c r="Q1017" s="8"/>
      <c r="R1017" s="8"/>
      <c r="S1017" s="8"/>
      <c r="T1017" s="8"/>
      <c r="U1017" s="8"/>
      <c r="V1017" s="8"/>
      <c r="W1017" s="8"/>
      <c r="X1017" s="8"/>
      <c r="Y1017" s="8"/>
      <c r="Z1017" s="8"/>
      <c r="AA1017" s="8"/>
      <c r="AB1017" s="8"/>
      <c r="AC1017" s="8"/>
      <c r="AD1017" s="8"/>
      <c r="AE1017" s="8"/>
      <c r="AF1017" s="8"/>
    </row>
    <row r="1018" spans="1:32" ht="14.4" x14ac:dyDescent="0.3">
      <c r="A1018" s="8"/>
      <c r="B1018" s="8"/>
      <c r="C1018" s="8"/>
      <c r="D1018" s="8"/>
      <c r="E1018" s="8"/>
      <c r="F1018" s="8"/>
      <c r="G1018" s="8"/>
      <c r="H1018" s="8"/>
      <c r="I1018" s="8"/>
      <c r="J1018" s="8"/>
      <c r="K1018" s="8"/>
      <c r="L1018" s="8"/>
      <c r="M1018" s="8"/>
      <c r="N1018" s="8"/>
      <c r="O1018" s="8"/>
      <c r="P1018" s="8"/>
      <c r="Q1018" s="8"/>
      <c r="R1018" s="8"/>
      <c r="S1018" s="8"/>
      <c r="T1018" s="8"/>
      <c r="U1018" s="8"/>
      <c r="V1018" s="8"/>
      <c r="W1018" s="8"/>
      <c r="X1018" s="8"/>
      <c r="Y1018" s="8"/>
      <c r="Z1018" s="8"/>
      <c r="AA1018" s="8"/>
      <c r="AB1018" s="8"/>
      <c r="AC1018" s="8"/>
      <c r="AD1018" s="8"/>
      <c r="AE1018" s="8"/>
      <c r="AF1018" s="8"/>
    </row>
    <row r="1019" spans="1:32" ht="14.4" x14ac:dyDescent="0.3">
      <c r="A1019" s="8"/>
      <c r="B1019" s="8"/>
      <c r="C1019" s="8"/>
      <c r="D1019" s="8"/>
      <c r="E1019" s="8"/>
      <c r="F1019" s="8"/>
      <c r="G1019" s="8"/>
      <c r="H1019" s="8"/>
      <c r="I1019" s="8"/>
      <c r="J1019" s="8"/>
      <c r="K1019" s="8"/>
      <c r="L1019" s="8"/>
      <c r="M1019" s="8"/>
      <c r="N1019" s="8"/>
      <c r="O1019" s="8"/>
      <c r="P1019" s="8"/>
      <c r="Q1019" s="8"/>
      <c r="R1019" s="8"/>
      <c r="S1019" s="8"/>
      <c r="T1019" s="8"/>
      <c r="U1019" s="8"/>
      <c r="V1019" s="8"/>
      <c r="W1019" s="8"/>
      <c r="X1019" s="8"/>
      <c r="Y1019" s="8"/>
      <c r="Z1019" s="8"/>
      <c r="AA1019" s="8"/>
      <c r="AB1019" s="8"/>
      <c r="AC1019" s="8"/>
      <c r="AD1019" s="8"/>
      <c r="AE1019" s="8"/>
      <c r="AF1019" s="8"/>
    </row>
    <row r="1020" spans="1:32" ht="14.4" x14ac:dyDescent="0.3">
      <c r="A1020" s="8"/>
      <c r="B1020" s="8"/>
      <c r="C1020" s="8"/>
      <c r="D1020" s="8"/>
      <c r="E1020" s="8"/>
      <c r="F1020" s="8"/>
      <c r="G1020" s="8"/>
      <c r="H1020" s="8"/>
      <c r="I1020" s="8"/>
      <c r="J1020" s="8"/>
      <c r="K1020" s="8"/>
      <c r="L1020" s="8"/>
      <c r="M1020" s="8"/>
      <c r="N1020" s="8"/>
      <c r="O1020" s="8"/>
      <c r="P1020" s="8"/>
      <c r="Q1020" s="8"/>
      <c r="R1020" s="8"/>
      <c r="S1020" s="8"/>
      <c r="T1020" s="8"/>
      <c r="U1020" s="8"/>
      <c r="V1020" s="8"/>
      <c r="W1020" s="8"/>
      <c r="X1020" s="8"/>
      <c r="Y1020" s="8"/>
      <c r="Z1020" s="8"/>
      <c r="AA1020" s="8"/>
      <c r="AB1020" s="8"/>
      <c r="AC1020" s="8"/>
      <c r="AD1020" s="8"/>
      <c r="AE1020" s="8"/>
      <c r="AF1020" s="8"/>
    </row>
    <row r="1021" spans="1:32" ht="14.4" x14ac:dyDescent="0.3">
      <c r="A1021" s="8"/>
      <c r="B1021" s="8"/>
      <c r="C1021" s="8"/>
      <c r="D1021" s="8"/>
      <c r="E1021" s="8"/>
      <c r="F1021" s="8"/>
      <c r="G1021" s="8"/>
      <c r="H1021" s="8"/>
      <c r="I1021" s="8"/>
      <c r="J1021" s="8"/>
      <c r="K1021" s="8"/>
      <c r="L1021" s="8"/>
      <c r="M1021" s="8"/>
      <c r="N1021" s="8"/>
      <c r="O1021" s="8"/>
      <c r="P1021" s="8"/>
      <c r="Q1021" s="8"/>
      <c r="R1021" s="8"/>
      <c r="S1021" s="8"/>
      <c r="T1021" s="8"/>
      <c r="U1021" s="8"/>
      <c r="V1021" s="8"/>
      <c r="W1021" s="8"/>
      <c r="X1021" s="8"/>
      <c r="Y1021" s="8"/>
      <c r="Z1021" s="8"/>
      <c r="AA1021" s="8"/>
      <c r="AB1021" s="8"/>
      <c r="AC1021" s="8"/>
      <c r="AD1021" s="8"/>
      <c r="AE1021" s="8"/>
      <c r="AF1021" s="8"/>
    </row>
    <row r="1022" spans="1:32" ht="14.4" x14ac:dyDescent="0.3">
      <c r="A1022" s="8"/>
      <c r="B1022" s="8"/>
      <c r="C1022" s="8"/>
      <c r="D1022" s="8"/>
      <c r="E1022" s="8"/>
      <c r="F1022" s="8"/>
      <c r="G1022" s="8"/>
      <c r="H1022" s="8"/>
      <c r="I1022" s="8"/>
      <c r="J1022" s="8"/>
      <c r="K1022" s="8"/>
      <c r="L1022" s="8"/>
      <c r="M1022" s="8"/>
      <c r="N1022" s="8"/>
      <c r="O1022" s="8"/>
      <c r="P1022" s="8"/>
      <c r="Q1022" s="8"/>
      <c r="R1022" s="8"/>
      <c r="S1022" s="8"/>
      <c r="T1022" s="8"/>
      <c r="U1022" s="8"/>
      <c r="V1022" s="8"/>
      <c r="W1022" s="8"/>
      <c r="X1022" s="8"/>
      <c r="Y1022" s="8"/>
      <c r="Z1022" s="8"/>
      <c r="AA1022" s="8"/>
      <c r="AB1022" s="8"/>
      <c r="AC1022" s="8"/>
      <c r="AD1022" s="8"/>
      <c r="AE1022" s="8"/>
      <c r="AF1022" s="8"/>
    </row>
    <row r="1023" spans="1:32" ht="14.4" x14ac:dyDescent="0.3">
      <c r="A1023" s="8"/>
      <c r="B1023" s="8"/>
      <c r="C1023" s="8"/>
      <c r="D1023" s="8"/>
      <c r="E1023" s="8"/>
      <c r="F1023" s="8"/>
      <c r="G1023" s="8"/>
      <c r="H1023" s="8"/>
      <c r="I1023" s="8"/>
      <c r="J1023" s="8"/>
      <c r="K1023" s="8"/>
      <c r="L1023" s="8"/>
      <c r="M1023" s="8"/>
      <c r="N1023" s="8"/>
      <c r="O1023" s="8"/>
      <c r="P1023" s="8"/>
      <c r="Q1023" s="8"/>
      <c r="R1023" s="8"/>
      <c r="S1023" s="8"/>
      <c r="T1023" s="8"/>
      <c r="U1023" s="8"/>
      <c r="V1023" s="8"/>
      <c r="W1023" s="8"/>
      <c r="X1023" s="8"/>
      <c r="Y1023" s="8"/>
      <c r="Z1023" s="8"/>
      <c r="AA1023" s="8"/>
      <c r="AB1023" s="8"/>
      <c r="AC1023" s="8"/>
      <c r="AD1023" s="8"/>
      <c r="AE1023" s="8"/>
      <c r="AF1023" s="8"/>
    </row>
    <row r="1024" spans="1:32" ht="14.4" x14ac:dyDescent="0.3">
      <c r="A1024" s="8"/>
      <c r="B1024" s="8"/>
      <c r="C1024" s="8"/>
      <c r="D1024" s="8"/>
      <c r="E1024" s="8"/>
      <c r="F1024" s="8"/>
      <c r="G1024" s="8"/>
      <c r="H1024" s="8"/>
      <c r="I1024" s="8"/>
      <c r="J1024" s="8"/>
      <c r="K1024" s="8"/>
      <c r="L1024" s="8"/>
      <c r="M1024" s="8"/>
      <c r="N1024" s="8"/>
      <c r="O1024" s="8"/>
      <c r="P1024" s="8"/>
      <c r="Q1024" s="8"/>
      <c r="R1024" s="8"/>
      <c r="S1024" s="8"/>
      <c r="T1024" s="8"/>
      <c r="U1024" s="8"/>
      <c r="V1024" s="8"/>
      <c r="W1024" s="8"/>
      <c r="X1024" s="8"/>
      <c r="Y1024" s="8"/>
      <c r="Z1024" s="8"/>
      <c r="AA1024" s="8"/>
      <c r="AB1024" s="8"/>
      <c r="AC1024" s="8"/>
      <c r="AD1024" s="8"/>
      <c r="AE1024" s="8"/>
      <c r="AF1024" s="8"/>
    </row>
    <row r="1025" spans="1:32" ht="14.4" x14ac:dyDescent="0.3">
      <c r="A1025" s="8"/>
      <c r="B1025" s="8"/>
      <c r="C1025" s="8"/>
      <c r="D1025" s="8"/>
      <c r="E1025" s="8"/>
      <c r="F1025" s="8"/>
      <c r="G1025" s="8"/>
      <c r="H1025" s="8"/>
      <c r="I1025" s="8"/>
      <c r="J1025" s="8"/>
      <c r="K1025" s="8"/>
      <c r="L1025" s="8"/>
      <c r="M1025" s="8"/>
      <c r="N1025" s="8"/>
      <c r="O1025" s="8"/>
      <c r="P1025" s="8"/>
      <c r="Q1025" s="8"/>
      <c r="R1025" s="8"/>
      <c r="S1025" s="8"/>
      <c r="T1025" s="8"/>
      <c r="U1025" s="8"/>
      <c r="V1025" s="8"/>
      <c r="W1025" s="8"/>
      <c r="X1025" s="8"/>
      <c r="Y1025" s="8"/>
      <c r="Z1025" s="8"/>
      <c r="AA1025" s="8"/>
      <c r="AB1025" s="8"/>
      <c r="AC1025" s="8"/>
      <c r="AD1025" s="8"/>
      <c r="AE1025" s="8"/>
      <c r="AF1025" s="8"/>
    </row>
    <row r="1026" spans="1:32" ht="14.4" x14ac:dyDescent="0.3">
      <c r="A1026" s="8"/>
      <c r="B1026" s="8"/>
      <c r="C1026" s="8"/>
      <c r="D1026" s="8"/>
      <c r="E1026" s="8"/>
      <c r="F1026" s="8"/>
      <c r="G1026" s="8"/>
      <c r="H1026" s="8"/>
      <c r="I1026" s="8"/>
      <c r="J1026" s="8"/>
      <c r="K1026" s="8"/>
      <c r="L1026" s="8"/>
      <c r="M1026" s="8"/>
      <c r="N1026" s="8"/>
      <c r="O1026" s="8"/>
      <c r="P1026" s="8"/>
      <c r="Q1026" s="8"/>
      <c r="R1026" s="8"/>
      <c r="S1026" s="8"/>
      <c r="T1026" s="8"/>
      <c r="U1026" s="8"/>
      <c r="V1026" s="8"/>
      <c r="W1026" s="8"/>
      <c r="X1026" s="8"/>
      <c r="Y1026" s="8"/>
      <c r="Z1026" s="8"/>
      <c r="AA1026" s="8"/>
      <c r="AB1026" s="8"/>
      <c r="AC1026" s="8"/>
      <c r="AD1026" s="8"/>
      <c r="AE1026" s="8"/>
      <c r="AF1026" s="8"/>
    </row>
    <row r="1027" spans="1:32" ht="14.4" x14ac:dyDescent="0.3">
      <c r="A1027" s="8"/>
      <c r="B1027" s="8"/>
      <c r="C1027" s="8"/>
      <c r="D1027" s="8"/>
      <c r="E1027" s="8"/>
      <c r="F1027" s="8"/>
      <c r="G1027" s="8"/>
      <c r="H1027" s="8"/>
      <c r="I1027" s="8"/>
      <c r="J1027" s="8"/>
      <c r="K1027" s="8"/>
      <c r="L1027" s="8"/>
      <c r="M1027" s="8"/>
      <c r="N1027" s="8"/>
      <c r="O1027" s="8"/>
      <c r="P1027" s="8"/>
      <c r="Q1027" s="8"/>
      <c r="R1027" s="8"/>
      <c r="S1027" s="8"/>
      <c r="T1027" s="8"/>
      <c r="U1027" s="8"/>
      <c r="V1027" s="8"/>
      <c r="W1027" s="8"/>
      <c r="X1027" s="8"/>
      <c r="Y1027" s="8"/>
      <c r="Z1027" s="8"/>
      <c r="AA1027" s="8"/>
      <c r="AB1027" s="8"/>
      <c r="AC1027" s="8"/>
      <c r="AD1027" s="8"/>
      <c r="AE1027" s="8"/>
      <c r="AF1027" s="8"/>
    </row>
    <row r="1028" spans="1:32" ht="14.4" x14ac:dyDescent="0.3">
      <c r="A1028" s="8"/>
      <c r="B1028" s="8"/>
      <c r="C1028" s="8"/>
      <c r="D1028" s="8"/>
      <c r="E1028" s="8"/>
      <c r="F1028" s="8"/>
      <c r="G1028" s="8"/>
      <c r="H1028" s="8"/>
      <c r="I1028" s="8"/>
      <c r="J1028" s="8"/>
      <c r="K1028" s="8"/>
      <c r="L1028" s="8"/>
      <c r="M1028" s="8"/>
      <c r="N1028" s="8"/>
      <c r="O1028" s="8"/>
      <c r="P1028" s="8"/>
      <c r="Q1028" s="8"/>
      <c r="R1028" s="8"/>
      <c r="S1028" s="8"/>
      <c r="T1028" s="8"/>
      <c r="U1028" s="8"/>
      <c r="V1028" s="8"/>
      <c r="W1028" s="8"/>
      <c r="X1028" s="8"/>
      <c r="Y1028" s="8"/>
      <c r="Z1028" s="8"/>
      <c r="AA1028" s="8"/>
      <c r="AB1028" s="8"/>
      <c r="AC1028" s="8"/>
      <c r="AD1028" s="8"/>
      <c r="AE1028" s="8"/>
      <c r="AF1028" s="8"/>
    </row>
    <row r="1029" spans="1:32" ht="14.4" x14ac:dyDescent="0.3">
      <c r="A1029" s="8"/>
      <c r="B1029" s="8"/>
      <c r="C1029" s="8"/>
      <c r="D1029" s="8"/>
      <c r="E1029" s="8"/>
      <c r="F1029" s="8"/>
      <c r="G1029" s="8"/>
      <c r="H1029" s="8"/>
      <c r="I1029" s="8"/>
      <c r="J1029" s="8"/>
      <c r="K1029" s="8"/>
      <c r="L1029" s="8"/>
      <c r="M1029" s="8"/>
      <c r="N1029" s="8"/>
      <c r="O1029" s="8"/>
      <c r="P1029" s="8"/>
      <c r="Q1029" s="8"/>
      <c r="R1029" s="8"/>
      <c r="S1029" s="8"/>
      <c r="T1029" s="8"/>
      <c r="U1029" s="8"/>
      <c r="V1029" s="8"/>
      <c r="W1029" s="8"/>
      <c r="X1029" s="8"/>
      <c r="Y1029" s="8"/>
      <c r="Z1029" s="8"/>
      <c r="AA1029" s="8"/>
      <c r="AB1029" s="8"/>
      <c r="AC1029" s="8"/>
      <c r="AD1029" s="8"/>
      <c r="AE1029" s="8"/>
      <c r="AF1029" s="8"/>
    </row>
    <row r="1030" spans="1:32" ht="14.4" x14ac:dyDescent="0.3">
      <c r="A1030" s="8"/>
      <c r="B1030" s="8"/>
      <c r="C1030" s="8"/>
      <c r="D1030" s="8"/>
      <c r="E1030" s="8"/>
      <c r="F1030" s="8"/>
      <c r="G1030" s="8"/>
      <c r="H1030" s="8"/>
      <c r="I1030" s="8"/>
      <c r="J1030" s="8"/>
      <c r="K1030" s="8"/>
      <c r="L1030" s="8"/>
      <c r="M1030" s="8"/>
      <c r="N1030" s="8"/>
      <c r="O1030" s="8"/>
      <c r="P1030" s="8"/>
      <c r="Q1030" s="8"/>
      <c r="R1030" s="8"/>
      <c r="S1030" s="8"/>
      <c r="T1030" s="8"/>
      <c r="U1030" s="8"/>
      <c r="V1030" s="8"/>
      <c r="W1030" s="8"/>
      <c r="X1030" s="8"/>
      <c r="Y1030" s="8"/>
      <c r="Z1030" s="8"/>
      <c r="AA1030" s="8"/>
      <c r="AB1030" s="8"/>
      <c r="AC1030" s="8"/>
      <c r="AD1030" s="8"/>
      <c r="AE1030" s="8"/>
      <c r="AF1030" s="8"/>
    </row>
    <row r="1031" spans="1:32" ht="14.4" x14ac:dyDescent="0.3">
      <c r="A1031" s="8"/>
      <c r="B1031" s="8"/>
      <c r="C1031" s="8"/>
      <c r="D1031" s="8"/>
      <c r="E1031" s="8"/>
      <c r="F1031" s="8"/>
      <c r="G1031" s="8"/>
      <c r="H1031" s="8"/>
      <c r="I1031" s="8"/>
      <c r="J1031" s="8"/>
      <c r="K1031" s="8"/>
      <c r="L1031" s="8"/>
      <c r="M1031" s="8"/>
      <c r="N1031" s="8"/>
      <c r="O1031" s="8"/>
      <c r="P1031" s="8"/>
      <c r="Q1031" s="8"/>
      <c r="R1031" s="8"/>
      <c r="S1031" s="8"/>
      <c r="T1031" s="8"/>
      <c r="U1031" s="8"/>
      <c r="V1031" s="8"/>
      <c r="W1031" s="8"/>
      <c r="X1031" s="8"/>
      <c r="Y1031" s="8"/>
      <c r="Z1031" s="8"/>
      <c r="AA1031" s="8"/>
      <c r="AB1031" s="8"/>
      <c r="AC1031" s="8"/>
      <c r="AD1031" s="8"/>
      <c r="AE1031" s="8"/>
      <c r="AF1031" s="8"/>
    </row>
    <row r="1032" spans="1:32" ht="14.4" x14ac:dyDescent="0.3">
      <c r="A1032" s="8"/>
      <c r="B1032" s="8"/>
      <c r="C1032" s="8"/>
      <c r="D1032" s="8"/>
      <c r="E1032" s="8"/>
      <c r="F1032" s="8"/>
      <c r="G1032" s="8"/>
      <c r="H1032" s="8"/>
      <c r="I1032" s="8"/>
      <c r="J1032" s="8"/>
      <c r="K1032" s="8"/>
      <c r="L1032" s="8"/>
      <c r="M1032" s="8"/>
      <c r="N1032" s="8"/>
      <c r="O1032" s="8"/>
      <c r="P1032" s="8"/>
      <c r="Q1032" s="8"/>
      <c r="R1032" s="8"/>
      <c r="S1032" s="8"/>
      <c r="T1032" s="8"/>
      <c r="U1032" s="8"/>
      <c r="V1032" s="8"/>
      <c r="W1032" s="8"/>
      <c r="X1032" s="8"/>
      <c r="Y1032" s="8"/>
      <c r="Z1032" s="8"/>
      <c r="AA1032" s="8"/>
      <c r="AB1032" s="8"/>
      <c r="AC1032" s="8"/>
      <c r="AD1032" s="8"/>
      <c r="AE1032" s="8"/>
      <c r="AF1032" s="8"/>
    </row>
    <row r="1033" spans="1:32" ht="14.4" x14ac:dyDescent="0.3">
      <c r="A1033" s="8"/>
      <c r="B1033" s="8"/>
      <c r="C1033" s="8"/>
      <c r="D1033" s="8"/>
      <c r="E1033" s="8"/>
      <c r="F1033" s="8"/>
      <c r="G1033" s="8"/>
      <c r="H1033" s="8"/>
      <c r="I1033" s="8"/>
      <c r="J1033" s="8"/>
      <c r="K1033" s="8"/>
      <c r="L1033" s="8"/>
      <c r="M1033" s="8"/>
      <c r="N1033" s="8"/>
      <c r="O1033" s="8"/>
      <c r="P1033" s="8"/>
      <c r="Q1033" s="8"/>
      <c r="R1033" s="8"/>
      <c r="S1033" s="8"/>
      <c r="T1033" s="8"/>
      <c r="U1033" s="8"/>
      <c r="V1033" s="8"/>
      <c r="W1033" s="8"/>
      <c r="X1033" s="8"/>
      <c r="Y1033" s="8"/>
      <c r="Z1033" s="8"/>
      <c r="AA1033" s="8"/>
      <c r="AB1033" s="8"/>
      <c r="AC1033" s="8"/>
      <c r="AD1033" s="8"/>
      <c r="AE1033" s="8"/>
      <c r="AF1033" s="8"/>
    </row>
    <row r="1034" spans="1:32" ht="14.4" x14ac:dyDescent="0.3">
      <c r="A1034" s="8"/>
      <c r="B1034" s="8"/>
      <c r="C1034" s="8"/>
      <c r="D1034" s="8"/>
      <c r="E1034" s="8"/>
      <c r="F1034" s="8"/>
      <c r="G1034" s="8"/>
      <c r="H1034" s="8"/>
      <c r="I1034" s="8"/>
      <c r="J1034" s="8"/>
      <c r="K1034" s="8"/>
      <c r="L1034" s="8"/>
      <c r="M1034" s="8"/>
      <c r="N1034" s="8"/>
      <c r="O1034" s="8"/>
      <c r="P1034" s="8"/>
      <c r="Q1034" s="8"/>
      <c r="R1034" s="8"/>
      <c r="S1034" s="8"/>
      <c r="T1034" s="8"/>
      <c r="U1034" s="8"/>
      <c r="V1034" s="8"/>
      <c r="W1034" s="8"/>
      <c r="X1034" s="8"/>
      <c r="Y1034" s="8"/>
      <c r="Z1034" s="8"/>
      <c r="AA1034" s="8"/>
      <c r="AB1034" s="8"/>
      <c r="AC1034" s="8"/>
      <c r="AD1034" s="8"/>
      <c r="AE1034" s="8"/>
      <c r="AF1034" s="8"/>
    </row>
    <row r="1035" spans="1:32" ht="14.4" x14ac:dyDescent="0.3">
      <c r="A1035" s="8"/>
      <c r="B1035" s="8"/>
      <c r="C1035" s="8"/>
      <c r="D1035" s="8"/>
      <c r="E1035" s="8"/>
      <c r="F1035" s="8"/>
      <c r="G1035" s="8"/>
      <c r="H1035" s="8"/>
      <c r="I1035" s="8"/>
      <c r="J1035" s="8"/>
      <c r="K1035" s="8"/>
      <c r="L1035" s="8"/>
      <c r="M1035" s="8"/>
      <c r="N1035" s="8"/>
      <c r="O1035" s="8"/>
      <c r="P1035" s="8"/>
      <c r="Q1035" s="8"/>
      <c r="R1035" s="8"/>
      <c r="S1035" s="8"/>
      <c r="T1035" s="8"/>
      <c r="U1035" s="8"/>
      <c r="V1035" s="8"/>
      <c r="W1035" s="8"/>
      <c r="X1035" s="8"/>
      <c r="Y1035" s="8"/>
      <c r="Z1035" s="8"/>
      <c r="AA1035" s="8"/>
      <c r="AB1035" s="8"/>
      <c r="AC1035" s="8"/>
      <c r="AD1035" s="8"/>
      <c r="AE1035" s="8"/>
      <c r="AF1035" s="8"/>
    </row>
    <row r="1036" spans="1:32" ht="14.4" x14ac:dyDescent="0.3">
      <c r="A1036" s="8"/>
      <c r="B1036" s="8"/>
      <c r="C1036" s="8"/>
      <c r="D1036" s="8"/>
      <c r="E1036" s="8"/>
      <c r="F1036" s="8"/>
      <c r="G1036" s="8"/>
      <c r="H1036" s="8"/>
      <c r="I1036" s="8"/>
      <c r="J1036" s="8"/>
      <c r="K1036" s="8"/>
      <c r="L1036" s="8"/>
      <c r="M1036" s="8"/>
      <c r="N1036" s="8"/>
      <c r="O1036" s="8"/>
      <c r="P1036" s="8"/>
      <c r="Q1036" s="8"/>
      <c r="R1036" s="8"/>
      <c r="S1036" s="8"/>
      <c r="T1036" s="8"/>
      <c r="U1036" s="8"/>
      <c r="V1036" s="8"/>
      <c r="W1036" s="8"/>
      <c r="X1036" s="8"/>
      <c r="Y1036" s="8"/>
      <c r="Z1036" s="8"/>
      <c r="AA1036" s="8"/>
      <c r="AB1036" s="8"/>
      <c r="AC1036" s="8"/>
      <c r="AD1036" s="8"/>
      <c r="AE1036" s="8"/>
      <c r="AF1036" s="8"/>
    </row>
    <row r="1037" spans="1:32" ht="14.4" x14ac:dyDescent="0.3">
      <c r="A1037" s="8"/>
      <c r="B1037" s="8"/>
      <c r="C1037" s="8"/>
      <c r="D1037" s="8"/>
      <c r="E1037" s="8"/>
      <c r="F1037" s="8"/>
      <c r="G1037" s="8"/>
      <c r="H1037" s="8"/>
      <c r="I1037" s="8"/>
      <c r="J1037" s="8"/>
      <c r="K1037" s="8"/>
      <c r="L1037" s="8"/>
      <c r="M1037" s="8"/>
      <c r="N1037" s="8"/>
      <c r="O1037" s="8"/>
      <c r="P1037" s="8"/>
      <c r="Q1037" s="8"/>
      <c r="R1037" s="8"/>
      <c r="S1037" s="8"/>
      <c r="T1037" s="8"/>
      <c r="U1037" s="8"/>
      <c r="V1037" s="8"/>
      <c r="W1037" s="8"/>
      <c r="X1037" s="8"/>
      <c r="Y1037" s="8"/>
      <c r="Z1037" s="8"/>
      <c r="AA1037" s="8"/>
      <c r="AB1037" s="8"/>
      <c r="AC1037" s="8"/>
      <c r="AD1037" s="8"/>
      <c r="AE1037" s="8"/>
      <c r="AF1037" s="8"/>
    </row>
    <row r="1038" spans="1:32" ht="14.4" x14ac:dyDescent="0.3">
      <c r="A1038" s="8"/>
      <c r="B1038" s="8"/>
      <c r="C1038" s="8"/>
      <c r="D1038" s="8"/>
      <c r="E1038" s="8"/>
      <c r="F1038" s="8"/>
      <c r="G1038" s="8"/>
      <c r="H1038" s="8"/>
      <c r="I1038" s="8"/>
      <c r="J1038" s="8"/>
      <c r="K1038" s="8"/>
      <c r="L1038" s="8"/>
      <c r="M1038" s="8"/>
      <c r="N1038" s="8"/>
      <c r="O1038" s="8"/>
      <c r="P1038" s="8"/>
      <c r="Q1038" s="8"/>
      <c r="R1038" s="8"/>
      <c r="S1038" s="8"/>
      <c r="T1038" s="8"/>
      <c r="U1038" s="8"/>
      <c r="V1038" s="8"/>
      <c r="W1038" s="8"/>
      <c r="X1038" s="8"/>
      <c r="Y1038" s="8"/>
      <c r="Z1038" s="8"/>
      <c r="AA1038" s="8"/>
      <c r="AB1038" s="8"/>
      <c r="AC1038" s="8"/>
      <c r="AD1038" s="8"/>
      <c r="AE1038" s="8"/>
      <c r="AF1038" s="8"/>
    </row>
    <row r="1039" spans="1:32" ht="14.4" x14ac:dyDescent="0.3">
      <c r="A1039" s="8"/>
      <c r="B1039" s="8"/>
      <c r="C1039" s="8"/>
      <c r="D1039" s="8"/>
      <c r="E1039" s="8"/>
      <c r="F1039" s="8"/>
      <c r="G1039" s="8"/>
      <c r="H1039" s="8"/>
      <c r="I1039" s="8"/>
      <c r="J1039" s="8"/>
      <c r="K1039" s="8"/>
      <c r="L1039" s="8"/>
      <c r="M1039" s="8"/>
      <c r="N1039" s="8"/>
      <c r="O1039" s="8"/>
      <c r="P1039" s="8"/>
      <c r="Q1039" s="8"/>
      <c r="R1039" s="8"/>
      <c r="S1039" s="8"/>
      <c r="T1039" s="8"/>
      <c r="U1039" s="8"/>
      <c r="V1039" s="8"/>
      <c r="W1039" s="8"/>
      <c r="X1039" s="8"/>
      <c r="Y1039" s="8"/>
      <c r="Z1039" s="8"/>
      <c r="AA1039" s="8"/>
      <c r="AB1039" s="8"/>
      <c r="AC1039" s="8"/>
      <c r="AD1039" s="8"/>
      <c r="AE1039" s="8"/>
      <c r="AF1039" s="8"/>
    </row>
    <row r="1040" spans="1:32" ht="14.4" x14ac:dyDescent="0.3">
      <c r="A1040" s="8"/>
      <c r="B1040" s="8"/>
      <c r="C1040" s="8"/>
      <c r="D1040" s="8"/>
      <c r="E1040" s="8"/>
      <c r="F1040" s="8"/>
      <c r="G1040" s="8"/>
      <c r="H1040" s="8"/>
      <c r="I1040" s="8"/>
      <c r="J1040" s="8"/>
      <c r="K1040" s="8"/>
      <c r="L1040" s="8"/>
      <c r="M1040" s="8"/>
      <c r="N1040" s="8"/>
      <c r="O1040" s="8"/>
      <c r="P1040" s="8"/>
      <c r="Q1040" s="8"/>
      <c r="R1040" s="8"/>
      <c r="S1040" s="8"/>
      <c r="T1040" s="8"/>
      <c r="U1040" s="8"/>
      <c r="V1040" s="8"/>
      <c r="W1040" s="8"/>
      <c r="X1040" s="8"/>
      <c r="Y1040" s="8"/>
      <c r="Z1040" s="8"/>
      <c r="AA1040" s="8"/>
      <c r="AB1040" s="8"/>
      <c r="AC1040" s="8"/>
      <c r="AD1040" s="8"/>
      <c r="AE1040" s="8"/>
      <c r="AF1040" s="8"/>
    </row>
    <row r="1041" spans="1:32" ht="14.4" x14ac:dyDescent="0.3">
      <c r="A1041" s="8"/>
      <c r="B1041" s="8"/>
      <c r="C1041" s="8"/>
      <c r="D1041" s="8"/>
      <c r="E1041" s="8"/>
      <c r="F1041" s="8"/>
      <c r="G1041" s="8"/>
      <c r="H1041" s="8"/>
      <c r="I1041" s="8"/>
      <c r="J1041" s="8"/>
      <c r="K1041" s="8"/>
      <c r="L1041" s="8"/>
      <c r="M1041" s="8"/>
      <c r="N1041" s="8"/>
      <c r="O1041" s="8"/>
      <c r="P1041" s="8"/>
      <c r="Q1041" s="8"/>
      <c r="R1041" s="8"/>
      <c r="S1041" s="8"/>
      <c r="T1041" s="8"/>
      <c r="U1041" s="8"/>
      <c r="V1041" s="8"/>
      <c r="W1041" s="8"/>
      <c r="X1041" s="8"/>
      <c r="Y1041" s="8"/>
      <c r="Z1041" s="8"/>
      <c r="AA1041" s="8"/>
      <c r="AB1041" s="8"/>
      <c r="AC1041" s="8"/>
      <c r="AD1041" s="8"/>
      <c r="AE1041" s="8"/>
      <c r="AF1041" s="8"/>
    </row>
    <row r="1042" spans="1:32" ht="14.4" x14ac:dyDescent="0.3">
      <c r="A1042" s="8"/>
      <c r="B1042" s="8"/>
      <c r="C1042" s="8"/>
      <c r="D1042" s="8"/>
      <c r="E1042" s="8"/>
      <c r="F1042" s="8"/>
      <c r="G1042" s="8"/>
      <c r="H1042" s="8"/>
      <c r="I1042" s="8"/>
      <c r="J1042" s="8"/>
      <c r="K1042" s="8"/>
      <c r="L1042" s="8"/>
      <c r="M1042" s="8"/>
      <c r="N1042" s="8"/>
      <c r="O1042" s="8"/>
      <c r="P1042" s="8"/>
      <c r="Q1042" s="8"/>
      <c r="R1042" s="8"/>
      <c r="S1042" s="8"/>
      <c r="T1042" s="8"/>
      <c r="U1042" s="8"/>
      <c r="V1042" s="8"/>
      <c r="W1042" s="8"/>
      <c r="X1042" s="8"/>
      <c r="Y1042" s="8"/>
      <c r="Z1042" s="8"/>
      <c r="AA1042" s="8"/>
      <c r="AB1042" s="8"/>
      <c r="AC1042" s="8"/>
      <c r="AD1042" s="8"/>
      <c r="AE1042" s="8"/>
      <c r="AF1042" s="8"/>
    </row>
    <row r="1043" spans="1:32" ht="14.4" x14ac:dyDescent="0.3">
      <c r="A1043" s="8"/>
      <c r="B1043" s="8"/>
      <c r="C1043" s="8"/>
      <c r="D1043" s="8"/>
      <c r="E1043" s="8"/>
      <c r="F1043" s="8"/>
      <c r="G1043" s="8"/>
      <c r="H1043" s="8"/>
      <c r="I1043" s="8"/>
      <c r="J1043" s="8"/>
      <c r="K1043" s="8"/>
      <c r="L1043" s="8"/>
      <c r="M1043" s="8"/>
      <c r="N1043" s="8"/>
      <c r="O1043" s="8"/>
      <c r="P1043" s="8"/>
      <c r="Q1043" s="8"/>
      <c r="R1043" s="8"/>
      <c r="S1043" s="8"/>
      <c r="T1043" s="8"/>
      <c r="U1043" s="8"/>
      <c r="V1043" s="8"/>
      <c r="W1043" s="8"/>
      <c r="X1043" s="8"/>
      <c r="Y1043" s="8"/>
      <c r="Z1043" s="8"/>
      <c r="AA1043" s="8"/>
      <c r="AB1043" s="8"/>
      <c r="AC1043" s="8"/>
      <c r="AD1043" s="8"/>
      <c r="AE1043" s="8"/>
      <c r="AF1043" s="8"/>
    </row>
    <row r="1044" spans="1:32" ht="14.4" x14ac:dyDescent="0.3">
      <c r="A1044" s="8"/>
      <c r="B1044" s="8"/>
      <c r="C1044" s="8"/>
      <c r="D1044" s="8"/>
      <c r="E1044" s="8"/>
      <c r="F1044" s="8"/>
      <c r="G1044" s="8"/>
      <c r="H1044" s="8"/>
      <c r="I1044" s="8"/>
      <c r="J1044" s="8"/>
      <c r="K1044" s="8"/>
      <c r="L1044" s="8"/>
      <c r="M1044" s="8"/>
      <c r="N1044" s="8"/>
      <c r="O1044" s="8"/>
      <c r="P1044" s="8"/>
      <c r="Q1044" s="8"/>
      <c r="R1044" s="8"/>
      <c r="S1044" s="8"/>
      <c r="T1044" s="8"/>
      <c r="U1044" s="8"/>
      <c r="V1044" s="8"/>
      <c r="W1044" s="8"/>
      <c r="X1044" s="8"/>
      <c r="Y1044" s="8"/>
      <c r="Z1044" s="8"/>
      <c r="AA1044" s="8"/>
      <c r="AB1044" s="8"/>
      <c r="AC1044" s="8"/>
      <c r="AD1044" s="8"/>
      <c r="AE1044" s="8"/>
      <c r="AF1044" s="8"/>
    </row>
    <row r="1045" spans="1:32" ht="14.4" x14ac:dyDescent="0.3">
      <c r="A1045" s="8"/>
      <c r="B1045" s="8"/>
      <c r="C1045" s="8"/>
      <c r="D1045" s="8"/>
      <c r="E1045" s="8"/>
      <c r="F1045" s="8"/>
      <c r="G1045" s="8"/>
      <c r="H1045" s="8"/>
      <c r="I1045" s="8"/>
      <c r="J1045" s="8"/>
      <c r="K1045" s="8"/>
      <c r="L1045" s="8"/>
      <c r="M1045" s="8"/>
      <c r="N1045" s="8"/>
      <c r="O1045" s="8"/>
      <c r="P1045" s="8"/>
      <c r="Q1045" s="8"/>
      <c r="R1045" s="8"/>
      <c r="S1045" s="8"/>
      <c r="T1045" s="8"/>
      <c r="U1045" s="8"/>
      <c r="V1045" s="8"/>
      <c r="W1045" s="8"/>
      <c r="X1045" s="8"/>
      <c r="Y1045" s="8"/>
      <c r="Z1045" s="8"/>
      <c r="AA1045" s="8"/>
      <c r="AB1045" s="8"/>
      <c r="AC1045" s="8"/>
      <c r="AD1045" s="8"/>
      <c r="AE1045" s="8"/>
      <c r="AF1045" s="8"/>
    </row>
    <row r="1046" spans="1:32" ht="14.4" x14ac:dyDescent="0.3">
      <c r="A1046" s="8"/>
      <c r="B1046" s="8"/>
      <c r="C1046" s="8"/>
      <c r="D1046" s="8"/>
      <c r="E1046" s="8"/>
      <c r="F1046" s="8"/>
      <c r="G1046" s="8"/>
      <c r="H1046" s="8"/>
      <c r="I1046" s="8"/>
      <c r="J1046" s="8"/>
      <c r="K1046" s="8"/>
      <c r="L1046" s="8"/>
      <c r="M1046" s="8"/>
      <c r="N1046" s="8"/>
      <c r="O1046" s="8"/>
      <c r="P1046" s="8"/>
      <c r="Q1046" s="8"/>
      <c r="R1046" s="8"/>
      <c r="S1046" s="8"/>
      <c r="T1046" s="8"/>
      <c r="U1046" s="8"/>
      <c r="V1046" s="8"/>
      <c r="W1046" s="8"/>
      <c r="X1046" s="8"/>
      <c r="Y1046" s="8"/>
      <c r="Z1046" s="8"/>
      <c r="AA1046" s="8"/>
      <c r="AB1046" s="8"/>
      <c r="AC1046" s="8"/>
      <c r="AD1046" s="8"/>
      <c r="AE1046" s="8"/>
      <c r="AF1046" s="8"/>
    </row>
    <row r="1047" spans="1:32" ht="14.4" x14ac:dyDescent="0.3">
      <c r="A1047" s="8"/>
      <c r="B1047" s="8"/>
      <c r="C1047" s="8"/>
      <c r="D1047" s="8"/>
      <c r="E1047" s="8"/>
      <c r="F1047" s="8"/>
      <c r="G1047" s="8"/>
      <c r="H1047" s="8"/>
      <c r="I1047" s="8"/>
      <c r="J1047" s="8"/>
      <c r="K1047" s="8"/>
      <c r="L1047" s="8"/>
      <c r="M1047" s="8"/>
      <c r="N1047" s="8"/>
      <c r="O1047" s="8"/>
      <c r="P1047" s="8"/>
      <c r="Q1047" s="8"/>
      <c r="R1047" s="8"/>
      <c r="S1047" s="8"/>
      <c r="T1047" s="8"/>
      <c r="U1047" s="8"/>
      <c r="V1047" s="8"/>
      <c r="W1047" s="8"/>
      <c r="X1047" s="8"/>
      <c r="Y1047" s="8"/>
      <c r="Z1047" s="8"/>
      <c r="AA1047" s="8"/>
      <c r="AB1047" s="8"/>
      <c r="AC1047" s="8"/>
      <c r="AD1047" s="8"/>
      <c r="AE1047" s="8"/>
      <c r="AF1047" s="8"/>
    </row>
    <row r="1048" spans="1:32" ht="14.4" x14ac:dyDescent="0.3">
      <c r="A1048" s="8"/>
      <c r="B1048" s="8"/>
      <c r="C1048" s="8"/>
      <c r="D1048" s="8"/>
      <c r="E1048" s="8"/>
      <c r="F1048" s="8"/>
      <c r="G1048" s="8"/>
      <c r="H1048" s="8"/>
      <c r="I1048" s="8"/>
      <c r="J1048" s="8"/>
      <c r="K1048" s="8"/>
      <c r="L1048" s="8"/>
      <c r="M1048" s="8"/>
      <c r="N1048" s="8"/>
      <c r="O1048" s="8"/>
      <c r="P1048" s="8"/>
      <c r="Q1048" s="8"/>
      <c r="R1048" s="8"/>
      <c r="S1048" s="8"/>
      <c r="T1048" s="8"/>
      <c r="U1048" s="8"/>
      <c r="V1048" s="8"/>
      <c r="W1048" s="8"/>
      <c r="X1048" s="8"/>
      <c r="Y1048" s="8"/>
      <c r="Z1048" s="8"/>
      <c r="AA1048" s="8"/>
      <c r="AB1048" s="8"/>
      <c r="AC1048" s="8"/>
      <c r="AD1048" s="8"/>
      <c r="AE1048" s="8"/>
      <c r="AF1048" s="8"/>
    </row>
    <row r="1049" spans="1:32" ht="14.4" x14ac:dyDescent="0.3">
      <c r="A1049" s="8"/>
      <c r="B1049" s="8"/>
      <c r="C1049" s="8"/>
      <c r="D1049" s="8"/>
      <c r="E1049" s="8"/>
      <c r="F1049" s="8"/>
      <c r="G1049" s="8"/>
      <c r="H1049" s="8"/>
      <c r="I1049" s="8"/>
      <c r="J1049" s="8"/>
      <c r="K1049" s="8"/>
      <c r="L1049" s="8"/>
      <c r="M1049" s="8"/>
      <c r="N1049" s="8"/>
      <c r="O1049" s="8"/>
      <c r="P1049" s="8"/>
      <c r="Q1049" s="8"/>
      <c r="R1049" s="8"/>
      <c r="S1049" s="8"/>
      <c r="T1049" s="8"/>
      <c r="U1049" s="8"/>
      <c r="V1049" s="8"/>
      <c r="W1049" s="8"/>
      <c r="X1049" s="8"/>
      <c r="Y1049" s="8"/>
      <c r="Z1049" s="8"/>
      <c r="AA1049" s="8"/>
      <c r="AB1049" s="8"/>
      <c r="AC1049" s="8"/>
      <c r="AD1049" s="8"/>
      <c r="AE1049" s="8"/>
      <c r="AF1049" s="8"/>
    </row>
    <row r="1050" spans="1:32" ht="14.4" x14ac:dyDescent="0.3">
      <c r="A1050" s="8"/>
      <c r="B1050" s="8"/>
      <c r="C1050" s="8"/>
      <c r="D1050" s="8"/>
      <c r="E1050" s="8"/>
      <c r="F1050" s="8"/>
      <c r="G1050" s="8"/>
      <c r="H1050" s="8"/>
      <c r="I1050" s="8"/>
      <c r="J1050" s="8"/>
      <c r="K1050" s="8"/>
      <c r="L1050" s="8"/>
      <c r="M1050" s="8"/>
      <c r="N1050" s="8"/>
      <c r="O1050" s="8"/>
      <c r="P1050" s="8"/>
      <c r="Q1050" s="8"/>
      <c r="R1050" s="8"/>
      <c r="S1050" s="8"/>
      <c r="T1050" s="8"/>
      <c r="U1050" s="8"/>
      <c r="V1050" s="8"/>
      <c r="W1050" s="8"/>
      <c r="X1050" s="8"/>
      <c r="Y1050" s="8"/>
      <c r="Z1050" s="8"/>
      <c r="AA1050" s="8"/>
      <c r="AB1050" s="8"/>
      <c r="AC1050" s="8"/>
      <c r="AD1050" s="8"/>
      <c r="AE1050" s="8"/>
      <c r="AF1050" s="8"/>
    </row>
    <row r="1051" spans="1:32" ht="14.4" x14ac:dyDescent="0.3">
      <c r="A1051" s="8"/>
      <c r="B1051" s="8"/>
      <c r="C1051" s="8"/>
      <c r="D1051" s="8"/>
      <c r="E1051" s="8"/>
      <c r="F1051" s="8"/>
      <c r="G1051" s="8"/>
      <c r="H1051" s="8"/>
      <c r="I1051" s="8"/>
      <c r="J1051" s="8"/>
      <c r="K1051" s="8"/>
      <c r="L1051" s="8"/>
      <c r="M1051" s="8"/>
      <c r="N1051" s="8"/>
      <c r="O1051" s="8"/>
      <c r="P1051" s="8"/>
      <c r="Q1051" s="8"/>
      <c r="R1051" s="8"/>
      <c r="S1051" s="8"/>
      <c r="T1051" s="8"/>
      <c r="U1051" s="8"/>
      <c r="V1051" s="8"/>
      <c r="W1051" s="8"/>
      <c r="X1051" s="8"/>
      <c r="Y1051" s="8"/>
      <c r="Z1051" s="8"/>
      <c r="AA1051" s="8"/>
      <c r="AB1051" s="8"/>
      <c r="AC1051" s="8"/>
      <c r="AD1051" s="8"/>
      <c r="AE1051" s="8"/>
      <c r="AF1051" s="8"/>
    </row>
    <row r="1052" spans="1:32" ht="14.4" x14ac:dyDescent="0.3">
      <c r="A1052" s="8"/>
      <c r="B1052" s="8"/>
      <c r="C1052" s="8"/>
      <c r="D1052" s="8"/>
      <c r="E1052" s="8"/>
      <c r="F1052" s="8"/>
      <c r="G1052" s="8"/>
      <c r="H1052" s="8"/>
      <c r="I1052" s="8"/>
      <c r="J1052" s="8"/>
      <c r="K1052" s="8"/>
      <c r="L1052" s="8"/>
      <c r="M1052" s="8"/>
      <c r="N1052" s="8"/>
      <c r="O1052" s="8"/>
      <c r="P1052" s="8"/>
      <c r="Q1052" s="8"/>
      <c r="R1052" s="8"/>
      <c r="S1052" s="8"/>
      <c r="T1052" s="8"/>
      <c r="U1052" s="8"/>
      <c r="V1052" s="8"/>
      <c r="W1052" s="8"/>
      <c r="X1052" s="8"/>
      <c r="Y1052" s="8"/>
      <c r="Z1052" s="8"/>
      <c r="AA1052" s="8"/>
      <c r="AB1052" s="8"/>
      <c r="AC1052" s="8"/>
      <c r="AD1052" s="8"/>
      <c r="AE1052" s="8"/>
      <c r="AF1052" s="8"/>
    </row>
    <row r="1053" spans="1:32" ht="14.4" x14ac:dyDescent="0.3">
      <c r="A1053" s="8"/>
      <c r="B1053" s="8"/>
      <c r="C1053" s="8"/>
      <c r="D1053" s="8"/>
      <c r="E1053" s="8"/>
      <c r="F1053" s="8"/>
      <c r="G1053" s="8"/>
      <c r="H1053" s="8"/>
      <c r="I1053" s="8"/>
      <c r="J1053" s="8"/>
      <c r="K1053" s="8"/>
      <c r="L1053" s="8"/>
      <c r="M1053" s="8"/>
      <c r="N1053" s="8"/>
      <c r="O1053" s="8"/>
      <c r="P1053" s="8"/>
      <c r="Q1053" s="8"/>
      <c r="R1053" s="8"/>
      <c r="S1053" s="8"/>
      <c r="T1053" s="8"/>
      <c r="U1053" s="8"/>
      <c r="V1053" s="8"/>
      <c r="W1053" s="8"/>
      <c r="X1053" s="8"/>
      <c r="Y1053" s="8"/>
      <c r="Z1053" s="8"/>
      <c r="AA1053" s="8"/>
      <c r="AB1053" s="8"/>
      <c r="AC1053" s="8"/>
      <c r="AD1053" s="8"/>
      <c r="AE1053" s="8"/>
      <c r="AF1053" s="8"/>
    </row>
    <row r="1054" spans="1:32" ht="14.4" x14ac:dyDescent="0.3">
      <c r="A1054" s="8"/>
      <c r="B1054" s="8"/>
      <c r="C1054" s="8"/>
      <c r="D1054" s="8"/>
      <c r="E1054" s="8"/>
      <c r="F1054" s="8"/>
      <c r="G1054" s="8"/>
      <c r="H1054" s="8"/>
      <c r="I1054" s="8"/>
      <c r="J1054" s="8"/>
      <c r="K1054" s="8"/>
      <c r="L1054" s="8"/>
      <c r="M1054" s="8"/>
      <c r="N1054" s="8"/>
      <c r="O1054" s="8"/>
      <c r="P1054" s="8"/>
      <c r="Q1054" s="8"/>
      <c r="R1054" s="8"/>
      <c r="S1054" s="8"/>
      <c r="T1054" s="8"/>
      <c r="U1054" s="8"/>
      <c r="V1054" s="8"/>
      <c r="W1054" s="8"/>
      <c r="X1054" s="8"/>
      <c r="Y1054" s="8"/>
      <c r="Z1054" s="8"/>
      <c r="AA1054" s="8"/>
      <c r="AB1054" s="8"/>
      <c r="AC1054" s="8"/>
      <c r="AD1054" s="8"/>
      <c r="AE1054" s="8"/>
      <c r="AF1054" s="8"/>
    </row>
    <row r="1055" spans="1:32" ht="14.4" x14ac:dyDescent="0.3">
      <c r="A1055" s="8"/>
      <c r="B1055" s="8"/>
      <c r="C1055" s="8"/>
      <c r="D1055" s="8"/>
      <c r="E1055" s="8"/>
      <c r="F1055" s="8"/>
      <c r="G1055" s="8"/>
      <c r="H1055" s="8"/>
      <c r="I1055" s="8"/>
      <c r="J1055" s="8"/>
      <c r="K1055" s="8"/>
      <c r="L1055" s="8"/>
      <c r="M1055" s="8"/>
      <c r="N1055" s="8"/>
      <c r="O1055" s="8"/>
      <c r="P1055" s="8"/>
      <c r="Q1055" s="8"/>
      <c r="R1055" s="8"/>
      <c r="S1055" s="8"/>
      <c r="T1055" s="8"/>
      <c r="U1055" s="8"/>
      <c r="V1055" s="8"/>
      <c r="W1055" s="8"/>
      <c r="X1055" s="8"/>
      <c r="Y1055" s="8"/>
      <c r="Z1055" s="8"/>
      <c r="AA1055" s="8"/>
      <c r="AB1055" s="8"/>
      <c r="AC1055" s="8"/>
      <c r="AD1055" s="8"/>
      <c r="AE1055" s="8"/>
      <c r="AF1055" s="8"/>
    </row>
    <row r="1056" spans="1:32" ht="14.4" x14ac:dyDescent="0.3">
      <c r="A1056" s="8"/>
      <c r="B1056" s="8"/>
      <c r="C1056" s="8"/>
      <c r="D1056" s="8"/>
      <c r="E1056" s="8"/>
      <c r="F1056" s="8"/>
      <c r="G1056" s="8"/>
      <c r="H1056" s="8"/>
      <c r="I1056" s="8"/>
      <c r="J1056" s="8"/>
      <c r="K1056" s="8"/>
      <c r="L1056" s="8"/>
      <c r="M1056" s="8"/>
      <c r="N1056" s="8"/>
      <c r="O1056" s="8"/>
      <c r="P1056" s="8"/>
      <c r="Q1056" s="8"/>
      <c r="R1056" s="8"/>
      <c r="S1056" s="8"/>
      <c r="T1056" s="8"/>
      <c r="U1056" s="8"/>
      <c r="V1056" s="8"/>
      <c r="W1056" s="8"/>
      <c r="X1056" s="8"/>
      <c r="Y1056" s="8"/>
      <c r="Z1056" s="8"/>
      <c r="AA1056" s="8"/>
      <c r="AB1056" s="8"/>
      <c r="AC1056" s="8"/>
      <c r="AD1056" s="8"/>
      <c r="AE1056" s="8"/>
      <c r="AF1056" s="8"/>
    </row>
    <row r="1057" spans="1:32" ht="14.4" x14ac:dyDescent="0.3">
      <c r="A1057" s="8"/>
      <c r="B1057" s="8"/>
      <c r="C1057" s="8"/>
      <c r="D1057" s="8"/>
      <c r="E1057" s="8"/>
      <c r="F1057" s="8"/>
      <c r="G1057" s="8"/>
      <c r="H1057" s="8"/>
      <c r="I1057" s="8"/>
      <c r="J1057" s="8"/>
      <c r="K1057" s="8"/>
      <c r="L1057" s="8"/>
      <c r="M1057" s="8"/>
      <c r="N1057" s="8"/>
      <c r="O1057" s="8"/>
      <c r="P1057" s="8"/>
      <c r="Q1057" s="8"/>
      <c r="R1057" s="8"/>
      <c r="S1057" s="8"/>
      <c r="T1057" s="8"/>
      <c r="U1057" s="8"/>
      <c r="V1057" s="8"/>
      <c r="W1057" s="8"/>
      <c r="X1057" s="8"/>
      <c r="Y1057" s="8"/>
      <c r="Z1057" s="8"/>
      <c r="AA1057" s="8"/>
      <c r="AB1057" s="8"/>
      <c r="AC1057" s="8"/>
      <c r="AD1057" s="8"/>
      <c r="AE1057" s="8"/>
      <c r="AF1057" s="8"/>
    </row>
    <row r="1058" spans="1:32" ht="14.4" x14ac:dyDescent="0.3">
      <c r="A1058" s="8"/>
      <c r="B1058" s="8"/>
      <c r="C1058" s="8"/>
      <c r="D1058" s="8"/>
      <c r="E1058" s="8"/>
      <c r="F1058" s="8"/>
      <c r="G1058" s="8"/>
      <c r="H1058" s="8"/>
      <c r="I1058" s="8"/>
      <c r="J1058" s="8"/>
      <c r="K1058" s="8"/>
      <c r="L1058" s="8"/>
      <c r="M1058" s="8"/>
      <c r="N1058" s="8"/>
      <c r="O1058" s="8"/>
      <c r="P1058" s="8"/>
      <c r="Q1058" s="8"/>
      <c r="R1058" s="8"/>
      <c r="S1058" s="8"/>
      <c r="T1058" s="8"/>
      <c r="U1058" s="8"/>
      <c r="V1058" s="8"/>
      <c r="W1058" s="8"/>
      <c r="X1058" s="8"/>
      <c r="Y1058" s="8"/>
      <c r="Z1058" s="8"/>
      <c r="AA1058" s="8"/>
      <c r="AB1058" s="8"/>
      <c r="AC1058" s="8"/>
      <c r="AD1058" s="8"/>
      <c r="AE1058" s="8"/>
      <c r="AF1058" s="8"/>
    </row>
    <row r="1059" spans="1:32" ht="14.4" x14ac:dyDescent="0.3">
      <c r="A1059" s="8"/>
      <c r="B1059" s="8"/>
      <c r="C1059" s="8"/>
      <c r="D1059" s="8"/>
      <c r="E1059" s="8"/>
      <c r="F1059" s="8"/>
      <c r="G1059" s="8"/>
      <c r="H1059" s="8"/>
      <c r="I1059" s="8"/>
      <c r="J1059" s="8"/>
      <c r="K1059" s="8"/>
      <c r="L1059" s="8"/>
      <c r="M1059" s="8"/>
      <c r="N1059" s="8"/>
      <c r="O1059" s="8"/>
      <c r="P1059" s="8"/>
      <c r="Q1059" s="8"/>
      <c r="R1059" s="8"/>
      <c r="S1059" s="8"/>
      <c r="T1059" s="8"/>
      <c r="U1059" s="8"/>
      <c r="V1059" s="8"/>
      <c r="W1059" s="8"/>
      <c r="X1059" s="8"/>
      <c r="Y1059" s="8"/>
      <c r="Z1059" s="8"/>
      <c r="AA1059" s="8"/>
      <c r="AB1059" s="8"/>
      <c r="AC1059" s="8"/>
      <c r="AD1059" s="8"/>
      <c r="AE1059" s="8"/>
      <c r="AF1059" s="8"/>
    </row>
    <row r="1060" spans="1:32" ht="14.4" x14ac:dyDescent="0.3">
      <c r="A1060" s="8"/>
      <c r="B1060" s="8"/>
      <c r="C1060" s="8"/>
      <c r="D1060" s="8"/>
      <c r="E1060" s="8"/>
      <c r="F1060" s="8"/>
      <c r="G1060" s="8"/>
      <c r="H1060" s="8"/>
      <c r="I1060" s="8"/>
      <c r="J1060" s="8"/>
      <c r="K1060" s="8"/>
      <c r="L1060" s="8"/>
      <c r="M1060" s="8"/>
      <c r="N1060" s="8"/>
      <c r="O1060" s="8"/>
      <c r="P1060" s="8"/>
      <c r="Q1060" s="8"/>
      <c r="R1060" s="8"/>
      <c r="S1060" s="8"/>
      <c r="T1060" s="8"/>
      <c r="U1060" s="8"/>
      <c r="V1060" s="8"/>
      <c r="W1060" s="8"/>
      <c r="X1060" s="8"/>
      <c r="Y1060" s="8"/>
      <c r="Z1060" s="8"/>
      <c r="AA1060" s="8"/>
      <c r="AB1060" s="8"/>
      <c r="AC1060" s="8"/>
      <c r="AD1060" s="8"/>
      <c r="AE1060" s="8"/>
      <c r="AF1060" s="8"/>
    </row>
    <row r="1061" spans="1:32" ht="14.4" x14ac:dyDescent="0.3">
      <c r="A1061" s="8"/>
      <c r="B1061" s="8"/>
      <c r="C1061" s="8"/>
      <c r="D1061" s="8"/>
      <c r="E1061" s="8"/>
      <c r="F1061" s="8"/>
      <c r="G1061" s="8"/>
      <c r="H1061" s="8"/>
      <c r="I1061" s="8"/>
      <c r="J1061" s="8"/>
      <c r="K1061" s="8"/>
      <c r="L1061" s="8"/>
      <c r="M1061" s="8"/>
      <c r="N1061" s="8"/>
      <c r="O1061" s="8"/>
      <c r="P1061" s="8"/>
      <c r="Q1061" s="8"/>
      <c r="R1061" s="8"/>
      <c r="S1061" s="8"/>
      <c r="T1061" s="8"/>
      <c r="U1061" s="8"/>
      <c r="V1061" s="8"/>
      <c r="W1061" s="8"/>
      <c r="X1061" s="8"/>
      <c r="Y1061" s="8"/>
      <c r="Z1061" s="8"/>
      <c r="AA1061" s="8"/>
      <c r="AB1061" s="8"/>
      <c r="AC1061" s="8"/>
      <c r="AD1061" s="8"/>
      <c r="AE1061" s="8"/>
      <c r="AF1061" s="8"/>
    </row>
    <row r="1062" spans="1:32" ht="14.4" x14ac:dyDescent="0.3">
      <c r="A1062" s="8"/>
      <c r="B1062" s="8"/>
      <c r="C1062" s="8"/>
      <c r="D1062" s="8"/>
      <c r="E1062" s="8"/>
      <c r="F1062" s="8"/>
      <c r="G1062" s="8"/>
      <c r="H1062" s="8"/>
      <c r="I1062" s="8"/>
      <c r="J1062" s="8"/>
      <c r="K1062" s="8"/>
      <c r="L1062" s="8"/>
      <c r="M1062" s="8"/>
      <c r="N1062" s="8"/>
      <c r="O1062" s="8"/>
      <c r="P1062" s="8"/>
      <c r="Q1062" s="8"/>
      <c r="R1062" s="8"/>
      <c r="S1062" s="8"/>
      <c r="T1062" s="8"/>
      <c r="U1062" s="8"/>
      <c r="V1062" s="8"/>
      <c r="W1062" s="8"/>
      <c r="X1062" s="8"/>
      <c r="Y1062" s="8"/>
      <c r="Z1062" s="8"/>
      <c r="AA1062" s="8"/>
      <c r="AB1062" s="8"/>
      <c r="AC1062" s="8"/>
      <c r="AD1062" s="8"/>
      <c r="AE1062" s="8"/>
      <c r="AF1062" s="8"/>
    </row>
    <row r="1063" spans="1:32" ht="14.4" x14ac:dyDescent="0.3">
      <c r="A1063" s="8"/>
      <c r="B1063" s="8"/>
      <c r="C1063" s="8"/>
      <c r="D1063" s="8"/>
      <c r="E1063" s="8"/>
      <c r="F1063" s="8"/>
      <c r="G1063" s="8"/>
      <c r="H1063" s="8"/>
      <c r="I1063" s="8"/>
      <c r="J1063" s="8"/>
      <c r="K1063" s="8"/>
      <c r="L1063" s="8"/>
      <c r="M1063" s="8"/>
      <c r="N1063" s="8"/>
      <c r="O1063" s="8"/>
      <c r="P1063" s="8"/>
      <c r="Q1063" s="8"/>
      <c r="R1063" s="8"/>
      <c r="S1063" s="8"/>
      <c r="T1063" s="8"/>
      <c r="U1063" s="8"/>
      <c r="V1063" s="8"/>
      <c r="W1063" s="8"/>
      <c r="X1063" s="8"/>
      <c r="Y1063" s="8"/>
      <c r="Z1063" s="8"/>
      <c r="AA1063" s="8"/>
      <c r="AB1063" s="8"/>
      <c r="AC1063" s="8"/>
      <c r="AD1063" s="8"/>
      <c r="AE1063" s="8"/>
      <c r="AF1063" s="8"/>
    </row>
    <row r="1064" spans="1:32" ht="14.4" x14ac:dyDescent="0.3">
      <c r="A1064" s="8"/>
      <c r="B1064" s="8"/>
      <c r="C1064" s="8"/>
      <c r="D1064" s="8"/>
      <c r="E1064" s="8"/>
      <c r="F1064" s="8"/>
      <c r="G1064" s="8"/>
      <c r="H1064" s="8"/>
      <c r="I1064" s="8"/>
      <c r="J1064" s="8"/>
      <c r="K1064" s="8"/>
      <c r="L1064" s="8"/>
      <c r="M1064" s="8"/>
      <c r="N1064" s="8"/>
      <c r="O1064" s="8"/>
      <c r="P1064" s="8"/>
      <c r="Q1064" s="8"/>
      <c r="R1064" s="8"/>
      <c r="S1064" s="8"/>
      <c r="T1064" s="8"/>
      <c r="U1064" s="8"/>
      <c r="V1064" s="8"/>
      <c r="W1064" s="8"/>
      <c r="X1064" s="8"/>
      <c r="Y1064" s="8"/>
      <c r="Z1064" s="8"/>
      <c r="AA1064" s="8"/>
      <c r="AB1064" s="8"/>
      <c r="AC1064" s="8"/>
      <c r="AD1064" s="8"/>
      <c r="AE1064" s="8"/>
      <c r="AF1064" s="8"/>
    </row>
    <row r="1065" spans="1:32" ht="14.4" x14ac:dyDescent="0.3">
      <c r="A1065" s="8"/>
      <c r="B1065" s="8"/>
      <c r="C1065" s="8"/>
      <c r="D1065" s="8"/>
      <c r="E1065" s="8"/>
      <c r="F1065" s="8"/>
      <c r="G1065" s="8"/>
      <c r="H1065" s="8"/>
      <c r="I1065" s="8"/>
      <c r="J1065" s="8"/>
      <c r="K1065" s="8"/>
      <c r="L1065" s="8"/>
      <c r="M1065" s="8"/>
      <c r="N1065" s="8"/>
      <c r="O1065" s="8"/>
      <c r="P1065" s="8"/>
      <c r="Q1065" s="8"/>
      <c r="R1065" s="8"/>
      <c r="S1065" s="8"/>
      <c r="T1065" s="8"/>
      <c r="U1065" s="8"/>
      <c r="V1065" s="8"/>
      <c r="W1065" s="8"/>
      <c r="X1065" s="8"/>
      <c r="Y1065" s="8"/>
      <c r="Z1065" s="8"/>
      <c r="AA1065" s="8"/>
      <c r="AB1065" s="8"/>
      <c r="AC1065" s="8"/>
      <c r="AD1065" s="8"/>
      <c r="AE1065" s="8"/>
      <c r="AF1065" s="8"/>
    </row>
    <row r="1066" spans="1:32" ht="14.4" x14ac:dyDescent="0.3">
      <c r="A1066" s="8"/>
      <c r="B1066" s="8"/>
      <c r="C1066" s="8"/>
      <c r="D1066" s="8"/>
      <c r="E1066" s="8"/>
      <c r="F1066" s="8"/>
      <c r="G1066" s="8"/>
      <c r="H1066" s="8"/>
      <c r="I1066" s="8"/>
      <c r="J1066" s="8"/>
      <c r="K1066" s="8"/>
      <c r="L1066" s="8"/>
      <c r="M1066" s="8"/>
      <c r="N1066" s="8"/>
      <c r="O1066" s="8"/>
      <c r="P1066" s="8"/>
      <c r="Q1066" s="8"/>
      <c r="R1066" s="8"/>
      <c r="S1066" s="8"/>
      <c r="T1066" s="8"/>
      <c r="U1066" s="8"/>
      <c r="V1066" s="8"/>
      <c r="W1066" s="8"/>
      <c r="X1066" s="8"/>
      <c r="Y1066" s="8"/>
      <c r="Z1066" s="8"/>
      <c r="AA1066" s="8"/>
      <c r="AB1066" s="8"/>
      <c r="AC1066" s="8"/>
      <c r="AD1066" s="8"/>
      <c r="AE1066" s="8"/>
      <c r="AF1066" s="8"/>
    </row>
    <row r="1067" spans="1:32" ht="14.4" x14ac:dyDescent="0.3">
      <c r="A1067" s="8"/>
      <c r="B1067" s="8"/>
      <c r="C1067" s="8"/>
      <c r="D1067" s="8"/>
      <c r="E1067" s="8"/>
      <c r="F1067" s="8"/>
      <c r="G1067" s="8"/>
      <c r="H1067" s="8"/>
      <c r="I1067" s="8"/>
      <c r="J1067" s="8"/>
      <c r="K1067" s="8"/>
      <c r="L1067" s="8"/>
      <c r="M1067" s="8"/>
      <c r="N1067" s="8"/>
      <c r="O1067" s="8"/>
      <c r="P1067" s="8"/>
      <c r="Q1067" s="8"/>
      <c r="R1067" s="8"/>
      <c r="S1067" s="8"/>
      <c r="T1067" s="8"/>
      <c r="U1067" s="8"/>
      <c r="V1067" s="8"/>
      <c r="W1067" s="8"/>
      <c r="X1067" s="8"/>
      <c r="Y1067" s="8"/>
      <c r="Z1067" s="8"/>
      <c r="AA1067" s="8"/>
      <c r="AB1067" s="8"/>
      <c r="AC1067" s="8"/>
      <c r="AD1067" s="8"/>
      <c r="AE1067" s="8"/>
      <c r="AF1067" s="8"/>
    </row>
    <row r="1068" spans="1:32" ht="14.4" x14ac:dyDescent="0.3">
      <c r="A1068" s="8"/>
      <c r="B1068" s="8"/>
      <c r="C1068" s="8"/>
      <c r="D1068" s="8"/>
      <c r="E1068" s="8"/>
      <c r="F1068" s="8"/>
      <c r="G1068" s="8"/>
      <c r="H1068" s="8"/>
      <c r="I1068" s="8"/>
      <c r="J1068" s="8"/>
      <c r="K1068" s="8"/>
      <c r="L1068" s="8"/>
      <c r="M1068" s="8"/>
      <c r="N1068" s="8"/>
      <c r="O1068" s="8"/>
      <c r="P1068" s="8"/>
      <c r="Q1068" s="8"/>
      <c r="R1068" s="8"/>
      <c r="S1068" s="8"/>
      <c r="T1068" s="8"/>
      <c r="U1068" s="8"/>
      <c r="V1068" s="8"/>
      <c r="W1068" s="8"/>
      <c r="X1068" s="8"/>
      <c r="Y1068" s="8"/>
      <c r="Z1068" s="8"/>
      <c r="AA1068" s="8"/>
      <c r="AB1068" s="8"/>
      <c r="AC1068" s="8"/>
      <c r="AD1068" s="8"/>
      <c r="AE1068" s="8"/>
      <c r="AF1068" s="8"/>
    </row>
    <row r="1069" spans="1:32" ht="14.4" x14ac:dyDescent="0.3">
      <c r="A1069" s="8"/>
      <c r="B1069" s="8"/>
      <c r="C1069" s="8"/>
      <c r="D1069" s="8"/>
      <c r="E1069" s="8"/>
      <c r="F1069" s="8"/>
      <c r="G1069" s="8"/>
      <c r="H1069" s="8"/>
      <c r="I1069" s="8"/>
      <c r="J1069" s="8"/>
      <c r="K1069" s="8"/>
      <c r="L1069" s="8"/>
      <c r="M1069" s="8"/>
      <c r="N1069" s="8"/>
      <c r="O1069" s="8"/>
      <c r="P1069" s="8"/>
      <c r="Q1069" s="8"/>
      <c r="R1069" s="8"/>
      <c r="S1069" s="8"/>
      <c r="T1069" s="8"/>
      <c r="U1069" s="8"/>
      <c r="V1069" s="8"/>
      <c r="W1069" s="8"/>
      <c r="X1069" s="8"/>
      <c r="Y1069" s="8"/>
      <c r="Z1069" s="8"/>
      <c r="AA1069" s="8"/>
      <c r="AB1069" s="8"/>
      <c r="AC1069" s="8"/>
      <c r="AD1069" s="8"/>
      <c r="AE1069" s="8"/>
      <c r="AF1069" s="8"/>
    </row>
    <row r="1070" spans="1:32" ht="14.4" x14ac:dyDescent="0.3">
      <c r="A1070" s="8"/>
      <c r="B1070" s="8"/>
      <c r="C1070" s="8"/>
      <c r="D1070" s="8"/>
      <c r="E1070" s="8"/>
      <c r="F1070" s="8"/>
      <c r="G1070" s="8"/>
      <c r="H1070" s="8"/>
      <c r="I1070" s="8"/>
      <c r="J1070" s="8"/>
      <c r="K1070" s="8"/>
      <c r="L1070" s="8"/>
      <c r="M1070" s="8"/>
      <c r="N1070" s="8"/>
      <c r="O1070" s="8"/>
      <c r="P1070" s="8"/>
      <c r="Q1070" s="8"/>
      <c r="R1070" s="8"/>
      <c r="S1070" s="8"/>
      <c r="T1070" s="8"/>
      <c r="U1070" s="8"/>
      <c r="V1070" s="8"/>
      <c r="W1070" s="8"/>
      <c r="X1070" s="8"/>
      <c r="Y1070" s="8"/>
      <c r="Z1070" s="8"/>
      <c r="AA1070" s="8"/>
      <c r="AB1070" s="8"/>
      <c r="AC1070" s="8"/>
      <c r="AD1070" s="8"/>
      <c r="AE1070" s="8"/>
      <c r="AF1070" s="8"/>
    </row>
    <row r="1071" spans="1:32" ht="14.4" x14ac:dyDescent="0.3">
      <c r="A1071" s="8"/>
      <c r="B1071" s="8"/>
      <c r="C1071" s="8"/>
      <c r="D1071" s="8"/>
      <c r="E1071" s="8"/>
      <c r="F1071" s="8"/>
      <c r="G1071" s="8"/>
      <c r="H1071" s="8"/>
      <c r="I1071" s="8"/>
      <c r="J1071" s="8"/>
      <c r="K1071" s="8"/>
      <c r="L1071" s="8"/>
      <c r="M1071" s="8"/>
      <c r="N1071" s="8"/>
      <c r="O1071" s="8"/>
      <c r="P1071" s="8"/>
      <c r="Q1071" s="8"/>
      <c r="R1071" s="8"/>
      <c r="S1071" s="8"/>
      <c r="T1071" s="8"/>
      <c r="U1071" s="8"/>
      <c r="V1071" s="8"/>
      <c r="W1071" s="8"/>
      <c r="X1071" s="8"/>
      <c r="Y1071" s="8"/>
      <c r="Z1071" s="8"/>
      <c r="AA1071" s="8"/>
      <c r="AB1071" s="8"/>
      <c r="AC1071" s="8"/>
      <c r="AD1071" s="8"/>
      <c r="AE1071" s="8"/>
      <c r="AF1071" s="8"/>
    </row>
    <row r="1072" spans="1:32" ht="14.4" x14ac:dyDescent="0.3">
      <c r="A1072" s="8"/>
      <c r="B1072" s="8"/>
      <c r="C1072" s="8"/>
      <c r="D1072" s="8"/>
      <c r="E1072" s="8"/>
      <c r="F1072" s="8"/>
      <c r="G1072" s="8"/>
      <c r="H1072" s="8"/>
      <c r="I1072" s="8"/>
      <c r="J1072" s="8"/>
      <c r="K1072" s="8"/>
      <c r="L1072" s="8"/>
      <c r="M1072" s="8"/>
      <c r="N1072" s="8"/>
      <c r="O1072" s="8"/>
      <c r="P1072" s="8"/>
      <c r="Q1072" s="8"/>
      <c r="R1072" s="8"/>
      <c r="S1072" s="8"/>
      <c r="T1072" s="8"/>
      <c r="U1072" s="8"/>
      <c r="V1072" s="8"/>
      <c r="W1072" s="8"/>
      <c r="X1072" s="8"/>
      <c r="Y1072" s="8"/>
      <c r="Z1072" s="8"/>
      <c r="AA1072" s="8"/>
      <c r="AB1072" s="8"/>
      <c r="AC1072" s="8"/>
      <c r="AD1072" s="8"/>
      <c r="AE1072" s="8"/>
      <c r="AF1072" s="8"/>
    </row>
    <row r="1073" spans="1:32" ht="14.4" x14ac:dyDescent="0.3">
      <c r="A1073" s="8"/>
      <c r="B1073" s="8"/>
      <c r="C1073" s="8"/>
      <c r="D1073" s="8"/>
      <c r="E1073" s="8"/>
      <c r="F1073" s="8"/>
      <c r="G1073" s="8"/>
      <c r="H1073" s="8"/>
      <c r="I1073" s="8"/>
      <c r="J1073" s="8"/>
      <c r="K1073" s="8"/>
      <c r="L1073" s="8"/>
      <c r="M1073" s="8"/>
      <c r="N1073" s="8"/>
      <c r="O1073" s="8"/>
      <c r="P1073" s="8"/>
      <c r="Q1073" s="8"/>
      <c r="R1073" s="8"/>
      <c r="S1073" s="8"/>
      <c r="T1073" s="8"/>
      <c r="U1073" s="8"/>
      <c r="V1073" s="8"/>
      <c r="W1073" s="8"/>
      <c r="X1073" s="8"/>
      <c r="Y1073" s="8"/>
      <c r="Z1073" s="8"/>
      <c r="AA1073" s="8"/>
      <c r="AB1073" s="8"/>
      <c r="AC1073" s="8"/>
      <c r="AD1073" s="8"/>
      <c r="AE1073" s="8"/>
      <c r="AF1073" s="8"/>
    </row>
    <row r="1074" spans="1:32" ht="14.4" x14ac:dyDescent="0.3">
      <c r="A1074" s="8"/>
      <c r="B1074" s="8"/>
      <c r="C1074" s="8"/>
      <c r="D1074" s="8"/>
      <c r="E1074" s="8"/>
      <c r="F1074" s="8"/>
      <c r="G1074" s="8"/>
      <c r="H1074" s="8"/>
      <c r="I1074" s="8"/>
      <c r="J1074" s="8"/>
      <c r="K1074" s="8"/>
      <c r="L1074" s="8"/>
      <c r="M1074" s="8"/>
      <c r="N1074" s="8"/>
      <c r="O1074" s="8"/>
      <c r="P1074" s="8"/>
      <c r="Q1074" s="8"/>
      <c r="R1074" s="8"/>
      <c r="S1074" s="8"/>
      <c r="T1074" s="8"/>
      <c r="U1074" s="8"/>
      <c r="V1074" s="8"/>
      <c r="W1074" s="8"/>
      <c r="X1074" s="8"/>
      <c r="Y1074" s="8"/>
      <c r="Z1074" s="8"/>
      <c r="AA1074" s="8"/>
      <c r="AB1074" s="8"/>
      <c r="AC1074" s="8"/>
      <c r="AD1074" s="8"/>
      <c r="AE1074" s="8"/>
      <c r="AF1074" s="8"/>
    </row>
    <row r="1075" spans="1:32" ht="14.4" x14ac:dyDescent="0.3">
      <c r="A1075" s="8"/>
      <c r="B1075" s="8"/>
      <c r="C1075" s="8"/>
      <c r="D1075" s="8"/>
      <c r="E1075" s="8"/>
      <c r="F1075" s="8"/>
      <c r="G1075" s="8"/>
      <c r="H1075" s="8"/>
      <c r="I1075" s="8"/>
      <c r="J1075" s="8"/>
      <c r="K1075" s="8"/>
      <c r="L1075" s="8"/>
      <c r="M1075" s="8"/>
      <c r="N1075" s="8"/>
      <c r="O1075" s="8"/>
      <c r="P1075" s="8"/>
      <c r="Q1075" s="8"/>
      <c r="R1075" s="8"/>
      <c r="S1075" s="8"/>
      <c r="T1075" s="8"/>
      <c r="U1075" s="8"/>
      <c r="V1075" s="8"/>
      <c r="W1075" s="8"/>
      <c r="X1075" s="8"/>
      <c r="Y1075" s="8"/>
      <c r="Z1075" s="8"/>
      <c r="AA1075" s="8"/>
      <c r="AB1075" s="8"/>
      <c r="AC1075" s="8"/>
      <c r="AD1075" s="8"/>
      <c r="AE1075" s="8"/>
      <c r="AF1075" s="8"/>
    </row>
    <row r="1076" spans="1:32" ht="14.4" x14ac:dyDescent="0.3">
      <c r="A1076" s="8"/>
      <c r="B1076" s="8"/>
      <c r="C1076" s="8"/>
      <c r="D1076" s="8"/>
      <c r="E1076" s="8"/>
      <c r="F1076" s="8"/>
      <c r="G1076" s="8"/>
      <c r="H1076" s="8"/>
      <c r="I1076" s="8"/>
      <c r="J1076" s="8"/>
      <c r="K1076" s="8"/>
      <c r="L1076" s="8"/>
      <c r="M1076" s="8"/>
      <c r="N1076" s="8"/>
      <c r="O1076" s="8"/>
      <c r="P1076" s="8"/>
      <c r="Q1076" s="8"/>
      <c r="R1076" s="8"/>
      <c r="S1076" s="8"/>
      <c r="T1076" s="8"/>
      <c r="U1076" s="8"/>
      <c r="V1076" s="8"/>
      <c r="W1076" s="8"/>
      <c r="X1076" s="8"/>
      <c r="Y1076" s="8"/>
      <c r="Z1076" s="8"/>
      <c r="AA1076" s="8"/>
      <c r="AB1076" s="8"/>
      <c r="AC1076" s="8"/>
      <c r="AD1076" s="8"/>
      <c r="AE1076" s="8"/>
      <c r="AF1076" s="8"/>
    </row>
    <row r="1077" spans="1:32" ht="14.4" x14ac:dyDescent="0.3">
      <c r="A1077" s="8"/>
      <c r="B1077" s="8"/>
      <c r="C1077" s="8"/>
      <c r="D1077" s="8"/>
      <c r="E1077" s="8"/>
      <c r="F1077" s="8"/>
      <c r="G1077" s="8"/>
      <c r="H1077" s="8"/>
      <c r="I1077" s="8"/>
      <c r="J1077" s="8"/>
      <c r="K1077" s="8"/>
      <c r="L1077" s="8"/>
      <c r="M1077" s="8"/>
      <c r="N1077" s="8"/>
      <c r="O1077" s="8"/>
      <c r="P1077" s="8"/>
      <c r="Q1077" s="8"/>
      <c r="R1077" s="8"/>
      <c r="S1077" s="8"/>
      <c r="T1077" s="8"/>
      <c r="U1077" s="8"/>
      <c r="V1077" s="8"/>
      <c r="W1077" s="8"/>
      <c r="X1077" s="8"/>
      <c r="Y1077" s="8"/>
      <c r="Z1077" s="8"/>
      <c r="AA1077" s="8"/>
      <c r="AB1077" s="8"/>
      <c r="AC1077" s="8"/>
      <c r="AD1077" s="8"/>
      <c r="AE1077" s="8"/>
      <c r="AF1077" s="8"/>
    </row>
    <row r="1078" spans="1:32" ht="14.4" x14ac:dyDescent="0.3">
      <c r="A1078" s="8"/>
      <c r="B1078" s="8"/>
      <c r="C1078" s="8"/>
      <c r="D1078" s="8"/>
      <c r="E1078" s="8"/>
      <c r="F1078" s="8"/>
      <c r="G1078" s="8"/>
      <c r="H1078" s="8"/>
      <c r="I1078" s="8"/>
      <c r="J1078" s="8"/>
      <c r="K1078" s="8"/>
      <c r="L1078" s="8"/>
      <c r="M1078" s="8"/>
      <c r="N1078" s="8"/>
      <c r="O1078" s="8"/>
      <c r="P1078" s="8"/>
      <c r="Q1078" s="8"/>
      <c r="R1078" s="8"/>
      <c r="S1078" s="8"/>
      <c r="T1078" s="8"/>
      <c r="U1078" s="8"/>
      <c r="V1078" s="8"/>
      <c r="W1078" s="8"/>
      <c r="X1078" s="8"/>
      <c r="Y1078" s="8"/>
      <c r="Z1078" s="8"/>
      <c r="AA1078" s="8"/>
      <c r="AB1078" s="8"/>
      <c r="AC1078" s="8"/>
      <c r="AD1078" s="8"/>
      <c r="AE1078" s="8"/>
      <c r="AF1078" s="8"/>
    </row>
    <row r="1079" spans="1:32" ht="14.4" x14ac:dyDescent="0.3">
      <c r="A1079" s="8"/>
      <c r="B1079" s="8"/>
      <c r="C1079" s="8"/>
      <c r="D1079" s="8"/>
      <c r="E1079" s="8"/>
      <c r="F1079" s="8"/>
      <c r="G1079" s="8"/>
      <c r="H1079" s="8"/>
      <c r="I1079" s="8"/>
      <c r="J1079" s="8"/>
      <c r="K1079" s="8"/>
      <c r="L1079" s="8"/>
      <c r="M1079" s="8"/>
      <c r="N1079" s="8"/>
      <c r="O1079" s="8"/>
      <c r="P1079" s="8"/>
      <c r="Q1079" s="8"/>
      <c r="R1079" s="8"/>
      <c r="S1079" s="8"/>
      <c r="T1079" s="8"/>
      <c r="U1079" s="8"/>
      <c r="V1079" s="8"/>
      <c r="W1079" s="8"/>
      <c r="X1079" s="8"/>
      <c r="Y1079" s="8"/>
      <c r="Z1079" s="8"/>
      <c r="AA1079" s="8"/>
      <c r="AB1079" s="8"/>
      <c r="AC1079" s="8"/>
      <c r="AD1079" s="8"/>
      <c r="AE1079" s="8"/>
      <c r="AF1079" s="8"/>
    </row>
    <row r="1080" spans="1:32" ht="14.4" x14ac:dyDescent="0.3">
      <c r="A1080" s="8"/>
      <c r="B1080" s="8"/>
      <c r="C1080" s="8"/>
      <c r="D1080" s="8"/>
      <c r="E1080" s="8"/>
      <c r="F1080" s="8"/>
      <c r="G1080" s="8"/>
      <c r="H1080" s="8"/>
      <c r="I1080" s="8"/>
      <c r="J1080" s="8"/>
      <c r="K1080" s="8"/>
      <c r="L1080" s="8"/>
      <c r="M1080" s="8"/>
      <c r="N1080" s="8"/>
      <c r="O1080" s="8"/>
      <c r="P1080" s="8"/>
      <c r="Q1080" s="8"/>
      <c r="R1080" s="8"/>
      <c r="S1080" s="8"/>
      <c r="T1080" s="8"/>
      <c r="U1080" s="8"/>
      <c r="V1080" s="8"/>
      <c r="W1080" s="8"/>
      <c r="X1080" s="8"/>
      <c r="Y1080" s="8"/>
      <c r="Z1080" s="8"/>
      <c r="AA1080" s="8"/>
      <c r="AB1080" s="8"/>
      <c r="AC1080" s="8"/>
      <c r="AD1080" s="8"/>
      <c r="AE1080" s="8"/>
      <c r="AF1080" s="8"/>
    </row>
    <row r="1081" spans="1:32" ht="14.4" x14ac:dyDescent="0.3">
      <c r="A1081" s="8"/>
      <c r="B1081" s="8"/>
      <c r="C1081" s="8"/>
      <c r="D1081" s="8"/>
      <c r="E1081" s="8"/>
      <c r="F1081" s="8"/>
      <c r="G1081" s="8"/>
      <c r="H1081" s="8"/>
      <c r="I1081" s="8"/>
      <c r="J1081" s="8"/>
      <c r="K1081" s="8"/>
      <c r="L1081" s="8"/>
      <c r="M1081" s="8"/>
      <c r="N1081" s="8"/>
      <c r="O1081" s="8"/>
      <c r="P1081" s="8"/>
      <c r="Q1081" s="8"/>
      <c r="R1081" s="8"/>
      <c r="S1081" s="8"/>
      <c r="T1081" s="8"/>
      <c r="U1081" s="8"/>
      <c r="V1081" s="8"/>
      <c r="W1081" s="8"/>
      <c r="X1081" s="8"/>
      <c r="Y1081" s="8"/>
      <c r="Z1081" s="8"/>
      <c r="AA1081" s="8"/>
      <c r="AB1081" s="8"/>
      <c r="AC1081" s="8"/>
      <c r="AD1081" s="8"/>
      <c r="AE1081" s="8"/>
      <c r="AF1081" s="8"/>
    </row>
    <row r="1082" spans="1:32" ht="14.4" x14ac:dyDescent="0.3">
      <c r="A1082" s="8"/>
      <c r="B1082" s="8"/>
      <c r="C1082" s="8"/>
      <c r="D1082" s="8"/>
      <c r="E1082" s="8"/>
      <c r="F1082" s="8"/>
      <c r="G1082" s="8"/>
      <c r="H1082" s="8"/>
      <c r="I1082" s="8"/>
      <c r="J1082" s="8"/>
      <c r="K1082" s="8"/>
      <c r="L1082" s="8"/>
      <c r="M1082" s="8"/>
      <c r="N1082" s="8"/>
      <c r="O1082" s="8"/>
      <c r="P1082" s="8"/>
      <c r="Q1082" s="8"/>
      <c r="R1082" s="8"/>
      <c r="S1082" s="8"/>
      <c r="T1082" s="8"/>
      <c r="U1082" s="8"/>
      <c r="V1082" s="8"/>
      <c r="W1082" s="8"/>
      <c r="X1082" s="8"/>
      <c r="Y1082" s="8"/>
      <c r="Z1082" s="8"/>
      <c r="AA1082" s="8"/>
      <c r="AB1082" s="8"/>
      <c r="AC1082" s="8"/>
      <c r="AD1082" s="8"/>
      <c r="AE1082" s="8"/>
      <c r="AF1082" s="8"/>
    </row>
    <row r="1083" spans="1:32" ht="14.4" x14ac:dyDescent="0.3">
      <c r="A1083" s="8"/>
      <c r="B1083" s="8"/>
      <c r="C1083" s="8"/>
      <c r="D1083" s="8"/>
      <c r="E1083" s="8"/>
      <c r="F1083" s="8"/>
      <c r="G1083" s="8"/>
      <c r="H1083" s="8"/>
      <c r="I1083" s="8"/>
      <c r="J1083" s="8"/>
      <c r="K1083" s="8"/>
      <c r="L1083" s="8"/>
      <c r="M1083" s="8"/>
      <c r="N1083" s="8"/>
      <c r="O1083" s="8"/>
      <c r="P1083" s="8"/>
      <c r="Q1083" s="8"/>
      <c r="R1083" s="8"/>
      <c r="S1083" s="8"/>
      <c r="T1083" s="8"/>
      <c r="U1083" s="8"/>
      <c r="V1083" s="8"/>
      <c r="W1083" s="8"/>
      <c r="X1083" s="8"/>
      <c r="Y1083" s="8"/>
      <c r="Z1083" s="8"/>
      <c r="AA1083" s="8"/>
      <c r="AB1083" s="8"/>
      <c r="AC1083" s="8"/>
      <c r="AD1083" s="8"/>
      <c r="AE1083" s="8"/>
      <c r="AF1083" s="8"/>
    </row>
    <row r="1084" spans="1:32" ht="14.4" x14ac:dyDescent="0.3">
      <c r="A1084" s="8"/>
      <c r="B1084" s="8"/>
      <c r="C1084" s="8"/>
      <c r="D1084" s="8"/>
      <c r="E1084" s="8"/>
      <c r="F1084" s="8"/>
      <c r="G1084" s="8"/>
      <c r="H1084" s="8"/>
      <c r="I1084" s="8"/>
      <c r="J1084" s="8"/>
      <c r="K1084" s="8"/>
      <c r="L1084" s="8"/>
      <c r="M1084" s="8"/>
      <c r="N1084" s="8"/>
      <c r="O1084" s="8"/>
      <c r="P1084" s="8"/>
      <c r="Q1084" s="8"/>
      <c r="R1084" s="8"/>
      <c r="S1084" s="8"/>
      <c r="T1084" s="8"/>
      <c r="U1084" s="8"/>
      <c r="V1084" s="8"/>
      <c r="W1084" s="8"/>
      <c r="X1084" s="8"/>
      <c r="Y1084" s="8"/>
      <c r="Z1084" s="8"/>
      <c r="AA1084" s="8"/>
      <c r="AB1084" s="8"/>
      <c r="AC1084" s="8"/>
      <c r="AD1084" s="8"/>
      <c r="AE1084" s="8"/>
      <c r="AF1084" s="8"/>
    </row>
    <row r="1085" spans="1:32" ht="14.4" x14ac:dyDescent="0.3">
      <c r="A1085" s="8"/>
      <c r="B1085" s="8"/>
      <c r="C1085" s="8"/>
      <c r="D1085" s="8"/>
      <c r="E1085" s="8"/>
      <c r="F1085" s="8"/>
      <c r="G1085" s="8"/>
      <c r="H1085" s="8"/>
      <c r="I1085" s="8"/>
      <c r="J1085" s="8"/>
      <c r="K1085" s="8"/>
      <c r="L1085" s="8"/>
      <c r="M1085" s="8"/>
      <c r="N1085" s="8"/>
      <c r="O1085" s="8"/>
      <c r="P1085" s="8"/>
      <c r="Q1085" s="8"/>
      <c r="R1085" s="8"/>
      <c r="S1085" s="8"/>
      <c r="T1085" s="8"/>
      <c r="U1085" s="8"/>
      <c r="V1085" s="8"/>
      <c r="W1085" s="8"/>
      <c r="X1085" s="8"/>
      <c r="Y1085" s="8"/>
      <c r="Z1085" s="8"/>
      <c r="AA1085" s="8"/>
      <c r="AB1085" s="8"/>
      <c r="AC1085" s="8"/>
      <c r="AD1085" s="8"/>
      <c r="AE1085" s="8"/>
      <c r="AF1085" s="8"/>
    </row>
    <row r="1086" spans="1:32" ht="14.4" x14ac:dyDescent="0.3">
      <c r="A1086" s="8"/>
      <c r="B1086" s="8"/>
      <c r="C1086" s="8"/>
      <c r="D1086" s="8"/>
      <c r="E1086" s="8"/>
      <c r="F1086" s="8"/>
      <c r="G1086" s="8"/>
      <c r="H1086" s="8"/>
      <c r="I1086" s="8"/>
      <c r="J1086" s="8"/>
      <c r="K1086" s="8"/>
      <c r="L1086" s="8"/>
      <c r="M1086" s="8"/>
      <c r="N1086" s="8"/>
      <c r="O1086" s="8"/>
      <c r="P1086" s="8"/>
      <c r="Q1086" s="8"/>
      <c r="R1086" s="8"/>
      <c r="S1086" s="8"/>
      <c r="T1086" s="8"/>
      <c r="U1086" s="8"/>
      <c r="V1086" s="8"/>
      <c r="W1086" s="8"/>
      <c r="X1086" s="8"/>
      <c r="Y1086" s="8"/>
      <c r="Z1086" s="8"/>
      <c r="AA1086" s="8"/>
      <c r="AB1086" s="8"/>
      <c r="AC1086" s="8"/>
      <c r="AD1086" s="8"/>
      <c r="AE1086" s="8"/>
      <c r="AF1086" s="8"/>
    </row>
    <row r="1087" spans="1:32" ht="14.4" x14ac:dyDescent="0.3">
      <c r="A1087" s="8"/>
      <c r="B1087" s="8"/>
      <c r="C1087" s="8"/>
      <c r="D1087" s="8"/>
      <c r="E1087" s="8"/>
      <c r="F1087" s="8"/>
      <c r="G1087" s="8"/>
      <c r="H1087" s="8"/>
      <c r="I1087" s="8"/>
      <c r="J1087" s="8"/>
      <c r="K1087" s="8"/>
      <c r="L1087" s="8"/>
      <c r="M1087" s="8"/>
      <c r="N1087" s="8"/>
      <c r="O1087" s="8"/>
      <c r="P1087" s="8"/>
      <c r="Q1087" s="8"/>
      <c r="R1087" s="8"/>
      <c r="S1087" s="8"/>
      <c r="T1087" s="8"/>
      <c r="U1087" s="8"/>
      <c r="V1087" s="8"/>
      <c r="W1087" s="8"/>
      <c r="X1087" s="8"/>
      <c r="Y1087" s="8"/>
      <c r="Z1087" s="8"/>
      <c r="AA1087" s="8"/>
      <c r="AB1087" s="8"/>
      <c r="AC1087" s="8"/>
      <c r="AD1087" s="8"/>
      <c r="AE1087" s="8"/>
      <c r="AF1087" s="8"/>
    </row>
    <row r="1088" spans="1:32" ht="14.4" x14ac:dyDescent="0.3">
      <c r="A1088" s="8"/>
      <c r="B1088" s="8"/>
      <c r="C1088" s="8"/>
      <c r="D1088" s="8"/>
      <c r="E1088" s="8"/>
      <c r="F1088" s="8"/>
      <c r="G1088" s="8"/>
      <c r="H1088" s="8"/>
      <c r="I1088" s="8"/>
      <c r="J1088" s="8"/>
      <c r="K1088" s="8"/>
      <c r="L1088" s="8"/>
      <c r="M1088" s="8"/>
      <c r="N1088" s="8"/>
      <c r="O1088" s="8"/>
      <c r="P1088" s="8"/>
      <c r="Q1088" s="8"/>
      <c r="R1088" s="8"/>
      <c r="S1088" s="8"/>
      <c r="T1088" s="8"/>
      <c r="U1088" s="8"/>
      <c r="V1088" s="8"/>
      <c r="W1088" s="8"/>
      <c r="X1088" s="8"/>
      <c r="Y1088" s="8"/>
      <c r="Z1088" s="8"/>
      <c r="AA1088" s="8"/>
      <c r="AB1088" s="8"/>
      <c r="AC1088" s="8"/>
      <c r="AD1088" s="8"/>
      <c r="AE1088" s="8"/>
      <c r="AF1088" s="8"/>
    </row>
    <row r="1089" spans="1:32" ht="14.4" x14ac:dyDescent="0.3">
      <c r="A1089" s="8"/>
      <c r="B1089" s="8"/>
      <c r="C1089" s="8"/>
      <c r="D1089" s="8"/>
      <c r="E1089" s="8"/>
      <c r="F1089" s="8"/>
      <c r="G1089" s="8"/>
      <c r="H1089" s="8"/>
      <c r="I1089" s="8"/>
      <c r="J1089" s="8"/>
      <c r="K1089" s="8"/>
      <c r="L1089" s="8"/>
      <c r="M1089" s="8"/>
      <c r="N1089" s="8"/>
      <c r="O1089" s="8"/>
      <c r="P1089" s="8"/>
      <c r="Q1089" s="8"/>
      <c r="R1089" s="8"/>
      <c r="S1089" s="8"/>
      <c r="T1089" s="8"/>
      <c r="U1089" s="8"/>
      <c r="V1089" s="8"/>
      <c r="W1089" s="8"/>
      <c r="X1089" s="8"/>
      <c r="Y1089" s="8"/>
      <c r="Z1089" s="8"/>
      <c r="AA1089" s="8"/>
      <c r="AB1089" s="8"/>
      <c r="AC1089" s="8"/>
      <c r="AD1089" s="8"/>
      <c r="AE1089" s="8"/>
      <c r="AF1089" s="8"/>
    </row>
    <row r="1090" spans="1:32" ht="14.4" x14ac:dyDescent="0.3">
      <c r="A1090" s="8"/>
      <c r="B1090" s="8"/>
      <c r="C1090" s="8"/>
      <c r="D1090" s="8"/>
      <c r="E1090" s="8"/>
      <c r="F1090" s="8"/>
      <c r="G1090" s="8"/>
      <c r="H1090" s="8"/>
      <c r="I1090" s="8"/>
      <c r="J1090" s="8"/>
      <c r="K1090" s="8"/>
      <c r="L1090" s="8"/>
      <c r="M1090" s="8"/>
      <c r="N1090" s="8"/>
      <c r="O1090" s="8"/>
      <c r="P1090" s="8"/>
      <c r="Q1090" s="8"/>
      <c r="R1090" s="8"/>
      <c r="S1090" s="8"/>
      <c r="T1090" s="8"/>
      <c r="U1090" s="8"/>
      <c r="V1090" s="8"/>
      <c r="W1090" s="8"/>
      <c r="X1090" s="8"/>
      <c r="Y1090" s="8"/>
      <c r="Z1090" s="8"/>
      <c r="AA1090" s="8"/>
      <c r="AB1090" s="8"/>
      <c r="AC1090" s="8"/>
      <c r="AD1090" s="8"/>
      <c r="AE1090" s="8"/>
      <c r="AF1090" s="8"/>
    </row>
    <row r="1091" spans="1:32" ht="14.4" x14ac:dyDescent="0.3">
      <c r="A1091" s="8"/>
      <c r="B1091" s="8"/>
      <c r="C1091" s="8"/>
      <c r="D1091" s="8"/>
      <c r="E1091" s="8"/>
      <c r="F1091" s="8"/>
      <c r="G1091" s="8"/>
      <c r="H1091" s="8"/>
      <c r="I1091" s="8"/>
      <c r="J1091" s="8"/>
      <c r="K1091" s="8"/>
      <c r="L1091" s="8"/>
      <c r="M1091" s="8"/>
      <c r="N1091" s="8"/>
      <c r="O1091" s="8"/>
      <c r="P1091" s="8"/>
      <c r="Q1091" s="8"/>
      <c r="R1091" s="8"/>
      <c r="S1091" s="8"/>
      <c r="T1091" s="8"/>
      <c r="U1091" s="8"/>
      <c r="V1091" s="8"/>
      <c r="W1091" s="8"/>
      <c r="X1091" s="8"/>
      <c r="Y1091" s="8"/>
      <c r="Z1091" s="8"/>
      <c r="AA1091" s="8"/>
      <c r="AB1091" s="8"/>
      <c r="AC1091" s="8"/>
      <c r="AD1091" s="8"/>
      <c r="AE1091" s="8"/>
      <c r="AF1091" s="8"/>
    </row>
    <row r="1092" spans="1:32" ht="14.4" x14ac:dyDescent="0.3">
      <c r="A1092" s="8"/>
      <c r="B1092" s="8"/>
      <c r="C1092" s="8"/>
      <c r="D1092" s="8"/>
      <c r="E1092" s="8"/>
      <c r="F1092" s="8"/>
      <c r="G1092" s="8"/>
      <c r="H1092" s="8"/>
      <c r="I1092" s="8"/>
      <c r="J1092" s="8"/>
      <c r="K1092" s="8"/>
      <c r="L1092" s="8"/>
      <c r="M1092" s="8"/>
      <c r="N1092" s="8"/>
      <c r="O1092" s="8"/>
      <c r="P1092" s="8"/>
      <c r="Q1092" s="8"/>
      <c r="R1092" s="8"/>
      <c r="S1092" s="8"/>
      <c r="T1092" s="8"/>
      <c r="U1092" s="8"/>
      <c r="V1092" s="8"/>
      <c r="W1092" s="8"/>
      <c r="X1092" s="8"/>
      <c r="Y1092" s="8"/>
      <c r="Z1092" s="8"/>
      <c r="AA1092" s="8"/>
      <c r="AB1092" s="8"/>
      <c r="AC1092" s="8"/>
      <c r="AD1092" s="8"/>
      <c r="AE1092" s="8"/>
      <c r="AF1092" s="8"/>
    </row>
    <row r="1093" spans="1:32" ht="14.4" x14ac:dyDescent="0.3">
      <c r="A1093" s="8"/>
      <c r="B1093" s="8"/>
      <c r="C1093" s="8"/>
      <c r="D1093" s="8"/>
      <c r="E1093" s="8"/>
      <c r="F1093" s="8"/>
      <c r="G1093" s="8"/>
      <c r="H1093" s="8"/>
      <c r="I1093" s="8"/>
      <c r="J1093" s="8"/>
      <c r="K1093" s="8"/>
      <c r="L1093" s="8"/>
      <c r="M1093" s="8"/>
      <c r="N1093" s="8"/>
      <c r="O1093" s="8"/>
      <c r="P1093" s="8"/>
      <c r="Q1093" s="8"/>
      <c r="R1093" s="8"/>
      <c r="S1093" s="8"/>
      <c r="T1093" s="8"/>
      <c r="U1093" s="8"/>
      <c r="V1093" s="8"/>
      <c r="W1093" s="8"/>
      <c r="X1093" s="8"/>
      <c r="Y1093" s="8"/>
      <c r="Z1093" s="8"/>
      <c r="AA1093" s="8"/>
      <c r="AB1093" s="8"/>
      <c r="AC1093" s="8"/>
      <c r="AD1093" s="8"/>
      <c r="AE1093" s="8"/>
      <c r="AF1093" s="8"/>
    </row>
    <row r="1094" spans="1:32" ht="14.4" x14ac:dyDescent="0.3">
      <c r="A1094" s="8"/>
      <c r="B1094" s="8"/>
      <c r="C1094" s="8"/>
      <c r="D1094" s="8"/>
      <c r="E1094" s="8"/>
      <c r="F1094" s="8"/>
      <c r="G1094" s="8"/>
      <c r="H1094" s="8"/>
      <c r="I1094" s="8"/>
      <c r="J1094" s="8"/>
      <c r="K1094" s="8"/>
      <c r="L1094" s="8"/>
      <c r="M1094" s="8"/>
      <c r="N1094" s="8"/>
      <c r="O1094" s="8"/>
      <c r="P1094" s="8"/>
      <c r="Q1094" s="8"/>
      <c r="R1094" s="8"/>
      <c r="S1094" s="8"/>
      <c r="T1094" s="8"/>
      <c r="U1094" s="8"/>
      <c r="V1094" s="8"/>
      <c r="W1094" s="8"/>
      <c r="X1094" s="8"/>
      <c r="Y1094" s="8"/>
      <c r="Z1094" s="8"/>
      <c r="AA1094" s="8"/>
      <c r="AB1094" s="8"/>
      <c r="AC1094" s="8"/>
      <c r="AD1094" s="8"/>
      <c r="AE1094" s="8"/>
      <c r="AF1094" s="8"/>
    </row>
    <row r="1095" spans="1:32" ht="14.4" x14ac:dyDescent="0.3">
      <c r="A1095" s="8"/>
      <c r="B1095" s="8"/>
      <c r="C1095" s="8"/>
      <c r="D1095" s="8"/>
      <c r="E1095" s="8"/>
      <c r="F1095" s="8"/>
      <c r="G1095" s="8"/>
      <c r="H1095" s="8"/>
      <c r="I1095" s="8"/>
      <c r="J1095" s="8"/>
      <c r="K1095" s="8"/>
      <c r="L1095" s="8"/>
      <c r="M1095" s="8"/>
      <c r="N1095" s="8"/>
      <c r="O1095" s="8"/>
      <c r="P1095" s="8"/>
      <c r="Q1095" s="8"/>
      <c r="R1095" s="8"/>
      <c r="S1095" s="8"/>
      <c r="T1095" s="8"/>
      <c r="U1095" s="8"/>
      <c r="V1095" s="8"/>
      <c r="W1095" s="8"/>
      <c r="X1095" s="8"/>
      <c r="Y1095" s="8"/>
      <c r="Z1095" s="8"/>
      <c r="AA1095" s="8"/>
      <c r="AB1095" s="8"/>
      <c r="AC1095" s="8"/>
      <c r="AD1095" s="8"/>
      <c r="AE1095" s="8"/>
      <c r="AF1095" s="8"/>
    </row>
    <row r="1096" spans="1:32" ht="14.4" x14ac:dyDescent="0.3">
      <c r="A1096" s="8"/>
      <c r="B1096" s="8"/>
      <c r="C1096" s="8"/>
      <c r="D1096" s="8"/>
      <c r="E1096" s="8"/>
      <c r="F1096" s="8"/>
      <c r="G1096" s="8"/>
      <c r="H1096" s="8"/>
      <c r="I1096" s="8"/>
      <c r="J1096" s="8"/>
      <c r="K1096" s="8"/>
      <c r="L1096" s="8"/>
      <c r="M1096" s="8"/>
      <c r="N1096" s="8"/>
      <c r="O1096" s="8"/>
      <c r="P1096" s="8"/>
      <c r="Q1096" s="8"/>
      <c r="R1096" s="8"/>
      <c r="S1096" s="8"/>
      <c r="T1096" s="8"/>
      <c r="U1096" s="8"/>
      <c r="V1096" s="8"/>
      <c r="W1096" s="8"/>
      <c r="X1096" s="8"/>
      <c r="Y1096" s="8"/>
      <c r="Z1096" s="8"/>
      <c r="AA1096" s="8"/>
      <c r="AB1096" s="8"/>
      <c r="AC1096" s="8"/>
      <c r="AD1096" s="8"/>
      <c r="AE1096" s="8"/>
      <c r="AF1096" s="8"/>
    </row>
    <row r="1097" spans="1:32" ht="14.4" x14ac:dyDescent="0.3">
      <c r="A1097" s="8"/>
      <c r="B1097" s="8"/>
      <c r="C1097" s="8"/>
      <c r="D1097" s="8"/>
      <c r="E1097" s="8"/>
      <c r="F1097" s="8"/>
      <c r="G1097" s="8"/>
      <c r="H1097" s="8"/>
      <c r="I1097" s="8"/>
      <c r="J1097" s="8"/>
      <c r="K1097" s="8"/>
      <c r="L1097" s="8"/>
      <c r="M1097" s="8"/>
      <c r="N1097" s="8"/>
      <c r="O1097" s="8"/>
      <c r="P1097" s="8"/>
      <c r="Q1097" s="8"/>
      <c r="R1097" s="8"/>
      <c r="S1097" s="8"/>
      <c r="T1097" s="8"/>
      <c r="U1097" s="8"/>
      <c r="V1097" s="8"/>
      <c r="W1097" s="8"/>
      <c r="X1097" s="8"/>
      <c r="Y1097" s="8"/>
      <c r="Z1097" s="8"/>
      <c r="AA1097" s="8"/>
      <c r="AB1097" s="8"/>
      <c r="AC1097" s="8"/>
      <c r="AD1097" s="8"/>
      <c r="AE1097" s="8"/>
      <c r="AF1097" s="8"/>
    </row>
    <row r="1098" spans="1:32" ht="14.4" x14ac:dyDescent="0.3">
      <c r="A1098" s="8"/>
      <c r="B1098" s="8"/>
      <c r="C1098" s="8"/>
      <c r="D1098" s="8"/>
      <c r="E1098" s="8"/>
      <c r="F1098" s="8"/>
      <c r="G1098" s="8"/>
      <c r="H1098" s="8"/>
      <c r="I1098" s="8"/>
      <c r="J1098" s="8"/>
      <c r="K1098" s="8"/>
      <c r="L1098" s="8"/>
      <c r="M1098" s="8"/>
      <c r="N1098" s="8"/>
      <c r="O1098" s="8"/>
      <c r="P1098" s="8"/>
      <c r="Q1098" s="8"/>
      <c r="R1098" s="8"/>
      <c r="S1098" s="8"/>
      <c r="T1098" s="8"/>
      <c r="U1098" s="8"/>
      <c r="V1098" s="8"/>
      <c r="W1098" s="8"/>
      <c r="X1098" s="8"/>
      <c r="Y1098" s="8"/>
      <c r="Z1098" s="8"/>
      <c r="AA1098" s="8"/>
      <c r="AB1098" s="8"/>
      <c r="AC1098" s="8"/>
      <c r="AD1098" s="8"/>
      <c r="AE1098" s="8"/>
      <c r="AF1098" s="8"/>
    </row>
    <row r="1099" spans="1:32" ht="14.4" x14ac:dyDescent="0.3">
      <c r="A1099" s="8"/>
      <c r="B1099" s="8"/>
      <c r="C1099" s="8"/>
      <c r="D1099" s="8"/>
      <c r="E1099" s="8"/>
      <c r="F1099" s="8"/>
      <c r="G1099" s="8"/>
      <c r="H1099" s="8"/>
      <c r="I1099" s="8"/>
      <c r="J1099" s="8"/>
      <c r="K1099" s="8"/>
      <c r="L1099" s="8"/>
      <c r="M1099" s="8"/>
      <c r="N1099" s="8"/>
      <c r="O1099" s="8"/>
      <c r="P1099" s="8"/>
      <c r="Q1099" s="8"/>
      <c r="R1099" s="8"/>
      <c r="S1099" s="8"/>
      <c r="T1099" s="8"/>
      <c r="U1099" s="8"/>
      <c r="V1099" s="8"/>
      <c r="W1099" s="8"/>
      <c r="X1099" s="8"/>
      <c r="Y1099" s="8"/>
      <c r="Z1099" s="8"/>
      <c r="AA1099" s="8"/>
      <c r="AB1099" s="8"/>
      <c r="AC1099" s="8"/>
      <c r="AD1099" s="8"/>
      <c r="AE1099" s="8"/>
      <c r="AF1099" s="8"/>
    </row>
    <row r="1100" spans="1:32" ht="14.4" x14ac:dyDescent="0.3">
      <c r="A1100" s="8"/>
      <c r="B1100" s="8"/>
      <c r="C1100" s="8"/>
      <c r="D1100" s="8"/>
      <c r="E1100" s="8"/>
      <c r="F1100" s="8"/>
      <c r="G1100" s="8"/>
      <c r="H1100" s="8"/>
      <c r="I1100" s="8"/>
      <c r="J1100" s="8"/>
      <c r="K1100" s="8"/>
      <c r="L1100" s="8"/>
      <c r="M1100" s="8"/>
      <c r="N1100" s="8"/>
      <c r="O1100" s="8"/>
      <c r="P1100" s="8"/>
      <c r="Q1100" s="8"/>
      <c r="R1100" s="8"/>
      <c r="S1100" s="8"/>
      <c r="T1100" s="8"/>
      <c r="U1100" s="8"/>
      <c r="V1100" s="8"/>
      <c r="W1100" s="8"/>
      <c r="X1100" s="8"/>
      <c r="Y1100" s="8"/>
      <c r="Z1100" s="8"/>
      <c r="AA1100" s="8"/>
      <c r="AB1100" s="8"/>
      <c r="AC1100" s="8"/>
      <c r="AD1100" s="8"/>
      <c r="AE1100" s="8"/>
      <c r="AF1100" s="8"/>
    </row>
    <row r="1101" spans="1:32" ht="14.4" x14ac:dyDescent="0.3">
      <c r="A1101" s="8"/>
      <c r="B1101" s="8"/>
      <c r="C1101" s="8"/>
      <c r="D1101" s="8"/>
      <c r="E1101" s="8"/>
      <c r="F1101" s="8"/>
      <c r="G1101" s="8"/>
      <c r="H1101" s="8"/>
      <c r="I1101" s="8"/>
      <c r="J1101" s="8"/>
      <c r="K1101" s="8"/>
      <c r="L1101" s="8"/>
      <c r="M1101" s="8"/>
      <c r="N1101" s="8"/>
      <c r="O1101" s="8"/>
      <c r="P1101" s="8"/>
      <c r="Q1101" s="8"/>
      <c r="R1101" s="8"/>
      <c r="S1101" s="8"/>
      <c r="T1101" s="8"/>
      <c r="U1101" s="8"/>
      <c r="V1101" s="8"/>
      <c r="W1101" s="8"/>
      <c r="X1101" s="8"/>
      <c r="Y1101" s="8"/>
      <c r="Z1101" s="8"/>
      <c r="AA1101" s="8"/>
      <c r="AB1101" s="8"/>
      <c r="AC1101" s="8"/>
      <c r="AD1101" s="8"/>
      <c r="AE1101" s="8"/>
      <c r="AF1101" s="8"/>
    </row>
    <row r="1102" spans="1:32" ht="14.4" x14ac:dyDescent="0.3">
      <c r="A1102" s="8"/>
      <c r="B1102" s="8"/>
      <c r="C1102" s="8"/>
      <c r="D1102" s="8"/>
      <c r="E1102" s="8"/>
      <c r="F1102" s="8"/>
      <c r="G1102" s="8"/>
      <c r="H1102" s="8"/>
      <c r="I1102" s="8"/>
      <c r="J1102" s="8"/>
      <c r="K1102" s="8"/>
      <c r="L1102" s="8"/>
      <c r="M1102" s="8"/>
      <c r="N1102" s="8"/>
      <c r="O1102" s="8"/>
      <c r="P1102" s="8"/>
      <c r="Q1102" s="8"/>
      <c r="R1102" s="8"/>
      <c r="S1102" s="8"/>
      <c r="T1102" s="8"/>
      <c r="U1102" s="8"/>
      <c r="V1102" s="8"/>
      <c r="W1102" s="8"/>
      <c r="X1102" s="8"/>
      <c r="Y1102" s="8"/>
      <c r="Z1102" s="8"/>
      <c r="AA1102" s="8"/>
      <c r="AB1102" s="8"/>
      <c r="AC1102" s="8"/>
      <c r="AD1102" s="8"/>
      <c r="AE1102" s="8"/>
      <c r="AF1102" s="8"/>
    </row>
    <row r="1103" spans="1:32" ht="14.4" x14ac:dyDescent="0.3">
      <c r="A1103" s="8"/>
      <c r="B1103" s="8"/>
      <c r="C1103" s="8"/>
      <c r="D1103" s="8"/>
      <c r="E1103" s="8"/>
      <c r="F1103" s="8"/>
      <c r="G1103" s="8"/>
      <c r="H1103" s="8"/>
      <c r="I1103" s="8"/>
      <c r="J1103" s="8"/>
      <c r="K1103" s="8"/>
      <c r="L1103" s="8"/>
      <c r="M1103" s="8"/>
      <c r="N1103" s="8"/>
      <c r="O1103" s="8"/>
      <c r="P1103" s="8"/>
      <c r="Q1103" s="8"/>
      <c r="R1103" s="8"/>
      <c r="S1103" s="8"/>
      <c r="T1103" s="8"/>
      <c r="U1103" s="8"/>
      <c r="V1103" s="8"/>
      <c r="W1103" s="8"/>
      <c r="X1103" s="8"/>
      <c r="Y1103" s="8"/>
      <c r="Z1103" s="8"/>
      <c r="AA1103" s="8"/>
      <c r="AB1103" s="8"/>
      <c r="AC1103" s="8"/>
      <c r="AD1103" s="8"/>
      <c r="AE1103" s="8"/>
      <c r="AF1103" s="8"/>
    </row>
    <row r="1104" spans="1:32" ht="14.4" x14ac:dyDescent="0.3">
      <c r="A1104" s="8"/>
      <c r="B1104" s="8"/>
      <c r="C1104" s="8"/>
      <c r="D1104" s="8"/>
      <c r="E1104" s="8"/>
      <c r="F1104" s="8"/>
      <c r="G1104" s="8"/>
      <c r="H1104" s="8"/>
      <c r="I1104" s="8"/>
      <c r="J1104" s="8"/>
      <c r="K1104" s="8"/>
      <c r="L1104" s="8"/>
      <c r="M1104" s="8"/>
      <c r="N1104" s="8"/>
      <c r="O1104" s="8"/>
      <c r="P1104" s="8"/>
      <c r="Q1104" s="8"/>
      <c r="R1104" s="8"/>
      <c r="S1104" s="8"/>
      <c r="T1104" s="8"/>
      <c r="U1104" s="8"/>
      <c r="V1104" s="8"/>
      <c r="W1104" s="8"/>
      <c r="X1104" s="8"/>
      <c r="Y1104" s="8"/>
      <c r="Z1104" s="8"/>
      <c r="AA1104" s="8"/>
      <c r="AB1104" s="8"/>
      <c r="AC1104" s="8"/>
      <c r="AD1104" s="8"/>
      <c r="AE1104" s="8"/>
      <c r="AF1104" s="8"/>
    </row>
    <row r="1105" spans="1:32" ht="14.4" x14ac:dyDescent="0.3">
      <c r="A1105" s="8"/>
      <c r="B1105" s="8"/>
      <c r="C1105" s="8"/>
      <c r="D1105" s="8"/>
      <c r="E1105" s="8"/>
      <c r="F1105" s="8"/>
      <c r="G1105" s="8"/>
      <c r="H1105" s="8"/>
      <c r="I1105" s="8"/>
      <c r="J1105" s="8"/>
      <c r="K1105" s="8"/>
      <c r="L1105" s="8"/>
      <c r="M1105" s="8"/>
      <c r="N1105" s="8"/>
      <c r="O1105" s="8"/>
      <c r="P1105" s="8"/>
      <c r="Q1105" s="8"/>
      <c r="R1105" s="8"/>
      <c r="S1105" s="8"/>
      <c r="T1105" s="8"/>
      <c r="U1105" s="8"/>
      <c r="V1105" s="8"/>
      <c r="W1105" s="8"/>
      <c r="X1105" s="8"/>
      <c r="Y1105" s="8"/>
      <c r="Z1105" s="8"/>
      <c r="AA1105" s="8"/>
      <c r="AB1105" s="8"/>
      <c r="AC1105" s="8"/>
      <c r="AD1105" s="8"/>
      <c r="AE1105" s="8"/>
      <c r="AF1105" s="8"/>
    </row>
    <row r="1106" spans="1:32" ht="14.4" x14ac:dyDescent="0.3">
      <c r="A1106" s="8"/>
      <c r="B1106" s="8"/>
      <c r="C1106" s="8"/>
      <c r="D1106" s="8"/>
      <c r="E1106" s="8"/>
      <c r="F1106" s="8"/>
      <c r="G1106" s="8"/>
      <c r="H1106" s="8"/>
      <c r="I1106" s="8"/>
      <c r="J1106" s="8"/>
      <c r="K1106" s="8"/>
      <c r="L1106" s="8"/>
      <c r="M1106" s="8"/>
      <c r="N1106" s="8"/>
      <c r="O1106" s="8"/>
      <c r="P1106" s="8"/>
      <c r="Q1106" s="8"/>
      <c r="R1106" s="8"/>
      <c r="S1106" s="8"/>
      <c r="T1106" s="8"/>
      <c r="U1106" s="8"/>
      <c r="V1106" s="8"/>
      <c r="W1106" s="8"/>
      <c r="X1106" s="8"/>
      <c r="Y1106" s="8"/>
      <c r="Z1106" s="8"/>
      <c r="AA1106" s="8"/>
      <c r="AB1106" s="8"/>
      <c r="AC1106" s="8"/>
      <c r="AD1106" s="8"/>
      <c r="AE1106" s="8"/>
      <c r="AF1106" s="8"/>
    </row>
    <row r="1107" spans="1:32" ht="14.4" x14ac:dyDescent="0.3">
      <c r="A1107" s="8"/>
      <c r="B1107" s="8"/>
      <c r="C1107" s="8"/>
      <c r="D1107" s="8"/>
      <c r="E1107" s="8"/>
      <c r="F1107" s="8"/>
      <c r="G1107" s="8"/>
      <c r="H1107" s="8"/>
      <c r="I1107" s="8"/>
      <c r="J1107" s="8"/>
      <c r="K1107" s="8"/>
      <c r="L1107" s="8"/>
      <c r="M1107" s="8"/>
      <c r="N1107" s="8"/>
      <c r="O1107" s="8"/>
      <c r="P1107" s="8"/>
      <c r="Q1107" s="8"/>
      <c r="R1107" s="8"/>
      <c r="S1107" s="8"/>
      <c r="T1107" s="8"/>
      <c r="U1107" s="8"/>
      <c r="V1107" s="8"/>
      <c r="W1107" s="8"/>
      <c r="X1107" s="8"/>
      <c r="Y1107" s="8"/>
      <c r="Z1107" s="8"/>
      <c r="AA1107" s="8"/>
      <c r="AB1107" s="8"/>
      <c r="AC1107" s="8"/>
      <c r="AD1107" s="8"/>
      <c r="AE1107" s="8"/>
      <c r="AF1107" s="8"/>
    </row>
    <row r="1108" spans="1:32" ht="14.4" x14ac:dyDescent="0.3">
      <c r="A1108" s="8"/>
      <c r="B1108" s="8"/>
      <c r="C1108" s="8"/>
      <c r="D1108" s="8"/>
      <c r="E1108" s="8"/>
      <c r="F1108" s="8"/>
      <c r="G1108" s="8"/>
      <c r="H1108" s="8"/>
      <c r="I1108" s="8"/>
      <c r="J1108" s="8"/>
      <c r="K1108" s="8"/>
      <c r="L1108" s="8"/>
      <c r="M1108" s="8"/>
      <c r="N1108" s="8"/>
      <c r="O1108" s="8"/>
      <c r="P1108" s="8"/>
      <c r="Q1108" s="8"/>
      <c r="R1108" s="8"/>
      <c r="S1108" s="8"/>
      <c r="T1108" s="8"/>
      <c r="U1108" s="8"/>
      <c r="V1108" s="8"/>
      <c r="W1108" s="8"/>
      <c r="X1108" s="8"/>
      <c r="Y1108" s="8"/>
      <c r="Z1108" s="8"/>
      <c r="AA1108" s="8"/>
      <c r="AB1108" s="8"/>
      <c r="AC1108" s="8"/>
      <c r="AD1108" s="8"/>
      <c r="AE1108" s="8"/>
      <c r="AF1108" s="8"/>
    </row>
    <row r="1109" spans="1:32" ht="14.4" x14ac:dyDescent="0.3">
      <c r="A1109" s="8"/>
      <c r="B1109" s="8"/>
      <c r="C1109" s="8"/>
      <c r="D1109" s="8"/>
      <c r="E1109" s="8"/>
      <c r="F1109" s="8"/>
      <c r="G1109" s="8"/>
      <c r="H1109" s="8"/>
      <c r="I1109" s="8"/>
      <c r="J1109" s="8"/>
      <c r="K1109" s="8"/>
      <c r="L1109" s="8"/>
      <c r="M1109" s="8"/>
      <c r="N1109" s="8"/>
      <c r="O1109" s="8"/>
      <c r="P1109" s="8"/>
      <c r="Q1109" s="8"/>
      <c r="R1109" s="8"/>
      <c r="S1109" s="8"/>
      <c r="T1109" s="8"/>
      <c r="U1109" s="8"/>
      <c r="V1109" s="8"/>
      <c r="W1109" s="8"/>
      <c r="X1109" s="8"/>
      <c r="Y1109" s="8"/>
      <c r="Z1109" s="8"/>
      <c r="AA1109" s="8"/>
      <c r="AB1109" s="8"/>
      <c r="AC1109" s="8"/>
      <c r="AD1109" s="8"/>
      <c r="AE1109" s="8"/>
      <c r="AF1109" s="8"/>
    </row>
    <row r="1110" spans="1:32" ht="14.4" x14ac:dyDescent="0.3">
      <c r="A1110" s="8"/>
      <c r="B1110" s="8"/>
      <c r="C1110" s="8"/>
      <c r="D1110" s="8"/>
      <c r="E1110" s="8"/>
      <c r="F1110" s="8"/>
      <c r="G1110" s="8"/>
      <c r="H1110" s="8"/>
      <c r="I1110" s="8"/>
      <c r="J1110" s="8"/>
      <c r="K1110" s="8"/>
      <c r="L1110" s="8"/>
      <c r="M1110" s="8"/>
      <c r="N1110" s="8"/>
      <c r="O1110" s="8"/>
      <c r="P1110" s="8"/>
      <c r="Q1110" s="8"/>
      <c r="R1110" s="8"/>
      <c r="S1110" s="8"/>
      <c r="T1110" s="8"/>
      <c r="U1110" s="8"/>
      <c r="V1110" s="8"/>
      <c r="W1110" s="8"/>
      <c r="X1110" s="8"/>
      <c r="Y1110" s="8"/>
      <c r="Z1110" s="8"/>
      <c r="AA1110" s="8"/>
      <c r="AB1110" s="8"/>
      <c r="AC1110" s="8"/>
      <c r="AD1110" s="8"/>
      <c r="AE1110" s="8"/>
      <c r="AF1110" s="8"/>
    </row>
    <row r="1111" spans="1:32" ht="14.4" x14ac:dyDescent="0.3">
      <c r="A1111" s="8"/>
      <c r="B1111" s="8"/>
      <c r="C1111" s="8"/>
      <c r="D1111" s="8"/>
      <c r="E1111" s="8"/>
      <c r="F1111" s="8"/>
      <c r="G1111" s="8"/>
      <c r="H1111" s="8"/>
      <c r="I1111" s="8"/>
      <c r="J1111" s="8"/>
      <c r="K1111" s="8"/>
      <c r="L1111" s="8"/>
      <c r="M1111" s="8"/>
      <c r="N1111" s="8"/>
      <c r="O1111" s="8"/>
      <c r="P1111" s="8"/>
      <c r="Q1111" s="8"/>
      <c r="R1111" s="8"/>
      <c r="S1111" s="8"/>
      <c r="T1111" s="8"/>
      <c r="U1111" s="8"/>
      <c r="V1111" s="8"/>
      <c r="W1111" s="8"/>
      <c r="X1111" s="8"/>
      <c r="Y1111" s="8"/>
      <c r="Z1111" s="8"/>
      <c r="AA1111" s="8"/>
      <c r="AB1111" s="8"/>
      <c r="AC1111" s="8"/>
      <c r="AD1111" s="8"/>
      <c r="AE1111" s="8"/>
      <c r="AF1111" s="8"/>
    </row>
    <row r="1112" spans="1:32" ht="14.4" x14ac:dyDescent="0.3">
      <c r="A1112" s="8"/>
      <c r="B1112" s="8"/>
      <c r="C1112" s="8"/>
      <c r="D1112" s="8"/>
      <c r="E1112" s="8"/>
      <c r="F1112" s="8"/>
      <c r="G1112" s="8"/>
      <c r="H1112" s="8"/>
      <c r="I1112" s="8"/>
      <c r="J1112" s="8"/>
      <c r="K1112" s="8"/>
      <c r="L1112" s="8"/>
      <c r="M1112" s="8"/>
      <c r="N1112" s="8"/>
      <c r="O1112" s="8"/>
      <c r="P1112" s="8"/>
      <c r="Q1112" s="8"/>
      <c r="R1112" s="8"/>
      <c r="S1112" s="8"/>
      <c r="T1112" s="8"/>
      <c r="U1112" s="8"/>
      <c r="V1112" s="8"/>
      <c r="W1112" s="8"/>
      <c r="X1112" s="8"/>
      <c r="Y1112" s="8"/>
      <c r="Z1112" s="8"/>
      <c r="AA1112" s="8"/>
      <c r="AB1112" s="8"/>
      <c r="AC1112" s="8"/>
      <c r="AD1112" s="8"/>
      <c r="AE1112" s="8"/>
      <c r="AF1112" s="8"/>
    </row>
    <row r="1113" spans="1:32" ht="14.4" x14ac:dyDescent="0.3">
      <c r="A1113" s="8"/>
      <c r="B1113" s="8"/>
      <c r="C1113" s="8"/>
      <c r="D1113" s="8"/>
      <c r="E1113" s="8"/>
      <c r="F1113" s="8"/>
      <c r="G1113" s="8"/>
      <c r="H1113" s="8"/>
      <c r="I1113" s="8"/>
      <c r="J1113" s="8"/>
      <c r="K1113" s="8"/>
      <c r="L1113" s="8"/>
      <c r="M1113" s="8"/>
      <c r="N1113" s="8"/>
      <c r="O1113" s="8"/>
      <c r="P1113" s="8"/>
      <c r="Q1113" s="8"/>
      <c r="R1113" s="8"/>
      <c r="S1113" s="8"/>
      <c r="T1113" s="8"/>
      <c r="U1113" s="8"/>
      <c r="V1113" s="8"/>
      <c r="W1113" s="8"/>
      <c r="X1113" s="8"/>
      <c r="Y1113" s="8"/>
      <c r="Z1113" s="8"/>
      <c r="AA1113" s="8"/>
      <c r="AB1113" s="8"/>
      <c r="AC1113" s="8"/>
      <c r="AD1113" s="8"/>
      <c r="AE1113" s="8"/>
      <c r="AF1113" s="8"/>
    </row>
    <row r="1114" spans="1:32" ht="14.4" x14ac:dyDescent="0.3">
      <c r="A1114" s="8"/>
      <c r="B1114" s="8"/>
      <c r="C1114" s="8"/>
      <c r="D1114" s="8"/>
      <c r="E1114" s="8"/>
      <c r="F1114" s="8"/>
      <c r="G1114" s="8"/>
      <c r="H1114" s="8"/>
      <c r="I1114" s="8"/>
      <c r="J1114" s="8"/>
      <c r="K1114" s="8"/>
      <c r="L1114" s="8"/>
      <c r="M1114" s="8"/>
      <c r="N1114" s="8"/>
      <c r="O1114" s="8"/>
      <c r="P1114" s="8"/>
      <c r="Q1114" s="8"/>
      <c r="R1114" s="8"/>
      <c r="S1114" s="8"/>
      <c r="T1114" s="8"/>
      <c r="U1114" s="8"/>
      <c r="V1114" s="8"/>
      <c r="W1114" s="8"/>
      <c r="X1114" s="8"/>
      <c r="Y1114" s="8"/>
      <c r="Z1114" s="8"/>
      <c r="AA1114" s="8"/>
      <c r="AB1114" s="8"/>
      <c r="AC1114" s="8"/>
      <c r="AD1114" s="8"/>
      <c r="AE1114" s="8"/>
      <c r="AF1114" s="8"/>
    </row>
    <row r="1115" spans="1:32" ht="14.4" x14ac:dyDescent="0.3">
      <c r="A1115" s="8"/>
      <c r="B1115" s="8"/>
      <c r="C1115" s="8"/>
      <c r="D1115" s="8"/>
      <c r="E1115" s="8"/>
      <c r="F1115" s="8"/>
      <c r="G1115" s="8"/>
      <c r="H1115" s="8"/>
      <c r="I1115" s="8"/>
      <c r="J1115" s="8"/>
      <c r="K1115" s="8"/>
      <c r="L1115" s="8"/>
      <c r="M1115" s="8"/>
      <c r="N1115" s="8"/>
      <c r="O1115" s="8"/>
      <c r="P1115" s="8"/>
      <c r="Q1115" s="8"/>
      <c r="R1115" s="8"/>
      <c r="S1115" s="8"/>
      <c r="T1115" s="8"/>
      <c r="U1115" s="8"/>
      <c r="V1115" s="8"/>
      <c r="W1115" s="8"/>
      <c r="X1115" s="8"/>
      <c r="Y1115" s="8"/>
      <c r="Z1115" s="8"/>
      <c r="AA1115" s="8"/>
      <c r="AB1115" s="8"/>
      <c r="AC1115" s="8"/>
      <c r="AD1115" s="8"/>
      <c r="AE1115" s="8"/>
      <c r="AF1115" s="8"/>
    </row>
    <row r="1116" spans="1:32" ht="14.4" x14ac:dyDescent="0.3">
      <c r="A1116" s="8"/>
      <c r="B1116" s="8"/>
      <c r="C1116" s="8"/>
      <c r="D1116" s="8"/>
      <c r="E1116" s="8"/>
      <c r="F1116" s="8"/>
      <c r="G1116" s="8"/>
      <c r="H1116" s="8"/>
      <c r="I1116" s="8"/>
      <c r="J1116" s="8"/>
      <c r="K1116" s="8"/>
      <c r="L1116" s="8"/>
      <c r="M1116" s="8"/>
      <c r="N1116" s="8"/>
      <c r="O1116" s="8"/>
      <c r="P1116" s="8"/>
      <c r="Q1116" s="8"/>
      <c r="R1116" s="8"/>
      <c r="S1116" s="8"/>
      <c r="T1116" s="8"/>
      <c r="U1116" s="8"/>
      <c r="V1116" s="8"/>
      <c r="W1116" s="8"/>
      <c r="X1116" s="8"/>
      <c r="Y1116" s="8"/>
      <c r="Z1116" s="8"/>
      <c r="AA1116" s="8"/>
      <c r="AB1116" s="8"/>
      <c r="AC1116" s="8"/>
      <c r="AD1116" s="8"/>
      <c r="AE1116" s="8"/>
      <c r="AF1116" s="8"/>
    </row>
    <row r="1117" spans="1:32" ht="14.4" x14ac:dyDescent="0.3">
      <c r="A1117" s="8"/>
      <c r="B1117" s="8"/>
      <c r="C1117" s="8"/>
      <c r="D1117" s="8"/>
      <c r="E1117" s="8"/>
      <c r="F1117" s="8"/>
      <c r="G1117" s="8"/>
      <c r="H1117" s="8"/>
      <c r="I1117" s="8"/>
      <c r="J1117" s="8"/>
      <c r="K1117" s="8"/>
      <c r="L1117" s="8"/>
      <c r="M1117" s="8"/>
      <c r="N1117" s="8"/>
      <c r="O1117" s="8"/>
      <c r="P1117" s="8"/>
      <c r="Q1117" s="8"/>
      <c r="R1117" s="8"/>
      <c r="S1117" s="8"/>
      <c r="T1117" s="8"/>
      <c r="U1117" s="8"/>
      <c r="V1117" s="8"/>
      <c r="W1117" s="8"/>
      <c r="X1117" s="8"/>
      <c r="Y1117" s="8"/>
      <c r="Z1117" s="8"/>
      <c r="AA1117" s="8"/>
      <c r="AB1117" s="8"/>
      <c r="AC1117" s="8"/>
      <c r="AD1117" s="8"/>
      <c r="AE1117" s="8"/>
      <c r="AF1117" s="8"/>
    </row>
    <row r="1118" spans="1:32" ht="14.4" x14ac:dyDescent="0.3">
      <c r="A1118" s="8"/>
      <c r="B1118" s="8"/>
      <c r="C1118" s="8"/>
      <c r="D1118" s="8"/>
      <c r="E1118" s="8"/>
      <c r="F1118" s="8"/>
      <c r="G1118" s="8"/>
      <c r="H1118" s="8"/>
      <c r="I1118" s="8"/>
      <c r="J1118" s="8"/>
      <c r="K1118" s="8"/>
      <c r="L1118" s="8"/>
      <c r="M1118" s="8"/>
      <c r="N1118" s="8"/>
      <c r="O1118" s="8"/>
      <c r="P1118" s="8"/>
      <c r="Q1118" s="8"/>
      <c r="R1118" s="8"/>
      <c r="S1118" s="8"/>
      <c r="T1118" s="8"/>
      <c r="U1118" s="8"/>
      <c r="V1118" s="8"/>
      <c r="W1118" s="8"/>
      <c r="X1118" s="8"/>
      <c r="Y1118" s="8"/>
      <c r="Z1118" s="8"/>
      <c r="AA1118" s="8"/>
      <c r="AB1118" s="8"/>
      <c r="AC1118" s="8"/>
      <c r="AD1118" s="8"/>
      <c r="AE1118" s="8"/>
      <c r="AF1118" s="8"/>
    </row>
    <row r="1119" spans="1:32" ht="14.4" x14ac:dyDescent="0.3">
      <c r="A1119" s="8"/>
      <c r="B1119" s="8"/>
      <c r="C1119" s="8"/>
      <c r="D1119" s="8"/>
      <c r="E1119" s="8"/>
      <c r="F1119" s="8"/>
      <c r="G1119" s="8"/>
      <c r="H1119" s="8"/>
      <c r="I1119" s="8"/>
      <c r="J1119" s="8"/>
      <c r="K1119" s="8"/>
      <c r="L1119" s="8"/>
      <c r="M1119" s="8"/>
      <c r="N1119" s="8"/>
      <c r="O1119" s="8"/>
      <c r="P1119" s="8"/>
      <c r="Q1119" s="8"/>
      <c r="R1119" s="8"/>
      <c r="S1119" s="8"/>
      <c r="T1119" s="8"/>
      <c r="U1119" s="8"/>
      <c r="V1119" s="8"/>
      <c r="W1119" s="8"/>
      <c r="X1119" s="8"/>
      <c r="Y1119" s="8"/>
      <c r="Z1119" s="8"/>
      <c r="AA1119" s="8"/>
      <c r="AB1119" s="8"/>
      <c r="AC1119" s="8"/>
      <c r="AD1119" s="8"/>
      <c r="AE1119" s="8"/>
      <c r="AF1119" s="8"/>
    </row>
    <row r="1120" spans="1:32" ht="14.4" x14ac:dyDescent="0.3">
      <c r="A1120" s="8"/>
      <c r="B1120" s="8"/>
      <c r="C1120" s="8"/>
      <c r="D1120" s="8"/>
      <c r="E1120" s="8"/>
      <c r="F1120" s="8"/>
      <c r="G1120" s="8"/>
      <c r="H1120" s="8"/>
      <c r="I1120" s="8"/>
      <c r="J1120" s="8"/>
      <c r="K1120" s="8"/>
      <c r="L1120" s="8"/>
      <c r="M1120" s="8"/>
      <c r="N1120" s="8"/>
      <c r="O1120" s="8"/>
      <c r="P1120" s="8"/>
      <c r="Q1120" s="8"/>
      <c r="R1120" s="8"/>
      <c r="S1120" s="8"/>
      <c r="T1120" s="8"/>
      <c r="U1120" s="8"/>
      <c r="V1120" s="8"/>
      <c r="W1120" s="8"/>
      <c r="X1120" s="8"/>
      <c r="Y1120" s="8"/>
      <c r="Z1120" s="8"/>
      <c r="AA1120" s="8"/>
      <c r="AB1120" s="8"/>
      <c r="AC1120" s="8"/>
      <c r="AD1120" s="8"/>
      <c r="AE1120" s="8"/>
      <c r="AF1120" s="8"/>
    </row>
    <row r="1121" spans="1:32" ht="14.4" x14ac:dyDescent="0.3">
      <c r="A1121" s="8"/>
      <c r="B1121" s="8"/>
      <c r="C1121" s="8"/>
      <c r="D1121" s="8"/>
      <c r="E1121" s="8"/>
      <c r="F1121" s="8"/>
      <c r="G1121" s="8"/>
      <c r="H1121" s="8"/>
      <c r="I1121" s="8"/>
      <c r="J1121" s="8"/>
      <c r="K1121" s="8"/>
      <c r="L1121" s="8"/>
      <c r="M1121" s="8"/>
      <c r="N1121" s="8"/>
      <c r="O1121" s="8"/>
      <c r="P1121" s="8"/>
      <c r="Q1121" s="8"/>
      <c r="R1121" s="8"/>
      <c r="S1121" s="8"/>
      <c r="T1121" s="8"/>
      <c r="U1121" s="8"/>
      <c r="V1121" s="8"/>
      <c r="W1121" s="8"/>
      <c r="X1121" s="8"/>
      <c r="Y1121" s="8"/>
      <c r="Z1121" s="8"/>
      <c r="AA1121" s="8"/>
      <c r="AB1121" s="8"/>
      <c r="AC1121" s="8"/>
      <c r="AD1121" s="8"/>
      <c r="AE1121" s="8"/>
      <c r="AF1121" s="8"/>
    </row>
    <row r="1122" spans="1:32" ht="14.4" x14ac:dyDescent="0.3">
      <c r="A1122" s="8"/>
      <c r="B1122" s="8"/>
      <c r="C1122" s="8"/>
      <c r="D1122" s="8"/>
      <c r="E1122" s="8"/>
      <c r="F1122" s="8"/>
      <c r="G1122" s="8"/>
      <c r="H1122" s="8"/>
      <c r="I1122" s="8"/>
      <c r="J1122" s="8"/>
      <c r="K1122" s="8"/>
      <c r="L1122" s="8"/>
      <c r="M1122" s="8"/>
      <c r="N1122" s="8"/>
      <c r="O1122" s="8"/>
      <c r="P1122" s="8"/>
      <c r="Q1122" s="8"/>
      <c r="R1122" s="8"/>
      <c r="S1122" s="8"/>
      <c r="T1122" s="8"/>
      <c r="U1122" s="8"/>
      <c r="V1122" s="8"/>
      <c r="W1122" s="8"/>
      <c r="X1122" s="8"/>
      <c r="Y1122" s="8"/>
      <c r="Z1122" s="8"/>
      <c r="AA1122" s="8"/>
      <c r="AB1122" s="8"/>
      <c r="AC1122" s="8"/>
      <c r="AD1122" s="8"/>
      <c r="AE1122" s="8"/>
      <c r="AF1122" s="8"/>
    </row>
    <row r="1123" spans="1:32" ht="14.4" x14ac:dyDescent="0.3">
      <c r="A1123" s="8"/>
      <c r="B1123" s="8"/>
      <c r="C1123" s="8"/>
      <c r="D1123" s="8"/>
      <c r="E1123" s="8"/>
      <c r="F1123" s="8"/>
      <c r="G1123" s="8"/>
      <c r="H1123" s="8"/>
      <c r="I1123" s="8"/>
      <c r="J1123" s="8"/>
      <c r="K1123" s="8"/>
      <c r="L1123" s="8"/>
      <c r="M1123" s="8"/>
      <c r="N1123" s="8"/>
      <c r="O1123" s="8"/>
      <c r="P1123" s="8"/>
      <c r="Q1123" s="8"/>
      <c r="R1123" s="8"/>
      <c r="S1123" s="8"/>
      <c r="T1123" s="8"/>
      <c r="U1123" s="8"/>
      <c r="V1123" s="8"/>
      <c r="W1123" s="8"/>
      <c r="X1123" s="8"/>
      <c r="Y1123" s="8"/>
      <c r="Z1123" s="8"/>
      <c r="AA1123" s="8"/>
      <c r="AB1123" s="8"/>
      <c r="AC1123" s="8"/>
      <c r="AD1123" s="8"/>
      <c r="AE1123" s="8"/>
      <c r="AF1123" s="8"/>
    </row>
    <row r="1124" spans="1:32" ht="14.4" x14ac:dyDescent="0.3">
      <c r="A1124" s="8"/>
      <c r="B1124" s="8"/>
      <c r="C1124" s="8"/>
      <c r="D1124" s="8"/>
      <c r="E1124" s="8"/>
      <c r="F1124" s="8"/>
      <c r="G1124" s="8"/>
      <c r="H1124" s="8"/>
      <c r="I1124" s="8"/>
      <c r="J1124" s="8"/>
      <c r="K1124" s="8"/>
      <c r="L1124" s="8"/>
      <c r="M1124" s="8"/>
      <c r="N1124" s="8"/>
      <c r="O1124" s="8"/>
      <c r="P1124" s="8"/>
      <c r="Q1124" s="8"/>
      <c r="R1124" s="8"/>
      <c r="S1124" s="8"/>
      <c r="T1124" s="8"/>
      <c r="U1124" s="8"/>
      <c r="V1124" s="8"/>
      <c r="W1124" s="8"/>
      <c r="X1124" s="8"/>
      <c r="Y1124" s="8"/>
      <c r="Z1124" s="8"/>
      <c r="AA1124" s="8"/>
      <c r="AB1124" s="8"/>
      <c r="AC1124" s="8"/>
      <c r="AD1124" s="8"/>
      <c r="AE1124" s="8"/>
      <c r="AF1124" s="8"/>
    </row>
    <row r="1125" spans="1:32" ht="14.4" x14ac:dyDescent="0.3">
      <c r="A1125" s="8"/>
      <c r="B1125" s="8"/>
      <c r="C1125" s="8"/>
      <c r="D1125" s="8"/>
      <c r="E1125" s="8"/>
      <c r="F1125" s="8"/>
      <c r="G1125" s="8"/>
      <c r="H1125" s="8"/>
      <c r="I1125" s="8"/>
      <c r="J1125" s="8"/>
      <c r="K1125" s="8"/>
      <c r="L1125" s="8"/>
      <c r="M1125" s="8"/>
      <c r="N1125" s="8"/>
      <c r="O1125" s="8"/>
      <c r="P1125" s="8"/>
      <c r="Q1125" s="8"/>
      <c r="R1125" s="8"/>
      <c r="S1125" s="8"/>
      <c r="T1125" s="8"/>
      <c r="U1125" s="8"/>
      <c r="V1125" s="8"/>
      <c r="W1125" s="8"/>
      <c r="X1125" s="8"/>
      <c r="Y1125" s="8"/>
      <c r="Z1125" s="8"/>
      <c r="AA1125" s="8"/>
      <c r="AB1125" s="8"/>
      <c r="AC1125" s="8"/>
      <c r="AD1125" s="8"/>
      <c r="AE1125" s="8"/>
      <c r="AF1125" s="8"/>
    </row>
    <row r="1126" spans="1:32" ht="14.4" x14ac:dyDescent="0.3">
      <c r="A1126" s="8"/>
      <c r="B1126" s="8"/>
      <c r="C1126" s="8"/>
      <c r="D1126" s="8"/>
      <c r="E1126" s="8"/>
      <c r="F1126" s="8"/>
      <c r="G1126" s="8"/>
      <c r="H1126" s="8"/>
      <c r="I1126" s="8"/>
      <c r="J1126" s="8"/>
      <c r="K1126" s="8"/>
      <c r="L1126" s="8"/>
      <c r="M1126" s="8"/>
      <c r="N1126" s="8"/>
      <c r="O1126" s="8"/>
      <c r="P1126" s="8"/>
      <c r="Q1126" s="8"/>
      <c r="R1126" s="8"/>
      <c r="S1126" s="8"/>
      <c r="T1126" s="8"/>
      <c r="U1126" s="8"/>
      <c r="V1126" s="8"/>
      <c r="W1126" s="8"/>
      <c r="X1126" s="8"/>
      <c r="Y1126" s="8"/>
      <c r="Z1126" s="8"/>
      <c r="AA1126" s="8"/>
      <c r="AB1126" s="8"/>
      <c r="AC1126" s="8"/>
      <c r="AD1126" s="8"/>
      <c r="AE1126" s="8"/>
      <c r="AF1126" s="8"/>
    </row>
    <row r="1127" spans="1:32" ht="14.4" x14ac:dyDescent="0.3">
      <c r="A1127" s="8"/>
      <c r="B1127" s="8"/>
      <c r="C1127" s="8"/>
      <c r="D1127" s="8"/>
      <c r="E1127" s="8"/>
      <c r="F1127" s="8"/>
      <c r="G1127" s="8"/>
      <c r="H1127" s="8"/>
      <c r="I1127" s="8"/>
      <c r="J1127" s="8"/>
      <c r="K1127" s="8"/>
      <c r="L1127" s="8"/>
      <c r="M1127" s="8"/>
      <c r="N1127" s="8"/>
      <c r="O1127" s="8"/>
      <c r="P1127" s="8"/>
      <c r="Q1127" s="8"/>
      <c r="R1127" s="8"/>
      <c r="S1127" s="8"/>
      <c r="T1127" s="8"/>
      <c r="U1127" s="8"/>
      <c r="V1127" s="8"/>
      <c r="W1127" s="8"/>
      <c r="X1127" s="8"/>
      <c r="Y1127" s="8"/>
      <c r="Z1127" s="8"/>
      <c r="AA1127" s="8"/>
      <c r="AB1127" s="8"/>
      <c r="AC1127" s="8"/>
      <c r="AD1127" s="8"/>
      <c r="AE1127" s="8"/>
      <c r="AF1127" s="8"/>
    </row>
    <row r="1128" spans="1:32" ht="14.4" x14ac:dyDescent="0.3">
      <c r="A1128" s="8"/>
      <c r="B1128" s="8"/>
      <c r="C1128" s="8"/>
      <c r="D1128" s="8"/>
      <c r="E1128" s="8"/>
      <c r="F1128" s="8"/>
      <c r="G1128" s="8"/>
      <c r="H1128" s="8"/>
      <c r="I1128" s="8"/>
      <c r="J1128" s="8"/>
      <c r="K1128" s="8"/>
      <c r="L1128" s="8"/>
      <c r="M1128" s="8"/>
      <c r="N1128" s="8"/>
      <c r="O1128" s="8"/>
      <c r="P1128" s="8"/>
      <c r="Q1128" s="8"/>
      <c r="R1128" s="8"/>
      <c r="S1128" s="8"/>
      <c r="T1128" s="8"/>
      <c r="U1128" s="8"/>
      <c r="V1128" s="8"/>
      <c r="W1128" s="8"/>
      <c r="X1128" s="8"/>
      <c r="Y1128" s="8"/>
      <c r="Z1128" s="8"/>
      <c r="AA1128" s="8"/>
      <c r="AB1128" s="8"/>
      <c r="AC1128" s="8"/>
      <c r="AD1128" s="8"/>
      <c r="AE1128" s="8"/>
      <c r="AF1128" s="8"/>
    </row>
    <row r="1129" spans="1:32" ht="14.4" x14ac:dyDescent="0.3">
      <c r="A1129" s="8"/>
      <c r="B1129" s="8"/>
      <c r="C1129" s="8"/>
      <c r="D1129" s="8"/>
      <c r="E1129" s="8"/>
      <c r="F1129" s="8"/>
      <c r="G1129" s="8"/>
      <c r="H1129" s="8"/>
      <c r="I1129" s="8"/>
      <c r="J1129" s="8"/>
      <c r="K1129" s="8"/>
      <c r="L1129" s="8"/>
      <c r="M1129" s="8"/>
      <c r="N1129" s="8"/>
      <c r="O1129" s="8"/>
      <c r="P1129" s="8"/>
      <c r="Q1129" s="8"/>
      <c r="R1129" s="8"/>
      <c r="S1129" s="8"/>
      <c r="T1129" s="8"/>
      <c r="U1129" s="8"/>
      <c r="V1129" s="8"/>
      <c r="W1129" s="8"/>
      <c r="X1129" s="8"/>
      <c r="Y1129" s="8"/>
      <c r="Z1129" s="8"/>
      <c r="AA1129" s="8"/>
      <c r="AB1129" s="8"/>
      <c r="AC1129" s="8"/>
      <c r="AD1129" s="8"/>
      <c r="AE1129" s="8"/>
      <c r="AF1129" s="8"/>
    </row>
    <row r="1130" spans="1:32" ht="14.4" x14ac:dyDescent="0.3">
      <c r="A1130" s="8"/>
      <c r="B1130" s="8"/>
      <c r="C1130" s="8"/>
      <c r="D1130" s="8"/>
      <c r="E1130" s="8"/>
      <c r="F1130" s="8"/>
      <c r="G1130" s="8"/>
      <c r="H1130" s="8"/>
      <c r="I1130" s="8"/>
      <c r="J1130" s="8"/>
      <c r="K1130" s="8"/>
      <c r="L1130" s="8"/>
      <c r="M1130" s="8"/>
      <c r="N1130" s="8"/>
      <c r="O1130" s="8"/>
      <c r="P1130" s="8"/>
      <c r="Q1130" s="8"/>
      <c r="R1130" s="8"/>
      <c r="S1130" s="8"/>
      <c r="T1130" s="8"/>
      <c r="U1130" s="8"/>
      <c r="V1130" s="8"/>
      <c r="W1130" s="8"/>
      <c r="X1130" s="8"/>
      <c r="Y1130" s="8"/>
      <c r="Z1130" s="8"/>
      <c r="AA1130" s="8"/>
      <c r="AB1130" s="8"/>
      <c r="AC1130" s="8"/>
      <c r="AD1130" s="8"/>
      <c r="AE1130" s="8"/>
      <c r="AF1130" s="8"/>
    </row>
    <row r="1131" spans="1:32" ht="14.4" x14ac:dyDescent="0.3">
      <c r="A1131" s="8"/>
      <c r="B1131" s="8"/>
      <c r="C1131" s="8"/>
      <c r="D1131" s="8"/>
      <c r="E1131" s="8"/>
      <c r="F1131" s="8"/>
      <c r="G1131" s="8"/>
      <c r="H1131" s="8"/>
      <c r="I1131" s="8"/>
      <c r="J1131" s="8"/>
      <c r="K1131" s="8"/>
      <c r="L1131" s="8"/>
      <c r="M1131" s="8"/>
      <c r="N1131" s="8"/>
      <c r="O1131" s="8"/>
      <c r="P1131" s="8"/>
      <c r="Q1131" s="8"/>
      <c r="R1131" s="8"/>
      <c r="S1131" s="8"/>
      <c r="T1131" s="8"/>
      <c r="U1131" s="8"/>
      <c r="V1131" s="8"/>
      <c r="W1131" s="8"/>
      <c r="X1131" s="8"/>
      <c r="Y1131" s="8"/>
      <c r="Z1131" s="8"/>
      <c r="AA1131" s="8"/>
      <c r="AB1131" s="8"/>
      <c r="AC1131" s="8"/>
      <c r="AD1131" s="8"/>
      <c r="AE1131" s="8"/>
      <c r="AF1131" s="8"/>
    </row>
    <row r="1132" spans="1:32" ht="14.4" x14ac:dyDescent="0.3">
      <c r="A1132" s="8"/>
      <c r="B1132" s="8"/>
      <c r="C1132" s="8"/>
      <c r="D1132" s="8"/>
      <c r="E1132" s="8"/>
      <c r="F1132" s="8"/>
      <c r="G1132" s="8"/>
      <c r="H1132" s="8"/>
      <c r="I1132" s="8"/>
      <c r="J1132" s="8"/>
      <c r="K1132" s="8"/>
      <c r="L1132" s="8"/>
      <c r="M1132" s="8"/>
      <c r="N1132" s="8"/>
      <c r="O1132" s="8"/>
      <c r="P1132" s="8"/>
      <c r="Q1132" s="8"/>
      <c r="R1132" s="8"/>
      <c r="S1132" s="8"/>
      <c r="T1132" s="8"/>
      <c r="U1132" s="8"/>
      <c r="V1132" s="8"/>
      <c r="W1132" s="8"/>
      <c r="X1132" s="8"/>
      <c r="Y1132" s="8"/>
      <c r="Z1132" s="8"/>
      <c r="AA1132" s="8"/>
      <c r="AB1132" s="8"/>
      <c r="AC1132" s="8"/>
      <c r="AD1132" s="8"/>
      <c r="AE1132" s="8"/>
      <c r="AF1132" s="8"/>
    </row>
    <row r="1133" spans="1:32" ht="14.4" x14ac:dyDescent="0.3">
      <c r="A1133" s="8"/>
      <c r="B1133" s="8"/>
      <c r="C1133" s="8"/>
      <c r="D1133" s="8"/>
      <c r="E1133" s="8"/>
      <c r="F1133" s="8"/>
      <c r="G1133" s="8"/>
      <c r="H1133" s="8"/>
      <c r="I1133" s="8"/>
      <c r="J1133" s="8"/>
      <c r="K1133" s="8"/>
      <c r="L1133" s="8"/>
      <c r="M1133" s="8"/>
      <c r="N1133" s="8"/>
      <c r="O1133" s="8"/>
      <c r="P1133" s="8"/>
      <c r="Q1133" s="8"/>
      <c r="R1133" s="8"/>
      <c r="S1133" s="8"/>
      <c r="T1133" s="8"/>
      <c r="U1133" s="8"/>
      <c r="V1133" s="8"/>
      <c r="W1133" s="8"/>
      <c r="X1133" s="8"/>
      <c r="Y1133" s="8"/>
      <c r="Z1133" s="8"/>
      <c r="AA1133" s="8"/>
      <c r="AB1133" s="8"/>
      <c r="AC1133" s="8"/>
      <c r="AD1133" s="8"/>
      <c r="AE1133" s="8"/>
      <c r="AF1133" s="8"/>
    </row>
    <row r="1134" spans="1:32" ht="14.4" x14ac:dyDescent="0.3">
      <c r="A1134" s="8"/>
      <c r="B1134" s="8"/>
      <c r="C1134" s="8"/>
      <c r="D1134" s="8"/>
      <c r="E1134" s="8"/>
      <c r="F1134" s="8"/>
      <c r="G1134" s="8"/>
      <c r="H1134" s="8"/>
      <c r="I1134" s="8"/>
      <c r="J1134" s="8"/>
      <c r="K1134" s="8"/>
      <c r="L1134" s="8"/>
      <c r="M1134" s="8"/>
      <c r="N1134" s="8"/>
      <c r="O1134" s="8"/>
      <c r="P1134" s="8"/>
      <c r="Q1134" s="8"/>
      <c r="R1134" s="8"/>
      <c r="S1134" s="8"/>
      <c r="T1134" s="8"/>
      <c r="U1134" s="8"/>
      <c r="V1134" s="8"/>
      <c r="W1134" s="8"/>
      <c r="X1134" s="8"/>
      <c r="Y1134" s="8"/>
      <c r="Z1134" s="8"/>
      <c r="AA1134" s="8"/>
      <c r="AB1134" s="8"/>
      <c r="AC1134" s="8"/>
      <c r="AD1134" s="8"/>
      <c r="AE1134" s="8"/>
      <c r="AF1134" s="8"/>
    </row>
    <row r="1135" spans="1:32" ht="14.4" x14ac:dyDescent="0.3">
      <c r="A1135" s="8"/>
      <c r="B1135" s="8"/>
      <c r="C1135" s="8"/>
      <c r="D1135" s="8"/>
      <c r="E1135" s="8"/>
      <c r="F1135" s="8"/>
      <c r="G1135" s="8"/>
      <c r="H1135" s="8"/>
      <c r="I1135" s="8"/>
      <c r="J1135" s="8"/>
      <c r="K1135" s="8"/>
      <c r="L1135" s="8"/>
      <c r="M1135" s="8"/>
      <c r="N1135" s="8"/>
      <c r="O1135" s="8"/>
      <c r="P1135" s="8"/>
      <c r="Q1135" s="8"/>
      <c r="R1135" s="8"/>
      <c r="S1135" s="8"/>
      <c r="T1135" s="8"/>
      <c r="U1135" s="8"/>
      <c r="V1135" s="8"/>
      <c r="W1135" s="8"/>
      <c r="X1135" s="8"/>
      <c r="Y1135" s="8"/>
      <c r="Z1135" s="8"/>
      <c r="AA1135" s="8"/>
      <c r="AB1135" s="8"/>
      <c r="AC1135" s="8"/>
      <c r="AD1135" s="8"/>
      <c r="AE1135" s="8"/>
      <c r="AF1135" s="8"/>
    </row>
    <row r="1136" spans="1:32" ht="14.4" x14ac:dyDescent="0.3">
      <c r="A1136" s="8"/>
      <c r="B1136" s="8"/>
      <c r="C1136" s="8"/>
      <c r="D1136" s="8"/>
      <c r="E1136" s="8"/>
      <c r="F1136" s="8"/>
      <c r="G1136" s="8"/>
      <c r="H1136" s="8"/>
      <c r="I1136" s="8"/>
      <c r="J1136" s="8"/>
      <c r="K1136" s="8"/>
      <c r="L1136" s="8"/>
      <c r="M1136" s="8"/>
      <c r="N1136" s="8"/>
      <c r="O1136" s="8"/>
      <c r="P1136" s="8"/>
      <c r="Q1136" s="8"/>
      <c r="R1136" s="8"/>
      <c r="S1136" s="8"/>
      <c r="T1136" s="8"/>
      <c r="U1136" s="8"/>
      <c r="V1136" s="8"/>
      <c r="W1136" s="8"/>
      <c r="X1136" s="8"/>
      <c r="Y1136" s="8"/>
      <c r="Z1136" s="8"/>
      <c r="AA1136" s="8"/>
      <c r="AB1136" s="8"/>
      <c r="AC1136" s="8"/>
      <c r="AD1136" s="8"/>
      <c r="AE1136" s="8"/>
      <c r="AF1136" s="8"/>
    </row>
    <row r="1137" spans="1:32" ht="14.4" x14ac:dyDescent="0.3">
      <c r="A1137" s="8"/>
      <c r="B1137" s="8"/>
      <c r="C1137" s="8"/>
      <c r="D1137" s="8"/>
      <c r="E1137" s="8"/>
      <c r="F1137" s="8"/>
      <c r="G1137" s="8"/>
      <c r="H1137" s="8"/>
      <c r="I1137" s="8"/>
      <c r="J1137" s="8"/>
      <c r="K1137" s="8"/>
      <c r="L1137" s="8"/>
      <c r="M1137" s="8"/>
      <c r="N1137" s="8"/>
      <c r="O1137" s="8"/>
      <c r="P1137" s="8"/>
      <c r="Q1137" s="8"/>
      <c r="R1137" s="8"/>
      <c r="S1137" s="8"/>
      <c r="T1137" s="8"/>
      <c r="U1137" s="8"/>
      <c r="V1137" s="8"/>
      <c r="W1137" s="8"/>
      <c r="X1137" s="8"/>
      <c r="Y1137" s="8"/>
      <c r="Z1137" s="8"/>
      <c r="AA1137" s="8"/>
      <c r="AB1137" s="8"/>
      <c r="AC1137" s="8"/>
      <c r="AD1137" s="8"/>
      <c r="AE1137" s="8"/>
      <c r="AF1137" s="8"/>
    </row>
    <row r="1138" spans="1:32" ht="14.4" x14ac:dyDescent="0.3">
      <c r="A1138" s="8"/>
      <c r="B1138" s="8"/>
      <c r="C1138" s="8"/>
      <c r="D1138" s="8"/>
      <c r="E1138" s="8"/>
      <c r="F1138" s="8"/>
      <c r="G1138" s="8"/>
      <c r="H1138" s="8"/>
      <c r="I1138" s="8"/>
      <c r="J1138" s="8"/>
      <c r="K1138" s="8"/>
      <c r="L1138" s="8"/>
      <c r="M1138" s="8"/>
      <c r="N1138" s="8"/>
      <c r="O1138" s="8"/>
      <c r="P1138" s="8"/>
      <c r="Q1138" s="8"/>
      <c r="R1138" s="8"/>
      <c r="S1138" s="8"/>
      <c r="T1138" s="8"/>
      <c r="U1138" s="8"/>
      <c r="V1138" s="8"/>
      <c r="W1138" s="8"/>
      <c r="X1138" s="8"/>
      <c r="Y1138" s="8"/>
      <c r="Z1138" s="8"/>
      <c r="AA1138" s="8"/>
      <c r="AB1138" s="8"/>
      <c r="AC1138" s="8"/>
      <c r="AD1138" s="8"/>
      <c r="AE1138" s="8"/>
      <c r="AF1138" s="8"/>
    </row>
    <row r="1139" spans="1:32" ht="14.4" x14ac:dyDescent="0.3">
      <c r="A1139" s="8"/>
      <c r="B1139" s="8"/>
      <c r="C1139" s="8"/>
      <c r="D1139" s="8"/>
      <c r="E1139" s="8"/>
      <c r="F1139" s="8"/>
      <c r="G1139" s="8"/>
      <c r="H1139" s="8"/>
      <c r="I1139" s="8"/>
      <c r="J1139" s="8"/>
      <c r="K1139" s="8"/>
      <c r="L1139" s="8"/>
      <c r="M1139" s="8"/>
      <c r="N1139" s="8"/>
      <c r="O1139" s="8"/>
      <c r="P1139" s="8"/>
      <c r="Q1139" s="8"/>
      <c r="R1139" s="8"/>
      <c r="S1139" s="8"/>
      <c r="T1139" s="8"/>
      <c r="U1139" s="8"/>
      <c r="V1139" s="8"/>
      <c r="W1139" s="8"/>
      <c r="X1139" s="8"/>
      <c r="Y1139" s="8"/>
      <c r="Z1139" s="8"/>
      <c r="AA1139" s="8"/>
      <c r="AB1139" s="8"/>
      <c r="AC1139" s="8"/>
      <c r="AD1139" s="8"/>
      <c r="AE1139" s="8"/>
      <c r="AF1139" s="8"/>
    </row>
    <row r="1140" spans="1:32" ht="14.4" x14ac:dyDescent="0.3">
      <c r="A1140" s="8"/>
      <c r="B1140" s="8"/>
      <c r="C1140" s="8"/>
      <c r="D1140" s="8"/>
      <c r="E1140" s="8"/>
      <c r="F1140" s="8"/>
      <c r="G1140" s="8"/>
      <c r="H1140" s="8"/>
      <c r="I1140" s="8"/>
      <c r="J1140" s="8"/>
      <c r="K1140" s="8"/>
      <c r="L1140" s="8"/>
      <c r="M1140" s="8"/>
      <c r="N1140" s="8"/>
      <c r="O1140" s="8"/>
      <c r="P1140" s="8"/>
      <c r="Q1140" s="8"/>
      <c r="R1140" s="8"/>
      <c r="S1140" s="8"/>
      <c r="T1140" s="8"/>
      <c r="U1140" s="8"/>
      <c r="V1140" s="8"/>
      <c r="W1140" s="8"/>
      <c r="X1140" s="8"/>
      <c r="Y1140" s="8"/>
      <c r="Z1140" s="8"/>
      <c r="AA1140" s="8"/>
      <c r="AB1140" s="8"/>
      <c r="AC1140" s="8"/>
      <c r="AD1140" s="8"/>
      <c r="AE1140" s="8"/>
      <c r="AF1140" s="8"/>
    </row>
    <row r="1141" spans="1:32" ht="14.4" x14ac:dyDescent="0.3">
      <c r="A1141" s="8"/>
      <c r="B1141" s="8"/>
      <c r="C1141" s="8"/>
      <c r="D1141" s="8"/>
      <c r="E1141" s="8"/>
      <c r="F1141" s="8"/>
      <c r="G1141" s="8"/>
      <c r="H1141" s="8"/>
      <c r="I1141" s="8"/>
      <c r="J1141" s="8"/>
      <c r="K1141" s="8"/>
      <c r="L1141" s="8"/>
      <c r="M1141" s="8"/>
      <c r="N1141" s="8"/>
      <c r="O1141" s="8"/>
      <c r="P1141" s="8"/>
      <c r="Q1141" s="8"/>
      <c r="R1141" s="8"/>
      <c r="S1141" s="8"/>
      <c r="T1141" s="8"/>
      <c r="U1141" s="8"/>
      <c r="V1141" s="8"/>
      <c r="W1141" s="8"/>
      <c r="X1141" s="8"/>
      <c r="Y1141" s="8"/>
      <c r="Z1141" s="8"/>
      <c r="AA1141" s="8"/>
      <c r="AB1141" s="8"/>
      <c r="AC1141" s="8"/>
      <c r="AD1141" s="8"/>
      <c r="AE1141" s="8"/>
      <c r="AF1141" s="8"/>
    </row>
    <row r="1142" spans="1:32" ht="14.4" x14ac:dyDescent="0.3">
      <c r="A1142" s="8"/>
      <c r="B1142" s="8"/>
      <c r="C1142" s="8"/>
      <c r="D1142" s="8"/>
      <c r="E1142" s="8"/>
      <c r="F1142" s="8"/>
      <c r="G1142" s="8"/>
      <c r="H1142" s="8"/>
      <c r="I1142" s="8"/>
      <c r="J1142" s="8"/>
      <c r="K1142" s="8"/>
      <c r="L1142" s="8"/>
      <c r="M1142" s="8"/>
      <c r="N1142" s="8"/>
      <c r="O1142" s="8"/>
      <c r="P1142" s="8"/>
      <c r="Q1142" s="8"/>
      <c r="R1142" s="8"/>
      <c r="S1142" s="8"/>
      <c r="T1142" s="8"/>
      <c r="U1142" s="8"/>
      <c r="V1142" s="8"/>
      <c r="W1142" s="8"/>
      <c r="X1142" s="8"/>
      <c r="Y1142" s="8"/>
      <c r="Z1142" s="8"/>
      <c r="AA1142" s="8"/>
      <c r="AB1142" s="8"/>
      <c r="AC1142" s="8"/>
      <c r="AD1142" s="8"/>
      <c r="AE1142" s="8"/>
      <c r="AF1142" s="8"/>
    </row>
    <row r="1143" spans="1:32" ht="14.4" x14ac:dyDescent="0.3">
      <c r="A1143" s="8"/>
      <c r="B1143" s="8"/>
      <c r="C1143" s="8"/>
      <c r="D1143" s="8"/>
      <c r="E1143" s="8"/>
      <c r="F1143" s="8"/>
      <c r="G1143" s="8"/>
      <c r="H1143" s="8"/>
      <c r="I1143" s="8"/>
      <c r="J1143" s="8"/>
      <c r="K1143" s="8"/>
      <c r="L1143" s="8"/>
      <c r="M1143" s="8"/>
      <c r="N1143" s="8"/>
      <c r="O1143" s="8"/>
      <c r="P1143" s="8"/>
      <c r="Q1143" s="8"/>
      <c r="R1143" s="8"/>
      <c r="S1143" s="8"/>
      <c r="T1143" s="8"/>
      <c r="U1143" s="8"/>
      <c r="V1143" s="8"/>
      <c r="W1143" s="8"/>
      <c r="X1143" s="8"/>
      <c r="Y1143" s="8"/>
      <c r="Z1143" s="8"/>
      <c r="AA1143" s="8"/>
      <c r="AB1143" s="8"/>
      <c r="AC1143" s="8"/>
      <c r="AD1143" s="8"/>
      <c r="AE1143" s="8"/>
      <c r="AF1143" s="8"/>
    </row>
    <row r="1144" spans="1:32" ht="14.4" x14ac:dyDescent="0.3">
      <c r="A1144" s="8"/>
      <c r="B1144" s="8"/>
      <c r="C1144" s="8"/>
      <c r="D1144" s="8"/>
      <c r="E1144" s="8"/>
      <c r="F1144" s="8"/>
      <c r="G1144" s="8"/>
      <c r="H1144" s="8"/>
      <c r="I1144" s="8"/>
      <c r="J1144" s="8"/>
      <c r="K1144" s="8"/>
      <c r="L1144" s="8"/>
      <c r="M1144" s="8"/>
      <c r="N1144" s="8"/>
      <c r="O1144" s="8"/>
      <c r="P1144" s="8"/>
      <c r="Q1144" s="8"/>
      <c r="R1144" s="8"/>
      <c r="S1144" s="8"/>
      <c r="T1144" s="8"/>
      <c r="U1144" s="8"/>
      <c r="V1144" s="8"/>
      <c r="W1144" s="8"/>
      <c r="X1144" s="8"/>
      <c r="Y1144" s="8"/>
      <c r="Z1144" s="8"/>
      <c r="AA1144" s="8"/>
      <c r="AB1144" s="8"/>
      <c r="AC1144" s="8"/>
      <c r="AD1144" s="8"/>
      <c r="AE1144" s="8"/>
      <c r="AF1144" s="8"/>
    </row>
    <row r="1145" spans="1:32" ht="14.4" x14ac:dyDescent="0.3">
      <c r="A1145" s="8"/>
      <c r="B1145" s="8"/>
      <c r="C1145" s="8"/>
      <c r="D1145" s="8"/>
      <c r="E1145" s="8"/>
      <c r="F1145" s="8"/>
      <c r="G1145" s="8"/>
      <c r="H1145" s="8"/>
      <c r="I1145" s="8"/>
      <c r="J1145" s="8"/>
      <c r="K1145" s="8"/>
      <c r="L1145" s="8"/>
      <c r="M1145" s="8"/>
      <c r="N1145" s="8"/>
      <c r="O1145" s="8"/>
      <c r="P1145" s="8"/>
      <c r="Q1145" s="8"/>
      <c r="R1145" s="8"/>
      <c r="S1145" s="8"/>
      <c r="T1145" s="8"/>
      <c r="U1145" s="8"/>
      <c r="V1145" s="8"/>
      <c r="W1145" s="8"/>
      <c r="X1145" s="8"/>
      <c r="Y1145" s="8"/>
      <c r="Z1145" s="8"/>
      <c r="AA1145" s="8"/>
      <c r="AB1145" s="8"/>
      <c r="AC1145" s="8"/>
      <c r="AD1145" s="8"/>
      <c r="AE1145" s="8"/>
      <c r="AF1145" s="8"/>
    </row>
    <row r="1146" spans="1:32" ht="14.4" x14ac:dyDescent="0.3">
      <c r="A1146" s="8"/>
      <c r="B1146" s="8"/>
      <c r="C1146" s="8"/>
      <c r="D1146" s="8"/>
      <c r="E1146" s="8"/>
      <c r="F1146" s="8"/>
      <c r="G1146" s="8"/>
      <c r="H1146" s="8"/>
      <c r="I1146" s="8"/>
      <c r="J1146" s="8"/>
      <c r="K1146" s="8"/>
      <c r="L1146" s="8"/>
      <c r="M1146" s="8"/>
      <c r="N1146" s="8"/>
      <c r="O1146" s="8"/>
      <c r="P1146" s="8"/>
      <c r="Q1146" s="8"/>
      <c r="R1146" s="8"/>
      <c r="S1146" s="8"/>
      <c r="T1146" s="8"/>
      <c r="U1146" s="8"/>
      <c r="V1146" s="8"/>
      <c r="W1146" s="8"/>
      <c r="X1146" s="8"/>
      <c r="Y1146" s="8"/>
      <c r="Z1146" s="8"/>
      <c r="AA1146" s="8"/>
      <c r="AB1146" s="8"/>
      <c r="AC1146" s="8"/>
      <c r="AD1146" s="8"/>
      <c r="AE1146" s="8"/>
      <c r="AF1146" s="8"/>
    </row>
    <row r="1147" spans="1:32" ht="14.4" x14ac:dyDescent="0.3">
      <c r="A1147" s="8"/>
      <c r="B1147" s="8"/>
      <c r="C1147" s="8"/>
      <c r="D1147" s="8"/>
      <c r="E1147" s="8"/>
      <c r="F1147" s="8"/>
      <c r="G1147" s="8"/>
      <c r="H1147" s="8"/>
      <c r="I1147" s="8"/>
      <c r="J1147" s="8"/>
      <c r="K1147" s="8"/>
      <c r="L1147" s="8"/>
      <c r="M1147" s="8"/>
      <c r="N1147" s="8"/>
      <c r="O1147" s="8"/>
      <c r="P1147" s="8"/>
      <c r="Q1147" s="8"/>
      <c r="R1147" s="8"/>
      <c r="S1147" s="8"/>
      <c r="T1147" s="8"/>
      <c r="U1147" s="8"/>
      <c r="V1147" s="8"/>
      <c r="W1147" s="8"/>
      <c r="X1147" s="8"/>
      <c r="Y1147" s="8"/>
      <c r="Z1147" s="8"/>
      <c r="AA1147" s="8"/>
      <c r="AB1147" s="8"/>
      <c r="AC1147" s="8"/>
      <c r="AD1147" s="8"/>
      <c r="AE1147" s="8"/>
      <c r="AF1147" s="8"/>
    </row>
    <row r="1148" spans="1:32" ht="14.4" x14ac:dyDescent="0.3">
      <c r="A1148" s="8"/>
      <c r="B1148" s="8"/>
      <c r="C1148" s="8"/>
      <c r="D1148" s="8"/>
      <c r="E1148" s="8"/>
      <c r="F1148" s="8"/>
      <c r="G1148" s="8"/>
      <c r="H1148" s="8"/>
      <c r="I1148" s="8"/>
      <c r="J1148" s="8"/>
      <c r="K1148" s="8"/>
      <c r="L1148" s="8"/>
      <c r="M1148" s="8"/>
      <c r="N1148" s="8"/>
      <c r="O1148" s="8"/>
      <c r="P1148" s="8"/>
      <c r="Q1148" s="8"/>
      <c r="R1148" s="8"/>
      <c r="S1148" s="8"/>
      <c r="T1148" s="8"/>
      <c r="U1148" s="8"/>
      <c r="V1148" s="8"/>
      <c r="W1148" s="8"/>
      <c r="X1148" s="8"/>
      <c r="Y1148" s="8"/>
      <c r="Z1148" s="8"/>
      <c r="AA1148" s="8"/>
      <c r="AB1148" s="8"/>
      <c r="AC1148" s="8"/>
      <c r="AD1148" s="8"/>
      <c r="AE1148" s="8"/>
      <c r="AF1148" s="8"/>
    </row>
    <row r="1149" spans="1:32" ht="14.4" x14ac:dyDescent="0.3">
      <c r="A1149" s="8"/>
      <c r="B1149" s="8"/>
      <c r="C1149" s="8"/>
      <c r="D1149" s="8"/>
      <c r="E1149" s="8"/>
      <c r="F1149" s="8"/>
      <c r="G1149" s="8"/>
      <c r="H1149" s="8"/>
      <c r="I1149" s="8"/>
      <c r="J1149" s="8"/>
      <c r="K1149" s="8"/>
      <c r="L1149" s="8"/>
      <c r="M1149" s="8"/>
      <c r="N1149" s="8"/>
      <c r="O1149" s="8"/>
      <c r="P1149" s="8"/>
      <c r="Q1149" s="8"/>
      <c r="R1149" s="8"/>
      <c r="S1149" s="8"/>
      <c r="T1149" s="8"/>
      <c r="U1149" s="8"/>
      <c r="V1149" s="8"/>
      <c r="W1149" s="8"/>
      <c r="X1149" s="8"/>
      <c r="Y1149" s="8"/>
      <c r="Z1149" s="8"/>
      <c r="AA1149" s="8"/>
      <c r="AB1149" s="8"/>
      <c r="AC1149" s="8"/>
      <c r="AD1149" s="8"/>
      <c r="AE1149" s="8"/>
      <c r="AF1149" s="8"/>
    </row>
    <row r="1150" spans="1:32" ht="14.4" x14ac:dyDescent="0.3">
      <c r="A1150" s="8"/>
      <c r="B1150" s="8"/>
      <c r="C1150" s="8"/>
      <c r="D1150" s="8"/>
      <c r="E1150" s="8"/>
      <c r="F1150" s="8"/>
      <c r="G1150" s="8"/>
      <c r="H1150" s="8"/>
      <c r="I1150" s="8"/>
      <c r="J1150" s="8"/>
      <c r="K1150" s="8"/>
      <c r="L1150" s="8"/>
      <c r="M1150" s="8"/>
      <c r="N1150" s="8"/>
      <c r="O1150" s="8"/>
      <c r="P1150" s="8"/>
      <c r="Q1150" s="8"/>
      <c r="R1150" s="8"/>
      <c r="S1150" s="8"/>
      <c r="T1150" s="8"/>
      <c r="U1150" s="8"/>
      <c r="V1150" s="8"/>
      <c r="W1150" s="8"/>
      <c r="X1150" s="8"/>
      <c r="Y1150" s="8"/>
      <c r="Z1150" s="8"/>
      <c r="AA1150" s="8"/>
      <c r="AB1150" s="8"/>
      <c r="AC1150" s="8"/>
      <c r="AD1150" s="8"/>
      <c r="AE1150" s="8"/>
      <c r="AF1150" s="8"/>
    </row>
    <row r="1151" spans="1:32" ht="14.4" x14ac:dyDescent="0.3">
      <c r="A1151" s="8"/>
      <c r="B1151" s="8"/>
      <c r="C1151" s="8"/>
      <c r="D1151" s="8"/>
      <c r="E1151" s="8"/>
      <c r="F1151" s="8"/>
      <c r="G1151" s="8"/>
      <c r="H1151" s="8"/>
      <c r="I1151" s="8"/>
      <c r="J1151" s="8"/>
      <c r="K1151" s="8"/>
      <c r="L1151" s="8"/>
      <c r="M1151" s="8"/>
      <c r="N1151" s="8"/>
      <c r="O1151" s="8"/>
      <c r="P1151" s="8"/>
      <c r="Q1151" s="8"/>
      <c r="R1151" s="8"/>
      <c r="S1151" s="8"/>
      <c r="T1151" s="8"/>
      <c r="U1151" s="8"/>
      <c r="V1151" s="8"/>
      <c r="W1151" s="8"/>
      <c r="X1151" s="8"/>
      <c r="Y1151" s="8"/>
      <c r="Z1151" s="8"/>
      <c r="AA1151" s="8"/>
      <c r="AB1151" s="8"/>
      <c r="AC1151" s="8"/>
      <c r="AD1151" s="8"/>
      <c r="AE1151" s="8"/>
      <c r="AF1151" s="8"/>
    </row>
    <row r="1152" spans="1:32" ht="14.4" x14ac:dyDescent="0.3">
      <c r="A1152" s="8"/>
      <c r="B1152" s="8"/>
      <c r="C1152" s="8"/>
      <c r="D1152" s="8"/>
      <c r="E1152" s="8"/>
      <c r="F1152" s="8"/>
      <c r="G1152" s="8"/>
      <c r="H1152" s="8"/>
      <c r="I1152" s="8"/>
      <c r="J1152" s="8"/>
      <c r="K1152" s="8"/>
      <c r="L1152" s="8"/>
      <c r="M1152" s="8"/>
      <c r="N1152" s="8"/>
      <c r="O1152" s="8"/>
      <c r="P1152" s="8"/>
      <c r="Q1152" s="8"/>
      <c r="R1152" s="8"/>
      <c r="S1152" s="8"/>
      <c r="T1152" s="8"/>
      <c r="U1152" s="8"/>
      <c r="V1152" s="8"/>
      <c r="W1152" s="8"/>
      <c r="X1152" s="8"/>
      <c r="Y1152" s="8"/>
      <c r="Z1152" s="8"/>
      <c r="AA1152" s="8"/>
      <c r="AB1152" s="8"/>
      <c r="AC1152" s="8"/>
      <c r="AD1152" s="8"/>
      <c r="AE1152" s="8"/>
      <c r="AF1152" s="8"/>
    </row>
    <row r="1153" spans="1:32" ht="14.4" x14ac:dyDescent="0.3">
      <c r="A1153" s="8"/>
      <c r="B1153" s="8"/>
      <c r="C1153" s="8"/>
      <c r="D1153" s="8"/>
      <c r="E1153" s="8"/>
      <c r="F1153" s="8"/>
      <c r="G1153" s="8"/>
      <c r="H1153" s="8"/>
      <c r="I1153" s="8"/>
      <c r="J1153" s="8"/>
      <c r="K1153" s="8"/>
      <c r="L1153" s="8"/>
      <c r="M1153" s="8"/>
      <c r="N1153" s="8"/>
      <c r="O1153" s="8"/>
      <c r="P1153" s="8"/>
      <c r="Q1153" s="8"/>
      <c r="R1153" s="8"/>
      <c r="S1153" s="8"/>
      <c r="T1153" s="8"/>
      <c r="U1153" s="8"/>
      <c r="V1153" s="8"/>
      <c r="W1153" s="8"/>
      <c r="X1153" s="8"/>
      <c r="Y1153" s="8"/>
      <c r="Z1153" s="8"/>
      <c r="AA1153" s="8"/>
      <c r="AB1153" s="8"/>
      <c r="AC1153" s="8"/>
      <c r="AD1153" s="8"/>
      <c r="AE1153" s="8"/>
      <c r="AF1153" s="8"/>
    </row>
    <row r="1154" spans="1:32" ht="14.4" x14ac:dyDescent="0.3">
      <c r="A1154" s="8"/>
      <c r="B1154" s="8"/>
      <c r="C1154" s="8"/>
      <c r="D1154" s="8"/>
      <c r="E1154" s="8"/>
      <c r="F1154" s="8"/>
      <c r="G1154" s="8"/>
      <c r="H1154" s="8"/>
      <c r="I1154" s="8"/>
      <c r="J1154" s="8"/>
      <c r="K1154" s="8"/>
      <c r="L1154" s="8"/>
      <c r="M1154" s="8"/>
      <c r="N1154" s="8"/>
      <c r="O1154" s="8"/>
      <c r="P1154" s="8"/>
      <c r="Q1154" s="8"/>
      <c r="R1154" s="8"/>
      <c r="S1154" s="8"/>
      <c r="T1154" s="8"/>
      <c r="U1154" s="8"/>
      <c r="V1154" s="8"/>
      <c r="W1154" s="8"/>
      <c r="X1154" s="8"/>
      <c r="Y1154" s="8"/>
      <c r="Z1154" s="8"/>
      <c r="AA1154" s="8"/>
      <c r="AB1154" s="8"/>
      <c r="AC1154" s="8"/>
      <c r="AD1154" s="8"/>
      <c r="AE1154" s="8"/>
      <c r="AF1154" s="8"/>
    </row>
    <row r="1155" spans="1:32" ht="14.4" x14ac:dyDescent="0.3">
      <c r="A1155" s="8"/>
      <c r="B1155" s="8"/>
      <c r="C1155" s="8"/>
      <c r="D1155" s="8"/>
      <c r="E1155" s="8"/>
      <c r="F1155" s="8"/>
      <c r="G1155" s="8"/>
      <c r="H1155" s="8"/>
      <c r="I1155" s="8"/>
      <c r="J1155" s="8"/>
      <c r="K1155" s="8"/>
      <c r="L1155" s="8"/>
      <c r="M1155" s="8"/>
      <c r="N1155" s="8"/>
      <c r="O1155" s="8"/>
      <c r="P1155" s="8"/>
      <c r="Q1155" s="8"/>
      <c r="R1155" s="8"/>
      <c r="S1155" s="8"/>
      <c r="T1155" s="8"/>
      <c r="U1155" s="8"/>
      <c r="V1155" s="8"/>
      <c r="W1155" s="8"/>
      <c r="X1155" s="8"/>
      <c r="Y1155" s="8"/>
      <c r="Z1155" s="8"/>
      <c r="AA1155" s="8"/>
      <c r="AB1155" s="8"/>
      <c r="AC1155" s="8"/>
      <c r="AD1155" s="8"/>
      <c r="AE1155" s="8"/>
      <c r="AF1155" s="8"/>
    </row>
    <row r="1156" spans="1:32" ht="14.4" x14ac:dyDescent="0.3">
      <c r="A1156" s="8"/>
      <c r="B1156" s="8"/>
      <c r="C1156" s="8"/>
      <c r="D1156" s="8"/>
      <c r="E1156" s="8"/>
      <c r="F1156" s="8"/>
      <c r="G1156" s="8"/>
      <c r="H1156" s="8"/>
      <c r="I1156" s="8"/>
      <c r="J1156" s="8"/>
      <c r="K1156" s="8"/>
      <c r="L1156" s="8"/>
      <c r="M1156" s="8"/>
      <c r="N1156" s="8"/>
      <c r="O1156" s="8"/>
      <c r="P1156" s="8"/>
      <c r="Q1156" s="8"/>
      <c r="R1156" s="8"/>
      <c r="S1156" s="8"/>
      <c r="T1156" s="8"/>
      <c r="U1156" s="8"/>
      <c r="V1156" s="8"/>
      <c r="W1156" s="8"/>
      <c r="X1156" s="8"/>
      <c r="Y1156" s="8"/>
      <c r="Z1156" s="8"/>
      <c r="AA1156" s="8"/>
      <c r="AB1156" s="8"/>
      <c r="AC1156" s="8"/>
      <c r="AD1156" s="8"/>
      <c r="AE1156" s="8"/>
      <c r="AF1156" s="8"/>
    </row>
    <row r="1157" spans="1:32" ht="14.4" x14ac:dyDescent="0.3">
      <c r="A1157" s="8"/>
      <c r="B1157" s="8"/>
      <c r="C1157" s="8"/>
      <c r="D1157" s="8"/>
      <c r="E1157" s="8"/>
      <c r="F1157" s="8"/>
      <c r="G1157" s="8"/>
      <c r="H1157" s="8"/>
      <c r="I1157" s="8"/>
      <c r="J1157" s="8"/>
      <c r="K1157" s="8"/>
      <c r="L1157" s="8"/>
      <c r="M1157" s="8"/>
      <c r="N1157" s="8"/>
      <c r="O1157" s="8"/>
      <c r="P1157" s="8"/>
      <c r="Q1157" s="8"/>
      <c r="R1157" s="8"/>
      <c r="S1157" s="8"/>
      <c r="T1157" s="8"/>
      <c r="U1157" s="8"/>
      <c r="V1157" s="8"/>
      <c r="W1157" s="8"/>
      <c r="X1157" s="8"/>
      <c r="Y1157" s="8"/>
      <c r="Z1157" s="8"/>
      <c r="AA1157" s="8"/>
      <c r="AB1157" s="8"/>
      <c r="AC1157" s="8"/>
      <c r="AD1157" s="8"/>
      <c r="AE1157" s="8"/>
      <c r="AF1157" s="8"/>
    </row>
    <row r="1158" spans="1:32" ht="14.4" x14ac:dyDescent="0.3">
      <c r="A1158" s="8"/>
      <c r="B1158" s="8"/>
      <c r="C1158" s="8"/>
      <c r="D1158" s="8"/>
      <c r="E1158" s="8"/>
      <c r="F1158" s="8"/>
      <c r="G1158" s="8"/>
      <c r="H1158" s="8"/>
      <c r="I1158" s="8"/>
      <c r="J1158" s="8"/>
      <c r="K1158" s="8"/>
      <c r="L1158" s="8"/>
      <c r="M1158" s="8"/>
      <c r="N1158" s="8"/>
      <c r="O1158" s="8"/>
      <c r="P1158" s="8"/>
      <c r="Q1158" s="8"/>
      <c r="R1158" s="8"/>
      <c r="S1158" s="8"/>
      <c r="T1158" s="8"/>
      <c r="U1158" s="8"/>
      <c r="V1158" s="8"/>
      <c r="W1158" s="8"/>
      <c r="X1158" s="8"/>
      <c r="Y1158" s="8"/>
      <c r="Z1158" s="8"/>
      <c r="AA1158" s="8"/>
      <c r="AB1158" s="8"/>
      <c r="AC1158" s="8"/>
      <c r="AD1158" s="8"/>
      <c r="AE1158" s="8"/>
      <c r="AF1158" s="8"/>
    </row>
    <row r="1159" spans="1:32" ht="14.4" x14ac:dyDescent="0.3">
      <c r="A1159" s="8"/>
      <c r="B1159" s="8"/>
      <c r="C1159" s="8"/>
      <c r="D1159" s="8"/>
      <c r="E1159" s="8"/>
      <c r="F1159" s="8"/>
      <c r="G1159" s="8"/>
      <c r="H1159" s="8"/>
      <c r="I1159" s="8"/>
      <c r="J1159" s="8"/>
      <c r="K1159" s="8"/>
      <c r="L1159" s="8"/>
      <c r="M1159" s="8"/>
      <c r="N1159" s="8"/>
      <c r="O1159" s="8"/>
      <c r="P1159" s="8"/>
      <c r="Q1159" s="8"/>
      <c r="R1159" s="8"/>
      <c r="S1159" s="8"/>
      <c r="T1159" s="8"/>
      <c r="U1159" s="8"/>
      <c r="V1159" s="8"/>
      <c r="W1159" s="8"/>
      <c r="X1159" s="8"/>
      <c r="Y1159" s="8"/>
      <c r="Z1159" s="8"/>
      <c r="AA1159" s="8"/>
      <c r="AB1159" s="8"/>
      <c r="AC1159" s="8"/>
      <c r="AD1159" s="8"/>
      <c r="AE1159" s="8"/>
      <c r="AF1159" s="8"/>
    </row>
    <row r="1160" spans="1:32" ht="14.4" x14ac:dyDescent="0.3">
      <c r="A1160" s="8"/>
      <c r="B1160" s="8"/>
      <c r="C1160" s="8"/>
      <c r="D1160" s="8"/>
      <c r="E1160" s="8"/>
      <c r="F1160" s="8"/>
      <c r="G1160" s="8"/>
      <c r="H1160" s="8"/>
      <c r="I1160" s="8"/>
      <c r="J1160" s="8"/>
      <c r="K1160" s="8"/>
      <c r="L1160" s="8"/>
      <c r="M1160" s="8"/>
      <c r="N1160" s="8"/>
      <c r="O1160" s="8"/>
      <c r="P1160" s="8"/>
      <c r="Q1160" s="8"/>
      <c r="R1160" s="8"/>
      <c r="S1160" s="8"/>
      <c r="T1160" s="8"/>
      <c r="U1160" s="8"/>
      <c r="V1160" s="8"/>
      <c r="W1160" s="8"/>
      <c r="X1160" s="8"/>
      <c r="Y1160" s="8"/>
      <c r="Z1160" s="8"/>
      <c r="AA1160" s="8"/>
      <c r="AB1160" s="8"/>
      <c r="AC1160" s="8"/>
      <c r="AD1160" s="8"/>
      <c r="AE1160" s="8"/>
      <c r="AF1160" s="8"/>
    </row>
    <row r="1161" spans="1:32" ht="14.4" x14ac:dyDescent="0.3">
      <c r="A1161" s="8"/>
      <c r="B1161" s="8"/>
      <c r="C1161" s="8"/>
      <c r="D1161" s="8"/>
      <c r="E1161" s="8"/>
      <c r="F1161" s="8"/>
      <c r="G1161" s="8"/>
      <c r="H1161" s="8"/>
      <c r="I1161" s="8"/>
      <c r="J1161" s="8"/>
      <c r="K1161" s="8"/>
      <c r="L1161" s="8"/>
      <c r="M1161" s="8"/>
      <c r="N1161" s="8"/>
      <c r="O1161" s="8"/>
      <c r="P1161" s="8"/>
      <c r="Q1161" s="8"/>
      <c r="R1161" s="8"/>
      <c r="S1161" s="8"/>
      <c r="T1161" s="8"/>
      <c r="U1161" s="8"/>
      <c r="V1161" s="8"/>
      <c r="W1161" s="8"/>
      <c r="X1161" s="8"/>
      <c r="Y1161" s="8"/>
      <c r="Z1161" s="8"/>
      <c r="AA1161" s="8"/>
      <c r="AB1161" s="8"/>
      <c r="AC1161" s="8"/>
      <c r="AD1161" s="8"/>
      <c r="AE1161" s="8"/>
      <c r="AF1161" s="8"/>
    </row>
    <row r="1162" spans="1:32" ht="14.4" x14ac:dyDescent="0.3">
      <c r="A1162" s="8"/>
      <c r="B1162" s="8"/>
      <c r="C1162" s="8"/>
      <c r="D1162" s="8"/>
      <c r="E1162" s="8"/>
      <c r="F1162" s="8"/>
      <c r="G1162" s="8"/>
      <c r="H1162" s="8"/>
      <c r="I1162" s="8"/>
      <c r="J1162" s="8"/>
      <c r="K1162" s="8"/>
      <c r="L1162" s="8"/>
      <c r="M1162" s="8"/>
      <c r="N1162" s="8"/>
      <c r="O1162" s="8"/>
      <c r="P1162" s="8"/>
      <c r="Q1162" s="8"/>
      <c r="R1162" s="8"/>
      <c r="S1162" s="8"/>
      <c r="T1162" s="8"/>
      <c r="U1162" s="8"/>
      <c r="V1162" s="8"/>
      <c r="W1162" s="8"/>
      <c r="X1162" s="8"/>
      <c r="Y1162" s="8"/>
      <c r="Z1162" s="8"/>
      <c r="AA1162" s="8"/>
      <c r="AB1162" s="8"/>
      <c r="AC1162" s="8"/>
      <c r="AD1162" s="8"/>
      <c r="AE1162" s="8"/>
      <c r="AF1162" s="8"/>
    </row>
    <row r="1163" spans="1:32" ht="14.4" x14ac:dyDescent="0.3">
      <c r="A1163" s="8"/>
      <c r="B1163" s="8"/>
      <c r="C1163" s="8"/>
      <c r="D1163" s="8"/>
      <c r="E1163" s="8"/>
      <c r="F1163" s="8"/>
      <c r="G1163" s="8"/>
      <c r="H1163" s="8"/>
      <c r="I1163" s="8"/>
      <c r="J1163" s="8"/>
      <c r="K1163" s="8"/>
      <c r="L1163" s="8"/>
      <c r="M1163" s="8"/>
      <c r="N1163" s="8"/>
      <c r="O1163" s="8"/>
      <c r="P1163" s="8"/>
      <c r="Q1163" s="8"/>
      <c r="R1163" s="8"/>
      <c r="S1163" s="8"/>
      <c r="T1163" s="8"/>
      <c r="U1163" s="8"/>
      <c r="V1163" s="8"/>
      <c r="W1163" s="8"/>
      <c r="X1163" s="8"/>
      <c r="Y1163" s="8"/>
      <c r="Z1163" s="8"/>
      <c r="AA1163" s="8"/>
      <c r="AB1163" s="8"/>
      <c r="AC1163" s="8"/>
      <c r="AD1163" s="8"/>
      <c r="AE1163" s="8"/>
      <c r="AF1163" s="8"/>
    </row>
    <row r="1164" spans="1:32" ht="14.4" x14ac:dyDescent="0.3">
      <c r="A1164" s="8"/>
      <c r="B1164" s="8"/>
      <c r="C1164" s="8"/>
      <c r="D1164" s="8"/>
      <c r="E1164" s="8"/>
      <c r="F1164" s="8"/>
      <c r="G1164" s="8"/>
      <c r="H1164" s="8"/>
      <c r="I1164" s="8"/>
      <c r="J1164" s="8"/>
      <c r="K1164" s="8"/>
      <c r="L1164" s="8"/>
      <c r="M1164" s="8"/>
      <c r="N1164" s="8"/>
      <c r="O1164" s="8"/>
      <c r="P1164" s="8"/>
      <c r="Q1164" s="8"/>
      <c r="R1164" s="8"/>
      <c r="S1164" s="8"/>
      <c r="T1164" s="8"/>
      <c r="U1164" s="8"/>
      <c r="V1164" s="8"/>
      <c r="W1164" s="8"/>
      <c r="X1164" s="8"/>
      <c r="Y1164" s="8"/>
      <c r="Z1164" s="8"/>
      <c r="AA1164" s="8"/>
      <c r="AB1164" s="8"/>
      <c r="AC1164" s="8"/>
      <c r="AD1164" s="8"/>
      <c r="AE1164" s="8"/>
      <c r="AF1164" s="8"/>
    </row>
    <row r="1165" spans="1:32" ht="14.4" x14ac:dyDescent="0.3">
      <c r="A1165" s="8"/>
      <c r="B1165" s="8"/>
      <c r="C1165" s="8"/>
      <c r="D1165" s="8"/>
      <c r="E1165" s="8"/>
      <c r="F1165" s="8"/>
      <c r="G1165" s="8"/>
      <c r="H1165" s="8"/>
      <c r="I1165" s="8"/>
      <c r="J1165" s="8"/>
      <c r="K1165" s="8"/>
      <c r="L1165" s="8"/>
      <c r="M1165" s="8"/>
      <c r="N1165" s="8"/>
      <c r="O1165" s="8"/>
      <c r="P1165" s="8"/>
      <c r="Q1165" s="8"/>
      <c r="R1165" s="8"/>
      <c r="S1165" s="8"/>
      <c r="T1165" s="8"/>
      <c r="U1165" s="8"/>
      <c r="V1165" s="8"/>
      <c r="W1165" s="8"/>
      <c r="X1165" s="8"/>
      <c r="Y1165" s="8"/>
      <c r="Z1165" s="8"/>
      <c r="AA1165" s="8"/>
      <c r="AB1165" s="8"/>
      <c r="AC1165" s="8"/>
      <c r="AD1165" s="8"/>
      <c r="AE1165" s="8"/>
      <c r="AF1165" s="8"/>
    </row>
    <row r="1166" spans="1:32" ht="14.4" x14ac:dyDescent="0.3">
      <c r="A1166" s="8"/>
      <c r="B1166" s="8"/>
      <c r="C1166" s="8"/>
      <c r="D1166" s="8"/>
      <c r="E1166" s="8"/>
      <c r="F1166" s="8"/>
      <c r="G1166" s="8"/>
      <c r="H1166" s="8"/>
      <c r="I1166" s="8"/>
      <c r="J1166" s="8"/>
      <c r="K1166" s="8"/>
      <c r="L1166" s="8"/>
      <c r="M1166" s="8"/>
      <c r="N1166" s="8"/>
      <c r="O1166" s="8"/>
      <c r="P1166" s="8"/>
      <c r="Q1166" s="8"/>
      <c r="R1166" s="8"/>
      <c r="S1166" s="8"/>
      <c r="T1166" s="8"/>
      <c r="U1166" s="8"/>
      <c r="V1166" s="8"/>
      <c r="W1166" s="8"/>
      <c r="X1166" s="8"/>
      <c r="Y1166" s="8"/>
      <c r="Z1166" s="8"/>
      <c r="AA1166" s="8"/>
      <c r="AB1166" s="8"/>
      <c r="AC1166" s="8"/>
      <c r="AD1166" s="8"/>
      <c r="AE1166" s="8"/>
      <c r="AF1166" s="8"/>
    </row>
    <row r="1167" spans="1:32" ht="14.4" x14ac:dyDescent="0.3">
      <c r="A1167" s="8"/>
      <c r="B1167" s="8"/>
      <c r="C1167" s="8"/>
      <c r="D1167" s="8"/>
      <c r="E1167" s="8"/>
      <c r="F1167" s="8"/>
      <c r="G1167" s="8"/>
      <c r="H1167" s="8"/>
      <c r="I1167" s="8"/>
      <c r="J1167" s="8"/>
      <c r="K1167" s="8"/>
      <c r="L1167" s="8"/>
      <c r="M1167" s="8"/>
      <c r="N1167" s="8"/>
      <c r="O1167" s="8"/>
      <c r="P1167" s="8"/>
      <c r="Q1167" s="8"/>
      <c r="R1167" s="8"/>
      <c r="S1167" s="8"/>
      <c r="T1167" s="8"/>
      <c r="U1167" s="8"/>
      <c r="V1167" s="8"/>
      <c r="W1167" s="8"/>
      <c r="X1167" s="8"/>
      <c r="Y1167" s="8"/>
      <c r="Z1167" s="8"/>
      <c r="AA1167" s="8"/>
      <c r="AB1167" s="8"/>
      <c r="AC1167" s="8"/>
      <c r="AD1167" s="8"/>
      <c r="AE1167" s="8"/>
      <c r="AF1167" s="8"/>
    </row>
    <row r="1168" spans="1:32" ht="14.4" x14ac:dyDescent="0.3">
      <c r="A1168" s="8"/>
      <c r="B1168" s="8"/>
      <c r="C1168" s="8"/>
      <c r="D1168" s="8"/>
      <c r="E1168" s="8"/>
      <c r="F1168" s="8"/>
      <c r="G1168" s="8"/>
      <c r="H1168" s="8"/>
      <c r="I1168" s="8"/>
      <c r="J1168" s="8"/>
      <c r="K1168" s="8"/>
      <c r="L1168" s="8"/>
      <c r="M1168" s="8"/>
      <c r="N1168" s="8"/>
      <c r="O1168" s="8"/>
      <c r="P1168" s="8"/>
      <c r="Q1168" s="8"/>
      <c r="R1168" s="8"/>
      <c r="S1168" s="8"/>
      <c r="T1168" s="8"/>
      <c r="U1168" s="8"/>
      <c r="V1168" s="8"/>
      <c r="W1168" s="8"/>
      <c r="X1168" s="8"/>
      <c r="Y1168" s="8"/>
      <c r="Z1168" s="8"/>
      <c r="AA1168" s="8"/>
      <c r="AB1168" s="8"/>
      <c r="AC1168" s="8"/>
      <c r="AD1168" s="8"/>
      <c r="AE1168" s="8"/>
      <c r="AF1168" s="8"/>
    </row>
    <row r="1169" spans="1:32" ht="14.4" x14ac:dyDescent="0.3">
      <c r="A1169" s="8"/>
      <c r="B1169" s="8"/>
      <c r="C1169" s="8"/>
      <c r="D1169" s="8"/>
      <c r="E1169" s="8"/>
      <c r="F1169" s="8"/>
      <c r="G1169" s="8"/>
      <c r="H1169" s="8"/>
      <c r="I1169" s="8"/>
      <c r="J1169" s="8"/>
      <c r="K1169" s="8"/>
      <c r="L1169" s="8"/>
      <c r="M1169" s="8"/>
      <c r="N1169" s="8"/>
      <c r="O1169" s="8"/>
      <c r="P1169" s="8"/>
      <c r="Q1169" s="8"/>
      <c r="R1169" s="8"/>
      <c r="S1169" s="8"/>
      <c r="T1169" s="8"/>
      <c r="U1169" s="8"/>
      <c r="V1169" s="8"/>
      <c r="W1169" s="8"/>
      <c r="X1169" s="8"/>
      <c r="Y1169" s="8"/>
      <c r="Z1169" s="8"/>
      <c r="AA1169" s="8"/>
      <c r="AB1169" s="8"/>
      <c r="AC1169" s="8"/>
      <c r="AD1169" s="8"/>
      <c r="AE1169" s="8"/>
      <c r="AF1169" s="8"/>
    </row>
    <row r="1170" spans="1:32" ht="14.4" x14ac:dyDescent="0.3">
      <c r="A1170" s="8"/>
      <c r="B1170" s="8"/>
      <c r="C1170" s="8"/>
      <c r="D1170" s="8"/>
      <c r="E1170" s="8"/>
      <c r="F1170" s="8"/>
      <c r="G1170" s="8"/>
      <c r="H1170" s="8"/>
      <c r="I1170" s="8"/>
      <c r="J1170" s="8"/>
      <c r="K1170" s="8"/>
      <c r="L1170" s="8"/>
      <c r="M1170" s="8"/>
      <c r="N1170" s="8"/>
      <c r="O1170" s="8"/>
      <c r="P1170" s="8"/>
      <c r="Q1170" s="8"/>
      <c r="R1170" s="8"/>
      <c r="S1170" s="8"/>
      <c r="T1170" s="8"/>
      <c r="U1170" s="8"/>
      <c r="V1170" s="8"/>
      <c r="W1170" s="8"/>
      <c r="X1170" s="8"/>
      <c r="Y1170" s="8"/>
      <c r="Z1170" s="8"/>
      <c r="AA1170" s="8"/>
      <c r="AB1170" s="8"/>
      <c r="AC1170" s="8"/>
      <c r="AD1170" s="8"/>
      <c r="AE1170" s="8"/>
      <c r="AF1170" s="8"/>
    </row>
    <row r="1171" spans="1:32" ht="14.4" x14ac:dyDescent="0.3">
      <c r="A1171" s="8"/>
      <c r="B1171" s="8"/>
      <c r="C1171" s="8"/>
      <c r="D1171" s="8"/>
      <c r="E1171" s="8"/>
      <c r="F1171" s="8"/>
      <c r="G1171" s="8"/>
      <c r="H1171" s="8"/>
      <c r="I1171" s="8"/>
      <c r="J1171" s="8"/>
      <c r="K1171" s="8"/>
      <c r="L1171" s="8"/>
      <c r="M1171" s="8"/>
      <c r="N1171" s="8"/>
      <c r="O1171" s="8"/>
      <c r="P1171" s="8"/>
      <c r="Q1171" s="8"/>
      <c r="R1171" s="8"/>
      <c r="S1171" s="8"/>
      <c r="T1171" s="8"/>
      <c r="U1171" s="8"/>
      <c r="V1171" s="8"/>
      <c r="W1171" s="8"/>
      <c r="X1171" s="8"/>
      <c r="Y1171" s="8"/>
      <c r="Z1171" s="8"/>
      <c r="AA1171" s="8"/>
      <c r="AB1171" s="8"/>
      <c r="AC1171" s="8"/>
      <c r="AD1171" s="8"/>
      <c r="AE1171" s="8"/>
      <c r="AF1171" s="8"/>
    </row>
    <row r="1172" spans="1:32" ht="14.4" x14ac:dyDescent="0.3">
      <c r="A1172" s="8"/>
      <c r="B1172" s="8"/>
      <c r="C1172" s="8"/>
      <c r="D1172" s="8"/>
      <c r="E1172" s="8"/>
      <c r="F1172" s="8"/>
      <c r="G1172" s="8"/>
      <c r="H1172" s="8"/>
      <c r="I1172" s="8"/>
      <c r="J1172" s="8"/>
      <c r="K1172" s="8"/>
      <c r="L1172" s="8"/>
      <c r="M1172" s="8"/>
      <c r="N1172" s="8"/>
      <c r="O1172" s="8"/>
      <c r="P1172" s="8"/>
      <c r="Q1172" s="8"/>
      <c r="R1172" s="8"/>
      <c r="S1172" s="8"/>
      <c r="T1172" s="8"/>
      <c r="U1172" s="8"/>
      <c r="V1172" s="8"/>
      <c r="W1172" s="8"/>
      <c r="X1172" s="8"/>
      <c r="Y1172" s="8"/>
      <c r="Z1172" s="8"/>
      <c r="AA1172" s="8"/>
      <c r="AB1172" s="8"/>
      <c r="AC1172" s="8"/>
      <c r="AD1172" s="8"/>
      <c r="AE1172" s="8"/>
      <c r="AF1172" s="8"/>
    </row>
    <row r="1173" spans="1:32" ht="14.4" x14ac:dyDescent="0.3">
      <c r="A1173" s="8"/>
      <c r="B1173" s="8"/>
      <c r="C1173" s="8"/>
      <c r="D1173" s="8"/>
      <c r="E1173" s="8"/>
      <c r="F1173" s="8"/>
      <c r="G1173" s="8"/>
      <c r="H1173" s="8"/>
      <c r="I1173" s="8"/>
      <c r="J1173" s="8"/>
      <c r="K1173" s="8"/>
      <c r="L1173" s="8"/>
      <c r="M1173" s="8"/>
      <c r="N1173" s="8"/>
      <c r="O1173" s="8"/>
      <c r="P1173" s="8"/>
      <c r="Q1173" s="8"/>
      <c r="R1173" s="8"/>
      <c r="S1173" s="8"/>
      <c r="T1173" s="8"/>
      <c r="U1173" s="8"/>
      <c r="V1173" s="8"/>
      <c r="W1173" s="8"/>
      <c r="X1173" s="8"/>
      <c r="Y1173" s="8"/>
      <c r="Z1173" s="8"/>
      <c r="AA1173" s="8"/>
      <c r="AB1173" s="8"/>
      <c r="AC1173" s="8"/>
      <c r="AD1173" s="8"/>
      <c r="AE1173" s="8"/>
      <c r="AF1173" s="8"/>
    </row>
    <row r="1174" spans="1:32" ht="14.4" x14ac:dyDescent="0.3">
      <c r="A1174" s="8"/>
      <c r="B1174" s="8"/>
      <c r="C1174" s="8"/>
      <c r="D1174" s="8"/>
      <c r="E1174" s="8"/>
      <c r="F1174" s="8"/>
      <c r="G1174" s="8"/>
      <c r="H1174" s="8"/>
      <c r="I1174" s="8"/>
      <c r="J1174" s="8"/>
      <c r="K1174" s="8"/>
      <c r="L1174" s="8"/>
      <c r="M1174" s="8"/>
      <c r="N1174" s="8"/>
      <c r="O1174" s="8"/>
      <c r="P1174" s="8"/>
      <c r="Q1174" s="8"/>
      <c r="R1174" s="8"/>
      <c r="S1174" s="8"/>
      <c r="T1174" s="8"/>
      <c r="U1174" s="8"/>
      <c r="V1174" s="8"/>
      <c r="W1174" s="8"/>
      <c r="X1174" s="8"/>
      <c r="Y1174" s="8"/>
      <c r="Z1174" s="8"/>
      <c r="AA1174" s="8"/>
      <c r="AB1174" s="8"/>
      <c r="AC1174" s="8"/>
      <c r="AD1174" s="8"/>
      <c r="AE1174" s="8"/>
      <c r="AF1174" s="8"/>
    </row>
    <row r="1175" spans="1:32" ht="14.4" x14ac:dyDescent="0.3">
      <c r="A1175" s="8"/>
      <c r="B1175" s="8"/>
      <c r="C1175" s="8"/>
      <c r="D1175" s="8"/>
      <c r="E1175" s="8"/>
      <c r="F1175" s="8"/>
      <c r="G1175" s="8"/>
      <c r="H1175" s="8"/>
      <c r="I1175" s="8"/>
      <c r="J1175" s="8"/>
      <c r="K1175" s="8"/>
      <c r="L1175" s="8"/>
      <c r="M1175" s="8"/>
      <c r="N1175" s="8"/>
      <c r="O1175" s="8"/>
      <c r="P1175" s="8"/>
      <c r="Q1175" s="8"/>
      <c r="R1175" s="8"/>
      <c r="S1175" s="8"/>
      <c r="T1175" s="8"/>
      <c r="U1175" s="8"/>
      <c r="V1175" s="8"/>
      <c r="W1175" s="8"/>
      <c r="X1175" s="8"/>
      <c r="Y1175" s="8"/>
      <c r="Z1175" s="8"/>
      <c r="AA1175" s="8"/>
      <c r="AB1175" s="8"/>
      <c r="AC1175" s="8"/>
      <c r="AD1175" s="8"/>
      <c r="AE1175" s="8"/>
      <c r="AF1175" s="8"/>
    </row>
    <row r="1176" spans="1:32" ht="14.4" x14ac:dyDescent="0.3">
      <c r="A1176" s="8"/>
      <c r="B1176" s="8"/>
      <c r="C1176" s="8"/>
      <c r="D1176" s="8"/>
      <c r="E1176" s="8"/>
      <c r="F1176" s="8"/>
      <c r="G1176" s="8"/>
      <c r="H1176" s="8"/>
      <c r="I1176" s="8"/>
      <c r="J1176" s="8"/>
      <c r="K1176" s="8"/>
      <c r="L1176" s="8"/>
      <c r="M1176" s="8"/>
      <c r="N1176" s="8"/>
      <c r="O1176" s="8"/>
      <c r="P1176" s="8"/>
      <c r="Q1176" s="8"/>
      <c r="R1176" s="8"/>
      <c r="S1176" s="8"/>
      <c r="T1176" s="8"/>
      <c r="U1176" s="8"/>
      <c r="V1176" s="8"/>
      <c r="W1176" s="8"/>
      <c r="X1176" s="8"/>
      <c r="Y1176" s="8"/>
      <c r="Z1176" s="8"/>
      <c r="AA1176" s="8"/>
      <c r="AB1176" s="8"/>
      <c r="AC1176" s="8"/>
      <c r="AD1176" s="8"/>
      <c r="AE1176" s="8"/>
      <c r="AF1176" s="8"/>
    </row>
    <row r="1177" spans="1:32" ht="14.4" x14ac:dyDescent="0.3">
      <c r="A1177" s="8"/>
      <c r="B1177" s="8"/>
      <c r="C1177" s="8"/>
      <c r="D1177" s="8"/>
      <c r="E1177" s="8"/>
      <c r="F1177" s="8"/>
      <c r="G1177" s="8"/>
      <c r="H1177" s="8"/>
      <c r="I1177" s="8"/>
      <c r="J1177" s="8"/>
      <c r="K1177" s="8"/>
      <c r="L1177" s="8"/>
      <c r="M1177" s="8"/>
      <c r="N1177" s="8"/>
      <c r="O1177" s="8"/>
      <c r="P1177" s="8"/>
      <c r="Q1177" s="8"/>
      <c r="R1177" s="8"/>
      <c r="S1177" s="8"/>
      <c r="T1177" s="8"/>
      <c r="U1177" s="8"/>
      <c r="V1177" s="8"/>
      <c r="W1177" s="8"/>
      <c r="X1177" s="8"/>
      <c r="Y1177" s="8"/>
      <c r="Z1177" s="8"/>
      <c r="AA1177" s="8"/>
      <c r="AB1177" s="8"/>
      <c r="AC1177" s="8"/>
      <c r="AD1177" s="8"/>
      <c r="AE1177" s="8"/>
      <c r="AF1177" s="8"/>
    </row>
    <row r="1178" spans="1:32" ht="14.4" x14ac:dyDescent="0.3">
      <c r="A1178" s="8"/>
      <c r="B1178" s="8"/>
      <c r="C1178" s="8"/>
      <c r="D1178" s="8"/>
      <c r="E1178" s="8"/>
      <c r="F1178" s="8"/>
      <c r="G1178" s="8"/>
      <c r="H1178" s="8"/>
      <c r="I1178" s="8"/>
      <c r="J1178" s="8"/>
      <c r="K1178" s="8"/>
      <c r="L1178" s="8"/>
      <c r="M1178" s="8"/>
      <c r="N1178" s="8"/>
      <c r="O1178" s="8"/>
      <c r="P1178" s="8"/>
      <c r="Q1178" s="8"/>
      <c r="R1178" s="8"/>
      <c r="S1178" s="8"/>
      <c r="T1178" s="8"/>
      <c r="U1178" s="8"/>
      <c r="V1178" s="8"/>
      <c r="W1178" s="8"/>
      <c r="X1178" s="8"/>
      <c r="Y1178" s="8"/>
      <c r="Z1178" s="8"/>
      <c r="AA1178" s="8"/>
      <c r="AB1178" s="8"/>
      <c r="AC1178" s="8"/>
      <c r="AD1178" s="8"/>
      <c r="AE1178" s="8"/>
      <c r="AF1178" s="8"/>
    </row>
    <row r="1179" spans="1:32" ht="14.4" x14ac:dyDescent="0.3">
      <c r="A1179" s="8"/>
      <c r="B1179" s="8"/>
      <c r="C1179" s="8"/>
      <c r="D1179" s="8"/>
      <c r="E1179" s="8"/>
      <c r="F1179" s="8"/>
      <c r="G1179" s="8"/>
      <c r="H1179" s="8"/>
      <c r="I1179" s="8"/>
      <c r="J1179" s="8"/>
      <c r="K1179" s="8"/>
      <c r="L1179" s="8"/>
      <c r="M1179" s="8"/>
      <c r="N1179" s="8"/>
      <c r="O1179" s="8"/>
      <c r="P1179" s="8"/>
      <c r="Q1179" s="8"/>
      <c r="R1179" s="8"/>
      <c r="S1179" s="8"/>
      <c r="T1179" s="8"/>
      <c r="U1179" s="8"/>
      <c r="V1179" s="8"/>
      <c r="W1179" s="8"/>
      <c r="X1179" s="8"/>
      <c r="Y1179" s="8"/>
      <c r="Z1179" s="8"/>
      <c r="AA1179" s="8"/>
      <c r="AB1179" s="8"/>
      <c r="AC1179" s="8"/>
      <c r="AD1179" s="8"/>
      <c r="AE1179" s="8"/>
      <c r="AF1179" s="8"/>
    </row>
    <row r="1180" spans="1:32" ht="14.4" x14ac:dyDescent="0.3">
      <c r="A1180" s="8"/>
      <c r="B1180" s="8"/>
      <c r="C1180" s="8"/>
      <c r="D1180" s="8"/>
      <c r="E1180" s="8"/>
      <c r="F1180" s="8"/>
      <c r="G1180" s="8"/>
      <c r="H1180" s="8"/>
      <c r="I1180" s="8"/>
      <c r="J1180" s="8"/>
      <c r="K1180" s="8"/>
      <c r="L1180" s="8"/>
      <c r="M1180" s="8"/>
      <c r="N1180" s="8"/>
      <c r="O1180" s="8"/>
      <c r="P1180" s="8"/>
      <c r="Q1180" s="8"/>
      <c r="R1180" s="8"/>
      <c r="S1180" s="8"/>
      <c r="T1180" s="8"/>
      <c r="U1180" s="8"/>
      <c r="V1180" s="8"/>
      <c r="W1180" s="8"/>
      <c r="X1180" s="8"/>
      <c r="Y1180" s="8"/>
      <c r="Z1180" s="8"/>
      <c r="AA1180" s="8"/>
      <c r="AB1180" s="8"/>
      <c r="AC1180" s="8"/>
      <c r="AD1180" s="8"/>
      <c r="AE1180" s="8"/>
      <c r="AF1180" s="8"/>
    </row>
    <row r="1181" spans="1:32" ht="14.4" x14ac:dyDescent="0.3">
      <c r="A1181" s="8"/>
      <c r="B1181" s="8"/>
      <c r="C1181" s="8"/>
      <c r="D1181" s="8"/>
      <c r="E1181" s="8"/>
      <c r="F1181" s="8"/>
      <c r="G1181" s="8"/>
      <c r="H1181" s="8"/>
      <c r="I1181" s="8"/>
      <c r="J1181" s="8"/>
      <c r="K1181" s="8"/>
      <c r="L1181" s="8"/>
      <c r="M1181" s="8"/>
      <c r="N1181" s="8"/>
      <c r="O1181" s="8"/>
      <c r="P1181" s="8"/>
      <c r="Q1181" s="8"/>
      <c r="R1181" s="8"/>
      <c r="S1181" s="8"/>
      <c r="T1181" s="8"/>
      <c r="U1181" s="8"/>
      <c r="V1181" s="8"/>
      <c r="W1181" s="8"/>
      <c r="X1181" s="8"/>
      <c r="Y1181" s="8"/>
      <c r="Z1181" s="8"/>
      <c r="AA1181" s="8"/>
      <c r="AB1181" s="8"/>
      <c r="AC1181" s="8"/>
      <c r="AD1181" s="8"/>
      <c r="AE1181" s="8"/>
      <c r="AF1181" s="8"/>
    </row>
    <row r="1182" spans="1:32" ht="14.4" x14ac:dyDescent="0.3">
      <c r="A1182" s="8"/>
      <c r="B1182" s="8"/>
      <c r="C1182" s="8"/>
      <c r="D1182" s="8"/>
      <c r="E1182" s="8"/>
      <c r="F1182" s="8"/>
      <c r="G1182" s="8"/>
      <c r="H1182" s="8"/>
      <c r="I1182" s="8"/>
      <c r="J1182" s="8"/>
      <c r="K1182" s="8"/>
      <c r="L1182" s="8"/>
      <c r="M1182" s="8"/>
      <c r="N1182" s="8"/>
      <c r="O1182" s="8"/>
      <c r="P1182" s="8"/>
      <c r="Q1182" s="8"/>
      <c r="R1182" s="8"/>
      <c r="S1182" s="8"/>
      <c r="T1182" s="8"/>
      <c r="U1182" s="8"/>
      <c r="V1182" s="8"/>
      <c r="W1182" s="8"/>
      <c r="X1182" s="8"/>
      <c r="Y1182" s="8"/>
      <c r="Z1182" s="8"/>
      <c r="AA1182" s="8"/>
      <c r="AB1182" s="8"/>
      <c r="AC1182" s="8"/>
      <c r="AD1182" s="8"/>
      <c r="AE1182" s="8"/>
      <c r="AF1182" s="8"/>
    </row>
    <row r="1183" spans="1:32" ht="14.4" x14ac:dyDescent="0.3">
      <c r="A1183" s="8"/>
      <c r="B1183" s="8"/>
      <c r="C1183" s="8"/>
      <c r="D1183" s="8"/>
      <c r="E1183" s="8"/>
      <c r="F1183" s="8"/>
      <c r="G1183" s="8"/>
      <c r="H1183" s="8"/>
      <c r="I1183" s="8"/>
      <c r="J1183" s="8"/>
      <c r="K1183" s="8"/>
      <c r="L1183" s="8"/>
      <c r="M1183" s="8"/>
      <c r="N1183" s="8"/>
      <c r="O1183" s="8"/>
      <c r="P1183" s="8"/>
      <c r="Q1183" s="8"/>
      <c r="R1183" s="8"/>
      <c r="S1183" s="8"/>
      <c r="T1183" s="8"/>
      <c r="U1183" s="8"/>
      <c r="V1183" s="8"/>
      <c r="W1183" s="8"/>
      <c r="X1183" s="8"/>
      <c r="Y1183" s="8"/>
      <c r="Z1183" s="8"/>
      <c r="AA1183" s="8"/>
      <c r="AB1183" s="8"/>
      <c r="AC1183" s="8"/>
      <c r="AD1183" s="8"/>
      <c r="AE1183" s="8"/>
      <c r="AF1183" s="8"/>
    </row>
    <row r="1184" spans="1:32" ht="14.4" x14ac:dyDescent="0.3">
      <c r="A1184" s="8"/>
      <c r="B1184" s="8"/>
      <c r="C1184" s="8"/>
      <c r="D1184" s="8"/>
      <c r="E1184" s="8"/>
      <c r="F1184" s="8"/>
      <c r="G1184" s="8"/>
      <c r="H1184" s="8"/>
      <c r="I1184" s="8"/>
      <c r="J1184" s="8"/>
      <c r="K1184" s="8"/>
      <c r="L1184" s="8"/>
      <c r="M1184" s="8"/>
      <c r="N1184" s="8"/>
      <c r="O1184" s="8"/>
      <c r="P1184" s="8"/>
      <c r="Q1184" s="8"/>
      <c r="R1184" s="8"/>
      <c r="S1184" s="8"/>
      <c r="T1184" s="8"/>
      <c r="U1184" s="8"/>
      <c r="V1184" s="8"/>
      <c r="W1184" s="8"/>
      <c r="X1184" s="8"/>
      <c r="Y1184" s="8"/>
      <c r="Z1184" s="8"/>
      <c r="AA1184" s="8"/>
      <c r="AB1184" s="8"/>
      <c r="AC1184" s="8"/>
      <c r="AD1184" s="8"/>
      <c r="AE1184" s="8"/>
      <c r="AF1184" s="8"/>
    </row>
    <row r="1185" spans="1:32" ht="14.4" x14ac:dyDescent="0.3">
      <c r="A1185" s="8"/>
      <c r="B1185" s="8"/>
      <c r="C1185" s="8"/>
      <c r="D1185" s="8"/>
      <c r="E1185" s="8"/>
      <c r="F1185" s="8"/>
      <c r="G1185" s="8"/>
      <c r="H1185" s="8"/>
      <c r="I1185" s="8"/>
      <c r="J1185" s="8"/>
      <c r="K1185" s="8"/>
      <c r="L1185" s="8"/>
      <c r="M1185" s="8"/>
      <c r="N1185" s="8"/>
      <c r="O1185" s="8"/>
      <c r="P1185" s="8"/>
      <c r="Q1185" s="8"/>
      <c r="R1185" s="8"/>
      <c r="S1185" s="8"/>
      <c r="T1185" s="8"/>
      <c r="U1185" s="8"/>
      <c r="V1185" s="8"/>
      <c r="W1185" s="8"/>
      <c r="X1185" s="8"/>
      <c r="Y1185" s="8"/>
      <c r="Z1185" s="8"/>
      <c r="AA1185" s="8"/>
      <c r="AB1185" s="8"/>
      <c r="AC1185" s="8"/>
      <c r="AD1185" s="8"/>
      <c r="AE1185" s="8"/>
      <c r="AF1185" s="8"/>
    </row>
    <row r="1186" spans="1:32" ht="14.4" x14ac:dyDescent="0.3">
      <c r="A1186" s="8"/>
      <c r="B1186" s="8"/>
      <c r="C1186" s="8"/>
      <c r="D1186" s="8"/>
      <c r="E1186" s="8"/>
      <c r="F1186" s="8"/>
      <c r="G1186" s="8"/>
      <c r="H1186" s="8"/>
      <c r="I1186" s="8"/>
      <c r="J1186" s="8"/>
      <c r="K1186" s="8"/>
      <c r="L1186" s="8"/>
      <c r="M1186" s="8"/>
      <c r="N1186" s="8"/>
      <c r="O1186" s="8"/>
      <c r="P1186" s="8"/>
      <c r="Q1186" s="8"/>
      <c r="R1186" s="8"/>
      <c r="S1186" s="8"/>
      <c r="T1186" s="8"/>
      <c r="U1186" s="8"/>
      <c r="V1186" s="8"/>
      <c r="W1186" s="8"/>
      <c r="X1186" s="8"/>
      <c r="Y1186" s="8"/>
      <c r="Z1186" s="8"/>
      <c r="AA1186" s="8"/>
      <c r="AB1186" s="8"/>
      <c r="AC1186" s="8"/>
      <c r="AD1186" s="8"/>
      <c r="AE1186" s="8"/>
      <c r="AF1186" s="8"/>
    </row>
    <row r="1187" spans="1:32" ht="14.4" x14ac:dyDescent="0.3">
      <c r="A1187" s="8"/>
      <c r="B1187" s="8"/>
      <c r="C1187" s="8"/>
      <c r="D1187" s="8"/>
      <c r="E1187" s="8"/>
      <c r="F1187" s="8"/>
      <c r="G1187" s="8"/>
      <c r="H1187" s="8"/>
      <c r="I1187" s="8"/>
      <c r="J1187" s="8"/>
      <c r="K1187" s="8"/>
      <c r="L1187" s="8"/>
      <c r="M1187" s="8"/>
      <c r="N1187" s="8"/>
      <c r="O1187" s="8"/>
      <c r="P1187" s="8"/>
      <c r="Q1187" s="8"/>
      <c r="R1187" s="8"/>
      <c r="S1187" s="8"/>
      <c r="T1187" s="8"/>
      <c r="U1187" s="8"/>
      <c r="V1187" s="8"/>
      <c r="W1187" s="8"/>
      <c r="X1187" s="8"/>
      <c r="Y1187" s="8"/>
      <c r="Z1187" s="8"/>
      <c r="AA1187" s="8"/>
      <c r="AB1187" s="8"/>
      <c r="AC1187" s="8"/>
      <c r="AD1187" s="8"/>
      <c r="AE1187" s="8"/>
      <c r="AF1187" s="8"/>
    </row>
    <row r="1188" spans="1:32" ht="14.4" x14ac:dyDescent="0.3">
      <c r="A1188" s="8"/>
      <c r="B1188" s="8"/>
      <c r="C1188" s="8"/>
      <c r="D1188" s="8"/>
      <c r="E1188" s="8"/>
      <c r="F1188" s="8"/>
      <c r="G1188" s="8"/>
      <c r="H1188" s="8"/>
      <c r="I1188" s="8"/>
      <c r="J1188" s="8"/>
      <c r="K1188" s="8"/>
      <c r="L1188" s="8"/>
      <c r="M1188" s="8"/>
      <c r="N1188" s="8"/>
      <c r="O1188" s="8"/>
      <c r="P1188" s="8"/>
      <c r="Q1188" s="8"/>
      <c r="R1188" s="8"/>
      <c r="S1188" s="8"/>
      <c r="T1188" s="8"/>
      <c r="U1188" s="8"/>
      <c r="V1188" s="8"/>
      <c r="W1188" s="8"/>
      <c r="X1188" s="8"/>
      <c r="Y1188" s="8"/>
      <c r="Z1188" s="8"/>
      <c r="AA1188" s="8"/>
      <c r="AB1188" s="8"/>
      <c r="AC1188" s="8"/>
      <c r="AD1188" s="8"/>
      <c r="AE1188" s="8"/>
      <c r="AF1188" s="8"/>
    </row>
    <row r="1189" spans="1:32" ht="14.4" x14ac:dyDescent="0.3">
      <c r="A1189" s="8"/>
      <c r="B1189" s="8"/>
      <c r="C1189" s="8"/>
      <c r="D1189" s="8"/>
      <c r="E1189" s="8"/>
      <c r="F1189" s="8"/>
      <c r="G1189" s="8"/>
      <c r="H1189" s="8"/>
      <c r="I1189" s="8"/>
      <c r="J1189" s="8"/>
      <c r="K1189" s="8"/>
      <c r="L1189" s="8"/>
      <c r="M1189" s="8"/>
      <c r="N1189" s="8"/>
      <c r="O1189" s="8"/>
      <c r="P1189" s="8"/>
      <c r="Q1189" s="8"/>
      <c r="R1189" s="8"/>
      <c r="S1189" s="8"/>
      <c r="T1189" s="8"/>
      <c r="U1189" s="8"/>
      <c r="V1189" s="8"/>
      <c r="W1189" s="8"/>
      <c r="X1189" s="8"/>
      <c r="Y1189" s="8"/>
      <c r="Z1189" s="8"/>
      <c r="AA1189" s="8"/>
      <c r="AB1189" s="8"/>
      <c r="AC1189" s="8"/>
      <c r="AD1189" s="8"/>
      <c r="AE1189" s="8"/>
      <c r="AF1189" s="8"/>
    </row>
    <row r="1190" spans="1:32" ht="14.4" x14ac:dyDescent="0.3">
      <c r="A1190" s="8"/>
      <c r="B1190" s="8"/>
      <c r="C1190" s="8"/>
      <c r="D1190" s="8"/>
      <c r="E1190" s="8"/>
      <c r="F1190" s="8"/>
      <c r="G1190" s="8"/>
      <c r="H1190" s="8"/>
      <c r="I1190" s="8"/>
      <c r="J1190" s="8"/>
      <c r="K1190" s="8"/>
      <c r="L1190" s="8"/>
      <c r="M1190" s="8"/>
      <c r="N1190" s="8"/>
      <c r="O1190" s="8"/>
      <c r="P1190" s="8"/>
      <c r="Q1190" s="8"/>
      <c r="R1190" s="8"/>
      <c r="S1190" s="8"/>
      <c r="T1190" s="8"/>
      <c r="U1190" s="8"/>
      <c r="V1190" s="8"/>
      <c r="W1190" s="8"/>
      <c r="X1190" s="8"/>
      <c r="Y1190" s="8"/>
      <c r="Z1190" s="8"/>
      <c r="AA1190" s="8"/>
      <c r="AB1190" s="8"/>
      <c r="AC1190" s="8"/>
      <c r="AD1190" s="8"/>
      <c r="AE1190" s="8"/>
      <c r="AF1190" s="8"/>
    </row>
    <row r="1191" spans="1:32" ht="14.4" x14ac:dyDescent="0.3">
      <c r="A1191" s="8"/>
      <c r="B1191" s="8"/>
      <c r="C1191" s="8"/>
      <c r="D1191" s="8"/>
      <c r="E1191" s="8"/>
      <c r="F1191" s="8"/>
      <c r="G1191" s="8"/>
      <c r="H1191" s="8"/>
      <c r="I1191" s="8"/>
      <c r="J1191" s="8"/>
      <c r="K1191" s="8"/>
      <c r="L1191" s="8"/>
      <c r="M1191" s="8"/>
      <c r="N1191" s="8"/>
      <c r="O1191" s="8"/>
      <c r="P1191" s="8"/>
      <c r="Q1191" s="8"/>
      <c r="R1191" s="8"/>
      <c r="S1191" s="8"/>
      <c r="T1191" s="8"/>
      <c r="U1191" s="8"/>
      <c r="V1191" s="8"/>
      <c r="W1191" s="8"/>
      <c r="X1191" s="8"/>
      <c r="Y1191" s="8"/>
      <c r="Z1191" s="8"/>
      <c r="AA1191" s="8"/>
      <c r="AB1191" s="8"/>
      <c r="AC1191" s="8"/>
      <c r="AD1191" s="8"/>
      <c r="AE1191" s="8"/>
      <c r="AF1191" s="8"/>
    </row>
    <row r="1192" spans="1:32" ht="14.4" x14ac:dyDescent="0.3">
      <c r="A1192" s="8"/>
      <c r="B1192" s="8"/>
      <c r="C1192" s="8"/>
      <c r="D1192" s="8"/>
      <c r="E1192" s="8"/>
      <c r="F1192" s="8"/>
      <c r="G1192" s="8"/>
      <c r="H1192" s="8"/>
      <c r="I1192" s="8"/>
      <c r="J1192" s="8"/>
      <c r="K1192" s="8"/>
      <c r="L1192" s="8"/>
      <c r="M1192" s="8"/>
      <c r="N1192" s="8"/>
      <c r="O1192" s="8"/>
      <c r="P1192" s="8"/>
      <c r="Q1192" s="8"/>
      <c r="R1192" s="8"/>
      <c r="S1192" s="8"/>
      <c r="T1192" s="8"/>
      <c r="U1192" s="8"/>
      <c r="V1192" s="8"/>
      <c r="W1192" s="8"/>
      <c r="X1192" s="8"/>
      <c r="Y1192" s="8"/>
      <c r="Z1192" s="8"/>
      <c r="AA1192" s="8"/>
      <c r="AB1192" s="8"/>
      <c r="AC1192" s="8"/>
      <c r="AD1192" s="8"/>
      <c r="AE1192" s="8"/>
      <c r="AF1192" s="8"/>
    </row>
    <row r="1193" spans="1:32" ht="14.4" x14ac:dyDescent="0.3">
      <c r="A1193" s="8"/>
      <c r="B1193" s="8"/>
      <c r="C1193" s="8"/>
      <c r="D1193" s="8"/>
      <c r="E1193" s="8"/>
      <c r="F1193" s="8"/>
      <c r="G1193" s="8"/>
      <c r="H1193" s="8"/>
      <c r="I1193" s="8"/>
      <c r="J1193" s="8"/>
      <c r="K1193" s="8"/>
      <c r="L1193" s="8"/>
      <c r="M1193" s="8"/>
      <c r="N1193" s="8"/>
      <c r="O1193" s="8"/>
      <c r="P1193" s="8"/>
      <c r="Q1193" s="8"/>
      <c r="R1193" s="8"/>
      <c r="S1193" s="8"/>
      <c r="T1193" s="8"/>
      <c r="U1193" s="8"/>
      <c r="V1193" s="8"/>
      <c r="W1193" s="8"/>
      <c r="X1193" s="8"/>
      <c r="Y1193" s="8"/>
      <c r="Z1193" s="8"/>
      <c r="AA1193" s="8"/>
      <c r="AB1193" s="8"/>
      <c r="AC1193" s="8"/>
      <c r="AD1193" s="8"/>
      <c r="AE1193" s="8"/>
      <c r="AF1193" s="8"/>
    </row>
    <row r="1194" spans="1:32" ht="14.4" x14ac:dyDescent="0.3">
      <c r="A1194" s="8"/>
      <c r="B1194" s="8"/>
      <c r="C1194" s="8"/>
      <c r="D1194" s="8"/>
      <c r="E1194" s="8"/>
      <c r="F1194" s="8"/>
      <c r="G1194" s="8"/>
      <c r="H1194" s="8"/>
      <c r="I1194" s="8"/>
      <c r="J1194" s="8"/>
      <c r="K1194" s="8"/>
      <c r="L1194" s="8"/>
      <c r="M1194" s="8"/>
      <c r="N1194" s="8"/>
      <c r="O1194" s="8"/>
      <c r="P1194" s="8"/>
      <c r="Q1194" s="8"/>
      <c r="R1194" s="8"/>
      <c r="S1194" s="8"/>
      <c r="T1194" s="8"/>
      <c r="U1194" s="8"/>
      <c r="V1194" s="8"/>
      <c r="W1194" s="8"/>
      <c r="X1194" s="8"/>
      <c r="Y1194" s="8"/>
      <c r="Z1194" s="8"/>
      <c r="AA1194" s="8"/>
      <c r="AB1194" s="8"/>
      <c r="AC1194" s="8"/>
      <c r="AD1194" s="8"/>
      <c r="AE1194" s="8"/>
      <c r="AF1194" s="8"/>
    </row>
    <row r="1195" spans="1:32" ht="14.4" x14ac:dyDescent="0.3">
      <c r="A1195" s="8"/>
      <c r="B1195" s="8"/>
      <c r="C1195" s="8"/>
      <c r="D1195" s="8"/>
      <c r="E1195" s="8"/>
      <c r="F1195" s="8"/>
      <c r="G1195" s="8"/>
      <c r="H1195" s="8"/>
      <c r="I1195" s="8"/>
      <c r="J1195" s="8"/>
      <c r="K1195" s="8"/>
      <c r="L1195" s="8"/>
      <c r="M1195" s="8"/>
      <c r="N1195" s="8"/>
      <c r="O1195" s="8"/>
      <c r="P1195" s="8"/>
      <c r="Q1195" s="8"/>
      <c r="R1195" s="8"/>
      <c r="S1195" s="8"/>
      <c r="T1195" s="8"/>
      <c r="U1195" s="8"/>
      <c r="V1195" s="8"/>
      <c r="W1195" s="8"/>
      <c r="X1195" s="8"/>
      <c r="Y1195" s="8"/>
      <c r="Z1195" s="8"/>
      <c r="AA1195" s="8"/>
      <c r="AB1195" s="8"/>
      <c r="AC1195" s="8"/>
      <c r="AD1195" s="8"/>
      <c r="AE1195" s="8"/>
      <c r="AF1195" s="8"/>
    </row>
    <row r="1196" spans="1:32" ht="14.4" x14ac:dyDescent="0.3">
      <c r="A1196" s="8"/>
      <c r="B1196" s="8"/>
      <c r="C1196" s="8"/>
      <c r="D1196" s="8"/>
      <c r="E1196" s="8"/>
      <c r="F1196" s="8"/>
      <c r="G1196" s="8"/>
      <c r="H1196" s="8"/>
      <c r="I1196" s="8"/>
      <c r="J1196" s="8"/>
      <c r="K1196" s="8"/>
      <c r="L1196" s="8"/>
      <c r="M1196" s="8"/>
      <c r="N1196" s="8"/>
      <c r="O1196" s="8"/>
      <c r="P1196" s="8"/>
      <c r="Q1196" s="8"/>
      <c r="R1196" s="8"/>
      <c r="S1196" s="8"/>
      <c r="T1196" s="8"/>
      <c r="U1196" s="8"/>
      <c r="V1196" s="8"/>
      <c r="W1196" s="8"/>
      <c r="X1196" s="8"/>
      <c r="Y1196" s="8"/>
      <c r="Z1196" s="8"/>
      <c r="AA1196" s="8"/>
      <c r="AB1196" s="8"/>
      <c r="AC1196" s="8"/>
      <c r="AD1196" s="8"/>
      <c r="AE1196" s="8"/>
      <c r="AF1196" s="8"/>
    </row>
    <row r="1197" spans="1:32" ht="14.4" x14ac:dyDescent="0.3">
      <c r="A1197" s="8"/>
      <c r="B1197" s="8"/>
      <c r="C1197" s="8"/>
      <c r="D1197" s="8"/>
      <c r="E1197" s="8"/>
      <c r="F1197" s="8"/>
      <c r="G1197" s="8"/>
      <c r="H1197" s="8"/>
      <c r="I1197" s="8"/>
      <c r="J1197" s="8"/>
      <c r="K1197" s="8"/>
      <c r="L1197" s="8"/>
      <c r="M1197" s="8"/>
      <c r="N1197" s="8"/>
      <c r="O1197" s="8"/>
      <c r="P1197" s="8"/>
      <c r="Q1197" s="8"/>
      <c r="R1197" s="8"/>
      <c r="S1197" s="8"/>
      <c r="T1197" s="8"/>
      <c r="U1197" s="8"/>
      <c r="V1197" s="8"/>
      <c r="W1197" s="8"/>
      <c r="X1197" s="8"/>
      <c r="Y1197" s="8"/>
      <c r="Z1197" s="8"/>
      <c r="AA1197" s="8"/>
      <c r="AB1197" s="8"/>
      <c r="AC1197" s="8"/>
      <c r="AD1197" s="8"/>
      <c r="AE1197" s="8"/>
      <c r="AF1197" s="8"/>
    </row>
    <row r="1198" spans="1:32" ht="14.4" x14ac:dyDescent="0.3">
      <c r="A1198" s="8"/>
      <c r="B1198" s="8"/>
      <c r="C1198" s="8"/>
      <c r="D1198" s="8"/>
      <c r="E1198" s="8"/>
      <c r="F1198" s="8"/>
      <c r="G1198" s="8"/>
      <c r="H1198" s="8"/>
      <c r="I1198" s="8"/>
      <c r="J1198" s="8"/>
      <c r="K1198" s="8"/>
      <c r="L1198" s="8"/>
      <c r="M1198" s="8"/>
      <c r="N1198" s="8"/>
      <c r="O1198" s="8"/>
      <c r="P1198" s="8"/>
      <c r="Q1198" s="8"/>
      <c r="R1198" s="8"/>
      <c r="S1198" s="8"/>
      <c r="T1198" s="8"/>
      <c r="U1198" s="8"/>
      <c r="V1198" s="8"/>
      <c r="W1198" s="8"/>
      <c r="X1198" s="8"/>
      <c r="Y1198" s="8"/>
      <c r="Z1198" s="8"/>
      <c r="AA1198" s="8"/>
      <c r="AB1198" s="8"/>
      <c r="AC1198" s="8"/>
      <c r="AD1198" s="8"/>
      <c r="AE1198" s="8"/>
      <c r="AF1198" s="8"/>
    </row>
    <row r="1199" spans="1:32" ht="14.4" x14ac:dyDescent="0.3">
      <c r="A1199" s="8"/>
      <c r="B1199" s="8"/>
      <c r="C1199" s="8"/>
      <c r="D1199" s="8"/>
      <c r="E1199" s="8"/>
      <c r="F1199" s="8"/>
      <c r="G1199" s="8"/>
      <c r="H1199" s="8"/>
      <c r="I1199" s="8"/>
      <c r="J1199" s="8"/>
      <c r="K1199" s="8"/>
      <c r="L1199" s="8"/>
      <c r="M1199" s="8"/>
      <c r="N1199" s="8"/>
      <c r="O1199" s="8"/>
      <c r="P1199" s="8"/>
      <c r="Q1199" s="8"/>
      <c r="R1199" s="8"/>
      <c r="S1199" s="8"/>
      <c r="T1199" s="8"/>
      <c r="U1199" s="8"/>
      <c r="V1199" s="8"/>
      <c r="W1199" s="8"/>
      <c r="X1199" s="8"/>
      <c r="Y1199" s="8"/>
      <c r="Z1199" s="8"/>
      <c r="AA1199" s="8"/>
      <c r="AB1199" s="8"/>
      <c r="AC1199" s="8"/>
      <c r="AD1199" s="8"/>
      <c r="AE1199" s="8"/>
      <c r="AF1199" s="8"/>
    </row>
    <row r="1200" spans="1:32" ht="14.4" x14ac:dyDescent="0.3">
      <c r="A1200" s="8"/>
      <c r="B1200" s="8"/>
      <c r="C1200" s="8"/>
      <c r="D1200" s="8"/>
      <c r="E1200" s="8"/>
      <c r="F1200" s="8"/>
      <c r="G1200" s="8"/>
      <c r="H1200" s="8"/>
      <c r="I1200" s="8"/>
      <c r="J1200" s="8"/>
      <c r="K1200" s="8"/>
      <c r="L1200" s="8"/>
      <c r="M1200" s="8"/>
      <c r="N1200" s="8"/>
      <c r="O1200" s="8"/>
      <c r="P1200" s="8"/>
      <c r="Q1200" s="8"/>
      <c r="R1200" s="8"/>
      <c r="S1200" s="8"/>
      <c r="T1200" s="8"/>
      <c r="U1200" s="8"/>
      <c r="V1200" s="8"/>
      <c r="W1200" s="8"/>
      <c r="X1200" s="8"/>
      <c r="Y1200" s="8"/>
      <c r="Z1200" s="8"/>
      <c r="AA1200" s="8"/>
      <c r="AB1200" s="8"/>
      <c r="AC1200" s="8"/>
      <c r="AD1200" s="8"/>
      <c r="AE1200" s="8"/>
      <c r="AF1200" s="8"/>
    </row>
    <row r="1201" spans="1:32" ht="14.4" x14ac:dyDescent="0.3">
      <c r="A1201" s="8"/>
      <c r="B1201" s="8"/>
      <c r="C1201" s="8"/>
      <c r="D1201" s="8"/>
      <c r="E1201" s="8"/>
      <c r="F1201" s="8"/>
      <c r="G1201" s="8"/>
      <c r="H1201" s="8"/>
      <c r="I1201" s="8"/>
      <c r="J1201" s="8"/>
      <c r="K1201" s="8"/>
      <c r="L1201" s="8"/>
      <c r="M1201" s="8"/>
      <c r="N1201" s="8"/>
      <c r="O1201" s="8"/>
      <c r="P1201" s="8"/>
      <c r="Q1201" s="8"/>
      <c r="R1201" s="8"/>
      <c r="S1201" s="8"/>
      <c r="T1201" s="8"/>
      <c r="U1201" s="8"/>
      <c r="V1201" s="8"/>
      <c r="W1201" s="8"/>
      <c r="X1201" s="8"/>
      <c r="Y1201" s="8"/>
      <c r="Z1201" s="8"/>
      <c r="AA1201" s="8"/>
      <c r="AB1201" s="8"/>
      <c r="AC1201" s="8"/>
      <c r="AD1201" s="8"/>
      <c r="AE1201" s="8"/>
      <c r="AF1201" s="8"/>
    </row>
    <row r="1202" spans="1:32" ht="14.4" x14ac:dyDescent="0.3">
      <c r="A1202" s="8"/>
      <c r="B1202" s="8"/>
      <c r="C1202" s="8"/>
      <c r="D1202" s="8"/>
      <c r="E1202" s="8"/>
      <c r="F1202" s="8"/>
      <c r="G1202" s="8"/>
      <c r="H1202" s="8"/>
      <c r="I1202" s="8"/>
      <c r="J1202" s="8"/>
      <c r="K1202" s="8"/>
      <c r="L1202" s="8"/>
      <c r="M1202" s="8"/>
      <c r="N1202" s="8"/>
      <c r="O1202" s="8"/>
      <c r="P1202" s="8"/>
      <c r="Q1202" s="8"/>
      <c r="R1202" s="8"/>
      <c r="S1202" s="8"/>
      <c r="T1202" s="8"/>
      <c r="U1202" s="8"/>
      <c r="V1202" s="8"/>
      <c r="W1202" s="8"/>
      <c r="X1202" s="8"/>
      <c r="Y1202" s="8"/>
      <c r="Z1202" s="8"/>
      <c r="AA1202" s="8"/>
      <c r="AB1202" s="8"/>
      <c r="AC1202" s="8"/>
      <c r="AD1202" s="8"/>
      <c r="AE1202" s="8"/>
      <c r="AF1202" s="8"/>
    </row>
    <row r="1203" spans="1:32" ht="14.4" x14ac:dyDescent="0.3">
      <c r="A1203" s="8"/>
      <c r="B1203" s="8"/>
      <c r="C1203" s="8"/>
      <c r="D1203" s="8"/>
      <c r="E1203" s="8"/>
      <c r="F1203" s="8"/>
      <c r="G1203" s="8"/>
      <c r="H1203" s="8"/>
      <c r="I1203" s="8"/>
      <c r="J1203" s="8"/>
      <c r="K1203" s="8"/>
      <c r="L1203" s="8"/>
      <c r="M1203" s="8"/>
      <c r="N1203" s="8"/>
      <c r="O1203" s="8"/>
      <c r="P1203" s="8"/>
      <c r="Q1203" s="8"/>
      <c r="R1203" s="8"/>
      <c r="S1203" s="8"/>
      <c r="T1203" s="8"/>
      <c r="U1203" s="8"/>
      <c r="V1203" s="8"/>
      <c r="W1203" s="8"/>
      <c r="X1203" s="8"/>
      <c r="Y1203" s="8"/>
      <c r="Z1203" s="8"/>
      <c r="AA1203" s="8"/>
      <c r="AB1203" s="8"/>
      <c r="AC1203" s="8"/>
      <c r="AD1203" s="8"/>
      <c r="AE1203" s="8"/>
      <c r="AF1203" s="8"/>
    </row>
    <row r="1204" spans="1:32" ht="14.4" x14ac:dyDescent="0.3">
      <c r="A1204" s="8"/>
      <c r="B1204" s="8"/>
      <c r="C1204" s="8"/>
      <c r="D1204" s="8"/>
      <c r="E1204" s="8"/>
      <c r="F1204" s="8"/>
      <c r="G1204" s="8"/>
      <c r="H1204" s="8"/>
      <c r="I1204" s="8"/>
      <c r="J1204" s="8"/>
      <c r="K1204" s="8"/>
      <c r="L1204" s="8"/>
      <c r="M1204" s="8"/>
      <c r="N1204" s="8"/>
      <c r="O1204" s="8"/>
      <c r="P1204" s="8"/>
      <c r="Q1204" s="8"/>
      <c r="R1204" s="8"/>
      <c r="S1204" s="8"/>
      <c r="T1204" s="8"/>
      <c r="U1204" s="8"/>
      <c r="V1204" s="8"/>
      <c r="W1204" s="8"/>
      <c r="X1204" s="8"/>
      <c r="Y1204" s="8"/>
      <c r="Z1204" s="8"/>
      <c r="AA1204" s="8"/>
      <c r="AB1204" s="8"/>
      <c r="AC1204" s="8"/>
      <c r="AD1204" s="8"/>
      <c r="AE1204" s="8"/>
      <c r="AF1204" s="8"/>
    </row>
    <row r="1205" spans="1:32" ht="14.4" x14ac:dyDescent="0.3">
      <c r="A1205" s="8"/>
      <c r="B1205" s="8"/>
      <c r="C1205" s="8"/>
      <c r="D1205" s="8"/>
      <c r="E1205" s="8"/>
      <c r="F1205" s="8"/>
      <c r="G1205" s="8"/>
      <c r="H1205" s="8"/>
      <c r="I1205" s="8"/>
      <c r="J1205" s="8"/>
      <c r="K1205" s="8"/>
      <c r="L1205" s="8"/>
      <c r="M1205" s="8"/>
      <c r="N1205" s="8"/>
      <c r="O1205" s="8"/>
      <c r="P1205" s="8"/>
      <c r="Q1205" s="8"/>
      <c r="R1205" s="8"/>
      <c r="S1205" s="8"/>
      <c r="T1205" s="8"/>
      <c r="U1205" s="8"/>
      <c r="V1205" s="8"/>
      <c r="W1205" s="8"/>
      <c r="X1205" s="8"/>
      <c r="Y1205" s="8"/>
      <c r="Z1205" s="8"/>
      <c r="AA1205" s="8"/>
      <c r="AB1205" s="8"/>
      <c r="AC1205" s="8"/>
      <c r="AD1205" s="8"/>
      <c r="AE1205" s="8"/>
      <c r="AF1205" s="8"/>
    </row>
    <row r="1206" spans="1:32" ht="14.4" x14ac:dyDescent="0.3">
      <c r="A1206" s="8"/>
      <c r="B1206" s="8"/>
      <c r="C1206" s="8"/>
      <c r="D1206" s="8"/>
      <c r="E1206" s="8"/>
      <c r="F1206" s="8"/>
      <c r="G1206" s="8"/>
      <c r="H1206" s="8"/>
      <c r="I1206" s="8"/>
      <c r="J1206" s="8"/>
      <c r="K1206" s="8"/>
      <c r="L1206" s="8"/>
      <c r="M1206" s="8"/>
      <c r="N1206" s="8"/>
      <c r="O1206" s="8"/>
      <c r="P1206" s="8"/>
      <c r="Q1206" s="8"/>
      <c r="R1206" s="8"/>
      <c r="S1206" s="8"/>
      <c r="T1206" s="8"/>
      <c r="U1206" s="8"/>
      <c r="V1206" s="8"/>
      <c r="W1206" s="8"/>
      <c r="X1206" s="8"/>
      <c r="Y1206" s="8"/>
      <c r="Z1206" s="8"/>
      <c r="AA1206" s="8"/>
      <c r="AB1206" s="8"/>
      <c r="AC1206" s="8"/>
      <c r="AD1206" s="8"/>
      <c r="AE1206" s="8"/>
      <c r="AF1206" s="8"/>
    </row>
    <row r="1207" spans="1:32" ht="14.4" x14ac:dyDescent="0.3">
      <c r="A1207" s="8"/>
      <c r="B1207" s="8"/>
      <c r="C1207" s="8"/>
      <c r="D1207" s="8"/>
      <c r="E1207" s="8"/>
      <c r="F1207" s="8"/>
      <c r="G1207" s="8"/>
      <c r="H1207" s="8"/>
      <c r="I1207" s="8"/>
      <c r="J1207" s="8"/>
      <c r="K1207" s="8"/>
      <c r="L1207" s="8"/>
      <c r="M1207" s="8"/>
      <c r="N1207" s="8"/>
      <c r="O1207" s="8"/>
      <c r="P1207" s="8"/>
      <c r="Q1207" s="8"/>
      <c r="R1207" s="8"/>
      <c r="S1207" s="8"/>
      <c r="T1207" s="8"/>
      <c r="U1207" s="8"/>
      <c r="V1207" s="8"/>
      <c r="W1207" s="8"/>
      <c r="X1207" s="8"/>
      <c r="Y1207" s="8"/>
      <c r="Z1207" s="8"/>
      <c r="AA1207" s="8"/>
      <c r="AB1207" s="8"/>
      <c r="AC1207" s="8"/>
      <c r="AD1207" s="8"/>
      <c r="AE1207" s="8"/>
      <c r="AF1207" s="8"/>
    </row>
    <row r="1208" spans="1:32" ht="14.4" x14ac:dyDescent="0.3">
      <c r="A1208" s="8"/>
      <c r="B1208" s="8"/>
      <c r="C1208" s="8"/>
      <c r="D1208" s="8"/>
      <c r="E1208" s="8"/>
      <c r="F1208" s="8"/>
      <c r="G1208" s="8"/>
      <c r="H1208" s="8"/>
      <c r="I1208" s="8"/>
      <c r="J1208" s="8"/>
      <c r="K1208" s="8"/>
      <c r="L1208" s="8"/>
      <c r="M1208" s="8"/>
      <c r="N1208" s="8"/>
      <c r="O1208" s="8"/>
      <c r="P1208" s="8"/>
      <c r="Q1208" s="8"/>
      <c r="R1208" s="8"/>
      <c r="S1208" s="8"/>
      <c r="T1208" s="8"/>
      <c r="U1208" s="8"/>
      <c r="V1208" s="8"/>
      <c r="W1208" s="8"/>
      <c r="X1208" s="8"/>
      <c r="Y1208" s="8"/>
      <c r="Z1208" s="8"/>
      <c r="AA1208" s="8"/>
      <c r="AB1208" s="8"/>
      <c r="AC1208" s="8"/>
      <c r="AD1208" s="8"/>
      <c r="AE1208" s="8"/>
      <c r="AF1208" s="8"/>
    </row>
    <row r="1209" spans="1:32" ht="14.4" x14ac:dyDescent="0.3">
      <c r="A1209" s="8"/>
      <c r="B1209" s="8"/>
      <c r="C1209" s="8"/>
      <c r="D1209" s="8"/>
      <c r="E1209" s="8"/>
      <c r="F1209" s="8"/>
      <c r="G1209" s="8"/>
      <c r="H1209" s="8"/>
      <c r="I1209" s="8"/>
      <c r="J1209" s="8"/>
      <c r="K1209" s="8"/>
      <c r="L1209" s="8"/>
      <c r="M1209" s="8"/>
      <c r="N1209" s="8"/>
      <c r="O1209" s="8"/>
      <c r="P1209" s="8"/>
      <c r="Q1209" s="8"/>
      <c r="R1209" s="8"/>
      <c r="S1209" s="8"/>
      <c r="T1209" s="8"/>
      <c r="U1209" s="8"/>
      <c r="V1209" s="8"/>
      <c r="W1209" s="8"/>
      <c r="X1209" s="8"/>
      <c r="Y1209" s="8"/>
      <c r="Z1209" s="8"/>
      <c r="AA1209" s="8"/>
      <c r="AB1209" s="8"/>
      <c r="AC1209" s="8"/>
      <c r="AD1209" s="8"/>
      <c r="AE1209" s="8"/>
      <c r="AF1209" s="8"/>
    </row>
    <row r="1210" spans="1:32" ht="14.4" x14ac:dyDescent="0.3">
      <c r="A1210" s="8"/>
      <c r="B1210" s="8"/>
      <c r="C1210" s="8"/>
      <c r="D1210" s="8"/>
      <c r="E1210" s="8"/>
      <c r="F1210" s="8"/>
      <c r="G1210" s="8"/>
      <c r="H1210" s="8"/>
      <c r="I1210" s="8"/>
      <c r="J1210" s="8"/>
      <c r="K1210" s="8"/>
      <c r="L1210" s="8"/>
      <c r="M1210" s="8"/>
      <c r="N1210" s="8"/>
      <c r="O1210" s="8"/>
      <c r="P1210" s="8"/>
      <c r="Q1210" s="8"/>
      <c r="R1210" s="8"/>
      <c r="S1210" s="8"/>
      <c r="T1210" s="8"/>
      <c r="U1210" s="8"/>
      <c r="V1210" s="8"/>
      <c r="W1210" s="8"/>
      <c r="X1210" s="8"/>
      <c r="Y1210" s="8"/>
      <c r="Z1210" s="8"/>
      <c r="AA1210" s="8"/>
      <c r="AB1210" s="8"/>
      <c r="AC1210" s="8"/>
      <c r="AD1210" s="8"/>
      <c r="AE1210" s="8"/>
      <c r="AF1210" s="8"/>
    </row>
    <row r="1211" spans="1:32" ht="14.4" x14ac:dyDescent="0.3">
      <c r="A1211" s="8"/>
      <c r="B1211" s="8"/>
      <c r="C1211" s="8"/>
      <c r="D1211" s="8"/>
      <c r="E1211" s="8"/>
      <c r="F1211" s="8"/>
      <c r="G1211" s="8"/>
      <c r="H1211" s="8"/>
      <c r="I1211" s="8"/>
      <c r="J1211" s="8"/>
      <c r="K1211" s="8"/>
      <c r="L1211" s="8"/>
      <c r="M1211" s="8"/>
      <c r="N1211" s="8"/>
      <c r="O1211" s="8"/>
      <c r="P1211" s="8"/>
      <c r="Q1211" s="8"/>
      <c r="R1211" s="8"/>
      <c r="S1211" s="8"/>
      <c r="T1211" s="8"/>
      <c r="U1211" s="8"/>
      <c r="V1211" s="8"/>
      <c r="W1211" s="8"/>
      <c r="X1211" s="8"/>
      <c r="Y1211" s="8"/>
      <c r="Z1211" s="8"/>
      <c r="AA1211" s="8"/>
      <c r="AB1211" s="8"/>
      <c r="AC1211" s="8"/>
      <c r="AD1211" s="8"/>
      <c r="AE1211" s="8"/>
      <c r="AF1211" s="8"/>
    </row>
    <row r="1212" spans="1:32" ht="14.4" x14ac:dyDescent="0.3">
      <c r="A1212" s="8"/>
      <c r="B1212" s="8"/>
      <c r="C1212" s="8"/>
      <c r="D1212" s="8"/>
      <c r="E1212" s="8"/>
      <c r="F1212" s="8"/>
      <c r="G1212" s="8"/>
      <c r="H1212" s="8"/>
      <c r="I1212" s="8"/>
      <c r="J1212" s="8"/>
      <c r="K1212" s="8"/>
      <c r="L1212" s="8"/>
      <c r="M1212" s="8"/>
      <c r="N1212" s="8"/>
      <c r="O1212" s="8"/>
      <c r="P1212" s="8"/>
      <c r="Q1212" s="8"/>
      <c r="R1212" s="8"/>
      <c r="S1212" s="8"/>
      <c r="T1212" s="8"/>
      <c r="U1212" s="8"/>
      <c r="V1212" s="8"/>
      <c r="W1212" s="8"/>
      <c r="X1212" s="8"/>
      <c r="Y1212" s="8"/>
      <c r="Z1212" s="8"/>
      <c r="AA1212" s="8"/>
      <c r="AB1212" s="8"/>
      <c r="AC1212" s="8"/>
      <c r="AD1212" s="8"/>
      <c r="AE1212" s="8"/>
      <c r="AF1212" s="8"/>
    </row>
    <row r="1213" spans="1:32" ht="14.4" x14ac:dyDescent="0.3">
      <c r="A1213" s="8"/>
      <c r="B1213" s="8"/>
      <c r="C1213" s="8"/>
      <c r="D1213" s="8"/>
      <c r="E1213" s="8"/>
      <c r="F1213" s="8"/>
      <c r="G1213" s="8"/>
      <c r="H1213" s="8"/>
      <c r="I1213" s="8"/>
      <c r="J1213" s="8"/>
      <c r="K1213" s="8"/>
      <c r="L1213" s="8"/>
      <c r="M1213" s="8"/>
      <c r="N1213" s="8"/>
      <c r="O1213" s="8"/>
      <c r="P1213" s="8"/>
      <c r="Q1213" s="8"/>
      <c r="R1213" s="8"/>
      <c r="S1213" s="8"/>
      <c r="T1213" s="8"/>
      <c r="U1213" s="8"/>
      <c r="V1213" s="8"/>
      <c r="W1213" s="8"/>
      <c r="X1213" s="8"/>
      <c r="Y1213" s="8"/>
      <c r="Z1213" s="8"/>
      <c r="AA1213" s="8"/>
      <c r="AB1213" s="8"/>
      <c r="AC1213" s="8"/>
      <c r="AD1213" s="8"/>
      <c r="AE1213" s="8"/>
      <c r="AF1213" s="8"/>
    </row>
    <row r="1214" spans="1:32" ht="14.4" x14ac:dyDescent="0.3">
      <c r="A1214" s="8"/>
      <c r="B1214" s="8"/>
      <c r="C1214" s="8"/>
      <c r="D1214" s="8"/>
      <c r="E1214" s="8"/>
      <c r="F1214" s="8"/>
      <c r="G1214" s="8"/>
      <c r="H1214" s="8"/>
      <c r="I1214" s="8"/>
      <c r="J1214" s="8"/>
      <c r="K1214" s="8"/>
      <c r="L1214" s="8"/>
      <c r="M1214" s="8"/>
      <c r="N1214" s="8"/>
      <c r="O1214" s="8"/>
      <c r="P1214" s="8"/>
      <c r="Q1214" s="8"/>
      <c r="R1214" s="8"/>
      <c r="S1214" s="8"/>
      <c r="T1214" s="8"/>
      <c r="U1214" s="8"/>
      <c r="V1214" s="8"/>
      <c r="W1214" s="8"/>
      <c r="X1214" s="8"/>
      <c r="Y1214" s="8"/>
      <c r="Z1214" s="8"/>
      <c r="AA1214" s="8"/>
      <c r="AB1214" s="8"/>
      <c r="AC1214" s="8"/>
      <c r="AD1214" s="8"/>
      <c r="AE1214" s="8"/>
      <c r="AF1214" s="8"/>
    </row>
    <row r="1215" spans="1:32" ht="14.4" x14ac:dyDescent="0.3">
      <c r="A1215" s="8"/>
      <c r="B1215" s="8"/>
      <c r="C1215" s="8"/>
      <c r="D1215" s="8"/>
      <c r="E1215" s="8"/>
      <c r="F1215" s="8"/>
      <c r="G1215" s="8"/>
      <c r="H1215" s="8"/>
      <c r="I1215" s="8"/>
      <c r="J1215" s="8"/>
      <c r="K1215" s="8"/>
      <c r="L1215" s="8"/>
      <c r="M1215" s="8"/>
      <c r="N1215" s="8"/>
      <c r="O1215" s="8"/>
      <c r="P1215" s="8"/>
      <c r="Q1215" s="8"/>
      <c r="R1215" s="8"/>
      <c r="S1215" s="8"/>
      <c r="T1215" s="8"/>
      <c r="U1215" s="8"/>
      <c r="V1215" s="8"/>
      <c r="W1215" s="8"/>
      <c r="X1215" s="8"/>
      <c r="Y1215" s="8"/>
      <c r="Z1215" s="8"/>
      <c r="AA1215" s="8"/>
      <c r="AB1215" s="8"/>
      <c r="AC1215" s="8"/>
      <c r="AD1215" s="8"/>
      <c r="AE1215" s="8"/>
      <c r="AF1215" s="8"/>
    </row>
  </sheetData>
  <mergeCells count="27">
    <mergeCell ref="B2:H2"/>
    <mergeCell ref="J2:K2"/>
    <mergeCell ref="B47:E47"/>
    <mergeCell ref="B48:E48"/>
    <mergeCell ref="B49:E49"/>
    <mergeCell ref="B51:C51"/>
    <mergeCell ref="C52:D52"/>
    <mergeCell ref="C53:D53"/>
    <mergeCell ref="C54:D54"/>
    <mergeCell ref="C55:D55"/>
    <mergeCell ref="C56:D56"/>
    <mergeCell ref="B58:D58"/>
    <mergeCell ref="B64:D64"/>
    <mergeCell ref="B93:E93"/>
    <mergeCell ref="C206:F206"/>
    <mergeCell ref="C112:G112"/>
    <mergeCell ref="C124:G124"/>
    <mergeCell ref="G206:K206"/>
    <mergeCell ref="L206:P206"/>
    <mergeCell ref="C219:F219"/>
    <mergeCell ref="G219:K219"/>
    <mergeCell ref="L219:P219"/>
    <mergeCell ref="H150:J150"/>
    <mergeCell ref="D158:J158"/>
    <mergeCell ref="D169:J169"/>
    <mergeCell ref="D180:J180"/>
    <mergeCell ref="D191:J191"/>
  </mergeCells>
  <hyperlinks>
    <hyperlink ref="B47" r:id="rId1" xr:uid="{00000000-0004-0000-0100-000000000000}"/>
    <hyperlink ref="B48" r:id="rId2" xr:uid="{00000000-0004-0000-0100-000001000000}"/>
  </hyperlinks>
  <pageMargins left="0.7" right="0.7" top="0.75" bottom="0.75" header="0.3" footer="0.3"/>
  <pageSetup orientation="portrait"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1005"/>
  <sheetViews>
    <sheetView workbookViewId="0"/>
  </sheetViews>
  <sheetFormatPr defaultColWidth="16.85546875" defaultRowHeight="15" customHeight="1" x14ac:dyDescent="0.2"/>
  <cols>
    <col min="1" max="1" width="3.85546875" customWidth="1"/>
    <col min="2" max="2" width="14.28515625" customWidth="1"/>
    <col min="3" max="3" width="38" customWidth="1"/>
    <col min="4" max="4" width="38.85546875" customWidth="1"/>
    <col min="5" max="5" width="17.28515625" customWidth="1"/>
    <col min="6" max="6" width="24" customWidth="1"/>
    <col min="7" max="7" width="13.42578125" customWidth="1"/>
    <col min="8" max="8" width="12.28515625" customWidth="1"/>
    <col min="9" max="9" width="24.7109375" customWidth="1"/>
    <col min="10" max="10" width="17.7109375" customWidth="1"/>
    <col min="11" max="11" width="21.28515625" customWidth="1"/>
    <col min="12" max="12" width="19.140625" customWidth="1"/>
    <col min="13" max="13" width="19.28515625" customWidth="1"/>
    <col min="14" max="14" width="12.140625" customWidth="1"/>
    <col min="15" max="15" width="24.28515625" customWidth="1"/>
    <col min="16" max="16" width="20" customWidth="1"/>
    <col min="17" max="17" width="18.85546875" customWidth="1"/>
    <col min="18" max="18" width="20.7109375" customWidth="1"/>
    <col min="19" max="19" width="22" customWidth="1"/>
    <col min="20" max="39" width="9.28515625" customWidth="1"/>
  </cols>
  <sheetData>
    <row r="1" spans="1:39" ht="12.75" customHeight="1" x14ac:dyDescent="0.25">
      <c r="A1" s="143"/>
      <c r="B1" s="143"/>
      <c r="C1" s="143"/>
      <c r="D1" s="143"/>
      <c r="E1" s="143"/>
      <c r="F1" s="143"/>
      <c r="G1" s="143"/>
      <c r="H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row>
    <row r="2" spans="1:39" ht="12.75" customHeight="1" x14ac:dyDescent="0.25">
      <c r="A2" s="143"/>
      <c r="B2" s="143"/>
      <c r="C2" s="143"/>
      <c r="D2" s="143"/>
      <c r="E2" s="143"/>
      <c r="F2" s="143"/>
      <c r="G2" s="143"/>
      <c r="H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row>
    <row r="3" spans="1:39" ht="12.75" customHeight="1" x14ac:dyDescent="0.35">
      <c r="A3" s="143"/>
      <c r="B3" s="144" t="s">
        <v>167</v>
      </c>
      <c r="C3" s="145" t="s">
        <v>168</v>
      </c>
      <c r="D3" s="145" t="s">
        <v>169</v>
      </c>
      <c r="E3" s="145" t="s">
        <v>170</v>
      </c>
      <c r="F3" s="145" t="s">
        <v>171</v>
      </c>
      <c r="G3" s="145" t="s">
        <v>171</v>
      </c>
      <c r="H3" s="145" t="s">
        <v>172</v>
      </c>
      <c r="I3" s="145" t="s">
        <v>173</v>
      </c>
      <c r="J3" s="146" t="s">
        <v>174</v>
      </c>
      <c r="K3" s="145" t="s">
        <v>551</v>
      </c>
      <c r="L3" s="145" t="s">
        <v>552</v>
      </c>
      <c r="M3" s="147" t="s">
        <v>553</v>
      </c>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row>
    <row r="4" spans="1:39" ht="12.75" customHeight="1" x14ac:dyDescent="0.25">
      <c r="A4" s="143"/>
      <c r="B4" s="148"/>
      <c r="C4" s="149"/>
      <c r="D4" s="149"/>
      <c r="E4" s="149"/>
      <c r="F4" s="149"/>
      <c r="G4" s="149" t="s">
        <v>178</v>
      </c>
      <c r="H4" s="149" t="s">
        <v>179</v>
      </c>
      <c r="I4" s="149" t="s">
        <v>180</v>
      </c>
      <c r="J4" s="149" t="s">
        <v>181</v>
      </c>
      <c r="K4" s="149" t="s">
        <v>182</v>
      </c>
      <c r="L4" s="149" t="s">
        <v>182</v>
      </c>
      <c r="M4" s="150" t="s">
        <v>182</v>
      </c>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c r="AM4" s="143"/>
    </row>
    <row r="5" spans="1:39" ht="12.75" customHeight="1" x14ac:dyDescent="0.25">
      <c r="A5" s="143"/>
      <c r="B5" s="151"/>
      <c r="C5" s="152"/>
      <c r="D5" s="152"/>
      <c r="E5" s="152"/>
      <c r="F5" s="152"/>
      <c r="G5" s="152"/>
      <c r="H5" s="152"/>
      <c r="I5" s="152"/>
      <c r="J5" s="152"/>
      <c r="K5" s="153"/>
      <c r="L5" s="152"/>
      <c r="M5" s="154"/>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row>
    <row r="6" spans="1:39" ht="12.75" customHeight="1" x14ac:dyDescent="0.25">
      <c r="A6" s="143"/>
      <c r="B6" s="155" t="s">
        <v>183</v>
      </c>
      <c r="C6" s="156" t="s">
        <v>184</v>
      </c>
      <c r="D6" s="190"/>
      <c r="E6" s="190"/>
      <c r="F6" s="158"/>
      <c r="G6" s="190"/>
      <c r="H6" s="190"/>
      <c r="I6" s="190"/>
      <c r="J6" s="312"/>
      <c r="K6" s="190"/>
      <c r="L6" s="190"/>
      <c r="M6" s="208"/>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row>
    <row r="7" spans="1:39" ht="12.75" customHeight="1" x14ac:dyDescent="0.25">
      <c r="A7" s="143"/>
      <c r="B7" s="151"/>
      <c r="C7" s="152" t="s">
        <v>185</v>
      </c>
      <c r="D7" s="152" t="s">
        <v>186</v>
      </c>
      <c r="E7" s="152" t="s">
        <v>187</v>
      </c>
      <c r="F7" s="161">
        <v>507880</v>
      </c>
      <c r="G7" s="152" t="s">
        <v>188</v>
      </c>
      <c r="H7" s="161">
        <v>11067</v>
      </c>
      <c r="I7" s="152" t="s">
        <v>189</v>
      </c>
      <c r="J7" s="413">
        <v>11908871</v>
      </c>
      <c r="K7" s="211">
        <f>+J7/(J7+J8)*K9</f>
        <v>1220867.8987337432</v>
      </c>
      <c r="L7" s="211">
        <f>+J7/(J7+J8)*L9</f>
        <v>144.30228682123382</v>
      </c>
      <c r="M7" s="212">
        <f>+J7/(J7+J8)*M9</f>
        <v>20.985789634666968</v>
      </c>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row>
    <row r="8" spans="1:39" ht="12.75" customHeight="1" x14ac:dyDescent="0.25">
      <c r="A8" s="143"/>
      <c r="B8" s="151"/>
      <c r="C8" s="152" t="s">
        <v>185</v>
      </c>
      <c r="D8" s="152" t="s">
        <v>186</v>
      </c>
      <c r="E8" s="152" t="s">
        <v>224</v>
      </c>
      <c r="F8" s="161">
        <v>57600</v>
      </c>
      <c r="G8" s="152" t="s">
        <v>225</v>
      </c>
      <c r="H8" s="161">
        <v>140000</v>
      </c>
      <c r="I8" s="152" t="s">
        <v>226</v>
      </c>
      <c r="J8" s="414">
        <f>(F8*H8)/1000000</f>
        <v>8064</v>
      </c>
      <c r="K8" s="211">
        <f>+J8/(J8+J7)*K9</f>
        <v>826.70126625680189</v>
      </c>
      <c r="L8" s="211">
        <f>+J8/(J8+J7)*L9</f>
        <v>9.7713178766184433E-2</v>
      </c>
      <c r="M8" s="212">
        <f>+J8/(J8+J7)*M9</f>
        <v>1.4210365333032361E-2</v>
      </c>
      <c r="N8" s="143"/>
      <c r="O8" s="143"/>
      <c r="P8" s="143"/>
      <c r="Q8" s="143"/>
      <c r="R8" s="143"/>
      <c r="S8" s="143"/>
      <c r="T8" s="143"/>
      <c r="U8" s="143"/>
      <c r="V8" s="143"/>
      <c r="W8" s="143"/>
      <c r="X8" s="143"/>
      <c r="Y8" s="143"/>
      <c r="Z8" s="143"/>
      <c r="AA8" s="143"/>
      <c r="AB8" s="143"/>
      <c r="AC8" s="143"/>
      <c r="AD8" s="143"/>
      <c r="AE8" s="143"/>
      <c r="AF8" s="143"/>
      <c r="AG8" s="143"/>
      <c r="AH8" s="143"/>
      <c r="AI8" s="143"/>
      <c r="AJ8" s="143"/>
      <c r="AK8" s="143"/>
      <c r="AL8" s="143"/>
      <c r="AM8" s="143"/>
    </row>
    <row r="9" spans="1:39" ht="12.75" customHeight="1" x14ac:dyDescent="0.25">
      <c r="A9" s="143"/>
      <c r="B9" s="151"/>
      <c r="C9" s="152"/>
      <c r="D9" s="152"/>
      <c r="E9" s="152"/>
      <c r="F9" s="153"/>
      <c r="G9" s="152"/>
      <c r="H9" s="174"/>
      <c r="I9" s="152"/>
      <c r="J9" s="415">
        <f>SUM(J7:J8)</f>
        <v>11916935</v>
      </c>
      <c r="K9" s="213">
        <v>1221694.6000000001</v>
      </c>
      <c r="L9" s="213">
        <v>144.4</v>
      </c>
      <c r="M9" s="214">
        <v>21</v>
      </c>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row>
    <row r="10" spans="1:39" ht="12.75" customHeight="1" x14ac:dyDescent="0.25">
      <c r="A10" s="143"/>
      <c r="B10" s="151"/>
      <c r="C10" s="152"/>
      <c r="D10" s="152"/>
      <c r="E10" s="152"/>
      <c r="F10" s="153"/>
      <c r="G10" s="152"/>
      <c r="H10" s="174"/>
      <c r="I10" s="152"/>
      <c r="J10" s="416"/>
      <c r="K10" s="286"/>
      <c r="L10" s="286"/>
      <c r="M10" s="417"/>
      <c r="N10" s="143"/>
      <c r="O10" s="143"/>
      <c r="P10" s="143"/>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row>
    <row r="11" spans="1:39" ht="12.75" customHeight="1" x14ac:dyDescent="0.25">
      <c r="A11" s="143"/>
      <c r="B11" s="151"/>
      <c r="C11" s="152" t="s">
        <v>227</v>
      </c>
      <c r="D11" s="152" t="s">
        <v>228</v>
      </c>
      <c r="E11" s="152" t="s">
        <v>224</v>
      </c>
      <c r="F11" s="161">
        <v>425</v>
      </c>
      <c r="G11" s="152" t="s">
        <v>225</v>
      </c>
      <c r="H11" s="161">
        <v>140000</v>
      </c>
      <c r="I11" s="152" t="s">
        <v>226</v>
      </c>
      <c r="J11" s="418">
        <f>(F11*H11)/1000000</f>
        <v>59.5</v>
      </c>
      <c r="K11" s="213">
        <v>4.8</v>
      </c>
      <c r="L11" s="213">
        <v>0</v>
      </c>
      <c r="M11" s="214">
        <v>0</v>
      </c>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row>
    <row r="12" spans="1:39" ht="12.75" customHeight="1" x14ac:dyDescent="0.25">
      <c r="A12" s="143"/>
      <c r="B12" s="151"/>
      <c r="C12" s="152"/>
      <c r="D12" s="152"/>
      <c r="E12" s="152"/>
      <c r="F12" s="152"/>
      <c r="G12" s="152"/>
      <c r="H12" s="152"/>
      <c r="I12" s="152"/>
      <c r="J12" s="416"/>
      <c r="K12" s="286"/>
      <c r="L12" s="286"/>
      <c r="M12" s="419"/>
      <c r="N12" s="143"/>
      <c r="O12" s="143"/>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row>
    <row r="13" spans="1:39" ht="12.75" customHeight="1" x14ac:dyDescent="0.25">
      <c r="A13" s="143"/>
      <c r="B13" s="151"/>
      <c r="C13" s="152" t="s">
        <v>434</v>
      </c>
      <c r="D13" s="152" t="s">
        <v>435</v>
      </c>
      <c r="E13" s="152" t="s">
        <v>436</v>
      </c>
      <c r="F13" s="161">
        <v>2047300</v>
      </c>
      <c r="G13" s="152" t="s">
        <v>437</v>
      </c>
      <c r="H13" s="161">
        <v>1020</v>
      </c>
      <c r="I13" s="152" t="s">
        <v>438</v>
      </c>
      <c r="J13" s="313">
        <f>(F13*H13)/1000000</f>
        <v>2088.2460000000001</v>
      </c>
      <c r="K13" s="213">
        <v>123</v>
      </c>
      <c r="L13" s="213">
        <v>0</v>
      </c>
      <c r="M13" s="214">
        <v>0</v>
      </c>
      <c r="N13" s="143"/>
      <c r="O13" s="143"/>
      <c r="P13" s="143"/>
      <c r="Q13" s="143"/>
      <c r="R13" s="143"/>
      <c r="S13" s="143"/>
      <c r="T13" s="143"/>
      <c r="U13" s="143"/>
      <c r="V13" s="143"/>
      <c r="W13" s="143"/>
      <c r="X13" s="143"/>
      <c r="Y13" s="143"/>
      <c r="Z13" s="143"/>
      <c r="AA13" s="143"/>
      <c r="AB13" s="143"/>
      <c r="AC13" s="143"/>
      <c r="AD13" s="143"/>
      <c r="AE13" s="143"/>
      <c r="AF13" s="143"/>
      <c r="AG13" s="143"/>
      <c r="AH13" s="143"/>
      <c r="AI13" s="143"/>
      <c r="AJ13" s="143"/>
      <c r="AK13" s="143"/>
      <c r="AL13" s="143"/>
      <c r="AM13" s="143"/>
    </row>
    <row r="14" spans="1:39" ht="12.75" customHeight="1" x14ac:dyDescent="0.25">
      <c r="A14" s="143"/>
      <c r="B14" s="166"/>
      <c r="C14" s="167"/>
      <c r="D14" s="167"/>
      <c r="E14" s="167"/>
      <c r="F14" s="169"/>
      <c r="G14" s="167"/>
      <c r="H14" s="216"/>
      <c r="I14" s="167"/>
      <c r="J14" s="314"/>
      <c r="K14" s="167"/>
      <c r="L14" s="218"/>
      <c r="M14" s="219"/>
      <c r="N14" s="143"/>
      <c r="O14" s="143"/>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row>
    <row r="15" spans="1:39" ht="12.75" customHeight="1" x14ac:dyDescent="0.25">
      <c r="A15" s="143"/>
      <c r="B15" s="151"/>
      <c r="C15" s="152"/>
      <c r="D15" s="152"/>
      <c r="E15" s="152"/>
      <c r="F15" s="174"/>
      <c r="G15" s="152"/>
      <c r="H15" s="174"/>
      <c r="I15" s="152"/>
      <c r="J15" s="174"/>
      <c r="K15" s="158"/>
      <c r="L15" s="221"/>
      <c r="M15" s="154"/>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row>
    <row r="16" spans="1:39" ht="12.75" customHeight="1" x14ac:dyDescent="0.25">
      <c r="A16" s="143"/>
      <c r="B16" s="151" t="s">
        <v>190</v>
      </c>
      <c r="C16" s="301" t="s">
        <v>191</v>
      </c>
      <c r="D16" s="152"/>
      <c r="E16" s="152"/>
      <c r="F16" s="174"/>
      <c r="G16" s="152"/>
      <c r="H16" s="174"/>
      <c r="I16" s="152"/>
      <c r="J16" s="152"/>
      <c r="K16" s="174"/>
      <c r="L16" s="221"/>
      <c r="M16" s="154"/>
      <c r="N16" s="143"/>
      <c r="O16" s="301" t="s">
        <v>554</v>
      </c>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row>
    <row r="17" spans="1:39" ht="12.75" customHeight="1" x14ac:dyDescent="0.25">
      <c r="A17" s="143"/>
      <c r="B17" s="151"/>
      <c r="C17" s="179"/>
      <c r="D17" s="152"/>
      <c r="E17" s="152"/>
      <c r="F17" s="174"/>
      <c r="G17" s="152"/>
      <c r="H17" s="174"/>
      <c r="I17" s="152"/>
      <c r="J17" s="152"/>
      <c r="K17" s="228"/>
      <c r="L17" s="221"/>
      <c r="M17" s="154"/>
      <c r="N17" s="143"/>
      <c r="O17" s="143" t="s">
        <v>4</v>
      </c>
      <c r="P17" s="143" t="s">
        <v>555</v>
      </c>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row>
    <row r="18" spans="1:39" ht="12.75" customHeight="1" x14ac:dyDescent="0.25">
      <c r="A18" s="143"/>
      <c r="B18" s="151"/>
      <c r="C18" s="152" t="s">
        <v>192</v>
      </c>
      <c r="D18" s="222" t="s">
        <v>193</v>
      </c>
      <c r="E18" s="152" t="s">
        <v>229</v>
      </c>
      <c r="F18" s="161">
        <v>1053134</v>
      </c>
      <c r="G18" s="152" t="s">
        <v>225</v>
      </c>
      <c r="H18" s="223">
        <v>0.13800000000000001</v>
      </c>
      <c r="I18" s="152" t="s">
        <v>230</v>
      </c>
      <c r="J18" s="224">
        <f>F18*H18</f>
        <v>145332.492</v>
      </c>
      <c r="K18" s="225">
        <f>(+J18/(J18+J19))*K20</f>
        <v>15031.670300094287</v>
      </c>
      <c r="L18" s="226">
        <v>0.47699999999999998</v>
      </c>
      <c r="M18" s="227">
        <v>9.5000000000000001E-2</v>
      </c>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row>
    <row r="19" spans="1:39" ht="12.75" customHeight="1" x14ac:dyDescent="0.35">
      <c r="A19" s="143"/>
      <c r="B19" s="151"/>
      <c r="C19" s="152"/>
      <c r="D19" s="222" t="s">
        <v>193</v>
      </c>
      <c r="E19" s="152" t="s">
        <v>194</v>
      </c>
      <c r="F19" s="161">
        <v>274334</v>
      </c>
      <c r="G19" s="152" t="s">
        <v>188</v>
      </c>
      <c r="H19" s="221">
        <v>26.03</v>
      </c>
      <c r="I19" s="152" t="s">
        <v>195</v>
      </c>
      <c r="J19" s="153">
        <f>(F19*H19)</f>
        <v>7140914.0200000005</v>
      </c>
      <c r="K19" s="225">
        <f>(+J19/(J18+J19))*K20</f>
        <v>738581.32969990571</v>
      </c>
      <c r="L19" s="226">
        <v>86.552999999999997</v>
      </c>
      <c r="M19" s="227">
        <v>12.59</v>
      </c>
      <c r="N19" s="143"/>
      <c r="O19" s="420"/>
      <c r="P19" s="143" t="s">
        <v>556</v>
      </c>
      <c r="Q19" s="143" t="s">
        <v>557</v>
      </c>
      <c r="R19" s="143"/>
      <c r="S19" s="143"/>
      <c r="T19" s="143"/>
      <c r="U19" s="143"/>
      <c r="V19" s="143"/>
      <c r="W19" s="143"/>
      <c r="X19" s="143"/>
      <c r="Y19" s="143"/>
      <c r="Z19" s="143"/>
      <c r="AA19" s="143"/>
      <c r="AB19" s="143"/>
      <c r="AC19" s="143"/>
      <c r="AD19" s="143"/>
      <c r="AE19" s="143"/>
      <c r="AF19" s="143"/>
      <c r="AG19" s="143"/>
      <c r="AH19" s="143"/>
      <c r="AI19" s="143"/>
      <c r="AJ19" s="143"/>
      <c r="AK19" s="143"/>
      <c r="AL19" s="143"/>
      <c r="AM19" s="143"/>
    </row>
    <row r="20" spans="1:39" ht="12.75" customHeight="1" x14ac:dyDescent="0.25">
      <c r="A20" s="143"/>
      <c r="B20" s="151"/>
      <c r="C20" s="152"/>
      <c r="D20" s="222"/>
      <c r="E20" s="152"/>
      <c r="F20" s="174"/>
      <c r="G20" s="152"/>
      <c r="H20" s="174"/>
      <c r="I20" s="152"/>
      <c r="J20" s="229">
        <f>J18+J19</f>
        <v>7286246.5120000001</v>
      </c>
      <c r="K20" s="243">
        <v>753613</v>
      </c>
      <c r="L20" s="247">
        <f t="shared" ref="L20:M20" si="0">L18+L19</f>
        <v>87.03</v>
      </c>
      <c r="M20" s="421">
        <f t="shared" si="0"/>
        <v>12.685</v>
      </c>
      <c r="N20" s="143"/>
      <c r="O20" s="143" t="s">
        <v>187</v>
      </c>
      <c r="P20" s="422">
        <v>2.2000000000000001E-3</v>
      </c>
      <c r="Q20" s="422">
        <v>3.5200000000000001E-3</v>
      </c>
      <c r="R20" s="143"/>
      <c r="S20" s="143"/>
      <c r="T20" s="143"/>
      <c r="U20" s="143"/>
      <c r="V20" s="143"/>
      <c r="W20" s="143"/>
      <c r="X20" s="143"/>
      <c r="Y20" s="143"/>
      <c r="Z20" s="143"/>
      <c r="AA20" s="143"/>
      <c r="AB20" s="143"/>
      <c r="AC20" s="143"/>
      <c r="AD20" s="143"/>
      <c r="AE20" s="143"/>
      <c r="AF20" s="143"/>
      <c r="AG20" s="143"/>
      <c r="AH20" s="143"/>
      <c r="AI20" s="143"/>
      <c r="AJ20" s="143"/>
      <c r="AK20" s="143"/>
      <c r="AL20" s="143"/>
      <c r="AM20" s="143"/>
    </row>
    <row r="21" spans="1:39" ht="12.75" customHeight="1" x14ac:dyDescent="0.25">
      <c r="A21" s="143"/>
      <c r="B21" s="151"/>
      <c r="C21" s="152"/>
      <c r="D21" s="222"/>
      <c r="E21" s="152"/>
      <c r="F21" s="174"/>
      <c r="G21" s="152"/>
      <c r="H21" s="174"/>
      <c r="I21" s="152"/>
      <c r="J21" s="229"/>
      <c r="K21" s="254"/>
      <c r="L21" s="266"/>
      <c r="M21" s="305"/>
      <c r="N21" s="143"/>
      <c r="O21" s="143" t="s">
        <v>235</v>
      </c>
      <c r="P21" s="422">
        <v>6.6E-3</v>
      </c>
      <c r="Q21" s="422">
        <v>1.32E-3</v>
      </c>
      <c r="R21" s="143"/>
      <c r="S21" s="143"/>
      <c r="T21" s="143"/>
      <c r="U21" s="143"/>
      <c r="V21" s="143"/>
      <c r="W21" s="143"/>
      <c r="X21" s="143"/>
      <c r="Y21" s="143"/>
      <c r="Z21" s="143"/>
      <c r="AA21" s="143"/>
      <c r="AB21" s="143"/>
      <c r="AC21" s="143"/>
      <c r="AD21" s="143"/>
      <c r="AE21" s="143"/>
      <c r="AF21" s="143"/>
      <c r="AG21" s="143"/>
      <c r="AH21" s="143"/>
      <c r="AI21" s="143"/>
      <c r="AJ21" s="143"/>
      <c r="AK21" s="143"/>
      <c r="AL21" s="143"/>
      <c r="AM21" s="143"/>
    </row>
    <row r="22" spans="1:39" ht="12.75" customHeight="1" x14ac:dyDescent="0.25">
      <c r="A22" s="143"/>
      <c r="B22" s="151"/>
      <c r="C22" s="152" t="s">
        <v>196</v>
      </c>
      <c r="D22" s="222" t="s">
        <v>197</v>
      </c>
      <c r="E22" s="152" t="s">
        <v>229</v>
      </c>
      <c r="F22" s="161">
        <v>1057590</v>
      </c>
      <c r="G22" s="152" t="s">
        <v>225</v>
      </c>
      <c r="H22" s="228">
        <v>0.13800000000000001</v>
      </c>
      <c r="I22" s="152" t="s">
        <v>230</v>
      </c>
      <c r="J22" s="224">
        <f t="shared" ref="J22:J23" si="1">F22*H22</f>
        <v>145947.42000000001</v>
      </c>
      <c r="K22" s="229">
        <f t="shared" ref="K22:K23" si="2">(J22/(J$23+J$22))*K$24</f>
        <v>13980.556780810048</v>
      </c>
      <c r="L22" s="230">
        <v>0.47899999999999998</v>
      </c>
      <c r="M22" s="231">
        <v>9.6000000000000002E-2</v>
      </c>
      <c r="N22" s="143"/>
      <c r="O22" s="143" t="s">
        <v>409</v>
      </c>
      <c r="P22" s="422">
        <v>6.6E-3</v>
      </c>
      <c r="Q22" s="422">
        <v>1.32E-3</v>
      </c>
      <c r="R22" s="143"/>
      <c r="S22" s="143"/>
      <c r="T22" s="143"/>
      <c r="U22" s="143"/>
      <c r="V22" s="143"/>
      <c r="W22" s="143"/>
      <c r="X22" s="143"/>
      <c r="Y22" s="143"/>
      <c r="Z22" s="143"/>
      <c r="AA22" s="143"/>
      <c r="AB22" s="143"/>
      <c r="AC22" s="143"/>
      <c r="AD22" s="143"/>
      <c r="AE22" s="143"/>
      <c r="AF22" s="143"/>
      <c r="AG22" s="143"/>
      <c r="AH22" s="143"/>
      <c r="AI22" s="143"/>
      <c r="AJ22" s="143"/>
      <c r="AK22" s="143"/>
      <c r="AL22" s="143"/>
      <c r="AM22" s="143"/>
    </row>
    <row r="23" spans="1:39" ht="12.75" customHeight="1" x14ac:dyDescent="0.25">
      <c r="A23" s="143"/>
      <c r="B23" s="151"/>
      <c r="C23" s="152"/>
      <c r="D23" s="222" t="s">
        <v>197</v>
      </c>
      <c r="E23" s="152" t="s">
        <v>194</v>
      </c>
      <c r="F23" s="161">
        <v>194242</v>
      </c>
      <c r="G23" s="152" t="s">
        <v>188</v>
      </c>
      <c r="H23" s="221">
        <v>26.03</v>
      </c>
      <c r="I23" s="152" t="s">
        <v>195</v>
      </c>
      <c r="J23" s="153">
        <f t="shared" si="1"/>
        <v>5056119.26</v>
      </c>
      <c r="K23" s="229">
        <f t="shared" si="2"/>
        <v>484334.44321918994</v>
      </c>
      <c r="L23" s="230">
        <v>61.283999999999999</v>
      </c>
      <c r="M23" s="231">
        <v>8.9139999999999997</v>
      </c>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c r="AM23" s="143"/>
    </row>
    <row r="24" spans="1:39" ht="12.75" customHeight="1" x14ac:dyDescent="0.25">
      <c r="A24" s="143"/>
      <c r="B24" s="151"/>
      <c r="C24" s="152"/>
      <c r="D24" s="222"/>
      <c r="E24" s="152"/>
      <c r="F24" s="174"/>
      <c r="G24" s="152"/>
      <c r="H24" s="174"/>
      <c r="I24" s="152"/>
      <c r="J24" s="229">
        <f>J22+J23</f>
        <v>5202066.68</v>
      </c>
      <c r="K24" s="243">
        <v>498315</v>
      </c>
      <c r="L24" s="247">
        <f t="shared" ref="L24:M24" si="3">L22+L23</f>
        <v>61.762999999999998</v>
      </c>
      <c r="M24" s="274">
        <f t="shared" si="3"/>
        <v>9.01</v>
      </c>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3"/>
    </row>
    <row r="25" spans="1:39" ht="12.75" customHeight="1" x14ac:dyDescent="0.25">
      <c r="A25" s="143"/>
      <c r="B25" s="151"/>
      <c r="C25" s="152"/>
      <c r="D25" s="222"/>
      <c r="E25" s="152"/>
      <c r="F25" s="174"/>
      <c r="G25" s="152"/>
      <c r="H25" s="174"/>
      <c r="I25" s="152"/>
      <c r="J25" s="152"/>
      <c r="K25" s="174"/>
      <c r="L25" s="221"/>
      <c r="M25" s="231"/>
      <c r="N25" s="143"/>
      <c r="O25" s="143"/>
      <c r="P25" s="143"/>
      <c r="Q25" s="143"/>
      <c r="R25" s="143"/>
      <c r="S25" s="143"/>
      <c r="T25" s="143"/>
      <c r="U25" s="143"/>
      <c r="V25" s="143"/>
      <c r="W25" s="143"/>
      <c r="X25" s="143"/>
      <c r="Y25" s="143"/>
      <c r="Z25" s="143"/>
      <c r="AA25" s="143"/>
      <c r="AB25" s="143"/>
      <c r="AC25" s="143"/>
      <c r="AD25" s="143"/>
      <c r="AE25" s="143"/>
      <c r="AF25" s="143"/>
      <c r="AG25" s="143"/>
      <c r="AH25" s="143"/>
      <c r="AI25" s="143"/>
      <c r="AJ25" s="143"/>
      <c r="AK25" s="143"/>
      <c r="AL25" s="143"/>
      <c r="AM25" s="143"/>
    </row>
    <row r="26" spans="1:39" ht="12.75" customHeight="1" x14ac:dyDescent="0.25">
      <c r="A26" s="143"/>
      <c r="B26" s="151"/>
      <c r="C26" s="232" t="s">
        <v>231</v>
      </c>
      <c r="D26" s="222" t="s">
        <v>232</v>
      </c>
      <c r="E26" s="152" t="s">
        <v>233</v>
      </c>
      <c r="F26" s="161">
        <v>1536</v>
      </c>
      <c r="G26" s="152" t="s">
        <v>225</v>
      </c>
      <c r="H26" s="233">
        <v>0.13800000000000001</v>
      </c>
      <c r="I26" s="152" t="s">
        <v>234</v>
      </c>
      <c r="J26" s="210">
        <f>F26*H26</f>
        <v>211.96800000000002</v>
      </c>
      <c r="K26" s="234">
        <v>17.54</v>
      </c>
      <c r="L26" s="235">
        <f>0.000166</f>
        <v>1.66E-4</v>
      </c>
      <c r="M26" s="236">
        <v>0</v>
      </c>
      <c r="N26" s="143"/>
      <c r="O26" s="143"/>
      <c r="P26" s="143"/>
      <c r="Q26" s="143"/>
      <c r="R26" s="143"/>
      <c r="S26" s="143"/>
      <c r="T26" s="143"/>
      <c r="U26" s="143"/>
      <c r="V26" s="143"/>
      <c r="W26" s="143"/>
      <c r="X26" s="143"/>
      <c r="Y26" s="143"/>
      <c r="Z26" s="143"/>
      <c r="AA26" s="143"/>
      <c r="AB26" s="143"/>
      <c r="AC26" s="143"/>
      <c r="AD26" s="143"/>
      <c r="AE26" s="143"/>
      <c r="AF26" s="143"/>
      <c r="AG26" s="143"/>
      <c r="AH26" s="143"/>
      <c r="AI26" s="143"/>
      <c r="AJ26" s="143"/>
      <c r="AK26" s="143"/>
      <c r="AL26" s="143"/>
      <c r="AM26" s="143"/>
    </row>
    <row r="27" spans="1:39" ht="12.75" customHeight="1" x14ac:dyDescent="0.25">
      <c r="A27" s="143"/>
      <c r="B27" s="151"/>
      <c r="C27" s="152"/>
      <c r="D27" s="222"/>
      <c r="E27" s="152"/>
      <c r="F27" s="174"/>
      <c r="G27" s="152"/>
      <c r="H27" s="174"/>
      <c r="I27" s="152"/>
      <c r="J27" s="152"/>
      <c r="K27" s="174"/>
      <c r="L27" s="221"/>
      <c r="M27" s="154"/>
      <c r="N27" s="143"/>
      <c r="O27" s="143"/>
      <c r="P27" s="143"/>
      <c r="Q27" s="143"/>
      <c r="R27" s="143"/>
      <c r="S27" s="143"/>
      <c r="T27" s="143"/>
      <c r="U27" s="143"/>
      <c r="V27" s="143"/>
      <c r="W27" s="143"/>
      <c r="X27" s="143"/>
      <c r="Y27" s="143"/>
      <c r="Z27" s="143"/>
      <c r="AA27" s="143"/>
      <c r="AB27" s="143"/>
      <c r="AC27" s="143"/>
      <c r="AD27" s="143"/>
      <c r="AE27" s="143"/>
      <c r="AF27" s="143"/>
      <c r="AG27" s="143"/>
      <c r="AH27" s="143"/>
      <c r="AI27" s="143"/>
      <c r="AJ27" s="143"/>
      <c r="AK27" s="143"/>
      <c r="AL27" s="143"/>
      <c r="AM27" s="143"/>
    </row>
    <row r="28" spans="1:39" ht="12.75" customHeight="1" x14ac:dyDescent="0.25">
      <c r="A28" s="143"/>
      <c r="B28" s="155"/>
      <c r="C28" s="190"/>
      <c r="D28" s="423"/>
      <c r="E28" s="190"/>
      <c r="F28" s="158"/>
      <c r="G28" s="190"/>
      <c r="H28" s="158"/>
      <c r="I28" s="190"/>
      <c r="J28" s="190"/>
      <c r="K28" s="158"/>
      <c r="L28" s="238"/>
      <c r="M28" s="208"/>
      <c r="N28" s="143"/>
      <c r="O28" s="143"/>
      <c r="P28" s="143"/>
      <c r="Q28" s="143"/>
      <c r="R28" s="143"/>
      <c r="S28" s="143"/>
      <c r="T28" s="143"/>
      <c r="U28" s="143"/>
      <c r="V28" s="143"/>
      <c r="W28" s="143"/>
      <c r="X28" s="143"/>
      <c r="Y28" s="143"/>
      <c r="Z28" s="143"/>
      <c r="AA28" s="143"/>
      <c r="AB28" s="143"/>
      <c r="AC28" s="143"/>
      <c r="AD28" s="143"/>
      <c r="AE28" s="143"/>
      <c r="AF28" s="143"/>
      <c r="AG28" s="143"/>
      <c r="AH28" s="143"/>
      <c r="AI28" s="143"/>
      <c r="AJ28" s="143"/>
      <c r="AK28" s="143"/>
      <c r="AL28" s="143"/>
      <c r="AM28" s="143"/>
    </row>
    <row r="29" spans="1:39" ht="12.75" customHeight="1" x14ac:dyDescent="0.25">
      <c r="A29" s="143"/>
      <c r="B29" s="151" t="s">
        <v>558</v>
      </c>
      <c r="C29" s="424" t="s">
        <v>559</v>
      </c>
      <c r="D29" s="222"/>
      <c r="E29" s="152"/>
      <c r="F29" s="174"/>
      <c r="G29" s="152"/>
      <c r="H29" s="174"/>
      <c r="I29" s="152"/>
      <c r="J29" s="152"/>
      <c r="K29" s="174"/>
      <c r="L29" s="221"/>
      <c r="M29" s="154"/>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row>
    <row r="30" spans="1:39" ht="12.75" customHeight="1" x14ac:dyDescent="0.25">
      <c r="A30" s="143"/>
      <c r="B30" s="151"/>
      <c r="C30" s="152" t="s">
        <v>560</v>
      </c>
      <c r="D30" s="222" t="s">
        <v>561</v>
      </c>
      <c r="E30" s="152" t="s">
        <v>445</v>
      </c>
      <c r="F30" s="425">
        <v>0</v>
      </c>
      <c r="G30" s="152" t="s">
        <v>437</v>
      </c>
      <c r="H30" s="174">
        <v>1063</v>
      </c>
      <c r="I30" s="152" t="s">
        <v>440</v>
      </c>
      <c r="J30" s="425">
        <f>(F30*H30)/1000000</f>
        <v>0</v>
      </c>
      <c r="K30" s="286">
        <v>0</v>
      </c>
      <c r="L30" s="286">
        <v>0</v>
      </c>
      <c r="M30" s="419">
        <v>0</v>
      </c>
      <c r="N30" s="143"/>
      <c r="O30" s="143"/>
      <c r="P30" s="143"/>
      <c r="Q30" s="143"/>
      <c r="R30" s="143"/>
      <c r="S30" s="143"/>
      <c r="T30" s="143"/>
      <c r="U30" s="143"/>
      <c r="V30" s="143"/>
      <c r="W30" s="143"/>
      <c r="X30" s="143"/>
      <c r="Y30" s="143"/>
      <c r="Z30" s="143"/>
      <c r="AA30" s="143"/>
      <c r="AB30" s="143"/>
      <c r="AC30" s="143"/>
      <c r="AD30" s="143"/>
      <c r="AE30" s="143"/>
      <c r="AF30" s="143"/>
      <c r="AG30" s="143"/>
      <c r="AH30" s="143"/>
      <c r="AI30" s="143"/>
      <c r="AJ30" s="143"/>
      <c r="AK30" s="143"/>
      <c r="AL30" s="143"/>
      <c r="AM30" s="143"/>
    </row>
    <row r="31" spans="1:39" ht="12.75" customHeight="1" x14ac:dyDescent="0.25">
      <c r="A31" s="143"/>
      <c r="B31" s="151"/>
      <c r="C31" s="152"/>
      <c r="D31" s="222" t="s">
        <v>561</v>
      </c>
      <c r="E31" s="152" t="s">
        <v>562</v>
      </c>
      <c r="F31" s="425">
        <v>0</v>
      </c>
      <c r="G31" s="152" t="s">
        <v>188</v>
      </c>
      <c r="H31" s="221">
        <v>22.08</v>
      </c>
      <c r="I31" s="152" t="s">
        <v>563</v>
      </c>
      <c r="J31" s="425">
        <f t="shared" ref="J31:J32" si="4">F31*H31</f>
        <v>0</v>
      </c>
      <c r="K31" s="286">
        <v>0</v>
      </c>
      <c r="L31" s="286">
        <v>0</v>
      </c>
      <c r="M31" s="419">
        <v>0</v>
      </c>
      <c r="N31" s="143"/>
      <c r="O31" s="143"/>
      <c r="P31" s="143"/>
      <c r="Q31" s="143"/>
      <c r="R31" s="143"/>
      <c r="S31" s="143"/>
      <c r="T31" s="143"/>
      <c r="U31" s="143"/>
      <c r="V31" s="143"/>
      <c r="W31" s="143"/>
      <c r="X31" s="143"/>
      <c r="Y31" s="143"/>
      <c r="Z31" s="143"/>
      <c r="AA31" s="143"/>
      <c r="AB31" s="143"/>
      <c r="AC31" s="143"/>
      <c r="AD31" s="143"/>
      <c r="AE31" s="143"/>
      <c r="AF31" s="143"/>
      <c r="AG31" s="143"/>
      <c r="AH31" s="143"/>
      <c r="AI31" s="143"/>
      <c r="AJ31" s="143"/>
      <c r="AK31" s="143"/>
      <c r="AL31" s="143"/>
      <c r="AM31" s="143"/>
    </row>
    <row r="32" spans="1:39" ht="12.75" customHeight="1" x14ac:dyDescent="0.25">
      <c r="A32" s="143"/>
      <c r="B32" s="151"/>
      <c r="C32" s="152"/>
      <c r="D32" s="222" t="s">
        <v>561</v>
      </c>
      <c r="E32" s="152" t="s">
        <v>564</v>
      </c>
      <c r="F32" s="425">
        <v>0</v>
      </c>
      <c r="G32" s="152" t="s">
        <v>188</v>
      </c>
      <c r="H32" s="221">
        <v>17.8</v>
      </c>
      <c r="I32" s="152" t="s">
        <v>563</v>
      </c>
      <c r="J32" s="425">
        <f t="shared" si="4"/>
        <v>0</v>
      </c>
      <c r="K32" s="286">
        <v>0</v>
      </c>
      <c r="L32" s="286">
        <v>0</v>
      </c>
      <c r="M32" s="419">
        <v>0</v>
      </c>
      <c r="N32" s="143"/>
      <c r="O32" s="143"/>
      <c r="P32" s="143"/>
      <c r="Q32" s="143"/>
      <c r="R32" s="143"/>
      <c r="S32" s="143"/>
      <c r="T32" s="143"/>
      <c r="U32" s="143"/>
      <c r="V32" s="143"/>
      <c r="W32" s="143"/>
      <c r="X32" s="143"/>
      <c r="Y32" s="143"/>
      <c r="Z32" s="143"/>
      <c r="AA32" s="143"/>
      <c r="AB32" s="143"/>
      <c r="AC32" s="143"/>
      <c r="AD32" s="143"/>
      <c r="AE32" s="143"/>
      <c r="AF32" s="143"/>
      <c r="AG32" s="143"/>
      <c r="AH32" s="143"/>
      <c r="AI32" s="143"/>
      <c r="AJ32" s="143"/>
      <c r="AK32" s="143"/>
      <c r="AL32" s="143"/>
      <c r="AM32" s="143"/>
    </row>
    <row r="33" spans="1:39" ht="12.75" customHeight="1" x14ac:dyDescent="0.25">
      <c r="A33" s="143"/>
      <c r="B33" s="151"/>
      <c r="C33" s="152"/>
      <c r="D33" s="222"/>
      <c r="E33" s="152"/>
      <c r="F33" s="286"/>
      <c r="G33" s="152"/>
      <c r="H33" s="174"/>
      <c r="I33" s="152"/>
      <c r="J33" s="426">
        <f>SUM(J30:J32)</f>
        <v>0</v>
      </c>
      <c r="K33" s="427">
        <v>0</v>
      </c>
      <c r="L33" s="427">
        <v>0</v>
      </c>
      <c r="M33" s="428">
        <v>0</v>
      </c>
      <c r="N33" s="143"/>
      <c r="O33" s="143"/>
      <c r="P33" s="143"/>
      <c r="Q33" s="143"/>
      <c r="R33" s="143"/>
      <c r="S33" s="143"/>
      <c r="T33" s="143"/>
      <c r="U33" s="143"/>
      <c r="V33" s="143"/>
      <c r="W33" s="143"/>
      <c r="X33" s="143"/>
      <c r="Y33" s="143"/>
      <c r="Z33" s="143"/>
      <c r="AA33" s="143"/>
      <c r="AB33" s="143"/>
      <c r="AC33" s="143"/>
      <c r="AD33" s="143"/>
      <c r="AE33" s="143"/>
      <c r="AF33" s="143"/>
      <c r="AG33" s="143"/>
      <c r="AH33" s="143"/>
      <c r="AI33" s="143"/>
      <c r="AJ33" s="143"/>
      <c r="AK33" s="143"/>
      <c r="AL33" s="143"/>
      <c r="AM33" s="143"/>
    </row>
    <row r="34" spans="1:39" ht="12.75" customHeight="1" x14ac:dyDescent="0.25">
      <c r="A34" s="143"/>
      <c r="B34" s="151"/>
      <c r="C34" s="152"/>
      <c r="D34" s="222"/>
      <c r="E34" s="152"/>
      <c r="F34" s="286"/>
      <c r="G34" s="152"/>
      <c r="H34" s="174"/>
      <c r="I34" s="152"/>
      <c r="J34" s="426"/>
      <c r="K34" s="286"/>
      <c r="L34" s="286"/>
      <c r="M34" s="419"/>
      <c r="N34" s="143"/>
      <c r="O34" s="143"/>
      <c r="P34" s="143"/>
      <c r="Q34" s="143"/>
      <c r="R34" s="143"/>
      <c r="S34" s="143"/>
      <c r="T34" s="143"/>
      <c r="U34" s="143"/>
      <c r="V34" s="143"/>
      <c r="W34" s="143"/>
      <c r="X34" s="143"/>
      <c r="Y34" s="143"/>
      <c r="Z34" s="143"/>
      <c r="AA34" s="143"/>
      <c r="AB34" s="143"/>
      <c r="AC34" s="143"/>
      <c r="AD34" s="143"/>
      <c r="AE34" s="143"/>
      <c r="AF34" s="143"/>
      <c r="AG34" s="143"/>
      <c r="AH34" s="143"/>
      <c r="AI34" s="143"/>
      <c r="AJ34" s="143"/>
      <c r="AK34" s="143"/>
      <c r="AL34" s="143"/>
      <c r="AM34" s="143"/>
    </row>
    <row r="35" spans="1:39" ht="12.75" customHeight="1" x14ac:dyDescent="0.25">
      <c r="A35" s="143"/>
      <c r="B35" s="151"/>
      <c r="C35" s="152" t="s">
        <v>565</v>
      </c>
      <c r="D35" s="222" t="s">
        <v>566</v>
      </c>
      <c r="E35" s="152" t="s">
        <v>445</v>
      </c>
      <c r="F35" s="425">
        <v>0</v>
      </c>
      <c r="G35" s="152" t="s">
        <v>437</v>
      </c>
      <c r="H35" s="174">
        <v>1054</v>
      </c>
      <c r="I35" s="152" t="s">
        <v>440</v>
      </c>
      <c r="J35" s="425">
        <f>(F35*H35)/1000000</f>
        <v>0</v>
      </c>
      <c r="K35" s="286">
        <v>0</v>
      </c>
      <c r="L35" s="286">
        <v>0</v>
      </c>
      <c r="M35" s="419">
        <v>0</v>
      </c>
      <c r="N35" s="143"/>
      <c r="O35" s="143"/>
      <c r="P35" s="143"/>
      <c r="Q35" s="143"/>
      <c r="R35" s="143"/>
      <c r="S35" s="143"/>
      <c r="T35" s="143"/>
      <c r="U35" s="143"/>
      <c r="V35" s="143"/>
      <c r="W35" s="143"/>
      <c r="X35" s="143"/>
      <c r="Y35" s="143"/>
      <c r="Z35" s="143"/>
      <c r="AA35" s="143"/>
      <c r="AB35" s="143"/>
      <c r="AC35" s="143"/>
      <c r="AD35" s="143"/>
      <c r="AE35" s="143"/>
      <c r="AF35" s="143"/>
      <c r="AG35" s="143"/>
      <c r="AH35" s="143"/>
      <c r="AI35" s="143"/>
      <c r="AJ35" s="143"/>
      <c r="AK35" s="143"/>
      <c r="AL35" s="143"/>
      <c r="AM35" s="143"/>
    </row>
    <row r="36" spans="1:39" ht="12.75" customHeight="1" x14ac:dyDescent="0.25">
      <c r="A36" s="143"/>
      <c r="B36" s="151"/>
      <c r="C36" s="152"/>
      <c r="D36" s="222"/>
      <c r="E36" s="152" t="s">
        <v>562</v>
      </c>
      <c r="F36" s="425">
        <v>0</v>
      </c>
      <c r="G36" s="152"/>
      <c r="H36" s="221">
        <v>22.08</v>
      </c>
      <c r="I36" s="152" t="s">
        <v>563</v>
      </c>
      <c r="J36" s="425">
        <f t="shared" ref="J36:J37" si="5">F36*H36</f>
        <v>0</v>
      </c>
      <c r="K36" s="286">
        <v>0</v>
      </c>
      <c r="L36" s="286">
        <v>0</v>
      </c>
      <c r="M36" s="419">
        <v>0</v>
      </c>
      <c r="N36" s="143"/>
      <c r="O36" s="143"/>
      <c r="P36" s="143"/>
      <c r="Q36" s="143"/>
      <c r="R36" s="143"/>
      <c r="S36" s="143"/>
      <c r="T36" s="143"/>
      <c r="U36" s="143"/>
      <c r="V36" s="143"/>
      <c r="W36" s="143"/>
      <c r="X36" s="143"/>
      <c r="Y36" s="143"/>
      <c r="Z36" s="143"/>
      <c r="AA36" s="143"/>
      <c r="AB36" s="143"/>
      <c r="AC36" s="143"/>
      <c r="AD36" s="143"/>
      <c r="AE36" s="143"/>
      <c r="AF36" s="143"/>
      <c r="AG36" s="143"/>
      <c r="AH36" s="143"/>
      <c r="AI36" s="143"/>
      <c r="AJ36" s="143"/>
      <c r="AK36" s="143"/>
      <c r="AL36" s="143"/>
      <c r="AM36" s="143"/>
    </row>
    <row r="37" spans="1:39" ht="12.75" customHeight="1" x14ac:dyDescent="0.25">
      <c r="A37" s="143"/>
      <c r="B37" s="151"/>
      <c r="C37" s="152"/>
      <c r="D37" s="222" t="s">
        <v>566</v>
      </c>
      <c r="E37" s="152" t="s">
        <v>564</v>
      </c>
      <c r="F37" s="425">
        <v>0</v>
      </c>
      <c r="G37" s="152" t="s">
        <v>188</v>
      </c>
      <c r="H37" s="221">
        <v>17.600000000000001</v>
      </c>
      <c r="I37" s="152" t="s">
        <v>563</v>
      </c>
      <c r="J37" s="425">
        <f t="shared" si="5"/>
        <v>0</v>
      </c>
      <c r="K37" s="286">
        <v>0</v>
      </c>
      <c r="L37" s="286">
        <v>0</v>
      </c>
      <c r="M37" s="419">
        <v>0</v>
      </c>
      <c r="N37" s="143"/>
      <c r="O37" s="301" t="s">
        <v>554</v>
      </c>
      <c r="P37" s="143" t="s">
        <v>567</v>
      </c>
      <c r="Q37" s="143"/>
      <c r="R37" s="143"/>
      <c r="S37" s="143"/>
      <c r="T37" s="143"/>
      <c r="U37" s="143"/>
      <c r="V37" s="143"/>
      <c r="W37" s="143"/>
      <c r="X37" s="143"/>
      <c r="Y37" s="143"/>
      <c r="Z37" s="143"/>
      <c r="AA37" s="143"/>
      <c r="AB37" s="143"/>
      <c r="AC37" s="143"/>
      <c r="AD37" s="143"/>
      <c r="AE37" s="143"/>
      <c r="AF37" s="143"/>
      <c r="AG37" s="143"/>
      <c r="AH37" s="143"/>
      <c r="AI37" s="143"/>
      <c r="AJ37" s="143"/>
      <c r="AK37" s="143"/>
      <c r="AL37" s="143"/>
      <c r="AM37" s="143"/>
    </row>
    <row r="38" spans="1:39" ht="12.75" customHeight="1" x14ac:dyDescent="0.25">
      <c r="A38" s="143"/>
      <c r="B38" s="151"/>
      <c r="C38" s="152"/>
      <c r="D38" s="222"/>
      <c r="E38" s="152"/>
      <c r="F38" s="286"/>
      <c r="G38" s="152"/>
      <c r="H38" s="174"/>
      <c r="I38" s="152"/>
      <c r="J38" s="426">
        <f>SUM(J35:J37)</f>
        <v>0</v>
      </c>
      <c r="K38" s="427">
        <v>0</v>
      </c>
      <c r="L38" s="427">
        <v>0</v>
      </c>
      <c r="M38" s="428">
        <v>0</v>
      </c>
      <c r="N38" s="143"/>
      <c r="O38" s="143" t="s">
        <v>4</v>
      </c>
      <c r="P38" s="143" t="s">
        <v>568</v>
      </c>
      <c r="Q38" s="143"/>
      <c r="R38" s="143"/>
      <c r="S38" s="143"/>
      <c r="T38" s="143"/>
      <c r="U38" s="143"/>
      <c r="V38" s="143"/>
      <c r="W38" s="143"/>
      <c r="X38" s="143"/>
      <c r="Y38" s="143"/>
      <c r="Z38" s="143"/>
      <c r="AA38" s="143"/>
      <c r="AB38" s="143"/>
      <c r="AC38" s="143"/>
      <c r="AD38" s="143"/>
      <c r="AE38" s="143"/>
      <c r="AF38" s="143"/>
      <c r="AG38" s="143"/>
      <c r="AH38" s="143"/>
      <c r="AI38" s="143"/>
      <c r="AJ38" s="143"/>
      <c r="AK38" s="143"/>
      <c r="AL38" s="143"/>
      <c r="AM38" s="143"/>
    </row>
    <row r="39" spans="1:39" ht="12.75" customHeight="1" x14ac:dyDescent="0.25">
      <c r="A39" s="143"/>
      <c r="B39" s="151"/>
      <c r="C39" s="152"/>
      <c r="D39" s="222"/>
      <c r="E39" s="152"/>
      <c r="F39" s="286"/>
      <c r="G39" s="152"/>
      <c r="H39" s="174"/>
      <c r="I39" s="152"/>
      <c r="J39" s="426"/>
      <c r="K39" s="426"/>
      <c r="L39" s="426"/>
      <c r="M39" s="419"/>
      <c r="N39" s="143"/>
      <c r="O39" s="143"/>
      <c r="P39" s="143"/>
      <c r="Q39" s="143"/>
      <c r="R39" s="143"/>
      <c r="S39" s="143"/>
      <c r="T39" s="143"/>
      <c r="U39" s="143"/>
      <c r="V39" s="143"/>
      <c r="W39" s="143"/>
      <c r="X39" s="143"/>
      <c r="Y39" s="143"/>
      <c r="Z39" s="143"/>
      <c r="AA39" s="143"/>
      <c r="AB39" s="143"/>
      <c r="AC39" s="143"/>
      <c r="AD39" s="143"/>
      <c r="AE39" s="143"/>
      <c r="AF39" s="143"/>
      <c r="AG39" s="143"/>
      <c r="AH39" s="143"/>
      <c r="AI39" s="143"/>
      <c r="AJ39" s="143"/>
      <c r="AK39" s="143"/>
      <c r="AL39" s="143"/>
      <c r="AM39" s="143"/>
    </row>
    <row r="40" spans="1:39" ht="12.75" customHeight="1" x14ac:dyDescent="0.25">
      <c r="A40" s="143"/>
      <c r="B40" s="151"/>
      <c r="C40" s="152" t="s">
        <v>569</v>
      </c>
      <c r="D40" s="222" t="s">
        <v>570</v>
      </c>
      <c r="E40" s="152" t="s">
        <v>229</v>
      </c>
      <c r="F40" s="425">
        <v>0</v>
      </c>
      <c r="G40" s="152" t="s">
        <v>225</v>
      </c>
      <c r="H40" s="174">
        <v>139</v>
      </c>
      <c r="I40" s="152" t="s">
        <v>571</v>
      </c>
      <c r="J40" s="426">
        <f>(F40*H40)/1000</f>
        <v>0</v>
      </c>
      <c r="K40" s="427">
        <v>0</v>
      </c>
      <c r="L40" s="427">
        <v>0</v>
      </c>
      <c r="M40" s="428">
        <v>0</v>
      </c>
      <c r="N40" s="143"/>
      <c r="O40" s="143" t="s">
        <v>572</v>
      </c>
      <c r="P40" s="301" t="s">
        <v>554</v>
      </c>
      <c r="Q40" s="143" t="s">
        <v>555</v>
      </c>
      <c r="R40" s="301" t="s">
        <v>554</v>
      </c>
      <c r="S40" s="301" t="s">
        <v>554</v>
      </c>
      <c r="T40" s="143"/>
      <c r="U40" s="143"/>
      <c r="V40" s="143"/>
      <c r="W40" s="143"/>
      <c r="X40" s="143"/>
      <c r="Y40" s="143"/>
      <c r="Z40" s="143"/>
      <c r="AA40" s="143"/>
      <c r="AB40" s="143"/>
      <c r="AC40" s="143"/>
      <c r="AD40" s="143"/>
      <c r="AE40" s="143"/>
      <c r="AF40" s="143"/>
      <c r="AG40" s="143"/>
      <c r="AH40" s="143"/>
      <c r="AI40" s="143"/>
      <c r="AJ40" s="143"/>
      <c r="AK40" s="143"/>
      <c r="AL40" s="143"/>
      <c r="AM40" s="143"/>
    </row>
    <row r="41" spans="1:39" ht="12.75" customHeight="1" x14ac:dyDescent="0.25">
      <c r="A41" s="143"/>
      <c r="B41" s="151"/>
      <c r="C41" s="152"/>
      <c r="D41" s="222"/>
      <c r="E41" s="152"/>
      <c r="F41" s="286"/>
      <c r="G41" s="152"/>
      <c r="H41" s="174"/>
      <c r="I41" s="152"/>
      <c r="J41" s="286"/>
      <c r="K41" s="286"/>
      <c r="L41" s="286"/>
      <c r="M41" s="429"/>
      <c r="N41" s="143"/>
      <c r="O41" s="143"/>
      <c r="P41" s="143" t="s">
        <v>4</v>
      </c>
      <c r="Q41" s="143"/>
      <c r="R41" s="143" t="s">
        <v>573</v>
      </c>
      <c r="S41" s="143" t="s">
        <v>574</v>
      </c>
      <c r="T41" s="143"/>
      <c r="U41" s="143"/>
      <c r="V41" s="143"/>
      <c r="W41" s="143"/>
      <c r="X41" s="143"/>
      <c r="Y41" s="143"/>
      <c r="Z41" s="143"/>
      <c r="AA41" s="143"/>
      <c r="AB41" s="143"/>
      <c r="AC41" s="143"/>
      <c r="AD41" s="143"/>
      <c r="AE41" s="143"/>
      <c r="AF41" s="143"/>
      <c r="AG41" s="143"/>
      <c r="AH41" s="143"/>
      <c r="AI41" s="143"/>
      <c r="AJ41" s="143"/>
      <c r="AK41" s="143"/>
      <c r="AL41" s="143"/>
      <c r="AM41" s="143"/>
    </row>
    <row r="42" spans="1:39" ht="12.75" customHeight="1" x14ac:dyDescent="0.25">
      <c r="A42" s="143"/>
      <c r="B42" s="151"/>
      <c r="C42" s="152" t="s">
        <v>575</v>
      </c>
      <c r="D42" s="222" t="s">
        <v>576</v>
      </c>
      <c r="E42" s="152" t="s">
        <v>229</v>
      </c>
      <c r="F42" s="425">
        <v>0</v>
      </c>
      <c r="G42" s="152" t="s">
        <v>225</v>
      </c>
      <c r="H42" s="174">
        <v>139</v>
      </c>
      <c r="I42" s="152" t="s">
        <v>571</v>
      </c>
      <c r="J42" s="426">
        <f>(F42*H42)/1000</f>
        <v>0</v>
      </c>
      <c r="K42" s="427">
        <v>0</v>
      </c>
      <c r="L42" s="427">
        <v>0</v>
      </c>
      <c r="M42" s="428">
        <v>0</v>
      </c>
      <c r="N42" s="143"/>
      <c r="O42" s="143" t="s">
        <v>572</v>
      </c>
      <c r="P42" s="143"/>
      <c r="Q42" s="143" t="s">
        <v>439</v>
      </c>
      <c r="R42" s="143">
        <v>2.2000000000000001E-3</v>
      </c>
      <c r="S42" s="143">
        <v>2.2000000000000001E-4</v>
      </c>
      <c r="T42" s="143"/>
      <c r="U42" s="143"/>
      <c r="V42" s="143"/>
      <c r="W42" s="143"/>
      <c r="X42" s="143"/>
      <c r="Y42" s="143"/>
      <c r="Z42" s="143"/>
      <c r="AA42" s="143"/>
      <c r="AB42" s="143"/>
      <c r="AC42" s="143"/>
      <c r="AD42" s="143"/>
      <c r="AE42" s="143"/>
      <c r="AF42" s="143"/>
      <c r="AG42" s="143"/>
      <c r="AH42" s="143"/>
      <c r="AI42" s="143"/>
      <c r="AJ42" s="143"/>
      <c r="AK42" s="143"/>
      <c r="AL42" s="143"/>
      <c r="AM42" s="143"/>
    </row>
    <row r="43" spans="1:39" ht="12.75" customHeight="1" x14ac:dyDescent="0.25">
      <c r="A43" s="143"/>
      <c r="B43" s="151"/>
      <c r="C43" s="152"/>
      <c r="D43" s="222"/>
      <c r="E43" s="152"/>
      <c r="F43" s="425"/>
      <c r="G43" s="152"/>
      <c r="H43" s="174"/>
      <c r="I43" s="152"/>
      <c r="J43" s="286"/>
      <c r="K43" s="286"/>
      <c r="L43" s="286"/>
      <c r="M43" s="429"/>
      <c r="N43" s="143"/>
      <c r="O43" s="143"/>
      <c r="P43" s="430" t="s">
        <v>577</v>
      </c>
      <c r="Q43" s="143" t="s">
        <v>562</v>
      </c>
      <c r="R43" s="143">
        <v>2.2000000000000001E-3</v>
      </c>
      <c r="S43" s="143">
        <v>3.5200000000000001E-3</v>
      </c>
      <c r="T43" s="143"/>
      <c r="U43" s="143"/>
      <c r="V43" s="143"/>
      <c r="W43" s="143"/>
      <c r="X43" s="143"/>
      <c r="Y43" s="143"/>
      <c r="Z43" s="143"/>
      <c r="AA43" s="143"/>
      <c r="AB43" s="143"/>
      <c r="AC43" s="143"/>
      <c r="AD43" s="143"/>
      <c r="AE43" s="143"/>
      <c r="AF43" s="143"/>
      <c r="AG43" s="143"/>
      <c r="AH43" s="143"/>
      <c r="AI43" s="143"/>
      <c r="AJ43" s="143"/>
      <c r="AK43" s="143"/>
      <c r="AL43" s="143"/>
      <c r="AM43" s="143"/>
    </row>
    <row r="44" spans="1:39" ht="12.75" customHeight="1" x14ac:dyDescent="0.25">
      <c r="A44" s="143"/>
      <c r="B44" s="151"/>
      <c r="C44" s="152" t="s">
        <v>578</v>
      </c>
      <c r="D44" s="222" t="s">
        <v>579</v>
      </c>
      <c r="E44" s="152" t="s">
        <v>229</v>
      </c>
      <c r="F44" s="425">
        <v>0</v>
      </c>
      <c r="G44" s="152" t="s">
        <v>225</v>
      </c>
      <c r="H44" s="174">
        <v>139</v>
      </c>
      <c r="I44" s="152" t="s">
        <v>571</v>
      </c>
      <c r="J44" s="426">
        <f>(F44*H44)/1000</f>
        <v>0</v>
      </c>
      <c r="K44" s="427">
        <v>0</v>
      </c>
      <c r="L44" s="427">
        <v>0</v>
      </c>
      <c r="M44" s="428">
        <v>0</v>
      </c>
      <c r="N44" s="143"/>
      <c r="O44" s="143" t="s">
        <v>572</v>
      </c>
      <c r="P44" s="143"/>
      <c r="Q44" s="143" t="s">
        <v>580</v>
      </c>
      <c r="R44" s="143">
        <v>2.2000000000000001E-3</v>
      </c>
      <c r="S44" s="143">
        <v>3.5200000000000001E-3</v>
      </c>
      <c r="T44" s="143"/>
      <c r="U44" s="143"/>
      <c r="V44" s="143"/>
      <c r="W44" s="143"/>
      <c r="X44" s="143"/>
      <c r="Y44" s="143"/>
      <c r="Z44" s="143"/>
      <c r="AA44" s="143"/>
      <c r="AB44" s="143"/>
      <c r="AC44" s="143"/>
      <c r="AD44" s="143"/>
      <c r="AE44" s="143"/>
      <c r="AF44" s="143"/>
      <c r="AG44" s="143"/>
      <c r="AH44" s="143"/>
      <c r="AI44" s="143"/>
      <c r="AJ44" s="143"/>
      <c r="AK44" s="143"/>
      <c r="AL44" s="143"/>
      <c r="AM44" s="143"/>
    </row>
    <row r="45" spans="1:39" ht="12.75" customHeight="1" x14ac:dyDescent="0.25">
      <c r="A45" s="143"/>
      <c r="B45" s="151"/>
      <c r="C45" s="152"/>
      <c r="D45" s="152"/>
      <c r="E45" s="152"/>
      <c r="F45" s="174"/>
      <c r="G45" s="152"/>
      <c r="H45" s="174"/>
      <c r="I45" s="152"/>
      <c r="J45" s="174"/>
      <c r="K45" s="174"/>
      <c r="L45" s="221"/>
      <c r="M45" s="154"/>
      <c r="N45" s="143"/>
      <c r="O45" s="143"/>
      <c r="P45" s="143"/>
      <c r="Q45" s="143"/>
      <c r="R45" s="143"/>
      <c r="S45" s="143"/>
      <c r="T45" s="143"/>
      <c r="U45" s="143"/>
      <c r="V45" s="143"/>
      <c r="W45" s="143"/>
      <c r="X45" s="143"/>
      <c r="Y45" s="143"/>
      <c r="Z45" s="143"/>
      <c r="AA45" s="143"/>
      <c r="AB45" s="143"/>
      <c r="AC45" s="143"/>
      <c r="AD45" s="143"/>
      <c r="AE45" s="143"/>
      <c r="AF45" s="143"/>
      <c r="AG45" s="143"/>
      <c r="AH45" s="143"/>
      <c r="AI45" s="143"/>
      <c r="AJ45" s="143"/>
      <c r="AK45" s="143"/>
      <c r="AL45" s="143"/>
      <c r="AM45" s="143"/>
    </row>
    <row r="46" spans="1:39" ht="12.75" customHeight="1" x14ac:dyDescent="0.25">
      <c r="A46" s="143"/>
      <c r="B46" s="155"/>
      <c r="C46" s="156"/>
      <c r="D46" s="190"/>
      <c r="E46" s="190"/>
      <c r="F46" s="158"/>
      <c r="G46" s="190"/>
      <c r="H46" s="158"/>
      <c r="I46" s="190"/>
      <c r="J46" s="158"/>
      <c r="K46" s="158"/>
      <c r="L46" s="238"/>
      <c r="M46" s="208"/>
      <c r="N46" s="143"/>
      <c r="O46" s="143"/>
      <c r="P46" s="143"/>
      <c r="Q46" s="143"/>
      <c r="R46" s="143"/>
      <c r="S46" s="143"/>
      <c r="T46" s="143"/>
      <c r="U46" s="143"/>
      <c r="V46" s="143"/>
      <c r="W46" s="143"/>
      <c r="X46" s="143"/>
      <c r="Y46" s="143"/>
      <c r="Z46" s="143"/>
      <c r="AA46" s="143"/>
      <c r="AB46" s="143"/>
      <c r="AC46" s="143"/>
      <c r="AD46" s="143"/>
      <c r="AE46" s="143"/>
      <c r="AF46" s="143"/>
      <c r="AG46" s="143"/>
      <c r="AH46" s="143"/>
      <c r="AI46" s="143"/>
      <c r="AJ46" s="143"/>
      <c r="AK46" s="143"/>
      <c r="AL46" s="143"/>
      <c r="AM46" s="143"/>
    </row>
    <row r="47" spans="1:39" ht="12.75" customHeight="1" x14ac:dyDescent="0.25">
      <c r="A47" s="143"/>
      <c r="B47" s="151" t="s">
        <v>198</v>
      </c>
      <c r="C47" s="301" t="s">
        <v>199</v>
      </c>
      <c r="D47" s="152"/>
      <c r="E47" s="152"/>
      <c r="F47" s="174"/>
      <c r="G47" s="152"/>
      <c r="H47" s="174"/>
      <c r="I47" s="152"/>
      <c r="J47" s="174"/>
      <c r="K47" s="174"/>
      <c r="L47" s="221"/>
      <c r="M47" s="239"/>
      <c r="N47" s="143"/>
      <c r="O47" s="143"/>
      <c r="P47" s="143"/>
      <c r="Q47" s="143"/>
      <c r="R47" s="143"/>
      <c r="S47" s="143"/>
      <c r="T47" s="143"/>
      <c r="U47" s="143"/>
      <c r="V47" s="143"/>
      <c r="W47" s="143"/>
      <c r="X47" s="143"/>
      <c r="Y47" s="143"/>
      <c r="Z47" s="143"/>
      <c r="AA47" s="143"/>
      <c r="AB47" s="143"/>
      <c r="AC47" s="143"/>
      <c r="AD47" s="143"/>
      <c r="AE47" s="143"/>
      <c r="AF47" s="143"/>
      <c r="AG47" s="143"/>
      <c r="AH47" s="143"/>
      <c r="AI47" s="143"/>
      <c r="AJ47" s="143"/>
      <c r="AK47" s="143"/>
      <c r="AL47" s="143"/>
      <c r="AM47" s="143"/>
    </row>
    <row r="48" spans="1:39" ht="12.75" customHeight="1" x14ac:dyDescent="0.25">
      <c r="A48" s="143"/>
      <c r="B48" s="151"/>
      <c r="C48" s="152" t="s">
        <v>200</v>
      </c>
      <c r="D48" s="222" t="s">
        <v>193</v>
      </c>
      <c r="E48" s="152" t="s">
        <v>187</v>
      </c>
      <c r="F48" s="161">
        <v>73330</v>
      </c>
      <c r="G48" s="152" t="s">
        <v>188</v>
      </c>
      <c r="H48" s="174">
        <v>12906.5</v>
      </c>
      <c r="I48" s="152" t="s">
        <v>201</v>
      </c>
      <c r="J48" s="174">
        <f>(F48*H48*2000)/1000000</f>
        <v>1892867.29</v>
      </c>
      <c r="K48" s="174">
        <f>(J48/(J$48+J$49+J$50+J$51))*K$52</f>
        <v>219559.89428387559</v>
      </c>
      <c r="L48" s="221">
        <f>J48*Q58*0.001102</f>
        <v>22.945337289379996</v>
      </c>
      <c r="M48" s="241">
        <f>J48*R59*0.001102</f>
        <v>3.3375036057279996</v>
      </c>
      <c r="N48" s="143"/>
      <c r="O48" s="431"/>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row>
    <row r="49" spans="1:39" ht="12.75" customHeight="1" x14ac:dyDescent="0.25">
      <c r="A49" s="143"/>
      <c r="B49" s="151"/>
      <c r="C49" s="152"/>
      <c r="D49" s="152"/>
      <c r="E49" s="420" t="s">
        <v>235</v>
      </c>
      <c r="F49" s="161">
        <v>145320</v>
      </c>
      <c r="G49" s="152" t="s">
        <v>225</v>
      </c>
      <c r="H49" s="174">
        <v>136253</v>
      </c>
      <c r="I49" s="152" t="s">
        <v>226</v>
      </c>
      <c r="J49" s="174">
        <f t="shared" ref="J49:J51" si="6">(F49*H49)/1000000</f>
        <v>19800.285960000001</v>
      </c>
      <c r="K49" s="174">
        <f>(J49/(J$48+J$49+$J50+J$51))*K$52</f>
        <v>2296.7002045706577</v>
      </c>
      <c r="L49" s="221">
        <f>J49*Q61*0.001102</f>
        <v>6.5459745383759996E-2</v>
      </c>
      <c r="M49" s="241">
        <f>J49*R61*0.001102</f>
        <v>1.3091949076751999E-2</v>
      </c>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row>
    <row r="50" spans="1:39" ht="12.75" customHeight="1" x14ac:dyDescent="0.25">
      <c r="A50" s="143"/>
      <c r="B50" s="151"/>
      <c r="C50" s="152"/>
      <c r="D50" s="152"/>
      <c r="E50" s="152" t="s">
        <v>404</v>
      </c>
      <c r="F50" s="161">
        <v>5060</v>
      </c>
      <c r="G50" s="152" t="s">
        <v>225</v>
      </c>
      <c r="H50" s="174">
        <v>136253</v>
      </c>
      <c r="I50" s="152" t="s">
        <v>226</v>
      </c>
      <c r="J50" s="174">
        <f t="shared" si="6"/>
        <v>689.44018000000005</v>
      </c>
      <c r="K50" s="174">
        <f>(J50/(J$48+J$49+$J50+J$51))*K$52</f>
        <v>79.970431015190798</v>
      </c>
      <c r="L50" s="221">
        <f>J50*Q66*0.001102</f>
        <v>2.2792892350800001E-3</v>
      </c>
      <c r="M50" s="241">
        <f>J50*R66*0.001102</f>
        <v>4.5585784701599992E-4</v>
      </c>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row>
    <row r="51" spans="1:39" ht="12.75" customHeight="1" x14ac:dyDescent="0.25">
      <c r="A51" s="143"/>
      <c r="B51" s="151"/>
      <c r="C51" s="152"/>
      <c r="D51" s="152"/>
      <c r="E51" s="152" t="s">
        <v>439</v>
      </c>
      <c r="F51" s="161">
        <v>134870000</v>
      </c>
      <c r="G51" s="152" t="s">
        <v>437</v>
      </c>
      <c r="H51" s="174">
        <v>1055</v>
      </c>
      <c r="I51" s="152" t="s">
        <v>440</v>
      </c>
      <c r="J51" s="174">
        <f t="shared" si="6"/>
        <v>142287.85</v>
      </c>
      <c r="K51" s="174">
        <f>(J51/(J$48+J$49+$J50+J$51))*K$52</f>
        <v>16504.435080538558</v>
      </c>
      <c r="L51" s="221">
        <f>J51*Q60*0.001102</f>
        <v>0.1568012107</v>
      </c>
      <c r="M51" s="241">
        <f>J51*R60*0.001102</f>
        <v>1.5680121070000001E-2</v>
      </c>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row>
    <row r="52" spans="1:39" ht="12.75" customHeight="1" x14ac:dyDescent="0.25">
      <c r="A52" s="143"/>
      <c r="B52" s="151"/>
      <c r="C52" s="152"/>
      <c r="D52" s="152"/>
      <c r="E52" s="152"/>
      <c r="F52" s="174"/>
      <c r="G52" s="152"/>
      <c r="H52" s="174"/>
      <c r="I52" s="152"/>
      <c r="J52" s="243">
        <f>SUM(J48:J51)</f>
        <v>2055644.8661400001</v>
      </c>
      <c r="K52" s="243">
        <v>238441</v>
      </c>
      <c r="L52" s="432">
        <f t="shared" ref="L52:M52" si="7">SUM(L48:L51)</f>
        <v>23.169877534698834</v>
      </c>
      <c r="M52" s="246">
        <f t="shared" si="7"/>
        <v>3.3667315337217678</v>
      </c>
      <c r="N52" s="143"/>
      <c r="O52" s="143"/>
      <c r="P52" s="143"/>
      <c r="Q52" s="143"/>
      <c r="R52" s="143"/>
      <c r="S52" s="143"/>
      <c r="T52" s="143"/>
      <c r="U52" s="143"/>
      <c r="V52" s="143"/>
      <c r="W52" s="143"/>
      <c r="X52" s="143"/>
      <c r="Y52" s="143"/>
      <c r="Z52" s="143"/>
      <c r="AA52" s="143"/>
      <c r="AB52" s="143"/>
      <c r="AC52" s="143"/>
      <c r="AD52" s="143"/>
      <c r="AE52" s="143"/>
      <c r="AF52" s="143"/>
      <c r="AG52" s="143"/>
      <c r="AH52" s="143"/>
      <c r="AI52" s="143"/>
      <c r="AJ52" s="143"/>
      <c r="AK52" s="143"/>
      <c r="AL52" s="143"/>
      <c r="AM52" s="143"/>
    </row>
    <row r="53" spans="1:39" ht="12.75" customHeight="1" x14ac:dyDescent="0.25">
      <c r="A53" s="143"/>
      <c r="B53" s="151"/>
      <c r="C53" s="152"/>
      <c r="D53" s="152"/>
      <c r="E53" s="152"/>
      <c r="F53" s="174"/>
      <c r="G53" s="152"/>
      <c r="H53" s="174"/>
      <c r="I53" s="152"/>
      <c r="J53" s="229"/>
      <c r="K53" s="254"/>
      <c r="L53" s="432"/>
      <c r="M53" s="241"/>
      <c r="N53" s="143"/>
      <c r="O53" s="301"/>
      <c r="P53" s="143"/>
      <c r="Q53" s="143"/>
      <c r="R53" s="143"/>
      <c r="S53" s="143"/>
      <c r="T53" s="143"/>
      <c r="U53" s="143"/>
      <c r="V53" s="143"/>
      <c r="W53" s="143"/>
      <c r="X53" s="143"/>
      <c r="Y53" s="143"/>
      <c r="Z53" s="143"/>
      <c r="AA53" s="143"/>
      <c r="AB53" s="143"/>
      <c r="AC53" s="143"/>
      <c r="AD53" s="143"/>
      <c r="AE53" s="143"/>
      <c r="AF53" s="143"/>
      <c r="AG53" s="143"/>
      <c r="AH53" s="143"/>
      <c r="AI53" s="143"/>
      <c r="AJ53" s="143"/>
      <c r="AK53" s="143"/>
      <c r="AL53" s="143"/>
      <c r="AM53" s="143"/>
    </row>
    <row r="54" spans="1:39" ht="12.75" customHeight="1" x14ac:dyDescent="0.25">
      <c r="A54" s="143"/>
      <c r="B54" s="151"/>
      <c r="C54" s="152" t="s">
        <v>202</v>
      </c>
      <c r="D54" s="222" t="s">
        <v>197</v>
      </c>
      <c r="E54" s="152" t="s">
        <v>187</v>
      </c>
      <c r="F54" s="161">
        <v>10500</v>
      </c>
      <c r="G54" s="152" t="s">
        <v>188</v>
      </c>
      <c r="H54" s="174">
        <v>12906.5</v>
      </c>
      <c r="I54" s="152" t="s">
        <v>201</v>
      </c>
      <c r="J54" s="174">
        <f>(F54*H54*2000)/1000000</f>
        <v>271036.5</v>
      </c>
      <c r="K54" s="174">
        <f t="shared" ref="K54:K55" si="8">(J54/(J$54+J$55+J$56+J$57))*K$58</f>
        <v>30101.855299617982</v>
      </c>
      <c r="L54" s="221">
        <f>J54*Q59*0.001102</f>
        <v>3.2855044529999997</v>
      </c>
      <c r="M54" s="241">
        <f>J54*R59*0.0011023</f>
        <v>0.47802165432000004</v>
      </c>
      <c r="N54" s="143"/>
      <c r="O54" s="301" t="s">
        <v>581</v>
      </c>
      <c r="P54" s="143"/>
      <c r="Q54" s="143"/>
      <c r="R54" s="143"/>
      <c r="S54" s="143"/>
      <c r="T54" s="143"/>
      <c r="U54" s="143"/>
      <c r="V54" s="143"/>
      <c r="W54" s="143"/>
      <c r="X54" s="143"/>
      <c r="Y54" s="143"/>
      <c r="Z54" s="143"/>
      <c r="AA54" s="143"/>
      <c r="AB54" s="143"/>
      <c r="AC54" s="143"/>
      <c r="AD54" s="143"/>
      <c r="AE54" s="143"/>
      <c r="AF54" s="143"/>
      <c r="AG54" s="143"/>
      <c r="AH54" s="143"/>
      <c r="AI54" s="143"/>
      <c r="AJ54" s="143"/>
      <c r="AK54" s="143"/>
      <c r="AL54" s="143"/>
      <c r="AM54" s="143"/>
    </row>
    <row r="55" spans="1:39" ht="12.75" customHeight="1" x14ac:dyDescent="0.25">
      <c r="A55" s="143"/>
      <c r="B55" s="151"/>
      <c r="C55" s="152"/>
      <c r="D55" s="222"/>
      <c r="E55" s="420" t="s">
        <v>235</v>
      </c>
      <c r="F55" s="161">
        <v>41160</v>
      </c>
      <c r="G55" s="152" t="s">
        <v>225</v>
      </c>
      <c r="H55" s="174">
        <v>136253</v>
      </c>
      <c r="I55" s="152" t="s">
        <v>226</v>
      </c>
      <c r="J55" s="174">
        <f t="shared" ref="J55:J57" si="9">(F55*H55)/1000000</f>
        <v>5608.1734800000004</v>
      </c>
      <c r="K55" s="174">
        <f t="shared" si="8"/>
        <v>622.85495344765388</v>
      </c>
      <c r="L55" s="221">
        <f>J55*Q61*0.001102</f>
        <v>1.8540621524879997E-2</v>
      </c>
      <c r="M55" s="241">
        <f>J55*R61*0.001102</f>
        <v>3.7081243049759995E-3</v>
      </c>
      <c r="N55" s="143"/>
      <c r="O55" s="143"/>
      <c r="P55" s="143"/>
      <c r="Q55" s="143"/>
      <c r="R55" s="143"/>
      <c r="S55" s="143"/>
      <c r="T55" s="143"/>
      <c r="U55" s="143"/>
      <c r="V55" s="143"/>
      <c r="W55" s="143"/>
      <c r="X55" s="143"/>
      <c r="Y55" s="143"/>
      <c r="Z55" s="143"/>
      <c r="AA55" s="143"/>
      <c r="AB55" s="143"/>
      <c r="AC55" s="143"/>
      <c r="AD55" s="143"/>
      <c r="AE55" s="143"/>
      <c r="AF55" s="143"/>
      <c r="AG55" s="143"/>
      <c r="AH55" s="143"/>
      <c r="AI55" s="143"/>
      <c r="AJ55" s="143"/>
      <c r="AK55" s="143"/>
      <c r="AL55" s="143"/>
      <c r="AM55" s="143"/>
    </row>
    <row r="56" spans="1:39" ht="12.75" customHeight="1" x14ac:dyDescent="0.25">
      <c r="A56" s="143"/>
      <c r="B56" s="151"/>
      <c r="C56" s="152"/>
      <c r="D56" s="222"/>
      <c r="E56" s="152" t="s">
        <v>404</v>
      </c>
      <c r="F56" s="161">
        <v>935</v>
      </c>
      <c r="G56" s="152" t="s">
        <v>225</v>
      </c>
      <c r="H56" s="174">
        <v>140366</v>
      </c>
      <c r="I56" s="152" t="s">
        <v>226</v>
      </c>
      <c r="J56" s="174">
        <f t="shared" si="9"/>
        <v>131.24221</v>
      </c>
      <c r="K56" s="174">
        <f>(J56/(J$54+J$56+$J56+J$57))*K$58</f>
        <v>14.858894934759121</v>
      </c>
      <c r="L56" s="221">
        <f>J56*Q66*0.001102</f>
        <v>4.3388674626E-4</v>
      </c>
      <c r="M56" s="241">
        <f>J56*R66*0.001102</f>
        <v>8.6777349251999987E-5</v>
      </c>
      <c r="N56" s="143"/>
      <c r="O56" s="433" t="s">
        <v>582</v>
      </c>
      <c r="P56" s="434" t="s">
        <v>583</v>
      </c>
      <c r="Q56" s="434"/>
      <c r="R56" s="435"/>
      <c r="S56" s="143"/>
      <c r="T56" s="143"/>
      <c r="U56" s="143"/>
      <c r="V56" s="143"/>
      <c r="W56" s="143"/>
      <c r="X56" s="143"/>
      <c r="Y56" s="143"/>
      <c r="Z56" s="143"/>
      <c r="AA56" s="143"/>
      <c r="AB56" s="143"/>
      <c r="AC56" s="143"/>
      <c r="AD56" s="143"/>
      <c r="AE56" s="143"/>
      <c r="AF56" s="143"/>
      <c r="AG56" s="143"/>
      <c r="AH56" s="143"/>
      <c r="AI56" s="143"/>
      <c r="AJ56" s="143"/>
      <c r="AK56" s="143"/>
      <c r="AL56" s="143"/>
      <c r="AM56" s="143"/>
    </row>
    <row r="57" spans="1:39" ht="12.75" customHeight="1" x14ac:dyDescent="0.35">
      <c r="A57" s="143"/>
      <c r="B57" s="151"/>
      <c r="C57" s="152"/>
      <c r="D57" s="222"/>
      <c r="E57" s="152" t="s">
        <v>439</v>
      </c>
      <c r="F57" s="161">
        <v>10350000</v>
      </c>
      <c r="G57" s="152" t="s">
        <v>437</v>
      </c>
      <c r="H57" s="174">
        <v>1055</v>
      </c>
      <c r="I57" s="152" t="s">
        <v>440</v>
      </c>
      <c r="J57" s="174">
        <f t="shared" si="9"/>
        <v>10919.25</v>
      </c>
      <c r="K57" s="174">
        <f>(J57/(J$54+J$55+J$57))*K$58</f>
        <v>1213.2671990903107</v>
      </c>
      <c r="L57" s="221">
        <f>J57*Q60*0.001102</f>
        <v>1.2033013499999998E-2</v>
      </c>
      <c r="M57" s="241">
        <f>J57*R60*0.0011023</f>
        <v>1.2036289275000002E-3</v>
      </c>
      <c r="N57" s="143"/>
      <c r="O57" s="436"/>
      <c r="P57" s="437" t="s">
        <v>584</v>
      </c>
      <c r="Q57" s="437" t="s">
        <v>585</v>
      </c>
      <c r="R57" s="438" t="s">
        <v>586</v>
      </c>
      <c r="S57" s="143"/>
      <c r="T57" s="143"/>
      <c r="U57" s="143"/>
      <c r="V57" s="143"/>
      <c r="W57" s="143"/>
      <c r="X57" s="143"/>
      <c r="Y57" s="143"/>
      <c r="Z57" s="143"/>
      <c r="AA57" s="143"/>
      <c r="AB57" s="143"/>
      <c r="AC57" s="143"/>
      <c r="AD57" s="143"/>
      <c r="AE57" s="143"/>
      <c r="AF57" s="143"/>
      <c r="AG57" s="143"/>
      <c r="AH57" s="143"/>
      <c r="AI57" s="143"/>
      <c r="AJ57" s="143"/>
      <c r="AK57" s="143"/>
      <c r="AL57" s="143"/>
      <c r="AM57" s="143"/>
    </row>
    <row r="58" spans="1:39" ht="12.75" customHeight="1" x14ac:dyDescent="0.25">
      <c r="A58" s="143"/>
      <c r="B58" s="151"/>
      <c r="C58" s="152"/>
      <c r="D58" s="222"/>
      <c r="E58" s="152"/>
      <c r="F58" s="174"/>
      <c r="G58" s="152"/>
      <c r="H58" s="174"/>
      <c r="I58" s="152"/>
      <c r="J58" s="243">
        <f>SUM(J54:J57)</f>
        <v>287695.16568999999</v>
      </c>
      <c r="K58" s="243">
        <v>31952</v>
      </c>
      <c r="L58" s="432">
        <f t="shared" ref="L58:M58" si="10">SUM(L54:L57)</f>
        <v>3.3165119747711396</v>
      </c>
      <c r="M58" s="246">
        <f t="shared" si="10"/>
        <v>0.48302018490172804</v>
      </c>
      <c r="N58" s="143"/>
      <c r="O58" s="439" t="s">
        <v>587</v>
      </c>
      <c r="P58" s="440">
        <v>93.28</v>
      </c>
      <c r="Q58" s="441">
        <v>1.0999999999999999E-2</v>
      </c>
      <c r="R58" s="442">
        <v>1.6000000000000001E-3</v>
      </c>
      <c r="S58" s="143"/>
      <c r="T58" s="143"/>
      <c r="U58" s="143"/>
      <c r="V58" s="143"/>
      <c r="W58" s="143"/>
      <c r="X58" s="143"/>
      <c r="Y58" s="143"/>
      <c r="Z58" s="143"/>
      <c r="AA58" s="143"/>
      <c r="AB58" s="143"/>
      <c r="AC58" s="143"/>
      <c r="AD58" s="143"/>
      <c r="AE58" s="143"/>
      <c r="AF58" s="143"/>
      <c r="AG58" s="143"/>
      <c r="AH58" s="143"/>
      <c r="AI58" s="143"/>
      <c r="AJ58" s="143"/>
      <c r="AK58" s="143"/>
      <c r="AL58" s="143"/>
      <c r="AM58" s="143"/>
    </row>
    <row r="59" spans="1:39" ht="12.75" customHeight="1" x14ac:dyDescent="0.25">
      <c r="A59" s="143"/>
      <c r="B59" s="151"/>
      <c r="C59" s="152"/>
      <c r="D59" s="222"/>
      <c r="E59" s="152"/>
      <c r="F59" s="174"/>
      <c r="G59" s="152"/>
      <c r="H59" s="174"/>
      <c r="I59" s="152"/>
      <c r="J59" s="174"/>
      <c r="K59" s="174"/>
      <c r="L59" s="221"/>
      <c r="M59" s="241"/>
      <c r="N59" s="143"/>
      <c r="O59" s="443" t="s">
        <v>588</v>
      </c>
      <c r="P59" s="420">
        <v>97.17</v>
      </c>
      <c r="Q59" s="422">
        <v>1.0999999999999999E-2</v>
      </c>
      <c r="R59" s="444">
        <v>1.6000000000000001E-3</v>
      </c>
      <c r="S59" s="143"/>
      <c r="T59" s="143"/>
      <c r="U59" s="143"/>
      <c r="V59" s="143"/>
      <c r="W59" s="143"/>
      <c r="X59" s="143"/>
      <c r="Y59" s="143"/>
      <c r="Z59" s="143"/>
      <c r="AA59" s="143"/>
      <c r="AB59" s="143"/>
      <c r="AC59" s="143"/>
      <c r="AD59" s="143"/>
      <c r="AE59" s="143"/>
      <c r="AF59" s="143"/>
      <c r="AG59" s="143"/>
      <c r="AH59" s="143"/>
      <c r="AI59" s="143"/>
      <c r="AJ59" s="143"/>
      <c r="AK59" s="143"/>
      <c r="AL59" s="143"/>
      <c r="AM59" s="143"/>
    </row>
    <row r="60" spans="1:39" ht="12.75" customHeight="1" x14ac:dyDescent="0.25">
      <c r="A60" s="143"/>
      <c r="B60" s="151"/>
      <c r="C60" s="152" t="s">
        <v>441</v>
      </c>
      <c r="D60" s="222" t="s">
        <v>206</v>
      </c>
      <c r="E60" s="152" t="s">
        <v>187</v>
      </c>
      <c r="F60" s="315">
        <v>0</v>
      </c>
      <c r="G60" s="152" t="s">
        <v>188</v>
      </c>
      <c r="H60" s="174">
        <v>12906.5</v>
      </c>
      <c r="I60" s="152" t="s">
        <v>201</v>
      </c>
      <c r="J60" s="286">
        <f>(F60*H60*2000)/1000000</f>
        <v>0</v>
      </c>
      <c r="K60" s="286">
        <f t="shared" ref="K60:K62" si="11">(J60/(J$60+J$61+J$62))*K$63</f>
        <v>0</v>
      </c>
      <c r="L60" s="286">
        <f>J60*Q59*0.0011023</f>
        <v>0</v>
      </c>
      <c r="M60" s="417">
        <f>J60*R59*0.001102</f>
        <v>0</v>
      </c>
      <c r="N60" s="143"/>
      <c r="O60" s="443" t="s">
        <v>436</v>
      </c>
      <c r="P60" s="420">
        <v>53.06</v>
      </c>
      <c r="Q60" s="422">
        <v>1E-3</v>
      </c>
      <c r="R60" s="444">
        <v>1E-4</v>
      </c>
      <c r="S60" s="143"/>
      <c r="T60" s="143"/>
      <c r="U60" s="143"/>
      <c r="V60" s="143"/>
      <c r="W60" s="143"/>
      <c r="X60" s="143"/>
      <c r="Y60" s="143"/>
      <c r="Z60" s="143"/>
      <c r="AA60" s="143"/>
      <c r="AB60" s="143"/>
      <c r="AC60" s="143"/>
      <c r="AD60" s="143"/>
      <c r="AE60" s="143"/>
      <c r="AF60" s="143"/>
      <c r="AG60" s="143"/>
      <c r="AH60" s="143"/>
      <c r="AI60" s="143"/>
      <c r="AJ60" s="143"/>
      <c r="AK60" s="143"/>
      <c r="AL60" s="143"/>
      <c r="AM60" s="143"/>
    </row>
    <row r="61" spans="1:39" ht="12.75" customHeight="1" x14ac:dyDescent="0.25">
      <c r="A61" s="143"/>
      <c r="B61" s="151"/>
      <c r="C61" s="152"/>
      <c r="D61" s="222"/>
      <c r="E61" s="420" t="s">
        <v>235</v>
      </c>
      <c r="F61" s="315">
        <v>0</v>
      </c>
      <c r="G61" s="152" t="s">
        <v>225</v>
      </c>
      <c r="H61" s="174">
        <v>136253</v>
      </c>
      <c r="I61" s="152" t="s">
        <v>226</v>
      </c>
      <c r="J61" s="286">
        <f t="shared" ref="J61:J62" si="12">(F61*H61)/1000000</f>
        <v>0</v>
      </c>
      <c r="K61" s="286">
        <f t="shared" si="11"/>
        <v>0</v>
      </c>
      <c r="L61" s="286">
        <f>J61*Q61*0.001102</f>
        <v>0</v>
      </c>
      <c r="M61" s="417">
        <f>J61*R61*0.001102</f>
        <v>0</v>
      </c>
      <c r="N61" s="143"/>
      <c r="O61" s="443" t="s">
        <v>589</v>
      </c>
      <c r="P61" s="420">
        <v>73.959999999999994</v>
      </c>
      <c r="Q61" s="422">
        <v>3.0000000000000001E-3</v>
      </c>
      <c r="R61" s="444">
        <v>5.9999999999999995E-4</v>
      </c>
      <c r="S61" s="143"/>
      <c r="T61" s="143"/>
      <c r="U61" s="143"/>
      <c r="V61" s="143"/>
      <c r="W61" s="143"/>
      <c r="X61" s="143"/>
      <c r="Y61" s="143"/>
      <c r="Z61" s="143"/>
      <c r="AA61" s="143"/>
      <c r="AB61" s="143"/>
      <c r="AC61" s="143"/>
      <c r="AD61" s="143"/>
      <c r="AE61" s="143"/>
      <c r="AF61" s="143"/>
      <c r="AG61" s="143"/>
      <c r="AH61" s="143"/>
      <c r="AI61" s="143"/>
      <c r="AJ61" s="143"/>
      <c r="AK61" s="143"/>
      <c r="AL61" s="143"/>
      <c r="AM61" s="143"/>
    </row>
    <row r="62" spans="1:39" ht="12.75" customHeight="1" x14ac:dyDescent="0.25">
      <c r="A62" s="143"/>
      <c r="B62" s="151"/>
      <c r="C62" s="152"/>
      <c r="D62" s="222"/>
      <c r="E62" s="152" t="s">
        <v>439</v>
      </c>
      <c r="F62" s="315">
        <v>992650000</v>
      </c>
      <c r="G62" s="152" t="s">
        <v>437</v>
      </c>
      <c r="H62" s="174">
        <v>1055</v>
      </c>
      <c r="I62" s="152" t="s">
        <v>440</v>
      </c>
      <c r="J62" s="174">
        <f t="shared" si="12"/>
        <v>1047245.75</v>
      </c>
      <c r="K62" s="174">
        <f t="shared" si="11"/>
        <v>59850</v>
      </c>
      <c r="L62" s="221">
        <f>J62*Q60*0.001102</f>
        <v>1.1540648165</v>
      </c>
      <c r="M62" s="241">
        <f>J62*R60*0.001102</f>
        <v>0.11540648164999999</v>
      </c>
      <c r="N62" s="143"/>
      <c r="O62" s="443" t="s">
        <v>590</v>
      </c>
      <c r="P62" s="420">
        <v>75.099999999999994</v>
      </c>
      <c r="Q62" s="422">
        <v>3.0000000000000001E-3</v>
      </c>
      <c r="R62" s="444">
        <v>5.9999999999999995E-4</v>
      </c>
      <c r="S62" s="143"/>
      <c r="T62" s="143"/>
      <c r="U62" s="143"/>
      <c r="V62" s="143"/>
      <c r="W62" s="143"/>
      <c r="X62" s="143"/>
      <c r="Y62" s="143"/>
      <c r="Z62" s="143"/>
      <c r="AA62" s="143"/>
      <c r="AB62" s="143"/>
      <c r="AC62" s="143"/>
      <c r="AD62" s="143"/>
      <c r="AE62" s="143"/>
      <c r="AF62" s="143"/>
      <c r="AG62" s="143"/>
      <c r="AH62" s="143"/>
      <c r="AI62" s="143"/>
      <c r="AJ62" s="143"/>
      <c r="AK62" s="143"/>
      <c r="AL62" s="143"/>
      <c r="AM62" s="143"/>
    </row>
    <row r="63" spans="1:39" ht="12.75" customHeight="1" x14ac:dyDescent="0.25">
      <c r="A63" s="143"/>
      <c r="B63" s="151"/>
      <c r="C63" s="152"/>
      <c r="D63" s="222"/>
      <c r="E63" s="152"/>
      <c r="F63" s="174"/>
      <c r="G63" s="152"/>
      <c r="H63" s="174"/>
      <c r="I63" s="152"/>
      <c r="J63" s="243">
        <f>SUM(J60:J62)</f>
        <v>1047245.75</v>
      </c>
      <c r="K63" s="243">
        <v>59850</v>
      </c>
      <c r="L63" s="432">
        <f t="shared" ref="L63:M63" si="13">SUM(L60:L62)</f>
        <v>1.1540648165</v>
      </c>
      <c r="M63" s="246">
        <f t="shared" si="13"/>
        <v>0.11540648164999999</v>
      </c>
      <c r="N63" s="143"/>
      <c r="O63" s="443" t="s">
        <v>591</v>
      </c>
      <c r="P63" s="420">
        <v>75.2</v>
      </c>
      <c r="Q63" s="422">
        <v>3.0000000000000001E-3</v>
      </c>
      <c r="R63" s="444">
        <v>5.9999999999999995E-4</v>
      </c>
      <c r="S63" s="143"/>
      <c r="T63" s="143"/>
      <c r="U63" s="143"/>
      <c r="V63" s="143"/>
      <c r="W63" s="143"/>
      <c r="X63" s="143"/>
      <c r="Y63" s="143"/>
      <c r="Z63" s="143"/>
      <c r="AA63" s="143"/>
      <c r="AB63" s="143"/>
      <c r="AC63" s="143"/>
      <c r="AD63" s="143"/>
      <c r="AE63" s="143"/>
      <c r="AF63" s="143"/>
      <c r="AG63" s="143"/>
      <c r="AH63" s="143"/>
      <c r="AI63" s="143"/>
      <c r="AJ63" s="143"/>
      <c r="AK63" s="143"/>
      <c r="AL63" s="143"/>
      <c r="AM63" s="143"/>
    </row>
    <row r="64" spans="1:39" ht="12.75" customHeight="1" x14ac:dyDescent="0.25">
      <c r="A64" s="143"/>
      <c r="B64" s="151"/>
      <c r="C64" s="152"/>
      <c r="D64" s="222"/>
      <c r="E64" s="152"/>
      <c r="F64" s="174"/>
      <c r="G64" s="152"/>
      <c r="H64" s="174"/>
      <c r="I64" s="152"/>
      <c r="J64" s="174"/>
      <c r="K64" s="174"/>
      <c r="L64" s="221"/>
      <c r="M64" s="241"/>
      <c r="N64" s="143"/>
      <c r="O64" s="443" t="s">
        <v>592</v>
      </c>
      <c r="P64" s="420">
        <v>62.87</v>
      </c>
      <c r="Q64" s="422">
        <v>3.0000000000000001E-3</v>
      </c>
      <c r="R64" s="444">
        <v>5.9999999999999995E-4</v>
      </c>
      <c r="S64" s="143"/>
      <c r="T64" s="143"/>
      <c r="U64" s="143"/>
      <c r="V64" s="143"/>
      <c r="W64" s="143"/>
      <c r="X64" s="143"/>
      <c r="Y64" s="143"/>
      <c r="Z64" s="143"/>
      <c r="AA64" s="143"/>
      <c r="AB64" s="143"/>
      <c r="AC64" s="143"/>
      <c r="AD64" s="143"/>
      <c r="AE64" s="143"/>
      <c r="AF64" s="143"/>
      <c r="AG64" s="143"/>
      <c r="AH64" s="143"/>
      <c r="AI64" s="143"/>
      <c r="AJ64" s="143"/>
      <c r="AK64" s="143"/>
      <c r="AL64" s="143"/>
      <c r="AM64" s="143"/>
    </row>
    <row r="65" spans="1:39" ht="12.75" customHeight="1" x14ac:dyDescent="0.25">
      <c r="A65" s="143"/>
      <c r="B65" s="151"/>
      <c r="C65" s="152" t="s">
        <v>442</v>
      </c>
      <c r="D65" s="222" t="s">
        <v>381</v>
      </c>
      <c r="E65" s="152" t="s">
        <v>187</v>
      </c>
      <c r="F65" s="194">
        <v>0</v>
      </c>
      <c r="G65" s="152" t="s">
        <v>188</v>
      </c>
      <c r="H65" s="174">
        <v>12907</v>
      </c>
      <c r="I65" s="152" t="s">
        <v>201</v>
      </c>
      <c r="J65" s="286">
        <f>(F65*H65*2000)/1000000</f>
        <v>0</v>
      </c>
      <c r="K65" s="286">
        <f t="shared" ref="K65:K67" si="14">(J65/(J$65+J$66+J$67))*K$68</f>
        <v>0</v>
      </c>
      <c r="L65" s="286">
        <f>J65*Q59*0.001102</f>
        <v>0</v>
      </c>
      <c r="M65" s="417">
        <f>J65*R59*0.001102</f>
        <v>0</v>
      </c>
      <c r="N65" s="143"/>
      <c r="O65" s="443" t="s">
        <v>593</v>
      </c>
      <c r="P65" s="420">
        <v>66.88</v>
      </c>
      <c r="Q65" s="422">
        <v>3.0000000000000001E-3</v>
      </c>
      <c r="R65" s="444">
        <v>5.9999999999999995E-4</v>
      </c>
      <c r="S65" s="143"/>
      <c r="T65" s="143"/>
      <c r="U65" s="143"/>
      <c r="V65" s="143"/>
      <c r="W65" s="143"/>
      <c r="X65" s="143"/>
      <c r="Y65" s="143"/>
      <c r="Z65" s="143"/>
      <c r="AA65" s="143"/>
      <c r="AB65" s="143"/>
      <c r="AC65" s="143"/>
      <c r="AD65" s="143"/>
      <c r="AE65" s="143"/>
      <c r="AF65" s="143"/>
      <c r="AG65" s="143"/>
      <c r="AH65" s="143"/>
      <c r="AI65" s="143"/>
      <c r="AJ65" s="143"/>
      <c r="AK65" s="143"/>
      <c r="AL65" s="143"/>
      <c r="AM65" s="143"/>
    </row>
    <row r="66" spans="1:39" ht="12.75" customHeight="1" x14ac:dyDescent="0.25">
      <c r="A66" s="143"/>
      <c r="B66" s="151"/>
      <c r="C66" s="152"/>
      <c r="D66" s="222"/>
      <c r="E66" s="152" t="s">
        <v>594</v>
      </c>
      <c r="F66" s="194">
        <v>0</v>
      </c>
      <c r="G66" s="152" t="s">
        <v>225</v>
      </c>
      <c r="H66" s="174">
        <v>136253</v>
      </c>
      <c r="I66" s="152" t="s">
        <v>226</v>
      </c>
      <c r="J66" s="286">
        <f t="shared" ref="J66:J67" si="15">(F66*H66)/1000000</f>
        <v>0</v>
      </c>
      <c r="K66" s="286">
        <f t="shared" si="14"/>
        <v>0</v>
      </c>
      <c r="L66" s="286">
        <f>J66*Q61*0.001102</f>
        <v>0</v>
      </c>
      <c r="M66" s="417">
        <f>J66*R61*0.001102</f>
        <v>0</v>
      </c>
      <c r="N66" s="143"/>
      <c r="O66" s="436" t="s">
        <v>404</v>
      </c>
      <c r="P66" s="445">
        <v>74</v>
      </c>
      <c r="Q66" s="446">
        <v>3.0000000000000001E-3</v>
      </c>
      <c r="R66" s="447">
        <v>5.9999999999999995E-4</v>
      </c>
      <c r="S66" s="143"/>
      <c r="T66" s="143"/>
      <c r="U66" s="143"/>
      <c r="V66" s="143"/>
      <c r="W66" s="143"/>
      <c r="X66" s="143"/>
      <c r="Y66" s="143"/>
      <c r="Z66" s="143"/>
      <c r="AA66" s="143"/>
      <c r="AB66" s="143"/>
      <c r="AC66" s="143"/>
      <c r="AD66" s="143"/>
      <c r="AE66" s="143"/>
      <c r="AF66" s="143"/>
      <c r="AG66" s="143"/>
      <c r="AH66" s="143"/>
      <c r="AI66" s="143"/>
      <c r="AJ66" s="143"/>
      <c r="AK66" s="143"/>
      <c r="AL66" s="143"/>
      <c r="AM66" s="143"/>
    </row>
    <row r="67" spans="1:39" ht="12.75" customHeight="1" x14ac:dyDescent="0.25">
      <c r="A67" s="143"/>
      <c r="B67" s="151"/>
      <c r="C67" s="152"/>
      <c r="D67" s="222"/>
      <c r="E67" s="152" t="s">
        <v>439</v>
      </c>
      <c r="F67" s="194">
        <v>1686700000</v>
      </c>
      <c r="G67" s="152" t="s">
        <v>437</v>
      </c>
      <c r="H67" s="174">
        <v>1055</v>
      </c>
      <c r="I67" s="152" t="s">
        <v>440</v>
      </c>
      <c r="J67" s="174">
        <f t="shared" si="15"/>
        <v>1779468.5</v>
      </c>
      <c r="K67" s="174">
        <f t="shared" si="14"/>
        <v>100042</v>
      </c>
      <c r="L67" s="221">
        <f>J67*Q60*0.001102</f>
        <v>1.9609742869999998</v>
      </c>
      <c r="M67" s="241">
        <f>J67*R60*0.001102</f>
        <v>0.19609742869999999</v>
      </c>
      <c r="N67" s="143"/>
      <c r="O67" s="143"/>
      <c r="P67" s="143"/>
      <c r="Q67" s="143"/>
      <c r="R67" s="143"/>
      <c r="S67" s="143"/>
      <c r="T67" s="143"/>
      <c r="U67" s="143"/>
      <c r="V67" s="143"/>
      <c r="W67" s="143"/>
      <c r="X67" s="143"/>
      <c r="Y67" s="143"/>
      <c r="Z67" s="143"/>
      <c r="AA67" s="143"/>
      <c r="AB67" s="143"/>
      <c r="AC67" s="143"/>
      <c r="AD67" s="143"/>
      <c r="AE67" s="143"/>
      <c r="AF67" s="143"/>
      <c r="AG67" s="143"/>
      <c r="AH67" s="143"/>
      <c r="AI67" s="143"/>
      <c r="AJ67" s="143"/>
      <c r="AK67" s="143"/>
      <c r="AL67" s="143"/>
      <c r="AM67" s="143"/>
    </row>
    <row r="68" spans="1:39" ht="12.75" customHeight="1" x14ac:dyDescent="0.25">
      <c r="A68" s="143"/>
      <c r="B68" s="151"/>
      <c r="C68" s="152"/>
      <c r="D68" s="222"/>
      <c r="E68" s="152"/>
      <c r="F68" s="174"/>
      <c r="G68" s="152"/>
      <c r="H68" s="174"/>
      <c r="I68" s="152"/>
      <c r="J68" s="243">
        <f>SUM(J65:J67)</f>
        <v>1779468.5</v>
      </c>
      <c r="K68" s="243">
        <v>100042</v>
      </c>
      <c r="L68" s="432">
        <f t="shared" ref="L68:M68" si="16">SUM(L65:L67)</f>
        <v>1.9609742869999998</v>
      </c>
      <c r="M68" s="246">
        <f t="shared" si="16"/>
        <v>0.19609742869999999</v>
      </c>
      <c r="N68" s="143"/>
      <c r="O68" s="143"/>
      <c r="P68" s="143"/>
      <c r="Q68" s="143"/>
      <c r="R68" s="143"/>
      <c r="S68" s="143"/>
      <c r="T68" s="143"/>
      <c r="U68" s="143"/>
      <c r="V68" s="143"/>
      <c r="W68" s="143"/>
      <c r="X68" s="143"/>
      <c r="Y68" s="143"/>
      <c r="Z68" s="143"/>
      <c r="AA68" s="143"/>
      <c r="AB68" s="143"/>
      <c r="AC68" s="143"/>
      <c r="AD68" s="143"/>
      <c r="AE68" s="143"/>
      <c r="AF68" s="143"/>
      <c r="AG68" s="143"/>
      <c r="AH68" s="143"/>
      <c r="AI68" s="143"/>
      <c r="AJ68" s="143"/>
      <c r="AK68" s="143"/>
      <c r="AL68" s="143"/>
      <c r="AM68" s="143"/>
    </row>
    <row r="69" spans="1:39" ht="12.75" customHeight="1" x14ac:dyDescent="0.25">
      <c r="A69" s="143"/>
      <c r="B69" s="151"/>
      <c r="C69" s="152"/>
      <c r="D69" s="222"/>
      <c r="E69" s="152"/>
      <c r="F69" s="174"/>
      <c r="G69" s="152"/>
      <c r="H69" s="174"/>
      <c r="I69" s="152"/>
      <c r="J69" s="229"/>
      <c r="K69" s="174"/>
      <c r="L69" s="221"/>
      <c r="M69" s="241"/>
      <c r="N69" s="143"/>
      <c r="O69" s="2935"/>
      <c r="P69" s="2936"/>
      <c r="Q69" s="2936"/>
      <c r="R69" s="143"/>
      <c r="S69" s="143"/>
      <c r="T69" s="143"/>
      <c r="U69" s="143"/>
      <c r="V69" s="143"/>
      <c r="W69" s="143"/>
      <c r="X69" s="143"/>
      <c r="Y69" s="143"/>
      <c r="Z69" s="143"/>
      <c r="AA69" s="143"/>
      <c r="AB69" s="143"/>
      <c r="AC69" s="143"/>
      <c r="AD69" s="143"/>
      <c r="AE69" s="143"/>
      <c r="AF69" s="143"/>
      <c r="AG69" s="143"/>
      <c r="AH69" s="143"/>
      <c r="AI69" s="143"/>
      <c r="AJ69" s="143"/>
      <c r="AK69" s="143"/>
      <c r="AL69" s="143"/>
      <c r="AM69" s="143"/>
    </row>
    <row r="70" spans="1:39" ht="12.75" customHeight="1" x14ac:dyDescent="0.25">
      <c r="A70" s="143"/>
      <c r="B70" s="151"/>
      <c r="C70" s="152" t="s">
        <v>236</v>
      </c>
      <c r="D70" s="242" t="s">
        <v>237</v>
      </c>
      <c r="E70" s="420" t="s">
        <v>235</v>
      </c>
      <c r="F70" s="161">
        <v>10080</v>
      </c>
      <c r="G70" s="152" t="s">
        <v>225</v>
      </c>
      <c r="H70" s="174">
        <v>136253</v>
      </c>
      <c r="I70" s="152" t="s">
        <v>226</v>
      </c>
      <c r="J70" s="243">
        <f>(F70*H70)/1000000</f>
        <v>1373.4302399999999</v>
      </c>
      <c r="K70" s="234">
        <f>111.97</f>
        <v>111.97</v>
      </c>
      <c r="L70" s="213">
        <v>0</v>
      </c>
      <c r="M70" s="244">
        <v>0</v>
      </c>
      <c r="N70" s="143"/>
      <c r="O70" s="2665"/>
      <c r="P70" s="2665"/>
      <c r="Q70" s="2665"/>
      <c r="R70" s="143"/>
      <c r="S70" s="143"/>
      <c r="T70" s="143"/>
      <c r="U70" s="143"/>
      <c r="V70" s="143"/>
      <c r="W70" s="143"/>
      <c r="X70" s="143"/>
      <c r="Y70" s="143"/>
      <c r="Z70" s="143"/>
      <c r="AA70" s="143"/>
      <c r="AB70" s="143"/>
      <c r="AC70" s="143"/>
      <c r="AD70" s="143"/>
      <c r="AE70" s="143"/>
      <c r="AF70" s="143"/>
      <c r="AG70" s="143"/>
      <c r="AH70" s="143"/>
      <c r="AI70" s="143"/>
      <c r="AJ70" s="143"/>
      <c r="AK70" s="143"/>
      <c r="AL70" s="143"/>
      <c r="AM70" s="143"/>
    </row>
    <row r="71" spans="1:39" ht="12.75" customHeight="1" x14ac:dyDescent="0.25">
      <c r="A71" s="143"/>
      <c r="B71" s="151"/>
      <c r="C71" s="152"/>
      <c r="D71" s="222"/>
      <c r="E71" s="152"/>
      <c r="F71" s="161"/>
      <c r="G71" s="152"/>
      <c r="H71" s="174"/>
      <c r="I71" s="152"/>
      <c r="J71" s="174"/>
      <c r="K71" s="174"/>
      <c r="L71" s="221"/>
      <c r="M71" s="241"/>
      <c r="N71" s="143"/>
      <c r="O71" s="2665"/>
      <c r="P71" s="2665"/>
      <c r="Q71" s="2665"/>
      <c r="R71" s="143"/>
      <c r="S71" s="143"/>
      <c r="T71" s="143"/>
      <c r="U71" s="143"/>
      <c r="V71" s="143"/>
      <c r="W71" s="143"/>
      <c r="X71" s="143"/>
      <c r="Y71" s="143"/>
      <c r="Z71" s="143"/>
      <c r="AA71" s="143"/>
      <c r="AB71" s="143"/>
      <c r="AC71" s="143"/>
      <c r="AD71" s="143"/>
      <c r="AE71" s="143"/>
      <c r="AF71" s="143"/>
      <c r="AG71" s="143"/>
      <c r="AH71" s="143"/>
      <c r="AI71" s="143"/>
      <c r="AJ71" s="143"/>
      <c r="AK71" s="143"/>
      <c r="AL71" s="143"/>
      <c r="AM71" s="143"/>
    </row>
    <row r="72" spans="1:39" ht="12.75" customHeight="1" x14ac:dyDescent="0.25">
      <c r="A72" s="143"/>
      <c r="B72" s="151"/>
      <c r="C72" s="152" t="s">
        <v>238</v>
      </c>
      <c r="D72" s="222" t="s">
        <v>239</v>
      </c>
      <c r="E72" s="420" t="s">
        <v>235</v>
      </c>
      <c r="F72" s="161">
        <v>18060</v>
      </c>
      <c r="G72" s="152" t="s">
        <v>225</v>
      </c>
      <c r="H72" s="174">
        <v>136253</v>
      </c>
      <c r="I72" s="152" t="s">
        <v>226</v>
      </c>
      <c r="J72" s="243">
        <f>(F72*H72)/1000000</f>
        <v>2460.7291799999998</v>
      </c>
      <c r="K72" s="243">
        <v>199.5</v>
      </c>
      <c r="L72" s="245">
        <f>J72*Q61*0.001102</f>
        <v>8.1351706690799986E-3</v>
      </c>
      <c r="M72" s="246">
        <f>J72*R61*0.001102</f>
        <v>1.6270341338159996E-3</v>
      </c>
      <c r="N72" s="143"/>
      <c r="O72" s="2665"/>
      <c r="P72" s="2665"/>
      <c r="Q72" s="2665"/>
      <c r="R72" s="143"/>
      <c r="S72" s="143"/>
      <c r="T72" s="143"/>
      <c r="U72" s="143"/>
      <c r="V72" s="143"/>
      <c r="W72" s="143"/>
      <c r="X72" s="143"/>
      <c r="Y72" s="143"/>
      <c r="Z72" s="143"/>
      <c r="AA72" s="143"/>
      <c r="AB72" s="143"/>
      <c r="AC72" s="143"/>
      <c r="AD72" s="143"/>
      <c r="AE72" s="143"/>
      <c r="AF72" s="143"/>
      <c r="AG72" s="143"/>
      <c r="AH72" s="143"/>
      <c r="AI72" s="143"/>
      <c r="AJ72" s="143"/>
      <c r="AK72" s="143"/>
      <c r="AL72" s="143"/>
      <c r="AM72" s="143"/>
    </row>
    <row r="73" spans="1:39" ht="12.75" customHeight="1" x14ac:dyDescent="0.25">
      <c r="A73" s="143"/>
      <c r="B73" s="151"/>
      <c r="C73" s="152"/>
      <c r="D73" s="222"/>
      <c r="E73" s="152"/>
      <c r="F73" s="174"/>
      <c r="G73" s="152"/>
      <c r="H73" s="174"/>
      <c r="I73" s="152"/>
      <c r="J73" s="174"/>
      <c r="K73" s="174"/>
      <c r="L73" s="221"/>
      <c r="M73" s="241"/>
      <c r="N73" s="143"/>
      <c r="O73" s="2665"/>
      <c r="P73" s="2665"/>
      <c r="Q73" s="2665"/>
      <c r="R73" s="143"/>
      <c r="S73" s="143"/>
      <c r="T73" s="143"/>
      <c r="U73" s="143"/>
      <c r="V73" s="143"/>
      <c r="W73" s="143"/>
      <c r="X73" s="143"/>
      <c r="Y73" s="143"/>
      <c r="Z73" s="143"/>
      <c r="AA73" s="143"/>
      <c r="AB73" s="143"/>
      <c r="AC73" s="143"/>
      <c r="AD73" s="143"/>
      <c r="AE73" s="143"/>
      <c r="AF73" s="143"/>
      <c r="AG73" s="143"/>
      <c r="AH73" s="143"/>
      <c r="AI73" s="143"/>
      <c r="AJ73" s="143"/>
      <c r="AK73" s="143"/>
      <c r="AL73" s="143"/>
      <c r="AM73" s="143"/>
    </row>
    <row r="74" spans="1:39" ht="12.75" customHeight="1" x14ac:dyDescent="0.25">
      <c r="A74" s="143"/>
      <c r="B74" s="151"/>
      <c r="C74" s="152" t="s">
        <v>240</v>
      </c>
      <c r="D74" s="242" t="s">
        <v>241</v>
      </c>
      <c r="E74" s="420" t="s">
        <v>235</v>
      </c>
      <c r="F74" s="161">
        <v>84840</v>
      </c>
      <c r="G74" s="152" t="s">
        <v>225</v>
      </c>
      <c r="H74" s="174">
        <v>136253</v>
      </c>
      <c r="I74" s="152" t="s">
        <v>226</v>
      </c>
      <c r="J74" s="174">
        <f t="shared" ref="J74:J75" si="17">(F74*H74)/1000000</f>
        <v>11559.704519999999</v>
      </c>
      <c r="K74" s="229">
        <f t="shared" ref="K74:K75" si="18">(J74/(J$74+J$75))*K$76</f>
        <v>784.03231526461309</v>
      </c>
      <c r="L74" s="221">
        <f>J74*Q61*0.001102</f>
        <v>3.8216383143119995E-2</v>
      </c>
      <c r="M74" s="241">
        <f>J74*R61*0.001102</f>
        <v>7.6432766286239984E-3</v>
      </c>
      <c r="N74" s="143"/>
      <c r="O74" s="143"/>
      <c r="P74" s="143"/>
      <c r="Q74" s="143"/>
      <c r="R74" s="143"/>
      <c r="S74" s="143"/>
      <c r="T74" s="143"/>
      <c r="U74" s="143"/>
      <c r="V74" s="143"/>
      <c r="W74" s="143"/>
      <c r="X74" s="143"/>
      <c r="Y74" s="143"/>
      <c r="Z74" s="143"/>
      <c r="AA74" s="143"/>
      <c r="AB74" s="143"/>
      <c r="AC74" s="143"/>
      <c r="AD74" s="143"/>
      <c r="AE74" s="143"/>
      <c r="AF74" s="143"/>
      <c r="AG74" s="143"/>
      <c r="AH74" s="143"/>
      <c r="AI74" s="143"/>
      <c r="AJ74" s="143"/>
      <c r="AK74" s="143"/>
      <c r="AL74" s="143"/>
      <c r="AM74" s="143"/>
    </row>
    <row r="75" spans="1:39" ht="12.75" customHeight="1" x14ac:dyDescent="0.25">
      <c r="A75" s="143"/>
      <c r="B75" s="151"/>
      <c r="C75" s="152"/>
      <c r="D75" s="222"/>
      <c r="E75" s="152" t="s">
        <v>439</v>
      </c>
      <c r="F75" s="161">
        <v>16700000</v>
      </c>
      <c r="G75" s="152" t="s">
        <v>437</v>
      </c>
      <c r="H75" s="174">
        <v>1055</v>
      </c>
      <c r="I75" s="152" t="s">
        <v>440</v>
      </c>
      <c r="J75" s="174">
        <f t="shared" si="17"/>
        <v>17618.5</v>
      </c>
      <c r="K75" s="229">
        <f t="shared" si="18"/>
        <v>1194.9676847353869</v>
      </c>
      <c r="L75" s="221">
        <f>J75*Q60*0.001102</f>
        <v>1.9415586999999998E-2</v>
      </c>
      <c r="M75" s="241">
        <f>J75*R60*0.001102</f>
        <v>1.9415586999999999E-3</v>
      </c>
      <c r="N75" s="143"/>
      <c r="O75" s="143"/>
      <c r="P75" s="143"/>
      <c r="Q75" s="143"/>
      <c r="R75" s="143"/>
      <c r="S75" s="143"/>
      <c r="T75" s="143"/>
      <c r="U75" s="143"/>
      <c r="V75" s="143"/>
      <c r="W75" s="143"/>
      <c r="X75" s="143"/>
      <c r="Y75" s="143"/>
      <c r="Z75" s="143"/>
      <c r="AA75" s="143"/>
      <c r="AB75" s="143"/>
      <c r="AC75" s="143"/>
      <c r="AD75" s="143"/>
      <c r="AE75" s="143"/>
      <c r="AF75" s="143"/>
      <c r="AG75" s="143"/>
      <c r="AH75" s="143"/>
      <c r="AI75" s="143"/>
      <c r="AJ75" s="143"/>
      <c r="AK75" s="143"/>
      <c r="AL75" s="143"/>
      <c r="AM75" s="143"/>
    </row>
    <row r="76" spans="1:39" ht="12.75" customHeight="1" x14ac:dyDescent="0.25">
      <c r="A76" s="143"/>
      <c r="B76" s="151"/>
      <c r="C76" s="152"/>
      <c r="D76" s="222"/>
      <c r="E76" s="152"/>
      <c r="F76" s="174"/>
      <c r="G76" s="152"/>
      <c r="H76" s="174"/>
      <c r="I76" s="152"/>
      <c r="J76" s="243">
        <f>SUM(J74:J75)</f>
        <v>29178.204519999999</v>
      </c>
      <c r="K76" s="243">
        <v>1979</v>
      </c>
      <c r="L76" s="432">
        <f t="shared" ref="L76:M76" si="19">SUM(L74:L75)</f>
        <v>5.7631970143119993E-2</v>
      </c>
      <c r="M76" s="246">
        <f t="shared" si="19"/>
        <v>9.5848353286239977E-3</v>
      </c>
      <c r="N76" s="143"/>
      <c r="O76" s="143"/>
      <c r="P76" s="143"/>
      <c r="Q76" s="143"/>
      <c r="R76" s="143"/>
      <c r="S76" s="143"/>
      <c r="T76" s="143"/>
      <c r="U76" s="143"/>
      <c r="V76" s="143"/>
      <c r="W76" s="143"/>
      <c r="X76" s="143"/>
      <c r="Y76" s="143"/>
      <c r="Z76" s="143"/>
      <c r="AA76" s="143"/>
      <c r="AB76" s="143"/>
      <c r="AC76" s="143"/>
      <c r="AD76" s="143"/>
      <c r="AE76" s="143"/>
      <c r="AF76" s="143"/>
      <c r="AG76" s="143"/>
      <c r="AH76" s="143"/>
      <c r="AI76" s="143"/>
      <c r="AJ76" s="143"/>
      <c r="AK76" s="143"/>
      <c r="AL76" s="143"/>
      <c r="AM76" s="143"/>
    </row>
    <row r="77" spans="1:39" ht="12.75" customHeight="1" x14ac:dyDescent="0.25">
      <c r="A77" s="143"/>
      <c r="B77" s="151"/>
      <c r="C77" s="152"/>
      <c r="D77" s="222"/>
      <c r="E77" s="152"/>
      <c r="F77" s="174"/>
      <c r="G77" s="152"/>
      <c r="H77" s="174"/>
      <c r="I77" s="152"/>
      <c r="J77" s="229"/>
      <c r="K77" s="229"/>
      <c r="L77" s="266"/>
      <c r="M77" s="241"/>
      <c r="N77" s="143"/>
      <c r="O77" s="143"/>
      <c r="P77" s="143"/>
      <c r="Q77" s="143"/>
      <c r="R77" s="143"/>
      <c r="S77" s="143"/>
      <c r="T77" s="143"/>
      <c r="U77" s="143"/>
      <c r="V77" s="143"/>
      <c r="W77" s="143"/>
      <c r="X77" s="143"/>
      <c r="Y77" s="143"/>
      <c r="Z77" s="143"/>
      <c r="AA77" s="143"/>
      <c r="AB77" s="143"/>
      <c r="AC77" s="143"/>
      <c r="AD77" s="143"/>
      <c r="AE77" s="143"/>
      <c r="AF77" s="143"/>
      <c r="AG77" s="143"/>
      <c r="AH77" s="143"/>
      <c r="AI77" s="143"/>
      <c r="AJ77" s="143"/>
      <c r="AK77" s="143"/>
      <c r="AL77" s="143"/>
      <c r="AM77" s="143"/>
    </row>
    <row r="78" spans="1:39" ht="12.75" customHeight="1" x14ac:dyDescent="0.25">
      <c r="A78" s="143"/>
      <c r="B78" s="151"/>
      <c r="C78" s="152" t="s">
        <v>242</v>
      </c>
      <c r="D78" s="242" t="s">
        <v>243</v>
      </c>
      <c r="E78" s="420" t="s">
        <v>235</v>
      </c>
      <c r="F78" s="161">
        <v>41580</v>
      </c>
      <c r="G78" s="152" t="s">
        <v>225</v>
      </c>
      <c r="H78" s="174">
        <v>136253</v>
      </c>
      <c r="I78" s="152" t="s">
        <v>226</v>
      </c>
      <c r="J78" s="174">
        <f t="shared" ref="J78:J79" si="20">(F78*H78)/1000000</f>
        <v>5665.3997399999998</v>
      </c>
      <c r="K78" s="229">
        <f t="shared" ref="K78:K79" si="21">(J78/(J$78+J$79))*K$80</f>
        <v>360.18539881240173</v>
      </c>
      <c r="L78" s="221">
        <f>J78*Q61*0.001102</f>
        <v>1.8729811540440001E-2</v>
      </c>
      <c r="M78" s="241">
        <f>J78*R61*0.001102</f>
        <v>3.7459623080879994E-3</v>
      </c>
      <c r="N78" s="143"/>
      <c r="O78" s="143"/>
      <c r="P78" s="143"/>
      <c r="Q78" s="143"/>
      <c r="R78" s="143"/>
      <c r="S78" s="143"/>
      <c r="T78" s="143"/>
      <c r="U78" s="143"/>
      <c r="V78" s="143"/>
      <c r="W78" s="143"/>
      <c r="X78" s="143"/>
      <c r="Y78" s="143"/>
      <c r="Z78" s="143"/>
      <c r="AA78" s="143"/>
      <c r="AB78" s="143"/>
      <c r="AC78" s="143"/>
      <c r="AD78" s="143"/>
      <c r="AE78" s="143"/>
      <c r="AF78" s="143"/>
      <c r="AG78" s="143"/>
      <c r="AH78" s="143"/>
      <c r="AI78" s="143"/>
      <c r="AJ78" s="143"/>
      <c r="AK78" s="143"/>
      <c r="AL78" s="143"/>
      <c r="AM78" s="143"/>
    </row>
    <row r="79" spans="1:39" ht="12.75" customHeight="1" x14ac:dyDescent="0.25">
      <c r="A79" s="143"/>
      <c r="B79" s="151"/>
      <c r="C79" s="152"/>
      <c r="D79" s="222"/>
      <c r="E79" s="152" t="s">
        <v>439</v>
      </c>
      <c r="F79" s="161">
        <v>19230000</v>
      </c>
      <c r="G79" s="152" t="s">
        <v>437</v>
      </c>
      <c r="H79" s="174">
        <v>1055</v>
      </c>
      <c r="I79" s="152" t="s">
        <v>440</v>
      </c>
      <c r="J79" s="174">
        <f t="shared" si="20"/>
        <v>20287.650000000001</v>
      </c>
      <c r="K79" s="229">
        <f t="shared" si="21"/>
        <v>1289.8146011875981</v>
      </c>
      <c r="L79" s="221">
        <f>J79*Q60*0.001102</f>
        <v>2.2356990300000001E-2</v>
      </c>
      <c r="M79" s="241">
        <f>J79*R60*0.001102</f>
        <v>2.2356990300000002E-3</v>
      </c>
      <c r="N79" s="143"/>
      <c r="O79" s="143"/>
      <c r="P79" s="143"/>
      <c r="Q79" s="143"/>
      <c r="R79" s="143"/>
      <c r="S79" s="143"/>
      <c r="T79" s="143"/>
      <c r="U79" s="143"/>
      <c r="V79" s="143"/>
      <c r="W79" s="143"/>
      <c r="X79" s="143"/>
      <c r="Y79" s="143"/>
      <c r="Z79" s="143"/>
      <c r="AA79" s="143"/>
      <c r="AB79" s="143"/>
      <c r="AC79" s="143"/>
      <c r="AD79" s="143"/>
      <c r="AE79" s="143"/>
      <c r="AF79" s="143"/>
      <c r="AG79" s="143"/>
      <c r="AH79" s="143"/>
      <c r="AI79" s="143"/>
      <c r="AJ79" s="143"/>
      <c r="AK79" s="143"/>
      <c r="AL79" s="143"/>
      <c r="AM79" s="143"/>
    </row>
    <row r="80" spans="1:39" ht="12.75" customHeight="1" x14ac:dyDescent="0.25">
      <c r="A80" s="143"/>
      <c r="B80" s="151"/>
      <c r="C80" s="152"/>
      <c r="D80" s="222"/>
      <c r="E80" s="152"/>
      <c r="F80" s="153"/>
      <c r="G80" s="152"/>
      <c r="H80" s="174"/>
      <c r="I80" s="152"/>
      <c r="J80" s="243">
        <f>SUM(J78:J79)</f>
        <v>25953.049740000002</v>
      </c>
      <c r="K80" s="243">
        <v>1650</v>
      </c>
      <c r="L80" s="432">
        <f t="shared" ref="L80:M80" si="22">SUM(L78:L79)</f>
        <v>4.1086801840440001E-2</v>
      </c>
      <c r="M80" s="246">
        <f t="shared" si="22"/>
        <v>5.9816613380879995E-3</v>
      </c>
      <c r="N80" s="143"/>
      <c r="O80" s="143"/>
      <c r="P80" s="143"/>
      <c r="Q80" s="143"/>
      <c r="R80" s="143"/>
      <c r="S80" s="143"/>
      <c r="T80" s="143"/>
      <c r="U80" s="143"/>
      <c r="V80" s="143"/>
      <c r="W80" s="143"/>
      <c r="X80" s="143"/>
      <c r="Y80" s="143"/>
      <c r="Z80" s="143"/>
      <c r="AA80" s="143"/>
      <c r="AB80" s="143"/>
      <c r="AC80" s="143"/>
      <c r="AD80" s="143"/>
      <c r="AE80" s="143"/>
      <c r="AF80" s="143"/>
      <c r="AG80" s="143"/>
      <c r="AH80" s="143"/>
      <c r="AI80" s="143"/>
      <c r="AJ80" s="143"/>
      <c r="AK80" s="143"/>
      <c r="AL80" s="143"/>
      <c r="AM80" s="143"/>
    </row>
    <row r="81" spans="1:39" ht="12.75" customHeight="1" x14ac:dyDescent="0.25">
      <c r="A81" s="143"/>
      <c r="B81" s="151"/>
      <c r="C81" s="152"/>
      <c r="D81" s="222"/>
      <c r="E81" s="152"/>
      <c r="F81" s="153"/>
      <c r="G81" s="152"/>
      <c r="H81" s="174"/>
      <c r="I81" s="152"/>
      <c r="J81" s="229"/>
      <c r="K81" s="229"/>
      <c r="L81" s="266"/>
      <c r="M81" s="241"/>
      <c r="N81" s="143"/>
      <c r="O81" s="143"/>
      <c r="P81" s="143"/>
      <c r="Q81" s="143"/>
      <c r="R81" s="143"/>
      <c r="S81" s="143"/>
      <c r="T81" s="143"/>
      <c r="U81" s="143"/>
      <c r="V81" s="143"/>
      <c r="W81" s="143"/>
      <c r="X81" s="143"/>
      <c r="Y81" s="143"/>
      <c r="Z81" s="143"/>
      <c r="AA81" s="143"/>
      <c r="AB81" s="143"/>
      <c r="AC81" s="143"/>
      <c r="AD81" s="143"/>
      <c r="AE81" s="143"/>
      <c r="AF81" s="143"/>
      <c r="AG81" s="143"/>
      <c r="AH81" s="143"/>
      <c r="AI81" s="143"/>
      <c r="AJ81" s="143"/>
      <c r="AK81" s="143"/>
      <c r="AL81" s="143"/>
      <c r="AM81" s="143"/>
    </row>
    <row r="82" spans="1:39" ht="12.75" customHeight="1" x14ac:dyDescent="0.25">
      <c r="A82" s="143"/>
      <c r="B82" s="151"/>
      <c r="C82" s="152"/>
      <c r="D82" s="242" t="s">
        <v>244</v>
      </c>
      <c r="E82" s="420" t="s">
        <v>235</v>
      </c>
      <c r="F82" s="161">
        <v>96600</v>
      </c>
      <c r="G82" s="152" t="s">
        <v>225</v>
      </c>
      <c r="H82" s="174">
        <v>136253</v>
      </c>
      <c r="I82" s="152" t="s">
        <v>226</v>
      </c>
      <c r="J82" s="174">
        <f t="shared" ref="J82:J83" si="23">(F82*H82)/1000000</f>
        <v>13162.0398</v>
      </c>
      <c r="K82" s="229">
        <f t="shared" ref="K82:K83" si="24">(J82/(J$78+J$79))*K$80</f>
        <v>836.79436087729698</v>
      </c>
      <c r="L82" s="221">
        <f>J82*Q61*0.001102</f>
        <v>4.3513703578799995E-2</v>
      </c>
      <c r="M82" s="241">
        <f>J82*R61*0.001102</f>
        <v>8.7027407157599986E-3</v>
      </c>
      <c r="N82" s="143"/>
      <c r="O82" s="143"/>
      <c r="P82" s="143"/>
      <c r="Q82" s="143"/>
      <c r="R82" s="143"/>
      <c r="S82" s="143"/>
      <c r="T82" s="143"/>
      <c r="U82" s="143"/>
      <c r="V82" s="143"/>
      <c r="W82" s="143"/>
      <c r="X82" s="143"/>
      <c r="Y82" s="143"/>
      <c r="Z82" s="143"/>
      <c r="AA82" s="143"/>
      <c r="AB82" s="143"/>
      <c r="AC82" s="143"/>
      <c r="AD82" s="143"/>
      <c r="AE82" s="143"/>
      <c r="AF82" s="143"/>
      <c r="AG82" s="143"/>
      <c r="AH82" s="143"/>
      <c r="AI82" s="143"/>
      <c r="AJ82" s="143"/>
      <c r="AK82" s="143"/>
      <c r="AL82" s="143"/>
      <c r="AM82" s="143"/>
    </row>
    <row r="83" spans="1:39" ht="12.75" customHeight="1" x14ac:dyDescent="0.25">
      <c r="A83" s="143"/>
      <c r="B83" s="151"/>
      <c r="C83" s="152"/>
      <c r="D83" s="222"/>
      <c r="E83" s="152" t="s">
        <v>439</v>
      </c>
      <c r="F83" s="161">
        <v>20910000</v>
      </c>
      <c r="G83" s="152" t="s">
        <v>437</v>
      </c>
      <c r="H83" s="174">
        <v>1055</v>
      </c>
      <c r="I83" s="152" t="s">
        <v>440</v>
      </c>
      <c r="J83" s="174">
        <f t="shared" si="23"/>
        <v>22060.05</v>
      </c>
      <c r="K83" s="229">
        <f t="shared" si="24"/>
        <v>1402.4973120557813</v>
      </c>
      <c r="L83" s="221">
        <f>J83*Q60*0.001102</f>
        <v>2.4310175099999998E-2</v>
      </c>
      <c r="M83" s="241">
        <f>J83*R60*0.001102</f>
        <v>2.4310175099999999E-3</v>
      </c>
      <c r="N83" s="143"/>
      <c r="O83" s="143"/>
      <c r="P83" s="143"/>
      <c r="Q83" s="143"/>
      <c r="R83" s="143"/>
      <c r="S83" s="143"/>
      <c r="T83" s="143"/>
      <c r="U83" s="143"/>
      <c r="V83" s="143"/>
      <c r="W83" s="143"/>
      <c r="X83" s="143"/>
      <c r="Y83" s="143"/>
      <c r="Z83" s="143"/>
      <c r="AA83" s="143"/>
      <c r="AB83" s="143"/>
      <c r="AC83" s="143"/>
      <c r="AD83" s="143"/>
      <c r="AE83" s="143"/>
      <c r="AF83" s="143"/>
      <c r="AG83" s="143"/>
      <c r="AH83" s="143"/>
      <c r="AI83" s="143"/>
      <c r="AJ83" s="143"/>
      <c r="AK83" s="143"/>
      <c r="AL83" s="143"/>
      <c r="AM83" s="143"/>
    </row>
    <row r="84" spans="1:39" ht="12.75" customHeight="1" x14ac:dyDescent="0.25">
      <c r="A84" s="143"/>
      <c r="B84" s="151"/>
      <c r="C84" s="152"/>
      <c r="D84" s="222"/>
      <c r="E84" s="152"/>
      <c r="F84" s="153"/>
      <c r="G84" s="152"/>
      <c r="H84" s="174"/>
      <c r="I84" s="152"/>
      <c r="J84" s="243">
        <f>SUM(J82:J83)</f>
        <v>35222.089800000002</v>
      </c>
      <c r="K84" s="243">
        <v>2067.6999999999998</v>
      </c>
      <c r="L84" s="432">
        <f t="shared" ref="L84:M84" si="25">SUM(L82:L83)</f>
        <v>6.7823878678799993E-2</v>
      </c>
      <c r="M84" s="246">
        <f t="shared" si="25"/>
        <v>1.1133758225759998E-2</v>
      </c>
      <c r="N84" s="143"/>
      <c r="O84" s="143"/>
      <c r="P84" s="143"/>
      <c r="Q84" s="143"/>
      <c r="R84" s="143"/>
      <c r="S84" s="143"/>
      <c r="T84" s="143"/>
      <c r="U84" s="143"/>
      <c r="V84" s="143"/>
      <c r="W84" s="143"/>
      <c r="X84" s="143"/>
      <c r="Y84" s="143"/>
      <c r="Z84" s="143"/>
      <c r="AA84" s="143"/>
      <c r="AB84" s="143"/>
      <c r="AC84" s="143"/>
      <c r="AD84" s="143"/>
      <c r="AE84" s="143"/>
      <c r="AF84" s="143"/>
      <c r="AG84" s="143"/>
      <c r="AH84" s="143"/>
      <c r="AI84" s="143"/>
      <c r="AJ84" s="143"/>
      <c r="AK84" s="143"/>
      <c r="AL84" s="143"/>
      <c r="AM84" s="143"/>
    </row>
    <row r="85" spans="1:39" ht="12.75" customHeight="1" x14ac:dyDescent="0.25">
      <c r="A85" s="143"/>
      <c r="B85" s="151"/>
      <c r="C85" s="152"/>
      <c r="D85" s="222"/>
      <c r="E85" s="152"/>
      <c r="F85" s="174"/>
      <c r="G85" s="152"/>
      <c r="H85" s="174"/>
      <c r="I85" s="152"/>
      <c r="J85" s="229"/>
      <c r="K85" s="229"/>
      <c r="L85" s="266"/>
      <c r="M85" s="241"/>
      <c r="N85" s="143"/>
      <c r="O85" s="143"/>
      <c r="P85" s="143"/>
      <c r="Q85" s="143"/>
      <c r="R85" s="143"/>
      <c r="S85" s="143"/>
      <c r="T85" s="143"/>
      <c r="U85" s="143"/>
      <c r="V85" s="143"/>
      <c r="W85" s="143"/>
      <c r="X85" s="143"/>
      <c r="Y85" s="143"/>
      <c r="Z85" s="143"/>
      <c r="AA85" s="143"/>
      <c r="AB85" s="143"/>
      <c r="AC85" s="143"/>
      <c r="AD85" s="143"/>
      <c r="AE85" s="143"/>
      <c r="AF85" s="143"/>
      <c r="AG85" s="143"/>
      <c r="AH85" s="143"/>
      <c r="AI85" s="143"/>
      <c r="AJ85" s="143"/>
      <c r="AK85" s="143"/>
      <c r="AL85" s="143"/>
      <c r="AM85" s="143"/>
    </row>
    <row r="86" spans="1:39" ht="12.75" customHeight="1" x14ac:dyDescent="0.25">
      <c r="A86" s="143"/>
      <c r="B86" s="151"/>
      <c r="C86" s="152" t="s">
        <v>245</v>
      </c>
      <c r="D86" s="242" t="s">
        <v>246</v>
      </c>
      <c r="E86" s="420" t="s">
        <v>235</v>
      </c>
      <c r="F86" s="161">
        <v>160020</v>
      </c>
      <c r="G86" s="152" t="s">
        <v>225</v>
      </c>
      <c r="H86" s="174">
        <v>136253</v>
      </c>
      <c r="I86" s="152" t="s">
        <v>226</v>
      </c>
      <c r="J86" s="174">
        <f t="shared" ref="J86:J87" si="26">(F86*H86)/1000000</f>
        <v>21803.20506</v>
      </c>
      <c r="K86" s="229">
        <f t="shared" ref="K86:K87" si="27">(J86/(J$86+J$87))*K$88</f>
        <v>1568.3508148595783</v>
      </c>
      <c r="L86" s="221">
        <f>J86*Q61*0.001102</f>
        <v>7.2081395928359993E-2</v>
      </c>
      <c r="M86" s="241">
        <f>J86*R61*0.001102</f>
        <v>1.4416279185671997E-2</v>
      </c>
      <c r="N86" s="143"/>
      <c r="O86" s="143"/>
      <c r="P86" s="143"/>
      <c r="Q86" s="143"/>
      <c r="R86" s="143"/>
      <c r="S86" s="143"/>
      <c r="T86" s="143"/>
      <c r="U86" s="143"/>
      <c r="V86" s="143"/>
      <c r="W86" s="143"/>
      <c r="X86" s="143"/>
      <c r="Y86" s="143"/>
      <c r="Z86" s="143"/>
      <c r="AA86" s="143"/>
      <c r="AB86" s="143"/>
      <c r="AC86" s="143"/>
      <c r="AD86" s="143"/>
      <c r="AE86" s="143"/>
      <c r="AF86" s="143"/>
      <c r="AG86" s="143"/>
      <c r="AH86" s="143"/>
      <c r="AI86" s="143"/>
      <c r="AJ86" s="143"/>
      <c r="AK86" s="143"/>
      <c r="AL86" s="143"/>
      <c r="AM86" s="143"/>
    </row>
    <row r="87" spans="1:39" ht="12.75" customHeight="1" x14ac:dyDescent="0.25">
      <c r="A87" s="143"/>
      <c r="B87" s="151"/>
      <c r="C87" s="152"/>
      <c r="D87" s="152"/>
      <c r="E87" s="152" t="s">
        <v>439</v>
      </c>
      <c r="F87" s="161">
        <v>14970000</v>
      </c>
      <c r="G87" s="152" t="s">
        <v>437</v>
      </c>
      <c r="H87" s="174">
        <v>1055</v>
      </c>
      <c r="I87" s="152" t="s">
        <v>440</v>
      </c>
      <c r="J87" s="174">
        <f t="shared" si="26"/>
        <v>15793.35</v>
      </c>
      <c r="K87" s="229">
        <f t="shared" si="27"/>
        <v>1136.0491851404217</v>
      </c>
      <c r="L87" s="221">
        <f t="shared" ref="L87:M87" si="28">J87*Q60*0.001102</f>
        <v>1.7404271699999998E-2</v>
      </c>
      <c r="M87" s="241">
        <f t="shared" si="28"/>
        <v>1.2519262020247446E-4</v>
      </c>
      <c r="N87" s="143"/>
      <c r="O87" s="143"/>
      <c r="P87" s="143"/>
      <c r="Q87" s="143"/>
      <c r="R87" s="143"/>
      <c r="S87" s="143"/>
      <c r="T87" s="143"/>
      <c r="U87" s="143"/>
      <c r="V87" s="143"/>
      <c r="W87" s="143"/>
      <c r="X87" s="143"/>
      <c r="Y87" s="143"/>
      <c r="Z87" s="143"/>
      <c r="AA87" s="143"/>
      <c r="AB87" s="143"/>
      <c r="AC87" s="143"/>
      <c r="AD87" s="143"/>
      <c r="AE87" s="143"/>
      <c r="AF87" s="143"/>
      <c r="AG87" s="143"/>
      <c r="AH87" s="143"/>
      <c r="AI87" s="143"/>
      <c r="AJ87" s="143"/>
      <c r="AK87" s="143"/>
      <c r="AL87" s="143"/>
      <c r="AM87" s="143"/>
    </row>
    <row r="88" spans="1:39" ht="12.75" customHeight="1" x14ac:dyDescent="0.25">
      <c r="A88" s="143"/>
      <c r="B88" s="151"/>
      <c r="C88" s="152"/>
      <c r="D88" s="222"/>
      <c r="E88" s="152"/>
      <c r="F88" s="174"/>
      <c r="G88" s="152"/>
      <c r="H88" s="174"/>
      <c r="I88" s="152"/>
      <c r="J88" s="243">
        <f>SUM(J86:J87)</f>
        <v>37596.555059999999</v>
      </c>
      <c r="K88" s="243">
        <v>2704.4</v>
      </c>
      <c r="L88" s="432">
        <f t="shared" ref="L88:M88" si="29">SUM(L86:L87)</f>
        <v>8.9485667628359994E-2</v>
      </c>
      <c r="M88" s="246">
        <f t="shared" si="29"/>
        <v>1.4541471805874472E-2</v>
      </c>
      <c r="N88" s="143"/>
      <c r="O88" s="143"/>
      <c r="P88" s="143"/>
      <c r="Q88" s="143"/>
      <c r="R88" s="143"/>
      <c r="S88" s="143"/>
      <c r="T88" s="143"/>
      <c r="U88" s="143"/>
      <c r="V88" s="143"/>
      <c r="W88" s="143"/>
      <c r="X88" s="143"/>
      <c r="Y88" s="143"/>
      <c r="Z88" s="143"/>
      <c r="AA88" s="143"/>
      <c r="AB88" s="143"/>
      <c r="AC88" s="143"/>
      <c r="AD88" s="143"/>
      <c r="AE88" s="143"/>
      <c r="AF88" s="143"/>
      <c r="AG88" s="143"/>
      <c r="AH88" s="143"/>
      <c r="AI88" s="143"/>
      <c r="AJ88" s="143"/>
      <c r="AK88" s="143"/>
      <c r="AL88" s="143"/>
      <c r="AM88" s="143"/>
    </row>
    <row r="89" spans="1:39" ht="12.75" customHeight="1" x14ac:dyDescent="0.25">
      <c r="A89" s="143"/>
      <c r="B89" s="151"/>
      <c r="C89" s="152"/>
      <c r="D89" s="222"/>
      <c r="E89" s="152"/>
      <c r="F89" s="174"/>
      <c r="G89" s="152"/>
      <c r="H89" s="174"/>
      <c r="I89" s="152"/>
      <c r="J89" s="229"/>
      <c r="K89" s="174"/>
      <c r="L89" s="221"/>
      <c r="M89" s="241"/>
      <c r="N89" s="143"/>
      <c r="O89" s="143"/>
      <c r="P89" s="143"/>
      <c r="Q89" s="143"/>
      <c r="R89" s="143"/>
      <c r="S89" s="143"/>
      <c r="T89" s="143"/>
      <c r="U89" s="143"/>
      <c r="V89" s="143"/>
      <c r="W89" s="143"/>
      <c r="X89" s="143"/>
      <c r="Y89" s="143"/>
      <c r="Z89" s="143"/>
      <c r="AA89" s="143"/>
      <c r="AB89" s="143"/>
      <c r="AC89" s="143"/>
      <c r="AD89" s="143"/>
      <c r="AE89" s="143"/>
      <c r="AF89" s="143"/>
      <c r="AG89" s="143"/>
      <c r="AH89" s="143"/>
      <c r="AI89" s="143"/>
      <c r="AJ89" s="143"/>
      <c r="AK89" s="143"/>
      <c r="AL89" s="143"/>
      <c r="AM89" s="143"/>
    </row>
    <row r="90" spans="1:39" ht="12.75" customHeight="1" x14ac:dyDescent="0.25">
      <c r="A90" s="143"/>
      <c r="B90" s="151"/>
      <c r="C90" s="152" t="s">
        <v>247</v>
      </c>
      <c r="D90" s="222" t="s">
        <v>248</v>
      </c>
      <c r="E90" s="420" t="s">
        <v>235</v>
      </c>
      <c r="F90" s="161">
        <v>179427</v>
      </c>
      <c r="G90" s="152" t="s">
        <v>225</v>
      </c>
      <c r="H90" s="174">
        <v>136253</v>
      </c>
      <c r="I90" s="152" t="s">
        <v>226</v>
      </c>
      <c r="J90" s="229">
        <f t="shared" ref="J90:J92" si="30">(F90*H90)/1000000</f>
        <v>24447.467031</v>
      </c>
      <c r="K90" s="243">
        <v>1993.1</v>
      </c>
      <c r="L90" s="247">
        <v>0.08</v>
      </c>
      <c r="M90" s="244">
        <v>0.02</v>
      </c>
      <c r="N90" s="143"/>
      <c r="O90" s="143"/>
      <c r="P90" s="143"/>
      <c r="Q90" s="143"/>
      <c r="R90" s="143"/>
      <c r="S90" s="143"/>
      <c r="T90" s="143"/>
      <c r="U90" s="143"/>
      <c r="V90" s="143"/>
      <c r="W90" s="143"/>
      <c r="X90" s="143"/>
      <c r="Y90" s="143"/>
      <c r="Z90" s="143"/>
      <c r="AA90" s="143"/>
      <c r="AB90" s="143"/>
      <c r="AC90" s="143"/>
      <c r="AD90" s="143"/>
      <c r="AE90" s="143"/>
      <c r="AF90" s="143"/>
      <c r="AG90" s="143"/>
      <c r="AH90" s="143"/>
      <c r="AI90" s="143"/>
      <c r="AJ90" s="143"/>
      <c r="AK90" s="143"/>
      <c r="AL90" s="143"/>
      <c r="AM90" s="143"/>
    </row>
    <row r="91" spans="1:39" ht="12.75" customHeight="1" x14ac:dyDescent="0.25">
      <c r="A91" s="143"/>
      <c r="B91" s="151"/>
      <c r="C91" s="152" t="s">
        <v>249</v>
      </c>
      <c r="D91" s="222" t="s">
        <v>250</v>
      </c>
      <c r="E91" s="420" t="s">
        <v>235</v>
      </c>
      <c r="F91" s="161">
        <v>220792</v>
      </c>
      <c r="G91" s="152" t="s">
        <v>225</v>
      </c>
      <c r="H91" s="174">
        <v>136253</v>
      </c>
      <c r="I91" s="152" t="s">
        <v>226</v>
      </c>
      <c r="J91" s="229">
        <f t="shared" si="30"/>
        <v>30083.572376</v>
      </c>
      <c r="K91" s="243">
        <v>2452.6</v>
      </c>
      <c r="L91" s="247">
        <v>0.1</v>
      </c>
      <c r="M91" s="244">
        <v>0.02</v>
      </c>
      <c r="N91" s="143"/>
      <c r="O91" s="143"/>
      <c r="P91" s="143"/>
      <c r="Q91" s="143"/>
      <c r="R91" s="143"/>
      <c r="S91" s="143"/>
      <c r="T91" s="143"/>
      <c r="U91" s="143"/>
      <c r="V91" s="143"/>
      <c r="W91" s="143"/>
      <c r="X91" s="143"/>
      <c r="Y91" s="143"/>
      <c r="Z91" s="143"/>
      <c r="AA91" s="143"/>
      <c r="AB91" s="143"/>
      <c r="AC91" s="143"/>
      <c r="AD91" s="143"/>
      <c r="AE91" s="143"/>
      <c r="AF91" s="143"/>
      <c r="AG91" s="143"/>
      <c r="AH91" s="143"/>
      <c r="AI91" s="143"/>
      <c r="AJ91" s="143"/>
      <c r="AK91" s="143"/>
      <c r="AL91" s="143"/>
      <c r="AM91" s="143"/>
    </row>
    <row r="92" spans="1:39" ht="12.75" customHeight="1" x14ac:dyDescent="0.25">
      <c r="A92" s="143"/>
      <c r="B92" s="151"/>
      <c r="C92" s="152" t="s">
        <v>251</v>
      </c>
      <c r="D92" s="222" t="s">
        <v>252</v>
      </c>
      <c r="E92" s="420" t="s">
        <v>235</v>
      </c>
      <c r="F92" s="161">
        <v>125087</v>
      </c>
      <c r="G92" s="152" t="s">
        <v>225</v>
      </c>
      <c r="H92" s="174">
        <v>136253</v>
      </c>
      <c r="I92" s="152" t="s">
        <v>226</v>
      </c>
      <c r="J92" s="229">
        <f t="shared" si="30"/>
        <v>17043.479010999999</v>
      </c>
      <c r="K92" s="243">
        <v>1389.49</v>
      </c>
      <c r="L92" s="247">
        <v>0.06</v>
      </c>
      <c r="M92" s="244">
        <v>0.01</v>
      </c>
      <c r="N92" s="143"/>
      <c r="O92" s="143"/>
      <c r="P92" s="143"/>
      <c r="Q92" s="143"/>
      <c r="R92" s="143"/>
      <c r="S92" s="143"/>
      <c r="T92" s="143"/>
      <c r="U92" s="143"/>
      <c r="V92" s="143"/>
      <c r="W92" s="143"/>
      <c r="X92" s="143"/>
      <c r="Y92" s="143"/>
      <c r="Z92" s="143"/>
      <c r="AA92" s="143"/>
      <c r="AB92" s="143"/>
      <c r="AC92" s="143"/>
      <c r="AD92" s="143"/>
      <c r="AE92" s="143"/>
      <c r="AF92" s="143"/>
      <c r="AG92" s="143"/>
      <c r="AH92" s="143"/>
      <c r="AI92" s="143"/>
      <c r="AJ92" s="143"/>
      <c r="AK92" s="143"/>
      <c r="AL92" s="143"/>
      <c r="AM92" s="143"/>
    </row>
    <row r="93" spans="1:39" ht="12.75" customHeight="1" x14ac:dyDescent="0.25">
      <c r="A93" s="143"/>
      <c r="B93" s="151"/>
      <c r="C93" s="152"/>
      <c r="D93" s="152"/>
      <c r="E93" s="152"/>
      <c r="F93" s="174"/>
      <c r="G93" s="152"/>
      <c r="H93" s="174"/>
      <c r="I93" s="152"/>
      <c r="J93" s="174"/>
      <c r="K93" s="174"/>
      <c r="L93" s="221"/>
      <c r="M93" s="154"/>
      <c r="N93" s="143"/>
      <c r="O93" s="143"/>
      <c r="P93" s="143"/>
      <c r="Q93" s="143"/>
      <c r="R93" s="143"/>
      <c r="S93" s="143"/>
      <c r="T93" s="143"/>
      <c r="U93" s="143"/>
      <c r="V93" s="143"/>
      <c r="W93" s="143"/>
      <c r="X93" s="143"/>
      <c r="Y93" s="143"/>
      <c r="Z93" s="143"/>
      <c r="AA93" s="143"/>
      <c r="AB93" s="143"/>
      <c r="AC93" s="143"/>
      <c r="AD93" s="143"/>
      <c r="AE93" s="143"/>
      <c r="AF93" s="143"/>
      <c r="AG93" s="143"/>
      <c r="AH93" s="143"/>
      <c r="AI93" s="143"/>
      <c r="AJ93" s="143"/>
      <c r="AK93" s="143"/>
      <c r="AL93" s="143"/>
      <c r="AM93" s="143"/>
    </row>
    <row r="94" spans="1:39" ht="12.75" customHeight="1" x14ac:dyDescent="0.25">
      <c r="A94" s="143"/>
      <c r="B94" s="155"/>
      <c r="C94" s="190"/>
      <c r="D94" s="190"/>
      <c r="E94" s="190"/>
      <c r="F94" s="158"/>
      <c r="G94" s="190"/>
      <c r="H94" s="158"/>
      <c r="I94" s="190"/>
      <c r="J94" s="158"/>
      <c r="K94" s="158"/>
      <c r="L94" s="238"/>
      <c r="M94" s="208"/>
      <c r="N94" s="143"/>
      <c r="O94" s="143"/>
      <c r="P94" s="143"/>
      <c r="Q94" s="143"/>
      <c r="R94" s="143"/>
      <c r="S94" s="143"/>
      <c r="T94" s="143"/>
      <c r="U94" s="143"/>
      <c r="V94" s="143"/>
      <c r="W94" s="143"/>
      <c r="X94" s="143"/>
      <c r="Y94" s="143"/>
      <c r="Z94" s="143"/>
      <c r="AA94" s="143"/>
      <c r="AB94" s="143"/>
      <c r="AC94" s="143"/>
      <c r="AD94" s="143"/>
      <c r="AE94" s="143"/>
      <c r="AF94" s="143"/>
      <c r="AG94" s="143"/>
      <c r="AH94" s="143"/>
      <c r="AI94" s="143"/>
      <c r="AJ94" s="143"/>
      <c r="AK94" s="143"/>
      <c r="AL94" s="143"/>
      <c r="AM94" s="143"/>
    </row>
    <row r="95" spans="1:39" ht="12.75" customHeight="1" x14ac:dyDescent="0.25">
      <c r="A95" s="143"/>
      <c r="B95" s="151" t="s">
        <v>253</v>
      </c>
      <c r="C95" s="301" t="s">
        <v>254</v>
      </c>
      <c r="D95" s="152"/>
      <c r="E95" s="152"/>
      <c r="F95" s="174"/>
      <c r="G95" s="152"/>
      <c r="H95" s="174"/>
      <c r="I95" s="152"/>
      <c r="J95" s="174"/>
      <c r="K95" s="174"/>
      <c r="L95" s="221"/>
      <c r="M95" s="154"/>
      <c r="N95" s="143"/>
      <c r="O95" s="143"/>
      <c r="P95" s="143"/>
      <c r="Q95" s="143"/>
      <c r="R95" s="143"/>
      <c r="S95" s="143"/>
      <c r="T95" s="143"/>
      <c r="U95" s="143"/>
      <c r="V95" s="143"/>
      <c r="W95" s="143"/>
      <c r="X95" s="143"/>
      <c r="Y95" s="143"/>
      <c r="Z95" s="143"/>
      <c r="AA95" s="143"/>
      <c r="AB95" s="143"/>
      <c r="AC95" s="143"/>
      <c r="AD95" s="143"/>
      <c r="AE95" s="143"/>
      <c r="AF95" s="143"/>
      <c r="AG95" s="143"/>
      <c r="AH95" s="143"/>
      <c r="AI95" s="143"/>
      <c r="AJ95" s="143"/>
      <c r="AK95" s="143"/>
      <c r="AL95" s="143"/>
      <c r="AM95" s="143"/>
    </row>
    <row r="96" spans="1:39" ht="12.75" customHeight="1" x14ac:dyDescent="0.25">
      <c r="A96" s="143"/>
      <c r="B96" s="151"/>
      <c r="C96" s="152" t="s">
        <v>255</v>
      </c>
      <c r="D96" s="152" t="s">
        <v>256</v>
      </c>
      <c r="E96" s="152" t="s">
        <v>439</v>
      </c>
      <c r="F96" s="161">
        <f>3200000</f>
        <v>3200000</v>
      </c>
      <c r="G96" s="152" t="s">
        <v>437</v>
      </c>
      <c r="H96" s="161">
        <v>1055</v>
      </c>
      <c r="I96" s="152" t="s">
        <v>438</v>
      </c>
      <c r="J96" s="174">
        <f>(F96*H96)/1000</f>
        <v>3376000</v>
      </c>
      <c r="K96" s="153">
        <f t="shared" ref="K96:K97" si="31">+J96/(J$96+J$97)*K$98</f>
        <v>386.74432899009236</v>
      </c>
      <c r="L96" s="224">
        <f t="shared" ref="L96:L97" si="32">J96*Q60*0.001102</f>
        <v>3.7203519999999997</v>
      </c>
      <c r="M96" s="248">
        <f t="shared" ref="M96:M97" si="33">J96*R60*0.001102</f>
        <v>0.37203520000000001</v>
      </c>
      <c r="N96" s="143"/>
      <c r="O96" s="143"/>
      <c r="P96" s="143"/>
      <c r="Q96" s="143"/>
      <c r="R96" s="143"/>
      <c r="S96" s="143"/>
      <c r="T96" s="143"/>
      <c r="U96" s="143"/>
      <c r="V96" s="143"/>
      <c r="W96" s="143"/>
      <c r="X96" s="143"/>
      <c r="Y96" s="143"/>
      <c r="Z96" s="143"/>
      <c r="AA96" s="143"/>
      <c r="AB96" s="143"/>
      <c r="AC96" s="143"/>
      <c r="AD96" s="143"/>
      <c r="AE96" s="143"/>
      <c r="AF96" s="143"/>
      <c r="AG96" s="143"/>
      <c r="AH96" s="143"/>
      <c r="AI96" s="143"/>
      <c r="AJ96" s="143"/>
      <c r="AK96" s="143"/>
      <c r="AL96" s="143"/>
      <c r="AM96" s="143"/>
    </row>
    <row r="97" spans="1:39" ht="12.75" customHeight="1" x14ac:dyDescent="0.25">
      <c r="A97" s="143"/>
      <c r="B97" s="151"/>
      <c r="C97" s="152"/>
      <c r="D97" s="152"/>
      <c r="E97" s="420" t="s">
        <v>235</v>
      </c>
      <c r="F97" s="161">
        <f>16380</f>
        <v>16380</v>
      </c>
      <c r="G97" s="152" t="s">
        <v>225</v>
      </c>
      <c r="H97" s="161">
        <v>136253</v>
      </c>
      <c r="I97" s="152" t="s">
        <v>226</v>
      </c>
      <c r="J97" s="174">
        <f>(F97*H97)/1000000</f>
        <v>2231.8241400000002</v>
      </c>
      <c r="K97" s="153">
        <f t="shared" si="31"/>
        <v>0.25567100990763919</v>
      </c>
      <c r="L97" s="224">
        <f t="shared" si="32"/>
        <v>7.3784106068400003E-3</v>
      </c>
      <c r="M97" s="248">
        <f t="shared" si="33"/>
        <v>1.4756821213679999E-3</v>
      </c>
      <c r="N97" s="143"/>
      <c r="O97" s="143"/>
      <c r="P97" s="143"/>
      <c r="Q97" s="143"/>
      <c r="R97" s="143"/>
      <c r="S97" s="143"/>
      <c r="T97" s="143"/>
      <c r="U97" s="143"/>
      <c r="V97" s="143"/>
      <c r="W97" s="143"/>
      <c r="X97" s="143"/>
      <c r="Y97" s="143"/>
      <c r="Z97" s="143"/>
      <c r="AA97" s="143"/>
      <c r="AB97" s="143"/>
      <c r="AC97" s="143"/>
      <c r="AD97" s="143"/>
      <c r="AE97" s="143"/>
      <c r="AF97" s="143"/>
      <c r="AG97" s="143"/>
      <c r="AH97" s="143"/>
      <c r="AI97" s="143"/>
      <c r="AJ97" s="143"/>
      <c r="AK97" s="143"/>
      <c r="AL97" s="143"/>
      <c r="AM97" s="143"/>
    </row>
    <row r="98" spans="1:39" ht="12.75" customHeight="1" x14ac:dyDescent="0.25">
      <c r="A98" s="143"/>
      <c r="B98" s="151"/>
      <c r="C98" s="152"/>
      <c r="D98" s="152"/>
      <c r="E98" s="152"/>
      <c r="F98" s="153"/>
      <c r="G98" s="152"/>
      <c r="H98" s="174"/>
      <c r="I98" s="152"/>
      <c r="J98" s="229">
        <f>SUM(J96:J97)</f>
        <v>3378231.8241400002</v>
      </c>
      <c r="K98" s="243">
        <v>387</v>
      </c>
      <c r="L98" s="432">
        <f t="shared" ref="L98:M98" si="34">SUM(L96:L97)</f>
        <v>3.7277304106068399</v>
      </c>
      <c r="M98" s="246">
        <f t="shared" si="34"/>
        <v>0.37351088212136802</v>
      </c>
      <c r="N98" s="143"/>
      <c r="O98" s="143"/>
      <c r="P98" s="143"/>
      <c r="Q98" s="143"/>
      <c r="R98" s="143"/>
      <c r="S98" s="143"/>
      <c r="T98" s="143"/>
      <c r="U98" s="143"/>
      <c r="V98" s="143"/>
      <c r="W98" s="143"/>
      <c r="X98" s="143"/>
      <c r="Y98" s="143"/>
      <c r="Z98" s="143"/>
      <c r="AA98" s="143"/>
      <c r="AB98" s="143"/>
      <c r="AC98" s="143"/>
      <c r="AD98" s="143"/>
      <c r="AE98" s="143"/>
      <c r="AF98" s="143"/>
      <c r="AG98" s="143"/>
      <c r="AH98" s="143"/>
      <c r="AI98" s="143"/>
      <c r="AJ98" s="143"/>
      <c r="AK98" s="143"/>
      <c r="AL98" s="143"/>
      <c r="AM98" s="143"/>
    </row>
    <row r="99" spans="1:39" ht="12.75" customHeight="1" x14ac:dyDescent="0.25">
      <c r="A99" s="143"/>
      <c r="B99" s="151"/>
      <c r="C99" s="152"/>
      <c r="D99" s="152"/>
      <c r="E99" s="152"/>
      <c r="F99" s="153"/>
      <c r="G99" s="152"/>
      <c r="H99" s="174"/>
      <c r="I99" s="152"/>
      <c r="J99" s="152"/>
      <c r="K99" s="152"/>
      <c r="L99" s="152"/>
      <c r="M99" s="154"/>
      <c r="N99" s="143"/>
      <c r="O99" s="143"/>
      <c r="P99" s="143"/>
      <c r="Q99" s="143"/>
      <c r="R99" s="143"/>
      <c r="S99" s="143"/>
      <c r="T99" s="143"/>
      <c r="U99" s="143"/>
      <c r="V99" s="143"/>
      <c r="W99" s="143"/>
      <c r="X99" s="143"/>
      <c r="Y99" s="143"/>
      <c r="Z99" s="143"/>
      <c r="AA99" s="143"/>
      <c r="AB99" s="143"/>
      <c r="AC99" s="143"/>
      <c r="AD99" s="143"/>
      <c r="AE99" s="143"/>
      <c r="AF99" s="143"/>
      <c r="AG99" s="143"/>
      <c r="AH99" s="143"/>
      <c r="AI99" s="143"/>
      <c r="AJ99" s="143"/>
      <c r="AK99" s="143"/>
      <c r="AL99" s="143"/>
      <c r="AM99" s="143"/>
    </row>
    <row r="100" spans="1:39" ht="12.75" customHeight="1" x14ac:dyDescent="0.25">
      <c r="A100" s="143"/>
      <c r="B100" s="155"/>
      <c r="C100" s="190"/>
      <c r="D100" s="190"/>
      <c r="E100" s="190"/>
      <c r="F100" s="191"/>
      <c r="G100" s="190"/>
      <c r="H100" s="158"/>
      <c r="I100" s="190"/>
      <c r="J100" s="190"/>
      <c r="K100" s="190"/>
      <c r="L100" s="190"/>
      <c r="M100" s="208"/>
      <c r="N100" s="143"/>
      <c r="O100" s="143"/>
      <c r="P100" s="143"/>
      <c r="Q100" s="143"/>
      <c r="R100" s="143"/>
      <c r="S100" s="143"/>
      <c r="T100" s="143"/>
      <c r="U100" s="143"/>
      <c r="V100" s="143"/>
      <c r="W100" s="143"/>
      <c r="X100" s="143"/>
      <c r="Y100" s="143"/>
      <c r="Z100" s="143"/>
      <c r="AA100" s="143"/>
      <c r="AB100" s="143"/>
      <c r="AC100" s="143"/>
      <c r="AD100" s="143"/>
      <c r="AE100" s="143"/>
      <c r="AF100" s="143"/>
      <c r="AG100" s="143"/>
      <c r="AH100" s="143"/>
      <c r="AI100" s="143"/>
      <c r="AJ100" s="143"/>
      <c r="AK100" s="143"/>
      <c r="AL100" s="143"/>
      <c r="AM100" s="143"/>
    </row>
    <row r="101" spans="1:39" ht="12.75" customHeight="1" x14ac:dyDescent="0.25">
      <c r="A101" s="143"/>
      <c r="B101" s="151" t="s">
        <v>203</v>
      </c>
      <c r="C101" s="301" t="s">
        <v>204</v>
      </c>
      <c r="D101" s="152"/>
      <c r="E101" s="152"/>
      <c r="F101" s="174"/>
      <c r="G101" s="152"/>
      <c r="H101" s="174"/>
      <c r="I101" s="152"/>
      <c r="J101" s="174"/>
      <c r="K101" s="174"/>
      <c r="L101" s="221"/>
      <c r="M101" s="154"/>
      <c r="N101" s="143"/>
      <c r="O101" s="301" t="s">
        <v>554</v>
      </c>
      <c r="P101" s="143"/>
      <c r="Q101" s="143"/>
      <c r="R101" s="143"/>
      <c r="S101" s="143"/>
      <c r="T101" s="143"/>
      <c r="U101" s="143"/>
      <c r="V101" s="143"/>
      <c r="W101" s="143"/>
      <c r="X101" s="143"/>
      <c r="Y101" s="143"/>
      <c r="Z101" s="143"/>
      <c r="AA101" s="143"/>
      <c r="AB101" s="143"/>
      <c r="AC101" s="143"/>
      <c r="AD101" s="143"/>
      <c r="AE101" s="143"/>
      <c r="AF101" s="143"/>
      <c r="AG101" s="143"/>
      <c r="AH101" s="143"/>
      <c r="AI101" s="143"/>
      <c r="AJ101" s="143"/>
      <c r="AK101" s="143"/>
      <c r="AL101" s="143"/>
      <c r="AM101" s="143"/>
    </row>
    <row r="102" spans="1:39" ht="12.75" customHeight="1" x14ac:dyDescent="0.25">
      <c r="A102" s="143"/>
      <c r="B102" s="151"/>
      <c r="C102" s="152" t="s">
        <v>405</v>
      </c>
      <c r="D102" s="152" t="s">
        <v>193</v>
      </c>
      <c r="E102" s="152" t="s">
        <v>439</v>
      </c>
      <c r="F102" s="161">
        <f>235570000</f>
        <v>235570000</v>
      </c>
      <c r="G102" s="152" t="s">
        <v>437</v>
      </c>
      <c r="H102" s="251">
        <v>1.083</v>
      </c>
      <c r="I102" s="152" t="s">
        <v>443</v>
      </c>
      <c r="J102" s="153">
        <f>(F102*H102)/1000</f>
        <v>255122.31</v>
      </c>
      <c r="K102" s="225">
        <f>(+J102/(J102+J103))*K104</f>
        <v>14453</v>
      </c>
      <c r="L102" s="316">
        <v>0.27400000000000002</v>
      </c>
      <c r="M102" s="227">
        <v>2.7E-2</v>
      </c>
      <c r="N102" s="143"/>
      <c r="O102" s="143" t="s">
        <v>4</v>
      </c>
      <c r="P102" s="143" t="s">
        <v>555</v>
      </c>
      <c r="Q102" s="143"/>
      <c r="R102" s="143"/>
      <c r="S102" s="143"/>
      <c r="T102" s="143"/>
      <c r="U102" s="143"/>
      <c r="V102" s="143"/>
      <c r="W102" s="143"/>
      <c r="X102" s="143"/>
      <c r="Y102" s="143"/>
      <c r="Z102" s="143"/>
      <c r="AA102" s="143"/>
      <c r="AB102" s="143"/>
      <c r="AC102" s="143"/>
      <c r="AD102" s="143"/>
      <c r="AE102" s="143"/>
      <c r="AF102" s="143"/>
      <c r="AG102" s="143"/>
      <c r="AH102" s="143"/>
      <c r="AI102" s="143"/>
      <c r="AJ102" s="143"/>
      <c r="AK102" s="143"/>
      <c r="AL102" s="143"/>
      <c r="AM102" s="143"/>
    </row>
    <row r="103" spans="1:39" ht="12.75" customHeight="1" x14ac:dyDescent="0.25">
      <c r="A103" s="143"/>
      <c r="B103" s="151"/>
      <c r="C103" s="152"/>
      <c r="D103" s="152" t="s">
        <v>193</v>
      </c>
      <c r="E103" s="152" t="s">
        <v>406</v>
      </c>
      <c r="F103" s="302">
        <v>0</v>
      </c>
      <c r="G103" s="152" t="s">
        <v>225</v>
      </c>
      <c r="H103" s="251">
        <v>0.152</v>
      </c>
      <c r="I103" s="152" t="s">
        <v>260</v>
      </c>
      <c r="J103" s="302">
        <f>F103*H103</f>
        <v>0</v>
      </c>
      <c r="K103" s="213">
        <f>(+J103/(J103+J104))*K104</f>
        <v>0</v>
      </c>
      <c r="L103" s="303">
        <v>0</v>
      </c>
      <c r="M103" s="227">
        <v>0</v>
      </c>
      <c r="N103" s="143"/>
      <c r="O103" s="143"/>
      <c r="P103" s="143"/>
      <c r="Q103" s="143"/>
      <c r="R103" s="143"/>
      <c r="S103" s="143"/>
      <c r="T103" s="143"/>
      <c r="U103" s="143"/>
      <c r="V103" s="143"/>
      <c r="W103" s="143"/>
      <c r="X103" s="143"/>
      <c r="Y103" s="143"/>
      <c r="Z103" s="143"/>
      <c r="AA103" s="143"/>
      <c r="AB103" s="143"/>
      <c r="AC103" s="143"/>
      <c r="AD103" s="143"/>
      <c r="AE103" s="143"/>
      <c r="AF103" s="143"/>
      <c r="AG103" s="143"/>
      <c r="AH103" s="143"/>
      <c r="AI103" s="143"/>
      <c r="AJ103" s="143"/>
      <c r="AK103" s="143"/>
      <c r="AL103" s="143"/>
      <c r="AM103" s="143"/>
    </row>
    <row r="104" spans="1:39" ht="12.75" customHeight="1" x14ac:dyDescent="0.35">
      <c r="A104" s="143"/>
      <c r="B104" s="151"/>
      <c r="C104" s="152"/>
      <c r="D104" s="152"/>
      <c r="E104" s="152"/>
      <c r="F104" s="174"/>
      <c r="G104" s="152"/>
      <c r="H104" s="174"/>
      <c r="I104" s="152"/>
      <c r="J104" s="229">
        <f>J102+J103</f>
        <v>255122.31</v>
      </c>
      <c r="K104" s="243">
        <v>14453</v>
      </c>
      <c r="L104" s="448">
        <v>0.27400000000000002</v>
      </c>
      <c r="M104" s="421">
        <f>M102+M103</f>
        <v>2.7E-2</v>
      </c>
      <c r="N104" s="143"/>
      <c r="O104" s="420"/>
      <c r="P104" s="143" t="s">
        <v>595</v>
      </c>
      <c r="Q104" s="143" t="s">
        <v>596</v>
      </c>
      <c r="R104" s="143"/>
      <c r="S104" s="143"/>
      <c r="T104" s="143"/>
      <c r="U104" s="143"/>
      <c r="V104" s="143"/>
      <c r="W104" s="143"/>
      <c r="X104" s="143"/>
      <c r="Y104" s="143"/>
      <c r="Z104" s="143"/>
      <c r="AA104" s="143"/>
      <c r="AB104" s="143"/>
      <c r="AC104" s="143"/>
      <c r="AD104" s="143"/>
      <c r="AE104" s="143"/>
      <c r="AF104" s="143"/>
      <c r="AG104" s="143"/>
      <c r="AH104" s="143"/>
      <c r="AI104" s="143"/>
      <c r="AJ104" s="143"/>
      <c r="AK104" s="143"/>
      <c r="AL104" s="143"/>
      <c r="AM104" s="143"/>
    </row>
    <row r="105" spans="1:39" ht="12.75" customHeight="1" x14ac:dyDescent="0.25">
      <c r="A105" s="143"/>
      <c r="B105" s="151"/>
      <c r="C105" s="152"/>
      <c r="D105" s="152"/>
      <c r="E105" s="152"/>
      <c r="F105" s="174"/>
      <c r="G105" s="152"/>
      <c r="H105" s="174"/>
      <c r="I105" s="152"/>
      <c r="J105" s="229"/>
      <c r="K105" s="254"/>
      <c r="L105" s="266"/>
      <c r="M105" s="154"/>
      <c r="N105" s="143"/>
      <c r="O105" s="143" t="s">
        <v>187</v>
      </c>
      <c r="P105" s="422">
        <v>2.2000000000000001E-3</v>
      </c>
      <c r="Q105" s="422">
        <v>3.5200000000000001E-3</v>
      </c>
      <c r="R105" s="143"/>
      <c r="S105" s="143"/>
      <c r="T105" s="143"/>
      <c r="U105" s="143"/>
      <c r="V105" s="143"/>
      <c r="W105" s="143"/>
      <c r="X105" s="143"/>
      <c r="Y105" s="143"/>
      <c r="Z105" s="143"/>
      <c r="AA105" s="143"/>
      <c r="AB105" s="143"/>
      <c r="AC105" s="143"/>
      <c r="AD105" s="143"/>
      <c r="AE105" s="143"/>
      <c r="AF105" s="143"/>
      <c r="AG105" s="143"/>
      <c r="AH105" s="143"/>
      <c r="AI105" s="143"/>
      <c r="AJ105" s="143"/>
      <c r="AK105" s="143"/>
      <c r="AL105" s="143"/>
      <c r="AM105" s="143"/>
    </row>
    <row r="106" spans="1:39" ht="12.75" customHeight="1" x14ac:dyDescent="0.25">
      <c r="A106" s="143"/>
      <c r="B106" s="151"/>
      <c r="C106" s="152" t="s">
        <v>444</v>
      </c>
      <c r="D106" s="152" t="s">
        <v>197</v>
      </c>
      <c r="E106" s="152" t="s">
        <v>445</v>
      </c>
      <c r="F106" s="161">
        <f>34250000</f>
        <v>34250000</v>
      </c>
      <c r="G106" s="152" t="s">
        <v>437</v>
      </c>
      <c r="H106" s="152">
        <v>1.079</v>
      </c>
      <c r="I106" s="152" t="s">
        <v>443</v>
      </c>
      <c r="J106" s="153">
        <f>(F106*H106)/1000</f>
        <v>36955.75</v>
      </c>
      <c r="K106" s="229">
        <f t="shared" ref="K106:K107" si="35">(J106/(J$106+J$107))*K$108</f>
        <v>1874</v>
      </c>
      <c r="L106" s="230">
        <v>0.04</v>
      </c>
      <c r="M106" s="227">
        <v>4.0000000000000001E-3</v>
      </c>
      <c r="N106" s="143"/>
      <c r="O106" s="143" t="s">
        <v>235</v>
      </c>
      <c r="P106" s="422">
        <v>6.6E-3</v>
      </c>
      <c r="Q106" s="422">
        <v>1.32E-3</v>
      </c>
      <c r="R106" s="143"/>
      <c r="S106" s="143"/>
      <c r="T106" s="143"/>
      <c r="U106" s="143"/>
      <c r="V106" s="143"/>
      <c r="W106" s="143"/>
      <c r="X106" s="143"/>
      <c r="Y106" s="143"/>
      <c r="Z106" s="143"/>
      <c r="AA106" s="143"/>
      <c r="AB106" s="143"/>
      <c r="AC106" s="143"/>
      <c r="AD106" s="143"/>
      <c r="AE106" s="143"/>
      <c r="AF106" s="143"/>
      <c r="AG106" s="143"/>
      <c r="AH106" s="143"/>
      <c r="AI106" s="143"/>
      <c r="AJ106" s="143"/>
      <c r="AK106" s="143"/>
      <c r="AL106" s="143"/>
      <c r="AM106" s="143"/>
    </row>
    <row r="107" spans="1:39" ht="12.75" customHeight="1" x14ac:dyDescent="0.25">
      <c r="A107" s="143"/>
      <c r="B107" s="151"/>
      <c r="C107" s="152"/>
      <c r="D107" s="152" t="s">
        <v>197</v>
      </c>
      <c r="E107" s="152" t="s">
        <v>194</v>
      </c>
      <c r="F107" s="302">
        <v>0</v>
      </c>
      <c r="G107" s="152" t="s">
        <v>188</v>
      </c>
      <c r="H107" s="152">
        <v>24</v>
      </c>
      <c r="I107" s="152" t="s">
        <v>207</v>
      </c>
      <c r="J107" s="425">
        <f>(F107*H107)</f>
        <v>0</v>
      </c>
      <c r="K107" s="426">
        <f t="shared" si="35"/>
        <v>0</v>
      </c>
      <c r="L107" s="302">
        <v>0</v>
      </c>
      <c r="M107" s="273">
        <v>0</v>
      </c>
      <c r="N107" s="143"/>
      <c r="O107" s="143" t="s">
        <v>409</v>
      </c>
      <c r="P107" s="422">
        <v>6.6E-3</v>
      </c>
      <c r="Q107" s="422">
        <v>1.32E-3</v>
      </c>
      <c r="R107" s="143"/>
      <c r="S107" s="143"/>
      <c r="T107" s="143"/>
      <c r="U107" s="143"/>
      <c r="V107" s="143"/>
      <c r="W107" s="143"/>
      <c r="X107" s="143"/>
      <c r="Y107" s="143"/>
      <c r="Z107" s="143"/>
      <c r="AA107" s="143"/>
      <c r="AB107" s="143"/>
      <c r="AC107" s="143"/>
      <c r="AD107" s="143"/>
      <c r="AE107" s="143"/>
      <c r="AF107" s="143"/>
      <c r="AG107" s="143"/>
      <c r="AH107" s="143"/>
      <c r="AI107" s="143"/>
      <c r="AJ107" s="143"/>
      <c r="AK107" s="143"/>
      <c r="AL107" s="143"/>
      <c r="AM107" s="143"/>
    </row>
    <row r="108" spans="1:39" ht="12.75" customHeight="1" x14ac:dyDescent="0.25">
      <c r="A108" s="143"/>
      <c r="B108" s="151"/>
      <c r="C108" s="152"/>
      <c r="D108" s="152"/>
      <c r="E108" s="152"/>
      <c r="F108" s="174"/>
      <c r="G108" s="152"/>
      <c r="H108" s="174"/>
      <c r="I108" s="152"/>
      <c r="J108" s="229">
        <f>J106+J107</f>
        <v>36955.75</v>
      </c>
      <c r="K108" s="243">
        <v>1874</v>
      </c>
      <c r="L108" s="247">
        <f t="shared" ref="L108:M108" si="36">L106+L107</f>
        <v>0.04</v>
      </c>
      <c r="M108" s="421">
        <f t="shared" si="36"/>
        <v>4.0000000000000001E-3</v>
      </c>
      <c r="N108" s="143"/>
      <c r="O108" s="143"/>
      <c r="P108" s="143"/>
      <c r="Q108" s="143"/>
      <c r="R108" s="143"/>
      <c r="S108" s="143"/>
      <c r="T108" s="143"/>
      <c r="U108" s="143"/>
      <c r="V108" s="143"/>
      <c r="W108" s="143"/>
      <c r="X108" s="143"/>
      <c r="Y108" s="143"/>
      <c r="Z108" s="143"/>
      <c r="AA108" s="143"/>
      <c r="AB108" s="143"/>
      <c r="AC108" s="143"/>
      <c r="AD108" s="143"/>
      <c r="AE108" s="143"/>
      <c r="AF108" s="143"/>
      <c r="AG108" s="143"/>
      <c r="AH108" s="143"/>
      <c r="AI108" s="143"/>
      <c r="AJ108" s="143"/>
      <c r="AK108" s="143"/>
      <c r="AL108" s="143"/>
      <c r="AM108" s="143"/>
    </row>
    <row r="109" spans="1:39" ht="12.75" customHeight="1" x14ac:dyDescent="0.25">
      <c r="A109" s="143"/>
      <c r="B109" s="151"/>
      <c r="C109" s="152"/>
      <c r="D109" s="152"/>
      <c r="E109" s="152"/>
      <c r="F109" s="174"/>
      <c r="G109" s="152"/>
      <c r="H109" s="174"/>
      <c r="I109" s="152"/>
      <c r="J109" s="229"/>
      <c r="K109" s="254"/>
      <c r="L109" s="266"/>
      <c r="M109" s="154"/>
      <c r="N109" s="143"/>
      <c r="O109" s="143"/>
      <c r="P109" s="143"/>
      <c r="Q109" s="143"/>
      <c r="R109" s="143"/>
      <c r="S109" s="143"/>
      <c r="T109" s="143"/>
      <c r="U109" s="143"/>
      <c r="V109" s="143"/>
      <c r="W109" s="143"/>
      <c r="X109" s="143"/>
      <c r="Y109" s="143"/>
      <c r="Z109" s="143"/>
      <c r="AA109" s="143"/>
      <c r="AB109" s="143"/>
      <c r="AC109" s="143"/>
      <c r="AD109" s="143"/>
      <c r="AE109" s="143"/>
      <c r="AF109" s="143"/>
      <c r="AG109" s="143"/>
      <c r="AH109" s="143"/>
      <c r="AI109" s="143"/>
      <c r="AJ109" s="143"/>
      <c r="AK109" s="143"/>
      <c r="AL109" s="143"/>
      <c r="AM109" s="143"/>
    </row>
    <row r="110" spans="1:39" ht="12.75" customHeight="1" x14ac:dyDescent="0.25">
      <c r="A110" s="143"/>
      <c r="B110" s="151"/>
      <c r="C110" s="152" t="s">
        <v>205</v>
      </c>
      <c r="D110" s="152" t="s">
        <v>206</v>
      </c>
      <c r="E110" s="152" t="s">
        <v>445</v>
      </c>
      <c r="F110" s="161">
        <v>25690000</v>
      </c>
      <c r="G110" s="152" t="s">
        <v>437</v>
      </c>
      <c r="H110" s="251">
        <v>1.0780000000000001</v>
      </c>
      <c r="I110" s="152" t="s">
        <v>443</v>
      </c>
      <c r="J110" s="153">
        <f>(F110*H110)/1000</f>
        <v>27693.82</v>
      </c>
      <c r="K110" s="229">
        <f t="shared" ref="K110:K111" si="37">J110/(J$110+J$111)*K$112</f>
        <v>2909.9081663132633</v>
      </c>
      <c r="L110" s="316">
        <v>0.03</v>
      </c>
      <c r="M110" s="227">
        <v>3.0000000000000001E-3</v>
      </c>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3"/>
      <c r="AI110" s="143"/>
      <c r="AJ110" s="143"/>
      <c r="AK110" s="143"/>
      <c r="AL110" s="143"/>
      <c r="AM110" s="143"/>
    </row>
    <row r="111" spans="1:39" ht="12.75" customHeight="1" x14ac:dyDescent="0.25">
      <c r="A111" s="143"/>
      <c r="B111" s="151"/>
      <c r="C111" s="152"/>
      <c r="D111" s="152" t="s">
        <v>206</v>
      </c>
      <c r="E111" s="152" t="s">
        <v>194</v>
      </c>
      <c r="F111" s="161">
        <v>37888</v>
      </c>
      <c r="G111" s="152" t="s">
        <v>188</v>
      </c>
      <c r="H111" s="224">
        <v>23.8</v>
      </c>
      <c r="I111" s="152" t="s">
        <v>207</v>
      </c>
      <c r="J111" s="153">
        <f>(F111*H111)</f>
        <v>901734.40000000002</v>
      </c>
      <c r="K111" s="229">
        <f t="shared" si="37"/>
        <v>94749.091833686747</v>
      </c>
      <c r="L111" s="272">
        <v>11.016999999999999</v>
      </c>
      <c r="M111" s="227">
        <v>1.6020000000000001</v>
      </c>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3"/>
      <c r="AI111" s="143"/>
      <c r="AJ111" s="143"/>
      <c r="AK111" s="143"/>
      <c r="AL111" s="143"/>
      <c r="AM111" s="143"/>
    </row>
    <row r="112" spans="1:39" ht="12.75" customHeight="1" x14ac:dyDescent="0.25">
      <c r="A112" s="143"/>
      <c r="B112" s="151"/>
      <c r="C112" s="152"/>
      <c r="D112" s="152"/>
      <c r="E112" s="152"/>
      <c r="F112" s="174"/>
      <c r="G112" s="152"/>
      <c r="H112" s="174"/>
      <c r="I112" s="152"/>
      <c r="J112" s="229">
        <f>J110+J111</f>
        <v>929428.22</v>
      </c>
      <c r="K112" s="243">
        <v>97659</v>
      </c>
      <c r="L112" s="247">
        <f t="shared" ref="L112:M112" si="38">L110+L111</f>
        <v>11.046999999999999</v>
      </c>
      <c r="M112" s="274">
        <f t="shared" si="38"/>
        <v>1.605</v>
      </c>
      <c r="N112" s="143"/>
      <c r="O112" s="143"/>
      <c r="P112" s="143"/>
      <c r="Q112" s="143"/>
      <c r="R112" s="143"/>
      <c r="S112" s="143"/>
      <c r="T112" s="143"/>
      <c r="U112" s="143"/>
      <c r="V112" s="143"/>
      <c r="W112" s="143"/>
      <c r="X112" s="143"/>
      <c r="Y112" s="143"/>
      <c r="Z112" s="143"/>
      <c r="AA112" s="143"/>
      <c r="AB112" s="143"/>
      <c r="AC112" s="143"/>
      <c r="AD112" s="143"/>
      <c r="AE112" s="143"/>
      <c r="AF112" s="143"/>
      <c r="AG112" s="143"/>
      <c r="AH112" s="143"/>
      <c r="AI112" s="143"/>
      <c r="AJ112" s="143"/>
      <c r="AK112" s="143"/>
      <c r="AL112" s="143"/>
      <c r="AM112" s="143"/>
    </row>
    <row r="113" spans="1:39" ht="12.75" customHeight="1" x14ac:dyDescent="0.25">
      <c r="A113" s="143"/>
      <c r="B113" s="151"/>
      <c r="C113" s="152"/>
      <c r="D113" s="152"/>
      <c r="E113" s="152"/>
      <c r="F113" s="174"/>
      <c r="G113" s="152"/>
      <c r="H113" s="174"/>
      <c r="I113" s="152"/>
      <c r="J113" s="229"/>
      <c r="K113" s="254"/>
      <c r="L113" s="266"/>
      <c r="M113" s="154"/>
      <c r="N113" s="143"/>
      <c r="O113" s="143"/>
      <c r="P113" s="143"/>
      <c r="Q113" s="143"/>
      <c r="R113" s="143"/>
      <c r="S113" s="143"/>
      <c r="T113" s="143"/>
      <c r="U113" s="143"/>
      <c r="V113" s="143"/>
      <c r="W113" s="143"/>
      <c r="X113" s="143"/>
      <c r="Y113" s="143"/>
      <c r="Z113" s="143"/>
      <c r="AA113" s="143"/>
      <c r="AB113" s="143"/>
      <c r="AC113" s="143"/>
      <c r="AD113" s="143"/>
      <c r="AE113" s="143"/>
      <c r="AF113" s="143"/>
      <c r="AG113" s="143"/>
      <c r="AH113" s="143"/>
      <c r="AI113" s="143"/>
      <c r="AJ113" s="143"/>
      <c r="AK113" s="143"/>
      <c r="AL113" s="143"/>
      <c r="AM113" s="143"/>
    </row>
    <row r="114" spans="1:39" ht="12.75" customHeight="1" x14ac:dyDescent="0.25">
      <c r="A114" s="143"/>
      <c r="B114" s="151"/>
      <c r="C114" s="152" t="s">
        <v>390</v>
      </c>
      <c r="D114" s="152" t="s">
        <v>407</v>
      </c>
      <c r="E114" s="152" t="s">
        <v>445</v>
      </c>
      <c r="F114" s="161">
        <f>49420000</f>
        <v>49420000</v>
      </c>
      <c r="G114" s="152" t="s">
        <v>437</v>
      </c>
      <c r="H114" s="251">
        <v>1.0880000000000001</v>
      </c>
      <c r="I114" s="152" t="s">
        <v>443</v>
      </c>
      <c r="J114" s="153">
        <f>(F114*H114)/1000</f>
        <v>53768.960000000006</v>
      </c>
      <c r="K114" s="221">
        <f>(J114/(J114+J115))*K116</f>
        <v>3726.9682589862978</v>
      </c>
      <c r="L114" s="316">
        <v>5.8000000000000003E-2</v>
      </c>
      <c r="M114" s="227">
        <v>6.0000000000000001E-3</v>
      </c>
      <c r="N114" s="143"/>
      <c r="O114" s="143"/>
      <c r="P114" s="143"/>
      <c r="Q114" s="143"/>
      <c r="R114" s="143"/>
      <c r="S114" s="143"/>
      <c r="T114" s="143"/>
      <c r="U114" s="143"/>
      <c r="V114" s="143"/>
      <c r="W114" s="143"/>
      <c r="X114" s="143"/>
      <c r="Y114" s="143"/>
      <c r="Z114" s="143"/>
      <c r="AA114" s="143"/>
      <c r="AB114" s="143"/>
      <c r="AC114" s="143"/>
      <c r="AD114" s="143"/>
      <c r="AE114" s="143"/>
      <c r="AF114" s="143"/>
      <c r="AG114" s="143"/>
      <c r="AH114" s="143"/>
      <c r="AI114" s="143"/>
      <c r="AJ114" s="143"/>
      <c r="AK114" s="143"/>
      <c r="AL114" s="143"/>
      <c r="AM114" s="143"/>
    </row>
    <row r="115" spans="1:39" ht="12.75" customHeight="1" x14ac:dyDescent="0.25">
      <c r="A115" s="143"/>
      <c r="B115" s="151"/>
      <c r="C115" s="152"/>
      <c r="D115" s="152" t="s">
        <v>407</v>
      </c>
      <c r="E115" s="152" t="s">
        <v>406</v>
      </c>
      <c r="F115" s="161">
        <v>604703</v>
      </c>
      <c r="G115" s="152" t="s">
        <v>225</v>
      </c>
      <c r="H115" s="251">
        <v>0.152</v>
      </c>
      <c r="I115" s="152" t="s">
        <v>408</v>
      </c>
      <c r="J115" s="153">
        <f>(F115*H115)</f>
        <v>91914.856</v>
      </c>
      <c r="K115" s="174">
        <f>(J115/(J114+J115))*K116</f>
        <v>6371.0317410137031</v>
      </c>
      <c r="L115" s="230">
        <v>0.29199999999999998</v>
      </c>
      <c r="M115" s="227">
        <v>5.8000000000000003E-2</v>
      </c>
      <c r="N115" s="143"/>
      <c r="O115" s="143"/>
      <c r="P115" s="143"/>
      <c r="Q115" s="143"/>
      <c r="R115" s="143"/>
      <c r="S115" s="143"/>
      <c r="T115" s="143"/>
      <c r="U115" s="143"/>
      <c r="V115" s="143"/>
      <c r="W115" s="143"/>
      <c r="X115" s="143"/>
      <c r="Y115" s="143"/>
      <c r="Z115" s="143"/>
      <c r="AA115" s="143"/>
      <c r="AB115" s="143"/>
      <c r="AC115" s="143"/>
      <c r="AD115" s="143"/>
      <c r="AE115" s="143"/>
      <c r="AF115" s="143"/>
      <c r="AG115" s="143"/>
      <c r="AH115" s="143"/>
      <c r="AI115" s="143"/>
      <c r="AJ115" s="143"/>
      <c r="AK115" s="143"/>
      <c r="AL115" s="143"/>
      <c r="AM115" s="143"/>
    </row>
    <row r="116" spans="1:39" ht="12.75" customHeight="1" x14ac:dyDescent="0.25">
      <c r="A116" s="143"/>
      <c r="B116" s="151"/>
      <c r="C116" s="152"/>
      <c r="D116" s="152"/>
      <c r="E116" s="152"/>
      <c r="F116" s="174"/>
      <c r="G116" s="152"/>
      <c r="H116" s="174"/>
      <c r="I116" s="152"/>
      <c r="J116" s="229">
        <f>J114+J115</f>
        <v>145683.81599999999</v>
      </c>
      <c r="K116" s="243">
        <v>10098</v>
      </c>
      <c r="L116" s="247">
        <f t="shared" ref="L116:M116" si="39">L114+L115</f>
        <v>0.35</v>
      </c>
      <c r="M116" s="421">
        <f t="shared" si="39"/>
        <v>6.4000000000000001E-2</v>
      </c>
      <c r="N116" s="143"/>
      <c r="O116" s="143"/>
      <c r="P116" s="143"/>
      <c r="Q116" s="143"/>
      <c r="R116" s="143"/>
      <c r="S116" s="143"/>
      <c r="T116" s="143"/>
      <c r="U116" s="143"/>
      <c r="V116" s="143"/>
      <c r="W116" s="143"/>
      <c r="X116" s="143"/>
      <c r="Y116" s="143"/>
      <c r="Z116" s="143"/>
      <c r="AA116" s="143"/>
      <c r="AB116" s="143"/>
      <c r="AC116" s="143"/>
      <c r="AD116" s="143"/>
      <c r="AE116" s="143"/>
      <c r="AF116" s="143"/>
      <c r="AG116" s="143"/>
      <c r="AH116" s="143"/>
      <c r="AI116" s="143"/>
      <c r="AJ116" s="143"/>
      <c r="AK116" s="143"/>
      <c r="AL116" s="143"/>
      <c r="AM116" s="143"/>
    </row>
    <row r="117" spans="1:39" ht="12.75" customHeight="1" x14ac:dyDescent="0.25">
      <c r="A117" s="143"/>
      <c r="B117" s="151"/>
      <c r="C117" s="152"/>
      <c r="D117" s="152"/>
      <c r="E117" s="152"/>
      <c r="F117" s="174"/>
      <c r="G117" s="152"/>
      <c r="H117" s="174"/>
      <c r="I117" s="152"/>
      <c r="J117" s="174"/>
      <c r="K117" s="174"/>
      <c r="L117" s="221"/>
      <c r="M117" s="239"/>
      <c r="N117" s="143"/>
      <c r="O117" s="143"/>
      <c r="P117" s="143"/>
      <c r="Q117" s="143"/>
      <c r="R117" s="143"/>
      <c r="S117" s="143"/>
      <c r="T117" s="143"/>
      <c r="U117" s="143"/>
      <c r="V117" s="143"/>
      <c r="W117" s="143"/>
      <c r="X117" s="143"/>
      <c r="Y117" s="143"/>
      <c r="Z117" s="143"/>
      <c r="AA117" s="143"/>
      <c r="AB117" s="143"/>
      <c r="AC117" s="143"/>
      <c r="AD117" s="143"/>
      <c r="AE117" s="143"/>
      <c r="AF117" s="143"/>
      <c r="AG117" s="143"/>
      <c r="AH117" s="143"/>
      <c r="AI117" s="143"/>
      <c r="AJ117" s="143"/>
      <c r="AK117" s="143"/>
      <c r="AL117" s="143"/>
      <c r="AM117" s="143"/>
    </row>
    <row r="118" spans="1:39" ht="12.75" customHeight="1" x14ac:dyDescent="0.25">
      <c r="A118" s="143"/>
      <c r="B118" s="151"/>
      <c r="C118" s="152" t="s">
        <v>257</v>
      </c>
      <c r="D118" s="152" t="s">
        <v>258</v>
      </c>
      <c r="E118" s="152" t="s">
        <v>259</v>
      </c>
      <c r="F118" s="161">
        <v>8695</v>
      </c>
      <c r="G118" s="152" t="s">
        <v>225</v>
      </c>
      <c r="H118" s="251">
        <v>0.13700000000000001</v>
      </c>
      <c r="I118" s="152" t="s">
        <v>260</v>
      </c>
      <c r="J118" s="229">
        <f>F118*H118</f>
        <v>1191.2150000000001</v>
      </c>
      <c r="K118" s="243">
        <v>98</v>
      </c>
      <c r="L118" s="252">
        <v>4.0000000000000001E-3</v>
      </c>
      <c r="M118" s="253">
        <f>0.000772</f>
        <v>7.7200000000000001E-4</v>
      </c>
      <c r="N118" s="143"/>
      <c r="O118" s="143"/>
      <c r="P118" s="143"/>
      <c r="Q118" s="143"/>
      <c r="R118" s="143"/>
      <c r="S118" s="143"/>
      <c r="T118" s="143"/>
      <c r="U118" s="143"/>
      <c r="V118" s="143"/>
      <c r="W118" s="143"/>
      <c r="X118" s="143"/>
      <c r="Y118" s="143"/>
      <c r="Z118" s="143"/>
      <c r="AA118" s="143"/>
      <c r="AB118" s="143"/>
      <c r="AC118" s="143"/>
      <c r="AD118" s="143"/>
      <c r="AE118" s="143"/>
      <c r="AF118" s="143"/>
      <c r="AG118" s="143"/>
      <c r="AH118" s="143"/>
      <c r="AI118" s="143"/>
      <c r="AJ118" s="143"/>
      <c r="AK118" s="143"/>
      <c r="AL118" s="143"/>
      <c r="AM118" s="143"/>
    </row>
    <row r="119" spans="1:39" ht="12.75" customHeight="1" x14ac:dyDescent="0.25">
      <c r="A119" s="143"/>
      <c r="B119" s="151"/>
      <c r="C119" s="152"/>
      <c r="D119" s="152"/>
      <c r="E119" s="152"/>
      <c r="F119" s="153"/>
      <c r="G119" s="152"/>
      <c r="H119" s="251"/>
      <c r="I119" s="152"/>
      <c r="J119" s="229"/>
      <c r="K119" s="254"/>
      <c r="L119" s="255"/>
      <c r="M119" s="154"/>
      <c r="N119" s="143"/>
      <c r="O119" s="143"/>
      <c r="P119" s="143"/>
      <c r="Q119" s="143"/>
      <c r="R119" s="143"/>
      <c r="S119" s="143"/>
      <c r="T119" s="143"/>
      <c r="U119" s="143"/>
      <c r="V119" s="143"/>
      <c r="W119" s="143"/>
      <c r="X119" s="143"/>
      <c r="Y119" s="143"/>
      <c r="Z119" s="143"/>
      <c r="AA119" s="143"/>
      <c r="AB119" s="143"/>
      <c r="AC119" s="143"/>
      <c r="AD119" s="143"/>
      <c r="AE119" s="143"/>
      <c r="AF119" s="143"/>
      <c r="AG119" s="143"/>
      <c r="AH119" s="143"/>
      <c r="AI119" s="143"/>
      <c r="AJ119" s="143"/>
      <c r="AK119" s="143"/>
      <c r="AL119" s="143"/>
      <c r="AM119" s="143"/>
    </row>
    <row r="120" spans="1:39" ht="12.75" customHeight="1" x14ac:dyDescent="0.25">
      <c r="A120" s="143"/>
      <c r="B120" s="155"/>
      <c r="C120" s="190"/>
      <c r="D120" s="190"/>
      <c r="E120" s="190"/>
      <c r="F120" s="191"/>
      <c r="G120" s="190"/>
      <c r="H120" s="256"/>
      <c r="I120" s="190"/>
      <c r="J120" s="257"/>
      <c r="K120" s="258"/>
      <c r="L120" s="259"/>
      <c r="M120" s="208"/>
      <c r="N120" s="143"/>
      <c r="O120" s="143"/>
      <c r="P120" s="143"/>
      <c r="Q120" s="143"/>
      <c r="R120" s="143"/>
      <c r="S120" s="143"/>
      <c r="T120" s="143"/>
      <c r="U120" s="143"/>
      <c r="V120" s="143"/>
      <c r="W120" s="143"/>
      <c r="X120" s="143"/>
      <c r="Y120" s="143"/>
      <c r="Z120" s="143"/>
      <c r="AA120" s="143"/>
      <c r="AB120" s="143"/>
      <c r="AC120" s="143"/>
      <c r="AD120" s="143"/>
      <c r="AE120" s="143"/>
      <c r="AF120" s="143"/>
      <c r="AG120" s="143"/>
      <c r="AH120" s="143"/>
      <c r="AI120" s="143"/>
      <c r="AJ120" s="143"/>
      <c r="AK120" s="143"/>
      <c r="AL120" s="143"/>
      <c r="AM120" s="143"/>
    </row>
    <row r="121" spans="1:39" ht="12.75" customHeight="1" x14ac:dyDescent="0.25">
      <c r="A121" s="143"/>
      <c r="B121" s="151" t="s">
        <v>261</v>
      </c>
      <c r="C121" s="179" t="s">
        <v>262</v>
      </c>
      <c r="D121" s="152"/>
      <c r="E121" s="152"/>
      <c r="F121" s="174"/>
      <c r="G121" s="152"/>
      <c r="H121" s="174"/>
      <c r="I121" s="152"/>
      <c r="J121" s="174"/>
      <c r="K121" s="174"/>
      <c r="L121" s="221"/>
      <c r="M121" s="154"/>
      <c r="N121" s="143"/>
      <c r="O121" s="143"/>
      <c r="P121" s="143"/>
      <c r="Q121" s="143"/>
      <c r="R121" s="143"/>
      <c r="S121" s="143"/>
      <c r="T121" s="143"/>
      <c r="U121" s="143"/>
      <c r="V121" s="143"/>
      <c r="W121" s="143"/>
      <c r="X121" s="143"/>
      <c r="Y121" s="143"/>
      <c r="Z121" s="143"/>
      <c r="AA121" s="143"/>
      <c r="AB121" s="143"/>
      <c r="AC121" s="143"/>
      <c r="AD121" s="143"/>
      <c r="AE121" s="143"/>
      <c r="AF121" s="143"/>
      <c r="AG121" s="143"/>
      <c r="AH121" s="143"/>
      <c r="AI121" s="143"/>
      <c r="AJ121" s="143"/>
      <c r="AK121" s="143"/>
      <c r="AL121" s="143"/>
      <c r="AM121" s="143"/>
    </row>
    <row r="122" spans="1:39" ht="12.75" customHeight="1" x14ac:dyDescent="0.25">
      <c r="A122" s="143"/>
      <c r="B122" s="151"/>
      <c r="C122" s="152" t="s">
        <v>263</v>
      </c>
      <c r="D122" s="152" t="s">
        <v>264</v>
      </c>
      <c r="E122" s="152" t="s">
        <v>439</v>
      </c>
      <c r="F122" s="161">
        <f>959000000</f>
        <v>959000000</v>
      </c>
      <c r="G122" s="152" t="s">
        <v>437</v>
      </c>
      <c r="H122" s="161">
        <v>1042</v>
      </c>
      <c r="I122" s="152" t="s">
        <v>446</v>
      </c>
      <c r="J122" s="174">
        <f>(F122*H122)/1000000</f>
        <v>999278</v>
      </c>
      <c r="K122" s="174">
        <f t="shared" ref="K122:K123" si="40">(+J122/(J$122+J$123))*K$124</f>
        <v>56980.261287520771</v>
      </c>
      <c r="L122" s="221">
        <f t="shared" ref="L122:L123" si="41">(+J122/(J$122+J$123))*L$124</f>
        <v>1.2889186853737873</v>
      </c>
      <c r="M122" s="260">
        <f t="shared" ref="M122:M123" si="42">(+J122/(J$122+J$123))*M$124</f>
        <v>0.15540154362662686</v>
      </c>
      <c r="N122" s="143"/>
      <c r="O122" s="143"/>
      <c r="P122" s="143"/>
      <c r="Q122" s="143"/>
      <c r="R122" s="143"/>
      <c r="S122" s="143"/>
      <c r="T122" s="143"/>
      <c r="U122" s="143"/>
      <c r="V122" s="143"/>
      <c r="W122" s="143"/>
      <c r="X122" s="143"/>
      <c r="Y122" s="143"/>
      <c r="Z122" s="143"/>
      <c r="AA122" s="143"/>
      <c r="AB122" s="143"/>
      <c r="AC122" s="143"/>
      <c r="AD122" s="143"/>
      <c r="AE122" s="143"/>
      <c r="AF122" s="143"/>
      <c r="AG122" s="143"/>
      <c r="AH122" s="143"/>
      <c r="AI122" s="143"/>
      <c r="AJ122" s="143"/>
      <c r="AK122" s="143"/>
      <c r="AL122" s="143"/>
      <c r="AM122" s="143"/>
    </row>
    <row r="123" spans="1:39" ht="12.75" customHeight="1" x14ac:dyDescent="0.25">
      <c r="A123" s="143"/>
      <c r="B123" s="151"/>
      <c r="C123" s="152"/>
      <c r="D123" s="152" t="s">
        <v>264</v>
      </c>
      <c r="E123" s="152" t="s">
        <v>259</v>
      </c>
      <c r="F123" s="161">
        <v>683932</v>
      </c>
      <c r="G123" s="152" t="s">
        <v>225</v>
      </c>
      <c r="H123" s="161">
        <v>137.25399999999999</v>
      </c>
      <c r="I123" s="152" t="s">
        <v>265</v>
      </c>
      <c r="J123" s="174">
        <f>(F123*H123)/1000</f>
        <v>93872.402728000001</v>
      </c>
      <c r="K123" s="174">
        <f t="shared" si="40"/>
        <v>5352.7387124792276</v>
      </c>
      <c r="L123" s="221">
        <f t="shared" si="41"/>
        <v>0.1210813146262126</v>
      </c>
      <c r="M123" s="260">
        <f t="shared" si="42"/>
        <v>1.4598456373373153E-2</v>
      </c>
      <c r="N123" s="143"/>
      <c r="O123" s="143"/>
      <c r="P123" s="143"/>
      <c r="Q123" s="143"/>
      <c r="R123" s="143"/>
      <c r="S123" s="143"/>
      <c r="T123" s="143"/>
      <c r="U123" s="143"/>
      <c r="V123" s="143"/>
      <c r="W123" s="143"/>
      <c r="X123" s="143"/>
      <c r="Y123" s="143"/>
      <c r="Z123" s="143"/>
      <c r="AA123" s="143"/>
      <c r="AB123" s="143"/>
      <c r="AC123" s="143"/>
      <c r="AD123" s="143"/>
      <c r="AE123" s="143"/>
      <c r="AF123" s="143"/>
      <c r="AG123" s="143"/>
      <c r="AH123" s="143"/>
      <c r="AI123" s="143"/>
      <c r="AJ123" s="143"/>
      <c r="AK123" s="143"/>
      <c r="AL123" s="143"/>
      <c r="AM123" s="143"/>
    </row>
    <row r="124" spans="1:39" ht="12.75" customHeight="1" x14ac:dyDescent="0.25">
      <c r="A124" s="143"/>
      <c r="B124" s="151"/>
      <c r="C124" s="152"/>
      <c r="D124" s="152"/>
      <c r="E124" s="152"/>
      <c r="F124" s="161"/>
      <c r="G124" s="152"/>
      <c r="H124" s="161"/>
      <c r="I124" s="152"/>
      <c r="J124" s="229">
        <f>J122+J123</f>
        <v>1093150.402728</v>
      </c>
      <c r="K124" s="243">
        <v>62333</v>
      </c>
      <c r="L124" s="247">
        <v>1.41</v>
      </c>
      <c r="M124" s="449">
        <v>0.17</v>
      </c>
      <c r="N124" s="143"/>
      <c r="O124" s="143"/>
      <c r="P124" s="143"/>
      <c r="Q124" s="143"/>
      <c r="R124" s="143"/>
      <c r="S124" s="143"/>
      <c r="T124" s="143"/>
      <c r="U124" s="143"/>
      <c r="V124" s="143"/>
      <c r="W124" s="143"/>
      <c r="X124" s="143"/>
      <c r="Y124" s="143"/>
      <c r="Z124" s="143"/>
      <c r="AA124" s="143"/>
      <c r="AB124" s="143"/>
      <c r="AC124" s="143"/>
      <c r="AD124" s="143"/>
      <c r="AE124" s="143"/>
      <c r="AF124" s="143"/>
      <c r="AG124" s="143"/>
      <c r="AH124" s="143"/>
      <c r="AI124" s="143"/>
      <c r="AJ124" s="143"/>
      <c r="AK124" s="143"/>
      <c r="AL124" s="143"/>
      <c r="AM124" s="143"/>
    </row>
    <row r="125" spans="1:39" ht="12.75" customHeight="1" x14ac:dyDescent="0.25">
      <c r="A125" s="143"/>
      <c r="B125" s="151"/>
      <c r="C125" s="152"/>
      <c r="D125" s="152"/>
      <c r="E125" s="152"/>
      <c r="F125" s="161"/>
      <c r="G125" s="152"/>
      <c r="H125" s="161"/>
      <c r="I125" s="152"/>
      <c r="J125" s="174"/>
      <c r="K125" s="174"/>
      <c r="L125" s="221"/>
      <c r="M125" s="239"/>
      <c r="N125" s="143"/>
      <c r="O125" s="143"/>
      <c r="P125" s="143"/>
      <c r="Q125" s="143"/>
      <c r="R125" s="143"/>
      <c r="S125" s="143"/>
      <c r="T125" s="143"/>
      <c r="U125" s="143"/>
      <c r="V125" s="143"/>
      <c r="W125" s="143"/>
      <c r="X125" s="143"/>
      <c r="Y125" s="143"/>
      <c r="Z125" s="143"/>
      <c r="AA125" s="143"/>
      <c r="AB125" s="143"/>
      <c r="AC125" s="143"/>
      <c r="AD125" s="143"/>
      <c r="AE125" s="143"/>
      <c r="AF125" s="143"/>
      <c r="AG125" s="143"/>
      <c r="AH125" s="143"/>
      <c r="AI125" s="143"/>
      <c r="AJ125" s="143"/>
      <c r="AK125" s="143"/>
      <c r="AL125" s="143"/>
      <c r="AM125" s="143"/>
    </row>
    <row r="126" spans="1:39" ht="12.75" customHeight="1" x14ac:dyDescent="0.25">
      <c r="A126" s="143"/>
      <c r="B126" s="151"/>
      <c r="C126" s="152" t="s">
        <v>266</v>
      </c>
      <c r="D126" s="152" t="s">
        <v>267</v>
      </c>
      <c r="E126" s="152" t="s">
        <v>259</v>
      </c>
      <c r="F126" s="161">
        <f>627188</f>
        <v>627188</v>
      </c>
      <c r="G126" s="152" t="s">
        <v>225</v>
      </c>
      <c r="H126" s="161">
        <v>137.25399999999999</v>
      </c>
      <c r="I126" s="152" t="s">
        <v>265</v>
      </c>
      <c r="J126" s="229">
        <f>(F126*H126)/1000</f>
        <v>86084.061751999994</v>
      </c>
      <c r="K126" s="243">
        <v>6000</v>
      </c>
      <c r="L126" s="261">
        <v>0.28000000000000003</v>
      </c>
      <c r="M126" s="262">
        <v>0.06</v>
      </c>
      <c r="N126" s="143"/>
      <c r="O126" s="143"/>
      <c r="P126" s="143"/>
      <c r="Q126" s="143"/>
      <c r="R126" s="143"/>
      <c r="S126" s="143"/>
      <c r="T126" s="143"/>
      <c r="U126" s="143"/>
      <c r="V126" s="143"/>
      <c r="W126" s="143"/>
      <c r="X126" s="143"/>
      <c r="Y126" s="143"/>
      <c r="Z126" s="143"/>
      <c r="AA126" s="143"/>
      <c r="AB126" s="143"/>
      <c r="AC126" s="143"/>
      <c r="AD126" s="143"/>
      <c r="AE126" s="143"/>
      <c r="AF126" s="143"/>
      <c r="AG126" s="143"/>
      <c r="AH126" s="143"/>
      <c r="AI126" s="143"/>
      <c r="AJ126" s="143"/>
      <c r="AK126" s="143"/>
      <c r="AL126" s="143"/>
      <c r="AM126" s="143"/>
    </row>
    <row r="127" spans="1:39" ht="12.75" customHeight="1" x14ac:dyDescent="0.25">
      <c r="A127" s="143"/>
      <c r="B127" s="151"/>
      <c r="C127" s="152"/>
      <c r="D127" s="152"/>
      <c r="E127" s="152"/>
      <c r="F127" s="161"/>
      <c r="G127" s="152"/>
      <c r="H127" s="161"/>
      <c r="I127" s="152"/>
      <c r="J127" s="174"/>
      <c r="K127" s="254"/>
      <c r="L127" s="450"/>
      <c r="M127" s="451"/>
      <c r="N127" s="143"/>
      <c r="O127" s="143"/>
      <c r="P127" s="143"/>
      <c r="Q127" s="143"/>
      <c r="R127" s="143"/>
      <c r="S127" s="143"/>
      <c r="T127" s="143"/>
      <c r="U127" s="143"/>
      <c r="V127" s="143"/>
      <c r="W127" s="143"/>
      <c r="X127" s="143"/>
      <c r="Y127" s="143"/>
      <c r="Z127" s="143"/>
      <c r="AA127" s="143"/>
      <c r="AB127" s="143"/>
      <c r="AC127" s="143"/>
      <c r="AD127" s="143"/>
      <c r="AE127" s="143"/>
      <c r="AF127" s="143"/>
      <c r="AG127" s="143"/>
      <c r="AH127" s="143"/>
      <c r="AI127" s="143"/>
      <c r="AJ127" s="143"/>
      <c r="AK127" s="143"/>
      <c r="AL127" s="143"/>
      <c r="AM127" s="143"/>
    </row>
    <row r="128" spans="1:39" ht="12.75" customHeight="1" x14ac:dyDescent="0.25">
      <c r="A128" s="143"/>
      <c r="B128" s="151"/>
      <c r="C128" s="152" t="s">
        <v>268</v>
      </c>
      <c r="D128" s="152" t="s">
        <v>269</v>
      </c>
      <c r="E128" s="152" t="s">
        <v>259</v>
      </c>
      <c r="F128" s="302">
        <f>0*1000</f>
        <v>0</v>
      </c>
      <c r="G128" s="152" t="s">
        <v>225</v>
      </c>
      <c r="H128" s="161">
        <v>137.25399999999999</v>
      </c>
      <c r="I128" s="152" t="s">
        <v>265</v>
      </c>
      <c r="J128" s="264">
        <f>(F128*H128)/1000</f>
        <v>0</v>
      </c>
      <c r="K128" s="265">
        <v>0</v>
      </c>
      <c r="L128" s="261">
        <v>0</v>
      </c>
      <c r="M128" s="262">
        <v>0</v>
      </c>
      <c r="N128" s="143"/>
      <c r="O128" s="143"/>
      <c r="P128" s="143"/>
      <c r="Q128" s="143"/>
      <c r="R128" s="143"/>
      <c r="S128" s="143"/>
      <c r="T128" s="143"/>
      <c r="U128" s="143"/>
      <c r="V128" s="143"/>
      <c r="W128" s="143"/>
      <c r="X128" s="143"/>
      <c r="Y128" s="143"/>
      <c r="Z128" s="143"/>
      <c r="AA128" s="143"/>
      <c r="AB128" s="143"/>
      <c r="AC128" s="143"/>
      <c r="AD128" s="143"/>
      <c r="AE128" s="143"/>
      <c r="AF128" s="143"/>
      <c r="AG128" s="143"/>
      <c r="AH128" s="143"/>
      <c r="AI128" s="143"/>
      <c r="AJ128" s="143"/>
      <c r="AK128" s="143"/>
      <c r="AL128" s="143"/>
      <c r="AM128" s="143"/>
    </row>
    <row r="129" spans="1:39" ht="12.75" customHeight="1" x14ac:dyDescent="0.25">
      <c r="A129" s="143"/>
      <c r="B129" s="151"/>
      <c r="C129" s="152"/>
      <c r="D129" s="152"/>
      <c r="E129" s="152"/>
      <c r="F129" s="161"/>
      <c r="G129" s="152"/>
      <c r="H129" s="161"/>
      <c r="I129" s="152"/>
      <c r="J129" s="174"/>
      <c r="K129" s="254"/>
      <c r="L129" s="450"/>
      <c r="M129" s="451"/>
      <c r="N129" s="143"/>
      <c r="O129" s="143"/>
      <c r="P129" s="143"/>
      <c r="Q129" s="143"/>
      <c r="R129" s="143"/>
      <c r="S129" s="143"/>
      <c r="T129" s="143"/>
      <c r="U129" s="143"/>
      <c r="V129" s="143"/>
      <c r="W129" s="143"/>
      <c r="X129" s="143"/>
      <c r="Y129" s="143"/>
      <c r="Z129" s="143"/>
      <c r="AA129" s="143"/>
      <c r="AB129" s="143"/>
      <c r="AC129" s="143"/>
      <c r="AD129" s="143"/>
      <c r="AE129" s="143"/>
      <c r="AF129" s="143"/>
      <c r="AG129" s="143"/>
      <c r="AH129" s="143"/>
      <c r="AI129" s="143"/>
      <c r="AJ129" s="143"/>
      <c r="AK129" s="143"/>
      <c r="AL129" s="143"/>
      <c r="AM129" s="143"/>
    </row>
    <row r="130" spans="1:39" ht="12.75" customHeight="1" x14ac:dyDescent="0.25">
      <c r="A130" s="143"/>
      <c r="B130" s="151"/>
      <c r="C130" s="152" t="s">
        <v>270</v>
      </c>
      <c r="D130" s="152" t="s">
        <v>271</v>
      </c>
      <c r="E130" s="152" t="s">
        <v>259</v>
      </c>
      <c r="F130" s="161">
        <f>541219</f>
        <v>541219</v>
      </c>
      <c r="G130" s="152" t="s">
        <v>225</v>
      </c>
      <c r="H130" s="161">
        <v>137.25399999999999</v>
      </c>
      <c r="I130" s="152" t="s">
        <v>265</v>
      </c>
      <c r="J130" s="229">
        <f>(F130*H130)/1000</f>
        <v>74284.472626000002</v>
      </c>
      <c r="K130" s="243">
        <v>5014</v>
      </c>
      <c r="L130" s="261">
        <v>0.24</v>
      </c>
      <c r="M130" s="262">
        <v>0.05</v>
      </c>
      <c r="N130" s="143"/>
      <c r="O130" s="143"/>
      <c r="P130" s="143"/>
      <c r="Q130" s="143"/>
      <c r="R130" s="143"/>
      <c r="S130" s="143"/>
      <c r="T130" s="143"/>
      <c r="U130" s="143"/>
      <c r="V130" s="143"/>
      <c r="W130" s="143"/>
      <c r="X130" s="143"/>
      <c r="Y130" s="143"/>
      <c r="Z130" s="143"/>
      <c r="AA130" s="143"/>
      <c r="AB130" s="143"/>
      <c r="AC130" s="143"/>
      <c r="AD130" s="143"/>
      <c r="AE130" s="143"/>
      <c r="AF130" s="143"/>
      <c r="AG130" s="143"/>
      <c r="AH130" s="143"/>
      <c r="AI130" s="143"/>
      <c r="AJ130" s="143"/>
      <c r="AK130" s="143"/>
      <c r="AL130" s="143"/>
      <c r="AM130" s="143"/>
    </row>
    <row r="131" spans="1:39" ht="12.75" customHeight="1" x14ac:dyDescent="0.25">
      <c r="A131" s="143"/>
      <c r="B131" s="151"/>
      <c r="C131" s="152"/>
      <c r="D131" s="152"/>
      <c r="E131" s="152"/>
      <c r="F131" s="161"/>
      <c r="G131" s="152"/>
      <c r="H131" s="161"/>
      <c r="I131" s="152"/>
      <c r="J131" s="174"/>
      <c r="K131" s="254"/>
      <c r="L131" s="450"/>
      <c r="M131" s="451"/>
      <c r="N131" s="143"/>
      <c r="O131" s="143"/>
      <c r="P131" s="143"/>
      <c r="Q131" s="143"/>
      <c r="R131" s="143"/>
      <c r="S131" s="143"/>
      <c r="T131" s="143"/>
      <c r="U131" s="143"/>
      <c r="V131" s="143"/>
      <c r="W131" s="143"/>
      <c r="X131" s="143"/>
      <c r="Y131" s="143"/>
      <c r="Z131" s="143"/>
      <c r="AA131" s="143"/>
      <c r="AB131" s="143"/>
      <c r="AC131" s="143"/>
      <c r="AD131" s="143"/>
      <c r="AE131" s="143"/>
      <c r="AF131" s="143"/>
      <c r="AG131" s="143"/>
      <c r="AH131" s="143"/>
      <c r="AI131" s="143"/>
      <c r="AJ131" s="143"/>
      <c r="AK131" s="143"/>
      <c r="AL131" s="143"/>
      <c r="AM131" s="143"/>
    </row>
    <row r="132" spans="1:39" ht="12.75" customHeight="1" x14ac:dyDescent="0.25">
      <c r="A132" s="143"/>
      <c r="B132" s="151"/>
      <c r="C132" s="152" t="s">
        <v>272</v>
      </c>
      <c r="D132" s="152" t="s">
        <v>273</v>
      </c>
      <c r="E132" s="152" t="s">
        <v>259</v>
      </c>
      <c r="F132" s="161">
        <f>510485</f>
        <v>510485</v>
      </c>
      <c r="G132" s="152" t="s">
        <v>225</v>
      </c>
      <c r="H132" s="161">
        <v>137.25399999999999</v>
      </c>
      <c r="I132" s="152" t="s">
        <v>265</v>
      </c>
      <c r="J132" s="229">
        <f>(F132*H132)/1000</f>
        <v>70066.108189999999</v>
      </c>
      <c r="K132" s="243">
        <v>4705</v>
      </c>
      <c r="L132" s="261">
        <v>0.23</v>
      </c>
      <c r="M132" s="262">
        <v>0.05</v>
      </c>
      <c r="N132" s="143"/>
      <c r="O132" s="143"/>
      <c r="P132" s="143"/>
      <c r="Q132" s="143"/>
      <c r="R132" s="143"/>
      <c r="S132" s="143"/>
      <c r="T132" s="143"/>
      <c r="U132" s="143"/>
      <c r="V132" s="143"/>
      <c r="W132" s="143"/>
      <c r="X132" s="143"/>
      <c r="Y132" s="143"/>
      <c r="Z132" s="143"/>
      <c r="AA132" s="143"/>
      <c r="AB132" s="143"/>
      <c r="AC132" s="143"/>
      <c r="AD132" s="143"/>
      <c r="AE132" s="143"/>
      <c r="AF132" s="143"/>
      <c r="AG132" s="143"/>
      <c r="AH132" s="143"/>
      <c r="AI132" s="143"/>
      <c r="AJ132" s="143"/>
      <c r="AK132" s="143"/>
      <c r="AL132" s="143"/>
      <c r="AM132" s="143"/>
    </row>
    <row r="133" spans="1:39" ht="12.75" customHeight="1" x14ac:dyDescent="0.25">
      <c r="A133" s="143"/>
      <c r="B133" s="151"/>
      <c r="C133" s="152"/>
      <c r="D133" s="152"/>
      <c r="E133" s="152"/>
      <c r="F133" s="161"/>
      <c r="G133" s="152"/>
      <c r="H133" s="161"/>
      <c r="I133" s="152"/>
      <c r="J133" s="229"/>
      <c r="K133" s="254"/>
      <c r="L133" s="450"/>
      <c r="M133" s="451"/>
      <c r="N133" s="143"/>
      <c r="O133" s="143"/>
      <c r="P133" s="143"/>
      <c r="Q133" s="143"/>
      <c r="R133" s="143"/>
      <c r="S133" s="143"/>
      <c r="T133" s="143"/>
      <c r="U133" s="143"/>
      <c r="V133" s="143"/>
      <c r="W133" s="143"/>
      <c r="X133" s="143"/>
      <c r="Y133" s="143"/>
      <c r="Z133" s="143"/>
      <c r="AA133" s="143"/>
      <c r="AB133" s="143"/>
      <c r="AC133" s="143"/>
      <c r="AD133" s="143"/>
      <c r="AE133" s="143"/>
      <c r="AF133" s="143"/>
      <c r="AG133" s="143"/>
      <c r="AH133" s="143"/>
      <c r="AI133" s="143"/>
      <c r="AJ133" s="143"/>
      <c r="AK133" s="143"/>
      <c r="AL133" s="143"/>
      <c r="AM133" s="143"/>
    </row>
    <row r="134" spans="1:39" ht="12.75" customHeight="1" x14ac:dyDescent="0.25">
      <c r="A134" s="143"/>
      <c r="B134" s="151"/>
      <c r="C134" s="152" t="s">
        <v>274</v>
      </c>
      <c r="D134" s="152" t="s">
        <v>447</v>
      </c>
      <c r="E134" s="152" t="s">
        <v>439</v>
      </c>
      <c r="F134" s="161">
        <f>511000000</f>
        <v>511000000</v>
      </c>
      <c r="G134" s="152" t="s">
        <v>437</v>
      </c>
      <c r="H134" s="161">
        <v>1042</v>
      </c>
      <c r="I134" s="152" t="s">
        <v>446</v>
      </c>
      <c r="J134" s="174">
        <f>(F134*H134)/1000000</f>
        <v>532462</v>
      </c>
      <c r="K134" s="174">
        <f t="shared" ref="K134:K135" si="43">(+J134/(J$122+J$123))*K$124</f>
        <v>30361.745065613261</v>
      </c>
      <c r="L134" s="221">
        <f t="shared" ref="L134:L135" si="44">(+J134/(J$134+J$135))*L$136</f>
        <v>0.58938898415426233</v>
      </c>
      <c r="M134" s="260">
        <f t="shared" ref="M134:M135" si="45">(+J134/(J$134+J$135))*M$136</f>
        <v>5.9937862795348712E-2</v>
      </c>
      <c r="N134" s="143"/>
      <c r="O134" s="143"/>
      <c r="P134" s="143"/>
      <c r="Q134" s="143"/>
      <c r="R134" s="143"/>
      <c r="S134" s="143"/>
      <c r="T134" s="143"/>
      <c r="U134" s="143"/>
      <c r="V134" s="143"/>
      <c r="W134" s="143"/>
      <c r="X134" s="143"/>
      <c r="Y134" s="143"/>
      <c r="Z134" s="143"/>
      <c r="AA134" s="143"/>
      <c r="AB134" s="143"/>
      <c r="AC134" s="143"/>
      <c r="AD134" s="143"/>
      <c r="AE134" s="143"/>
      <c r="AF134" s="143"/>
      <c r="AG134" s="143"/>
      <c r="AH134" s="143"/>
      <c r="AI134" s="143"/>
      <c r="AJ134" s="143"/>
      <c r="AK134" s="143"/>
      <c r="AL134" s="143"/>
      <c r="AM134" s="143"/>
    </row>
    <row r="135" spans="1:39" ht="12.75" customHeight="1" x14ac:dyDescent="0.25">
      <c r="A135" s="143"/>
      <c r="B135" s="151"/>
      <c r="C135" s="152"/>
      <c r="D135" s="152" t="s">
        <v>275</v>
      </c>
      <c r="E135" s="152" t="s">
        <v>259</v>
      </c>
      <c r="F135" s="161">
        <f>4000</f>
        <v>4000</v>
      </c>
      <c r="G135" s="152" t="s">
        <v>225</v>
      </c>
      <c r="H135" s="161">
        <v>138</v>
      </c>
      <c r="I135" s="152" t="s">
        <v>265</v>
      </c>
      <c r="J135" s="174">
        <f>(F135*H135)/1000</f>
        <v>552</v>
      </c>
      <c r="K135" s="174">
        <f t="shared" si="43"/>
        <v>31.475829779812489</v>
      </c>
      <c r="L135" s="221">
        <f t="shared" si="44"/>
        <v>6.1101584573763543E-4</v>
      </c>
      <c r="M135" s="260">
        <f t="shared" si="45"/>
        <v>6.2137204651284964E-5</v>
      </c>
      <c r="N135" s="143"/>
      <c r="O135" s="143"/>
      <c r="P135" s="143"/>
      <c r="Q135" s="143"/>
      <c r="R135" s="143"/>
      <c r="S135" s="143"/>
      <c r="T135" s="143"/>
      <c r="U135" s="143"/>
      <c r="V135" s="143"/>
      <c r="W135" s="143"/>
      <c r="X135" s="143"/>
      <c r="Y135" s="143"/>
      <c r="Z135" s="143"/>
      <c r="AA135" s="143"/>
      <c r="AB135" s="143"/>
      <c r="AC135" s="143"/>
      <c r="AD135" s="143"/>
      <c r="AE135" s="143"/>
      <c r="AF135" s="143"/>
      <c r="AG135" s="143"/>
      <c r="AH135" s="143"/>
      <c r="AI135" s="143"/>
      <c r="AJ135" s="143"/>
      <c r="AK135" s="143"/>
      <c r="AL135" s="143"/>
      <c r="AM135" s="143"/>
    </row>
    <row r="136" spans="1:39" ht="12.75" customHeight="1" x14ac:dyDescent="0.25">
      <c r="A136" s="143"/>
      <c r="B136" s="151"/>
      <c r="C136" s="152"/>
      <c r="D136" s="152"/>
      <c r="E136" s="152"/>
      <c r="F136" s="161"/>
      <c r="G136" s="152"/>
      <c r="H136" s="161"/>
      <c r="I136" s="152"/>
      <c r="J136" s="229">
        <f>J134+J135</f>
        <v>533014</v>
      </c>
      <c r="K136" s="243">
        <v>29542</v>
      </c>
      <c r="L136" s="247">
        <v>0.59</v>
      </c>
      <c r="M136" s="449">
        <v>0.06</v>
      </c>
      <c r="N136" s="143"/>
      <c r="O136" s="143"/>
      <c r="P136" s="143"/>
      <c r="Q136" s="143"/>
      <c r="R136" s="143"/>
      <c r="S136" s="143"/>
      <c r="T136" s="143"/>
      <c r="U136" s="143"/>
      <c r="V136" s="143"/>
      <c r="W136" s="143"/>
      <c r="X136" s="143"/>
      <c r="Y136" s="143"/>
      <c r="Z136" s="143"/>
      <c r="AA136" s="143"/>
      <c r="AB136" s="143"/>
      <c r="AC136" s="143"/>
      <c r="AD136" s="143"/>
      <c r="AE136" s="143"/>
      <c r="AF136" s="143"/>
      <c r="AG136" s="143"/>
      <c r="AH136" s="143"/>
      <c r="AI136" s="143"/>
      <c r="AJ136" s="143"/>
      <c r="AK136" s="143"/>
      <c r="AL136" s="143"/>
      <c r="AM136" s="143"/>
    </row>
    <row r="137" spans="1:39" ht="12.75" customHeight="1" x14ac:dyDescent="0.25">
      <c r="A137" s="143"/>
      <c r="B137" s="151"/>
      <c r="C137" s="152"/>
      <c r="D137" s="152"/>
      <c r="E137" s="152"/>
      <c r="F137" s="161"/>
      <c r="G137" s="152"/>
      <c r="H137" s="161"/>
      <c r="I137" s="152"/>
      <c r="J137" s="229"/>
      <c r="K137" s="254"/>
      <c r="L137" s="450"/>
      <c r="M137" s="451"/>
      <c r="N137" s="143"/>
      <c r="O137" s="143"/>
      <c r="P137" s="143"/>
      <c r="Q137" s="143"/>
      <c r="R137" s="143"/>
      <c r="S137" s="143"/>
      <c r="T137" s="143"/>
      <c r="U137" s="143"/>
      <c r="V137" s="143"/>
      <c r="W137" s="143"/>
      <c r="X137" s="143"/>
      <c r="Y137" s="143"/>
      <c r="Z137" s="143"/>
      <c r="AA137" s="143"/>
      <c r="AB137" s="143"/>
      <c r="AC137" s="143"/>
      <c r="AD137" s="143"/>
      <c r="AE137" s="143"/>
      <c r="AF137" s="143"/>
      <c r="AG137" s="143"/>
      <c r="AH137" s="143"/>
      <c r="AI137" s="143"/>
      <c r="AJ137" s="143"/>
      <c r="AK137" s="143"/>
      <c r="AL137" s="143"/>
      <c r="AM137" s="143"/>
    </row>
    <row r="138" spans="1:39" ht="12.75" customHeight="1" x14ac:dyDescent="0.25">
      <c r="A138" s="143"/>
      <c r="B138" s="151"/>
      <c r="C138" s="152" t="s">
        <v>276</v>
      </c>
      <c r="D138" s="152" t="s">
        <v>448</v>
      </c>
      <c r="E138" s="152" t="s">
        <v>439</v>
      </c>
      <c r="F138" s="161">
        <f>572000000</f>
        <v>572000000</v>
      </c>
      <c r="G138" s="152" t="s">
        <v>437</v>
      </c>
      <c r="H138" s="161">
        <v>1042</v>
      </c>
      <c r="I138" s="152" t="s">
        <v>446</v>
      </c>
      <c r="J138" s="174">
        <f>(F138*H138)/1000000</f>
        <v>596024</v>
      </c>
      <c r="K138" s="174">
        <f t="shared" ref="K138:K139" si="46">(+J138/(J$138+J$139))*K$140</f>
        <v>33031.966552209669</v>
      </c>
      <c r="L138" s="221">
        <f t="shared" ref="L138:L139" si="47">(+J138/(J$138+J$139))*L$140</f>
        <v>0.65924094116898646</v>
      </c>
      <c r="M138" s="260">
        <f t="shared" ref="M138:M139" si="48">(+J138/(J$138+J$139))*M$140</f>
        <v>6.9919493760347048E-2</v>
      </c>
      <c r="N138" s="143"/>
      <c r="O138" s="143"/>
      <c r="P138" s="143"/>
      <c r="Q138" s="143"/>
      <c r="R138" s="143"/>
      <c r="S138" s="143"/>
      <c r="T138" s="143"/>
      <c r="U138" s="143"/>
      <c r="V138" s="143"/>
      <c r="W138" s="143"/>
      <c r="X138" s="143"/>
      <c r="Y138" s="143"/>
      <c r="Z138" s="143"/>
      <c r="AA138" s="143"/>
      <c r="AB138" s="143"/>
      <c r="AC138" s="143"/>
      <c r="AD138" s="143"/>
      <c r="AE138" s="143"/>
      <c r="AF138" s="143"/>
      <c r="AG138" s="143"/>
      <c r="AH138" s="143"/>
      <c r="AI138" s="143"/>
      <c r="AJ138" s="143"/>
      <c r="AK138" s="143"/>
      <c r="AL138" s="143"/>
      <c r="AM138" s="143"/>
    </row>
    <row r="139" spans="1:39" ht="12.75" customHeight="1" x14ac:dyDescent="0.25">
      <c r="A139" s="143"/>
      <c r="B139" s="151"/>
      <c r="C139" s="152"/>
      <c r="D139" s="152" t="s">
        <v>277</v>
      </c>
      <c r="E139" s="152" t="s">
        <v>259</v>
      </c>
      <c r="F139" s="161">
        <f>5000</f>
        <v>5000</v>
      </c>
      <c r="G139" s="152" t="s">
        <v>225</v>
      </c>
      <c r="H139" s="161">
        <v>137.25399999999999</v>
      </c>
      <c r="I139" s="152" t="s">
        <v>265</v>
      </c>
      <c r="J139" s="174">
        <f>(F139*H139)/1000</f>
        <v>686.27</v>
      </c>
      <c r="K139" s="174">
        <f t="shared" si="46"/>
        <v>38.033447790332147</v>
      </c>
      <c r="L139" s="221">
        <f t="shared" si="47"/>
        <v>7.5905883101358386E-4</v>
      </c>
      <c r="M139" s="260">
        <f t="shared" si="48"/>
        <v>8.0506239652955864E-5</v>
      </c>
      <c r="N139" s="143"/>
      <c r="O139" s="143"/>
      <c r="P139" s="143"/>
      <c r="Q139" s="143"/>
      <c r="R139" s="143"/>
      <c r="S139" s="143"/>
      <c r="T139" s="143"/>
      <c r="U139" s="143"/>
      <c r="V139" s="143"/>
      <c r="W139" s="143"/>
      <c r="X139" s="143"/>
      <c r="Y139" s="143"/>
      <c r="Z139" s="143"/>
      <c r="AA139" s="143"/>
      <c r="AB139" s="143"/>
      <c r="AC139" s="143"/>
      <c r="AD139" s="143"/>
      <c r="AE139" s="143"/>
      <c r="AF139" s="143"/>
      <c r="AG139" s="143"/>
      <c r="AH139" s="143"/>
      <c r="AI139" s="143"/>
      <c r="AJ139" s="143"/>
      <c r="AK139" s="143"/>
      <c r="AL139" s="143"/>
      <c r="AM139" s="143"/>
    </row>
    <row r="140" spans="1:39" ht="12.75" customHeight="1" x14ac:dyDescent="0.25">
      <c r="A140" s="143"/>
      <c r="B140" s="151"/>
      <c r="C140" s="152"/>
      <c r="D140" s="152"/>
      <c r="E140" s="152"/>
      <c r="F140" s="153"/>
      <c r="G140" s="152"/>
      <c r="H140" s="174"/>
      <c r="I140" s="152"/>
      <c r="J140" s="229">
        <f>J138+J139</f>
        <v>596710.27</v>
      </c>
      <c r="K140" s="243">
        <v>33070</v>
      </c>
      <c r="L140" s="247">
        <v>0.66</v>
      </c>
      <c r="M140" s="449">
        <v>7.0000000000000007E-2</v>
      </c>
      <c r="N140" s="143"/>
      <c r="O140" s="143"/>
      <c r="P140" s="143"/>
      <c r="Q140" s="143"/>
      <c r="R140" s="143"/>
      <c r="S140" s="143"/>
      <c r="T140" s="143"/>
      <c r="U140" s="143"/>
      <c r="V140" s="143"/>
      <c r="W140" s="143"/>
      <c r="X140" s="143"/>
      <c r="Y140" s="143"/>
      <c r="Z140" s="143"/>
      <c r="AA140" s="143"/>
      <c r="AB140" s="143"/>
      <c r="AC140" s="143"/>
      <c r="AD140" s="143"/>
      <c r="AE140" s="143"/>
      <c r="AF140" s="143"/>
      <c r="AG140" s="143"/>
      <c r="AH140" s="143"/>
      <c r="AI140" s="143"/>
      <c r="AJ140" s="143"/>
      <c r="AK140" s="143"/>
      <c r="AL140" s="143"/>
      <c r="AM140" s="143"/>
    </row>
    <row r="141" spans="1:39" ht="12.75" customHeight="1" x14ac:dyDescent="0.25">
      <c r="A141" s="143"/>
      <c r="B141" s="151"/>
      <c r="C141" s="152"/>
      <c r="D141" s="152"/>
      <c r="E141" s="152"/>
      <c r="F141" s="153"/>
      <c r="G141" s="152"/>
      <c r="H141" s="174"/>
      <c r="I141" s="152"/>
      <c r="J141" s="174"/>
      <c r="K141" s="229"/>
      <c r="L141" s="266"/>
      <c r="M141" s="154"/>
      <c r="N141" s="143"/>
      <c r="O141" s="143"/>
      <c r="P141" s="143"/>
      <c r="Q141" s="143"/>
      <c r="R141" s="143"/>
      <c r="S141" s="143"/>
      <c r="T141" s="143"/>
      <c r="U141" s="143"/>
      <c r="V141" s="143"/>
      <c r="W141" s="143"/>
      <c r="X141" s="143"/>
      <c r="Y141" s="143"/>
      <c r="Z141" s="143"/>
      <c r="AA141" s="143"/>
      <c r="AB141" s="143"/>
      <c r="AC141" s="143"/>
      <c r="AD141" s="143"/>
      <c r="AE141" s="143"/>
      <c r="AF141" s="143"/>
      <c r="AG141" s="143"/>
      <c r="AH141" s="143"/>
      <c r="AI141" s="143"/>
      <c r="AJ141" s="143"/>
      <c r="AK141" s="143"/>
      <c r="AL141" s="143"/>
      <c r="AM141" s="143"/>
    </row>
    <row r="142" spans="1:39" ht="12.75" customHeight="1" x14ac:dyDescent="0.25">
      <c r="A142" s="143"/>
      <c r="B142" s="155"/>
      <c r="C142" s="190"/>
      <c r="D142" s="190"/>
      <c r="E142" s="190"/>
      <c r="F142" s="191"/>
      <c r="G142" s="190"/>
      <c r="H142" s="158"/>
      <c r="I142" s="190"/>
      <c r="J142" s="158"/>
      <c r="K142" s="257"/>
      <c r="L142" s="452"/>
      <c r="M142" s="208"/>
      <c r="N142" s="143"/>
      <c r="O142" s="143"/>
      <c r="P142" s="143"/>
      <c r="Q142" s="143"/>
      <c r="R142" s="143"/>
      <c r="S142" s="143"/>
      <c r="T142" s="143"/>
      <c r="U142" s="143"/>
      <c r="V142" s="143"/>
      <c r="W142" s="143"/>
      <c r="X142" s="143"/>
      <c r="Y142" s="143"/>
      <c r="Z142" s="143"/>
      <c r="AA142" s="143"/>
      <c r="AB142" s="143"/>
      <c r="AC142" s="143"/>
      <c r="AD142" s="143"/>
      <c r="AE142" s="143"/>
      <c r="AF142" s="143"/>
      <c r="AG142" s="143"/>
      <c r="AH142" s="143"/>
      <c r="AI142" s="143"/>
      <c r="AJ142" s="143"/>
      <c r="AK142" s="143"/>
      <c r="AL142" s="143"/>
      <c r="AM142" s="143"/>
    </row>
    <row r="143" spans="1:39" ht="12.75" customHeight="1" x14ac:dyDescent="0.25">
      <c r="A143" s="143"/>
      <c r="B143" s="151" t="s">
        <v>597</v>
      </c>
      <c r="C143" s="453" t="s">
        <v>598</v>
      </c>
      <c r="D143" s="152"/>
      <c r="E143" s="152"/>
      <c r="F143" s="161"/>
      <c r="G143" s="152"/>
      <c r="H143" s="174"/>
      <c r="I143" s="152"/>
      <c r="J143" s="152"/>
      <c r="K143" s="174"/>
      <c r="L143" s="221"/>
      <c r="M143" s="154"/>
      <c r="N143" s="143"/>
      <c r="O143" s="143"/>
      <c r="P143" s="143"/>
      <c r="Q143" s="143"/>
      <c r="R143" s="143"/>
      <c r="S143" s="143"/>
      <c r="T143" s="143"/>
      <c r="U143" s="143"/>
      <c r="V143" s="143"/>
      <c r="W143" s="143"/>
      <c r="X143" s="143"/>
      <c r="Y143" s="143"/>
      <c r="Z143" s="143"/>
      <c r="AA143" s="143"/>
      <c r="AB143" s="143"/>
      <c r="AC143" s="143"/>
      <c r="AD143" s="143"/>
      <c r="AE143" s="143"/>
      <c r="AF143" s="143"/>
      <c r="AG143" s="143"/>
      <c r="AH143" s="143"/>
      <c r="AI143" s="143"/>
      <c r="AJ143" s="143"/>
      <c r="AK143" s="143"/>
      <c r="AL143" s="143"/>
      <c r="AM143" s="143"/>
    </row>
    <row r="144" spans="1:39" ht="12.75" customHeight="1" x14ac:dyDescent="0.25">
      <c r="A144" s="143"/>
      <c r="B144" s="151"/>
      <c r="C144" s="152" t="s">
        <v>599</v>
      </c>
      <c r="D144" s="152" t="s">
        <v>600</v>
      </c>
      <c r="E144" s="152" t="s">
        <v>235</v>
      </c>
      <c r="F144" s="454">
        <f>0*1000</f>
        <v>0</v>
      </c>
      <c r="G144" s="152" t="s">
        <v>225</v>
      </c>
      <c r="H144" s="174">
        <v>138.774</v>
      </c>
      <c r="I144" s="152" t="s">
        <v>601</v>
      </c>
      <c r="J144" s="426">
        <f>(F144*H144)/1000</f>
        <v>0</v>
      </c>
      <c r="K144" s="454">
        <v>0</v>
      </c>
      <c r="L144" s="213">
        <v>0</v>
      </c>
      <c r="M144" s="214">
        <v>0</v>
      </c>
      <c r="N144" s="143"/>
      <c r="O144" s="143"/>
      <c r="P144" s="143"/>
      <c r="Q144" s="143"/>
      <c r="R144" s="143"/>
      <c r="S144" s="143"/>
      <c r="T144" s="143"/>
      <c r="U144" s="143"/>
      <c r="V144" s="143"/>
      <c r="W144" s="143"/>
      <c r="X144" s="143"/>
      <c r="Y144" s="143"/>
      <c r="Z144" s="143"/>
      <c r="AA144" s="143"/>
      <c r="AB144" s="143"/>
      <c r="AC144" s="143"/>
      <c r="AD144" s="143"/>
      <c r="AE144" s="143"/>
      <c r="AF144" s="143"/>
      <c r="AG144" s="143"/>
      <c r="AH144" s="143"/>
      <c r="AI144" s="143"/>
      <c r="AJ144" s="143"/>
      <c r="AK144" s="143"/>
      <c r="AL144" s="143"/>
      <c r="AM144" s="143"/>
    </row>
    <row r="145" spans="1:39" ht="12.75" customHeight="1" x14ac:dyDescent="0.25">
      <c r="A145" s="143"/>
      <c r="B145" s="151"/>
      <c r="C145" s="152"/>
      <c r="D145" s="152"/>
      <c r="E145" s="455"/>
      <c r="F145" s="454"/>
      <c r="G145" s="455"/>
      <c r="H145" s="174"/>
      <c r="I145" s="455"/>
      <c r="J145" s="286"/>
      <c r="K145" s="213"/>
      <c r="L145" s="213"/>
      <c r="M145" s="214"/>
      <c r="N145" s="143"/>
      <c r="O145" s="143"/>
      <c r="P145" s="143"/>
      <c r="Q145" s="143"/>
      <c r="R145" s="143"/>
      <c r="S145" s="143"/>
      <c r="T145" s="143"/>
      <c r="U145" s="143"/>
      <c r="V145" s="143"/>
      <c r="W145" s="143"/>
      <c r="X145" s="143"/>
      <c r="Y145" s="143"/>
      <c r="Z145" s="143"/>
      <c r="AA145" s="143"/>
      <c r="AB145" s="143"/>
      <c r="AC145" s="143"/>
      <c r="AD145" s="143"/>
      <c r="AE145" s="143"/>
      <c r="AF145" s="143"/>
      <c r="AG145" s="143"/>
      <c r="AH145" s="143"/>
      <c r="AI145" s="143"/>
      <c r="AJ145" s="143"/>
      <c r="AK145" s="143"/>
      <c r="AL145" s="143"/>
      <c r="AM145" s="143"/>
    </row>
    <row r="146" spans="1:39" ht="12.75" customHeight="1" x14ac:dyDescent="0.25">
      <c r="A146" s="143"/>
      <c r="B146" s="151"/>
      <c r="C146" s="152" t="s">
        <v>602</v>
      </c>
      <c r="D146" s="152" t="s">
        <v>603</v>
      </c>
      <c r="E146" s="152" t="s">
        <v>439</v>
      </c>
      <c r="F146" s="454">
        <f>0*1000000</f>
        <v>0</v>
      </c>
      <c r="G146" s="152" t="s">
        <v>437</v>
      </c>
      <c r="H146" s="174">
        <v>1020</v>
      </c>
      <c r="I146" s="152" t="s">
        <v>601</v>
      </c>
      <c r="J146" s="426">
        <f>(F146*H146)/1000000</f>
        <v>0</v>
      </c>
      <c r="K146" s="454">
        <v>0</v>
      </c>
      <c r="L146" s="213">
        <v>0</v>
      </c>
      <c r="M146" s="214">
        <v>0</v>
      </c>
      <c r="N146" s="143"/>
      <c r="O146" s="143"/>
      <c r="P146" s="143"/>
      <c r="Q146" s="143"/>
      <c r="R146" s="143"/>
      <c r="S146" s="143"/>
      <c r="T146" s="143"/>
      <c r="U146" s="143"/>
      <c r="V146" s="143"/>
      <c r="W146" s="143"/>
      <c r="X146" s="143"/>
      <c r="Y146" s="143"/>
      <c r="Z146" s="143"/>
      <c r="AA146" s="143"/>
      <c r="AB146" s="143"/>
      <c r="AC146" s="143"/>
      <c r="AD146" s="143"/>
      <c r="AE146" s="143"/>
      <c r="AF146" s="143"/>
      <c r="AG146" s="143"/>
      <c r="AH146" s="143"/>
      <c r="AI146" s="143"/>
      <c r="AJ146" s="143"/>
      <c r="AK146" s="143"/>
      <c r="AL146" s="143"/>
      <c r="AM146" s="143"/>
    </row>
    <row r="147" spans="1:39" ht="12.75" customHeight="1" x14ac:dyDescent="0.25">
      <c r="A147" s="143"/>
      <c r="B147" s="151"/>
      <c r="C147" s="152"/>
      <c r="D147" s="152"/>
      <c r="E147" s="455"/>
      <c r="F147" s="302"/>
      <c r="G147" s="455"/>
      <c r="H147" s="174"/>
      <c r="I147" s="455"/>
      <c r="J147" s="286"/>
      <c r="K147" s="213"/>
      <c r="L147" s="213"/>
      <c r="M147" s="214"/>
      <c r="N147" s="143"/>
      <c r="O147" s="143"/>
      <c r="P147" s="143"/>
      <c r="Q147" s="143"/>
      <c r="R147" s="143"/>
      <c r="S147" s="143"/>
      <c r="T147" s="143"/>
      <c r="U147" s="143"/>
      <c r="V147" s="143"/>
      <c r="W147" s="143"/>
      <c r="X147" s="143"/>
      <c r="Y147" s="143"/>
      <c r="Z147" s="143"/>
      <c r="AA147" s="143"/>
      <c r="AB147" s="143"/>
      <c r="AC147" s="143"/>
      <c r="AD147" s="143"/>
      <c r="AE147" s="143"/>
      <c r="AF147" s="143"/>
      <c r="AG147" s="143"/>
      <c r="AH147" s="143"/>
      <c r="AI147" s="143"/>
      <c r="AJ147" s="143"/>
      <c r="AK147" s="143"/>
      <c r="AL147" s="143"/>
      <c r="AM147" s="143"/>
    </row>
    <row r="148" spans="1:39" ht="12.75" customHeight="1" x14ac:dyDescent="0.25">
      <c r="A148" s="143"/>
      <c r="B148" s="151"/>
      <c r="C148" s="152" t="s">
        <v>604</v>
      </c>
      <c r="D148" s="152" t="s">
        <v>605</v>
      </c>
      <c r="E148" s="152" t="s">
        <v>235</v>
      </c>
      <c r="F148" s="302">
        <v>0</v>
      </c>
      <c r="G148" s="152" t="s">
        <v>225</v>
      </c>
      <c r="H148" s="174">
        <v>137</v>
      </c>
      <c r="I148" s="455" t="s">
        <v>265</v>
      </c>
      <c r="J148" s="426">
        <f>(F148*H148)/1000</f>
        <v>0</v>
      </c>
      <c r="K148" s="213">
        <v>0</v>
      </c>
      <c r="L148" s="213">
        <v>0</v>
      </c>
      <c r="M148" s="214">
        <v>0</v>
      </c>
      <c r="N148" s="143"/>
      <c r="O148" s="143"/>
      <c r="P148" s="143"/>
      <c r="Q148" s="143"/>
      <c r="R148" s="143"/>
      <c r="S148" s="143"/>
      <c r="T148" s="143"/>
      <c r="U148" s="143"/>
      <c r="V148" s="143"/>
      <c r="W148" s="143"/>
      <c r="X148" s="143"/>
      <c r="Y148" s="143"/>
      <c r="Z148" s="143"/>
      <c r="AA148" s="143"/>
      <c r="AB148" s="143"/>
      <c r="AC148" s="143"/>
      <c r="AD148" s="143"/>
      <c r="AE148" s="143"/>
      <c r="AF148" s="143"/>
      <c r="AG148" s="143"/>
      <c r="AH148" s="143"/>
      <c r="AI148" s="143"/>
      <c r="AJ148" s="143"/>
      <c r="AK148" s="143"/>
      <c r="AL148" s="143"/>
      <c r="AM148" s="143"/>
    </row>
    <row r="149" spans="1:39" ht="12.75" customHeight="1" x14ac:dyDescent="0.25">
      <c r="A149" s="143"/>
      <c r="B149" s="151"/>
      <c r="C149" s="152"/>
      <c r="D149" s="152"/>
      <c r="E149" s="455"/>
      <c r="F149" s="302"/>
      <c r="G149" s="455"/>
      <c r="H149" s="174"/>
      <c r="I149" s="455"/>
      <c r="J149" s="286"/>
      <c r="K149" s="213"/>
      <c r="L149" s="213"/>
      <c r="M149" s="214"/>
      <c r="N149" s="143"/>
      <c r="O149" s="143"/>
      <c r="P149" s="143"/>
      <c r="Q149" s="143"/>
      <c r="R149" s="143"/>
      <c r="S149" s="143"/>
      <c r="T149" s="143"/>
      <c r="U149" s="143"/>
      <c r="V149" s="143"/>
      <c r="W149" s="143"/>
      <c r="X149" s="143"/>
      <c r="Y149" s="143"/>
      <c r="Z149" s="143"/>
      <c r="AA149" s="143"/>
      <c r="AB149" s="143"/>
      <c r="AC149" s="143"/>
      <c r="AD149" s="143"/>
      <c r="AE149" s="143"/>
      <c r="AF149" s="143"/>
      <c r="AG149" s="143"/>
      <c r="AH149" s="143"/>
      <c r="AI149" s="143"/>
      <c r="AJ149" s="143"/>
      <c r="AK149" s="143"/>
      <c r="AL149" s="143"/>
      <c r="AM149" s="143"/>
    </row>
    <row r="150" spans="1:39" ht="12.75" customHeight="1" x14ac:dyDescent="0.25">
      <c r="A150" s="143"/>
      <c r="B150" s="151"/>
      <c r="C150" s="152" t="s">
        <v>606</v>
      </c>
      <c r="D150" s="152" t="s">
        <v>607</v>
      </c>
      <c r="E150" s="152" t="s">
        <v>235</v>
      </c>
      <c r="F150" s="302">
        <v>0</v>
      </c>
      <c r="G150" s="152" t="s">
        <v>225</v>
      </c>
      <c r="H150" s="174">
        <v>137</v>
      </c>
      <c r="I150" s="455" t="s">
        <v>265</v>
      </c>
      <c r="J150" s="426">
        <f>(F150*H150)/1000</f>
        <v>0</v>
      </c>
      <c r="K150" s="213">
        <v>0</v>
      </c>
      <c r="L150" s="213">
        <v>0</v>
      </c>
      <c r="M150" s="214">
        <v>0</v>
      </c>
      <c r="N150" s="143"/>
      <c r="O150" s="143"/>
      <c r="P150" s="143"/>
      <c r="Q150" s="143"/>
      <c r="R150" s="143"/>
      <c r="S150" s="143"/>
      <c r="T150" s="143"/>
      <c r="U150" s="143"/>
      <c r="V150" s="143"/>
      <c r="W150" s="143"/>
      <c r="X150" s="143"/>
      <c r="Y150" s="143"/>
      <c r="Z150" s="143"/>
      <c r="AA150" s="143"/>
      <c r="AB150" s="143"/>
      <c r="AC150" s="143"/>
      <c r="AD150" s="143"/>
      <c r="AE150" s="143"/>
      <c r="AF150" s="143"/>
      <c r="AG150" s="143"/>
      <c r="AH150" s="143"/>
      <c r="AI150" s="143"/>
      <c r="AJ150" s="143"/>
      <c r="AK150" s="143"/>
      <c r="AL150" s="143"/>
      <c r="AM150" s="143"/>
    </row>
    <row r="151" spans="1:39" ht="12.75" customHeight="1" x14ac:dyDescent="0.25">
      <c r="A151" s="143"/>
      <c r="B151" s="151"/>
      <c r="C151" s="152"/>
      <c r="D151" s="152"/>
      <c r="E151" s="152"/>
      <c r="F151" s="153"/>
      <c r="G151" s="152"/>
      <c r="H151" s="174"/>
      <c r="I151" s="455"/>
      <c r="J151" s="229"/>
      <c r="K151" s="152"/>
      <c r="L151" s="152"/>
      <c r="M151" s="154"/>
      <c r="N151" s="143"/>
      <c r="O151" s="143"/>
      <c r="P151" s="143"/>
      <c r="Q151" s="143"/>
      <c r="R151" s="143"/>
      <c r="S151" s="143"/>
      <c r="T151" s="143"/>
      <c r="U151" s="143"/>
      <c r="V151" s="143"/>
      <c r="W151" s="143"/>
      <c r="X151" s="143"/>
      <c r="Y151" s="143"/>
      <c r="Z151" s="143"/>
      <c r="AA151" s="143"/>
      <c r="AB151" s="143"/>
      <c r="AC151" s="143"/>
      <c r="AD151" s="143"/>
      <c r="AE151" s="143"/>
      <c r="AF151" s="143"/>
      <c r="AG151" s="143"/>
      <c r="AH151" s="143"/>
      <c r="AI151" s="143"/>
      <c r="AJ151" s="143"/>
      <c r="AK151" s="143"/>
      <c r="AL151" s="143"/>
      <c r="AM151" s="143"/>
    </row>
    <row r="152" spans="1:39" ht="12.75" customHeight="1" x14ac:dyDescent="0.25">
      <c r="A152" s="143"/>
      <c r="B152" s="155"/>
      <c r="C152" s="190"/>
      <c r="D152" s="190"/>
      <c r="E152" s="190"/>
      <c r="F152" s="191"/>
      <c r="G152" s="190"/>
      <c r="H152" s="158"/>
      <c r="I152" s="267"/>
      <c r="J152" s="257"/>
      <c r="K152" s="190"/>
      <c r="L152" s="190"/>
      <c r="M152" s="208"/>
      <c r="N152" s="143"/>
      <c r="O152" s="143"/>
      <c r="P152" s="143"/>
      <c r="Q152" s="143"/>
      <c r="R152" s="143"/>
      <c r="S152" s="143"/>
      <c r="T152" s="143"/>
      <c r="U152" s="143"/>
      <c r="V152" s="143"/>
      <c r="W152" s="143"/>
      <c r="X152" s="143"/>
      <c r="Y152" s="143"/>
      <c r="Z152" s="143"/>
      <c r="AA152" s="143"/>
      <c r="AB152" s="143"/>
      <c r="AC152" s="143"/>
      <c r="AD152" s="143"/>
      <c r="AE152" s="143"/>
      <c r="AF152" s="143"/>
      <c r="AG152" s="143"/>
      <c r="AH152" s="143"/>
      <c r="AI152" s="143"/>
      <c r="AJ152" s="143"/>
      <c r="AK152" s="143"/>
      <c r="AL152" s="143"/>
      <c r="AM152" s="143"/>
    </row>
    <row r="153" spans="1:39" ht="12.75" customHeight="1" x14ac:dyDescent="0.25">
      <c r="A153" s="143"/>
      <c r="B153" s="151" t="s">
        <v>278</v>
      </c>
      <c r="C153" s="301" t="s">
        <v>279</v>
      </c>
      <c r="D153" s="152"/>
      <c r="E153" s="152"/>
      <c r="F153" s="152"/>
      <c r="G153" s="152"/>
      <c r="H153" s="152"/>
      <c r="I153" s="152"/>
      <c r="J153" s="152"/>
      <c r="K153" s="152"/>
      <c r="L153" s="152"/>
      <c r="M153" s="154"/>
      <c r="N153" s="143"/>
      <c r="O153" s="143"/>
      <c r="P153" s="143"/>
      <c r="Q153" s="143"/>
      <c r="R153" s="143"/>
      <c r="S153" s="143"/>
      <c r="T153" s="143"/>
      <c r="U153" s="143"/>
      <c r="V153" s="143"/>
      <c r="W153" s="143"/>
      <c r="X153" s="143"/>
      <c r="Y153" s="143"/>
      <c r="Z153" s="143"/>
      <c r="AA153" s="143"/>
      <c r="AB153" s="143"/>
      <c r="AC153" s="143"/>
      <c r="AD153" s="143"/>
      <c r="AE153" s="143"/>
      <c r="AF153" s="143"/>
      <c r="AG153" s="143"/>
      <c r="AH153" s="143"/>
      <c r="AI153" s="143"/>
      <c r="AJ153" s="143"/>
      <c r="AK153" s="143"/>
      <c r="AL153" s="143"/>
      <c r="AM153" s="143"/>
    </row>
    <row r="154" spans="1:39" ht="12.75" customHeight="1" x14ac:dyDescent="0.25">
      <c r="A154" s="143"/>
      <c r="B154" s="151"/>
      <c r="C154" s="152" t="s">
        <v>280</v>
      </c>
      <c r="D154" s="152" t="s">
        <v>281</v>
      </c>
      <c r="E154" s="152" t="s">
        <v>409</v>
      </c>
      <c r="F154" s="194">
        <f>166370</f>
        <v>166370</v>
      </c>
      <c r="G154" s="152" t="s">
        <v>225</v>
      </c>
      <c r="H154" s="194">
        <v>151319</v>
      </c>
      <c r="I154" s="152" t="s">
        <v>282</v>
      </c>
      <c r="J154" s="270">
        <f t="shared" ref="J154:J155" si="49">F154*H154/1000000</f>
        <v>25174.942029999998</v>
      </c>
      <c r="K154" s="270">
        <f>J154/J156*K156</f>
        <v>1824.2218335431073</v>
      </c>
      <c r="L154" s="272">
        <v>0.11</v>
      </c>
      <c r="M154" s="273">
        <v>0</v>
      </c>
      <c r="N154" s="143"/>
      <c r="O154" s="143"/>
      <c r="P154" s="143"/>
      <c r="Q154" s="143"/>
      <c r="R154" s="143"/>
      <c r="S154" s="143"/>
      <c r="T154" s="143"/>
      <c r="U154" s="143"/>
      <c r="V154" s="143"/>
      <c r="W154" s="143"/>
      <c r="X154" s="143"/>
      <c r="Y154" s="143"/>
      <c r="Z154" s="143"/>
      <c r="AA154" s="143"/>
      <c r="AB154" s="143"/>
      <c r="AC154" s="143"/>
      <c r="AD154" s="143"/>
      <c r="AE154" s="143"/>
      <c r="AF154" s="143"/>
      <c r="AG154" s="143"/>
      <c r="AH154" s="143"/>
      <c r="AI154" s="143"/>
      <c r="AJ154" s="143"/>
      <c r="AK154" s="143"/>
      <c r="AL154" s="143"/>
      <c r="AM154" s="143"/>
    </row>
    <row r="155" spans="1:39" ht="12.75" customHeight="1" x14ac:dyDescent="0.25">
      <c r="A155" s="143"/>
      <c r="B155" s="151"/>
      <c r="C155" s="152"/>
      <c r="D155" s="152"/>
      <c r="E155" s="152" t="s">
        <v>235</v>
      </c>
      <c r="F155" s="194">
        <f>12848</f>
        <v>12848</v>
      </c>
      <c r="G155" s="152" t="s">
        <v>225</v>
      </c>
      <c r="H155" s="194">
        <v>138324</v>
      </c>
      <c r="I155" s="152" t="s">
        <v>282</v>
      </c>
      <c r="J155" s="270">
        <f t="shared" si="49"/>
        <v>1777.1867520000001</v>
      </c>
      <c r="K155" s="271">
        <f>J155/J156*K156</f>
        <v>128.77816645689254</v>
      </c>
      <c r="L155" s="272">
        <v>1E-3</v>
      </c>
      <c r="M155" s="273">
        <v>0</v>
      </c>
      <c r="N155" s="143"/>
      <c r="O155" s="143"/>
      <c r="P155" s="143"/>
      <c r="Q155" s="143"/>
      <c r="R155" s="143"/>
      <c r="S155" s="143"/>
      <c r="T155" s="143"/>
      <c r="U155" s="143"/>
      <c r="V155" s="143"/>
      <c r="W155" s="143"/>
      <c r="X155" s="143"/>
      <c r="Y155" s="143"/>
      <c r="Z155" s="143"/>
      <c r="AA155" s="143"/>
      <c r="AB155" s="143"/>
      <c r="AC155" s="143"/>
      <c r="AD155" s="143"/>
      <c r="AE155" s="143"/>
      <c r="AF155" s="143"/>
      <c r="AG155" s="143"/>
      <c r="AH155" s="143"/>
      <c r="AI155" s="143"/>
      <c r="AJ155" s="143"/>
      <c r="AK155" s="143"/>
      <c r="AL155" s="143"/>
      <c r="AM155" s="143"/>
    </row>
    <row r="156" spans="1:39" ht="12.75" customHeight="1" x14ac:dyDescent="0.25">
      <c r="A156" s="143"/>
      <c r="B156" s="151"/>
      <c r="C156" s="152"/>
      <c r="D156" s="152"/>
      <c r="E156" s="152"/>
      <c r="F156" s="290"/>
      <c r="G156" s="179"/>
      <c r="H156" s="210"/>
      <c r="I156" s="179"/>
      <c r="J156" s="456">
        <f>SUM(J154:J155)</f>
        <v>26952.128782</v>
      </c>
      <c r="K156" s="306">
        <v>1953</v>
      </c>
      <c r="L156" s="279">
        <v>7.0000000000000007E-2</v>
      </c>
      <c r="M156" s="274">
        <v>0.01</v>
      </c>
      <c r="N156" s="143"/>
      <c r="O156" s="143"/>
      <c r="P156" s="143"/>
      <c r="Q156" s="143"/>
      <c r="R156" s="143"/>
      <c r="S156" s="143"/>
      <c r="T156" s="143"/>
      <c r="U156" s="143"/>
      <c r="V156" s="143"/>
      <c r="W156" s="143"/>
      <c r="X156" s="143"/>
      <c r="Y156" s="143"/>
      <c r="Z156" s="143"/>
      <c r="AA156" s="143"/>
      <c r="AB156" s="143"/>
      <c r="AC156" s="143"/>
      <c r="AD156" s="143"/>
      <c r="AE156" s="143"/>
      <c r="AF156" s="143"/>
      <c r="AG156" s="143"/>
      <c r="AH156" s="143"/>
      <c r="AI156" s="143"/>
      <c r="AJ156" s="143"/>
      <c r="AK156" s="143"/>
      <c r="AL156" s="143"/>
      <c r="AM156" s="143"/>
    </row>
    <row r="157" spans="1:39" ht="12.75" customHeight="1" x14ac:dyDescent="0.25">
      <c r="A157" s="143"/>
      <c r="B157" s="151"/>
      <c r="C157" s="152"/>
      <c r="D157" s="152"/>
      <c r="E157" s="152"/>
      <c r="F157" s="290"/>
      <c r="G157" s="152"/>
      <c r="H157" s="290"/>
      <c r="I157" s="152"/>
      <c r="J157" s="152"/>
      <c r="K157" s="290"/>
      <c r="L157" s="290"/>
      <c r="M157" s="273"/>
      <c r="N157" s="143"/>
      <c r="O157" s="143"/>
      <c r="P157" s="143"/>
      <c r="Q157" s="143"/>
      <c r="R157" s="143"/>
      <c r="S157" s="143"/>
      <c r="T157" s="143"/>
      <c r="U157" s="143"/>
      <c r="V157" s="143"/>
      <c r="W157" s="143"/>
      <c r="X157" s="143"/>
      <c r="Y157" s="143"/>
      <c r="Z157" s="143"/>
      <c r="AA157" s="143"/>
      <c r="AB157" s="143"/>
      <c r="AC157" s="143"/>
      <c r="AD157" s="143"/>
      <c r="AE157" s="143"/>
      <c r="AF157" s="143"/>
      <c r="AG157" s="143"/>
      <c r="AH157" s="143"/>
      <c r="AI157" s="143"/>
      <c r="AJ157" s="143"/>
      <c r="AK157" s="143"/>
      <c r="AL157" s="143"/>
      <c r="AM157" s="143"/>
    </row>
    <row r="158" spans="1:39" ht="12.75" customHeight="1" x14ac:dyDescent="0.25">
      <c r="A158" s="143"/>
      <c r="B158" s="151"/>
      <c r="C158" s="152" t="s">
        <v>283</v>
      </c>
      <c r="D158" s="152" t="s">
        <v>284</v>
      </c>
      <c r="E158" s="152" t="s">
        <v>235</v>
      </c>
      <c r="F158" s="194">
        <v>16932</v>
      </c>
      <c r="G158" s="152" t="s">
        <v>225</v>
      </c>
      <c r="H158" s="194">
        <v>138324</v>
      </c>
      <c r="I158" s="152" t="s">
        <v>282</v>
      </c>
      <c r="J158" s="229">
        <f>F158*H158/1000000</f>
        <v>2342.1019679999999</v>
      </c>
      <c r="K158" s="210">
        <v>190.94</v>
      </c>
      <c r="L158" s="210">
        <v>0.01</v>
      </c>
      <c r="M158" s="274">
        <v>0</v>
      </c>
      <c r="N158" s="143"/>
      <c r="O158" s="143"/>
      <c r="P158" s="143"/>
      <c r="Q158" s="143"/>
      <c r="R158" s="143"/>
      <c r="S158" s="143"/>
      <c r="T158" s="143"/>
      <c r="U158" s="143"/>
      <c r="V158" s="143"/>
      <c r="W158" s="143"/>
      <c r="X158" s="143"/>
      <c r="Y158" s="143"/>
      <c r="Z158" s="143"/>
      <c r="AA158" s="143"/>
      <c r="AB158" s="143"/>
      <c r="AC158" s="143"/>
      <c r="AD158" s="143"/>
      <c r="AE158" s="143"/>
      <c r="AF158" s="143"/>
      <c r="AG158" s="143"/>
      <c r="AH158" s="143"/>
      <c r="AI158" s="143"/>
      <c r="AJ158" s="143"/>
      <c r="AK158" s="143"/>
      <c r="AL158" s="143"/>
      <c r="AM158" s="143"/>
    </row>
    <row r="159" spans="1:39" ht="12.75" customHeight="1" x14ac:dyDescent="0.25">
      <c r="A159" s="143"/>
      <c r="B159" s="151"/>
      <c r="C159" s="152"/>
      <c r="D159" s="152"/>
      <c r="E159" s="152"/>
      <c r="F159" s="290"/>
      <c r="G159" s="152"/>
      <c r="H159" s="290"/>
      <c r="I159" s="152"/>
      <c r="J159" s="221"/>
      <c r="K159" s="290"/>
      <c r="L159" s="210"/>
      <c r="M159" s="273"/>
      <c r="N159" s="143"/>
      <c r="O159" s="143"/>
      <c r="P159" s="143"/>
      <c r="Q159" s="143"/>
      <c r="R159" s="143"/>
      <c r="S159" s="143"/>
      <c r="T159" s="143"/>
      <c r="U159" s="143"/>
      <c r="V159" s="143"/>
      <c r="W159" s="143"/>
      <c r="X159" s="143"/>
      <c r="Y159" s="143"/>
      <c r="Z159" s="143"/>
      <c r="AA159" s="143"/>
      <c r="AB159" s="143"/>
      <c r="AC159" s="143"/>
      <c r="AD159" s="143"/>
      <c r="AE159" s="143"/>
      <c r="AF159" s="143"/>
      <c r="AG159" s="143"/>
      <c r="AH159" s="143"/>
      <c r="AI159" s="143"/>
      <c r="AJ159" s="143"/>
      <c r="AK159" s="143"/>
      <c r="AL159" s="143"/>
      <c r="AM159" s="143"/>
    </row>
    <row r="160" spans="1:39" ht="12.75" customHeight="1" x14ac:dyDescent="0.25">
      <c r="A160" s="143"/>
      <c r="B160" s="151"/>
      <c r="C160" s="152" t="s">
        <v>285</v>
      </c>
      <c r="D160" s="152" t="s">
        <v>286</v>
      </c>
      <c r="E160" s="152" t="s">
        <v>235</v>
      </c>
      <c r="F160" s="194">
        <v>20793</v>
      </c>
      <c r="G160" s="152" t="s">
        <v>225</v>
      </c>
      <c r="H160" s="194">
        <v>138324</v>
      </c>
      <c r="I160" s="152" t="s">
        <v>282</v>
      </c>
      <c r="J160" s="229">
        <f>F160*H160/1000000</f>
        <v>2876.170932</v>
      </c>
      <c r="K160" s="247">
        <v>234.48</v>
      </c>
      <c r="L160" s="210">
        <v>0.01</v>
      </c>
      <c r="M160" s="274">
        <v>0</v>
      </c>
      <c r="N160" s="143"/>
      <c r="O160" s="143"/>
      <c r="P160" s="143"/>
      <c r="Q160" s="143"/>
      <c r="R160" s="143"/>
      <c r="S160" s="143"/>
      <c r="T160" s="143"/>
      <c r="U160" s="143"/>
      <c r="V160" s="143"/>
      <c r="W160" s="143"/>
      <c r="X160" s="143"/>
      <c r="Y160" s="143"/>
      <c r="Z160" s="143"/>
      <c r="AA160" s="143"/>
      <c r="AB160" s="143"/>
      <c r="AC160" s="143"/>
      <c r="AD160" s="143"/>
      <c r="AE160" s="143"/>
      <c r="AF160" s="143"/>
      <c r="AG160" s="143"/>
      <c r="AH160" s="143"/>
      <c r="AI160" s="143"/>
      <c r="AJ160" s="143"/>
      <c r="AK160" s="143"/>
      <c r="AL160" s="143"/>
      <c r="AM160" s="143"/>
    </row>
    <row r="161" spans="1:39" ht="12.75" customHeight="1" x14ac:dyDescent="0.25">
      <c r="A161" s="143"/>
      <c r="B161" s="151"/>
      <c r="C161" s="152"/>
      <c r="D161" s="152"/>
      <c r="E161" s="152"/>
      <c r="F161" s="270"/>
      <c r="G161" s="152"/>
      <c r="H161" s="270"/>
      <c r="I161" s="152"/>
      <c r="J161" s="174"/>
      <c r="K161" s="276"/>
      <c r="L161" s="152"/>
      <c r="M161" s="154"/>
      <c r="N161" s="143"/>
      <c r="O161" s="143"/>
      <c r="P161" s="143"/>
      <c r="Q161" s="143"/>
      <c r="R161" s="143"/>
      <c r="S161" s="143"/>
      <c r="T161" s="143"/>
      <c r="U161" s="143"/>
      <c r="V161" s="143"/>
      <c r="W161" s="143"/>
      <c r="X161" s="143"/>
      <c r="Y161" s="143"/>
      <c r="Z161" s="143"/>
      <c r="AA161" s="143"/>
      <c r="AB161" s="143"/>
      <c r="AC161" s="143"/>
      <c r="AD161" s="143"/>
      <c r="AE161" s="143"/>
      <c r="AF161" s="143"/>
      <c r="AG161" s="143"/>
      <c r="AH161" s="143"/>
      <c r="AI161" s="143"/>
      <c r="AJ161" s="143"/>
      <c r="AK161" s="143"/>
      <c r="AL161" s="143"/>
      <c r="AM161" s="143"/>
    </row>
    <row r="162" spans="1:39" ht="12.75" customHeight="1" x14ac:dyDescent="0.25">
      <c r="A162" s="143"/>
      <c r="B162" s="155"/>
      <c r="C162" s="190"/>
      <c r="D162" s="190"/>
      <c r="E162" s="190"/>
      <c r="F162" s="190"/>
      <c r="G162" s="190"/>
      <c r="H162" s="190"/>
      <c r="I162" s="190"/>
      <c r="J162" s="190"/>
      <c r="K162" s="190"/>
      <c r="L162" s="190"/>
      <c r="M162" s="208"/>
      <c r="N162" s="143"/>
      <c r="O162" s="143"/>
      <c r="P162" s="143"/>
      <c r="Q162" s="143"/>
      <c r="R162" s="143"/>
      <c r="S162" s="143"/>
      <c r="T162" s="143"/>
      <c r="U162" s="143"/>
      <c r="V162" s="143"/>
      <c r="W162" s="143"/>
      <c r="X162" s="143"/>
      <c r="Y162" s="143"/>
      <c r="Z162" s="143"/>
      <c r="AA162" s="143"/>
      <c r="AB162" s="143"/>
      <c r="AC162" s="143"/>
      <c r="AD162" s="143"/>
      <c r="AE162" s="143"/>
      <c r="AF162" s="143"/>
      <c r="AG162" s="143"/>
      <c r="AH162" s="143"/>
      <c r="AI162" s="143"/>
      <c r="AJ162" s="143"/>
      <c r="AK162" s="143"/>
      <c r="AL162" s="143"/>
      <c r="AM162" s="143"/>
    </row>
    <row r="163" spans="1:39" ht="12.75" customHeight="1" x14ac:dyDescent="0.25">
      <c r="A163" s="143"/>
      <c r="B163" s="151" t="s">
        <v>449</v>
      </c>
      <c r="C163" s="301" t="s">
        <v>450</v>
      </c>
      <c r="D163" s="152"/>
      <c r="E163" s="152"/>
      <c r="F163" s="152"/>
      <c r="G163" s="152"/>
      <c r="H163" s="152"/>
      <c r="I163" s="152"/>
      <c r="J163" s="152"/>
      <c r="K163" s="152"/>
      <c r="L163" s="152"/>
      <c r="M163" s="154"/>
      <c r="N163" s="143"/>
      <c r="O163" s="143"/>
      <c r="P163" s="143"/>
      <c r="Q163" s="143"/>
      <c r="R163" s="143"/>
      <c r="S163" s="143"/>
      <c r="T163" s="143"/>
      <c r="U163" s="143"/>
      <c r="V163" s="143"/>
      <c r="W163" s="143"/>
      <c r="X163" s="143"/>
      <c r="Y163" s="143"/>
      <c r="Z163" s="143"/>
      <c r="AA163" s="143"/>
      <c r="AB163" s="143"/>
      <c r="AC163" s="143"/>
      <c r="AD163" s="143"/>
      <c r="AE163" s="143"/>
      <c r="AF163" s="143"/>
      <c r="AG163" s="143"/>
      <c r="AH163" s="143"/>
      <c r="AI163" s="143"/>
      <c r="AJ163" s="143"/>
      <c r="AK163" s="143"/>
      <c r="AL163" s="143"/>
      <c r="AM163" s="143"/>
    </row>
    <row r="164" spans="1:39" ht="12.75" customHeight="1" x14ac:dyDescent="0.25">
      <c r="A164" s="143"/>
      <c r="B164" s="151"/>
      <c r="C164" s="152" t="s">
        <v>451</v>
      </c>
      <c r="D164" s="152" t="s">
        <v>452</v>
      </c>
      <c r="E164" s="152" t="s">
        <v>439</v>
      </c>
      <c r="F164" s="161">
        <f>59000000</f>
        <v>59000000</v>
      </c>
      <c r="G164" s="152" t="s">
        <v>437</v>
      </c>
      <c r="H164" s="270">
        <v>1064</v>
      </c>
      <c r="I164" s="152" t="s">
        <v>453</v>
      </c>
      <c r="J164" s="229">
        <f>F164*H164/1000000</f>
        <v>62776</v>
      </c>
      <c r="K164" s="243">
        <v>3191</v>
      </c>
      <c r="L164" s="279">
        <v>0.1</v>
      </c>
      <c r="M164" s="317">
        <v>0</v>
      </c>
      <c r="N164" s="143"/>
      <c r="O164" s="143"/>
      <c r="P164" s="143"/>
      <c r="Q164" s="143"/>
      <c r="R164" s="143"/>
      <c r="S164" s="143"/>
      <c r="T164" s="143"/>
      <c r="U164" s="143"/>
      <c r="V164" s="143"/>
      <c r="W164" s="143"/>
      <c r="X164" s="143"/>
      <c r="Y164" s="143"/>
      <c r="Z164" s="143"/>
      <c r="AA164" s="143"/>
      <c r="AB164" s="143"/>
      <c r="AC164" s="143"/>
      <c r="AD164" s="143"/>
      <c r="AE164" s="143"/>
      <c r="AF164" s="143"/>
      <c r="AG164" s="143"/>
      <c r="AH164" s="143"/>
      <c r="AI164" s="143"/>
      <c r="AJ164" s="143"/>
      <c r="AK164" s="143"/>
      <c r="AL164" s="143"/>
      <c r="AM164" s="143"/>
    </row>
    <row r="165" spans="1:39" ht="12.75" customHeight="1" x14ac:dyDescent="0.25">
      <c r="A165" s="143"/>
      <c r="B165" s="151"/>
      <c r="C165" s="152"/>
      <c r="D165" s="152"/>
      <c r="E165" s="152"/>
      <c r="F165" s="457"/>
      <c r="G165" s="152"/>
      <c r="H165" s="270"/>
      <c r="I165" s="152"/>
      <c r="J165" s="270"/>
      <c r="K165" s="152"/>
      <c r="L165" s="152"/>
      <c r="M165" s="154"/>
      <c r="N165" s="143"/>
      <c r="O165" s="143"/>
      <c r="P165" s="143"/>
      <c r="Q165" s="143"/>
      <c r="R165" s="143"/>
      <c r="S165" s="143"/>
      <c r="T165" s="143"/>
      <c r="U165" s="143"/>
      <c r="V165" s="143"/>
      <c r="W165" s="143"/>
      <c r="X165" s="143"/>
      <c r="Y165" s="143"/>
      <c r="Z165" s="143"/>
      <c r="AA165" s="143"/>
      <c r="AB165" s="143"/>
      <c r="AC165" s="143"/>
      <c r="AD165" s="143"/>
      <c r="AE165" s="143"/>
      <c r="AF165" s="143"/>
      <c r="AG165" s="143"/>
      <c r="AH165" s="143"/>
      <c r="AI165" s="143"/>
      <c r="AJ165" s="143"/>
      <c r="AK165" s="143"/>
      <c r="AL165" s="143"/>
      <c r="AM165" s="143"/>
    </row>
    <row r="166" spans="1:39" ht="12.75" customHeight="1" x14ac:dyDescent="0.25">
      <c r="A166" s="143"/>
      <c r="B166" s="155"/>
      <c r="C166" s="190"/>
      <c r="D166" s="190"/>
      <c r="E166" s="190"/>
      <c r="F166" s="190"/>
      <c r="G166" s="190"/>
      <c r="H166" s="190"/>
      <c r="I166" s="190"/>
      <c r="J166" s="190"/>
      <c r="K166" s="190"/>
      <c r="L166" s="190"/>
      <c r="M166" s="208"/>
      <c r="N166" s="143"/>
      <c r="O166" s="143"/>
      <c r="P166" s="143"/>
      <c r="Q166" s="143"/>
      <c r="R166" s="143"/>
      <c r="S166" s="143"/>
      <c r="T166" s="143"/>
      <c r="U166" s="143"/>
      <c r="V166" s="143"/>
      <c r="W166" s="143"/>
      <c r="X166" s="143"/>
      <c r="Y166" s="143"/>
      <c r="Z166" s="143"/>
      <c r="AA166" s="143"/>
      <c r="AB166" s="143"/>
      <c r="AC166" s="143"/>
      <c r="AD166" s="143"/>
      <c r="AE166" s="143"/>
      <c r="AF166" s="143"/>
      <c r="AG166" s="143"/>
      <c r="AH166" s="143"/>
      <c r="AI166" s="143"/>
      <c r="AJ166" s="143"/>
      <c r="AK166" s="143"/>
      <c r="AL166" s="143"/>
      <c r="AM166" s="143"/>
    </row>
    <row r="167" spans="1:39" ht="12.75" customHeight="1" x14ac:dyDescent="0.25">
      <c r="A167" s="143"/>
      <c r="B167" s="151" t="s">
        <v>208</v>
      </c>
      <c r="C167" s="179" t="s">
        <v>209</v>
      </c>
      <c r="D167" s="152"/>
      <c r="E167" s="152"/>
      <c r="F167" s="152"/>
      <c r="G167" s="152"/>
      <c r="H167" s="152"/>
      <c r="I167" s="152"/>
      <c r="J167" s="152"/>
      <c r="K167" s="152"/>
      <c r="L167" s="152"/>
      <c r="M167" s="154"/>
      <c r="N167" s="143"/>
      <c r="O167" s="301" t="s">
        <v>581</v>
      </c>
      <c r="P167" s="143"/>
      <c r="Q167" s="143"/>
      <c r="R167" s="143"/>
      <c r="S167" s="143"/>
      <c r="T167" s="143"/>
      <c r="U167" s="143"/>
      <c r="V167" s="143"/>
      <c r="W167" s="143"/>
      <c r="X167" s="143"/>
      <c r="Y167" s="143"/>
      <c r="Z167" s="143"/>
      <c r="AA167" s="143"/>
      <c r="AB167" s="143"/>
      <c r="AC167" s="143"/>
      <c r="AD167" s="143"/>
      <c r="AE167" s="143"/>
      <c r="AF167" s="143"/>
      <c r="AG167" s="143"/>
      <c r="AH167" s="143"/>
      <c r="AI167" s="143"/>
      <c r="AJ167" s="143"/>
      <c r="AK167" s="143"/>
      <c r="AL167" s="143"/>
      <c r="AM167" s="143"/>
    </row>
    <row r="168" spans="1:39" ht="12.75" customHeight="1" x14ac:dyDescent="0.25">
      <c r="A168" s="143"/>
      <c r="B168" s="151"/>
      <c r="C168" s="152" t="s">
        <v>210</v>
      </c>
      <c r="D168" s="152" t="s">
        <v>211</v>
      </c>
      <c r="E168" s="152" t="s">
        <v>187</v>
      </c>
      <c r="F168" s="194">
        <v>51040</v>
      </c>
      <c r="G168" s="152" t="s">
        <v>188</v>
      </c>
      <c r="H168" s="194">
        <v>12828.8</v>
      </c>
      <c r="I168" s="152" t="s">
        <v>189</v>
      </c>
      <c r="J168" s="153">
        <f>F168*H168*2000/1000000</f>
        <v>1309563.9040000001</v>
      </c>
      <c r="K168" s="174">
        <f>J168/J171*K171</f>
        <v>124770.14937944809</v>
      </c>
      <c r="L168" s="278">
        <f>J168*Q173/907.184</f>
        <v>15.879031094022823</v>
      </c>
      <c r="M168" s="260">
        <f>J168*R173/907.1847</f>
        <v>2.3096754678512545</v>
      </c>
      <c r="N168" s="143"/>
      <c r="O168" s="143"/>
      <c r="P168" s="143"/>
      <c r="Q168" s="143"/>
      <c r="R168" s="143"/>
      <c r="S168" s="143"/>
      <c r="T168" s="143"/>
      <c r="U168" s="143"/>
      <c r="V168" s="143"/>
      <c r="W168" s="143"/>
      <c r="X168" s="143"/>
      <c r="Y168" s="143"/>
      <c r="Z168" s="143"/>
      <c r="AA168" s="143"/>
      <c r="AB168" s="143"/>
      <c r="AC168" s="143"/>
      <c r="AD168" s="143"/>
      <c r="AE168" s="143"/>
      <c r="AF168" s="143"/>
      <c r="AG168" s="143"/>
      <c r="AH168" s="143"/>
      <c r="AI168" s="143"/>
      <c r="AJ168" s="143"/>
      <c r="AK168" s="143"/>
      <c r="AL168" s="143"/>
      <c r="AM168" s="143"/>
    </row>
    <row r="169" spans="1:39" ht="12.75" customHeight="1" x14ac:dyDescent="0.25">
      <c r="A169" s="143"/>
      <c r="B169" s="151"/>
      <c r="C169" s="152"/>
      <c r="D169" s="152"/>
      <c r="E169" s="152" t="s">
        <v>235</v>
      </c>
      <c r="F169" s="194">
        <v>72660</v>
      </c>
      <c r="G169" s="152" t="s">
        <v>225</v>
      </c>
      <c r="H169" s="194">
        <v>137067</v>
      </c>
      <c r="I169" s="152" t="s">
        <v>282</v>
      </c>
      <c r="J169" s="153">
        <f t="shared" ref="J169:J170" si="50">F169*H169/1000000</f>
        <v>9959.2882200000004</v>
      </c>
      <c r="K169" s="174">
        <f>J169/J171*K171</f>
        <v>948.88220049960819</v>
      </c>
      <c r="L169" s="278">
        <f>J169*Q176/907.1847</f>
        <v>3.2934709613158156E-2</v>
      </c>
      <c r="M169" s="260">
        <f>J169*R176/907.1847</f>
        <v>6.5869419226316306E-3</v>
      </c>
      <c r="N169" s="143"/>
      <c r="O169" s="433" t="s">
        <v>582</v>
      </c>
      <c r="P169" s="434" t="s">
        <v>583</v>
      </c>
      <c r="Q169" s="434"/>
      <c r="R169" s="435"/>
      <c r="S169" s="143"/>
      <c r="T169" s="143"/>
      <c r="U169" s="143"/>
      <c r="V169" s="143"/>
      <c r="W169" s="143"/>
      <c r="X169" s="143"/>
      <c r="Y169" s="143"/>
      <c r="Z169" s="143"/>
      <c r="AA169" s="143"/>
      <c r="AB169" s="143"/>
      <c r="AC169" s="143"/>
      <c r="AD169" s="143"/>
      <c r="AE169" s="143"/>
      <c r="AF169" s="143"/>
      <c r="AG169" s="143"/>
      <c r="AH169" s="143"/>
      <c r="AI169" s="143"/>
      <c r="AJ169" s="143"/>
      <c r="AK169" s="143"/>
      <c r="AL169" s="143"/>
      <c r="AM169" s="143"/>
    </row>
    <row r="170" spans="1:39" ht="12.75" customHeight="1" x14ac:dyDescent="0.25">
      <c r="A170" s="143"/>
      <c r="B170" s="151"/>
      <c r="C170" s="152"/>
      <c r="D170" s="152"/>
      <c r="E170" s="152" t="s">
        <v>404</v>
      </c>
      <c r="F170" s="194">
        <v>2000</v>
      </c>
      <c r="G170" s="152" t="s">
        <v>225</v>
      </c>
      <c r="H170" s="194">
        <v>137067</v>
      </c>
      <c r="I170" s="152" t="s">
        <v>282</v>
      </c>
      <c r="J170" s="153">
        <f t="shared" si="50"/>
        <v>274.13400000000001</v>
      </c>
      <c r="K170" s="271">
        <f>J170/J171*K171</f>
        <v>26.118420052287593</v>
      </c>
      <c r="L170" s="278">
        <f>J170*Q172/907.1847</f>
        <v>3.3239912445613331E-3</v>
      </c>
      <c r="M170" s="260">
        <f>J170*R172/907.1847</f>
        <v>4.8348963557255767E-4</v>
      </c>
      <c r="N170" s="143"/>
      <c r="O170" s="458"/>
      <c r="P170" s="459"/>
      <c r="Q170" s="459"/>
      <c r="R170" s="460"/>
      <c r="S170" s="143"/>
      <c r="T170" s="143"/>
      <c r="U170" s="143"/>
      <c r="V170" s="143"/>
      <c r="W170" s="143"/>
      <c r="X170" s="143"/>
      <c r="Y170" s="143"/>
      <c r="Z170" s="143"/>
      <c r="AA170" s="143"/>
      <c r="AB170" s="143"/>
      <c r="AC170" s="143"/>
      <c r="AD170" s="143"/>
      <c r="AE170" s="143"/>
      <c r="AF170" s="143"/>
      <c r="AG170" s="143"/>
      <c r="AH170" s="143"/>
      <c r="AI170" s="143"/>
      <c r="AJ170" s="143"/>
      <c r="AK170" s="143"/>
      <c r="AL170" s="143"/>
      <c r="AM170" s="143"/>
    </row>
    <row r="171" spans="1:39" ht="12.75" customHeight="1" x14ac:dyDescent="0.35">
      <c r="A171" s="143"/>
      <c r="B171" s="151"/>
      <c r="C171" s="152"/>
      <c r="D171" s="152"/>
      <c r="E171" s="152"/>
      <c r="F171" s="152"/>
      <c r="G171" s="152"/>
      <c r="H171" s="152"/>
      <c r="I171" s="152"/>
      <c r="J171" s="243">
        <f>SUM(J168:J170)</f>
        <v>1319797.3262200002</v>
      </c>
      <c r="K171" s="306">
        <v>125745.15</v>
      </c>
      <c r="L171" s="279">
        <v>14.63</v>
      </c>
      <c r="M171" s="274">
        <v>2.13</v>
      </c>
      <c r="N171" s="143"/>
      <c r="O171" s="436"/>
      <c r="P171" s="437" t="s">
        <v>608</v>
      </c>
      <c r="Q171" s="437" t="s">
        <v>609</v>
      </c>
      <c r="R171" s="438" t="s">
        <v>610</v>
      </c>
      <c r="S171" s="143"/>
      <c r="T171" s="143"/>
      <c r="U171" s="143"/>
      <c r="V171" s="143"/>
      <c r="W171" s="143"/>
      <c r="X171" s="143"/>
      <c r="Y171" s="143"/>
      <c r="Z171" s="143"/>
      <c r="AA171" s="143"/>
      <c r="AB171" s="143"/>
      <c r="AC171" s="143"/>
      <c r="AD171" s="143"/>
      <c r="AE171" s="143"/>
      <c r="AF171" s="143"/>
      <c r="AG171" s="143"/>
      <c r="AH171" s="143"/>
      <c r="AI171" s="143"/>
      <c r="AJ171" s="143"/>
      <c r="AK171" s="143"/>
      <c r="AL171" s="143"/>
      <c r="AM171" s="143"/>
    </row>
    <row r="172" spans="1:39" ht="12.75" customHeight="1" x14ac:dyDescent="0.25">
      <c r="A172" s="143"/>
      <c r="B172" s="151"/>
      <c r="C172" s="152"/>
      <c r="D172" s="152"/>
      <c r="E172" s="152"/>
      <c r="F172" s="152"/>
      <c r="G172" s="152"/>
      <c r="H172" s="152"/>
      <c r="I172" s="152"/>
      <c r="J172" s="152"/>
      <c r="K172" s="152"/>
      <c r="L172" s="152"/>
      <c r="M172" s="154"/>
      <c r="N172" s="143"/>
      <c r="O172" s="439" t="s">
        <v>587</v>
      </c>
      <c r="P172" s="440">
        <v>93.28</v>
      </c>
      <c r="Q172" s="441">
        <v>1.0999999999999999E-2</v>
      </c>
      <c r="R172" s="442">
        <v>1.6000000000000001E-3</v>
      </c>
      <c r="S172" s="143"/>
      <c r="T172" s="143"/>
      <c r="U172" s="143"/>
      <c r="V172" s="143"/>
      <c r="W172" s="143"/>
      <c r="X172" s="143"/>
      <c r="Y172" s="143"/>
      <c r="Z172" s="143"/>
      <c r="AA172" s="143"/>
      <c r="AB172" s="143"/>
      <c r="AC172" s="143"/>
      <c r="AD172" s="143"/>
      <c r="AE172" s="143"/>
      <c r="AF172" s="143"/>
      <c r="AG172" s="143"/>
      <c r="AH172" s="143"/>
      <c r="AI172" s="143"/>
      <c r="AJ172" s="143"/>
      <c r="AK172" s="143"/>
      <c r="AL172" s="143"/>
      <c r="AM172" s="143"/>
    </row>
    <row r="173" spans="1:39" ht="12.75" customHeight="1" x14ac:dyDescent="0.25">
      <c r="A173" s="143"/>
      <c r="B173" s="151"/>
      <c r="C173" s="152" t="s">
        <v>212</v>
      </c>
      <c r="D173" s="152" t="s">
        <v>213</v>
      </c>
      <c r="E173" s="152" t="s">
        <v>187</v>
      </c>
      <c r="F173" s="194">
        <v>35960</v>
      </c>
      <c r="G173" s="152" t="s">
        <v>188</v>
      </c>
      <c r="H173" s="194">
        <v>12828.8</v>
      </c>
      <c r="I173" s="152" t="s">
        <v>189</v>
      </c>
      <c r="J173" s="153">
        <f>F173*H173*2000/1000000</f>
        <v>922647.29599999997</v>
      </c>
      <c r="K173" s="174">
        <f>J173/J176*K176</f>
        <v>85450.056681938077</v>
      </c>
      <c r="L173" s="278">
        <f>J173*Q173/907.1847</f>
        <v>11.187490547404511</v>
      </c>
      <c r="M173" s="260">
        <f>J173*R173/907.1847</f>
        <v>1.6272713523497475</v>
      </c>
      <c r="N173" s="143"/>
      <c r="O173" s="443" t="s">
        <v>588</v>
      </c>
      <c r="P173" s="420">
        <v>97.14</v>
      </c>
      <c r="Q173" s="422">
        <v>1.0999999999999999E-2</v>
      </c>
      <c r="R173" s="444">
        <v>1.6000000000000001E-3</v>
      </c>
      <c r="S173" s="143"/>
      <c r="T173" s="143"/>
      <c r="U173" s="143"/>
      <c r="V173" s="143"/>
      <c r="W173" s="143"/>
      <c r="X173" s="143"/>
      <c r="Y173" s="143"/>
      <c r="Z173" s="143"/>
      <c r="AA173" s="143"/>
      <c r="AB173" s="143"/>
      <c r="AC173" s="143"/>
      <c r="AD173" s="143"/>
      <c r="AE173" s="143"/>
      <c r="AF173" s="143"/>
      <c r="AG173" s="143"/>
      <c r="AH173" s="143"/>
      <c r="AI173" s="143"/>
      <c r="AJ173" s="143"/>
      <c r="AK173" s="143"/>
      <c r="AL173" s="143"/>
      <c r="AM173" s="143"/>
    </row>
    <row r="174" spans="1:39" ht="12.75" customHeight="1" x14ac:dyDescent="0.25">
      <c r="A174" s="143"/>
      <c r="B174" s="151"/>
      <c r="C174" s="152"/>
      <c r="D174" s="152"/>
      <c r="E174" s="152" t="s">
        <v>235</v>
      </c>
      <c r="F174" s="194">
        <v>154140</v>
      </c>
      <c r="G174" s="152" t="s">
        <v>225</v>
      </c>
      <c r="H174" s="194">
        <v>137067</v>
      </c>
      <c r="I174" s="152" t="s">
        <v>282</v>
      </c>
      <c r="J174" s="153">
        <f t="shared" ref="J174:J175" si="51">F174*H174/1000000</f>
        <v>21127.507379999999</v>
      </c>
      <c r="K174" s="174">
        <f>J174/J176*K176</f>
        <v>1956.7029687247518</v>
      </c>
      <c r="L174" s="278">
        <f t="shared" ref="L174:L175" si="52">J174*Q176/907.1847</f>
        <v>6.9867274150456904E-2</v>
      </c>
      <c r="M174" s="260">
        <f t="shared" ref="M174:M175" si="53">J174*R176/907.1847</f>
        <v>1.3973454830091377E-2</v>
      </c>
      <c r="N174" s="143"/>
      <c r="O174" s="443" t="s">
        <v>436</v>
      </c>
      <c r="P174" s="420">
        <v>53.06</v>
      </c>
      <c r="Q174" s="422">
        <v>1E-3</v>
      </c>
      <c r="R174" s="444">
        <v>1E-4</v>
      </c>
      <c r="S174" s="143"/>
      <c r="T174" s="143"/>
      <c r="U174" s="143"/>
      <c r="V174" s="143"/>
      <c r="W174" s="143"/>
      <c r="X174" s="143"/>
      <c r="Y174" s="143"/>
      <c r="Z174" s="143"/>
      <c r="AA174" s="143"/>
      <c r="AB174" s="143"/>
      <c r="AC174" s="143"/>
      <c r="AD174" s="143"/>
      <c r="AE174" s="143"/>
      <c r="AF174" s="143"/>
      <c r="AG174" s="143"/>
      <c r="AH174" s="143"/>
      <c r="AI174" s="143"/>
      <c r="AJ174" s="143"/>
      <c r="AK174" s="143"/>
      <c r="AL174" s="143"/>
      <c r="AM174" s="143"/>
    </row>
    <row r="175" spans="1:39" ht="12.75" customHeight="1" x14ac:dyDescent="0.25">
      <c r="A175" s="143"/>
      <c r="B175" s="151"/>
      <c r="C175" s="152"/>
      <c r="D175" s="152"/>
      <c r="E175" s="152" t="s">
        <v>404</v>
      </c>
      <c r="F175" s="194">
        <v>1700</v>
      </c>
      <c r="G175" s="152" t="s">
        <v>225</v>
      </c>
      <c r="H175" s="194">
        <v>137067</v>
      </c>
      <c r="I175" s="152" t="s">
        <v>282</v>
      </c>
      <c r="J175" s="153">
        <f t="shared" si="51"/>
        <v>233.01390000000001</v>
      </c>
      <c r="K175" s="271">
        <f>J175/J176*K176</f>
        <v>21.580349337174507</v>
      </c>
      <c r="L175" s="278">
        <f t="shared" si="52"/>
        <v>7.7056160669376371E-4</v>
      </c>
      <c r="M175" s="260">
        <f t="shared" si="53"/>
        <v>1.5411232133875273E-4</v>
      </c>
      <c r="N175" s="143"/>
      <c r="O175" s="443"/>
      <c r="P175" s="420"/>
      <c r="Q175" s="422"/>
      <c r="R175" s="444"/>
      <c r="S175" s="143"/>
      <c r="T175" s="143"/>
      <c r="U175" s="143"/>
      <c r="V175" s="143"/>
      <c r="W175" s="143"/>
      <c r="X175" s="143"/>
      <c r="Y175" s="143"/>
      <c r="Z175" s="143"/>
      <c r="AA175" s="143"/>
      <c r="AB175" s="143"/>
      <c r="AC175" s="143"/>
      <c r="AD175" s="143"/>
      <c r="AE175" s="143"/>
      <c r="AF175" s="143"/>
      <c r="AG175" s="143"/>
      <c r="AH175" s="143"/>
      <c r="AI175" s="143"/>
      <c r="AJ175" s="143"/>
      <c r="AK175" s="143"/>
      <c r="AL175" s="143"/>
      <c r="AM175" s="143"/>
    </row>
    <row r="176" spans="1:39" ht="12.75" customHeight="1" x14ac:dyDescent="0.25">
      <c r="A176" s="143"/>
      <c r="B176" s="151"/>
      <c r="C176" s="152"/>
      <c r="D176" s="152"/>
      <c r="E176" s="152"/>
      <c r="F176" s="152"/>
      <c r="G176" s="152"/>
      <c r="H176" s="152"/>
      <c r="I176" s="152"/>
      <c r="J176" s="243">
        <f>SUM(J173:J175)</f>
        <v>944007.81727999996</v>
      </c>
      <c r="K176" s="306">
        <v>87428.34</v>
      </c>
      <c r="L176" s="279">
        <v>10.35</v>
      </c>
      <c r="M176" s="274">
        <v>1.51</v>
      </c>
      <c r="N176" s="143"/>
      <c r="O176" s="443" t="s">
        <v>589</v>
      </c>
      <c r="P176" s="420">
        <v>73.959999999999994</v>
      </c>
      <c r="Q176" s="422">
        <v>3.0000000000000001E-3</v>
      </c>
      <c r="R176" s="444">
        <v>5.9999999999999995E-4</v>
      </c>
      <c r="S176" s="143"/>
      <c r="T176" s="143"/>
      <c r="U176" s="143"/>
      <c r="V176" s="143"/>
      <c r="W176" s="143"/>
      <c r="X176" s="143"/>
      <c r="Y176" s="143"/>
      <c r="Z176" s="143"/>
      <c r="AA176" s="143"/>
      <c r="AB176" s="143"/>
      <c r="AC176" s="143"/>
      <c r="AD176" s="143"/>
      <c r="AE176" s="143"/>
      <c r="AF176" s="143"/>
      <c r="AG176" s="143"/>
      <c r="AH176" s="143"/>
      <c r="AI176" s="143"/>
      <c r="AJ176" s="143"/>
      <c r="AK176" s="143"/>
      <c r="AL176" s="143"/>
      <c r="AM176" s="143"/>
    </row>
    <row r="177" spans="1:39" ht="12.75" customHeight="1" x14ac:dyDescent="0.25">
      <c r="A177" s="143"/>
      <c r="B177" s="151"/>
      <c r="C177" s="152"/>
      <c r="D177" s="152"/>
      <c r="E177" s="152"/>
      <c r="F177" s="152"/>
      <c r="G177" s="152"/>
      <c r="H177" s="152"/>
      <c r="I177" s="152"/>
      <c r="J177" s="152"/>
      <c r="K177" s="152"/>
      <c r="L177" s="152"/>
      <c r="M177" s="154"/>
      <c r="N177" s="143"/>
      <c r="O177" s="443" t="s">
        <v>590</v>
      </c>
      <c r="P177" s="420">
        <v>75.099999999999994</v>
      </c>
      <c r="Q177" s="422">
        <v>3.0000000000000001E-3</v>
      </c>
      <c r="R177" s="444">
        <v>5.9999999999999995E-4</v>
      </c>
      <c r="S177" s="143"/>
      <c r="T177" s="143"/>
      <c r="U177" s="143"/>
      <c r="V177" s="143"/>
      <c r="W177" s="143"/>
      <c r="X177" s="143"/>
      <c r="Y177" s="143"/>
      <c r="Z177" s="143"/>
      <c r="AA177" s="143"/>
      <c r="AB177" s="143"/>
      <c r="AC177" s="143"/>
      <c r="AD177" s="143"/>
      <c r="AE177" s="143"/>
      <c r="AF177" s="143"/>
      <c r="AG177" s="143"/>
      <c r="AH177" s="143"/>
      <c r="AI177" s="143"/>
      <c r="AJ177" s="143"/>
      <c r="AK177" s="143"/>
      <c r="AL177" s="143"/>
      <c r="AM177" s="143"/>
    </row>
    <row r="178" spans="1:39" ht="12.75" customHeight="1" x14ac:dyDescent="0.25">
      <c r="A178" s="143"/>
      <c r="B178" s="151"/>
      <c r="C178" s="152" t="s">
        <v>214</v>
      </c>
      <c r="D178" s="152" t="s">
        <v>215</v>
      </c>
      <c r="E178" s="152" t="s">
        <v>187</v>
      </c>
      <c r="F178" s="194">
        <v>7440</v>
      </c>
      <c r="G178" s="152" t="s">
        <v>188</v>
      </c>
      <c r="H178" s="194">
        <v>12828.8</v>
      </c>
      <c r="I178" s="152" t="s">
        <v>189</v>
      </c>
      <c r="J178" s="153">
        <f>F178*H178*2000/1000000</f>
        <v>190892.54399999999</v>
      </c>
      <c r="K178" s="174">
        <f>J178/J180*K180</f>
        <v>18428.72840879823</v>
      </c>
      <c r="L178" s="278">
        <f>J178*Q173/907.1847</f>
        <v>2.3146532167043818</v>
      </c>
      <c r="M178" s="260">
        <f>J178*R173/907.1847</f>
        <v>0.33667683152063743</v>
      </c>
      <c r="N178" s="143"/>
      <c r="O178" s="443" t="s">
        <v>591</v>
      </c>
      <c r="P178" s="420">
        <v>75.2</v>
      </c>
      <c r="Q178" s="422">
        <v>3.0000000000000001E-3</v>
      </c>
      <c r="R178" s="444">
        <v>5.9999999999999995E-4</v>
      </c>
      <c r="S178" s="143"/>
      <c r="T178" s="143"/>
      <c r="U178" s="143"/>
      <c r="V178" s="143"/>
      <c r="W178" s="143"/>
      <c r="X178" s="143"/>
      <c r="Y178" s="143"/>
      <c r="Z178" s="143"/>
      <c r="AA178" s="143"/>
      <c r="AB178" s="143"/>
      <c r="AC178" s="143"/>
      <c r="AD178" s="143"/>
      <c r="AE178" s="143"/>
      <c r="AF178" s="143"/>
      <c r="AG178" s="143"/>
      <c r="AH178" s="143"/>
      <c r="AI178" s="143"/>
      <c r="AJ178" s="143"/>
      <c r="AK178" s="143"/>
      <c r="AL178" s="143"/>
      <c r="AM178" s="143"/>
    </row>
    <row r="179" spans="1:39" ht="12.75" customHeight="1" x14ac:dyDescent="0.25">
      <c r="A179" s="143"/>
      <c r="B179" s="151"/>
      <c r="C179" s="152"/>
      <c r="D179" s="152"/>
      <c r="E179" s="152" t="s">
        <v>235</v>
      </c>
      <c r="F179" s="194">
        <v>59640</v>
      </c>
      <c r="G179" s="152" t="s">
        <v>225</v>
      </c>
      <c r="H179" s="194">
        <v>137067</v>
      </c>
      <c r="I179" s="152" t="s">
        <v>282</v>
      </c>
      <c r="J179" s="153">
        <f>F179*H179/1000000</f>
        <v>8174.6758799999998</v>
      </c>
      <c r="K179" s="174">
        <f>J179/J180*K180</f>
        <v>789.18159120176881</v>
      </c>
      <c r="L179" s="278">
        <f>J179*Q176/907.1847</f>
        <v>2.7033114248950628E-2</v>
      </c>
      <c r="M179" s="260">
        <f>J179*R176/907.1847</f>
        <v>5.4066228497901252E-3</v>
      </c>
      <c r="N179" s="143"/>
      <c r="O179" s="443" t="s">
        <v>592</v>
      </c>
      <c r="P179" s="420">
        <v>62.87</v>
      </c>
      <c r="Q179" s="422">
        <v>3.0000000000000001E-3</v>
      </c>
      <c r="R179" s="444">
        <v>5.9999999999999995E-4</v>
      </c>
      <c r="S179" s="143"/>
      <c r="T179" s="143"/>
      <c r="U179" s="143"/>
      <c r="V179" s="143"/>
      <c r="W179" s="143"/>
      <c r="X179" s="143"/>
      <c r="Y179" s="143"/>
      <c r="Z179" s="143"/>
      <c r="AA179" s="143"/>
      <c r="AB179" s="143"/>
      <c r="AC179" s="143"/>
      <c r="AD179" s="143"/>
      <c r="AE179" s="143"/>
      <c r="AF179" s="143"/>
      <c r="AG179" s="143"/>
      <c r="AH179" s="143"/>
      <c r="AI179" s="143"/>
      <c r="AJ179" s="143"/>
      <c r="AK179" s="143"/>
      <c r="AL179" s="143"/>
      <c r="AM179" s="143"/>
    </row>
    <row r="180" spans="1:39" ht="12.75" customHeight="1" x14ac:dyDescent="0.25">
      <c r="A180" s="143"/>
      <c r="B180" s="151"/>
      <c r="C180" s="152"/>
      <c r="D180" s="152"/>
      <c r="E180" s="152"/>
      <c r="F180" s="152"/>
      <c r="G180" s="152"/>
      <c r="H180" s="152"/>
      <c r="I180" s="152"/>
      <c r="J180" s="243">
        <f>SUM(J178:J179)</f>
        <v>199067.21987999999</v>
      </c>
      <c r="K180" s="306">
        <v>19217.91</v>
      </c>
      <c r="L180" s="279">
        <v>2.15</v>
      </c>
      <c r="M180" s="274">
        <v>0.31</v>
      </c>
      <c r="N180" s="143"/>
      <c r="O180" s="443" t="s">
        <v>593</v>
      </c>
      <c r="P180" s="420">
        <v>66.88</v>
      </c>
      <c r="Q180" s="422">
        <v>3.0000000000000001E-3</v>
      </c>
      <c r="R180" s="444">
        <v>5.9999999999999995E-4</v>
      </c>
      <c r="S180" s="143"/>
      <c r="T180" s="143"/>
      <c r="U180" s="143"/>
      <c r="V180" s="143"/>
      <c r="W180" s="143"/>
      <c r="X180" s="143"/>
      <c r="Y180" s="143"/>
      <c r="Z180" s="143"/>
      <c r="AA180" s="143"/>
      <c r="AB180" s="143"/>
      <c r="AC180" s="143"/>
      <c r="AD180" s="143"/>
      <c r="AE180" s="143"/>
      <c r="AF180" s="143"/>
      <c r="AG180" s="143"/>
      <c r="AH180" s="143"/>
      <c r="AI180" s="143"/>
      <c r="AJ180" s="143"/>
      <c r="AK180" s="143"/>
      <c r="AL180" s="143"/>
      <c r="AM180" s="143"/>
    </row>
    <row r="181" spans="1:39" ht="12.75" customHeight="1" x14ac:dyDescent="0.25">
      <c r="A181" s="143"/>
      <c r="B181" s="151"/>
      <c r="C181" s="152"/>
      <c r="D181" s="152"/>
      <c r="E181" s="152"/>
      <c r="F181" s="152"/>
      <c r="G181" s="152"/>
      <c r="H181" s="152"/>
      <c r="I181" s="152"/>
      <c r="J181" s="152"/>
      <c r="K181" s="152"/>
      <c r="L181" s="152"/>
      <c r="M181" s="154"/>
      <c r="N181" s="143"/>
      <c r="O181" s="436" t="s">
        <v>404</v>
      </c>
      <c r="P181" s="445">
        <v>74</v>
      </c>
      <c r="Q181" s="446">
        <v>3.0000000000000001E-3</v>
      </c>
      <c r="R181" s="447">
        <v>5.9999999999999995E-4</v>
      </c>
      <c r="S181" s="143"/>
      <c r="T181" s="143"/>
      <c r="U181" s="143"/>
      <c r="V181" s="143"/>
      <c r="W181" s="143"/>
      <c r="X181" s="143"/>
      <c r="Y181" s="143"/>
      <c r="Z181" s="143"/>
      <c r="AA181" s="143"/>
      <c r="AB181" s="143"/>
      <c r="AC181" s="143"/>
      <c r="AD181" s="143"/>
      <c r="AE181" s="143"/>
      <c r="AF181" s="143"/>
      <c r="AG181" s="143"/>
      <c r="AH181" s="143"/>
      <c r="AI181" s="143"/>
      <c r="AJ181" s="143"/>
      <c r="AK181" s="143"/>
      <c r="AL181" s="143"/>
      <c r="AM181" s="143"/>
    </row>
    <row r="182" spans="1:39" ht="12.75" customHeight="1" x14ac:dyDescent="0.25">
      <c r="A182" s="143"/>
      <c r="B182" s="151"/>
      <c r="C182" s="152" t="s">
        <v>287</v>
      </c>
      <c r="D182" s="152" t="s">
        <v>286</v>
      </c>
      <c r="E182" s="152" t="s">
        <v>235</v>
      </c>
      <c r="F182" s="194">
        <v>25621</v>
      </c>
      <c r="G182" s="152" t="s">
        <v>225</v>
      </c>
      <c r="H182" s="194">
        <v>137067</v>
      </c>
      <c r="I182" s="152" t="s">
        <v>282</v>
      </c>
      <c r="J182" s="229">
        <f>F182*H182/1000000</f>
        <v>3511.7936070000001</v>
      </c>
      <c r="K182" s="210">
        <v>286.3</v>
      </c>
      <c r="L182" s="279">
        <v>0.01</v>
      </c>
      <c r="M182" s="274">
        <v>0</v>
      </c>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3"/>
      <c r="AI182" s="143"/>
      <c r="AJ182" s="143"/>
      <c r="AK182" s="143"/>
      <c r="AL182" s="143"/>
      <c r="AM182" s="143"/>
    </row>
    <row r="183" spans="1:39" ht="12.75" customHeight="1" x14ac:dyDescent="0.25">
      <c r="A183" s="143"/>
      <c r="B183" s="151"/>
      <c r="C183" s="152"/>
      <c r="D183" s="152"/>
      <c r="E183" s="152"/>
      <c r="F183" s="152"/>
      <c r="G183" s="152"/>
      <c r="H183" s="152"/>
      <c r="I183" s="152"/>
      <c r="J183" s="152"/>
      <c r="K183" s="152"/>
      <c r="L183" s="152"/>
      <c r="M183" s="154"/>
      <c r="N183" s="143"/>
      <c r="O183" s="143"/>
      <c r="P183" s="143"/>
      <c r="Q183" s="143"/>
      <c r="R183" s="143"/>
      <c r="S183" s="143"/>
      <c r="T183" s="143"/>
      <c r="U183" s="143"/>
      <c r="V183" s="143"/>
      <c r="W183" s="143"/>
      <c r="X183" s="143"/>
      <c r="Y183" s="143"/>
      <c r="Z183" s="143"/>
      <c r="AA183" s="143"/>
      <c r="AB183" s="143"/>
      <c r="AC183" s="143"/>
      <c r="AD183" s="143"/>
      <c r="AE183" s="143"/>
      <c r="AF183" s="143"/>
      <c r="AG183" s="143"/>
      <c r="AH183" s="143"/>
      <c r="AI183" s="143"/>
      <c r="AJ183" s="143"/>
      <c r="AK183" s="143"/>
      <c r="AL183" s="143"/>
      <c r="AM183" s="143"/>
    </row>
    <row r="184" spans="1:39" ht="12.75" customHeight="1" x14ac:dyDescent="0.25">
      <c r="A184" s="143"/>
      <c r="B184" s="155"/>
      <c r="C184" s="190"/>
      <c r="D184" s="190"/>
      <c r="E184" s="190"/>
      <c r="F184" s="190"/>
      <c r="G184" s="190"/>
      <c r="H184" s="190"/>
      <c r="I184" s="190"/>
      <c r="J184" s="190"/>
      <c r="K184" s="190"/>
      <c r="L184" s="190"/>
      <c r="M184" s="208"/>
      <c r="N184" s="143"/>
      <c r="O184" s="143"/>
      <c r="P184" s="143"/>
      <c r="Q184" s="143"/>
      <c r="R184" s="143"/>
      <c r="S184" s="143"/>
      <c r="T184" s="143"/>
      <c r="U184" s="143"/>
      <c r="V184" s="143"/>
      <c r="W184" s="143"/>
      <c r="X184" s="143"/>
      <c r="Y184" s="143"/>
      <c r="Z184" s="143"/>
      <c r="AA184" s="143"/>
      <c r="AB184" s="143"/>
      <c r="AC184" s="143"/>
      <c r="AD184" s="143"/>
      <c r="AE184" s="143"/>
      <c r="AF184" s="143"/>
      <c r="AG184" s="143"/>
      <c r="AH184" s="143"/>
      <c r="AI184" s="143"/>
      <c r="AJ184" s="143"/>
      <c r="AK184" s="143"/>
      <c r="AL184" s="143"/>
      <c r="AM184" s="143"/>
    </row>
    <row r="185" spans="1:39" ht="12.75" customHeight="1" x14ac:dyDescent="0.25">
      <c r="A185" s="143"/>
      <c r="B185" s="151" t="s">
        <v>288</v>
      </c>
      <c r="C185" s="179" t="s">
        <v>289</v>
      </c>
      <c r="D185" s="152"/>
      <c r="E185" s="152"/>
      <c r="F185" s="152"/>
      <c r="G185" s="152"/>
      <c r="H185" s="152"/>
      <c r="I185" s="152"/>
      <c r="J185" s="152"/>
      <c r="K185" s="152"/>
      <c r="L185" s="152"/>
      <c r="M185" s="154"/>
      <c r="N185" s="143"/>
      <c r="O185" s="143"/>
      <c r="P185" s="143"/>
      <c r="Q185" s="143"/>
      <c r="R185" s="143"/>
      <c r="S185" s="143"/>
      <c r="T185" s="143"/>
      <c r="U185" s="143"/>
      <c r="V185" s="143"/>
      <c r="W185" s="143"/>
      <c r="X185" s="143"/>
      <c r="Y185" s="143"/>
      <c r="Z185" s="143"/>
      <c r="AA185" s="143"/>
      <c r="AB185" s="143"/>
      <c r="AC185" s="143"/>
      <c r="AD185" s="143"/>
      <c r="AE185" s="143"/>
      <c r="AF185" s="143"/>
      <c r="AG185" s="143"/>
      <c r="AH185" s="143"/>
      <c r="AI185" s="143"/>
      <c r="AJ185" s="143"/>
      <c r="AK185" s="143"/>
      <c r="AL185" s="143"/>
      <c r="AM185" s="143"/>
    </row>
    <row r="186" spans="1:39" ht="12.75" customHeight="1" x14ac:dyDescent="0.25">
      <c r="A186" s="143"/>
      <c r="B186" s="151"/>
      <c r="C186" s="152" t="s">
        <v>290</v>
      </c>
      <c r="D186" s="152" t="s">
        <v>291</v>
      </c>
      <c r="E186" s="152" t="s">
        <v>439</v>
      </c>
      <c r="F186" s="194">
        <v>233933000</v>
      </c>
      <c r="G186" s="152" t="s">
        <v>437</v>
      </c>
      <c r="H186" s="194">
        <v>1049</v>
      </c>
      <c r="I186" s="152" t="s">
        <v>454</v>
      </c>
      <c r="J186" s="153">
        <f t="shared" ref="J186:J187" si="54">F186*H186/1000000</f>
        <v>245395.717</v>
      </c>
      <c r="K186" s="174">
        <f>J186/J188*K188</f>
        <v>19486.476319434783</v>
      </c>
      <c r="L186" s="278">
        <f>J186*Q174/907.1847</f>
        <v>0.27050248642861813</v>
      </c>
      <c r="M186" s="239">
        <f>J186*R174/907.1847</f>
        <v>2.7050248642861815E-2</v>
      </c>
      <c r="N186" s="143"/>
      <c r="O186" s="143"/>
      <c r="P186" s="143"/>
      <c r="Q186" s="143"/>
      <c r="R186" s="143"/>
      <c r="S186" s="143"/>
      <c r="T186" s="143"/>
      <c r="U186" s="143"/>
      <c r="V186" s="143"/>
      <c r="W186" s="143"/>
      <c r="X186" s="143"/>
      <c r="Y186" s="143"/>
      <c r="Z186" s="143"/>
      <c r="AA186" s="143"/>
      <c r="AB186" s="143"/>
      <c r="AC186" s="143"/>
      <c r="AD186" s="143"/>
      <c r="AE186" s="143"/>
      <c r="AF186" s="143"/>
      <c r="AG186" s="143"/>
      <c r="AH186" s="143"/>
      <c r="AI186" s="143"/>
      <c r="AJ186" s="143"/>
      <c r="AK186" s="143"/>
      <c r="AL186" s="143"/>
      <c r="AM186" s="143"/>
    </row>
    <row r="187" spans="1:39" ht="12.75" customHeight="1" x14ac:dyDescent="0.25">
      <c r="A187" s="143"/>
      <c r="B187" s="151"/>
      <c r="C187" s="152"/>
      <c r="D187" s="152"/>
      <c r="E187" s="152" t="s">
        <v>235</v>
      </c>
      <c r="F187" s="194">
        <v>129060</v>
      </c>
      <c r="G187" s="152" t="s">
        <v>225</v>
      </c>
      <c r="H187" s="194">
        <v>137067</v>
      </c>
      <c r="I187" s="152" t="s">
        <v>282</v>
      </c>
      <c r="J187" s="153">
        <f t="shared" si="54"/>
        <v>17689.867020000002</v>
      </c>
      <c r="K187" s="174">
        <f>J187/J188*K188</f>
        <v>1404.7236805652169</v>
      </c>
      <c r="L187" s="278">
        <f>J187*Q176/907.1847</f>
        <v>5.8499224094057146E-2</v>
      </c>
      <c r="M187" s="239">
        <f>J187*R176/907.1847</f>
        <v>1.1699844818811428E-2</v>
      </c>
      <c r="N187" s="143"/>
      <c r="O187" s="143"/>
      <c r="P187" s="143"/>
      <c r="Q187" s="143"/>
      <c r="R187" s="143"/>
      <c r="S187" s="143"/>
      <c r="T187" s="143"/>
      <c r="U187" s="143"/>
      <c r="V187" s="143"/>
      <c r="W187" s="143"/>
      <c r="X187" s="143"/>
      <c r="Y187" s="143"/>
      <c r="Z187" s="143"/>
      <c r="AA187" s="143"/>
      <c r="AB187" s="143"/>
      <c r="AC187" s="143"/>
      <c r="AD187" s="143"/>
      <c r="AE187" s="143"/>
      <c r="AF187" s="143"/>
      <c r="AG187" s="143"/>
      <c r="AH187" s="143"/>
      <c r="AI187" s="143"/>
      <c r="AJ187" s="143"/>
      <c r="AK187" s="143"/>
      <c r="AL187" s="143"/>
      <c r="AM187" s="143"/>
    </row>
    <row r="188" spans="1:39" ht="12.75" customHeight="1" x14ac:dyDescent="0.25">
      <c r="A188" s="143"/>
      <c r="B188" s="151"/>
      <c r="C188" s="152"/>
      <c r="D188" s="152"/>
      <c r="E188" s="152"/>
      <c r="F188" s="152"/>
      <c r="G188" s="152"/>
      <c r="H188" s="152"/>
      <c r="I188" s="152"/>
      <c r="J188" s="229">
        <f>SUM(J186:J187)</f>
        <v>263085.58402000001</v>
      </c>
      <c r="K188" s="306">
        <v>20891.2</v>
      </c>
      <c r="L188" s="279">
        <v>0.43</v>
      </c>
      <c r="M188" s="274">
        <v>0.05</v>
      </c>
      <c r="N188" s="143"/>
      <c r="O188" s="143"/>
      <c r="P188" s="143"/>
      <c r="Q188" s="143"/>
      <c r="R188" s="143"/>
      <c r="S188" s="143"/>
      <c r="T188" s="143"/>
      <c r="U188" s="143"/>
      <c r="V188" s="143"/>
      <c r="W188" s="143"/>
      <c r="X188" s="143"/>
      <c r="Y188" s="143"/>
      <c r="Z188" s="143"/>
      <c r="AA188" s="143"/>
      <c r="AB188" s="143"/>
      <c r="AC188" s="143"/>
      <c r="AD188" s="143"/>
      <c r="AE188" s="143"/>
      <c r="AF188" s="143"/>
      <c r="AG188" s="143"/>
      <c r="AH188" s="143"/>
      <c r="AI188" s="143"/>
      <c r="AJ188" s="143"/>
      <c r="AK188" s="143"/>
      <c r="AL188" s="143"/>
      <c r="AM188" s="143"/>
    </row>
    <row r="189" spans="1:39" ht="12.75" customHeight="1" x14ac:dyDescent="0.25">
      <c r="A189" s="143"/>
      <c r="B189" s="151"/>
      <c r="C189" s="152"/>
      <c r="D189" s="152"/>
      <c r="E189" s="152"/>
      <c r="F189" s="152"/>
      <c r="G189" s="152"/>
      <c r="H189" s="152"/>
      <c r="I189" s="152"/>
      <c r="J189" s="152"/>
      <c r="K189" s="152"/>
      <c r="L189" s="152"/>
      <c r="M189" s="154"/>
      <c r="N189" s="461">
        <f>K171+K176+K180</f>
        <v>232391.4</v>
      </c>
      <c r="O189" s="431">
        <f>J171+J176+J180</f>
        <v>2462872.36338</v>
      </c>
      <c r="P189" s="143"/>
      <c r="Q189" s="143"/>
      <c r="R189" s="143"/>
      <c r="S189" s="143"/>
      <c r="T189" s="143"/>
      <c r="U189" s="143"/>
      <c r="V189" s="143"/>
      <c r="W189" s="143"/>
      <c r="X189" s="143"/>
      <c r="Y189" s="143"/>
      <c r="Z189" s="143"/>
      <c r="AA189" s="143"/>
      <c r="AB189" s="143"/>
      <c r="AC189" s="143"/>
      <c r="AD189" s="143"/>
      <c r="AE189" s="143"/>
      <c r="AF189" s="143"/>
      <c r="AG189" s="143"/>
      <c r="AH189" s="143"/>
      <c r="AI189" s="143"/>
      <c r="AJ189" s="143"/>
      <c r="AK189" s="143"/>
      <c r="AL189" s="143"/>
      <c r="AM189" s="143"/>
    </row>
    <row r="190" spans="1:39" ht="12.75" customHeight="1" x14ac:dyDescent="0.25">
      <c r="A190" s="143"/>
      <c r="B190" s="151"/>
      <c r="C190" s="152" t="s">
        <v>290</v>
      </c>
      <c r="D190" s="152" t="s">
        <v>292</v>
      </c>
      <c r="E190" s="152" t="s">
        <v>439</v>
      </c>
      <c r="F190" s="194">
        <v>144280000</v>
      </c>
      <c r="G190" s="152" t="s">
        <v>437</v>
      </c>
      <c r="H190" s="194">
        <v>1049</v>
      </c>
      <c r="I190" s="152" t="s">
        <v>454</v>
      </c>
      <c r="J190" s="153">
        <f t="shared" ref="J190:J191" si="55">F190*H190/1000000</f>
        <v>151349.72</v>
      </c>
      <c r="K190" s="174">
        <f>J190/J192*K192</f>
        <v>14099.681947505525</v>
      </c>
      <c r="L190" s="278">
        <f>J190*Q174/907.1847</f>
        <v>0.16683451561738197</v>
      </c>
      <c r="M190" s="239">
        <f>J190*R174/907.1847</f>
        <v>1.66834515617382E-2</v>
      </c>
      <c r="N190" s="143"/>
      <c r="O190" s="143"/>
      <c r="P190" s="143"/>
      <c r="Q190" s="143"/>
      <c r="R190" s="143"/>
      <c r="S190" s="143"/>
      <c r="T190" s="143"/>
      <c r="U190" s="143"/>
      <c r="V190" s="143"/>
      <c r="W190" s="143"/>
      <c r="X190" s="143"/>
      <c r="Y190" s="143"/>
      <c r="Z190" s="143"/>
      <c r="AA190" s="143"/>
      <c r="AB190" s="143"/>
      <c r="AC190" s="143"/>
      <c r="AD190" s="143"/>
      <c r="AE190" s="143"/>
      <c r="AF190" s="143"/>
      <c r="AG190" s="143"/>
      <c r="AH190" s="143"/>
      <c r="AI190" s="143"/>
      <c r="AJ190" s="143"/>
      <c r="AK190" s="143"/>
      <c r="AL190" s="143"/>
      <c r="AM190" s="143"/>
    </row>
    <row r="191" spans="1:39" ht="12.75" customHeight="1" x14ac:dyDescent="0.25">
      <c r="A191" s="143"/>
      <c r="B191" s="151"/>
      <c r="C191" s="152"/>
      <c r="D191" s="152"/>
      <c r="E191" s="152" t="s">
        <v>235</v>
      </c>
      <c r="F191" s="194">
        <v>38806</v>
      </c>
      <c r="G191" s="152" t="s">
        <v>225</v>
      </c>
      <c r="H191" s="194">
        <v>137067</v>
      </c>
      <c r="I191" s="152" t="s">
        <v>282</v>
      </c>
      <c r="J191" s="153">
        <f t="shared" si="55"/>
        <v>5319.0220019999997</v>
      </c>
      <c r="K191" s="174">
        <f>J191/J192*K192</f>
        <v>495.51805249447494</v>
      </c>
      <c r="L191" s="278">
        <f>J191*Q176/907.1847</f>
        <v>1.7589655123151877E-2</v>
      </c>
      <c r="M191" s="239">
        <f>J191*R176/907.1847</f>
        <v>3.5179310246303752E-3</v>
      </c>
      <c r="N191" s="143"/>
      <c r="O191" s="143"/>
      <c r="P191" s="143"/>
      <c r="Q191" s="143"/>
      <c r="R191" s="143"/>
      <c r="S191" s="143"/>
      <c r="T191" s="143"/>
      <c r="U191" s="143"/>
      <c r="V191" s="143"/>
      <c r="W191" s="143"/>
      <c r="X191" s="143"/>
      <c r="Y191" s="143"/>
      <c r="Z191" s="143"/>
      <c r="AA191" s="143"/>
      <c r="AB191" s="143"/>
      <c r="AC191" s="143"/>
      <c r="AD191" s="143"/>
      <c r="AE191" s="143"/>
      <c r="AF191" s="143"/>
      <c r="AG191" s="143"/>
      <c r="AH191" s="143"/>
      <c r="AI191" s="143"/>
      <c r="AJ191" s="143"/>
      <c r="AK191" s="143"/>
      <c r="AL191" s="143"/>
      <c r="AM191" s="143"/>
    </row>
    <row r="192" spans="1:39" ht="12.75" customHeight="1" x14ac:dyDescent="0.25">
      <c r="A192" s="143"/>
      <c r="B192" s="151"/>
      <c r="C192" s="152"/>
      <c r="D192" s="152"/>
      <c r="E192" s="152"/>
      <c r="F192" s="152"/>
      <c r="G192" s="152"/>
      <c r="H192" s="152"/>
      <c r="I192" s="152"/>
      <c r="J192" s="229">
        <f>SUM(J190:J191)</f>
        <v>156668.74200200001</v>
      </c>
      <c r="K192" s="243">
        <v>14595.2</v>
      </c>
      <c r="L192" s="279">
        <v>0.28999999999999998</v>
      </c>
      <c r="M192" s="274">
        <v>0.03</v>
      </c>
      <c r="N192" s="143"/>
      <c r="O192" s="462">
        <f>F168+F173+F178</f>
        <v>94440</v>
      </c>
      <c r="P192" s="143"/>
      <c r="Q192" s="143"/>
      <c r="R192" s="143"/>
      <c r="S192" s="143"/>
      <c r="T192" s="143"/>
      <c r="U192" s="143"/>
      <c r="V192" s="143"/>
      <c r="W192" s="143"/>
      <c r="X192" s="143"/>
      <c r="Y192" s="143"/>
      <c r="Z192" s="143"/>
      <c r="AA192" s="143"/>
      <c r="AB192" s="143"/>
      <c r="AC192" s="143"/>
      <c r="AD192" s="143"/>
      <c r="AE192" s="143"/>
      <c r="AF192" s="143"/>
      <c r="AG192" s="143"/>
      <c r="AH192" s="143"/>
      <c r="AI192" s="143"/>
      <c r="AJ192" s="143"/>
      <c r="AK192" s="143"/>
      <c r="AL192" s="143"/>
      <c r="AM192" s="143"/>
    </row>
    <row r="193" spans="1:39" ht="12.75" customHeight="1" x14ac:dyDescent="0.25">
      <c r="A193" s="143"/>
      <c r="B193" s="151"/>
      <c r="C193" s="152"/>
      <c r="D193" s="152"/>
      <c r="E193" s="152"/>
      <c r="F193" s="152"/>
      <c r="G193" s="152"/>
      <c r="H193" s="152"/>
      <c r="I193" s="152"/>
      <c r="J193" s="152"/>
      <c r="K193" s="152"/>
      <c r="L193" s="152"/>
      <c r="M193" s="154"/>
      <c r="N193" s="143"/>
      <c r="O193" s="143"/>
      <c r="P193" s="143"/>
      <c r="Q193" s="143"/>
      <c r="R193" s="143"/>
      <c r="S193" s="143"/>
      <c r="T193" s="143"/>
      <c r="U193" s="143"/>
      <c r="V193" s="143"/>
      <c r="W193" s="143"/>
      <c r="X193" s="143"/>
      <c r="Y193" s="143"/>
      <c r="Z193" s="143"/>
      <c r="AA193" s="143"/>
      <c r="AB193" s="143"/>
      <c r="AC193" s="143"/>
      <c r="AD193" s="143"/>
      <c r="AE193" s="143"/>
      <c r="AF193" s="143"/>
      <c r="AG193" s="143"/>
      <c r="AH193" s="143"/>
      <c r="AI193" s="143"/>
      <c r="AJ193" s="143"/>
      <c r="AK193" s="143"/>
      <c r="AL193" s="143"/>
      <c r="AM193" s="143"/>
    </row>
    <row r="194" spans="1:39" ht="12.75" customHeight="1" x14ac:dyDescent="0.25">
      <c r="A194" s="143"/>
      <c r="B194" s="155"/>
      <c r="C194" s="190"/>
      <c r="D194" s="190"/>
      <c r="E194" s="190"/>
      <c r="F194" s="190"/>
      <c r="G194" s="190"/>
      <c r="H194" s="190"/>
      <c r="I194" s="190"/>
      <c r="J194" s="190"/>
      <c r="K194" s="190"/>
      <c r="L194" s="190"/>
      <c r="M194" s="208"/>
      <c r="N194" s="143"/>
      <c r="O194" s="143"/>
      <c r="P194" s="143"/>
      <c r="Q194" s="143"/>
      <c r="R194" s="143"/>
      <c r="S194" s="143"/>
      <c r="T194" s="143"/>
      <c r="U194" s="143"/>
      <c r="V194" s="143"/>
      <c r="W194" s="143"/>
      <c r="X194" s="143"/>
      <c r="Y194" s="143"/>
      <c r="Z194" s="143"/>
      <c r="AA194" s="143"/>
      <c r="AB194" s="143"/>
      <c r="AC194" s="143"/>
      <c r="AD194" s="143"/>
      <c r="AE194" s="143"/>
      <c r="AF194" s="143"/>
      <c r="AG194" s="143"/>
      <c r="AH194" s="143"/>
      <c r="AI194" s="143"/>
      <c r="AJ194" s="143"/>
      <c r="AK194" s="143"/>
      <c r="AL194" s="143"/>
      <c r="AM194" s="143"/>
    </row>
    <row r="195" spans="1:39" ht="12.75" customHeight="1" x14ac:dyDescent="0.25">
      <c r="A195" s="143"/>
      <c r="B195" s="151" t="s">
        <v>216</v>
      </c>
      <c r="C195" s="179" t="s">
        <v>217</v>
      </c>
      <c r="D195" s="152"/>
      <c r="E195" s="152"/>
      <c r="F195" s="152"/>
      <c r="G195" s="152"/>
      <c r="H195" s="152"/>
      <c r="I195" s="152"/>
      <c r="J195" s="152"/>
      <c r="K195" s="152"/>
      <c r="L195" s="152"/>
      <c r="M195" s="154"/>
      <c r="N195" s="143"/>
      <c r="O195" s="143"/>
      <c r="P195" s="143"/>
      <c r="Q195" s="143"/>
      <c r="R195" s="143"/>
      <c r="S195" s="143"/>
      <c r="T195" s="143"/>
      <c r="U195" s="143"/>
      <c r="V195" s="143"/>
      <c r="W195" s="143"/>
      <c r="X195" s="143"/>
      <c r="Y195" s="143"/>
      <c r="Z195" s="143"/>
      <c r="AA195" s="143"/>
      <c r="AB195" s="143"/>
      <c r="AC195" s="143"/>
      <c r="AD195" s="143"/>
      <c r="AE195" s="143"/>
      <c r="AF195" s="143"/>
      <c r="AG195" s="143"/>
      <c r="AH195" s="143"/>
      <c r="AI195" s="143"/>
      <c r="AJ195" s="143"/>
      <c r="AK195" s="143"/>
      <c r="AL195" s="143"/>
      <c r="AM195" s="143"/>
    </row>
    <row r="196" spans="1:39" ht="12.75" customHeight="1" x14ac:dyDescent="0.25">
      <c r="A196" s="143"/>
      <c r="B196" s="151"/>
      <c r="C196" s="152" t="s">
        <v>218</v>
      </c>
      <c r="D196" s="152" t="s">
        <v>193</v>
      </c>
      <c r="E196" s="152" t="s">
        <v>187</v>
      </c>
      <c r="F196" s="194">
        <v>217355</v>
      </c>
      <c r="G196" s="152" t="s">
        <v>188</v>
      </c>
      <c r="H196" s="194">
        <v>12984</v>
      </c>
      <c r="I196" s="152" t="s">
        <v>189</v>
      </c>
      <c r="J196" s="153">
        <f>(F196*H196*2000)/1000000</f>
        <v>5644274.6399999997</v>
      </c>
      <c r="K196" s="174">
        <f>J196/J199*K199</f>
        <v>629776.07332166482</v>
      </c>
      <c r="L196" s="278">
        <f>J196/J199*L199</f>
        <v>73.429852645120576</v>
      </c>
      <c r="M196" s="260">
        <f>J196/J199*M199</f>
        <v>10.698909154281704</v>
      </c>
      <c r="N196" s="143"/>
      <c r="O196" s="143"/>
      <c r="P196" s="143"/>
      <c r="Q196" s="143"/>
      <c r="R196" s="143"/>
      <c r="S196" s="143"/>
      <c r="T196" s="143"/>
      <c r="U196" s="143"/>
      <c r="V196" s="143"/>
      <c r="W196" s="143"/>
      <c r="X196" s="143"/>
      <c r="Y196" s="143"/>
      <c r="Z196" s="143"/>
      <c r="AA196" s="143"/>
      <c r="AB196" s="143"/>
      <c r="AC196" s="143"/>
      <c r="AD196" s="143"/>
      <c r="AE196" s="143"/>
      <c r="AF196" s="143"/>
      <c r="AG196" s="143"/>
      <c r="AH196" s="143"/>
      <c r="AI196" s="143"/>
      <c r="AJ196" s="143"/>
      <c r="AK196" s="143"/>
      <c r="AL196" s="143"/>
      <c r="AM196" s="143"/>
    </row>
    <row r="197" spans="1:39" ht="12.75" customHeight="1" x14ac:dyDescent="0.25">
      <c r="A197" s="143"/>
      <c r="B197" s="151"/>
      <c r="C197" s="152"/>
      <c r="D197" s="152"/>
      <c r="E197" s="152" t="s">
        <v>235</v>
      </c>
      <c r="F197" s="194">
        <v>771927</v>
      </c>
      <c r="G197" s="152" t="s">
        <v>225</v>
      </c>
      <c r="H197" s="270">
        <v>137431</v>
      </c>
      <c r="I197" s="152" t="s">
        <v>282</v>
      </c>
      <c r="J197" s="153">
        <f t="shared" ref="J197:J198" si="56">(F197*H197)/1000000</f>
        <v>106086.69953699999</v>
      </c>
      <c r="K197" s="174">
        <f>J197/J199*K199</f>
        <v>11836.926678335256</v>
      </c>
      <c r="L197" s="278">
        <f>J197/J199*L199</f>
        <v>1.3801473548794376</v>
      </c>
      <c r="M197" s="260">
        <f>J197/J199*M199</f>
        <v>0.20109084571829794</v>
      </c>
      <c r="N197" s="143"/>
      <c r="O197" s="143"/>
      <c r="P197" s="143"/>
      <c r="Q197" s="143"/>
      <c r="R197" s="143"/>
      <c r="S197" s="143"/>
      <c r="T197" s="143"/>
      <c r="U197" s="143"/>
      <c r="V197" s="143"/>
      <c r="W197" s="143"/>
      <c r="X197" s="143"/>
      <c r="Y197" s="143"/>
      <c r="Z197" s="143"/>
      <c r="AA197" s="143"/>
      <c r="AB197" s="143"/>
      <c r="AC197" s="143"/>
      <c r="AD197" s="143"/>
      <c r="AE197" s="143"/>
      <c r="AF197" s="143"/>
      <c r="AG197" s="143"/>
      <c r="AH197" s="143"/>
      <c r="AI197" s="143"/>
      <c r="AJ197" s="143"/>
      <c r="AK197" s="143"/>
      <c r="AL197" s="143"/>
      <c r="AM197" s="143"/>
    </row>
    <row r="198" spans="1:39" ht="12.75" customHeight="1" x14ac:dyDescent="0.25">
      <c r="A198" s="143"/>
      <c r="B198" s="151"/>
      <c r="C198" s="152"/>
      <c r="D198" s="152"/>
      <c r="E198" s="152" t="s">
        <v>404</v>
      </c>
      <c r="F198" s="194">
        <v>13298</v>
      </c>
      <c r="G198" s="152" t="s">
        <v>225</v>
      </c>
      <c r="H198" s="270">
        <v>137431</v>
      </c>
      <c r="I198" s="152" t="s">
        <v>282</v>
      </c>
      <c r="J198" s="153">
        <f t="shared" si="56"/>
        <v>1827.557438</v>
      </c>
      <c r="K198" s="174">
        <f>J198/J199*K199</f>
        <v>203.91494398887752</v>
      </c>
      <c r="L198" s="278">
        <f>J198/J199*L199</f>
        <v>2.3775822746434264E-2</v>
      </c>
      <c r="M198" s="260">
        <f>J198/J199*M199</f>
        <v>3.4641955345025197E-3</v>
      </c>
      <c r="N198" s="143"/>
      <c r="O198" s="143"/>
      <c r="P198" s="143"/>
      <c r="Q198" s="143"/>
      <c r="R198" s="143"/>
      <c r="S198" s="143"/>
      <c r="T198" s="143"/>
      <c r="U198" s="143"/>
      <c r="V198" s="143"/>
      <c r="W198" s="143"/>
      <c r="X198" s="143"/>
      <c r="Y198" s="143"/>
      <c r="Z198" s="143"/>
      <c r="AA198" s="143"/>
      <c r="AB198" s="143"/>
      <c r="AC198" s="143"/>
      <c r="AD198" s="143"/>
      <c r="AE198" s="143"/>
      <c r="AF198" s="143"/>
      <c r="AG198" s="143"/>
      <c r="AH198" s="143"/>
      <c r="AI198" s="143"/>
      <c r="AJ198" s="143"/>
      <c r="AK198" s="143"/>
      <c r="AL198" s="143"/>
      <c r="AM198" s="143"/>
    </row>
    <row r="199" spans="1:39" ht="12.75" customHeight="1" x14ac:dyDescent="0.25">
      <c r="A199" s="143"/>
      <c r="B199" s="151"/>
      <c r="C199" s="152"/>
      <c r="D199" s="152"/>
      <c r="E199" s="152"/>
      <c r="F199" s="152"/>
      <c r="G199" s="152"/>
      <c r="H199" s="152"/>
      <c r="I199" s="152"/>
      <c r="J199" s="229">
        <f>SUM(J196:J197)</f>
        <v>5750361.3395369994</v>
      </c>
      <c r="K199" s="306">
        <v>641613</v>
      </c>
      <c r="L199" s="279">
        <v>74.81</v>
      </c>
      <c r="M199" s="274">
        <v>10.9</v>
      </c>
      <c r="N199" s="143"/>
      <c r="O199" s="143"/>
      <c r="P199" s="143"/>
      <c r="Q199" s="143"/>
      <c r="R199" s="143"/>
      <c r="S199" s="143"/>
      <c r="T199" s="143"/>
      <c r="U199" s="143"/>
      <c r="V199" s="143"/>
      <c r="W199" s="143"/>
      <c r="X199" s="143"/>
      <c r="Y199" s="143"/>
      <c r="Z199" s="143"/>
      <c r="AA199" s="143"/>
      <c r="AB199" s="143"/>
      <c r="AC199" s="143"/>
      <c r="AD199" s="143"/>
      <c r="AE199" s="143"/>
      <c r="AF199" s="143"/>
      <c r="AG199" s="143"/>
      <c r="AH199" s="143"/>
      <c r="AI199" s="143"/>
      <c r="AJ199" s="143"/>
      <c r="AK199" s="143"/>
      <c r="AL199" s="143"/>
      <c r="AM199" s="143"/>
    </row>
    <row r="200" spans="1:39" ht="12.75" customHeight="1" x14ac:dyDescent="0.25">
      <c r="A200" s="143"/>
      <c r="B200" s="151"/>
      <c r="C200" s="152"/>
      <c r="D200" s="152"/>
      <c r="E200" s="152"/>
      <c r="F200" s="152"/>
      <c r="G200" s="152"/>
      <c r="H200" s="152"/>
      <c r="I200" s="152"/>
      <c r="J200" s="174"/>
      <c r="K200" s="270"/>
      <c r="L200" s="152"/>
      <c r="M200" s="154"/>
      <c r="N200" s="143"/>
      <c r="O200" s="143"/>
      <c r="P200" s="143"/>
      <c r="Q200" s="143"/>
      <c r="R200" s="143"/>
      <c r="S200" s="143"/>
      <c r="T200" s="143"/>
      <c r="U200" s="143"/>
      <c r="V200" s="143"/>
      <c r="W200" s="143"/>
      <c r="X200" s="143"/>
      <c r="Y200" s="143"/>
      <c r="Z200" s="143"/>
      <c r="AA200" s="143"/>
      <c r="AB200" s="143"/>
      <c r="AC200" s="143"/>
      <c r="AD200" s="143"/>
      <c r="AE200" s="143"/>
      <c r="AF200" s="143"/>
      <c r="AG200" s="143"/>
      <c r="AH200" s="143"/>
      <c r="AI200" s="143"/>
      <c r="AJ200" s="143"/>
      <c r="AK200" s="143"/>
      <c r="AL200" s="143"/>
      <c r="AM200" s="143"/>
    </row>
    <row r="201" spans="1:39" ht="12.75" customHeight="1" x14ac:dyDescent="0.25">
      <c r="A201" s="143"/>
      <c r="B201" s="151"/>
      <c r="C201" s="152" t="s">
        <v>219</v>
      </c>
      <c r="D201" s="152" t="s">
        <v>197</v>
      </c>
      <c r="E201" s="152" t="s">
        <v>187</v>
      </c>
      <c r="F201" s="194">
        <v>234348</v>
      </c>
      <c r="G201" s="152" t="s">
        <v>188</v>
      </c>
      <c r="H201" s="270">
        <v>12984</v>
      </c>
      <c r="I201" s="152" t="s">
        <v>189</v>
      </c>
      <c r="J201" s="153">
        <f>(F201*H201*2000)/1000000</f>
        <v>6085548.8640000001</v>
      </c>
      <c r="K201" s="174">
        <f>J201/J204*K204</f>
        <v>627087.11668143061</v>
      </c>
      <c r="L201" s="278">
        <f>J201/J204*L204</f>
        <v>73.107117033753497</v>
      </c>
      <c r="M201" s="260">
        <f>J201/J204*M204</f>
        <v>10.658387582045416</v>
      </c>
      <c r="N201" s="143"/>
      <c r="O201" s="143"/>
      <c r="P201" s="143"/>
      <c r="Q201" s="143"/>
      <c r="R201" s="143"/>
      <c r="S201" s="143"/>
      <c r="T201" s="143"/>
      <c r="U201" s="143"/>
      <c r="V201" s="143"/>
      <c r="W201" s="143"/>
      <c r="X201" s="143"/>
      <c r="Y201" s="143"/>
      <c r="Z201" s="143"/>
      <c r="AA201" s="143"/>
      <c r="AB201" s="143"/>
      <c r="AC201" s="143"/>
      <c r="AD201" s="143"/>
      <c r="AE201" s="143"/>
      <c r="AF201" s="143"/>
      <c r="AG201" s="143"/>
      <c r="AH201" s="143"/>
      <c r="AI201" s="143"/>
      <c r="AJ201" s="143"/>
      <c r="AK201" s="143"/>
      <c r="AL201" s="143"/>
      <c r="AM201" s="143"/>
    </row>
    <row r="202" spans="1:39" ht="12.75" customHeight="1" x14ac:dyDescent="0.25">
      <c r="A202" s="143"/>
      <c r="B202" s="151"/>
      <c r="C202" s="152"/>
      <c r="D202" s="152"/>
      <c r="E202" s="152" t="s">
        <v>235</v>
      </c>
      <c r="F202" s="194">
        <v>837608</v>
      </c>
      <c r="G202" s="152" t="s">
        <v>225</v>
      </c>
      <c r="H202" s="270">
        <v>137431</v>
      </c>
      <c r="I202" s="152" t="s">
        <v>282</v>
      </c>
      <c r="J202" s="153">
        <f t="shared" ref="J202:J203" si="57">(F202*H202)/1000000</f>
        <v>115113.30504799999</v>
      </c>
      <c r="K202" s="174">
        <f>J202/J204*K204</f>
        <v>11861.883318569355</v>
      </c>
      <c r="L202" s="278">
        <f>J202/J204*L204</f>
        <v>1.3828829662464941</v>
      </c>
      <c r="M202" s="260">
        <f>J202/J204*M204</f>
        <v>0.20161241795458351</v>
      </c>
      <c r="N202" s="143"/>
      <c r="O202" s="143"/>
      <c r="P202" s="143"/>
      <c r="Q202" s="143"/>
      <c r="R202" s="143"/>
      <c r="S202" s="143"/>
      <c r="T202" s="143"/>
      <c r="U202" s="143"/>
      <c r="V202" s="143"/>
      <c r="W202" s="143"/>
      <c r="X202" s="143"/>
      <c r="Y202" s="143"/>
      <c r="Z202" s="143"/>
      <c r="AA202" s="143"/>
      <c r="AB202" s="143"/>
      <c r="AC202" s="143"/>
      <c r="AD202" s="143"/>
      <c r="AE202" s="143"/>
      <c r="AF202" s="143"/>
      <c r="AG202" s="143"/>
      <c r="AH202" s="143"/>
      <c r="AI202" s="143"/>
      <c r="AJ202" s="143"/>
      <c r="AK202" s="143"/>
      <c r="AL202" s="143"/>
      <c r="AM202" s="143"/>
    </row>
    <row r="203" spans="1:39" ht="12.75" customHeight="1" x14ac:dyDescent="0.25">
      <c r="A203" s="143"/>
      <c r="B203" s="151"/>
      <c r="C203" s="152"/>
      <c r="D203" s="152"/>
      <c r="E203" s="152" t="s">
        <v>404</v>
      </c>
      <c r="F203" s="194">
        <v>4154</v>
      </c>
      <c r="G203" s="152" t="s">
        <v>225</v>
      </c>
      <c r="H203" s="270">
        <v>137431</v>
      </c>
      <c r="I203" s="152" t="s">
        <v>282</v>
      </c>
      <c r="J203" s="153">
        <f t="shared" si="57"/>
        <v>570.888374</v>
      </c>
      <c r="K203" s="174">
        <f>J203/J204*K204</f>
        <v>58.827355165348351</v>
      </c>
      <c r="L203" s="278">
        <f>J203/J204*L204</f>
        <v>6.8582151099176904E-3</v>
      </c>
      <c r="M203" s="260">
        <f>J203/J204*M204</f>
        <v>9.9986865476850754E-4</v>
      </c>
      <c r="N203" s="143"/>
      <c r="O203" s="143"/>
      <c r="P203" s="143"/>
      <c r="Q203" s="143"/>
      <c r="R203" s="143"/>
      <c r="S203" s="143"/>
      <c r="T203" s="143"/>
      <c r="U203" s="143"/>
      <c r="V203" s="143"/>
      <c r="W203" s="143"/>
      <c r="X203" s="143"/>
      <c r="Y203" s="143"/>
      <c r="Z203" s="143"/>
      <c r="AA203" s="143"/>
      <c r="AB203" s="143"/>
      <c r="AC203" s="143"/>
      <c r="AD203" s="143"/>
      <c r="AE203" s="143"/>
      <c r="AF203" s="143"/>
      <c r="AG203" s="143"/>
      <c r="AH203" s="143"/>
      <c r="AI203" s="143"/>
      <c r="AJ203" s="143"/>
      <c r="AK203" s="143"/>
      <c r="AL203" s="143"/>
      <c r="AM203" s="143"/>
    </row>
    <row r="204" spans="1:39" ht="12.75" customHeight="1" x14ac:dyDescent="0.25">
      <c r="A204" s="143"/>
      <c r="B204" s="151"/>
      <c r="C204" s="152"/>
      <c r="D204" s="152"/>
      <c r="E204" s="152"/>
      <c r="F204" s="152"/>
      <c r="G204" s="152"/>
      <c r="H204" s="152"/>
      <c r="I204" s="152"/>
      <c r="J204" s="229">
        <f>SUM(J201:J202)</f>
        <v>6200662.1690480001</v>
      </c>
      <c r="K204" s="306">
        <v>638949</v>
      </c>
      <c r="L204" s="279">
        <v>74.489999999999995</v>
      </c>
      <c r="M204" s="274">
        <v>10.86</v>
      </c>
      <c r="N204" s="143"/>
      <c r="O204" s="143"/>
      <c r="P204" s="143"/>
      <c r="Q204" s="143"/>
      <c r="R204" s="143"/>
      <c r="S204" s="143"/>
      <c r="T204" s="143"/>
      <c r="U204" s="143"/>
      <c r="V204" s="143"/>
      <c r="W204" s="143"/>
      <c r="X204" s="143"/>
      <c r="Y204" s="143"/>
      <c r="Z204" s="143"/>
      <c r="AA204" s="143"/>
      <c r="AB204" s="143"/>
      <c r="AC204" s="143"/>
      <c r="AD204" s="143"/>
      <c r="AE204" s="143"/>
      <c r="AF204" s="143"/>
      <c r="AG204" s="143"/>
      <c r="AH204" s="143"/>
      <c r="AI204" s="143"/>
      <c r="AJ204" s="143"/>
      <c r="AK204" s="143"/>
      <c r="AL204" s="143"/>
      <c r="AM204" s="143"/>
    </row>
    <row r="205" spans="1:39" ht="12.75" customHeight="1" x14ac:dyDescent="0.25">
      <c r="A205" s="143"/>
      <c r="B205" s="151"/>
      <c r="C205" s="152"/>
      <c r="D205" s="152"/>
      <c r="E205" s="152"/>
      <c r="F205" s="152"/>
      <c r="G205" s="152"/>
      <c r="H205" s="152"/>
      <c r="I205" s="152"/>
      <c r="J205" s="229"/>
      <c r="K205" s="463"/>
      <c r="L205" s="464"/>
      <c r="M205" s="465"/>
      <c r="N205" s="143"/>
      <c r="O205" s="143"/>
      <c r="P205" s="143"/>
      <c r="Q205" s="143"/>
      <c r="R205" s="143"/>
      <c r="S205" s="143"/>
      <c r="T205" s="143"/>
      <c r="U205" s="143"/>
      <c r="V205" s="143"/>
      <c r="W205" s="143"/>
      <c r="X205" s="143"/>
      <c r="Y205" s="143"/>
      <c r="Z205" s="143"/>
      <c r="AA205" s="143"/>
      <c r="AB205" s="143"/>
      <c r="AC205" s="143"/>
      <c r="AD205" s="143"/>
      <c r="AE205" s="143"/>
      <c r="AF205" s="143"/>
      <c r="AG205" s="143"/>
      <c r="AH205" s="143"/>
      <c r="AI205" s="143"/>
      <c r="AJ205" s="143"/>
      <c r="AK205" s="143"/>
      <c r="AL205" s="143"/>
      <c r="AM205" s="143"/>
    </row>
    <row r="206" spans="1:39" ht="12.75" customHeight="1" x14ac:dyDescent="0.25">
      <c r="A206" s="143"/>
      <c r="B206" s="151"/>
      <c r="C206" s="152" t="s">
        <v>293</v>
      </c>
      <c r="D206" s="152" t="s">
        <v>294</v>
      </c>
      <c r="E206" s="152" t="s">
        <v>235</v>
      </c>
      <c r="F206" s="194">
        <v>405520</v>
      </c>
      <c r="G206" s="152" t="s">
        <v>225</v>
      </c>
      <c r="H206" s="270">
        <v>137431</v>
      </c>
      <c r="I206" s="152" t="s">
        <v>282</v>
      </c>
      <c r="J206" s="254">
        <f t="shared" ref="J206:J211" si="58">F206*H206/1000000</f>
        <v>55731.019119999997</v>
      </c>
      <c r="K206" s="234">
        <v>4544</v>
      </c>
      <c r="L206" s="234">
        <v>0.18</v>
      </c>
      <c r="M206" s="280">
        <f>0.0369</f>
        <v>3.6900000000000002E-2</v>
      </c>
      <c r="N206" s="143"/>
      <c r="O206" s="143"/>
      <c r="P206" s="143"/>
      <c r="Q206" s="143"/>
      <c r="R206" s="143"/>
      <c r="S206" s="143"/>
      <c r="T206" s="143"/>
      <c r="U206" s="143"/>
      <c r="V206" s="143"/>
      <c r="W206" s="143"/>
      <c r="X206" s="143"/>
      <c r="Y206" s="143"/>
      <c r="Z206" s="143"/>
      <c r="AA206" s="143"/>
      <c r="AB206" s="143"/>
      <c r="AC206" s="143"/>
      <c r="AD206" s="143"/>
      <c r="AE206" s="143"/>
      <c r="AF206" s="143"/>
      <c r="AG206" s="143"/>
      <c r="AH206" s="143"/>
      <c r="AI206" s="143"/>
      <c r="AJ206" s="143"/>
      <c r="AK206" s="143"/>
      <c r="AL206" s="143"/>
      <c r="AM206" s="143"/>
    </row>
    <row r="207" spans="1:39" ht="12.75" customHeight="1" x14ac:dyDescent="0.25">
      <c r="A207" s="143"/>
      <c r="B207" s="151"/>
      <c r="C207" s="152" t="s">
        <v>295</v>
      </c>
      <c r="D207" s="152" t="s">
        <v>296</v>
      </c>
      <c r="E207" s="152" t="s">
        <v>235</v>
      </c>
      <c r="F207" s="194">
        <v>487581</v>
      </c>
      <c r="G207" s="152" t="s">
        <v>225</v>
      </c>
      <c r="H207" s="270">
        <v>137431</v>
      </c>
      <c r="I207" s="152" t="s">
        <v>282</v>
      </c>
      <c r="J207" s="254">
        <f t="shared" si="58"/>
        <v>67008.744411000007</v>
      </c>
      <c r="K207" s="234">
        <v>5463</v>
      </c>
      <c r="L207" s="234">
        <v>0.22</v>
      </c>
      <c r="M207" s="280">
        <f>0.0443</f>
        <v>4.4299999999999999E-2</v>
      </c>
      <c r="N207" s="143"/>
      <c r="O207" s="143"/>
      <c r="P207" s="143"/>
      <c r="Q207" s="143"/>
      <c r="R207" s="143"/>
      <c r="S207" s="143"/>
      <c r="T207" s="143"/>
      <c r="U207" s="143"/>
      <c r="V207" s="143"/>
      <c r="W207" s="143"/>
      <c r="X207" s="143"/>
      <c r="Y207" s="143"/>
      <c r="Z207" s="143"/>
      <c r="AA207" s="143"/>
      <c r="AB207" s="143"/>
      <c r="AC207" s="143"/>
      <c r="AD207" s="143"/>
      <c r="AE207" s="143"/>
      <c r="AF207" s="143"/>
      <c r="AG207" s="143"/>
      <c r="AH207" s="143"/>
      <c r="AI207" s="143"/>
      <c r="AJ207" s="143"/>
      <c r="AK207" s="143"/>
      <c r="AL207" s="143"/>
      <c r="AM207" s="143"/>
    </row>
    <row r="208" spans="1:39" ht="12.75" customHeight="1" x14ac:dyDescent="0.25">
      <c r="A208" s="143"/>
      <c r="B208" s="151"/>
      <c r="C208" s="152" t="s">
        <v>297</v>
      </c>
      <c r="D208" s="152" t="s">
        <v>298</v>
      </c>
      <c r="E208" s="152" t="s">
        <v>235</v>
      </c>
      <c r="F208" s="194">
        <v>25084</v>
      </c>
      <c r="G208" s="152" t="s">
        <v>225</v>
      </c>
      <c r="H208" s="270">
        <v>137431</v>
      </c>
      <c r="I208" s="152" t="s">
        <v>282</v>
      </c>
      <c r="J208" s="153">
        <f t="shared" si="58"/>
        <v>3447.3192039999999</v>
      </c>
      <c r="K208" s="234">
        <v>281</v>
      </c>
      <c r="L208" s="234">
        <f>0.0114</f>
        <v>1.14E-2</v>
      </c>
      <c r="M208" s="280">
        <f>0.00228</f>
        <v>2.2799999999999999E-3</v>
      </c>
      <c r="N208" s="143"/>
      <c r="O208" s="143"/>
      <c r="P208" s="143"/>
      <c r="Q208" s="143"/>
      <c r="R208" s="143"/>
      <c r="S208" s="143"/>
      <c r="T208" s="143"/>
      <c r="U208" s="143"/>
      <c r="V208" s="143"/>
      <c r="W208" s="143"/>
      <c r="X208" s="143"/>
      <c r="Y208" s="143"/>
      <c r="Z208" s="143"/>
      <c r="AA208" s="143"/>
      <c r="AB208" s="143"/>
      <c r="AC208" s="143"/>
      <c r="AD208" s="143"/>
      <c r="AE208" s="143"/>
      <c r="AF208" s="143"/>
      <c r="AG208" s="143"/>
      <c r="AH208" s="143"/>
      <c r="AI208" s="143"/>
      <c r="AJ208" s="143"/>
      <c r="AK208" s="143"/>
      <c r="AL208" s="143"/>
      <c r="AM208" s="143"/>
    </row>
    <row r="209" spans="1:39" ht="12.75" customHeight="1" x14ac:dyDescent="0.25">
      <c r="A209" s="143"/>
      <c r="B209" s="151"/>
      <c r="C209" s="152" t="s">
        <v>299</v>
      </c>
      <c r="D209" s="152" t="s">
        <v>239</v>
      </c>
      <c r="E209" s="152" t="s">
        <v>235</v>
      </c>
      <c r="F209" s="194">
        <v>40680</v>
      </c>
      <c r="G209" s="152" t="s">
        <v>225</v>
      </c>
      <c r="H209" s="270">
        <v>137431</v>
      </c>
      <c r="I209" s="152" t="s">
        <v>282</v>
      </c>
      <c r="J209" s="153">
        <f t="shared" si="58"/>
        <v>5590.69308</v>
      </c>
      <c r="K209" s="234">
        <v>456</v>
      </c>
      <c r="L209" s="234">
        <f>0.0185</f>
        <v>1.8499999999999999E-2</v>
      </c>
      <c r="M209" s="280">
        <f>0.0037</f>
        <v>3.7000000000000002E-3</v>
      </c>
      <c r="N209" s="143"/>
      <c r="O209" s="143"/>
      <c r="P209" s="143"/>
      <c r="Q209" s="143"/>
      <c r="R209" s="143"/>
      <c r="S209" s="143"/>
      <c r="T209" s="143"/>
      <c r="U209" s="143"/>
      <c r="V209" s="143"/>
      <c r="W209" s="143"/>
      <c r="X209" s="143"/>
      <c r="Y209" s="143"/>
      <c r="Z209" s="143"/>
      <c r="AA209" s="143"/>
      <c r="AB209" s="143"/>
      <c r="AC209" s="143"/>
      <c r="AD209" s="143"/>
      <c r="AE209" s="143"/>
      <c r="AF209" s="143"/>
      <c r="AG209" s="143"/>
      <c r="AH209" s="143"/>
      <c r="AI209" s="143"/>
      <c r="AJ209" s="143"/>
      <c r="AK209" s="143"/>
      <c r="AL209" s="143"/>
      <c r="AM209" s="143"/>
    </row>
    <row r="210" spans="1:39" ht="12.75" customHeight="1" x14ac:dyDescent="0.25">
      <c r="A210" s="143"/>
      <c r="B210" s="151"/>
      <c r="C210" s="152" t="s">
        <v>300</v>
      </c>
      <c r="D210" s="152" t="s">
        <v>301</v>
      </c>
      <c r="E210" s="152" t="s">
        <v>235</v>
      </c>
      <c r="F210" s="194">
        <v>83427</v>
      </c>
      <c r="G210" s="152" t="s">
        <v>225</v>
      </c>
      <c r="H210" s="270">
        <v>137431</v>
      </c>
      <c r="I210" s="152" t="s">
        <v>282</v>
      </c>
      <c r="J210" s="153">
        <f t="shared" si="58"/>
        <v>11465.456037</v>
      </c>
      <c r="K210" s="234">
        <v>931</v>
      </c>
      <c r="L210" s="234">
        <f>0.038</f>
        <v>3.7999999999999999E-2</v>
      </c>
      <c r="M210" s="280">
        <f>0.0076</f>
        <v>7.6E-3</v>
      </c>
      <c r="N210" s="143"/>
      <c r="O210" s="143"/>
      <c r="P210" s="143"/>
      <c r="Q210" s="143"/>
      <c r="R210" s="143"/>
      <c r="S210" s="143"/>
      <c r="T210" s="143"/>
      <c r="U210" s="143"/>
      <c r="V210" s="143"/>
      <c r="W210" s="143"/>
      <c r="X210" s="143"/>
      <c r="Y210" s="143"/>
      <c r="Z210" s="143"/>
      <c r="AA210" s="143"/>
      <c r="AB210" s="143"/>
      <c r="AC210" s="143"/>
      <c r="AD210" s="143"/>
      <c r="AE210" s="143"/>
      <c r="AF210" s="143"/>
      <c r="AG210" s="143"/>
      <c r="AH210" s="143"/>
      <c r="AI210" s="143"/>
      <c r="AJ210" s="143"/>
      <c r="AK210" s="143"/>
      <c r="AL210" s="143"/>
      <c r="AM210" s="143"/>
    </row>
    <row r="211" spans="1:39" ht="12.75" customHeight="1" x14ac:dyDescent="0.25">
      <c r="A211" s="143"/>
      <c r="B211" s="151"/>
      <c r="C211" s="152" t="s">
        <v>302</v>
      </c>
      <c r="D211" s="152" t="s">
        <v>303</v>
      </c>
      <c r="E211" s="152" t="s">
        <v>235</v>
      </c>
      <c r="F211" s="194">
        <v>72052</v>
      </c>
      <c r="G211" s="152" t="s">
        <v>225</v>
      </c>
      <c r="H211" s="270">
        <v>137431</v>
      </c>
      <c r="I211" s="152" t="s">
        <v>282</v>
      </c>
      <c r="J211" s="153">
        <f t="shared" si="58"/>
        <v>9902.1784119999993</v>
      </c>
      <c r="K211" s="234">
        <v>804</v>
      </c>
      <c r="L211" s="234">
        <f>0.0328</f>
        <v>3.2800000000000003E-2</v>
      </c>
      <c r="M211" s="280">
        <f>0.00657</f>
        <v>6.5700000000000003E-3</v>
      </c>
      <c r="N211" s="143"/>
      <c r="O211" s="143"/>
      <c r="P211" s="143"/>
      <c r="Q211" s="143"/>
      <c r="R211" s="143"/>
      <c r="S211" s="143"/>
      <c r="T211" s="143"/>
      <c r="U211" s="143"/>
      <c r="V211" s="143"/>
      <c r="W211" s="143"/>
      <c r="X211" s="143"/>
      <c r="Y211" s="143"/>
      <c r="Z211" s="143"/>
      <c r="AA211" s="143"/>
      <c r="AB211" s="143"/>
      <c r="AC211" s="143"/>
      <c r="AD211" s="143"/>
      <c r="AE211" s="143"/>
      <c r="AF211" s="143"/>
      <c r="AG211" s="143"/>
      <c r="AH211" s="143"/>
      <c r="AI211" s="143"/>
      <c r="AJ211" s="143"/>
      <c r="AK211" s="143"/>
      <c r="AL211" s="143"/>
      <c r="AM211" s="143"/>
    </row>
    <row r="212" spans="1:39" ht="12.75" customHeight="1" x14ac:dyDescent="0.25">
      <c r="A212" s="143"/>
      <c r="B212" s="151"/>
      <c r="C212" s="152" t="s">
        <v>304</v>
      </c>
      <c r="D212" s="152" t="s">
        <v>244</v>
      </c>
      <c r="E212" s="152" t="s">
        <v>235</v>
      </c>
      <c r="F212" s="466">
        <f>J212*1000000/H212</f>
        <v>68041.417147514032</v>
      </c>
      <c r="G212" s="152" t="s">
        <v>225</v>
      </c>
      <c r="H212" s="270">
        <v>137431</v>
      </c>
      <c r="I212" s="152" t="s">
        <v>282</v>
      </c>
      <c r="J212" s="153">
        <f>9351</f>
        <v>9351</v>
      </c>
      <c r="K212" s="234">
        <v>757</v>
      </c>
      <c r="L212" s="234">
        <f>0.0309</f>
        <v>3.09E-2</v>
      </c>
      <c r="M212" s="280">
        <f>0.00618</f>
        <v>6.1799999999999997E-3</v>
      </c>
      <c r="N212" s="143"/>
      <c r="O212" s="143"/>
      <c r="P212" s="143"/>
      <c r="Q212" s="143"/>
      <c r="R212" s="143"/>
      <c r="S212" s="143"/>
      <c r="T212" s="143"/>
      <c r="U212" s="143"/>
      <c r="V212" s="143"/>
      <c r="W212" s="143"/>
      <c r="X212" s="143"/>
      <c r="Y212" s="143"/>
      <c r="Z212" s="143"/>
      <c r="AA212" s="143"/>
      <c r="AB212" s="143"/>
      <c r="AC212" s="143"/>
      <c r="AD212" s="143"/>
      <c r="AE212" s="143"/>
      <c r="AF212" s="143"/>
      <c r="AG212" s="143"/>
      <c r="AH212" s="143"/>
      <c r="AI212" s="143"/>
      <c r="AJ212" s="143"/>
      <c r="AK212" s="143"/>
      <c r="AL212" s="143"/>
      <c r="AM212" s="143"/>
    </row>
    <row r="213" spans="1:39" ht="12.75" customHeight="1" x14ac:dyDescent="0.25">
      <c r="A213" s="143"/>
      <c r="B213" s="151"/>
      <c r="C213" s="152" t="s">
        <v>305</v>
      </c>
      <c r="D213" s="152" t="s">
        <v>306</v>
      </c>
      <c r="E213" s="152" t="s">
        <v>235</v>
      </c>
      <c r="F213" s="194">
        <v>142476</v>
      </c>
      <c r="G213" s="152" t="s">
        <v>225</v>
      </c>
      <c r="H213" s="270">
        <v>137431</v>
      </c>
      <c r="I213" s="152" t="s">
        <v>282</v>
      </c>
      <c r="J213" s="153">
        <f>F213*H213/1000000</f>
        <v>19580.619156000001</v>
      </c>
      <c r="K213" s="234">
        <v>1589.2</v>
      </c>
      <c r="L213" s="234">
        <f>0.06</f>
        <v>0.06</v>
      </c>
      <c r="M213" s="280">
        <f>0.013</f>
        <v>1.2999999999999999E-2</v>
      </c>
      <c r="N213" s="143"/>
      <c r="O213" s="143"/>
      <c r="P213" s="143"/>
      <c r="Q213" s="143"/>
      <c r="R213" s="143"/>
      <c r="S213" s="143"/>
      <c r="T213" s="143"/>
      <c r="U213" s="143"/>
      <c r="V213" s="143"/>
      <c r="W213" s="143"/>
      <c r="X213" s="143"/>
      <c r="Y213" s="143"/>
      <c r="Z213" s="143"/>
      <c r="AA213" s="143"/>
      <c r="AB213" s="143"/>
      <c r="AC213" s="143"/>
      <c r="AD213" s="143"/>
      <c r="AE213" s="143"/>
      <c r="AF213" s="143"/>
      <c r="AG213" s="143"/>
      <c r="AH213" s="143"/>
      <c r="AI213" s="143"/>
      <c r="AJ213" s="143"/>
      <c r="AK213" s="143"/>
      <c r="AL213" s="143"/>
      <c r="AM213" s="143"/>
    </row>
    <row r="214" spans="1:39" ht="12.75" customHeight="1" x14ac:dyDescent="0.25">
      <c r="A214" s="143"/>
      <c r="B214" s="151"/>
      <c r="C214" s="152"/>
      <c r="D214" s="152"/>
      <c r="E214" s="152"/>
      <c r="F214" s="152"/>
      <c r="G214" s="152"/>
      <c r="H214" s="152"/>
      <c r="I214" s="152"/>
      <c r="J214" s="152"/>
      <c r="K214" s="152"/>
      <c r="L214" s="152"/>
      <c r="M214" s="219"/>
      <c r="N214" s="143"/>
      <c r="O214" s="143"/>
      <c r="P214" s="143"/>
      <c r="Q214" s="143"/>
      <c r="R214" s="143"/>
      <c r="S214" s="143"/>
      <c r="T214" s="143"/>
      <c r="U214" s="143"/>
      <c r="V214" s="143"/>
      <c r="W214" s="143"/>
      <c r="X214" s="143"/>
      <c r="Y214" s="143"/>
      <c r="Z214" s="143"/>
      <c r="AA214" s="143"/>
      <c r="AB214" s="143"/>
      <c r="AC214" s="143"/>
      <c r="AD214" s="143"/>
      <c r="AE214" s="143"/>
      <c r="AF214" s="143"/>
      <c r="AG214" s="143"/>
      <c r="AH214" s="143"/>
      <c r="AI214" s="143"/>
      <c r="AJ214" s="143"/>
      <c r="AK214" s="143"/>
      <c r="AL214" s="143"/>
      <c r="AM214" s="143"/>
    </row>
    <row r="215" spans="1:39" ht="12.75" customHeight="1" x14ac:dyDescent="0.25">
      <c r="A215" s="143"/>
      <c r="B215" s="155"/>
      <c r="C215" s="190"/>
      <c r="D215" s="190"/>
      <c r="E215" s="190"/>
      <c r="F215" s="190"/>
      <c r="G215" s="190"/>
      <c r="H215" s="190"/>
      <c r="I215" s="190"/>
      <c r="J215" s="190"/>
      <c r="K215" s="190"/>
      <c r="L215" s="190"/>
      <c r="M215" s="208"/>
      <c r="N215" s="143"/>
      <c r="O215" s="143"/>
      <c r="P215" s="143"/>
      <c r="Q215" s="143"/>
      <c r="R215" s="143"/>
      <c r="S215" s="143"/>
      <c r="T215" s="143"/>
      <c r="U215" s="143"/>
      <c r="V215" s="143"/>
      <c r="W215" s="143"/>
      <c r="X215" s="143"/>
      <c r="Y215" s="143"/>
      <c r="Z215" s="143"/>
      <c r="AA215" s="143"/>
      <c r="AB215" s="143"/>
      <c r="AC215" s="143"/>
      <c r="AD215" s="143"/>
      <c r="AE215" s="143"/>
      <c r="AF215" s="143"/>
      <c r="AG215" s="143"/>
      <c r="AH215" s="143"/>
      <c r="AI215" s="143"/>
      <c r="AJ215" s="143"/>
      <c r="AK215" s="143"/>
      <c r="AL215" s="143"/>
      <c r="AM215" s="143"/>
    </row>
    <row r="216" spans="1:39" ht="12.75" customHeight="1" x14ac:dyDescent="0.25">
      <c r="A216" s="143"/>
      <c r="B216" s="151" t="s">
        <v>307</v>
      </c>
      <c r="C216" s="179" t="s">
        <v>308</v>
      </c>
      <c r="D216" s="152"/>
      <c r="E216" s="152"/>
      <c r="F216" s="152"/>
      <c r="G216" s="152"/>
      <c r="H216" s="152"/>
      <c r="I216" s="152"/>
      <c r="J216" s="152"/>
      <c r="K216" s="152"/>
      <c r="L216" s="152"/>
      <c r="M216" s="154"/>
      <c r="N216" s="143"/>
      <c r="O216" s="143"/>
      <c r="P216" s="143"/>
      <c r="Q216" s="143"/>
      <c r="R216" s="143"/>
      <c r="S216" s="143"/>
      <c r="T216" s="143"/>
      <c r="U216" s="143"/>
      <c r="V216" s="143"/>
      <c r="W216" s="143"/>
      <c r="X216" s="143"/>
      <c r="Y216" s="143"/>
      <c r="Z216" s="143"/>
      <c r="AA216" s="143"/>
      <c r="AB216" s="143"/>
      <c r="AC216" s="143"/>
      <c r="AD216" s="143"/>
      <c r="AE216" s="143"/>
      <c r="AF216" s="143"/>
      <c r="AG216" s="143"/>
      <c r="AH216" s="143"/>
      <c r="AI216" s="143"/>
      <c r="AJ216" s="143"/>
      <c r="AK216" s="143"/>
      <c r="AL216" s="143"/>
      <c r="AM216" s="143"/>
    </row>
    <row r="217" spans="1:39" ht="12.75" customHeight="1" x14ac:dyDescent="0.25">
      <c r="A217" s="143"/>
      <c r="B217" s="151"/>
      <c r="C217" s="152" t="s">
        <v>309</v>
      </c>
      <c r="D217" s="152" t="s">
        <v>193</v>
      </c>
      <c r="E217" s="152" t="s">
        <v>436</v>
      </c>
      <c r="F217" s="315">
        <f>+(J217*1000)/H217</f>
        <v>2325286398.467433</v>
      </c>
      <c r="G217" s="152" t="s">
        <v>437</v>
      </c>
      <c r="H217" s="152">
        <v>1.044</v>
      </c>
      <c r="I217" s="152" t="s">
        <v>455</v>
      </c>
      <c r="J217" s="161">
        <v>2427599</v>
      </c>
      <c r="K217" s="221">
        <f t="shared" ref="K217:M217" si="59">(J217/(J217+J218))*K219</f>
        <v>144366.32771896198</v>
      </c>
      <c r="L217" s="278">
        <f t="shared" si="59"/>
        <v>10.380458594776925</v>
      </c>
      <c r="M217" s="260">
        <f t="shared" si="59"/>
        <v>3.5932356674227819</v>
      </c>
      <c r="N217" s="143"/>
      <c r="O217" s="143"/>
      <c r="P217" s="143"/>
      <c r="Q217" s="143"/>
      <c r="R217" s="143"/>
      <c r="S217" s="143"/>
      <c r="T217" s="143"/>
      <c r="U217" s="143"/>
      <c r="V217" s="143"/>
      <c r="W217" s="143"/>
      <c r="X217" s="143"/>
      <c r="Y217" s="143"/>
      <c r="Z217" s="143"/>
      <c r="AA217" s="143"/>
      <c r="AB217" s="143"/>
      <c r="AC217" s="143"/>
      <c r="AD217" s="143"/>
      <c r="AE217" s="143"/>
      <c r="AF217" s="143"/>
      <c r="AG217" s="143"/>
      <c r="AH217" s="143"/>
      <c r="AI217" s="143"/>
      <c r="AJ217" s="143"/>
      <c r="AK217" s="143"/>
      <c r="AL217" s="143"/>
      <c r="AM217" s="143"/>
    </row>
    <row r="218" spans="1:39" ht="12.75" customHeight="1" x14ac:dyDescent="0.25">
      <c r="A218" s="143"/>
      <c r="B218" s="151"/>
      <c r="C218" s="152"/>
      <c r="D218" s="152"/>
      <c r="E218" s="152" t="s">
        <v>310</v>
      </c>
      <c r="F218" s="153">
        <f>(J218/H218)*1000000</f>
        <v>33156.065673677564</v>
      </c>
      <c r="G218" s="152" t="s">
        <v>225</v>
      </c>
      <c r="H218" s="194">
        <v>137833</v>
      </c>
      <c r="I218" s="152" t="s">
        <v>311</v>
      </c>
      <c r="J218" s="161">
        <v>4570</v>
      </c>
      <c r="K218" s="221">
        <f t="shared" ref="K218:M218" si="60">(J218/(J218+J217))*K219</f>
        <v>271.77228103803645</v>
      </c>
      <c r="L218" s="278">
        <f t="shared" si="60"/>
        <v>1.9541405223074546E-2</v>
      </c>
      <c r="M218" s="260">
        <f t="shared" si="60"/>
        <v>6.7643325772181124E-3</v>
      </c>
      <c r="N218" s="143"/>
      <c r="O218" s="143"/>
      <c r="P218" s="143"/>
      <c r="Q218" s="143"/>
      <c r="R218" s="143"/>
      <c r="S218" s="143"/>
      <c r="T218" s="143"/>
      <c r="U218" s="143"/>
      <c r="V218" s="143"/>
      <c r="W218" s="143"/>
      <c r="X218" s="143"/>
      <c r="Y218" s="143"/>
      <c r="Z218" s="143"/>
      <c r="AA218" s="143"/>
      <c r="AB218" s="143"/>
      <c r="AC218" s="143"/>
      <c r="AD218" s="143"/>
      <c r="AE218" s="143"/>
      <c r="AF218" s="143"/>
      <c r="AG218" s="143"/>
      <c r="AH218" s="143"/>
      <c r="AI218" s="143"/>
      <c r="AJ218" s="143"/>
      <c r="AK218" s="143"/>
      <c r="AL218" s="143"/>
      <c r="AM218" s="143"/>
    </row>
    <row r="219" spans="1:39" ht="12.75" customHeight="1" x14ac:dyDescent="0.25">
      <c r="A219" s="143"/>
      <c r="B219" s="151"/>
      <c r="C219" s="152"/>
      <c r="D219" s="152"/>
      <c r="E219" s="152"/>
      <c r="F219" s="152"/>
      <c r="G219" s="152"/>
      <c r="H219" s="152"/>
      <c r="I219" s="152"/>
      <c r="J219" s="243">
        <f>SUM(J217:J218)</f>
        <v>2432169</v>
      </c>
      <c r="K219" s="247">
        <v>144638.1</v>
      </c>
      <c r="L219" s="247">
        <v>10.4</v>
      </c>
      <c r="M219" s="449">
        <v>3.6</v>
      </c>
      <c r="N219" s="143"/>
      <c r="O219" s="143"/>
      <c r="P219" s="143"/>
      <c r="Q219" s="143"/>
      <c r="R219" s="143"/>
      <c r="S219" s="143"/>
      <c r="T219" s="143"/>
      <c r="U219" s="143"/>
      <c r="V219" s="143"/>
      <c r="W219" s="143"/>
      <c r="X219" s="143"/>
      <c r="Y219" s="143"/>
      <c r="Z219" s="143"/>
      <c r="AA219" s="143"/>
      <c r="AB219" s="143"/>
      <c r="AC219" s="143"/>
      <c r="AD219" s="143"/>
      <c r="AE219" s="143"/>
      <c r="AF219" s="143"/>
      <c r="AG219" s="143"/>
      <c r="AH219" s="143"/>
      <c r="AI219" s="143"/>
      <c r="AJ219" s="143"/>
      <c r="AK219" s="143"/>
      <c r="AL219" s="143"/>
      <c r="AM219" s="143"/>
    </row>
    <row r="220" spans="1:39" ht="12.75" customHeight="1" x14ac:dyDescent="0.25">
      <c r="A220" s="143"/>
      <c r="B220" s="151"/>
      <c r="C220" s="152"/>
      <c r="D220" s="152"/>
      <c r="E220" s="152"/>
      <c r="F220" s="152"/>
      <c r="G220" s="152"/>
      <c r="H220" s="152"/>
      <c r="I220" s="152"/>
      <c r="J220" s="174"/>
      <c r="K220" s="221"/>
      <c r="L220" s="152"/>
      <c r="M220" s="154"/>
      <c r="N220" s="143"/>
      <c r="O220" s="143"/>
      <c r="P220" s="143"/>
      <c r="Q220" s="143"/>
      <c r="R220" s="143"/>
      <c r="S220" s="143"/>
      <c r="T220" s="143"/>
      <c r="U220" s="143"/>
      <c r="V220" s="143"/>
      <c r="W220" s="143"/>
      <c r="X220" s="143"/>
      <c r="Y220" s="143"/>
      <c r="Z220" s="143"/>
      <c r="AA220" s="143"/>
      <c r="AB220" s="143"/>
      <c r="AC220" s="143"/>
      <c r="AD220" s="143"/>
      <c r="AE220" s="143"/>
      <c r="AF220" s="143"/>
      <c r="AG220" s="143"/>
      <c r="AH220" s="143"/>
      <c r="AI220" s="143"/>
      <c r="AJ220" s="143"/>
      <c r="AK220" s="143"/>
      <c r="AL220" s="143"/>
      <c r="AM220" s="143"/>
    </row>
    <row r="221" spans="1:39" ht="12.75" customHeight="1" x14ac:dyDescent="0.25">
      <c r="A221" s="143"/>
      <c r="B221" s="151"/>
      <c r="C221" s="152" t="s">
        <v>312</v>
      </c>
      <c r="D221" s="152" t="s">
        <v>197</v>
      </c>
      <c r="E221" s="152" t="s">
        <v>436</v>
      </c>
      <c r="F221" s="153">
        <f>+(J221*1000)/H221</f>
        <v>2337931034.4827585</v>
      </c>
      <c r="G221" s="152" t="s">
        <v>437</v>
      </c>
      <c r="H221" s="152">
        <v>1.044</v>
      </c>
      <c r="I221" s="152" t="s">
        <v>455</v>
      </c>
      <c r="J221" s="161">
        <v>2440800</v>
      </c>
      <c r="K221" s="221">
        <f t="shared" ref="K221:M221" si="61">(J221/(J221+J222))*K223</f>
        <v>145151.59243983051</v>
      </c>
      <c r="L221" s="278">
        <f t="shared" si="61"/>
        <v>10.480497206525712</v>
      </c>
      <c r="M221" s="260">
        <f t="shared" si="61"/>
        <v>3.6931275870614422</v>
      </c>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3"/>
      <c r="AI221" s="143"/>
      <c r="AJ221" s="143"/>
      <c r="AK221" s="143"/>
      <c r="AL221" s="143"/>
      <c r="AM221" s="143"/>
    </row>
    <row r="222" spans="1:39" ht="12.75" customHeight="1" x14ac:dyDescent="0.25">
      <c r="A222" s="143"/>
      <c r="B222" s="151"/>
      <c r="C222" s="152"/>
      <c r="D222" s="152"/>
      <c r="E222" s="152" t="s">
        <v>310</v>
      </c>
      <c r="F222" s="153">
        <f>(J222/H222)*1000000</f>
        <v>32952.921288806014</v>
      </c>
      <c r="G222" s="152" t="s">
        <v>225</v>
      </c>
      <c r="H222" s="194">
        <v>137833</v>
      </c>
      <c r="I222" s="152" t="s">
        <v>311</v>
      </c>
      <c r="J222" s="161">
        <v>4542</v>
      </c>
      <c r="K222" s="221">
        <f t="shared" ref="K222:M222" si="62">(J222/(J222+J221))*K223</f>
        <v>270.10756016949779</v>
      </c>
      <c r="L222" s="278">
        <f t="shared" si="62"/>
        <v>1.9502793474287034E-2</v>
      </c>
      <c r="M222" s="260">
        <f t="shared" si="62"/>
        <v>6.8724129385582897E-3</v>
      </c>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3"/>
      <c r="AI222" s="143"/>
      <c r="AJ222" s="143"/>
      <c r="AK222" s="143"/>
      <c r="AL222" s="143"/>
      <c r="AM222" s="143"/>
    </row>
    <row r="223" spans="1:39" ht="12.75" customHeight="1" x14ac:dyDescent="0.25">
      <c r="A223" s="143"/>
      <c r="B223" s="151"/>
      <c r="C223" s="152"/>
      <c r="D223" s="152"/>
      <c r="E223" s="152"/>
      <c r="F223" s="152"/>
      <c r="G223" s="152"/>
      <c r="H223" s="152"/>
      <c r="I223" s="152"/>
      <c r="J223" s="243">
        <f>SUM(J221:J222)</f>
        <v>2445342</v>
      </c>
      <c r="K223" s="247">
        <v>145421.70000000001</v>
      </c>
      <c r="L223" s="210">
        <v>10.5</v>
      </c>
      <c r="M223" s="317">
        <v>3.7</v>
      </c>
      <c r="N223" s="143"/>
      <c r="O223" s="143"/>
      <c r="P223" s="143"/>
      <c r="Q223" s="143"/>
      <c r="R223" s="143"/>
      <c r="S223" s="143"/>
      <c r="T223" s="143"/>
      <c r="U223" s="143"/>
      <c r="V223" s="143"/>
      <c r="W223" s="143"/>
      <c r="X223" s="143"/>
      <c r="Y223" s="143"/>
      <c r="Z223" s="143"/>
      <c r="AA223" s="143"/>
      <c r="AB223" s="143"/>
      <c r="AC223" s="143"/>
      <c r="AD223" s="143"/>
      <c r="AE223" s="143"/>
      <c r="AF223" s="143"/>
      <c r="AG223" s="143"/>
      <c r="AH223" s="143"/>
      <c r="AI223" s="143"/>
      <c r="AJ223" s="143"/>
      <c r="AK223" s="143"/>
      <c r="AL223" s="143"/>
      <c r="AM223" s="143"/>
    </row>
    <row r="224" spans="1:39" ht="12.75" customHeight="1" x14ac:dyDescent="0.25">
      <c r="A224" s="143"/>
      <c r="B224" s="151"/>
      <c r="C224" s="152"/>
      <c r="D224" s="152"/>
      <c r="E224" s="152"/>
      <c r="F224" s="152"/>
      <c r="G224" s="152"/>
      <c r="H224" s="152"/>
      <c r="I224" s="152"/>
      <c r="J224" s="152"/>
      <c r="K224" s="221"/>
      <c r="L224" s="152"/>
      <c r="M224" s="154"/>
      <c r="N224" s="143"/>
      <c r="O224" s="143"/>
      <c r="P224" s="143"/>
      <c r="Q224" s="143"/>
      <c r="R224" s="143"/>
      <c r="S224" s="143"/>
      <c r="T224" s="143"/>
      <c r="U224" s="143"/>
      <c r="V224" s="143"/>
      <c r="W224" s="143"/>
      <c r="X224" s="143"/>
      <c r="Y224" s="143"/>
      <c r="Z224" s="143"/>
      <c r="AA224" s="143"/>
      <c r="AB224" s="143"/>
      <c r="AC224" s="143"/>
      <c r="AD224" s="143"/>
      <c r="AE224" s="143"/>
      <c r="AF224" s="143"/>
      <c r="AG224" s="143"/>
      <c r="AH224" s="143"/>
      <c r="AI224" s="143"/>
      <c r="AJ224" s="143"/>
      <c r="AK224" s="143"/>
      <c r="AL224" s="143"/>
      <c r="AM224" s="143"/>
    </row>
    <row r="225" spans="1:39" ht="12.75" customHeight="1" x14ac:dyDescent="0.25">
      <c r="A225" s="143"/>
      <c r="B225" s="151"/>
      <c r="C225" s="282" t="s">
        <v>313</v>
      </c>
      <c r="D225" s="152" t="s">
        <v>206</v>
      </c>
      <c r="E225" s="152" t="s">
        <v>310</v>
      </c>
      <c r="F225" s="161">
        <v>5163</v>
      </c>
      <c r="G225" s="152" t="s">
        <v>225</v>
      </c>
      <c r="H225" s="194">
        <v>137833</v>
      </c>
      <c r="I225" s="152" t="s">
        <v>311</v>
      </c>
      <c r="J225" s="283">
        <f>F225*H225/1000000</f>
        <v>711.63177900000005</v>
      </c>
      <c r="K225" s="247">
        <v>58</v>
      </c>
      <c r="L225" s="284">
        <v>2.3999999999999998E-3</v>
      </c>
      <c r="M225" s="285">
        <v>4.7000000000000002E-3</v>
      </c>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3"/>
      <c r="AI225" s="143"/>
      <c r="AJ225" s="143"/>
      <c r="AK225" s="143"/>
      <c r="AL225" s="143"/>
      <c r="AM225" s="143"/>
    </row>
    <row r="226" spans="1:39" ht="12.75" customHeight="1" x14ac:dyDescent="0.25">
      <c r="A226" s="143"/>
      <c r="B226" s="151"/>
      <c r="C226" s="152"/>
      <c r="D226" s="152"/>
      <c r="E226" s="152"/>
      <c r="F226" s="152"/>
      <c r="G226" s="152"/>
      <c r="H226" s="152"/>
      <c r="I226" s="152"/>
      <c r="J226" s="152"/>
      <c r="K226" s="152"/>
      <c r="L226" s="152"/>
      <c r="M226" s="154"/>
      <c r="N226" s="143"/>
      <c r="O226" s="143"/>
      <c r="P226" s="143"/>
      <c r="Q226" s="143"/>
      <c r="R226" s="143"/>
      <c r="S226" s="143"/>
      <c r="T226" s="143"/>
      <c r="U226" s="143"/>
      <c r="V226" s="143"/>
      <c r="W226" s="143"/>
      <c r="X226" s="143"/>
      <c r="Y226" s="143"/>
      <c r="Z226" s="143"/>
      <c r="AA226" s="143"/>
      <c r="AB226" s="143"/>
      <c r="AC226" s="143"/>
      <c r="AD226" s="143"/>
      <c r="AE226" s="143"/>
      <c r="AF226" s="143"/>
      <c r="AG226" s="143"/>
      <c r="AH226" s="143"/>
      <c r="AI226" s="143"/>
      <c r="AJ226" s="143"/>
      <c r="AK226" s="143"/>
      <c r="AL226" s="143"/>
      <c r="AM226" s="143"/>
    </row>
    <row r="227" spans="1:39" ht="12.75" customHeight="1" x14ac:dyDescent="0.25">
      <c r="A227" s="143"/>
      <c r="B227" s="155"/>
      <c r="C227" s="190"/>
      <c r="D227" s="190"/>
      <c r="E227" s="190"/>
      <c r="F227" s="190"/>
      <c r="G227" s="190"/>
      <c r="H227" s="190"/>
      <c r="I227" s="190"/>
      <c r="J227" s="190"/>
      <c r="K227" s="190"/>
      <c r="L227" s="190"/>
      <c r="M227" s="208"/>
      <c r="N227" s="143"/>
      <c r="O227" s="143"/>
      <c r="P227" s="143"/>
      <c r="Q227" s="143"/>
      <c r="R227" s="143"/>
      <c r="S227" s="143"/>
      <c r="T227" s="143"/>
      <c r="U227" s="143"/>
      <c r="V227" s="143"/>
      <c r="W227" s="143"/>
      <c r="X227" s="143"/>
      <c r="Y227" s="143"/>
      <c r="Z227" s="143"/>
      <c r="AA227" s="143"/>
      <c r="AB227" s="143"/>
      <c r="AC227" s="143"/>
      <c r="AD227" s="143"/>
      <c r="AE227" s="143"/>
      <c r="AF227" s="143"/>
      <c r="AG227" s="143"/>
      <c r="AH227" s="143"/>
      <c r="AI227" s="143"/>
      <c r="AJ227" s="143"/>
      <c r="AK227" s="143"/>
      <c r="AL227" s="143"/>
      <c r="AM227" s="143"/>
    </row>
    <row r="228" spans="1:39" ht="12.75" customHeight="1" x14ac:dyDescent="0.25">
      <c r="A228" s="143"/>
      <c r="B228" s="151" t="s">
        <v>456</v>
      </c>
      <c r="C228" s="301" t="s">
        <v>457</v>
      </c>
      <c r="D228" s="152"/>
      <c r="E228" s="152"/>
      <c r="F228" s="152"/>
      <c r="G228" s="152"/>
      <c r="H228" s="152"/>
      <c r="I228" s="152"/>
      <c r="J228" s="152"/>
      <c r="K228" s="152"/>
      <c r="L228" s="152"/>
      <c r="M228" s="154"/>
      <c r="N228" s="143"/>
      <c r="O228" s="143"/>
      <c r="P228" s="143"/>
      <c r="Q228" s="143"/>
      <c r="R228" s="143"/>
      <c r="S228" s="143"/>
      <c r="T228" s="143"/>
      <c r="U228" s="143"/>
      <c r="V228" s="143"/>
      <c r="W228" s="143"/>
      <c r="X228" s="143"/>
      <c r="Y228" s="143"/>
      <c r="Z228" s="143"/>
      <c r="AA228" s="143"/>
      <c r="AB228" s="143"/>
      <c r="AC228" s="143"/>
      <c r="AD228" s="143"/>
      <c r="AE228" s="143"/>
      <c r="AF228" s="143"/>
      <c r="AG228" s="143"/>
      <c r="AH228" s="143"/>
      <c r="AI228" s="143"/>
      <c r="AJ228" s="143"/>
      <c r="AK228" s="143"/>
      <c r="AL228" s="143"/>
      <c r="AM228" s="143"/>
    </row>
    <row r="229" spans="1:39" ht="12.75" customHeight="1" x14ac:dyDescent="0.25">
      <c r="A229" s="143"/>
      <c r="B229" s="151"/>
      <c r="C229" s="152" t="s">
        <v>451</v>
      </c>
      <c r="D229" s="152" t="s">
        <v>267</v>
      </c>
      <c r="E229" s="152" t="s">
        <v>439</v>
      </c>
      <c r="F229" s="209">
        <f>19.14*1000000</f>
        <v>19140000</v>
      </c>
      <c r="G229" s="152" t="s">
        <v>437</v>
      </c>
      <c r="H229" s="194">
        <v>1049</v>
      </c>
      <c r="I229" s="152" t="s">
        <v>454</v>
      </c>
      <c r="J229" s="286">
        <f t="shared" ref="J229:J236" si="63">F229*H229/1000000</f>
        <v>20077.86</v>
      </c>
      <c r="K229" s="302">
        <v>1173</v>
      </c>
      <c r="L229" s="302">
        <v>0.02</v>
      </c>
      <c r="M229" s="318">
        <v>0</v>
      </c>
      <c r="N229" s="143"/>
      <c r="O229" s="143"/>
      <c r="P229" s="143"/>
      <c r="Q229" s="143"/>
      <c r="R229" s="143"/>
      <c r="S229" s="143"/>
      <c r="T229" s="143"/>
      <c r="U229" s="143"/>
      <c r="V229" s="143"/>
      <c r="W229" s="143"/>
      <c r="X229" s="143"/>
      <c r="Y229" s="143"/>
      <c r="Z229" s="143"/>
      <c r="AA229" s="143"/>
      <c r="AB229" s="143"/>
      <c r="AC229" s="143"/>
      <c r="AD229" s="143"/>
      <c r="AE229" s="143"/>
      <c r="AF229" s="143"/>
      <c r="AG229" s="143"/>
      <c r="AH229" s="143"/>
      <c r="AI229" s="143"/>
      <c r="AJ229" s="143"/>
      <c r="AK229" s="143"/>
      <c r="AL229" s="143"/>
      <c r="AM229" s="143"/>
    </row>
    <row r="230" spans="1:39" ht="12.75" customHeight="1" x14ac:dyDescent="0.25">
      <c r="A230" s="143"/>
      <c r="B230" s="151"/>
      <c r="C230" s="152" t="s">
        <v>458</v>
      </c>
      <c r="D230" s="152" t="s">
        <v>269</v>
      </c>
      <c r="E230" s="152" t="s">
        <v>439</v>
      </c>
      <c r="F230" s="209">
        <f>20.62*1000000</f>
        <v>20620000</v>
      </c>
      <c r="G230" s="152" t="s">
        <v>437</v>
      </c>
      <c r="H230" s="194">
        <v>1049</v>
      </c>
      <c r="I230" s="152" t="s">
        <v>454</v>
      </c>
      <c r="J230" s="286">
        <f t="shared" si="63"/>
        <v>21630.38</v>
      </c>
      <c r="K230" s="302">
        <v>1264</v>
      </c>
      <c r="L230" s="302">
        <v>0.02</v>
      </c>
      <c r="M230" s="318">
        <v>0</v>
      </c>
      <c r="N230" s="143"/>
      <c r="O230" s="143"/>
      <c r="P230" s="143"/>
      <c r="Q230" s="143"/>
      <c r="R230" s="143"/>
      <c r="S230" s="143"/>
      <c r="T230" s="143"/>
      <c r="U230" s="143"/>
      <c r="V230" s="143"/>
      <c r="W230" s="143"/>
      <c r="X230" s="143"/>
      <c r="Y230" s="143"/>
      <c r="Z230" s="143"/>
      <c r="AA230" s="143"/>
      <c r="AB230" s="143"/>
      <c r="AC230" s="143"/>
      <c r="AD230" s="143"/>
      <c r="AE230" s="143"/>
      <c r="AF230" s="143"/>
      <c r="AG230" s="143"/>
      <c r="AH230" s="143"/>
      <c r="AI230" s="143"/>
      <c r="AJ230" s="143"/>
      <c r="AK230" s="143"/>
      <c r="AL230" s="143"/>
      <c r="AM230" s="143"/>
    </row>
    <row r="231" spans="1:39" ht="12.75" customHeight="1" x14ac:dyDescent="0.25">
      <c r="A231" s="143"/>
      <c r="B231" s="151"/>
      <c r="C231" s="152" t="s">
        <v>459</v>
      </c>
      <c r="D231" s="152" t="s">
        <v>271</v>
      </c>
      <c r="E231" s="152" t="s">
        <v>439</v>
      </c>
      <c r="F231" s="209">
        <f>19.02*1000000</f>
        <v>19020000</v>
      </c>
      <c r="G231" s="152" t="s">
        <v>437</v>
      </c>
      <c r="H231" s="194">
        <v>1049</v>
      </c>
      <c r="I231" s="152" t="s">
        <v>454</v>
      </c>
      <c r="J231" s="286">
        <f t="shared" si="63"/>
        <v>19951.98</v>
      </c>
      <c r="K231" s="302">
        <v>1166</v>
      </c>
      <c r="L231" s="302">
        <v>0.02</v>
      </c>
      <c r="M231" s="318">
        <v>0</v>
      </c>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3"/>
      <c r="AI231" s="143"/>
      <c r="AJ231" s="143"/>
      <c r="AK231" s="143"/>
      <c r="AL231" s="143"/>
      <c r="AM231" s="143"/>
    </row>
    <row r="232" spans="1:39" ht="12.75" customHeight="1" x14ac:dyDescent="0.25">
      <c r="A232" s="143"/>
      <c r="B232" s="151"/>
      <c r="C232" s="152" t="s">
        <v>460</v>
      </c>
      <c r="D232" s="152" t="s">
        <v>273</v>
      </c>
      <c r="E232" s="152" t="s">
        <v>439</v>
      </c>
      <c r="F232" s="209">
        <f>18.84*1000000</f>
        <v>18840000</v>
      </c>
      <c r="G232" s="152" t="s">
        <v>437</v>
      </c>
      <c r="H232" s="194">
        <v>1049</v>
      </c>
      <c r="I232" s="152" t="s">
        <v>454</v>
      </c>
      <c r="J232" s="286">
        <f t="shared" si="63"/>
        <v>19763.16</v>
      </c>
      <c r="K232" s="302">
        <v>1155</v>
      </c>
      <c r="L232" s="302">
        <v>0.02</v>
      </c>
      <c r="M232" s="318">
        <v>0</v>
      </c>
      <c r="N232" s="143"/>
      <c r="O232" s="143"/>
      <c r="P232" s="143"/>
      <c r="Q232" s="143"/>
      <c r="R232" s="143"/>
      <c r="S232" s="143"/>
      <c r="T232" s="143"/>
      <c r="U232" s="143"/>
      <c r="V232" s="143"/>
      <c r="W232" s="143"/>
      <c r="X232" s="143"/>
      <c r="Y232" s="143"/>
      <c r="Z232" s="143"/>
      <c r="AA232" s="143"/>
      <c r="AB232" s="143"/>
      <c r="AC232" s="143"/>
      <c r="AD232" s="143"/>
      <c r="AE232" s="143"/>
      <c r="AF232" s="143"/>
      <c r="AG232" s="143"/>
      <c r="AH232" s="143"/>
      <c r="AI232" s="143"/>
      <c r="AJ232" s="143"/>
      <c r="AK232" s="143"/>
      <c r="AL232" s="143"/>
      <c r="AM232" s="143"/>
    </row>
    <row r="233" spans="1:39" ht="12.75" customHeight="1" x14ac:dyDescent="0.25">
      <c r="A233" s="143"/>
      <c r="B233" s="151"/>
      <c r="C233" s="152" t="s">
        <v>461</v>
      </c>
      <c r="D233" s="152" t="s">
        <v>462</v>
      </c>
      <c r="E233" s="152" t="s">
        <v>439</v>
      </c>
      <c r="F233" s="263">
        <v>0</v>
      </c>
      <c r="G233" s="152" t="s">
        <v>437</v>
      </c>
      <c r="H233" s="270">
        <v>1049</v>
      </c>
      <c r="I233" s="152" t="s">
        <v>454</v>
      </c>
      <c r="J233" s="286">
        <f t="shared" si="63"/>
        <v>0</v>
      </c>
      <c r="K233" s="302">
        <v>0</v>
      </c>
      <c r="L233" s="302">
        <v>0</v>
      </c>
      <c r="M233" s="318">
        <v>0</v>
      </c>
      <c r="N233" s="143"/>
      <c r="O233" s="143"/>
      <c r="P233" s="143"/>
      <c r="Q233" s="143"/>
      <c r="R233" s="143"/>
      <c r="S233" s="143"/>
      <c r="T233" s="143"/>
      <c r="U233" s="143"/>
      <c r="V233" s="143"/>
      <c r="W233" s="143"/>
      <c r="X233" s="143"/>
      <c r="Y233" s="143"/>
      <c r="Z233" s="143"/>
      <c r="AA233" s="143"/>
      <c r="AB233" s="143"/>
      <c r="AC233" s="143"/>
      <c r="AD233" s="143"/>
      <c r="AE233" s="143"/>
      <c r="AF233" s="143"/>
      <c r="AG233" s="143"/>
      <c r="AH233" s="143"/>
      <c r="AI233" s="143"/>
      <c r="AJ233" s="143"/>
      <c r="AK233" s="143"/>
      <c r="AL233" s="143"/>
      <c r="AM233" s="143"/>
    </row>
    <row r="234" spans="1:39" ht="12.75" customHeight="1" x14ac:dyDescent="0.25">
      <c r="A234" s="143"/>
      <c r="B234" s="151"/>
      <c r="C234" s="152" t="s">
        <v>463</v>
      </c>
      <c r="D234" s="152" t="s">
        <v>464</v>
      </c>
      <c r="E234" s="152" t="s">
        <v>439</v>
      </c>
      <c r="F234" s="263">
        <v>0</v>
      </c>
      <c r="G234" s="152" t="s">
        <v>437</v>
      </c>
      <c r="H234" s="270">
        <v>1049</v>
      </c>
      <c r="I234" s="152" t="s">
        <v>454</v>
      </c>
      <c r="J234" s="286">
        <f t="shared" si="63"/>
        <v>0</v>
      </c>
      <c r="K234" s="302">
        <v>0</v>
      </c>
      <c r="L234" s="302">
        <v>0</v>
      </c>
      <c r="M234" s="318">
        <v>0</v>
      </c>
      <c r="N234" s="143"/>
      <c r="O234" s="143"/>
      <c r="P234" s="143"/>
      <c r="Q234" s="143"/>
      <c r="R234" s="143"/>
      <c r="S234" s="143"/>
      <c r="T234" s="143"/>
      <c r="U234" s="143"/>
      <c r="V234" s="143"/>
      <c r="W234" s="143"/>
      <c r="X234" s="143"/>
      <c r="Y234" s="143"/>
      <c r="Z234" s="143"/>
      <c r="AA234" s="143"/>
      <c r="AB234" s="143"/>
      <c r="AC234" s="143"/>
      <c r="AD234" s="143"/>
      <c r="AE234" s="143"/>
      <c r="AF234" s="143"/>
      <c r="AG234" s="143"/>
      <c r="AH234" s="143"/>
      <c r="AI234" s="143"/>
      <c r="AJ234" s="143"/>
      <c r="AK234" s="143"/>
      <c r="AL234" s="143"/>
      <c r="AM234" s="143"/>
    </row>
    <row r="235" spans="1:39" ht="12.75" customHeight="1" x14ac:dyDescent="0.25">
      <c r="A235" s="143"/>
      <c r="B235" s="151"/>
      <c r="C235" s="152" t="s">
        <v>465</v>
      </c>
      <c r="D235" s="152" t="s">
        <v>466</v>
      </c>
      <c r="E235" s="152" t="s">
        <v>439</v>
      </c>
      <c r="F235" s="263">
        <v>0</v>
      </c>
      <c r="G235" s="152" t="s">
        <v>437</v>
      </c>
      <c r="H235" s="270">
        <v>1049</v>
      </c>
      <c r="I235" s="152" t="s">
        <v>454</v>
      </c>
      <c r="J235" s="286">
        <f t="shared" si="63"/>
        <v>0</v>
      </c>
      <c r="K235" s="302">
        <v>0</v>
      </c>
      <c r="L235" s="302">
        <v>0</v>
      </c>
      <c r="M235" s="318">
        <v>0</v>
      </c>
      <c r="N235" s="143"/>
      <c r="O235" s="143"/>
      <c r="P235" s="143"/>
      <c r="Q235" s="143"/>
      <c r="R235" s="143"/>
      <c r="S235" s="143"/>
      <c r="T235" s="143"/>
      <c r="U235" s="143"/>
      <c r="V235" s="143"/>
      <c r="W235" s="143"/>
      <c r="X235" s="143"/>
      <c r="Y235" s="143"/>
      <c r="Z235" s="143"/>
      <c r="AA235" s="143"/>
      <c r="AB235" s="143"/>
      <c r="AC235" s="143"/>
      <c r="AD235" s="143"/>
      <c r="AE235" s="143"/>
      <c r="AF235" s="143"/>
      <c r="AG235" s="143"/>
      <c r="AH235" s="143"/>
      <c r="AI235" s="143"/>
      <c r="AJ235" s="143"/>
      <c r="AK235" s="143"/>
      <c r="AL235" s="143"/>
      <c r="AM235" s="143"/>
    </row>
    <row r="236" spans="1:39" ht="12.75" customHeight="1" x14ac:dyDescent="0.25">
      <c r="A236" s="143"/>
      <c r="B236" s="151"/>
      <c r="C236" s="152" t="s">
        <v>467</v>
      </c>
      <c r="D236" s="152" t="s">
        <v>468</v>
      </c>
      <c r="E236" s="152" t="s">
        <v>439</v>
      </c>
      <c r="F236" s="263">
        <v>0</v>
      </c>
      <c r="G236" s="152" t="s">
        <v>437</v>
      </c>
      <c r="H236" s="270">
        <v>1049</v>
      </c>
      <c r="I236" s="152" t="s">
        <v>454</v>
      </c>
      <c r="J236" s="286">
        <f t="shared" si="63"/>
        <v>0</v>
      </c>
      <c r="K236" s="302">
        <v>0</v>
      </c>
      <c r="L236" s="302">
        <v>0</v>
      </c>
      <c r="M236" s="318">
        <v>0</v>
      </c>
      <c r="N236" s="143"/>
      <c r="O236" s="143"/>
      <c r="P236" s="143"/>
      <c r="Q236" s="143"/>
      <c r="R236" s="143"/>
      <c r="S236" s="143"/>
      <c r="T236" s="143"/>
      <c r="U236" s="143"/>
      <c r="V236" s="143"/>
      <c r="W236" s="143"/>
      <c r="X236" s="143"/>
      <c r="Y236" s="143"/>
      <c r="Z236" s="143"/>
      <c r="AA236" s="143"/>
      <c r="AB236" s="143"/>
      <c r="AC236" s="143"/>
      <c r="AD236" s="143"/>
      <c r="AE236" s="143"/>
      <c r="AF236" s="143"/>
      <c r="AG236" s="143"/>
      <c r="AH236" s="143"/>
      <c r="AI236" s="143"/>
      <c r="AJ236" s="143"/>
      <c r="AK236" s="143"/>
      <c r="AL236" s="143"/>
      <c r="AM236" s="143"/>
    </row>
    <row r="237" spans="1:39" ht="12.75" customHeight="1" x14ac:dyDescent="0.25">
      <c r="A237" s="143"/>
      <c r="B237" s="151"/>
      <c r="C237" s="152"/>
      <c r="D237" s="152"/>
      <c r="E237" s="152"/>
      <c r="F237" s="152"/>
      <c r="G237" s="152"/>
      <c r="H237" s="270"/>
      <c r="I237" s="152"/>
      <c r="J237" s="152"/>
      <c r="K237" s="174"/>
      <c r="L237" s="152"/>
      <c r="M237" s="154"/>
      <c r="N237" s="143"/>
      <c r="O237" s="143"/>
      <c r="P237" s="143"/>
      <c r="Q237" s="143"/>
      <c r="R237" s="143"/>
      <c r="S237" s="143"/>
      <c r="T237" s="143"/>
      <c r="U237" s="143"/>
      <c r="V237" s="143"/>
      <c r="W237" s="143"/>
      <c r="X237" s="143"/>
      <c r="Y237" s="143"/>
      <c r="Z237" s="143"/>
      <c r="AA237" s="143"/>
      <c r="AB237" s="143"/>
      <c r="AC237" s="143"/>
      <c r="AD237" s="143"/>
      <c r="AE237" s="143"/>
      <c r="AF237" s="143"/>
      <c r="AG237" s="143"/>
      <c r="AH237" s="143"/>
      <c r="AI237" s="143"/>
      <c r="AJ237" s="143"/>
      <c r="AK237" s="143"/>
      <c r="AL237" s="143"/>
      <c r="AM237" s="143"/>
    </row>
    <row r="238" spans="1:39" ht="12.75" customHeight="1" x14ac:dyDescent="0.25">
      <c r="A238" s="143"/>
      <c r="B238" s="155"/>
      <c r="C238" s="190"/>
      <c r="D238" s="190"/>
      <c r="E238" s="190"/>
      <c r="F238" s="190"/>
      <c r="G238" s="190"/>
      <c r="H238" s="190"/>
      <c r="I238" s="190"/>
      <c r="J238" s="190"/>
      <c r="K238" s="190"/>
      <c r="L238" s="190"/>
      <c r="M238" s="208"/>
      <c r="N238" s="143"/>
      <c r="O238" s="143"/>
      <c r="P238" s="143"/>
      <c r="Q238" s="143"/>
      <c r="R238" s="143"/>
      <c r="S238" s="143"/>
      <c r="T238" s="143"/>
      <c r="U238" s="143"/>
      <c r="V238" s="143"/>
      <c r="W238" s="143"/>
      <c r="X238" s="143"/>
      <c r="Y238" s="143"/>
      <c r="Z238" s="143"/>
      <c r="AA238" s="143"/>
      <c r="AB238" s="143"/>
      <c r="AC238" s="143"/>
      <c r="AD238" s="143"/>
      <c r="AE238" s="143"/>
      <c r="AF238" s="143"/>
      <c r="AG238" s="143"/>
      <c r="AH238" s="143"/>
      <c r="AI238" s="143"/>
      <c r="AJ238" s="143"/>
      <c r="AK238" s="143"/>
      <c r="AL238" s="143"/>
      <c r="AM238" s="143"/>
    </row>
    <row r="239" spans="1:39" ht="12.75" customHeight="1" x14ac:dyDescent="0.25">
      <c r="A239" s="143"/>
      <c r="B239" s="151" t="s">
        <v>314</v>
      </c>
      <c r="C239" s="301" t="s">
        <v>315</v>
      </c>
      <c r="D239" s="152"/>
      <c r="E239" s="152"/>
      <c r="F239" s="152"/>
      <c r="G239" s="152"/>
      <c r="H239" s="152"/>
      <c r="I239" s="152"/>
      <c r="J239" s="152"/>
      <c r="K239" s="152"/>
      <c r="L239" s="152"/>
      <c r="M239" s="154"/>
      <c r="N239" s="143"/>
      <c r="O239" s="143"/>
      <c r="P239" s="143"/>
      <c r="Q239" s="143"/>
      <c r="R239" s="143"/>
      <c r="S239" s="143"/>
      <c r="T239" s="143"/>
      <c r="U239" s="143"/>
      <c r="V239" s="143"/>
      <c r="W239" s="143"/>
      <c r="X239" s="143"/>
      <c r="Y239" s="143"/>
      <c r="Z239" s="143"/>
      <c r="AA239" s="143"/>
      <c r="AB239" s="143"/>
      <c r="AC239" s="143"/>
      <c r="AD239" s="143"/>
      <c r="AE239" s="143"/>
      <c r="AF239" s="143"/>
      <c r="AG239" s="143"/>
      <c r="AH239" s="143"/>
      <c r="AI239" s="143"/>
      <c r="AJ239" s="143"/>
      <c r="AK239" s="143"/>
      <c r="AL239" s="143"/>
      <c r="AM239" s="143"/>
    </row>
    <row r="240" spans="1:39" ht="12.75" customHeight="1" x14ac:dyDescent="0.25">
      <c r="A240" s="143"/>
      <c r="B240" s="151"/>
      <c r="C240" s="152" t="s">
        <v>316</v>
      </c>
      <c r="D240" s="152" t="s">
        <v>267</v>
      </c>
      <c r="E240" s="152" t="s">
        <v>235</v>
      </c>
      <c r="F240" s="161">
        <f>137178</f>
        <v>137178</v>
      </c>
      <c r="G240" s="152" t="s">
        <v>225</v>
      </c>
      <c r="H240" s="161">
        <v>137.25399999999999</v>
      </c>
      <c r="I240" s="152" t="s">
        <v>317</v>
      </c>
      <c r="J240" s="286">
        <f t="shared" ref="J240:J243" si="64">F240*H240/1000</f>
        <v>18828.229211999998</v>
      </c>
      <c r="K240" s="161">
        <v>1534</v>
      </c>
      <c r="L240" s="287">
        <v>0.06</v>
      </c>
      <c r="M240" s="288">
        <v>0.01</v>
      </c>
      <c r="N240" s="143"/>
      <c r="O240" s="143"/>
      <c r="P240" s="143"/>
      <c r="Q240" s="143"/>
      <c r="R240" s="143"/>
      <c r="S240" s="143"/>
      <c r="T240" s="143"/>
      <c r="U240" s="143"/>
      <c r="V240" s="143"/>
      <c r="W240" s="143"/>
      <c r="X240" s="143"/>
      <c r="Y240" s="143"/>
      <c r="Z240" s="143"/>
      <c r="AA240" s="143"/>
      <c r="AB240" s="143"/>
      <c r="AC240" s="143"/>
      <c r="AD240" s="143"/>
      <c r="AE240" s="143"/>
      <c r="AF240" s="143"/>
      <c r="AG240" s="143"/>
      <c r="AH240" s="143"/>
      <c r="AI240" s="143"/>
      <c r="AJ240" s="143"/>
      <c r="AK240" s="143"/>
      <c r="AL240" s="143"/>
      <c r="AM240" s="143"/>
    </row>
    <row r="241" spans="1:39" ht="12.75" customHeight="1" x14ac:dyDescent="0.25">
      <c r="A241" s="143"/>
      <c r="B241" s="151"/>
      <c r="C241" s="152" t="s">
        <v>318</v>
      </c>
      <c r="D241" s="152" t="s">
        <v>269</v>
      </c>
      <c r="E241" s="152" t="s">
        <v>235</v>
      </c>
      <c r="F241" s="161">
        <f>117802</f>
        <v>117802</v>
      </c>
      <c r="G241" s="152" t="s">
        <v>225</v>
      </c>
      <c r="H241" s="161">
        <v>137.25399999999999</v>
      </c>
      <c r="I241" s="152" t="s">
        <v>317</v>
      </c>
      <c r="J241" s="286">
        <f t="shared" si="64"/>
        <v>16168.795707999998</v>
      </c>
      <c r="K241" s="161">
        <v>1317</v>
      </c>
      <c r="L241" s="287">
        <v>0.05</v>
      </c>
      <c r="M241" s="288">
        <v>0.01</v>
      </c>
      <c r="N241" s="143"/>
      <c r="O241" s="143"/>
      <c r="P241" s="143"/>
      <c r="Q241" s="143"/>
      <c r="R241" s="143"/>
      <c r="S241" s="143"/>
      <c r="T241" s="143"/>
      <c r="U241" s="143"/>
      <c r="V241" s="143"/>
      <c r="W241" s="143"/>
      <c r="X241" s="143"/>
      <c r="Y241" s="143"/>
      <c r="Z241" s="143"/>
      <c r="AA241" s="143"/>
      <c r="AB241" s="143"/>
      <c r="AC241" s="143"/>
      <c r="AD241" s="143"/>
      <c r="AE241" s="143"/>
      <c r="AF241" s="143"/>
      <c r="AG241" s="143"/>
      <c r="AH241" s="143"/>
      <c r="AI241" s="143"/>
      <c r="AJ241" s="143"/>
      <c r="AK241" s="143"/>
      <c r="AL241" s="143"/>
      <c r="AM241" s="143"/>
    </row>
    <row r="242" spans="1:39" ht="12.75" customHeight="1" x14ac:dyDescent="0.25">
      <c r="A242" s="143"/>
      <c r="B242" s="151"/>
      <c r="C242" s="152" t="s">
        <v>319</v>
      </c>
      <c r="D242" s="152" t="s">
        <v>271</v>
      </c>
      <c r="E242" s="152" t="s">
        <v>235</v>
      </c>
      <c r="F242" s="161">
        <f>129031</f>
        <v>129031</v>
      </c>
      <c r="G242" s="152" t="s">
        <v>225</v>
      </c>
      <c r="H242" s="161">
        <v>137.25399999999999</v>
      </c>
      <c r="I242" s="152" t="s">
        <v>317</v>
      </c>
      <c r="J242" s="286">
        <f t="shared" si="64"/>
        <v>17710.020873999998</v>
      </c>
      <c r="K242" s="161">
        <v>1443</v>
      </c>
      <c r="L242" s="287">
        <v>0.06</v>
      </c>
      <c r="M242" s="288">
        <v>0.01</v>
      </c>
      <c r="N242" s="143"/>
      <c r="O242" s="143"/>
      <c r="P242" s="143"/>
      <c r="Q242" s="143"/>
      <c r="R242" s="143"/>
      <c r="S242" s="143"/>
      <c r="T242" s="143"/>
      <c r="U242" s="143"/>
      <c r="V242" s="143"/>
      <c r="W242" s="143"/>
      <c r="X242" s="143"/>
      <c r="Y242" s="143"/>
      <c r="Z242" s="143"/>
      <c r="AA242" s="143"/>
      <c r="AB242" s="143"/>
      <c r="AC242" s="143"/>
      <c r="AD242" s="143"/>
      <c r="AE242" s="143"/>
      <c r="AF242" s="143"/>
      <c r="AG242" s="143"/>
      <c r="AH242" s="143"/>
      <c r="AI242" s="143"/>
      <c r="AJ242" s="143"/>
      <c r="AK242" s="143"/>
      <c r="AL242" s="143"/>
      <c r="AM242" s="143"/>
    </row>
    <row r="243" spans="1:39" ht="12.75" customHeight="1" x14ac:dyDescent="0.25">
      <c r="A243" s="143"/>
      <c r="B243" s="151"/>
      <c r="C243" s="152" t="s">
        <v>320</v>
      </c>
      <c r="D243" s="152" t="s">
        <v>273</v>
      </c>
      <c r="E243" s="152" t="s">
        <v>235</v>
      </c>
      <c r="F243" s="161">
        <f>115913</f>
        <v>115913</v>
      </c>
      <c r="G243" s="152" t="s">
        <v>225</v>
      </c>
      <c r="H243" s="161">
        <v>137.25399999999999</v>
      </c>
      <c r="I243" s="152" t="s">
        <v>317</v>
      </c>
      <c r="J243" s="286">
        <f t="shared" si="64"/>
        <v>15909.522901999999</v>
      </c>
      <c r="K243" s="161">
        <v>1296</v>
      </c>
      <c r="L243" s="287">
        <v>0.05</v>
      </c>
      <c r="M243" s="288">
        <v>0.01</v>
      </c>
      <c r="N243" s="143"/>
      <c r="O243" s="143"/>
      <c r="P243" s="143"/>
      <c r="Q243" s="143"/>
      <c r="R243" s="143"/>
      <c r="S243" s="143"/>
      <c r="T243" s="143"/>
      <c r="U243" s="143"/>
      <c r="V243" s="143"/>
      <c r="W243" s="143"/>
      <c r="X243" s="143"/>
      <c r="Y243" s="143"/>
      <c r="Z243" s="143"/>
      <c r="AA243" s="143"/>
      <c r="AB243" s="143"/>
      <c r="AC243" s="143"/>
      <c r="AD243" s="143"/>
      <c r="AE243" s="143"/>
      <c r="AF243" s="143"/>
      <c r="AG243" s="143"/>
      <c r="AH243" s="143"/>
      <c r="AI243" s="143"/>
      <c r="AJ243" s="143"/>
      <c r="AK243" s="143"/>
      <c r="AL243" s="143"/>
      <c r="AM243" s="143"/>
    </row>
    <row r="244" spans="1:39" ht="12.75" customHeight="1" x14ac:dyDescent="0.25">
      <c r="A244" s="143"/>
      <c r="B244" s="151"/>
      <c r="C244" s="152"/>
      <c r="D244" s="152"/>
      <c r="E244" s="152"/>
      <c r="F244" s="152"/>
      <c r="G244" s="152"/>
      <c r="H244" s="152"/>
      <c r="I244" s="152"/>
      <c r="J244" s="152"/>
      <c r="K244" s="174"/>
      <c r="L244" s="152"/>
      <c r="M244" s="154"/>
      <c r="N244" s="143"/>
      <c r="O244" s="143"/>
      <c r="P244" s="143"/>
      <c r="Q244" s="143"/>
      <c r="R244" s="143"/>
      <c r="S244" s="143"/>
      <c r="T244" s="143"/>
      <c r="U244" s="143"/>
      <c r="V244" s="143"/>
      <c r="W244" s="143"/>
      <c r="X244" s="143"/>
      <c r="Y244" s="143"/>
      <c r="Z244" s="143"/>
      <c r="AA244" s="143"/>
      <c r="AB244" s="143"/>
      <c r="AC244" s="143"/>
      <c r="AD244" s="143"/>
      <c r="AE244" s="143"/>
      <c r="AF244" s="143"/>
      <c r="AG244" s="143"/>
      <c r="AH244" s="143"/>
      <c r="AI244" s="143"/>
      <c r="AJ244" s="143"/>
      <c r="AK244" s="143"/>
      <c r="AL244" s="143"/>
      <c r="AM244" s="143"/>
    </row>
    <row r="245" spans="1:39" ht="12.75" customHeight="1" x14ac:dyDescent="0.25">
      <c r="A245" s="143"/>
      <c r="B245" s="155"/>
      <c r="C245" s="190"/>
      <c r="D245" s="190"/>
      <c r="E245" s="190"/>
      <c r="F245" s="190"/>
      <c r="G245" s="190"/>
      <c r="H245" s="190"/>
      <c r="I245" s="190"/>
      <c r="J245" s="190"/>
      <c r="K245" s="190"/>
      <c r="L245" s="190"/>
      <c r="M245" s="208"/>
      <c r="N245" s="143"/>
      <c r="O245" s="143"/>
      <c r="P245" s="143"/>
      <c r="Q245" s="143"/>
      <c r="R245" s="143"/>
      <c r="S245" s="143"/>
      <c r="T245" s="143"/>
      <c r="U245" s="143"/>
      <c r="V245" s="143"/>
      <c r="W245" s="143"/>
      <c r="X245" s="143"/>
      <c r="Y245" s="143"/>
      <c r="Z245" s="143"/>
      <c r="AA245" s="143"/>
      <c r="AB245" s="143"/>
      <c r="AC245" s="143"/>
      <c r="AD245" s="143"/>
      <c r="AE245" s="143"/>
      <c r="AF245" s="143"/>
      <c r="AG245" s="143"/>
      <c r="AH245" s="143"/>
      <c r="AI245" s="143"/>
      <c r="AJ245" s="143"/>
      <c r="AK245" s="143"/>
      <c r="AL245" s="143"/>
      <c r="AM245" s="143"/>
    </row>
    <row r="246" spans="1:39" ht="12.75" customHeight="1" x14ac:dyDescent="0.25">
      <c r="A246" s="143"/>
      <c r="B246" s="151" t="s">
        <v>469</v>
      </c>
      <c r="C246" s="301" t="s">
        <v>470</v>
      </c>
      <c r="D246" s="152"/>
      <c r="E246" s="152"/>
      <c r="F246" s="152"/>
      <c r="G246" s="152"/>
      <c r="H246" s="152"/>
      <c r="I246" s="152"/>
      <c r="J246" s="152"/>
      <c r="K246" s="152"/>
      <c r="L246" s="152"/>
      <c r="M246" s="154"/>
      <c r="N246" s="143"/>
      <c r="O246" s="143"/>
      <c r="P246" s="143"/>
      <c r="Q246" s="143"/>
      <c r="R246" s="143"/>
      <c r="S246" s="143"/>
      <c r="T246" s="143"/>
      <c r="U246" s="143"/>
      <c r="V246" s="143"/>
      <c r="W246" s="143"/>
      <c r="X246" s="143"/>
      <c r="Y246" s="143"/>
      <c r="Z246" s="143"/>
      <c r="AA246" s="143"/>
      <c r="AB246" s="143"/>
      <c r="AC246" s="143"/>
      <c r="AD246" s="143"/>
      <c r="AE246" s="143"/>
      <c r="AF246" s="143"/>
      <c r="AG246" s="143"/>
      <c r="AH246" s="143"/>
      <c r="AI246" s="143"/>
      <c r="AJ246" s="143"/>
      <c r="AK246" s="143"/>
      <c r="AL246" s="143"/>
      <c r="AM246" s="143"/>
    </row>
    <row r="247" spans="1:39" ht="12.75" customHeight="1" x14ac:dyDescent="0.25">
      <c r="A247" s="143"/>
      <c r="B247" s="151"/>
      <c r="C247" s="152" t="s">
        <v>471</v>
      </c>
      <c r="D247" s="152" t="s">
        <v>472</v>
      </c>
      <c r="E247" s="152" t="s">
        <v>436</v>
      </c>
      <c r="F247" s="161">
        <f t="shared" ref="F247:F251" si="65">+(J247*1000)/H247</f>
        <v>696907519.53125</v>
      </c>
      <c r="G247" s="152" t="s">
        <v>437</v>
      </c>
      <c r="H247" s="293">
        <v>1.024</v>
      </c>
      <c r="I247" s="152" t="s">
        <v>455</v>
      </c>
      <c r="J247" s="161">
        <v>713633.3</v>
      </c>
      <c r="K247" s="292">
        <f>39347.3</f>
        <v>39347.300000000003</v>
      </c>
      <c r="L247" s="287">
        <v>0.66</v>
      </c>
      <c r="M247" s="288">
        <v>7.0000000000000007E-2</v>
      </c>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3"/>
      <c r="AI247" s="143"/>
      <c r="AJ247" s="143"/>
      <c r="AK247" s="143"/>
      <c r="AL247" s="143"/>
      <c r="AM247" s="143"/>
    </row>
    <row r="248" spans="1:39" ht="12.75" customHeight="1" x14ac:dyDescent="0.25">
      <c r="A248" s="143"/>
      <c r="B248" s="151"/>
      <c r="C248" s="152" t="s">
        <v>473</v>
      </c>
      <c r="D248" s="152" t="s">
        <v>474</v>
      </c>
      <c r="E248" s="152" t="s">
        <v>436</v>
      </c>
      <c r="F248" s="161">
        <f t="shared" si="65"/>
        <v>614216699.21875</v>
      </c>
      <c r="G248" s="152" t="s">
        <v>437</v>
      </c>
      <c r="H248" s="293">
        <v>1.024</v>
      </c>
      <c r="I248" s="152" t="s">
        <v>455</v>
      </c>
      <c r="J248" s="161">
        <v>628957.9</v>
      </c>
      <c r="K248" s="292">
        <v>34401.300000000003</v>
      </c>
      <c r="L248" s="287">
        <v>0.57999999999999996</v>
      </c>
      <c r="M248" s="288">
        <v>0.06</v>
      </c>
      <c r="N248" s="143"/>
      <c r="O248" s="143"/>
      <c r="P248" s="143"/>
      <c r="Q248" s="143"/>
      <c r="R248" s="143"/>
      <c r="S248" s="143"/>
      <c r="T248" s="143"/>
      <c r="U248" s="143"/>
      <c r="V248" s="143"/>
      <c r="W248" s="143"/>
      <c r="X248" s="143"/>
      <c r="Y248" s="143"/>
      <c r="Z248" s="143"/>
      <c r="AA248" s="143"/>
      <c r="AB248" s="143"/>
      <c r="AC248" s="143"/>
      <c r="AD248" s="143"/>
      <c r="AE248" s="143"/>
      <c r="AF248" s="143"/>
      <c r="AG248" s="143"/>
      <c r="AH248" s="143"/>
      <c r="AI248" s="143"/>
      <c r="AJ248" s="143"/>
      <c r="AK248" s="143"/>
      <c r="AL248" s="143"/>
      <c r="AM248" s="143"/>
    </row>
    <row r="249" spans="1:39" ht="12.75" customHeight="1" x14ac:dyDescent="0.25">
      <c r="A249" s="143"/>
      <c r="B249" s="151"/>
      <c r="C249" s="152" t="s">
        <v>475</v>
      </c>
      <c r="D249" s="152" t="s">
        <v>476</v>
      </c>
      <c r="E249" s="152" t="s">
        <v>436</v>
      </c>
      <c r="F249" s="161">
        <f t="shared" si="65"/>
        <v>849165527.34375</v>
      </c>
      <c r="G249" s="152" t="s">
        <v>437</v>
      </c>
      <c r="H249" s="293">
        <v>1.024</v>
      </c>
      <c r="I249" s="152" t="s">
        <v>455</v>
      </c>
      <c r="J249" s="161">
        <v>869545.5</v>
      </c>
      <c r="K249" s="292">
        <v>47759</v>
      </c>
      <c r="L249" s="287">
        <v>0.8</v>
      </c>
      <c r="M249" s="288">
        <v>0.08</v>
      </c>
      <c r="N249" s="143"/>
      <c r="O249" s="143"/>
      <c r="P249" s="143"/>
      <c r="Q249" s="143"/>
      <c r="R249" s="143"/>
      <c r="S249" s="143"/>
      <c r="T249" s="143"/>
      <c r="U249" s="143"/>
      <c r="V249" s="143"/>
      <c r="W249" s="143"/>
      <c r="X249" s="143"/>
      <c r="Y249" s="143"/>
      <c r="Z249" s="143"/>
      <c r="AA249" s="143"/>
      <c r="AB249" s="143"/>
      <c r="AC249" s="143"/>
      <c r="AD249" s="143"/>
      <c r="AE249" s="143"/>
      <c r="AF249" s="143"/>
      <c r="AG249" s="143"/>
      <c r="AH249" s="143"/>
      <c r="AI249" s="143"/>
      <c r="AJ249" s="143"/>
      <c r="AK249" s="143"/>
      <c r="AL249" s="143"/>
      <c r="AM249" s="143"/>
    </row>
    <row r="250" spans="1:39" ht="12.75" customHeight="1" x14ac:dyDescent="0.25">
      <c r="A250" s="143"/>
      <c r="B250" s="151"/>
      <c r="C250" s="152" t="s">
        <v>477</v>
      </c>
      <c r="D250" s="152" t="s">
        <v>478</v>
      </c>
      <c r="E250" s="152" t="s">
        <v>436</v>
      </c>
      <c r="F250" s="161">
        <f t="shared" si="65"/>
        <v>800467675.78125</v>
      </c>
      <c r="G250" s="152" t="s">
        <v>437</v>
      </c>
      <c r="H250" s="293">
        <v>1.024</v>
      </c>
      <c r="I250" s="152" t="s">
        <v>455</v>
      </c>
      <c r="J250" s="161">
        <v>819678.9</v>
      </c>
      <c r="K250" s="292">
        <v>45018.8</v>
      </c>
      <c r="L250" s="287">
        <v>0.76</v>
      </c>
      <c r="M250" s="288">
        <v>0.08</v>
      </c>
      <c r="N250" s="143"/>
      <c r="O250" s="143"/>
      <c r="P250" s="143"/>
      <c r="Q250" s="143"/>
      <c r="R250" s="143"/>
      <c r="S250" s="143"/>
      <c r="T250" s="143"/>
      <c r="U250" s="143"/>
      <c r="V250" s="143"/>
      <c r="W250" s="143"/>
      <c r="X250" s="143"/>
      <c r="Y250" s="143"/>
      <c r="Z250" s="143"/>
      <c r="AA250" s="143"/>
      <c r="AB250" s="143"/>
      <c r="AC250" s="143"/>
      <c r="AD250" s="143"/>
      <c r="AE250" s="143"/>
      <c r="AF250" s="143"/>
      <c r="AG250" s="143"/>
      <c r="AH250" s="143"/>
      <c r="AI250" s="143"/>
      <c r="AJ250" s="143"/>
      <c r="AK250" s="143"/>
      <c r="AL250" s="143"/>
      <c r="AM250" s="143"/>
    </row>
    <row r="251" spans="1:39" ht="12.75" customHeight="1" x14ac:dyDescent="0.25">
      <c r="A251" s="143"/>
      <c r="B251" s="151"/>
      <c r="C251" s="152" t="s">
        <v>479</v>
      </c>
      <c r="D251" s="152" t="s">
        <v>480</v>
      </c>
      <c r="E251" s="152" t="s">
        <v>436</v>
      </c>
      <c r="F251" s="161">
        <f t="shared" si="65"/>
        <v>5892578.125</v>
      </c>
      <c r="G251" s="152" t="s">
        <v>437</v>
      </c>
      <c r="H251" s="293">
        <v>1.024</v>
      </c>
      <c r="I251" s="152" t="s">
        <v>455</v>
      </c>
      <c r="J251" s="161">
        <v>6034</v>
      </c>
      <c r="K251" s="292">
        <v>350.8</v>
      </c>
      <c r="L251" s="287">
        <v>6.0000000000000001E-3</v>
      </c>
      <c r="M251" s="288">
        <v>1E-3</v>
      </c>
      <c r="N251" s="143"/>
      <c r="O251" s="143"/>
      <c r="P251" s="143"/>
      <c r="Q251" s="143"/>
      <c r="R251" s="143"/>
      <c r="S251" s="143"/>
      <c r="T251" s="143"/>
      <c r="U251" s="143"/>
      <c r="V251" s="143"/>
      <c r="W251" s="143"/>
      <c r="X251" s="143"/>
      <c r="Y251" s="143"/>
      <c r="Z251" s="143"/>
      <c r="AA251" s="143"/>
      <c r="AB251" s="143"/>
      <c r="AC251" s="143"/>
      <c r="AD251" s="143"/>
      <c r="AE251" s="143"/>
      <c r="AF251" s="143"/>
      <c r="AG251" s="143"/>
      <c r="AH251" s="143"/>
      <c r="AI251" s="143"/>
      <c r="AJ251" s="143"/>
      <c r="AK251" s="143"/>
      <c r="AL251" s="143"/>
      <c r="AM251" s="143"/>
    </row>
    <row r="252" spans="1:39" ht="12.75" customHeight="1" x14ac:dyDescent="0.25">
      <c r="A252" s="143"/>
      <c r="B252" s="151"/>
      <c r="C252" s="152"/>
      <c r="D252" s="152"/>
      <c r="E252" s="152"/>
      <c r="F252" s="152"/>
      <c r="G252" s="152"/>
      <c r="H252" s="152"/>
      <c r="I252" s="152"/>
      <c r="J252" s="152"/>
      <c r="K252" s="152"/>
      <c r="L252" s="152"/>
      <c r="M252" s="154"/>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3"/>
      <c r="AI252" s="143"/>
      <c r="AJ252" s="143"/>
      <c r="AK252" s="143"/>
      <c r="AL252" s="143"/>
      <c r="AM252" s="143"/>
    </row>
    <row r="253" spans="1:39" ht="12.75" customHeight="1" x14ac:dyDescent="0.25">
      <c r="A253" s="143"/>
      <c r="B253" s="155"/>
      <c r="C253" s="190"/>
      <c r="D253" s="190"/>
      <c r="E253" s="190"/>
      <c r="F253" s="190"/>
      <c r="G253" s="190"/>
      <c r="H253" s="190"/>
      <c r="I253" s="190"/>
      <c r="J253" s="190"/>
      <c r="K253" s="190"/>
      <c r="L253" s="190"/>
      <c r="M253" s="208"/>
      <c r="N253" s="143"/>
      <c r="O253" s="143"/>
      <c r="P253" s="143"/>
      <c r="Q253" s="143"/>
      <c r="R253" s="143"/>
      <c r="S253" s="143"/>
      <c r="T253" s="143"/>
      <c r="U253" s="143"/>
      <c r="V253" s="143"/>
      <c r="W253" s="143"/>
      <c r="X253" s="143"/>
      <c r="Y253" s="143"/>
      <c r="Z253" s="143"/>
      <c r="AA253" s="143"/>
      <c r="AB253" s="143"/>
      <c r="AC253" s="143"/>
      <c r="AD253" s="143"/>
      <c r="AE253" s="143"/>
      <c r="AF253" s="143"/>
      <c r="AG253" s="143"/>
      <c r="AH253" s="143"/>
      <c r="AI253" s="143"/>
      <c r="AJ253" s="143"/>
      <c r="AK253" s="143"/>
      <c r="AL253" s="143"/>
      <c r="AM253" s="143"/>
    </row>
    <row r="254" spans="1:39" ht="12.75" customHeight="1" x14ac:dyDescent="0.25">
      <c r="A254" s="143"/>
      <c r="B254" s="151" t="s">
        <v>321</v>
      </c>
      <c r="C254" s="179" t="s">
        <v>322</v>
      </c>
      <c r="D254" s="152"/>
      <c r="E254" s="152"/>
      <c r="F254" s="152"/>
      <c r="G254" s="152"/>
      <c r="H254" s="152"/>
      <c r="I254" s="152"/>
      <c r="J254" s="152"/>
      <c r="K254" s="152"/>
      <c r="L254" s="152"/>
      <c r="M254" s="154"/>
      <c r="N254" s="143"/>
      <c r="O254" s="143" t="s">
        <v>611</v>
      </c>
      <c r="P254" s="430"/>
      <c r="Q254" s="430"/>
      <c r="R254" s="143"/>
      <c r="S254" s="143"/>
      <c r="T254" s="143"/>
      <c r="U254" s="143"/>
      <c r="V254" s="143"/>
      <c r="W254" s="143"/>
      <c r="X254" s="143"/>
      <c r="Y254" s="143"/>
      <c r="Z254" s="143"/>
      <c r="AA254" s="143"/>
      <c r="AB254" s="143"/>
      <c r="AC254" s="143"/>
      <c r="AD254" s="143"/>
      <c r="AE254" s="143"/>
      <c r="AF254" s="143"/>
      <c r="AG254" s="143"/>
      <c r="AH254" s="143"/>
      <c r="AI254" s="143"/>
      <c r="AJ254" s="143"/>
      <c r="AK254" s="143"/>
      <c r="AL254" s="143"/>
      <c r="AM254" s="143"/>
    </row>
    <row r="255" spans="1:39" ht="12.75" customHeight="1" x14ac:dyDescent="0.25">
      <c r="A255" s="143"/>
      <c r="B255" s="151"/>
      <c r="C255" s="152" t="s">
        <v>323</v>
      </c>
      <c r="D255" s="152" t="s">
        <v>324</v>
      </c>
      <c r="E255" s="152" t="s">
        <v>235</v>
      </c>
      <c r="F255" s="161">
        <v>4183</v>
      </c>
      <c r="G255" s="152" t="s">
        <v>225</v>
      </c>
      <c r="H255" s="152">
        <v>137</v>
      </c>
      <c r="I255" s="152" t="s">
        <v>317</v>
      </c>
      <c r="J255" s="221">
        <f t="shared" ref="J255:J264" si="66">F255*H255/1000</f>
        <v>573.07100000000003</v>
      </c>
      <c r="K255" s="289">
        <v>47</v>
      </c>
      <c r="L255" s="290">
        <v>2.3E-3</v>
      </c>
      <c r="M255" s="236">
        <v>2.0000000000000001E-4</v>
      </c>
      <c r="N255" s="143"/>
      <c r="O255" s="430"/>
      <c r="P255" s="430"/>
      <c r="Q255" s="430"/>
      <c r="R255" s="143"/>
      <c r="S255" s="143"/>
      <c r="T255" s="143"/>
      <c r="U255" s="143"/>
      <c r="V255" s="143"/>
      <c r="W255" s="143"/>
      <c r="X255" s="143"/>
      <c r="Y255" s="143"/>
      <c r="Z255" s="143"/>
      <c r="AA255" s="143"/>
      <c r="AB255" s="143"/>
      <c r="AC255" s="143"/>
      <c r="AD255" s="143"/>
      <c r="AE255" s="143"/>
      <c r="AF255" s="143"/>
      <c r="AG255" s="143"/>
      <c r="AH255" s="143"/>
      <c r="AI255" s="143"/>
      <c r="AJ255" s="143"/>
      <c r="AK255" s="143"/>
      <c r="AL255" s="143"/>
      <c r="AM255" s="143"/>
    </row>
    <row r="256" spans="1:39" ht="12.75" customHeight="1" x14ac:dyDescent="0.25">
      <c r="A256" s="143"/>
      <c r="B256" s="151"/>
      <c r="C256" s="152" t="s">
        <v>325</v>
      </c>
      <c r="D256" s="152" t="s">
        <v>326</v>
      </c>
      <c r="E256" s="152" t="s">
        <v>235</v>
      </c>
      <c r="F256" s="161">
        <v>4761</v>
      </c>
      <c r="G256" s="152" t="s">
        <v>225</v>
      </c>
      <c r="H256" s="152">
        <v>137</v>
      </c>
      <c r="I256" s="152" t="s">
        <v>317</v>
      </c>
      <c r="J256" s="221">
        <f t="shared" si="66"/>
        <v>652.25699999999995</v>
      </c>
      <c r="K256" s="289">
        <v>54</v>
      </c>
      <c r="L256" s="290">
        <v>2.5999999999999999E-3</v>
      </c>
      <c r="M256" s="236">
        <v>2.9999999999999997E-4</v>
      </c>
      <c r="N256" s="143"/>
      <c r="O256" s="430" t="s">
        <v>612</v>
      </c>
      <c r="P256" s="430"/>
      <c r="Q256" s="430"/>
      <c r="R256" s="143"/>
      <c r="S256" s="143"/>
      <c r="T256" s="143"/>
      <c r="U256" s="143"/>
      <c r="V256" s="143"/>
      <c r="W256" s="143"/>
      <c r="X256" s="143"/>
      <c r="Y256" s="143"/>
      <c r="Z256" s="143"/>
      <c r="AA256" s="143"/>
      <c r="AB256" s="143"/>
      <c r="AC256" s="143"/>
      <c r="AD256" s="143"/>
      <c r="AE256" s="143"/>
      <c r="AF256" s="143"/>
      <c r="AG256" s="143"/>
      <c r="AH256" s="143"/>
      <c r="AI256" s="143"/>
      <c r="AJ256" s="143"/>
      <c r="AK256" s="143"/>
      <c r="AL256" s="143"/>
      <c r="AM256" s="143"/>
    </row>
    <row r="257" spans="1:39" ht="12.75" customHeight="1" x14ac:dyDescent="0.25">
      <c r="A257" s="143"/>
      <c r="B257" s="151"/>
      <c r="C257" s="152" t="s">
        <v>327</v>
      </c>
      <c r="D257" s="152" t="s">
        <v>328</v>
      </c>
      <c r="E257" s="152" t="s">
        <v>235</v>
      </c>
      <c r="F257" s="161">
        <v>3738</v>
      </c>
      <c r="G257" s="152" t="s">
        <v>225</v>
      </c>
      <c r="H257" s="152">
        <v>137</v>
      </c>
      <c r="I257" s="152" t="s">
        <v>317</v>
      </c>
      <c r="J257" s="221">
        <f t="shared" si="66"/>
        <v>512.10599999999999</v>
      </c>
      <c r="K257" s="289">
        <v>42</v>
      </c>
      <c r="L257" s="290">
        <v>2.0999999999999999E-3</v>
      </c>
      <c r="M257" s="236">
        <v>2.0000000000000001E-4</v>
      </c>
      <c r="N257" s="143"/>
      <c r="O257" s="430"/>
      <c r="P257" s="430"/>
      <c r="Q257" s="430"/>
      <c r="R257" s="143"/>
      <c r="S257" s="143"/>
      <c r="T257" s="143"/>
      <c r="U257" s="143"/>
      <c r="V257" s="143"/>
      <c r="W257" s="143"/>
      <c r="X257" s="143"/>
      <c r="Y257" s="143"/>
      <c r="Z257" s="143"/>
      <c r="AA257" s="143"/>
      <c r="AB257" s="143"/>
      <c r="AC257" s="143"/>
      <c r="AD257" s="143"/>
      <c r="AE257" s="143"/>
      <c r="AF257" s="143"/>
      <c r="AG257" s="143"/>
      <c r="AH257" s="143"/>
      <c r="AI257" s="143"/>
      <c r="AJ257" s="143"/>
      <c r="AK257" s="143"/>
      <c r="AL257" s="143"/>
      <c r="AM257" s="143"/>
    </row>
    <row r="258" spans="1:39" ht="12.75" customHeight="1" x14ac:dyDescent="0.35">
      <c r="A258" s="143"/>
      <c r="B258" s="151"/>
      <c r="C258" s="152" t="s">
        <v>329</v>
      </c>
      <c r="D258" s="152" t="s">
        <v>281</v>
      </c>
      <c r="E258" s="152" t="s">
        <v>235</v>
      </c>
      <c r="F258" s="161">
        <v>3680</v>
      </c>
      <c r="G258" s="152" t="s">
        <v>225</v>
      </c>
      <c r="H258" s="152">
        <v>137</v>
      </c>
      <c r="I258" s="152" t="s">
        <v>317</v>
      </c>
      <c r="J258" s="221">
        <f t="shared" si="66"/>
        <v>504.16</v>
      </c>
      <c r="K258" s="289">
        <v>42</v>
      </c>
      <c r="L258" s="291">
        <v>2E-3</v>
      </c>
      <c r="M258" s="236">
        <v>2.0000000000000001E-4</v>
      </c>
      <c r="N258" s="143"/>
      <c r="O258" s="430" t="s">
        <v>613</v>
      </c>
      <c r="P258" s="430" t="s">
        <v>614</v>
      </c>
      <c r="Q258" s="430"/>
      <c r="R258" s="143"/>
      <c r="S258" s="143"/>
      <c r="T258" s="143"/>
      <c r="U258" s="143"/>
      <c r="V258" s="143"/>
      <c r="W258" s="143"/>
      <c r="X258" s="143"/>
      <c r="Y258" s="143"/>
      <c r="Z258" s="143"/>
      <c r="AA258" s="143"/>
      <c r="AB258" s="143"/>
      <c r="AC258" s="143"/>
      <c r="AD258" s="143"/>
      <c r="AE258" s="143"/>
      <c r="AF258" s="143"/>
      <c r="AG258" s="143"/>
      <c r="AH258" s="143"/>
      <c r="AI258" s="143"/>
      <c r="AJ258" s="143"/>
      <c r="AK258" s="143"/>
      <c r="AL258" s="143"/>
      <c r="AM258" s="143"/>
    </row>
    <row r="259" spans="1:39" ht="12.75" customHeight="1" x14ac:dyDescent="0.35">
      <c r="A259" s="143"/>
      <c r="B259" s="151"/>
      <c r="C259" s="152" t="s">
        <v>330</v>
      </c>
      <c r="D259" s="152" t="s">
        <v>331</v>
      </c>
      <c r="E259" s="152" t="s">
        <v>235</v>
      </c>
      <c r="F259" s="161">
        <v>4696</v>
      </c>
      <c r="G259" s="152" t="s">
        <v>225</v>
      </c>
      <c r="H259" s="152">
        <v>137</v>
      </c>
      <c r="I259" s="152" t="s">
        <v>317</v>
      </c>
      <c r="J259" s="221">
        <f t="shared" si="66"/>
        <v>643.35199999999998</v>
      </c>
      <c r="K259" s="289">
        <v>53</v>
      </c>
      <c r="L259" s="290">
        <v>2.5999999999999999E-3</v>
      </c>
      <c r="M259" s="236">
        <v>2.9999999999999997E-4</v>
      </c>
      <c r="N259" s="143"/>
      <c r="O259" s="430" t="s">
        <v>615</v>
      </c>
      <c r="P259" s="430" t="s">
        <v>616</v>
      </c>
      <c r="Q259" s="430"/>
      <c r="R259" s="143"/>
      <c r="S259" s="143"/>
      <c r="T259" s="143"/>
      <c r="U259" s="143"/>
      <c r="V259" s="143"/>
      <c r="W259" s="143"/>
      <c r="X259" s="143"/>
      <c r="Y259" s="143"/>
      <c r="Z259" s="143"/>
      <c r="AA259" s="143"/>
      <c r="AB259" s="143"/>
      <c r="AC259" s="143"/>
      <c r="AD259" s="143"/>
      <c r="AE259" s="143"/>
      <c r="AF259" s="143"/>
      <c r="AG259" s="143"/>
      <c r="AH259" s="143"/>
      <c r="AI259" s="143"/>
      <c r="AJ259" s="143"/>
      <c r="AK259" s="143"/>
      <c r="AL259" s="143"/>
      <c r="AM259" s="143"/>
    </row>
    <row r="260" spans="1:39" ht="12.75" customHeight="1" x14ac:dyDescent="0.35">
      <c r="A260" s="143"/>
      <c r="B260" s="151"/>
      <c r="C260" s="152" t="s">
        <v>332</v>
      </c>
      <c r="D260" s="152" t="s">
        <v>333</v>
      </c>
      <c r="E260" s="152" t="s">
        <v>235</v>
      </c>
      <c r="F260" s="161">
        <v>5720</v>
      </c>
      <c r="G260" s="152" t="s">
        <v>225</v>
      </c>
      <c r="H260" s="152">
        <v>137</v>
      </c>
      <c r="I260" s="152" t="s">
        <v>317</v>
      </c>
      <c r="J260" s="221">
        <f t="shared" si="66"/>
        <v>783.64</v>
      </c>
      <c r="K260" s="289">
        <v>65</v>
      </c>
      <c r="L260" s="290">
        <v>3.2000000000000002E-3</v>
      </c>
      <c r="M260" s="236">
        <v>2.9999999999999997E-4</v>
      </c>
      <c r="N260" s="143"/>
      <c r="O260" s="430" t="s">
        <v>617</v>
      </c>
      <c r="P260" s="430" t="s">
        <v>618</v>
      </c>
      <c r="Q260" s="430"/>
      <c r="R260" s="143"/>
      <c r="S260" s="143"/>
      <c r="T260" s="143"/>
      <c r="U260" s="143"/>
      <c r="V260" s="143"/>
      <c r="W260" s="143"/>
      <c r="X260" s="143"/>
      <c r="Y260" s="143"/>
      <c r="Z260" s="143"/>
      <c r="AA260" s="143"/>
      <c r="AB260" s="143"/>
      <c r="AC260" s="143"/>
      <c r="AD260" s="143"/>
      <c r="AE260" s="143"/>
      <c r="AF260" s="143"/>
      <c r="AG260" s="143"/>
      <c r="AH260" s="143"/>
      <c r="AI260" s="143"/>
      <c r="AJ260" s="143"/>
      <c r="AK260" s="143"/>
      <c r="AL260" s="143"/>
      <c r="AM260" s="143"/>
    </row>
    <row r="261" spans="1:39" ht="12.75" customHeight="1" x14ac:dyDescent="0.25">
      <c r="A261" s="143"/>
      <c r="B261" s="151"/>
      <c r="C261" s="152" t="s">
        <v>334</v>
      </c>
      <c r="D261" s="152" t="s">
        <v>335</v>
      </c>
      <c r="E261" s="152" t="s">
        <v>235</v>
      </c>
      <c r="F261" s="161">
        <v>6530</v>
      </c>
      <c r="G261" s="152" t="s">
        <v>225</v>
      </c>
      <c r="H261" s="152">
        <v>137</v>
      </c>
      <c r="I261" s="152" t="s">
        <v>317</v>
      </c>
      <c r="J261" s="221">
        <f t="shared" si="66"/>
        <v>894.61</v>
      </c>
      <c r="K261" s="289">
        <v>74</v>
      </c>
      <c r="L261" s="290">
        <v>3.5999999999999999E-3</v>
      </c>
      <c r="M261" s="236">
        <v>4.0000000000000002E-4</v>
      </c>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3"/>
      <c r="AI261" s="143"/>
      <c r="AJ261" s="143"/>
      <c r="AK261" s="143"/>
      <c r="AL261" s="143"/>
      <c r="AM261" s="143"/>
    </row>
    <row r="262" spans="1:39" ht="12.75" customHeight="1" x14ac:dyDescent="0.25">
      <c r="A262" s="143"/>
      <c r="B262" s="151"/>
      <c r="C262" s="152" t="s">
        <v>336</v>
      </c>
      <c r="D262" s="152" t="s">
        <v>337</v>
      </c>
      <c r="E262" s="152" t="s">
        <v>235</v>
      </c>
      <c r="F262" s="161">
        <v>7070</v>
      </c>
      <c r="G262" s="152" t="s">
        <v>225</v>
      </c>
      <c r="H262" s="152">
        <v>137</v>
      </c>
      <c r="I262" s="152" t="s">
        <v>317</v>
      </c>
      <c r="J262" s="221">
        <f t="shared" si="66"/>
        <v>968.59</v>
      </c>
      <c r="K262" s="289">
        <v>80</v>
      </c>
      <c r="L262" s="290">
        <v>3.8999999999999998E-3</v>
      </c>
      <c r="M262" s="236">
        <v>4.0000000000000002E-4</v>
      </c>
      <c r="N262" s="143"/>
      <c r="O262" s="143"/>
      <c r="P262" s="143"/>
      <c r="Q262" s="143"/>
      <c r="R262" s="143"/>
      <c r="S262" s="143"/>
      <c r="T262" s="143"/>
      <c r="U262" s="143"/>
      <c r="V262" s="143"/>
      <c r="W262" s="143"/>
      <c r="X262" s="143"/>
      <c r="Y262" s="143"/>
      <c r="Z262" s="143"/>
      <c r="AA262" s="143"/>
      <c r="AB262" s="143"/>
      <c r="AC262" s="143"/>
      <c r="AD262" s="143"/>
      <c r="AE262" s="143"/>
      <c r="AF262" s="143"/>
      <c r="AG262" s="143"/>
      <c r="AH262" s="143"/>
      <c r="AI262" s="143"/>
      <c r="AJ262" s="143"/>
      <c r="AK262" s="143"/>
      <c r="AL262" s="143"/>
      <c r="AM262" s="143"/>
    </row>
    <row r="263" spans="1:39" ht="12.75" customHeight="1" x14ac:dyDescent="0.25">
      <c r="A263" s="143"/>
      <c r="B263" s="151"/>
      <c r="C263" s="152" t="s">
        <v>338</v>
      </c>
      <c r="D263" s="152" t="s">
        <v>339</v>
      </c>
      <c r="E263" s="152" t="s">
        <v>235</v>
      </c>
      <c r="F263" s="161">
        <v>10010</v>
      </c>
      <c r="G263" s="152" t="s">
        <v>225</v>
      </c>
      <c r="H263" s="152">
        <v>137</v>
      </c>
      <c r="I263" s="152" t="s">
        <v>317</v>
      </c>
      <c r="J263" s="221">
        <f t="shared" si="66"/>
        <v>1371.37</v>
      </c>
      <c r="K263" s="289">
        <v>113</v>
      </c>
      <c r="L263" s="290">
        <v>5.5999999999999999E-3</v>
      </c>
      <c r="M263" s="236">
        <v>5.9999999999999995E-4</v>
      </c>
      <c r="N263" s="143"/>
      <c r="O263" s="143"/>
      <c r="P263" s="143"/>
      <c r="Q263" s="143"/>
      <c r="R263" s="143"/>
      <c r="S263" s="143"/>
      <c r="T263" s="143"/>
      <c r="U263" s="143"/>
      <c r="V263" s="143"/>
      <c r="W263" s="143"/>
      <c r="X263" s="143"/>
      <c r="Y263" s="143"/>
      <c r="Z263" s="143"/>
      <c r="AA263" s="143"/>
      <c r="AB263" s="143"/>
      <c r="AC263" s="143"/>
      <c r="AD263" s="143"/>
      <c r="AE263" s="143"/>
      <c r="AF263" s="143"/>
      <c r="AG263" s="143"/>
      <c r="AH263" s="143"/>
      <c r="AI263" s="143"/>
      <c r="AJ263" s="143"/>
      <c r="AK263" s="143"/>
      <c r="AL263" s="143"/>
      <c r="AM263" s="143"/>
    </row>
    <row r="264" spans="1:39" ht="12.75" customHeight="1" x14ac:dyDescent="0.25">
      <c r="A264" s="143"/>
      <c r="B264" s="151"/>
      <c r="C264" s="152" t="s">
        <v>340</v>
      </c>
      <c r="D264" s="152" t="s">
        <v>341</v>
      </c>
      <c r="E264" s="152" t="s">
        <v>235</v>
      </c>
      <c r="F264" s="161">
        <v>11870</v>
      </c>
      <c r="G264" s="152" t="s">
        <v>225</v>
      </c>
      <c r="H264" s="152">
        <v>137</v>
      </c>
      <c r="I264" s="152" t="s">
        <v>317</v>
      </c>
      <c r="J264" s="221">
        <f t="shared" si="66"/>
        <v>1626.19</v>
      </c>
      <c r="K264" s="289">
        <v>134</v>
      </c>
      <c r="L264" s="290">
        <v>6.6E-3</v>
      </c>
      <c r="M264" s="236">
        <v>6.9999999999999999E-4</v>
      </c>
      <c r="N264" s="143"/>
      <c r="O264" s="143"/>
      <c r="P264" s="143"/>
      <c r="Q264" s="143"/>
      <c r="R264" s="143"/>
      <c r="S264" s="143"/>
      <c r="T264" s="143"/>
      <c r="U264" s="143"/>
      <c r="V264" s="143"/>
      <c r="W264" s="143"/>
      <c r="X264" s="143"/>
      <c r="Y264" s="143"/>
      <c r="Z264" s="143"/>
      <c r="AA264" s="143"/>
      <c r="AB264" s="143"/>
      <c r="AC264" s="143"/>
      <c r="AD264" s="143"/>
      <c r="AE264" s="143"/>
      <c r="AF264" s="143"/>
      <c r="AG264" s="143"/>
      <c r="AH264" s="143"/>
      <c r="AI264" s="143"/>
      <c r="AJ264" s="143"/>
      <c r="AK264" s="143"/>
      <c r="AL264" s="143"/>
      <c r="AM264" s="143"/>
    </row>
    <row r="265" spans="1:39" ht="12.75" customHeight="1" x14ac:dyDescent="0.25">
      <c r="A265" s="143"/>
      <c r="B265" s="151"/>
      <c r="C265" s="152"/>
      <c r="D265" s="152"/>
      <c r="E265" s="152"/>
      <c r="F265" s="152"/>
      <c r="G265" s="152"/>
      <c r="H265" s="152"/>
      <c r="I265" s="152"/>
      <c r="J265" s="152"/>
      <c r="K265" s="152"/>
      <c r="L265" s="152"/>
      <c r="M265" s="154"/>
      <c r="N265" s="143"/>
      <c r="O265" s="143"/>
      <c r="P265" s="143"/>
      <c r="Q265" s="143"/>
      <c r="R265" s="143"/>
      <c r="S265" s="143"/>
      <c r="T265" s="143"/>
      <c r="U265" s="143"/>
      <c r="V265" s="143"/>
      <c r="W265" s="143"/>
      <c r="X265" s="143"/>
      <c r="Y265" s="143"/>
      <c r="Z265" s="143"/>
      <c r="AA265" s="143"/>
      <c r="AB265" s="143"/>
      <c r="AC265" s="143"/>
      <c r="AD265" s="143"/>
      <c r="AE265" s="143"/>
      <c r="AF265" s="143"/>
      <c r="AG265" s="143"/>
      <c r="AH265" s="143"/>
      <c r="AI265" s="143"/>
      <c r="AJ265" s="143"/>
      <c r="AK265" s="143"/>
      <c r="AL265" s="143"/>
      <c r="AM265" s="143"/>
    </row>
    <row r="266" spans="1:39" ht="12.75" customHeight="1" x14ac:dyDescent="0.25">
      <c r="A266" s="143"/>
      <c r="B266" s="155"/>
      <c r="C266" s="190"/>
      <c r="D266" s="190"/>
      <c r="E266" s="190"/>
      <c r="F266" s="190"/>
      <c r="G266" s="190"/>
      <c r="H266" s="190"/>
      <c r="I266" s="190"/>
      <c r="J266" s="190"/>
      <c r="K266" s="190"/>
      <c r="L266" s="190"/>
      <c r="M266" s="208"/>
      <c r="N266" s="143"/>
      <c r="O266" s="143"/>
      <c r="P266" s="143"/>
      <c r="Q266" s="143"/>
      <c r="R266" s="143"/>
      <c r="S266" s="143"/>
      <c r="T266" s="143"/>
      <c r="U266" s="143"/>
      <c r="V266" s="143"/>
      <c r="W266" s="143"/>
      <c r="X266" s="143"/>
      <c r="Y266" s="143"/>
      <c r="Z266" s="143"/>
      <c r="AA266" s="143"/>
      <c r="AB266" s="143"/>
      <c r="AC266" s="143"/>
      <c r="AD266" s="143"/>
      <c r="AE266" s="143"/>
      <c r="AF266" s="143"/>
      <c r="AG266" s="143"/>
      <c r="AH266" s="143"/>
      <c r="AI266" s="143"/>
      <c r="AJ266" s="143"/>
      <c r="AK266" s="143"/>
      <c r="AL266" s="143"/>
      <c r="AM266" s="143"/>
    </row>
    <row r="267" spans="1:39" ht="12.75" customHeight="1" x14ac:dyDescent="0.25">
      <c r="A267" s="143"/>
      <c r="B267" s="151" t="s">
        <v>342</v>
      </c>
      <c r="C267" s="179" t="s">
        <v>343</v>
      </c>
      <c r="D267" s="152"/>
      <c r="E267" s="152"/>
      <c r="F267" s="152"/>
      <c r="G267" s="152"/>
      <c r="H267" s="152"/>
      <c r="I267" s="152"/>
      <c r="J267" s="152"/>
      <c r="K267" s="152"/>
      <c r="L267" s="152"/>
      <c r="M267" s="154"/>
      <c r="N267" s="143"/>
      <c r="O267" s="143"/>
      <c r="P267" s="143"/>
      <c r="Q267" s="143"/>
      <c r="R267" s="143"/>
      <c r="S267" s="143"/>
      <c r="T267" s="143"/>
      <c r="U267" s="143"/>
      <c r="V267" s="143"/>
      <c r="W267" s="143"/>
      <c r="X267" s="143"/>
      <c r="Y267" s="143"/>
      <c r="Z267" s="143"/>
      <c r="AA267" s="143"/>
      <c r="AB267" s="143"/>
      <c r="AC267" s="143"/>
      <c r="AD267" s="143"/>
      <c r="AE267" s="143"/>
      <c r="AF267" s="143"/>
      <c r="AG267" s="143"/>
      <c r="AH267" s="143"/>
      <c r="AI267" s="143"/>
      <c r="AJ267" s="143"/>
      <c r="AK267" s="143"/>
      <c r="AL267" s="143"/>
      <c r="AM267" s="143"/>
    </row>
    <row r="268" spans="1:39" ht="12.75" customHeight="1" x14ac:dyDescent="0.25">
      <c r="A268" s="143"/>
      <c r="B268" s="151"/>
      <c r="C268" s="152" t="s">
        <v>344</v>
      </c>
      <c r="D268" s="152" t="s">
        <v>345</v>
      </c>
      <c r="E268" s="152" t="s">
        <v>235</v>
      </c>
      <c r="F268" s="161">
        <v>4343</v>
      </c>
      <c r="G268" s="152" t="s">
        <v>225</v>
      </c>
      <c r="H268" s="152">
        <v>137</v>
      </c>
      <c r="I268" s="152" t="s">
        <v>317</v>
      </c>
      <c r="J268" s="221">
        <f t="shared" ref="J268:J275" si="67">F268*H268/1000</f>
        <v>594.99099999999999</v>
      </c>
      <c r="K268" s="292">
        <v>49</v>
      </c>
      <c r="L268" s="293">
        <v>2.3999999999999998E-3</v>
      </c>
      <c r="M268" s="236">
        <v>2.0000000000000001E-4</v>
      </c>
      <c r="N268" s="143"/>
      <c r="O268" s="143"/>
      <c r="P268" s="143"/>
      <c r="Q268" s="143"/>
      <c r="R268" s="143"/>
      <c r="S268" s="143"/>
      <c r="T268" s="143"/>
      <c r="U268" s="143"/>
      <c r="V268" s="143"/>
      <c r="W268" s="143"/>
      <c r="X268" s="143"/>
      <c r="Y268" s="143"/>
      <c r="Z268" s="143"/>
      <c r="AA268" s="143"/>
      <c r="AB268" s="143"/>
      <c r="AC268" s="143"/>
      <c r="AD268" s="143"/>
      <c r="AE268" s="143"/>
      <c r="AF268" s="143"/>
      <c r="AG268" s="143"/>
      <c r="AH268" s="143"/>
      <c r="AI268" s="143"/>
      <c r="AJ268" s="143"/>
      <c r="AK268" s="143"/>
      <c r="AL268" s="143"/>
      <c r="AM268" s="143"/>
    </row>
    <row r="269" spans="1:39" ht="12.75" customHeight="1" x14ac:dyDescent="0.25">
      <c r="A269" s="143"/>
      <c r="B269" s="151"/>
      <c r="C269" s="152" t="s">
        <v>346</v>
      </c>
      <c r="D269" s="152" t="s">
        <v>347</v>
      </c>
      <c r="E269" s="152" t="s">
        <v>235</v>
      </c>
      <c r="F269" s="161">
        <v>4455</v>
      </c>
      <c r="G269" s="152" t="s">
        <v>225</v>
      </c>
      <c r="H269" s="152">
        <v>137</v>
      </c>
      <c r="I269" s="152" t="s">
        <v>317</v>
      </c>
      <c r="J269" s="221">
        <f t="shared" si="67"/>
        <v>610.33500000000004</v>
      </c>
      <c r="K269" s="292">
        <v>50</v>
      </c>
      <c r="L269" s="293">
        <v>2.5000000000000001E-3</v>
      </c>
      <c r="M269" s="236">
        <v>2.0000000000000001E-4</v>
      </c>
      <c r="N269" s="143"/>
      <c r="O269" s="143"/>
      <c r="P269" s="143"/>
      <c r="Q269" s="143"/>
      <c r="R269" s="143"/>
      <c r="S269" s="143"/>
      <c r="T269" s="143"/>
      <c r="U269" s="143"/>
      <c r="V269" s="143"/>
      <c r="W269" s="143"/>
      <c r="X269" s="143"/>
      <c r="Y269" s="143"/>
      <c r="Z269" s="143"/>
      <c r="AA269" s="143"/>
      <c r="AB269" s="143"/>
      <c r="AC269" s="143"/>
      <c r="AD269" s="143"/>
      <c r="AE269" s="143"/>
      <c r="AF269" s="143"/>
      <c r="AG269" s="143"/>
      <c r="AH269" s="143"/>
      <c r="AI269" s="143"/>
      <c r="AJ269" s="143"/>
      <c r="AK269" s="143"/>
      <c r="AL269" s="143"/>
      <c r="AM269" s="143"/>
    </row>
    <row r="270" spans="1:39" ht="12.75" customHeight="1" x14ac:dyDescent="0.25">
      <c r="A270" s="143"/>
      <c r="B270" s="151"/>
      <c r="C270" s="152" t="s">
        <v>348</v>
      </c>
      <c r="D270" s="152" t="s">
        <v>349</v>
      </c>
      <c r="E270" s="152" t="s">
        <v>235</v>
      </c>
      <c r="F270" s="161">
        <v>10010</v>
      </c>
      <c r="G270" s="152" t="s">
        <v>225</v>
      </c>
      <c r="H270" s="152">
        <v>137</v>
      </c>
      <c r="I270" s="152" t="s">
        <v>317</v>
      </c>
      <c r="J270" s="221">
        <f t="shared" si="67"/>
        <v>1371.37</v>
      </c>
      <c r="K270" s="292">
        <v>113</v>
      </c>
      <c r="L270" s="293">
        <v>0</v>
      </c>
      <c r="M270" s="236">
        <v>0</v>
      </c>
      <c r="N270" s="143"/>
      <c r="O270" s="143"/>
      <c r="P270" s="143"/>
      <c r="Q270" s="143"/>
      <c r="R270" s="143"/>
      <c r="S270" s="143"/>
      <c r="T270" s="143"/>
      <c r="U270" s="143"/>
      <c r="V270" s="143"/>
      <c r="W270" s="143"/>
      <c r="X270" s="143"/>
      <c r="Y270" s="143"/>
      <c r="Z270" s="143"/>
      <c r="AA270" s="143"/>
      <c r="AB270" s="143"/>
      <c r="AC270" s="143"/>
      <c r="AD270" s="143"/>
      <c r="AE270" s="143"/>
      <c r="AF270" s="143"/>
      <c r="AG270" s="143"/>
      <c r="AH270" s="143"/>
      <c r="AI270" s="143"/>
      <c r="AJ270" s="143"/>
      <c r="AK270" s="143"/>
      <c r="AL270" s="143"/>
      <c r="AM270" s="143"/>
    </row>
    <row r="271" spans="1:39" ht="12.75" customHeight="1" x14ac:dyDescent="0.25">
      <c r="A271" s="143"/>
      <c r="B271" s="151"/>
      <c r="C271" s="152" t="s">
        <v>350</v>
      </c>
      <c r="D271" s="152" t="s">
        <v>351</v>
      </c>
      <c r="E271" s="152" t="s">
        <v>235</v>
      </c>
      <c r="F271" s="161">
        <v>12790</v>
      </c>
      <c r="G271" s="152" t="s">
        <v>225</v>
      </c>
      <c r="H271" s="152">
        <v>137</v>
      </c>
      <c r="I271" s="152" t="s">
        <v>317</v>
      </c>
      <c r="J271" s="221">
        <f t="shared" si="67"/>
        <v>1752.23</v>
      </c>
      <c r="K271" s="292">
        <v>145</v>
      </c>
      <c r="L271" s="293">
        <v>0</v>
      </c>
      <c r="M271" s="236">
        <v>0</v>
      </c>
      <c r="N271" s="143"/>
      <c r="O271" s="143"/>
      <c r="P271" s="143"/>
      <c r="Q271" s="143"/>
      <c r="R271" s="143"/>
      <c r="S271" s="143"/>
      <c r="T271" s="143"/>
      <c r="U271" s="143"/>
      <c r="V271" s="143"/>
      <c r="W271" s="143"/>
      <c r="X271" s="143"/>
      <c r="Y271" s="143"/>
      <c r="Z271" s="143"/>
      <c r="AA271" s="143"/>
      <c r="AB271" s="143"/>
      <c r="AC271" s="143"/>
      <c r="AD271" s="143"/>
      <c r="AE271" s="143"/>
      <c r="AF271" s="143"/>
      <c r="AG271" s="143"/>
      <c r="AH271" s="143"/>
      <c r="AI271" s="143"/>
      <c r="AJ271" s="143"/>
      <c r="AK271" s="143"/>
      <c r="AL271" s="143"/>
      <c r="AM271" s="143"/>
    </row>
    <row r="272" spans="1:39" ht="12.75" customHeight="1" x14ac:dyDescent="0.25">
      <c r="A272" s="143"/>
      <c r="B272" s="151"/>
      <c r="C272" s="152" t="s">
        <v>352</v>
      </c>
      <c r="D272" s="152" t="s">
        <v>353</v>
      </c>
      <c r="E272" s="152" t="s">
        <v>235</v>
      </c>
      <c r="F272" s="161">
        <v>10200</v>
      </c>
      <c r="G272" s="152" t="s">
        <v>225</v>
      </c>
      <c r="H272" s="152">
        <v>137</v>
      </c>
      <c r="I272" s="152" t="s">
        <v>317</v>
      </c>
      <c r="J272" s="221">
        <f t="shared" si="67"/>
        <v>1397.4</v>
      </c>
      <c r="K272" s="292">
        <v>115</v>
      </c>
      <c r="L272" s="293">
        <v>5.7000000000000002E-3</v>
      </c>
      <c r="M272" s="236">
        <v>5.9999999999999995E-4</v>
      </c>
      <c r="N272" s="143"/>
      <c r="O272" s="143"/>
      <c r="P272" s="143"/>
      <c r="Q272" s="143"/>
      <c r="R272" s="143"/>
      <c r="S272" s="143"/>
      <c r="T272" s="143"/>
      <c r="U272" s="143"/>
      <c r="V272" s="143"/>
      <c r="W272" s="143"/>
      <c r="X272" s="143"/>
      <c r="Y272" s="143"/>
      <c r="Z272" s="143"/>
      <c r="AA272" s="143"/>
      <c r="AB272" s="143"/>
      <c r="AC272" s="143"/>
      <c r="AD272" s="143"/>
      <c r="AE272" s="143"/>
      <c r="AF272" s="143"/>
      <c r="AG272" s="143"/>
      <c r="AH272" s="143"/>
      <c r="AI272" s="143"/>
      <c r="AJ272" s="143"/>
      <c r="AK272" s="143"/>
      <c r="AL272" s="143"/>
      <c r="AM272" s="143"/>
    </row>
    <row r="273" spans="1:39" ht="12.75" customHeight="1" x14ac:dyDescent="0.25">
      <c r="A273" s="143"/>
      <c r="B273" s="151"/>
      <c r="C273" s="152" t="s">
        <v>354</v>
      </c>
      <c r="D273" s="152" t="s">
        <v>355</v>
      </c>
      <c r="E273" s="152" t="s">
        <v>235</v>
      </c>
      <c r="F273" s="161">
        <v>10570</v>
      </c>
      <c r="G273" s="152" t="s">
        <v>225</v>
      </c>
      <c r="H273" s="152">
        <v>137</v>
      </c>
      <c r="I273" s="152" t="s">
        <v>317</v>
      </c>
      <c r="J273" s="221">
        <f t="shared" si="67"/>
        <v>1448.09</v>
      </c>
      <c r="K273" s="292">
        <v>119</v>
      </c>
      <c r="L273" s="293">
        <v>5.8999999999999999E-3</v>
      </c>
      <c r="M273" s="236">
        <v>5.9999999999999995E-4</v>
      </c>
      <c r="N273" s="143"/>
      <c r="O273" s="143"/>
      <c r="P273" s="143"/>
      <c r="Q273" s="143"/>
      <c r="R273" s="143"/>
      <c r="S273" s="143"/>
      <c r="T273" s="143"/>
      <c r="U273" s="143"/>
      <c r="V273" s="143"/>
      <c r="W273" s="143"/>
      <c r="X273" s="143"/>
      <c r="Y273" s="143"/>
      <c r="Z273" s="143"/>
      <c r="AA273" s="143"/>
      <c r="AB273" s="143"/>
      <c r="AC273" s="143"/>
      <c r="AD273" s="143"/>
      <c r="AE273" s="143"/>
      <c r="AF273" s="143"/>
      <c r="AG273" s="143"/>
      <c r="AH273" s="143"/>
      <c r="AI273" s="143"/>
      <c r="AJ273" s="143"/>
      <c r="AK273" s="143"/>
      <c r="AL273" s="143"/>
      <c r="AM273" s="143"/>
    </row>
    <row r="274" spans="1:39" ht="12.75" customHeight="1" x14ac:dyDescent="0.25">
      <c r="A274" s="143"/>
      <c r="B274" s="151"/>
      <c r="C274" s="152" t="s">
        <v>356</v>
      </c>
      <c r="D274" s="152" t="s">
        <v>357</v>
      </c>
      <c r="E274" s="152" t="s">
        <v>235</v>
      </c>
      <c r="F274" s="161">
        <v>11260</v>
      </c>
      <c r="G274" s="152" t="s">
        <v>225</v>
      </c>
      <c r="H274" s="152">
        <v>137</v>
      </c>
      <c r="I274" s="152" t="s">
        <v>317</v>
      </c>
      <c r="J274" s="221">
        <f t="shared" si="67"/>
        <v>1542.62</v>
      </c>
      <c r="K274" s="292">
        <v>127</v>
      </c>
      <c r="L274" s="293">
        <v>6.1999999999999998E-3</v>
      </c>
      <c r="M274" s="236">
        <v>5.9999999999999995E-4</v>
      </c>
      <c r="N274" s="143"/>
      <c r="O274" s="143"/>
      <c r="P274" s="143"/>
      <c r="Q274" s="143"/>
      <c r="R274" s="143"/>
      <c r="S274" s="143"/>
      <c r="T274" s="143"/>
      <c r="U274" s="143"/>
      <c r="V274" s="143"/>
      <c r="W274" s="143"/>
      <c r="X274" s="143"/>
      <c r="Y274" s="143"/>
      <c r="Z274" s="143"/>
      <c r="AA274" s="143"/>
      <c r="AB274" s="143"/>
      <c r="AC274" s="143"/>
      <c r="AD274" s="143"/>
      <c r="AE274" s="143"/>
      <c r="AF274" s="143"/>
      <c r="AG274" s="143"/>
      <c r="AH274" s="143"/>
      <c r="AI274" s="143"/>
      <c r="AJ274" s="143"/>
      <c r="AK274" s="143"/>
      <c r="AL274" s="143"/>
      <c r="AM274" s="143"/>
    </row>
    <row r="275" spans="1:39" ht="12.75" customHeight="1" x14ac:dyDescent="0.25">
      <c r="A275" s="143"/>
      <c r="B275" s="151"/>
      <c r="C275" s="152" t="s">
        <v>358</v>
      </c>
      <c r="D275" s="152" t="s">
        <v>359</v>
      </c>
      <c r="E275" s="152" t="s">
        <v>235</v>
      </c>
      <c r="F275" s="161">
        <v>12560</v>
      </c>
      <c r="G275" s="152" t="s">
        <v>225</v>
      </c>
      <c r="H275" s="152">
        <v>137</v>
      </c>
      <c r="I275" s="152" t="s">
        <v>317</v>
      </c>
      <c r="J275" s="221">
        <f t="shared" si="67"/>
        <v>1720.72</v>
      </c>
      <c r="K275" s="292">
        <v>142</v>
      </c>
      <c r="L275" s="293">
        <v>7.0000000000000001E-3</v>
      </c>
      <c r="M275" s="236">
        <v>6.9999999999999999E-4</v>
      </c>
      <c r="N275" s="143"/>
      <c r="O275" s="143"/>
      <c r="P275" s="143"/>
      <c r="Q275" s="143"/>
      <c r="R275" s="143"/>
      <c r="S275" s="143"/>
      <c r="T275" s="143"/>
      <c r="U275" s="143"/>
      <c r="V275" s="143"/>
      <c r="W275" s="143"/>
      <c r="X275" s="143"/>
      <c r="Y275" s="143"/>
      <c r="Z275" s="143"/>
      <c r="AA275" s="143"/>
      <c r="AB275" s="143"/>
      <c r="AC275" s="143"/>
      <c r="AD275" s="143"/>
      <c r="AE275" s="143"/>
      <c r="AF275" s="143"/>
      <c r="AG275" s="143"/>
      <c r="AH275" s="143"/>
      <c r="AI275" s="143"/>
      <c r="AJ275" s="143"/>
      <c r="AK275" s="143"/>
      <c r="AL275" s="143"/>
      <c r="AM275" s="143"/>
    </row>
    <row r="276" spans="1:39" ht="12.75" customHeight="1" x14ac:dyDescent="0.25">
      <c r="A276" s="143"/>
      <c r="B276" s="151"/>
      <c r="C276" s="152"/>
      <c r="D276" s="152"/>
      <c r="E276" s="152"/>
      <c r="F276" s="152"/>
      <c r="G276" s="152"/>
      <c r="H276" s="152"/>
      <c r="I276" s="152"/>
      <c r="J276" s="152"/>
      <c r="K276" s="152"/>
      <c r="L276" s="152"/>
      <c r="M276" s="154"/>
      <c r="N276" s="143"/>
      <c r="O276" s="143"/>
      <c r="P276" s="143"/>
      <c r="Q276" s="143"/>
      <c r="R276" s="143"/>
      <c r="S276" s="143"/>
      <c r="T276" s="143"/>
      <c r="U276" s="143"/>
      <c r="V276" s="143"/>
      <c r="W276" s="143"/>
      <c r="X276" s="143"/>
      <c r="Y276" s="143"/>
      <c r="Z276" s="143"/>
      <c r="AA276" s="143"/>
      <c r="AB276" s="143"/>
      <c r="AC276" s="143"/>
      <c r="AD276" s="143"/>
      <c r="AE276" s="143"/>
      <c r="AF276" s="143"/>
      <c r="AG276" s="143"/>
      <c r="AH276" s="143"/>
      <c r="AI276" s="143"/>
      <c r="AJ276" s="143"/>
      <c r="AK276" s="143"/>
      <c r="AL276" s="143"/>
      <c r="AM276" s="143"/>
    </row>
    <row r="277" spans="1:39" ht="12.75" customHeight="1" x14ac:dyDescent="0.25">
      <c r="A277" s="143"/>
      <c r="B277" s="155"/>
      <c r="C277" s="190"/>
      <c r="D277" s="190"/>
      <c r="E277" s="190"/>
      <c r="F277" s="190"/>
      <c r="G277" s="190"/>
      <c r="H277" s="190"/>
      <c r="I277" s="190"/>
      <c r="J277" s="190"/>
      <c r="K277" s="190"/>
      <c r="L277" s="190"/>
      <c r="M277" s="208"/>
      <c r="N277" s="143"/>
      <c r="O277" s="143"/>
      <c r="P277" s="143"/>
      <c r="Q277" s="143"/>
      <c r="R277" s="143"/>
      <c r="S277" s="143"/>
      <c r="T277" s="143"/>
      <c r="U277" s="143"/>
      <c r="V277" s="143"/>
      <c r="W277" s="143"/>
      <c r="X277" s="143"/>
      <c r="Y277" s="143"/>
      <c r="Z277" s="143"/>
      <c r="AA277" s="143"/>
      <c r="AB277" s="143"/>
      <c r="AC277" s="143"/>
      <c r="AD277" s="143"/>
      <c r="AE277" s="143"/>
      <c r="AF277" s="143"/>
      <c r="AG277" s="143"/>
      <c r="AH277" s="143"/>
      <c r="AI277" s="143"/>
      <c r="AJ277" s="143"/>
      <c r="AK277" s="143"/>
      <c r="AL277" s="143"/>
      <c r="AM277" s="143"/>
    </row>
    <row r="278" spans="1:39" ht="12.75" customHeight="1" x14ac:dyDescent="0.25">
      <c r="A278" s="143"/>
      <c r="B278" s="151"/>
      <c r="C278" s="152"/>
      <c r="D278" s="152"/>
      <c r="E278" s="152"/>
      <c r="F278" s="152"/>
      <c r="G278" s="152"/>
      <c r="H278" s="152"/>
      <c r="I278" s="152"/>
      <c r="J278" s="152"/>
      <c r="K278" s="152"/>
      <c r="L278" s="152"/>
      <c r="M278" s="154"/>
      <c r="N278" s="143"/>
      <c r="O278" s="430" t="s">
        <v>619</v>
      </c>
      <c r="P278" s="143"/>
      <c r="Q278" s="143"/>
      <c r="R278" s="143"/>
      <c r="S278" s="143"/>
      <c r="T278" s="143"/>
      <c r="U278" s="143"/>
      <c r="V278" s="143"/>
      <c r="W278" s="143"/>
      <c r="X278" s="143"/>
      <c r="Y278" s="143"/>
      <c r="Z278" s="143"/>
      <c r="AA278" s="143"/>
      <c r="AB278" s="143"/>
      <c r="AC278" s="143"/>
      <c r="AD278" s="143"/>
      <c r="AE278" s="143"/>
      <c r="AF278" s="143"/>
      <c r="AG278" s="143"/>
      <c r="AH278" s="143"/>
      <c r="AI278" s="143"/>
      <c r="AJ278" s="143"/>
      <c r="AK278" s="143"/>
      <c r="AL278" s="143"/>
      <c r="AM278" s="143"/>
    </row>
    <row r="279" spans="1:39" ht="12.75" customHeight="1" x14ac:dyDescent="0.35">
      <c r="A279" s="143"/>
      <c r="B279" s="151" t="s">
        <v>360</v>
      </c>
      <c r="C279" s="179" t="s">
        <v>361</v>
      </c>
      <c r="D279" s="152"/>
      <c r="E279" s="152"/>
      <c r="F279" s="152"/>
      <c r="G279" s="152"/>
      <c r="H279" s="152"/>
      <c r="I279" s="152"/>
      <c r="J279" s="152"/>
      <c r="K279" s="152"/>
      <c r="L279" s="152"/>
      <c r="M279" s="154"/>
      <c r="N279" s="143"/>
      <c r="O279" s="143" t="s">
        <v>620</v>
      </c>
      <c r="P279" s="143"/>
      <c r="Q279" s="143"/>
      <c r="R279" s="430"/>
      <c r="S279" s="430"/>
      <c r="T279" s="143"/>
      <c r="U279" s="143"/>
      <c r="V279" s="143"/>
      <c r="W279" s="143"/>
      <c r="X279" s="143"/>
      <c r="Y279" s="143"/>
      <c r="Z279" s="143"/>
      <c r="AA279" s="143"/>
      <c r="AB279" s="143"/>
      <c r="AC279" s="143"/>
      <c r="AD279" s="143"/>
      <c r="AE279" s="143"/>
      <c r="AF279" s="143"/>
      <c r="AG279" s="143"/>
      <c r="AH279" s="143"/>
      <c r="AI279" s="143"/>
      <c r="AJ279" s="143"/>
      <c r="AK279" s="143"/>
      <c r="AL279" s="143"/>
      <c r="AM279" s="143"/>
    </row>
    <row r="280" spans="1:39" ht="12.75" customHeight="1" x14ac:dyDescent="0.35">
      <c r="A280" s="143"/>
      <c r="B280" s="151"/>
      <c r="C280" s="152" t="s">
        <v>338</v>
      </c>
      <c r="D280" s="152" t="s">
        <v>362</v>
      </c>
      <c r="E280" s="152" t="s">
        <v>235</v>
      </c>
      <c r="F280" s="161">
        <v>6347</v>
      </c>
      <c r="G280" s="152" t="s">
        <v>225</v>
      </c>
      <c r="H280" s="174">
        <v>140984</v>
      </c>
      <c r="I280" s="152" t="s">
        <v>311</v>
      </c>
      <c r="J280" s="221">
        <f t="shared" ref="J280:J281" si="68">F280*H280/1000000</f>
        <v>894.82544800000005</v>
      </c>
      <c r="K280" s="272">
        <v>70.45</v>
      </c>
      <c r="L280" s="272">
        <v>0</v>
      </c>
      <c r="M280" s="273">
        <v>0</v>
      </c>
      <c r="N280" s="143"/>
      <c r="O280" s="143" t="s">
        <v>621</v>
      </c>
      <c r="P280" s="143" t="s">
        <v>622</v>
      </c>
      <c r="Q280" s="143">
        <v>0.9</v>
      </c>
      <c r="R280" s="430"/>
      <c r="S280" s="430"/>
      <c r="T280" s="143"/>
      <c r="U280" s="143"/>
      <c r="V280" s="143"/>
      <c r="W280" s="143"/>
      <c r="X280" s="143"/>
      <c r="Y280" s="143"/>
      <c r="Z280" s="143"/>
      <c r="AA280" s="143"/>
      <c r="AB280" s="143"/>
      <c r="AC280" s="143"/>
      <c r="AD280" s="143"/>
      <c r="AE280" s="143"/>
      <c r="AF280" s="143"/>
      <c r="AG280" s="143"/>
      <c r="AH280" s="143"/>
      <c r="AI280" s="143"/>
      <c r="AJ280" s="143"/>
      <c r="AK280" s="143"/>
      <c r="AL280" s="143"/>
      <c r="AM280" s="143"/>
    </row>
    <row r="281" spans="1:39" ht="12.75" customHeight="1" x14ac:dyDescent="0.35">
      <c r="A281" s="143"/>
      <c r="B281" s="151"/>
      <c r="C281" s="152" t="s">
        <v>336</v>
      </c>
      <c r="D281" s="152" t="s">
        <v>363</v>
      </c>
      <c r="E281" s="152" t="s">
        <v>235</v>
      </c>
      <c r="F281" s="161">
        <v>14329</v>
      </c>
      <c r="G281" s="152" t="s">
        <v>225</v>
      </c>
      <c r="H281" s="174">
        <v>140987</v>
      </c>
      <c r="I281" s="152" t="s">
        <v>311</v>
      </c>
      <c r="J281" s="221">
        <f t="shared" si="68"/>
        <v>2020.2027230000001</v>
      </c>
      <c r="K281" s="272">
        <v>159.05000000000001</v>
      </c>
      <c r="L281" s="272">
        <v>0.01</v>
      </c>
      <c r="M281" s="273">
        <v>0</v>
      </c>
      <c r="N281" s="143"/>
      <c r="O281" s="143" t="s">
        <v>623</v>
      </c>
      <c r="P281" s="143" t="s">
        <v>624</v>
      </c>
      <c r="Q281" s="143">
        <v>0.2</v>
      </c>
      <c r="R281" s="430"/>
      <c r="S281" s="430"/>
      <c r="T281" s="143"/>
      <c r="U281" s="143"/>
      <c r="V281" s="143"/>
      <c r="W281" s="143"/>
      <c r="X281" s="143"/>
      <c r="Y281" s="143"/>
      <c r="Z281" s="143"/>
      <c r="AA281" s="143"/>
      <c r="AB281" s="143"/>
      <c r="AC281" s="143"/>
      <c r="AD281" s="143"/>
      <c r="AE281" s="143"/>
      <c r="AF281" s="143"/>
      <c r="AG281" s="143"/>
      <c r="AH281" s="143"/>
      <c r="AI281" s="143"/>
      <c r="AJ281" s="143"/>
      <c r="AK281" s="143"/>
      <c r="AL281" s="143"/>
      <c r="AM281" s="143"/>
    </row>
    <row r="282" spans="1:39" ht="12.75" customHeight="1" x14ac:dyDescent="0.25">
      <c r="A282" s="143"/>
      <c r="B282" s="151"/>
      <c r="C282" s="152" t="s">
        <v>325</v>
      </c>
      <c r="D282" s="152" t="s">
        <v>364</v>
      </c>
      <c r="E282" s="152" t="s">
        <v>235</v>
      </c>
      <c r="F282" s="294">
        <v>0</v>
      </c>
      <c r="G282" s="152" t="s">
        <v>225</v>
      </c>
      <c r="H282" s="174">
        <v>140987</v>
      </c>
      <c r="I282" s="152" t="s">
        <v>311</v>
      </c>
      <c r="J282" s="295">
        <v>0</v>
      </c>
      <c r="K282" s="272">
        <v>0</v>
      </c>
      <c r="L282" s="272">
        <v>0</v>
      </c>
      <c r="M282" s="273">
        <v>0</v>
      </c>
      <c r="N282" s="143"/>
      <c r="O282" s="143"/>
      <c r="P282" s="143"/>
      <c r="Q282" s="143"/>
      <c r="R282" s="430"/>
      <c r="S282" s="430"/>
      <c r="T282" s="143"/>
      <c r="U282" s="143"/>
      <c r="V282" s="143"/>
      <c r="W282" s="143"/>
      <c r="X282" s="143"/>
      <c r="Y282" s="143"/>
      <c r="Z282" s="143"/>
      <c r="AA282" s="143"/>
      <c r="AB282" s="143"/>
      <c r="AC282" s="143"/>
      <c r="AD282" s="143"/>
      <c r="AE282" s="143"/>
      <c r="AF282" s="143"/>
      <c r="AG282" s="143"/>
      <c r="AH282" s="143"/>
      <c r="AI282" s="143"/>
      <c r="AJ282" s="143"/>
      <c r="AK282" s="143"/>
      <c r="AL282" s="143"/>
      <c r="AM282" s="143"/>
    </row>
    <row r="283" spans="1:39" ht="12.75" customHeight="1" x14ac:dyDescent="0.25">
      <c r="A283" s="143"/>
      <c r="B283" s="151"/>
      <c r="C283" s="152" t="s">
        <v>365</v>
      </c>
      <c r="D283" s="152" t="s">
        <v>364</v>
      </c>
      <c r="E283" s="152" t="s">
        <v>235</v>
      </c>
      <c r="F283" s="161">
        <f>62</f>
        <v>62</v>
      </c>
      <c r="G283" s="152" t="s">
        <v>225</v>
      </c>
      <c r="H283" s="174">
        <v>140987</v>
      </c>
      <c r="I283" s="152" t="s">
        <v>311</v>
      </c>
      <c r="J283" s="221">
        <f>F283*H283/1000000</f>
        <v>8.7411940000000001</v>
      </c>
      <c r="K283" s="272">
        <v>0.69</v>
      </c>
      <c r="L283" s="272">
        <v>0</v>
      </c>
      <c r="M283" s="273">
        <v>0</v>
      </c>
      <c r="N283" s="143"/>
      <c r="O283" s="143"/>
      <c r="P283" s="143"/>
      <c r="Q283" s="143"/>
      <c r="R283" s="430"/>
      <c r="S283" s="430"/>
      <c r="T283" s="143"/>
      <c r="U283" s="143"/>
      <c r="V283" s="143"/>
      <c r="W283" s="143"/>
      <c r="X283" s="143"/>
      <c r="Y283" s="143"/>
      <c r="Z283" s="143"/>
      <c r="AA283" s="143"/>
      <c r="AB283" s="143"/>
      <c r="AC283" s="143"/>
      <c r="AD283" s="143"/>
      <c r="AE283" s="143"/>
      <c r="AF283" s="143"/>
      <c r="AG283" s="143"/>
      <c r="AH283" s="143"/>
      <c r="AI283" s="143"/>
      <c r="AJ283" s="143"/>
      <c r="AK283" s="143"/>
      <c r="AL283" s="143"/>
      <c r="AM283" s="143"/>
    </row>
    <row r="284" spans="1:39" ht="12.75" customHeight="1" x14ac:dyDescent="0.25">
      <c r="A284" s="143"/>
      <c r="B284" s="151"/>
      <c r="C284" s="232" t="s">
        <v>481</v>
      </c>
      <c r="D284" s="152" t="s">
        <v>482</v>
      </c>
      <c r="E284" s="152" t="s">
        <v>439</v>
      </c>
      <c r="F284" s="161">
        <f>217000</f>
        <v>217000</v>
      </c>
      <c r="G284" s="152" t="s">
        <v>437</v>
      </c>
      <c r="H284" s="293">
        <v>1.024</v>
      </c>
      <c r="I284" s="152" t="s">
        <v>455</v>
      </c>
      <c r="J284" s="286">
        <f>F284*H284/1000</f>
        <v>222.208</v>
      </c>
      <c r="K284" s="272">
        <v>13</v>
      </c>
      <c r="L284" s="272">
        <v>0</v>
      </c>
      <c r="M284" s="273">
        <v>0</v>
      </c>
      <c r="N284" s="143"/>
      <c r="O284" s="430"/>
      <c r="P284" s="430"/>
      <c r="Q284" s="430"/>
      <c r="R284" s="430"/>
      <c r="S284" s="430"/>
      <c r="T284" s="143"/>
      <c r="U284" s="143"/>
      <c r="V284" s="143"/>
      <c r="W284" s="143"/>
      <c r="X284" s="143"/>
      <c r="Y284" s="143"/>
      <c r="Z284" s="143"/>
      <c r="AA284" s="143"/>
      <c r="AB284" s="143"/>
      <c r="AC284" s="143"/>
      <c r="AD284" s="143"/>
      <c r="AE284" s="143"/>
      <c r="AF284" s="143"/>
      <c r="AG284" s="143"/>
      <c r="AH284" s="143"/>
      <c r="AI284" s="143"/>
      <c r="AJ284" s="143"/>
      <c r="AK284" s="143"/>
      <c r="AL284" s="143"/>
      <c r="AM284" s="143"/>
    </row>
    <row r="285" spans="1:39" ht="12.75" customHeight="1" x14ac:dyDescent="0.25">
      <c r="A285" s="143"/>
      <c r="B285" s="151"/>
      <c r="C285" s="152" t="s">
        <v>366</v>
      </c>
      <c r="D285" s="152" t="s">
        <v>367</v>
      </c>
      <c r="E285" s="152" t="s">
        <v>235</v>
      </c>
      <c r="F285" s="161">
        <v>2805</v>
      </c>
      <c r="G285" s="152" t="s">
        <v>225</v>
      </c>
      <c r="H285" s="174">
        <v>140987</v>
      </c>
      <c r="I285" s="152" t="s">
        <v>311</v>
      </c>
      <c r="J285" s="221">
        <f t="shared" ref="J285:J288" si="69">F285*H285/1000000</f>
        <v>395.46853499999997</v>
      </c>
      <c r="K285" s="272">
        <v>31.13</v>
      </c>
      <c r="L285" s="272">
        <v>0</v>
      </c>
      <c r="M285" s="273">
        <v>0</v>
      </c>
      <c r="N285" s="143"/>
      <c r="O285" s="143"/>
      <c r="P285" s="143"/>
      <c r="Q285" s="143"/>
      <c r="R285" s="143"/>
      <c r="S285" s="143"/>
      <c r="T285" s="143"/>
      <c r="U285" s="143"/>
      <c r="V285" s="143"/>
      <c r="W285" s="143"/>
      <c r="X285" s="143"/>
      <c r="Y285" s="143"/>
      <c r="Z285" s="143"/>
      <c r="AA285" s="143"/>
      <c r="AB285" s="143"/>
      <c r="AC285" s="143"/>
      <c r="AD285" s="143"/>
      <c r="AE285" s="143"/>
      <c r="AF285" s="143"/>
      <c r="AG285" s="143"/>
      <c r="AH285" s="143"/>
      <c r="AI285" s="143"/>
      <c r="AJ285" s="143"/>
      <c r="AK285" s="143"/>
      <c r="AL285" s="143"/>
      <c r="AM285" s="143"/>
    </row>
    <row r="286" spans="1:39" ht="12.75" customHeight="1" x14ac:dyDescent="0.25">
      <c r="A286" s="143"/>
      <c r="B286" s="151"/>
      <c r="C286" s="152" t="s">
        <v>368</v>
      </c>
      <c r="D286" s="152" t="s">
        <v>369</v>
      </c>
      <c r="E286" s="152" t="s">
        <v>235</v>
      </c>
      <c r="F286" s="161">
        <v>2805</v>
      </c>
      <c r="G286" s="152" t="s">
        <v>225</v>
      </c>
      <c r="H286" s="174">
        <v>140987</v>
      </c>
      <c r="I286" s="152" t="s">
        <v>311</v>
      </c>
      <c r="J286" s="221">
        <f t="shared" si="69"/>
        <v>395.46853499999997</v>
      </c>
      <c r="K286" s="272">
        <v>31.13</v>
      </c>
      <c r="L286" s="272">
        <v>0</v>
      </c>
      <c r="M286" s="273">
        <v>0</v>
      </c>
      <c r="N286" s="143"/>
      <c r="O286" s="143"/>
      <c r="P286" s="143"/>
      <c r="Q286" s="143"/>
      <c r="R286" s="143"/>
      <c r="S286" s="143"/>
      <c r="T286" s="143"/>
      <c r="U286" s="143"/>
      <c r="V286" s="143"/>
      <c r="W286" s="143"/>
      <c r="X286" s="143"/>
      <c r="Y286" s="143"/>
      <c r="Z286" s="143"/>
      <c r="AA286" s="143"/>
      <c r="AB286" s="143"/>
      <c r="AC286" s="143"/>
      <c r="AD286" s="143"/>
      <c r="AE286" s="143"/>
      <c r="AF286" s="143"/>
      <c r="AG286" s="143"/>
      <c r="AH286" s="143"/>
      <c r="AI286" s="143"/>
      <c r="AJ286" s="143"/>
      <c r="AK286" s="143"/>
      <c r="AL286" s="143"/>
      <c r="AM286" s="143"/>
    </row>
    <row r="287" spans="1:39" ht="12.75" customHeight="1" x14ac:dyDescent="0.25">
      <c r="A287" s="143"/>
      <c r="B287" s="151"/>
      <c r="C287" s="152" t="s">
        <v>370</v>
      </c>
      <c r="D287" s="152" t="s">
        <v>371</v>
      </c>
      <c r="E287" s="152" t="s">
        <v>235</v>
      </c>
      <c r="F287" s="161">
        <v>2805</v>
      </c>
      <c r="G287" s="152" t="s">
        <v>225</v>
      </c>
      <c r="H287" s="174">
        <v>140987</v>
      </c>
      <c r="I287" s="152" t="s">
        <v>311</v>
      </c>
      <c r="J287" s="221">
        <f t="shared" si="69"/>
        <v>395.46853499999997</v>
      </c>
      <c r="K287" s="272">
        <v>31.13</v>
      </c>
      <c r="L287" s="272">
        <v>0</v>
      </c>
      <c r="M287" s="273">
        <v>0</v>
      </c>
      <c r="N287" s="143"/>
      <c r="O287" s="143"/>
      <c r="P287" s="143"/>
      <c r="Q287" s="143"/>
      <c r="R287" s="143"/>
      <c r="S287" s="143"/>
      <c r="T287" s="143"/>
      <c r="U287" s="143"/>
      <c r="V287" s="143"/>
      <c r="W287" s="143"/>
      <c r="X287" s="143"/>
      <c r="Y287" s="143"/>
      <c r="Z287" s="143"/>
      <c r="AA287" s="143"/>
      <c r="AB287" s="143"/>
      <c r="AC287" s="143"/>
      <c r="AD287" s="143"/>
      <c r="AE287" s="143"/>
      <c r="AF287" s="143"/>
      <c r="AG287" s="143"/>
      <c r="AH287" s="143"/>
      <c r="AI287" s="143"/>
      <c r="AJ287" s="143"/>
      <c r="AK287" s="143"/>
      <c r="AL287" s="143"/>
      <c r="AM287" s="143"/>
    </row>
    <row r="288" spans="1:39" ht="12.75" customHeight="1" x14ac:dyDescent="0.25">
      <c r="A288" s="143"/>
      <c r="B288" s="151"/>
      <c r="C288" s="152" t="s">
        <v>372</v>
      </c>
      <c r="D288" s="152" t="s">
        <v>373</v>
      </c>
      <c r="E288" s="152" t="s">
        <v>235</v>
      </c>
      <c r="F288" s="161">
        <v>2805</v>
      </c>
      <c r="G288" s="152" t="s">
        <v>225</v>
      </c>
      <c r="H288" s="174">
        <v>140987</v>
      </c>
      <c r="I288" s="152" t="s">
        <v>311</v>
      </c>
      <c r="J288" s="221">
        <f t="shared" si="69"/>
        <v>395.46853499999997</v>
      </c>
      <c r="K288" s="272">
        <v>31.13</v>
      </c>
      <c r="L288" s="272">
        <v>0</v>
      </c>
      <c r="M288" s="273">
        <v>0</v>
      </c>
      <c r="N288" s="143"/>
      <c r="O288" s="143"/>
      <c r="P288" s="143"/>
      <c r="Q288" s="143"/>
      <c r="R288" s="143"/>
      <c r="S288" s="143"/>
      <c r="T288" s="143"/>
      <c r="U288" s="143"/>
      <c r="V288" s="143"/>
      <c r="W288" s="143"/>
      <c r="X288" s="143"/>
      <c r="Y288" s="143"/>
      <c r="Z288" s="143"/>
      <c r="AA288" s="143"/>
      <c r="AB288" s="143"/>
      <c r="AC288" s="143"/>
      <c r="AD288" s="143"/>
      <c r="AE288" s="143"/>
      <c r="AF288" s="143"/>
      <c r="AG288" s="143"/>
      <c r="AH288" s="143"/>
      <c r="AI288" s="143"/>
      <c r="AJ288" s="143"/>
      <c r="AK288" s="143"/>
      <c r="AL288" s="143"/>
      <c r="AM288" s="143"/>
    </row>
    <row r="289" spans="1:39" ht="12.75" customHeight="1" x14ac:dyDescent="0.25">
      <c r="A289" s="143"/>
      <c r="B289" s="151"/>
      <c r="C289" s="152"/>
      <c r="D289" s="152"/>
      <c r="E289" s="152"/>
      <c r="F289" s="174"/>
      <c r="G289" s="152"/>
      <c r="H289" s="152"/>
      <c r="I289" s="152"/>
      <c r="J289" s="174"/>
      <c r="K289" s="152"/>
      <c r="L289" s="152"/>
      <c r="M289" s="154"/>
      <c r="N289" s="143"/>
      <c r="O289" s="143"/>
      <c r="P289" s="143"/>
      <c r="Q289" s="143"/>
      <c r="R289" s="143"/>
      <c r="S289" s="143"/>
      <c r="T289" s="143"/>
      <c r="U289" s="143"/>
      <c r="V289" s="143"/>
      <c r="W289" s="143"/>
      <c r="X289" s="143"/>
      <c r="Y289" s="143"/>
      <c r="Z289" s="143"/>
      <c r="AA289" s="143"/>
      <c r="AB289" s="143"/>
      <c r="AC289" s="143"/>
      <c r="AD289" s="143"/>
      <c r="AE289" s="143"/>
      <c r="AF289" s="143"/>
      <c r="AG289" s="143"/>
      <c r="AH289" s="143"/>
      <c r="AI289" s="143"/>
      <c r="AJ289" s="143"/>
      <c r="AK289" s="143"/>
      <c r="AL289" s="143"/>
      <c r="AM289" s="143"/>
    </row>
    <row r="290" spans="1:39" ht="12.75" customHeight="1" x14ac:dyDescent="0.25">
      <c r="A290" s="143"/>
      <c r="B290" s="155"/>
      <c r="C290" s="190"/>
      <c r="D290" s="190"/>
      <c r="E290" s="190"/>
      <c r="F290" s="190"/>
      <c r="G290" s="190"/>
      <c r="H290" s="190"/>
      <c r="I290" s="190"/>
      <c r="J290" s="190"/>
      <c r="K290" s="190"/>
      <c r="L290" s="190"/>
      <c r="M290" s="208"/>
      <c r="N290" s="143"/>
      <c r="O290" s="143"/>
      <c r="P290" s="143"/>
      <c r="Q290" s="143"/>
      <c r="R290" s="143"/>
      <c r="S290" s="143"/>
      <c r="T290" s="143"/>
      <c r="U290" s="143"/>
      <c r="V290" s="143"/>
      <c r="W290" s="143"/>
      <c r="X290" s="143"/>
      <c r="Y290" s="143"/>
      <c r="Z290" s="143"/>
      <c r="AA290" s="143"/>
      <c r="AB290" s="143"/>
      <c r="AC290" s="143"/>
      <c r="AD290" s="143"/>
      <c r="AE290" s="143"/>
      <c r="AF290" s="143"/>
      <c r="AG290" s="143"/>
      <c r="AH290" s="143"/>
      <c r="AI290" s="143"/>
      <c r="AJ290" s="143"/>
      <c r="AK290" s="143"/>
      <c r="AL290" s="143"/>
      <c r="AM290" s="143"/>
    </row>
    <row r="291" spans="1:39" ht="12.75" customHeight="1" x14ac:dyDescent="0.25">
      <c r="A291" s="143"/>
      <c r="B291" s="151"/>
      <c r="C291" s="152"/>
      <c r="D291" s="152"/>
      <c r="E291" s="152"/>
      <c r="F291" s="152"/>
      <c r="G291" s="152"/>
      <c r="H291" s="152"/>
      <c r="I291" s="152"/>
      <c r="J291" s="152"/>
      <c r="K291" s="152"/>
      <c r="L291" s="152"/>
      <c r="M291" s="154"/>
      <c r="N291" s="143"/>
      <c r="O291" s="430" t="s">
        <v>625</v>
      </c>
      <c r="P291" s="143"/>
      <c r="Q291" s="143"/>
      <c r="R291" s="143"/>
      <c r="S291" s="143"/>
      <c r="T291" s="143"/>
      <c r="U291" s="143"/>
      <c r="V291" s="143"/>
      <c r="W291" s="143"/>
      <c r="X291" s="143"/>
      <c r="Y291" s="143"/>
      <c r="Z291" s="143"/>
      <c r="AA291" s="143"/>
      <c r="AB291" s="143"/>
      <c r="AC291" s="143"/>
      <c r="AD291" s="143"/>
      <c r="AE291" s="143"/>
      <c r="AF291" s="143"/>
      <c r="AG291" s="143"/>
      <c r="AH291" s="143"/>
      <c r="AI291" s="143"/>
      <c r="AJ291" s="143"/>
      <c r="AK291" s="143"/>
      <c r="AL291" s="143"/>
      <c r="AM291" s="143"/>
    </row>
    <row r="292" spans="1:39" ht="12.75" customHeight="1" x14ac:dyDescent="0.25">
      <c r="A292" s="143"/>
      <c r="B292" s="151" t="s">
        <v>374</v>
      </c>
      <c r="C292" s="179" t="s">
        <v>375</v>
      </c>
      <c r="D292" s="152"/>
      <c r="E292" s="152"/>
      <c r="F292" s="152"/>
      <c r="G292" s="152"/>
      <c r="H292" s="152"/>
      <c r="I292" s="152"/>
      <c r="J292" s="152"/>
      <c r="K292" s="152"/>
      <c r="L292" s="152"/>
      <c r="M292" s="154"/>
      <c r="N292" s="143"/>
      <c r="O292" s="143" t="s">
        <v>626</v>
      </c>
      <c r="P292" s="143" t="s">
        <v>627</v>
      </c>
      <c r="Q292" s="143"/>
      <c r="R292" s="143"/>
      <c r="S292" s="143"/>
      <c r="T292" s="143"/>
      <c r="U292" s="143"/>
      <c r="V292" s="143"/>
      <c r="W292" s="143"/>
      <c r="X292" s="143"/>
      <c r="Y292" s="143"/>
      <c r="Z292" s="143"/>
      <c r="AA292" s="143"/>
      <c r="AB292" s="143"/>
      <c r="AC292" s="143"/>
      <c r="AD292" s="143"/>
      <c r="AE292" s="143"/>
      <c r="AF292" s="143"/>
      <c r="AG292" s="143"/>
      <c r="AH292" s="143"/>
      <c r="AI292" s="143"/>
      <c r="AJ292" s="143"/>
      <c r="AK292" s="143"/>
      <c r="AL292" s="143"/>
      <c r="AM292" s="143"/>
    </row>
    <row r="293" spans="1:39" ht="12.75" customHeight="1" x14ac:dyDescent="0.35">
      <c r="A293" s="143"/>
      <c r="B293" s="151"/>
      <c r="C293" s="152" t="s">
        <v>376</v>
      </c>
      <c r="D293" s="152" t="s">
        <v>377</v>
      </c>
      <c r="E293" s="152" t="s">
        <v>235</v>
      </c>
      <c r="F293" s="161">
        <v>6990</v>
      </c>
      <c r="G293" s="152" t="s">
        <v>225</v>
      </c>
      <c r="H293" s="161">
        <v>137943</v>
      </c>
      <c r="I293" s="152" t="s">
        <v>311</v>
      </c>
      <c r="J293" s="296">
        <f t="shared" ref="J293:J296" si="70">F293*H293/1000000</f>
        <v>964.22157000000004</v>
      </c>
      <c r="K293" s="289">
        <v>79</v>
      </c>
      <c r="L293" s="293">
        <v>4.0000000000000001E-3</v>
      </c>
      <c r="M293" s="273">
        <v>0</v>
      </c>
      <c r="N293" s="143"/>
      <c r="O293" s="420" t="s">
        <v>628</v>
      </c>
      <c r="P293" s="420">
        <v>22600</v>
      </c>
      <c r="Q293" s="143"/>
      <c r="R293" s="143"/>
      <c r="S293" s="143"/>
      <c r="T293" s="143"/>
      <c r="U293" s="143"/>
      <c r="V293" s="143"/>
      <c r="W293" s="143"/>
      <c r="X293" s="143"/>
      <c r="Y293" s="143"/>
      <c r="Z293" s="143"/>
      <c r="AA293" s="143"/>
      <c r="AB293" s="143"/>
      <c r="AC293" s="143"/>
      <c r="AD293" s="143"/>
      <c r="AE293" s="143"/>
      <c r="AF293" s="143"/>
      <c r="AG293" s="143"/>
      <c r="AH293" s="143"/>
      <c r="AI293" s="143"/>
      <c r="AJ293" s="143"/>
      <c r="AK293" s="143"/>
      <c r="AL293" s="143"/>
      <c r="AM293" s="143"/>
    </row>
    <row r="294" spans="1:39" ht="12.75" customHeight="1" x14ac:dyDescent="0.35">
      <c r="A294" s="143"/>
      <c r="B294" s="151"/>
      <c r="C294" s="152" t="s">
        <v>378</v>
      </c>
      <c r="D294" s="152" t="s">
        <v>197</v>
      </c>
      <c r="E294" s="152" t="s">
        <v>235</v>
      </c>
      <c r="F294" s="161">
        <v>5519</v>
      </c>
      <c r="G294" s="152" t="s">
        <v>225</v>
      </c>
      <c r="H294" s="161">
        <v>137943</v>
      </c>
      <c r="I294" s="152" t="s">
        <v>311</v>
      </c>
      <c r="J294" s="296">
        <f t="shared" si="70"/>
        <v>761.30741699999999</v>
      </c>
      <c r="K294" s="289">
        <v>62.4</v>
      </c>
      <c r="L294" s="293">
        <v>3.0000000000000001E-3</v>
      </c>
      <c r="M294" s="273">
        <v>0</v>
      </c>
      <c r="N294" s="143"/>
      <c r="O294" s="420" t="s">
        <v>629</v>
      </c>
      <c r="P294" s="422">
        <v>1.1100000000000001</v>
      </c>
      <c r="Q294" s="143"/>
      <c r="R294" s="143"/>
      <c r="S294" s="143"/>
      <c r="T294" s="143"/>
      <c r="U294" s="143"/>
      <c r="V294" s="143"/>
      <c r="W294" s="143"/>
      <c r="X294" s="143"/>
      <c r="Y294" s="143"/>
      <c r="Z294" s="143"/>
      <c r="AA294" s="143"/>
      <c r="AB294" s="143"/>
      <c r="AC294" s="143"/>
      <c r="AD294" s="143"/>
      <c r="AE294" s="143"/>
      <c r="AF294" s="143"/>
      <c r="AG294" s="143"/>
      <c r="AH294" s="143"/>
      <c r="AI294" s="143"/>
      <c r="AJ294" s="143"/>
      <c r="AK294" s="143"/>
      <c r="AL294" s="143"/>
      <c r="AM294" s="143"/>
    </row>
    <row r="295" spans="1:39" ht="12.75" customHeight="1" x14ac:dyDescent="0.35">
      <c r="A295" s="143"/>
      <c r="B295" s="151"/>
      <c r="C295" s="152" t="s">
        <v>379</v>
      </c>
      <c r="D295" s="152" t="s">
        <v>206</v>
      </c>
      <c r="E295" s="152" t="s">
        <v>235</v>
      </c>
      <c r="F295" s="161">
        <v>6609</v>
      </c>
      <c r="G295" s="152" t="s">
        <v>225</v>
      </c>
      <c r="H295" s="161">
        <v>137943</v>
      </c>
      <c r="I295" s="152" t="s">
        <v>311</v>
      </c>
      <c r="J295" s="296">
        <f t="shared" si="70"/>
        <v>911.66528700000003</v>
      </c>
      <c r="K295" s="289">
        <v>74.7</v>
      </c>
      <c r="L295" s="293">
        <v>4.0000000000000001E-3</v>
      </c>
      <c r="M295" s="273">
        <v>0</v>
      </c>
      <c r="N295" s="143"/>
      <c r="O295" s="420" t="s">
        <v>630</v>
      </c>
      <c r="P295" s="420" t="s">
        <v>631</v>
      </c>
      <c r="Q295" s="143"/>
      <c r="R295" s="143"/>
      <c r="S295" s="143"/>
      <c r="T295" s="143"/>
      <c r="U295" s="143"/>
      <c r="V295" s="143"/>
      <c r="W295" s="143"/>
      <c r="X295" s="143"/>
      <c r="Y295" s="143"/>
      <c r="Z295" s="143"/>
      <c r="AA295" s="143"/>
      <c r="AB295" s="143"/>
      <c r="AC295" s="143"/>
      <c r="AD295" s="143"/>
      <c r="AE295" s="143"/>
      <c r="AF295" s="143"/>
      <c r="AG295" s="143"/>
      <c r="AH295" s="143"/>
      <c r="AI295" s="143"/>
      <c r="AJ295" s="143"/>
      <c r="AK295" s="143"/>
      <c r="AL295" s="143"/>
      <c r="AM295" s="143"/>
    </row>
    <row r="296" spans="1:39" ht="12.75" customHeight="1" x14ac:dyDescent="0.25">
      <c r="A296" s="143"/>
      <c r="B296" s="151"/>
      <c r="C296" s="152" t="s">
        <v>380</v>
      </c>
      <c r="D296" s="152" t="s">
        <v>381</v>
      </c>
      <c r="E296" s="152" t="s">
        <v>235</v>
      </c>
      <c r="F296" s="161">
        <v>6082</v>
      </c>
      <c r="G296" s="152" t="s">
        <v>225</v>
      </c>
      <c r="H296" s="161">
        <v>137943</v>
      </c>
      <c r="I296" s="152" t="s">
        <v>311</v>
      </c>
      <c r="J296" s="296">
        <f t="shared" si="70"/>
        <v>838.96932600000002</v>
      </c>
      <c r="K296" s="289">
        <v>68.7</v>
      </c>
      <c r="L296" s="293">
        <v>3.0000000000000001E-3</v>
      </c>
      <c r="M296" s="273">
        <v>0</v>
      </c>
      <c r="N296" s="143"/>
      <c r="O296" s="143"/>
      <c r="P296" s="143"/>
      <c r="Q296" s="143"/>
      <c r="R296" s="143"/>
      <c r="S296" s="143"/>
      <c r="T296" s="143"/>
      <c r="U296" s="143"/>
      <c r="V296" s="143"/>
      <c r="W296" s="143"/>
      <c r="X296" s="143"/>
      <c r="Y296" s="143"/>
      <c r="Z296" s="143"/>
      <c r="AA296" s="143"/>
      <c r="AB296" s="143"/>
      <c r="AC296" s="143"/>
      <c r="AD296" s="143"/>
      <c r="AE296" s="143"/>
      <c r="AF296" s="143"/>
      <c r="AG296" s="143"/>
      <c r="AH296" s="143"/>
      <c r="AI296" s="143"/>
      <c r="AJ296" s="143"/>
      <c r="AK296" s="143"/>
      <c r="AL296" s="143"/>
      <c r="AM296" s="143"/>
    </row>
    <row r="297" spans="1:39" ht="12.75" customHeight="1" x14ac:dyDescent="0.25">
      <c r="A297" s="143"/>
      <c r="B297" s="151"/>
      <c r="C297" s="152"/>
      <c r="D297" s="152"/>
      <c r="E297" s="152"/>
      <c r="F297" s="152"/>
      <c r="G297" s="152"/>
      <c r="H297" s="152"/>
      <c r="I297" s="152"/>
      <c r="J297" s="152"/>
      <c r="K297" s="152"/>
      <c r="L297" s="152"/>
      <c r="M297" s="154"/>
      <c r="N297" s="143"/>
      <c r="O297" s="431">
        <f>J294*P293*0.0005</f>
        <v>8602.7738121000002</v>
      </c>
      <c r="P297" s="143"/>
      <c r="Q297" s="143"/>
      <c r="R297" s="143"/>
      <c r="S297" s="143"/>
      <c r="T297" s="143"/>
      <c r="U297" s="143"/>
      <c r="V297" s="143"/>
      <c r="W297" s="143"/>
      <c r="X297" s="143"/>
      <c r="Y297" s="143"/>
      <c r="Z297" s="143"/>
      <c r="AA297" s="143"/>
      <c r="AB297" s="143"/>
      <c r="AC297" s="143"/>
      <c r="AD297" s="143"/>
      <c r="AE297" s="143"/>
      <c r="AF297" s="143"/>
      <c r="AG297" s="143"/>
      <c r="AH297" s="143"/>
      <c r="AI297" s="143"/>
      <c r="AJ297" s="143"/>
      <c r="AK297" s="143"/>
      <c r="AL297" s="143"/>
      <c r="AM297" s="143"/>
    </row>
    <row r="298" spans="1:39" ht="12.75" customHeight="1" x14ac:dyDescent="0.25">
      <c r="A298" s="143"/>
      <c r="B298" s="155"/>
      <c r="C298" s="190"/>
      <c r="D298" s="190"/>
      <c r="E298" s="190"/>
      <c r="F298" s="190"/>
      <c r="G298" s="190"/>
      <c r="H298" s="190"/>
      <c r="I298" s="190"/>
      <c r="J298" s="190"/>
      <c r="K298" s="190"/>
      <c r="L298" s="190"/>
      <c r="M298" s="208"/>
      <c r="N298" s="143"/>
      <c r="O298" s="143"/>
      <c r="P298" s="431"/>
      <c r="Q298" s="143"/>
      <c r="R298" s="143"/>
      <c r="S298" s="143"/>
      <c r="T298" s="143"/>
      <c r="U298" s="143"/>
      <c r="V298" s="143"/>
      <c r="W298" s="143"/>
      <c r="X298" s="143"/>
      <c r="Y298" s="143"/>
      <c r="Z298" s="143"/>
      <c r="AA298" s="143"/>
      <c r="AB298" s="143"/>
      <c r="AC298" s="143"/>
      <c r="AD298" s="143"/>
      <c r="AE298" s="143"/>
      <c r="AF298" s="143"/>
      <c r="AG298" s="143"/>
      <c r="AH298" s="143"/>
      <c r="AI298" s="143"/>
      <c r="AJ298" s="143"/>
      <c r="AK298" s="143"/>
      <c r="AL298" s="143"/>
      <c r="AM298" s="143"/>
    </row>
    <row r="299" spans="1:39" ht="12.75" customHeight="1" x14ac:dyDescent="0.25">
      <c r="A299" s="143"/>
      <c r="B299" s="151"/>
      <c r="C299" s="152"/>
      <c r="D299" s="152"/>
      <c r="E299" s="152"/>
      <c r="F299" s="152"/>
      <c r="G299" s="152"/>
      <c r="H299" s="152"/>
      <c r="I299" s="152"/>
      <c r="J299" s="152"/>
      <c r="K299" s="152"/>
      <c r="L299" s="152"/>
      <c r="M299" s="154"/>
      <c r="N299" s="143"/>
      <c r="O299" s="430" t="s">
        <v>632</v>
      </c>
      <c r="P299" s="143"/>
      <c r="Q299" s="143"/>
      <c r="R299" s="143"/>
      <c r="S299" s="143"/>
      <c r="T299" s="143"/>
      <c r="U299" s="143"/>
      <c r="V299" s="143"/>
      <c r="W299" s="143"/>
      <c r="X299" s="143"/>
      <c r="Y299" s="143"/>
      <c r="Z299" s="143"/>
      <c r="AA299" s="143"/>
      <c r="AB299" s="143"/>
      <c r="AC299" s="143"/>
      <c r="AD299" s="143"/>
      <c r="AE299" s="143"/>
      <c r="AF299" s="143"/>
      <c r="AG299" s="143"/>
      <c r="AH299" s="143"/>
      <c r="AI299" s="143"/>
      <c r="AJ299" s="143"/>
      <c r="AK299" s="143"/>
      <c r="AL299" s="143"/>
      <c r="AM299" s="143"/>
    </row>
    <row r="300" spans="1:39" ht="12.75" customHeight="1" x14ac:dyDescent="0.25">
      <c r="A300" s="143"/>
      <c r="B300" s="151" t="s">
        <v>382</v>
      </c>
      <c r="C300" s="179" t="s">
        <v>383</v>
      </c>
      <c r="D300" s="152"/>
      <c r="E300" s="152"/>
      <c r="F300" s="152"/>
      <c r="G300" s="152"/>
      <c r="H300" s="152"/>
      <c r="I300" s="152"/>
      <c r="J300" s="152"/>
      <c r="K300" s="152"/>
      <c r="L300" s="152"/>
      <c r="M300" s="154"/>
      <c r="N300" s="143"/>
      <c r="O300" s="143"/>
      <c r="P300" s="143"/>
      <c r="Q300" s="143"/>
      <c r="R300" s="143"/>
      <c r="S300" s="143"/>
      <c r="T300" s="143"/>
      <c r="U300" s="143"/>
      <c r="V300" s="143"/>
      <c r="W300" s="143"/>
      <c r="X300" s="143"/>
      <c r="Y300" s="143"/>
      <c r="Z300" s="143"/>
      <c r="AA300" s="143"/>
      <c r="AB300" s="143"/>
      <c r="AC300" s="143"/>
      <c r="AD300" s="143"/>
      <c r="AE300" s="143"/>
      <c r="AF300" s="143"/>
      <c r="AG300" s="143"/>
      <c r="AH300" s="143"/>
      <c r="AI300" s="143"/>
      <c r="AJ300" s="143"/>
      <c r="AK300" s="143"/>
      <c r="AL300" s="143"/>
      <c r="AM300" s="143"/>
    </row>
    <row r="301" spans="1:39" ht="12.75" customHeight="1" x14ac:dyDescent="0.35">
      <c r="A301" s="143"/>
      <c r="B301" s="151"/>
      <c r="C301" s="152" t="s">
        <v>384</v>
      </c>
      <c r="D301" s="152" t="s">
        <v>385</v>
      </c>
      <c r="E301" s="152" t="s">
        <v>235</v>
      </c>
      <c r="F301" s="161">
        <v>312</v>
      </c>
      <c r="G301" s="152" t="s">
        <v>225</v>
      </c>
      <c r="H301" s="174">
        <v>137030</v>
      </c>
      <c r="I301" s="152" t="s">
        <v>311</v>
      </c>
      <c r="J301" s="221">
        <f t="shared" ref="J301:J308" si="71">F301*H301/1000000</f>
        <v>42.753360000000001</v>
      </c>
      <c r="K301" s="296">
        <v>3</v>
      </c>
      <c r="L301" s="293">
        <v>1.0000000000000001E-5</v>
      </c>
      <c r="M301" s="293">
        <v>4.0000000000000003E-5</v>
      </c>
      <c r="N301" s="143"/>
      <c r="O301" s="143" t="s">
        <v>633</v>
      </c>
      <c r="P301" s="143"/>
      <c r="Q301" s="143"/>
      <c r="R301" s="143"/>
      <c r="S301" s="143"/>
      <c r="T301" s="143"/>
      <c r="U301" s="143"/>
      <c r="V301" s="143"/>
      <c r="W301" s="143"/>
      <c r="X301" s="143"/>
      <c r="Y301" s="143"/>
      <c r="Z301" s="143"/>
      <c r="AA301" s="143"/>
      <c r="AB301" s="143"/>
      <c r="AC301" s="143"/>
      <c r="AD301" s="143"/>
      <c r="AE301" s="143"/>
      <c r="AF301" s="143"/>
      <c r="AG301" s="143"/>
      <c r="AH301" s="143"/>
      <c r="AI301" s="143"/>
      <c r="AJ301" s="143"/>
      <c r="AK301" s="143"/>
      <c r="AL301" s="143"/>
      <c r="AM301" s="143"/>
    </row>
    <row r="302" spans="1:39" ht="12.75" customHeight="1" x14ac:dyDescent="0.35">
      <c r="A302" s="143"/>
      <c r="B302" s="151"/>
      <c r="C302" s="152" t="s">
        <v>386</v>
      </c>
      <c r="D302" s="152" t="s">
        <v>387</v>
      </c>
      <c r="E302" s="152" t="s">
        <v>235</v>
      </c>
      <c r="F302" s="161">
        <v>271</v>
      </c>
      <c r="G302" s="152" t="s">
        <v>225</v>
      </c>
      <c r="H302" s="174">
        <v>137030</v>
      </c>
      <c r="I302" s="152" t="s">
        <v>311</v>
      </c>
      <c r="J302" s="221">
        <f t="shared" si="71"/>
        <v>37.135129999999997</v>
      </c>
      <c r="K302" s="296">
        <v>3</v>
      </c>
      <c r="L302" s="293">
        <v>1.0000000000000001E-5</v>
      </c>
      <c r="M302" s="293">
        <v>4.0000000000000003E-5</v>
      </c>
      <c r="N302" s="143"/>
      <c r="O302" s="143" t="s">
        <v>634</v>
      </c>
      <c r="P302" s="143"/>
      <c r="Q302" s="143"/>
      <c r="R302" s="143"/>
      <c r="S302" s="143"/>
      <c r="T302" s="143"/>
      <c r="U302" s="143"/>
      <c r="V302" s="143"/>
      <c r="W302" s="143"/>
      <c r="X302" s="143"/>
      <c r="Y302" s="143"/>
      <c r="Z302" s="143"/>
      <c r="AA302" s="143"/>
      <c r="AB302" s="143"/>
      <c r="AC302" s="143"/>
      <c r="AD302" s="143"/>
      <c r="AE302" s="143"/>
      <c r="AF302" s="143"/>
      <c r="AG302" s="143"/>
      <c r="AH302" s="143"/>
      <c r="AI302" s="143"/>
      <c r="AJ302" s="143"/>
      <c r="AK302" s="143"/>
      <c r="AL302" s="143"/>
      <c r="AM302" s="143"/>
    </row>
    <row r="303" spans="1:39" ht="12.75" customHeight="1" x14ac:dyDescent="0.25">
      <c r="A303" s="143"/>
      <c r="B303" s="151"/>
      <c r="C303" s="152" t="s">
        <v>388</v>
      </c>
      <c r="D303" s="152" t="s">
        <v>389</v>
      </c>
      <c r="E303" s="152" t="s">
        <v>235</v>
      </c>
      <c r="F303" s="161">
        <v>11760</v>
      </c>
      <c r="G303" s="152" t="s">
        <v>225</v>
      </c>
      <c r="H303" s="174">
        <v>138200</v>
      </c>
      <c r="I303" s="152" t="s">
        <v>311</v>
      </c>
      <c r="J303" s="221">
        <f t="shared" si="71"/>
        <v>1625.232</v>
      </c>
      <c r="K303" s="296">
        <v>133</v>
      </c>
      <c r="L303" s="293">
        <v>0.01</v>
      </c>
      <c r="M303" s="293">
        <v>1E-3</v>
      </c>
      <c r="N303" s="143"/>
      <c r="O303" s="143"/>
      <c r="P303" s="143"/>
      <c r="Q303" s="143"/>
      <c r="R303" s="143"/>
      <c r="S303" s="143"/>
      <c r="T303" s="143"/>
      <c r="U303" s="143"/>
      <c r="V303" s="143"/>
      <c r="W303" s="143"/>
      <c r="X303" s="143"/>
      <c r="Y303" s="143"/>
      <c r="Z303" s="143"/>
      <c r="AA303" s="143"/>
      <c r="AB303" s="143"/>
      <c r="AC303" s="143"/>
      <c r="AD303" s="143"/>
      <c r="AE303" s="143"/>
      <c r="AF303" s="143"/>
      <c r="AG303" s="143"/>
      <c r="AH303" s="143"/>
      <c r="AI303" s="143"/>
      <c r="AJ303" s="143"/>
      <c r="AK303" s="143"/>
      <c r="AL303" s="143"/>
      <c r="AM303" s="143"/>
    </row>
    <row r="304" spans="1:39" ht="12.75" customHeight="1" x14ac:dyDescent="0.25">
      <c r="A304" s="143"/>
      <c r="B304" s="151"/>
      <c r="C304" s="152" t="s">
        <v>390</v>
      </c>
      <c r="D304" s="152" t="s">
        <v>391</v>
      </c>
      <c r="E304" s="152" t="s">
        <v>235</v>
      </c>
      <c r="F304" s="161">
        <v>8808</v>
      </c>
      <c r="G304" s="152" t="s">
        <v>225</v>
      </c>
      <c r="H304" s="174">
        <v>138200</v>
      </c>
      <c r="I304" s="152" t="s">
        <v>311</v>
      </c>
      <c r="J304" s="221">
        <f t="shared" si="71"/>
        <v>1217.2655999999999</v>
      </c>
      <c r="K304" s="296">
        <v>100</v>
      </c>
      <c r="L304" s="293">
        <v>5.0000000000000001E-3</v>
      </c>
      <c r="M304" s="293">
        <v>1E-3</v>
      </c>
      <c r="N304" s="143"/>
      <c r="O304" s="143" t="s">
        <v>635</v>
      </c>
      <c r="P304" s="143"/>
      <c r="Q304" s="143"/>
      <c r="R304" s="143"/>
      <c r="S304" s="143"/>
      <c r="T304" s="143"/>
      <c r="U304" s="143"/>
      <c r="V304" s="143"/>
      <c r="W304" s="143"/>
      <c r="X304" s="143"/>
      <c r="Y304" s="143"/>
      <c r="Z304" s="143"/>
      <c r="AA304" s="143"/>
      <c r="AB304" s="143"/>
      <c r="AC304" s="143"/>
      <c r="AD304" s="143"/>
      <c r="AE304" s="143"/>
      <c r="AF304" s="143"/>
      <c r="AG304" s="143"/>
      <c r="AH304" s="143"/>
      <c r="AI304" s="143"/>
      <c r="AJ304" s="143"/>
      <c r="AK304" s="143"/>
      <c r="AL304" s="143"/>
      <c r="AM304" s="143"/>
    </row>
    <row r="305" spans="1:39" ht="12.75" customHeight="1" x14ac:dyDescent="0.25">
      <c r="A305" s="143"/>
      <c r="B305" s="151"/>
      <c r="C305" s="152" t="s">
        <v>392</v>
      </c>
      <c r="D305" s="152" t="s">
        <v>393</v>
      </c>
      <c r="E305" s="152" t="s">
        <v>235</v>
      </c>
      <c r="F305" s="161">
        <v>8112</v>
      </c>
      <c r="G305" s="152" t="s">
        <v>225</v>
      </c>
      <c r="H305" s="174">
        <v>138200</v>
      </c>
      <c r="I305" s="152" t="s">
        <v>311</v>
      </c>
      <c r="J305" s="221">
        <f t="shared" si="71"/>
        <v>1121.0784000000001</v>
      </c>
      <c r="K305" s="296">
        <v>92</v>
      </c>
      <c r="L305" s="293">
        <v>5.0000000000000001E-3</v>
      </c>
      <c r="M305" s="293">
        <v>1E-3</v>
      </c>
      <c r="N305" s="143"/>
      <c r="O305" s="143" t="s">
        <v>636</v>
      </c>
      <c r="P305" s="143"/>
      <c r="Q305" s="143"/>
      <c r="R305" s="143"/>
      <c r="S305" s="143"/>
      <c r="T305" s="143"/>
      <c r="U305" s="143"/>
      <c r="V305" s="143"/>
      <c r="W305" s="143"/>
      <c r="X305" s="143"/>
      <c r="Y305" s="143"/>
      <c r="Z305" s="143"/>
      <c r="AA305" s="143"/>
      <c r="AB305" s="143"/>
      <c r="AC305" s="143"/>
      <c r="AD305" s="143"/>
      <c r="AE305" s="143"/>
      <c r="AF305" s="143"/>
      <c r="AG305" s="143"/>
      <c r="AH305" s="143"/>
      <c r="AI305" s="143"/>
      <c r="AJ305" s="143"/>
      <c r="AK305" s="143"/>
      <c r="AL305" s="143"/>
      <c r="AM305" s="143"/>
    </row>
    <row r="306" spans="1:39" ht="12.75" customHeight="1" x14ac:dyDescent="0.25">
      <c r="A306" s="143"/>
      <c r="B306" s="151"/>
      <c r="C306" s="152" t="s">
        <v>394</v>
      </c>
      <c r="D306" s="152" t="s">
        <v>395</v>
      </c>
      <c r="E306" s="152" t="s">
        <v>235</v>
      </c>
      <c r="F306" s="161">
        <v>27576</v>
      </c>
      <c r="G306" s="152" t="s">
        <v>225</v>
      </c>
      <c r="H306" s="174">
        <v>139400</v>
      </c>
      <c r="I306" s="152" t="s">
        <v>311</v>
      </c>
      <c r="J306" s="221">
        <f t="shared" si="71"/>
        <v>3844.0944</v>
      </c>
      <c r="K306" s="296">
        <v>309</v>
      </c>
      <c r="L306" s="293">
        <v>0.02</v>
      </c>
      <c r="M306" s="293">
        <v>2E-3</v>
      </c>
      <c r="N306" s="143"/>
      <c r="O306" s="143"/>
      <c r="P306" s="143"/>
      <c r="Q306" s="143"/>
      <c r="R306" s="143"/>
      <c r="S306" s="143"/>
      <c r="T306" s="143"/>
      <c r="U306" s="143"/>
      <c r="V306" s="143"/>
      <c r="W306" s="143"/>
      <c r="X306" s="143"/>
      <c r="Y306" s="143"/>
      <c r="Z306" s="143"/>
      <c r="AA306" s="143"/>
      <c r="AB306" s="143"/>
      <c r="AC306" s="143"/>
      <c r="AD306" s="143"/>
      <c r="AE306" s="143"/>
      <c r="AF306" s="143"/>
      <c r="AG306" s="143"/>
      <c r="AH306" s="143"/>
      <c r="AI306" s="143"/>
      <c r="AJ306" s="143"/>
      <c r="AK306" s="143"/>
      <c r="AL306" s="143"/>
      <c r="AM306" s="143"/>
    </row>
    <row r="307" spans="1:39" ht="12.75" customHeight="1" x14ac:dyDescent="0.35">
      <c r="A307" s="143"/>
      <c r="B307" s="151"/>
      <c r="C307" s="152" t="s">
        <v>396</v>
      </c>
      <c r="D307" s="152" t="s">
        <v>397</v>
      </c>
      <c r="E307" s="152" t="s">
        <v>235</v>
      </c>
      <c r="F307" s="161">
        <v>12996</v>
      </c>
      <c r="G307" s="152" t="s">
        <v>225</v>
      </c>
      <c r="H307" s="174">
        <v>138600</v>
      </c>
      <c r="I307" s="152" t="s">
        <v>311</v>
      </c>
      <c r="J307" s="221">
        <f t="shared" si="71"/>
        <v>1801.2456</v>
      </c>
      <c r="K307" s="296">
        <v>148</v>
      </c>
      <c r="L307" s="293">
        <v>0.01</v>
      </c>
      <c r="M307" s="293">
        <v>1E-3</v>
      </c>
      <c r="N307" s="143"/>
      <c r="O307" s="143" t="s">
        <v>637</v>
      </c>
      <c r="P307" s="143"/>
      <c r="Q307" s="143"/>
      <c r="R307" s="143"/>
      <c r="S307" s="143"/>
      <c r="T307" s="143"/>
      <c r="U307" s="143"/>
      <c r="V307" s="143"/>
      <c r="W307" s="143"/>
      <c r="X307" s="143"/>
      <c r="Y307" s="143"/>
      <c r="Z307" s="143"/>
      <c r="AA307" s="143"/>
      <c r="AB307" s="143"/>
      <c r="AC307" s="143"/>
      <c r="AD307" s="143"/>
      <c r="AE307" s="143"/>
      <c r="AF307" s="143"/>
      <c r="AG307" s="143"/>
      <c r="AH307" s="143"/>
      <c r="AI307" s="143"/>
      <c r="AJ307" s="143"/>
      <c r="AK307" s="143"/>
      <c r="AL307" s="143"/>
      <c r="AM307" s="143"/>
    </row>
    <row r="308" spans="1:39" ht="12.75" customHeight="1" x14ac:dyDescent="0.25">
      <c r="A308" s="143"/>
      <c r="B308" s="151"/>
      <c r="C308" s="152" t="s">
        <v>398</v>
      </c>
      <c r="D308" s="152" t="s">
        <v>399</v>
      </c>
      <c r="E308" s="152" t="s">
        <v>235</v>
      </c>
      <c r="F308" s="161">
        <v>258</v>
      </c>
      <c r="G308" s="152" t="s">
        <v>225</v>
      </c>
      <c r="H308" s="174">
        <v>138500</v>
      </c>
      <c r="I308" s="152" t="s">
        <v>311</v>
      </c>
      <c r="J308" s="221">
        <f t="shared" si="71"/>
        <v>35.732999999999997</v>
      </c>
      <c r="K308" s="296">
        <v>3</v>
      </c>
      <c r="L308" s="293">
        <v>1E-4</v>
      </c>
      <c r="M308" s="293">
        <v>2.0000000000000002E-5</v>
      </c>
      <c r="N308" s="143"/>
      <c r="O308" s="143"/>
      <c r="P308" s="143"/>
      <c r="Q308" s="143"/>
      <c r="R308" s="143"/>
      <c r="S308" s="143"/>
      <c r="T308" s="143"/>
      <c r="U308" s="143"/>
      <c r="V308" s="143"/>
      <c r="W308" s="143"/>
      <c r="X308" s="143"/>
      <c r="Y308" s="143"/>
      <c r="Z308" s="143"/>
      <c r="AA308" s="143"/>
      <c r="AB308" s="143"/>
      <c r="AC308" s="143"/>
      <c r="AD308" s="143"/>
      <c r="AE308" s="143"/>
      <c r="AF308" s="143"/>
      <c r="AG308" s="143"/>
      <c r="AH308" s="143"/>
      <c r="AI308" s="143"/>
      <c r="AJ308" s="143"/>
      <c r="AK308" s="143"/>
      <c r="AL308" s="143"/>
      <c r="AM308" s="143"/>
    </row>
    <row r="309" spans="1:39" ht="12.75" customHeight="1" x14ac:dyDescent="0.25">
      <c r="A309" s="143"/>
      <c r="B309" s="151"/>
      <c r="C309" s="152"/>
      <c r="D309" s="152"/>
      <c r="E309" s="152"/>
      <c r="F309" s="152"/>
      <c r="G309" s="152"/>
      <c r="H309" s="152"/>
      <c r="I309" s="152"/>
      <c r="J309" s="174"/>
      <c r="K309" s="152"/>
      <c r="L309" s="152"/>
      <c r="M309" s="154"/>
      <c r="N309" s="143"/>
      <c r="O309" s="143" t="s">
        <v>638</v>
      </c>
      <c r="P309" s="143"/>
      <c r="Q309" s="143"/>
      <c r="R309" s="143"/>
      <c r="S309" s="143"/>
      <c r="T309" s="143"/>
      <c r="U309" s="143"/>
      <c r="V309" s="143"/>
      <c r="W309" s="143"/>
      <c r="X309" s="143"/>
      <c r="Y309" s="143"/>
      <c r="Z309" s="143"/>
      <c r="AA309" s="143"/>
      <c r="AB309" s="143"/>
      <c r="AC309" s="143"/>
      <c r="AD309" s="143"/>
      <c r="AE309" s="143"/>
      <c r="AF309" s="143"/>
      <c r="AG309" s="143"/>
      <c r="AH309" s="143"/>
      <c r="AI309" s="143"/>
      <c r="AJ309" s="143"/>
      <c r="AK309" s="143"/>
      <c r="AL309" s="143"/>
      <c r="AM309" s="143"/>
    </row>
    <row r="310" spans="1:39" ht="12.75" customHeight="1" x14ac:dyDescent="0.25">
      <c r="A310" s="143"/>
      <c r="B310" s="155"/>
      <c r="C310" s="190"/>
      <c r="D310" s="190"/>
      <c r="E310" s="190"/>
      <c r="F310" s="190"/>
      <c r="G310" s="190"/>
      <c r="H310" s="190"/>
      <c r="I310" s="190"/>
      <c r="J310" s="190"/>
      <c r="K310" s="190"/>
      <c r="L310" s="190"/>
      <c r="M310" s="208"/>
      <c r="N310" s="143"/>
      <c r="O310" s="143"/>
      <c r="P310" s="467" t="s">
        <v>639</v>
      </c>
      <c r="Q310" s="467" t="s">
        <v>640</v>
      </c>
      <c r="R310" s="467" t="s">
        <v>641</v>
      </c>
      <c r="S310" s="467" t="s">
        <v>642</v>
      </c>
      <c r="T310" s="143"/>
      <c r="U310" s="143"/>
      <c r="V310" s="143"/>
      <c r="W310" s="143"/>
      <c r="X310" s="143"/>
      <c r="Y310" s="143"/>
      <c r="Z310" s="143"/>
      <c r="AA310" s="143"/>
      <c r="AB310" s="143"/>
      <c r="AC310" s="143"/>
      <c r="AD310" s="143"/>
      <c r="AE310" s="143"/>
      <c r="AF310" s="143"/>
      <c r="AG310" s="143"/>
      <c r="AH310" s="143"/>
      <c r="AI310" s="143"/>
      <c r="AJ310" s="143"/>
      <c r="AK310" s="143"/>
      <c r="AL310" s="143"/>
      <c r="AM310" s="143"/>
    </row>
    <row r="311" spans="1:39" ht="12.75" customHeight="1" x14ac:dyDescent="0.25">
      <c r="A311" s="143"/>
      <c r="B311" s="151" t="s">
        <v>410</v>
      </c>
      <c r="C311" s="179" t="s">
        <v>411</v>
      </c>
      <c r="D311" s="152"/>
      <c r="E311" s="152"/>
      <c r="F311" s="152"/>
      <c r="G311" s="152"/>
      <c r="H311" s="152"/>
      <c r="I311" s="152"/>
      <c r="J311" s="152"/>
      <c r="K311" s="152"/>
      <c r="L311" s="152"/>
      <c r="M311" s="154"/>
      <c r="N311" s="143"/>
      <c r="O311" s="143"/>
      <c r="P311" s="468">
        <v>43</v>
      </c>
      <c r="Q311" s="468">
        <v>79</v>
      </c>
      <c r="R311" s="468">
        <v>1081.0999999999999</v>
      </c>
      <c r="S311" s="469">
        <f t="shared" ref="S311:S314" si="72">Q311*R311/2000</f>
        <v>42.703449999999997</v>
      </c>
      <c r="T311" s="143"/>
      <c r="U311" s="143"/>
      <c r="V311" s="143"/>
      <c r="W311" s="143"/>
      <c r="X311" s="143"/>
      <c r="Y311" s="143"/>
      <c r="Z311" s="143"/>
      <c r="AA311" s="143"/>
      <c r="AB311" s="143"/>
      <c r="AC311" s="143"/>
      <c r="AD311" s="143"/>
      <c r="AE311" s="143"/>
      <c r="AF311" s="143"/>
      <c r="AG311" s="143"/>
      <c r="AH311" s="143"/>
      <c r="AI311" s="143"/>
      <c r="AJ311" s="143"/>
      <c r="AK311" s="143"/>
      <c r="AL311" s="143"/>
      <c r="AM311" s="143"/>
    </row>
    <row r="312" spans="1:39" ht="12.75" customHeight="1" x14ac:dyDescent="0.25">
      <c r="A312" s="143"/>
      <c r="B312" s="151"/>
      <c r="C312" s="152" t="s">
        <v>412</v>
      </c>
      <c r="D312" s="152" t="s">
        <v>413</v>
      </c>
      <c r="E312" s="152" t="s">
        <v>409</v>
      </c>
      <c r="F312" s="221">
        <v>3602.4</v>
      </c>
      <c r="G312" s="152" t="s">
        <v>225</v>
      </c>
      <c r="H312" s="174">
        <v>152802</v>
      </c>
      <c r="I312" s="152" t="s">
        <v>311</v>
      </c>
      <c r="J312" s="221">
        <f t="shared" ref="J312:J316" si="73">F312*H312/1000000</f>
        <v>550.4539248000001</v>
      </c>
      <c r="K312" s="272">
        <v>43</v>
      </c>
      <c r="L312" s="290">
        <v>2.5000000000000001E-3</v>
      </c>
      <c r="M312" s="236">
        <v>1E-4</v>
      </c>
      <c r="N312" s="143"/>
      <c r="O312" s="143"/>
      <c r="P312" s="468">
        <v>43</v>
      </c>
      <c r="Q312" s="468">
        <v>79</v>
      </c>
      <c r="R312" s="468">
        <v>1081.0999999999999</v>
      </c>
      <c r="S312" s="469">
        <f t="shared" si="72"/>
        <v>42.703449999999997</v>
      </c>
      <c r="T312" s="143"/>
      <c r="U312" s="143"/>
      <c r="V312" s="143"/>
      <c r="W312" s="143"/>
      <c r="X312" s="143"/>
      <c r="Y312" s="143"/>
      <c r="Z312" s="143"/>
      <c r="AA312" s="143"/>
      <c r="AB312" s="143"/>
      <c r="AC312" s="143"/>
      <c r="AD312" s="143"/>
      <c r="AE312" s="143"/>
      <c r="AF312" s="143"/>
      <c r="AG312" s="143"/>
      <c r="AH312" s="143"/>
      <c r="AI312" s="143"/>
      <c r="AJ312" s="143"/>
      <c r="AK312" s="143"/>
      <c r="AL312" s="143"/>
      <c r="AM312" s="143"/>
    </row>
    <row r="313" spans="1:39" ht="12.75" customHeight="1" x14ac:dyDescent="0.25">
      <c r="A313" s="143"/>
      <c r="B313" s="151"/>
      <c r="C313" s="152" t="s">
        <v>414</v>
      </c>
      <c r="D313" s="152" t="s">
        <v>415</v>
      </c>
      <c r="E313" s="152" t="s">
        <v>409</v>
      </c>
      <c r="F313" s="221">
        <v>3602.4</v>
      </c>
      <c r="G313" s="152" t="s">
        <v>225</v>
      </c>
      <c r="H313" s="174">
        <v>152802</v>
      </c>
      <c r="I313" s="152" t="s">
        <v>311</v>
      </c>
      <c r="J313" s="221">
        <f t="shared" si="73"/>
        <v>550.4539248000001</v>
      </c>
      <c r="K313" s="272">
        <v>43</v>
      </c>
      <c r="L313" s="290">
        <v>2.5000000000000001E-3</v>
      </c>
      <c r="M313" s="236">
        <v>1E-4</v>
      </c>
      <c r="N313" s="143"/>
      <c r="O313" s="143"/>
      <c r="P313" s="468">
        <v>43</v>
      </c>
      <c r="Q313" s="468">
        <v>79</v>
      </c>
      <c r="R313" s="468">
        <v>1081.0999999999999</v>
      </c>
      <c r="S313" s="469">
        <f t="shared" si="72"/>
        <v>42.703449999999997</v>
      </c>
      <c r="T313" s="143"/>
      <c r="U313" s="143"/>
      <c r="V313" s="143"/>
      <c r="W313" s="143"/>
      <c r="X313" s="143"/>
      <c r="Y313" s="143"/>
      <c r="Z313" s="143"/>
      <c r="AA313" s="143"/>
      <c r="AB313" s="143"/>
      <c r="AC313" s="143"/>
      <c r="AD313" s="143"/>
      <c r="AE313" s="143"/>
      <c r="AF313" s="143"/>
      <c r="AG313" s="143"/>
      <c r="AH313" s="143"/>
      <c r="AI313" s="143"/>
      <c r="AJ313" s="143"/>
      <c r="AK313" s="143"/>
      <c r="AL313" s="143"/>
      <c r="AM313" s="143"/>
    </row>
    <row r="314" spans="1:39" ht="12.75" customHeight="1" x14ac:dyDescent="0.25">
      <c r="A314" s="143"/>
      <c r="B314" s="151"/>
      <c r="C314" s="152" t="s">
        <v>416</v>
      </c>
      <c r="D314" s="152" t="s">
        <v>417</v>
      </c>
      <c r="E314" s="152" t="s">
        <v>409</v>
      </c>
      <c r="F314" s="221">
        <v>3602.4</v>
      </c>
      <c r="G314" s="152" t="s">
        <v>225</v>
      </c>
      <c r="H314" s="174">
        <v>152802</v>
      </c>
      <c r="I314" s="152" t="s">
        <v>311</v>
      </c>
      <c r="J314" s="221">
        <f t="shared" si="73"/>
        <v>550.4539248000001</v>
      </c>
      <c r="K314" s="272">
        <v>43</v>
      </c>
      <c r="L314" s="290">
        <v>2.5000000000000001E-3</v>
      </c>
      <c r="M314" s="236">
        <v>1E-4</v>
      </c>
      <c r="N314" s="143"/>
      <c r="O314" s="143"/>
      <c r="P314" s="468">
        <v>43</v>
      </c>
      <c r="Q314" s="468">
        <v>79</v>
      </c>
      <c r="R314" s="468">
        <v>1081.0999999999999</v>
      </c>
      <c r="S314" s="469">
        <f t="shared" si="72"/>
        <v>42.703449999999997</v>
      </c>
      <c r="T314" s="143"/>
      <c r="U314" s="143"/>
      <c r="V314" s="143"/>
      <c r="W314" s="143"/>
      <c r="X314" s="143"/>
      <c r="Y314" s="143"/>
      <c r="Z314" s="143"/>
      <c r="AA314" s="143"/>
      <c r="AB314" s="143"/>
      <c r="AC314" s="143"/>
      <c r="AD314" s="143"/>
      <c r="AE314" s="143"/>
      <c r="AF314" s="143"/>
      <c r="AG314" s="143"/>
      <c r="AH314" s="143"/>
      <c r="AI314" s="143"/>
      <c r="AJ314" s="143"/>
      <c r="AK314" s="143"/>
      <c r="AL314" s="143"/>
      <c r="AM314" s="143"/>
    </row>
    <row r="315" spans="1:39" ht="12.75" customHeight="1" x14ac:dyDescent="0.25">
      <c r="A315" s="143"/>
      <c r="B315" s="151"/>
      <c r="C315" s="152" t="s">
        <v>418</v>
      </c>
      <c r="D315" s="152" t="s">
        <v>419</v>
      </c>
      <c r="E315" s="152" t="s">
        <v>409</v>
      </c>
      <c r="F315" s="221">
        <v>3602.4</v>
      </c>
      <c r="G315" s="152" t="s">
        <v>225</v>
      </c>
      <c r="H315" s="174">
        <v>152802</v>
      </c>
      <c r="I315" s="152" t="s">
        <v>311</v>
      </c>
      <c r="J315" s="221">
        <f t="shared" si="73"/>
        <v>550.4539248000001</v>
      </c>
      <c r="K315" s="272">
        <v>43</v>
      </c>
      <c r="L315" s="290">
        <v>2.5000000000000001E-3</v>
      </c>
      <c r="M315" s="236">
        <v>1E-4</v>
      </c>
      <c r="N315" s="143"/>
      <c r="O315" s="143"/>
      <c r="P315" s="470"/>
      <c r="Q315" s="470"/>
      <c r="R315" s="470"/>
      <c r="S315" s="470"/>
      <c r="T315" s="143"/>
      <c r="U315" s="143"/>
      <c r="V315" s="143"/>
      <c r="W315" s="143"/>
      <c r="X315" s="143"/>
      <c r="Y315" s="143"/>
      <c r="Z315" s="143"/>
      <c r="AA315" s="143"/>
      <c r="AB315" s="143"/>
      <c r="AC315" s="143"/>
      <c r="AD315" s="143"/>
      <c r="AE315" s="143"/>
      <c r="AF315" s="143"/>
      <c r="AG315" s="143"/>
      <c r="AH315" s="143"/>
      <c r="AI315" s="143"/>
      <c r="AJ315" s="143"/>
      <c r="AK315" s="143"/>
      <c r="AL315" s="143"/>
      <c r="AM315" s="143"/>
    </row>
    <row r="316" spans="1:39" ht="12.75" customHeight="1" x14ac:dyDescent="0.25">
      <c r="A316" s="143"/>
      <c r="B316" s="151"/>
      <c r="C316" s="152" t="s">
        <v>420</v>
      </c>
      <c r="D316" s="152" t="s">
        <v>421</v>
      </c>
      <c r="E316" s="152" t="s">
        <v>409</v>
      </c>
      <c r="F316" s="221">
        <v>3602.4</v>
      </c>
      <c r="G316" s="152" t="s">
        <v>225</v>
      </c>
      <c r="H316" s="174">
        <v>152802</v>
      </c>
      <c r="I316" s="152" t="s">
        <v>311</v>
      </c>
      <c r="J316" s="221">
        <f t="shared" si="73"/>
        <v>550.4539248000001</v>
      </c>
      <c r="K316" s="272">
        <v>43</v>
      </c>
      <c r="L316" s="290">
        <v>2.5000000000000001E-3</v>
      </c>
      <c r="M316" s="236">
        <v>1E-4</v>
      </c>
      <c r="N316" s="143"/>
      <c r="O316" s="143"/>
      <c r="P316" s="143"/>
      <c r="Q316" s="143"/>
      <c r="R316" s="143"/>
      <c r="S316" s="143"/>
      <c r="T316" s="143"/>
      <c r="U316" s="143"/>
      <c r="V316" s="143"/>
      <c r="W316" s="143"/>
      <c r="X316" s="143"/>
      <c r="Y316" s="143"/>
      <c r="Z316" s="143"/>
      <c r="AA316" s="143"/>
      <c r="AB316" s="143"/>
      <c r="AC316" s="143"/>
      <c r="AD316" s="143"/>
      <c r="AE316" s="143"/>
      <c r="AF316" s="143"/>
      <c r="AG316" s="143"/>
      <c r="AH316" s="143"/>
      <c r="AI316" s="143"/>
      <c r="AJ316" s="143"/>
      <c r="AK316" s="143"/>
      <c r="AL316" s="143"/>
      <c r="AM316" s="143"/>
    </row>
    <row r="317" spans="1:39" ht="12.75" customHeight="1" x14ac:dyDescent="0.25">
      <c r="A317" s="143"/>
      <c r="B317" s="151"/>
      <c r="C317" s="152"/>
      <c r="D317" s="152"/>
      <c r="E317" s="152"/>
      <c r="F317" s="152"/>
      <c r="G317" s="152"/>
      <c r="H317" s="152"/>
      <c r="I317" s="152"/>
      <c r="J317" s="152"/>
      <c r="K317" s="304"/>
      <c r="L317" s="304"/>
      <c r="M317" s="305"/>
      <c r="N317" s="143"/>
      <c r="O317" s="143"/>
      <c r="P317" s="143"/>
      <c r="Q317" s="143"/>
      <c r="R317" s="143"/>
      <c r="S317" s="143"/>
      <c r="T317" s="143"/>
      <c r="U317" s="143"/>
      <c r="V317" s="143"/>
      <c r="W317" s="143"/>
      <c r="X317" s="143"/>
      <c r="Y317" s="143"/>
      <c r="Z317" s="143"/>
      <c r="AA317" s="143"/>
      <c r="AB317" s="143"/>
      <c r="AC317" s="143"/>
      <c r="AD317" s="143"/>
      <c r="AE317" s="143"/>
      <c r="AF317" s="143"/>
      <c r="AG317" s="143"/>
      <c r="AH317" s="143"/>
      <c r="AI317" s="143"/>
      <c r="AJ317" s="143"/>
      <c r="AK317" s="143"/>
      <c r="AL317" s="143"/>
      <c r="AM317" s="143"/>
    </row>
    <row r="318" spans="1:39" ht="12.75" customHeight="1" x14ac:dyDescent="0.25">
      <c r="A318" s="143"/>
      <c r="B318" s="166"/>
      <c r="C318" s="167"/>
      <c r="D318" s="167"/>
      <c r="E318" s="167"/>
      <c r="F318" s="167"/>
      <c r="G318" s="167"/>
      <c r="H318" s="167"/>
      <c r="I318" s="167"/>
      <c r="J318" s="167"/>
      <c r="K318" s="167"/>
      <c r="L318" s="167"/>
      <c r="M318" s="219"/>
      <c r="N318" s="143"/>
      <c r="O318" s="143"/>
      <c r="P318" s="467" t="s">
        <v>639</v>
      </c>
      <c r="Q318" s="467" t="s">
        <v>640</v>
      </c>
      <c r="R318" s="467" t="s">
        <v>643</v>
      </c>
      <c r="S318" s="467" t="s">
        <v>644</v>
      </c>
      <c r="T318" s="143"/>
      <c r="U318" s="143"/>
      <c r="V318" s="143"/>
      <c r="W318" s="143"/>
      <c r="X318" s="143"/>
      <c r="Y318" s="143"/>
      <c r="Z318" s="143"/>
      <c r="AA318" s="143"/>
      <c r="AB318" s="143"/>
      <c r="AC318" s="143"/>
      <c r="AD318" s="143"/>
      <c r="AE318" s="143"/>
      <c r="AF318" s="143"/>
      <c r="AG318" s="143"/>
      <c r="AH318" s="143"/>
      <c r="AI318" s="143"/>
      <c r="AJ318" s="143"/>
      <c r="AK318" s="143"/>
      <c r="AL318" s="143"/>
      <c r="AM318" s="143"/>
    </row>
    <row r="319" spans="1:39" ht="12.75" customHeight="1" x14ac:dyDescent="0.25">
      <c r="A319" s="143"/>
      <c r="B319" s="151"/>
      <c r="C319" s="152"/>
      <c r="D319" s="152"/>
      <c r="E319" s="152"/>
      <c r="F319" s="152"/>
      <c r="G319" s="152"/>
      <c r="H319" s="152"/>
      <c r="I319" s="152"/>
      <c r="J319" s="152"/>
      <c r="K319" s="152"/>
      <c r="L319" s="152"/>
      <c r="M319" s="154"/>
      <c r="N319" s="143"/>
      <c r="O319" s="143" t="s">
        <v>645</v>
      </c>
      <c r="P319" s="467">
        <v>43</v>
      </c>
      <c r="Q319" s="467">
        <v>79</v>
      </c>
      <c r="R319" s="467">
        <v>45.6</v>
      </c>
      <c r="S319" s="471">
        <f t="shared" ref="S319:S320" si="74">Q319*R319</f>
        <v>3602.4</v>
      </c>
      <c r="T319" s="143"/>
      <c r="U319" s="143"/>
      <c r="V319" s="143"/>
      <c r="W319" s="143"/>
      <c r="X319" s="143"/>
      <c r="Y319" s="143"/>
      <c r="Z319" s="143"/>
      <c r="AA319" s="143"/>
      <c r="AB319" s="143"/>
      <c r="AC319" s="143"/>
      <c r="AD319" s="143"/>
      <c r="AE319" s="143"/>
      <c r="AF319" s="143"/>
      <c r="AG319" s="143"/>
      <c r="AH319" s="143"/>
      <c r="AI319" s="143"/>
      <c r="AJ319" s="143"/>
      <c r="AK319" s="143"/>
      <c r="AL319" s="143"/>
      <c r="AM319" s="143"/>
    </row>
    <row r="320" spans="1:39" ht="12.75" customHeight="1" x14ac:dyDescent="0.25">
      <c r="A320" s="143"/>
      <c r="B320" s="151" t="s">
        <v>422</v>
      </c>
      <c r="C320" s="179" t="s">
        <v>423</v>
      </c>
      <c r="D320" s="152"/>
      <c r="E320" s="152"/>
      <c r="F320" s="152"/>
      <c r="G320" s="152"/>
      <c r="H320" s="152"/>
      <c r="I320" s="152"/>
      <c r="J320" s="152"/>
      <c r="K320" s="152"/>
      <c r="L320" s="152"/>
      <c r="M320" s="154"/>
      <c r="N320" s="143"/>
      <c r="O320" s="143"/>
      <c r="P320" s="467">
        <v>43</v>
      </c>
      <c r="Q320" s="467">
        <v>79</v>
      </c>
      <c r="R320" s="467">
        <v>45.6</v>
      </c>
      <c r="S320" s="471">
        <f t="shared" si="74"/>
        <v>3602.4</v>
      </c>
      <c r="T320" s="143"/>
      <c r="U320" s="143"/>
      <c r="V320" s="143"/>
      <c r="W320" s="143"/>
      <c r="X320" s="143"/>
      <c r="Y320" s="143"/>
      <c r="Z320" s="143"/>
      <c r="AA320" s="143"/>
      <c r="AB320" s="143"/>
      <c r="AC320" s="143"/>
      <c r="AD320" s="143"/>
      <c r="AE320" s="143"/>
      <c r="AF320" s="143"/>
      <c r="AG320" s="143"/>
      <c r="AH320" s="143"/>
      <c r="AI320" s="143"/>
      <c r="AJ320" s="143"/>
      <c r="AK320" s="143"/>
      <c r="AL320" s="143"/>
      <c r="AM320" s="143"/>
    </row>
    <row r="321" spans="1:39" ht="12.75" customHeight="1" x14ac:dyDescent="0.25">
      <c r="A321" s="143"/>
      <c r="B321" s="151"/>
      <c r="C321" s="152" t="s">
        <v>467</v>
      </c>
      <c r="D321" s="152" t="s">
        <v>483</v>
      </c>
      <c r="E321" s="152" t="s">
        <v>439</v>
      </c>
      <c r="F321" s="161">
        <f>12714400000</f>
        <v>12714400000</v>
      </c>
      <c r="G321" s="152" t="s">
        <v>437</v>
      </c>
      <c r="H321" s="152">
        <v>1.0549999999999999</v>
      </c>
      <c r="I321" s="152" t="s">
        <v>484</v>
      </c>
      <c r="J321" s="243">
        <v>13413692</v>
      </c>
      <c r="K321" s="161">
        <v>829773</v>
      </c>
      <c r="L321" s="272">
        <f>14.8</f>
        <v>14.8</v>
      </c>
      <c r="M321" s="307">
        <f>1.48</f>
        <v>1.48</v>
      </c>
      <c r="N321" s="143"/>
      <c r="O321" s="143"/>
      <c r="P321" s="143"/>
      <c r="Q321" s="143"/>
      <c r="R321" s="143"/>
      <c r="S321" s="143"/>
      <c r="T321" s="143"/>
      <c r="U321" s="143"/>
      <c r="V321" s="143"/>
      <c r="W321" s="143"/>
      <c r="X321" s="143"/>
      <c r="Y321" s="143"/>
      <c r="Z321" s="143"/>
      <c r="AA321" s="143"/>
      <c r="AB321" s="143"/>
      <c r="AC321" s="143"/>
      <c r="AD321" s="143"/>
      <c r="AE321" s="143"/>
      <c r="AF321" s="143"/>
      <c r="AG321" s="143"/>
      <c r="AH321" s="143"/>
      <c r="AI321" s="143"/>
      <c r="AJ321" s="143"/>
      <c r="AK321" s="143"/>
      <c r="AL321" s="143"/>
      <c r="AM321" s="143"/>
    </row>
    <row r="322" spans="1:39" ht="12.75" customHeight="1" x14ac:dyDescent="0.25">
      <c r="A322" s="143"/>
      <c r="B322" s="151"/>
      <c r="C322" s="152" t="s">
        <v>485</v>
      </c>
      <c r="D322" s="152" t="s">
        <v>486</v>
      </c>
      <c r="E322" s="152"/>
      <c r="F322" s="161">
        <f>11615600000</f>
        <v>11615600000</v>
      </c>
      <c r="G322" s="152" t="s">
        <v>437</v>
      </c>
      <c r="H322" s="152">
        <v>1.0549999999999999</v>
      </c>
      <c r="I322" s="152" t="s">
        <v>484</v>
      </c>
      <c r="J322" s="243">
        <v>12254458</v>
      </c>
      <c r="K322" s="161">
        <v>757235</v>
      </c>
      <c r="L322" s="272">
        <f>13.5</f>
        <v>13.5</v>
      </c>
      <c r="M322" s="307">
        <f>1.35</f>
        <v>1.35</v>
      </c>
      <c r="N322" s="143"/>
      <c r="O322" s="143"/>
      <c r="P322" s="143"/>
      <c r="Q322" s="143"/>
      <c r="R322" s="143"/>
      <c r="S322" s="143"/>
      <c r="T322" s="143"/>
      <c r="U322" s="143"/>
      <c r="V322" s="143"/>
      <c r="W322" s="143"/>
      <c r="X322" s="143"/>
      <c r="Y322" s="143"/>
      <c r="Z322" s="143"/>
      <c r="AA322" s="143"/>
      <c r="AB322" s="143"/>
      <c r="AC322" s="143"/>
      <c r="AD322" s="143"/>
      <c r="AE322" s="143"/>
      <c r="AF322" s="143"/>
      <c r="AG322" s="143"/>
      <c r="AH322" s="143"/>
      <c r="AI322" s="143"/>
      <c r="AJ322" s="143"/>
      <c r="AK322" s="143"/>
      <c r="AL322" s="143"/>
      <c r="AM322" s="143"/>
    </row>
    <row r="323" spans="1:39" ht="12.75" customHeight="1" x14ac:dyDescent="0.25">
      <c r="A323" s="143"/>
      <c r="B323" s="151"/>
      <c r="C323" s="152" t="s">
        <v>487</v>
      </c>
      <c r="D323" s="152" t="s">
        <v>488</v>
      </c>
      <c r="E323" s="152"/>
      <c r="F323" s="161">
        <f>9023000</f>
        <v>9023000</v>
      </c>
      <c r="G323" s="152" t="s">
        <v>437</v>
      </c>
      <c r="H323" s="152">
        <v>1.0549999999999999</v>
      </c>
      <c r="I323" s="152" t="s">
        <v>484</v>
      </c>
      <c r="J323" s="243">
        <v>9519</v>
      </c>
      <c r="K323" s="161">
        <v>565</v>
      </c>
      <c r="L323" s="272">
        <f>0.0105</f>
        <v>1.0500000000000001E-2</v>
      </c>
      <c r="M323" s="307">
        <f>0.00105</f>
        <v>1.0499999999999999E-3</v>
      </c>
      <c r="N323" s="143"/>
      <c r="O323" s="143"/>
      <c r="T323" s="143"/>
      <c r="U323" s="143"/>
      <c r="V323" s="143"/>
      <c r="W323" s="143"/>
      <c r="X323" s="143"/>
      <c r="Y323" s="143"/>
      <c r="Z323" s="143"/>
      <c r="AA323" s="143"/>
      <c r="AB323" s="143"/>
      <c r="AC323" s="143"/>
      <c r="AD323" s="143"/>
      <c r="AE323" s="143"/>
      <c r="AF323" s="143"/>
      <c r="AG323" s="143"/>
      <c r="AH323" s="143"/>
      <c r="AI323" s="143"/>
      <c r="AJ323" s="143"/>
      <c r="AK323" s="143"/>
      <c r="AL323" s="143"/>
      <c r="AM323" s="143"/>
    </row>
    <row r="324" spans="1:39" ht="12.75" customHeight="1" x14ac:dyDescent="0.25">
      <c r="A324" s="143"/>
      <c r="B324" s="151"/>
      <c r="C324" s="152" t="s">
        <v>489</v>
      </c>
      <c r="D324" s="152" t="s">
        <v>490</v>
      </c>
      <c r="E324" s="152"/>
      <c r="F324" s="161">
        <f>5154000</f>
        <v>5154000</v>
      </c>
      <c r="G324" s="152" t="s">
        <v>437</v>
      </c>
      <c r="H324" s="152">
        <v>1.0549999999999999</v>
      </c>
      <c r="I324" s="152" t="s">
        <v>484</v>
      </c>
      <c r="J324" s="243">
        <v>5437</v>
      </c>
      <c r="K324" s="161">
        <v>318</v>
      </c>
      <c r="L324" s="272">
        <f>0.00599</f>
        <v>5.9899999999999997E-3</v>
      </c>
      <c r="M324" s="307">
        <f>0.000599</f>
        <v>5.9900000000000003E-4</v>
      </c>
      <c r="N324" s="143"/>
      <c r="O324" s="143"/>
      <c r="T324" s="143"/>
      <c r="U324" s="143"/>
      <c r="V324" s="143"/>
      <c r="W324" s="143"/>
      <c r="X324" s="143"/>
      <c r="Y324" s="143"/>
      <c r="Z324" s="143"/>
      <c r="AA324" s="143"/>
      <c r="AB324" s="143"/>
      <c r="AC324" s="143"/>
      <c r="AD324" s="143"/>
      <c r="AE324" s="143"/>
      <c r="AF324" s="143"/>
      <c r="AG324" s="143"/>
      <c r="AH324" s="143"/>
      <c r="AI324" s="143"/>
      <c r="AJ324" s="143"/>
      <c r="AK324" s="143"/>
      <c r="AL324" s="143"/>
      <c r="AM324" s="143"/>
    </row>
    <row r="325" spans="1:39" ht="12.75" customHeight="1" x14ac:dyDescent="0.25">
      <c r="A325" s="143"/>
      <c r="B325" s="151"/>
      <c r="C325" s="152" t="s">
        <v>424</v>
      </c>
      <c r="D325" s="152" t="s">
        <v>425</v>
      </c>
      <c r="E325" s="152" t="s">
        <v>409</v>
      </c>
      <c r="F325" s="161">
        <v>1830</v>
      </c>
      <c r="G325" s="152" t="s">
        <v>225</v>
      </c>
      <c r="H325" s="174">
        <v>137030</v>
      </c>
      <c r="I325" s="152" t="s">
        <v>311</v>
      </c>
      <c r="J325" s="306">
        <v>250.27</v>
      </c>
      <c r="K325" s="161">
        <v>20</v>
      </c>
      <c r="L325" s="272">
        <f>0.000829</f>
        <v>8.2899999999999998E-4</v>
      </c>
      <c r="M325" s="307">
        <f>0.000166</f>
        <v>1.66E-4</v>
      </c>
      <c r="N325" s="143"/>
      <c r="O325" s="143"/>
      <c r="T325" s="143"/>
      <c r="U325" s="143"/>
      <c r="V325" s="143"/>
      <c r="W325" s="143"/>
      <c r="X325" s="143"/>
      <c r="Y325" s="143"/>
      <c r="Z325" s="143"/>
      <c r="AA325" s="143"/>
      <c r="AB325" s="143"/>
      <c r="AC325" s="143"/>
      <c r="AD325" s="143"/>
      <c r="AE325" s="143"/>
      <c r="AF325" s="143"/>
      <c r="AG325" s="143"/>
      <c r="AH325" s="143"/>
      <c r="AI325" s="143"/>
      <c r="AJ325" s="143"/>
      <c r="AK325" s="143"/>
      <c r="AL325" s="143"/>
      <c r="AM325" s="143"/>
    </row>
    <row r="326" spans="1:39" ht="12.75" customHeight="1" x14ac:dyDescent="0.25">
      <c r="A326" s="143"/>
      <c r="B326" s="151"/>
      <c r="C326" s="152"/>
      <c r="D326" s="152"/>
      <c r="E326" s="152"/>
      <c r="F326" s="152"/>
      <c r="G326" s="152"/>
      <c r="H326" s="152"/>
      <c r="I326" s="152"/>
      <c r="J326" s="152"/>
      <c r="K326" s="152"/>
      <c r="L326" s="152"/>
      <c r="M326" s="154"/>
      <c r="N326" s="143"/>
      <c r="O326" s="143"/>
      <c r="T326" s="143"/>
      <c r="U326" s="143"/>
      <c r="V326" s="143"/>
      <c r="W326" s="143"/>
      <c r="X326" s="143"/>
      <c r="Y326" s="143"/>
      <c r="Z326" s="143"/>
      <c r="AA326" s="143"/>
      <c r="AB326" s="143"/>
      <c r="AC326" s="143"/>
      <c r="AD326" s="143"/>
      <c r="AE326" s="143"/>
      <c r="AF326" s="143"/>
      <c r="AG326" s="143"/>
      <c r="AH326" s="143"/>
      <c r="AI326" s="143"/>
      <c r="AJ326" s="143"/>
      <c r="AK326" s="143"/>
      <c r="AL326" s="143"/>
      <c r="AM326" s="143"/>
    </row>
    <row r="327" spans="1:39" ht="12.75" customHeight="1" x14ac:dyDescent="0.25">
      <c r="A327" s="143"/>
      <c r="B327" s="155"/>
      <c r="C327" s="190"/>
      <c r="D327" s="190"/>
      <c r="E327" s="190"/>
      <c r="F327" s="190"/>
      <c r="G327" s="190"/>
      <c r="H327" s="190"/>
      <c r="I327" s="190"/>
      <c r="J327" s="158"/>
      <c r="K327" s="158"/>
      <c r="L327" s="158"/>
      <c r="M327" s="319"/>
      <c r="N327" s="143"/>
      <c r="T327" s="143"/>
      <c r="U327" s="143"/>
      <c r="V327" s="143"/>
      <c r="W327" s="143"/>
      <c r="X327" s="143"/>
      <c r="Y327" s="143"/>
      <c r="Z327" s="143"/>
      <c r="AA327" s="143"/>
      <c r="AB327" s="143"/>
      <c r="AC327" s="143"/>
      <c r="AD327" s="143"/>
      <c r="AE327" s="143"/>
      <c r="AF327" s="143"/>
      <c r="AG327" s="143"/>
      <c r="AH327" s="143"/>
      <c r="AI327" s="143"/>
      <c r="AJ327" s="143"/>
      <c r="AK327" s="143"/>
      <c r="AL327" s="143"/>
      <c r="AM327" s="143"/>
    </row>
    <row r="328" spans="1:39" ht="12.75" customHeight="1" x14ac:dyDescent="0.25">
      <c r="A328" s="143"/>
      <c r="B328" s="151" t="s">
        <v>646</v>
      </c>
      <c r="C328" s="179" t="s">
        <v>647</v>
      </c>
      <c r="D328" s="152"/>
      <c r="E328" s="152"/>
      <c r="F328" s="152"/>
      <c r="G328" s="152"/>
      <c r="H328" s="152"/>
      <c r="I328" s="152"/>
      <c r="J328" s="174"/>
      <c r="K328" s="174"/>
      <c r="L328" s="174"/>
      <c r="M328" s="472"/>
      <c r="N328" s="143"/>
      <c r="T328" s="143"/>
      <c r="U328" s="143"/>
      <c r="V328" s="143"/>
      <c r="W328" s="143"/>
      <c r="X328" s="143"/>
      <c r="Y328" s="143"/>
      <c r="Z328" s="143"/>
      <c r="AA328" s="143"/>
      <c r="AB328" s="143"/>
      <c r="AC328" s="143"/>
      <c r="AD328" s="143"/>
      <c r="AE328" s="143"/>
      <c r="AF328" s="143"/>
      <c r="AG328" s="143"/>
      <c r="AH328" s="143"/>
      <c r="AI328" s="143"/>
      <c r="AJ328" s="143"/>
      <c r="AK328" s="143"/>
      <c r="AL328" s="143"/>
      <c r="AM328" s="143"/>
    </row>
    <row r="329" spans="1:39" ht="12.75" customHeight="1" x14ac:dyDescent="0.25">
      <c r="A329" s="143"/>
      <c r="B329" s="151"/>
      <c r="C329" s="152" t="s">
        <v>648</v>
      </c>
      <c r="D329" s="152" t="s">
        <v>649</v>
      </c>
      <c r="E329" s="152" t="s">
        <v>439</v>
      </c>
      <c r="F329" s="265">
        <v>0</v>
      </c>
      <c r="G329" s="152" t="s">
        <v>437</v>
      </c>
      <c r="H329" s="174">
        <v>1027</v>
      </c>
      <c r="I329" s="152" t="s">
        <v>454</v>
      </c>
      <c r="J329" s="279">
        <f>F329*H329/1000000</f>
        <v>0</v>
      </c>
      <c r="K329" s="272">
        <v>0</v>
      </c>
      <c r="L329" s="272">
        <v>0</v>
      </c>
      <c r="M329" s="273">
        <v>0</v>
      </c>
      <c r="N329" s="143"/>
      <c r="T329" s="143"/>
      <c r="U329" s="143"/>
      <c r="V329" s="143"/>
      <c r="W329" s="143"/>
      <c r="X329" s="143"/>
      <c r="Y329" s="143"/>
      <c r="Z329" s="143"/>
      <c r="AA329" s="143"/>
      <c r="AB329" s="143"/>
      <c r="AC329" s="143"/>
      <c r="AD329" s="143"/>
      <c r="AE329" s="143"/>
      <c r="AF329" s="143"/>
      <c r="AG329" s="143"/>
      <c r="AH329" s="143"/>
      <c r="AI329" s="143"/>
      <c r="AJ329" s="143"/>
      <c r="AK329" s="143"/>
      <c r="AL329" s="143"/>
      <c r="AM329" s="143"/>
    </row>
    <row r="330" spans="1:39" ht="12.75" customHeight="1" x14ac:dyDescent="0.25">
      <c r="A330" s="143"/>
      <c r="B330" s="308"/>
      <c r="C330" s="309"/>
      <c r="D330" s="309"/>
      <c r="E330" s="309"/>
      <c r="F330" s="309"/>
      <c r="G330" s="309"/>
      <c r="H330" s="309"/>
      <c r="I330" s="309"/>
      <c r="J330" s="309"/>
      <c r="K330" s="309"/>
      <c r="L330" s="309"/>
      <c r="M330" s="310"/>
      <c r="N330" s="143"/>
      <c r="O330" s="143"/>
      <c r="P330" s="143"/>
      <c r="Q330" s="143"/>
      <c r="R330" s="143"/>
      <c r="S330" s="431"/>
      <c r="T330" s="143"/>
      <c r="U330" s="143"/>
      <c r="V330" s="143"/>
      <c r="W330" s="143"/>
      <c r="X330" s="143"/>
      <c r="Y330" s="143"/>
      <c r="Z330" s="143"/>
      <c r="AA330" s="143"/>
      <c r="AB330" s="143"/>
      <c r="AC330" s="143"/>
      <c r="AD330" s="143"/>
      <c r="AE330" s="143"/>
      <c r="AF330" s="143"/>
      <c r="AG330" s="143"/>
      <c r="AH330" s="143"/>
      <c r="AI330" s="143"/>
      <c r="AJ330" s="143"/>
      <c r="AK330" s="143"/>
      <c r="AL330" s="143"/>
      <c r="AM330" s="143"/>
    </row>
    <row r="331" spans="1:39" ht="12.75" customHeight="1" x14ac:dyDescent="0.25">
      <c r="A331" s="143"/>
      <c r="B331" s="151"/>
      <c r="C331" s="152"/>
      <c r="D331" s="152"/>
      <c r="E331" s="152"/>
      <c r="F331" s="152"/>
      <c r="G331" s="152"/>
      <c r="H331" s="152"/>
      <c r="I331" s="152"/>
      <c r="J331" s="152"/>
      <c r="K331" s="152"/>
      <c r="L331" s="152"/>
      <c r="M331" s="154"/>
      <c r="N331" s="143"/>
      <c r="O331" s="143"/>
      <c r="P331" s="143"/>
      <c r="Q331" s="143"/>
      <c r="R331" s="143"/>
      <c r="S331" s="431"/>
      <c r="T331" s="143"/>
      <c r="U331" s="143"/>
      <c r="V331" s="143"/>
      <c r="W331" s="143"/>
      <c r="X331" s="143"/>
      <c r="Y331" s="143"/>
      <c r="Z331" s="143"/>
      <c r="AA331" s="143"/>
      <c r="AB331" s="143"/>
      <c r="AC331" s="143"/>
      <c r="AD331" s="143"/>
      <c r="AE331" s="143"/>
      <c r="AF331" s="143"/>
      <c r="AG331" s="143"/>
      <c r="AH331" s="143"/>
      <c r="AI331" s="143"/>
      <c r="AJ331" s="143"/>
      <c r="AK331" s="143"/>
      <c r="AL331" s="143"/>
      <c r="AM331" s="143"/>
    </row>
    <row r="332" spans="1:39" ht="12.75" customHeight="1" x14ac:dyDescent="0.25">
      <c r="A332" s="143"/>
      <c r="B332" s="151" t="s">
        <v>426</v>
      </c>
      <c r="C332" s="179" t="s">
        <v>427</v>
      </c>
      <c r="D332" s="152"/>
      <c r="E332" s="152"/>
      <c r="F332" s="152"/>
      <c r="G332" s="152"/>
      <c r="H332" s="152"/>
      <c r="I332" s="152"/>
      <c r="J332" s="152"/>
      <c r="K332" s="152"/>
      <c r="L332" s="152"/>
      <c r="M332" s="154"/>
      <c r="N332" s="143"/>
      <c r="O332" s="143"/>
      <c r="P332" s="143"/>
      <c r="Q332" s="143"/>
      <c r="R332" s="143"/>
      <c r="S332" s="431"/>
      <c r="T332" s="143"/>
      <c r="U332" s="143"/>
      <c r="V332" s="143"/>
      <c r="W332" s="143"/>
      <c r="X332" s="143"/>
      <c r="Y332" s="143"/>
      <c r="Z332" s="143"/>
      <c r="AA332" s="143"/>
      <c r="AB332" s="143"/>
      <c r="AC332" s="143"/>
      <c r="AD332" s="143"/>
      <c r="AE332" s="143"/>
      <c r="AF332" s="143"/>
      <c r="AG332" s="143"/>
      <c r="AH332" s="143"/>
      <c r="AI332" s="143"/>
      <c r="AJ332" s="143"/>
      <c r="AK332" s="143"/>
      <c r="AL332" s="143"/>
      <c r="AM332" s="143"/>
    </row>
    <row r="333" spans="1:39" ht="12.75" customHeight="1" x14ac:dyDescent="0.25">
      <c r="A333" s="143"/>
      <c r="B333" s="151"/>
      <c r="C333" s="232" t="s">
        <v>491</v>
      </c>
      <c r="D333" s="152" t="s">
        <v>492</v>
      </c>
      <c r="E333" s="152" t="s">
        <v>439</v>
      </c>
      <c r="F333" s="161">
        <f t="shared" ref="F333:F335" si="75">+(J333*1000)/H333</f>
        <v>17013628568.627451</v>
      </c>
      <c r="G333" s="152" t="s">
        <v>437</v>
      </c>
      <c r="H333" s="320">
        <v>1.02</v>
      </c>
      <c r="I333" s="152" t="s">
        <v>484</v>
      </c>
      <c r="J333" s="243">
        <v>17353901.140000001</v>
      </c>
      <c r="K333" s="161">
        <v>1031320.21</v>
      </c>
      <c r="L333" s="293">
        <v>19.12</v>
      </c>
      <c r="M333" s="307">
        <v>1.91</v>
      </c>
      <c r="N333" s="143"/>
      <c r="O333" s="143"/>
      <c r="P333" s="143"/>
      <c r="Q333" s="143"/>
      <c r="R333" s="143"/>
      <c r="S333" s="431"/>
      <c r="T333" s="143"/>
      <c r="U333" s="143"/>
      <c r="V333" s="143"/>
      <c r="W333" s="143"/>
      <c r="X333" s="143"/>
      <c r="Y333" s="143"/>
      <c r="Z333" s="143"/>
      <c r="AA333" s="143"/>
      <c r="AB333" s="143"/>
      <c r="AC333" s="143"/>
      <c r="AD333" s="143"/>
      <c r="AE333" s="143"/>
      <c r="AF333" s="143"/>
      <c r="AG333" s="143"/>
      <c r="AH333" s="143"/>
      <c r="AI333" s="143"/>
      <c r="AJ333" s="143"/>
      <c r="AK333" s="143"/>
      <c r="AL333" s="143"/>
      <c r="AM333" s="143"/>
    </row>
    <row r="334" spans="1:39" ht="12.75" customHeight="1" x14ac:dyDescent="0.25">
      <c r="A334" s="143"/>
      <c r="B334" s="151"/>
      <c r="C334" s="232" t="s">
        <v>493</v>
      </c>
      <c r="D334" s="152" t="s">
        <v>494</v>
      </c>
      <c r="E334" s="152"/>
      <c r="F334" s="161">
        <f t="shared" si="75"/>
        <v>18422669039.215687</v>
      </c>
      <c r="G334" s="152" t="s">
        <v>437</v>
      </c>
      <c r="H334" s="320">
        <v>1.02</v>
      </c>
      <c r="I334" s="152" t="s">
        <v>484</v>
      </c>
      <c r="J334" s="243">
        <v>18791122.420000002</v>
      </c>
      <c r="K334" s="161">
        <v>1116731.74</v>
      </c>
      <c r="L334" s="293">
        <v>20.69</v>
      </c>
      <c r="M334" s="307">
        <v>2.0699999999999998</v>
      </c>
      <c r="N334" s="143"/>
      <c r="O334" s="143"/>
      <c r="P334" s="143"/>
      <c r="Q334" s="143"/>
      <c r="R334" s="143"/>
      <c r="S334" s="431"/>
      <c r="T334" s="143"/>
      <c r="U334" s="143"/>
      <c r="V334" s="143"/>
      <c r="W334" s="143"/>
      <c r="X334" s="143"/>
      <c r="Y334" s="143"/>
      <c r="Z334" s="143"/>
      <c r="AA334" s="143"/>
      <c r="AB334" s="143"/>
      <c r="AC334" s="143"/>
      <c r="AD334" s="143"/>
      <c r="AE334" s="143"/>
      <c r="AF334" s="143"/>
      <c r="AG334" s="143"/>
      <c r="AH334" s="143"/>
      <c r="AI334" s="143"/>
      <c r="AJ334" s="143"/>
      <c r="AK334" s="143"/>
      <c r="AL334" s="143"/>
      <c r="AM334" s="143"/>
    </row>
    <row r="335" spans="1:39" ht="12.75" customHeight="1" x14ac:dyDescent="0.25">
      <c r="A335" s="143"/>
      <c r="B335" s="151"/>
      <c r="C335" s="232" t="s">
        <v>495</v>
      </c>
      <c r="D335" s="152" t="s">
        <v>496</v>
      </c>
      <c r="E335" s="152"/>
      <c r="F335" s="161">
        <f t="shared" si="75"/>
        <v>2330647.0588235292</v>
      </c>
      <c r="G335" s="152" t="s">
        <v>437</v>
      </c>
      <c r="H335" s="320">
        <v>1.02</v>
      </c>
      <c r="I335" s="152" t="s">
        <v>484</v>
      </c>
      <c r="J335" s="243">
        <v>2377.2600000000002</v>
      </c>
      <c r="K335" s="161">
        <v>139.04</v>
      </c>
      <c r="L335" s="293">
        <v>2.5999999999999999E-3</v>
      </c>
      <c r="M335" s="307">
        <v>2.9999999999999997E-4</v>
      </c>
      <c r="N335" s="143"/>
      <c r="O335" s="143"/>
      <c r="P335" s="143"/>
      <c r="Q335" s="143"/>
      <c r="R335" s="143"/>
      <c r="S335" s="431"/>
      <c r="T335" s="143"/>
      <c r="U335" s="143"/>
      <c r="V335" s="143"/>
      <c r="W335" s="143"/>
      <c r="X335" s="143"/>
      <c r="Y335" s="143"/>
      <c r="Z335" s="143"/>
      <c r="AA335" s="143"/>
      <c r="AB335" s="143"/>
      <c r="AC335" s="143"/>
      <c r="AD335" s="143"/>
      <c r="AE335" s="143"/>
      <c r="AF335" s="143"/>
      <c r="AG335" s="143"/>
      <c r="AH335" s="143"/>
      <c r="AI335" s="143"/>
      <c r="AJ335" s="143"/>
      <c r="AK335" s="143"/>
      <c r="AL335" s="143"/>
      <c r="AM335" s="143"/>
    </row>
    <row r="336" spans="1:39" ht="12.75" customHeight="1" x14ac:dyDescent="0.25">
      <c r="A336" s="143"/>
      <c r="B336" s="151"/>
      <c r="C336" s="232" t="s">
        <v>428</v>
      </c>
      <c r="D336" s="152" t="s">
        <v>429</v>
      </c>
      <c r="E336" s="152" t="s">
        <v>409</v>
      </c>
      <c r="F336" s="161">
        <f>+(J336*1000000)/H336</f>
        <v>1286.5185185185185</v>
      </c>
      <c r="G336" s="152" t="s">
        <v>225</v>
      </c>
      <c r="H336" s="174">
        <v>135000</v>
      </c>
      <c r="I336" s="152" t="s">
        <v>311</v>
      </c>
      <c r="J336" s="306">
        <v>173.68</v>
      </c>
      <c r="K336" s="161">
        <v>14.4</v>
      </c>
      <c r="L336" s="293">
        <v>1.44E-2</v>
      </c>
      <c r="M336" s="307">
        <v>3.4200000000000001E-2</v>
      </c>
      <c r="N336" s="143"/>
      <c r="O336" s="143"/>
      <c r="P336" s="143"/>
      <c r="Q336" s="143"/>
      <c r="R336" s="143"/>
      <c r="S336" s="431"/>
      <c r="T336" s="143"/>
      <c r="U336" s="143"/>
      <c r="V336" s="143"/>
      <c r="W336" s="143"/>
      <c r="X336" s="143"/>
      <c r="Y336" s="143"/>
      <c r="Z336" s="143"/>
      <c r="AA336" s="143"/>
      <c r="AB336" s="143"/>
      <c r="AC336" s="143"/>
      <c r="AD336" s="143"/>
      <c r="AE336" s="143"/>
      <c r="AF336" s="143"/>
      <c r="AG336" s="143"/>
      <c r="AH336" s="143"/>
      <c r="AI336" s="143"/>
      <c r="AJ336" s="143"/>
      <c r="AK336" s="143"/>
      <c r="AL336" s="143"/>
      <c r="AM336" s="143"/>
    </row>
    <row r="337" spans="1:39" ht="12.75" customHeight="1" x14ac:dyDescent="0.25">
      <c r="A337" s="143"/>
      <c r="B337" s="151"/>
      <c r="C337" s="152"/>
      <c r="D337" s="152"/>
      <c r="E337" s="152"/>
      <c r="F337" s="152"/>
      <c r="G337" s="152"/>
      <c r="H337" s="152"/>
      <c r="I337" s="152"/>
      <c r="J337" s="152"/>
      <c r="K337" s="152"/>
      <c r="L337" s="152"/>
      <c r="M337" s="154"/>
      <c r="N337" s="143"/>
      <c r="O337" s="143"/>
      <c r="P337" s="143"/>
      <c r="Q337" s="143"/>
      <c r="R337" s="143"/>
      <c r="S337" s="431"/>
      <c r="T337" s="143"/>
      <c r="U337" s="143"/>
      <c r="V337" s="143"/>
      <c r="W337" s="143"/>
      <c r="X337" s="143"/>
      <c r="Y337" s="143"/>
      <c r="Z337" s="143"/>
      <c r="AA337" s="143"/>
      <c r="AB337" s="143"/>
      <c r="AC337" s="143"/>
      <c r="AD337" s="143"/>
      <c r="AE337" s="143"/>
      <c r="AF337" s="143"/>
      <c r="AG337" s="143"/>
      <c r="AH337" s="143"/>
      <c r="AI337" s="143"/>
      <c r="AJ337" s="143"/>
      <c r="AK337" s="143"/>
      <c r="AL337" s="143"/>
      <c r="AM337" s="143"/>
    </row>
    <row r="338" spans="1:39" ht="12.75" customHeight="1" x14ac:dyDescent="0.25">
      <c r="A338" s="143"/>
      <c r="B338" s="321"/>
      <c r="C338" s="322"/>
      <c r="D338" s="322"/>
      <c r="E338" s="322"/>
      <c r="F338" s="322"/>
      <c r="G338" s="322"/>
      <c r="H338" s="322"/>
      <c r="I338" s="322"/>
      <c r="J338" s="322"/>
      <c r="K338" s="322"/>
      <c r="L338" s="322"/>
      <c r="M338" s="323"/>
      <c r="N338" s="143"/>
      <c r="O338" s="143"/>
      <c r="P338" s="143"/>
      <c r="Q338" s="143"/>
      <c r="R338" s="143"/>
      <c r="S338" s="431"/>
      <c r="T338" s="143"/>
      <c r="U338" s="143"/>
      <c r="V338" s="143"/>
      <c r="W338" s="143"/>
      <c r="X338" s="143"/>
      <c r="Y338" s="143"/>
      <c r="Z338" s="143"/>
      <c r="AA338" s="143"/>
      <c r="AB338" s="143"/>
      <c r="AC338" s="143"/>
      <c r="AD338" s="143"/>
      <c r="AE338" s="143"/>
      <c r="AF338" s="143"/>
      <c r="AG338" s="143"/>
      <c r="AH338" s="143"/>
      <c r="AI338" s="143"/>
      <c r="AJ338" s="143"/>
      <c r="AK338" s="143"/>
      <c r="AL338" s="143"/>
      <c r="AM338" s="143"/>
    </row>
    <row r="339" spans="1:39" ht="12.75" customHeight="1" x14ac:dyDescent="0.25">
      <c r="A339" s="143"/>
      <c r="B339" s="151" t="s">
        <v>497</v>
      </c>
      <c r="C339" s="179" t="s">
        <v>498</v>
      </c>
      <c r="D339" s="152"/>
      <c r="E339" s="152"/>
      <c r="F339" s="152"/>
      <c r="G339" s="152"/>
      <c r="H339" s="152"/>
      <c r="I339" s="152"/>
      <c r="J339" s="152"/>
      <c r="K339" s="152"/>
      <c r="L339" s="152"/>
      <c r="M339" s="154"/>
      <c r="N339" s="143"/>
      <c r="O339" s="143"/>
      <c r="P339" s="143"/>
      <c r="Q339" s="143"/>
      <c r="R339" s="143"/>
      <c r="S339" s="431"/>
      <c r="T339" s="143"/>
      <c r="U339" s="143"/>
      <c r="V339" s="143"/>
      <c r="W339" s="143"/>
      <c r="X339" s="143"/>
      <c r="Y339" s="143"/>
      <c r="Z339" s="143"/>
      <c r="AA339" s="143"/>
      <c r="AB339" s="143"/>
      <c r="AC339" s="143"/>
      <c r="AD339" s="143"/>
      <c r="AE339" s="143"/>
      <c r="AF339" s="143"/>
      <c r="AG339" s="143"/>
      <c r="AH339" s="143"/>
      <c r="AI339" s="143"/>
      <c r="AJ339" s="143"/>
      <c r="AK339" s="143"/>
      <c r="AL339" s="143"/>
      <c r="AM339" s="143"/>
    </row>
    <row r="340" spans="1:39" ht="12.75" customHeight="1" x14ac:dyDescent="0.25">
      <c r="A340" s="143"/>
      <c r="B340" s="151"/>
      <c r="C340" s="232" t="s">
        <v>499</v>
      </c>
      <c r="D340" s="152" t="s">
        <v>500</v>
      </c>
      <c r="E340" s="152" t="s">
        <v>439</v>
      </c>
      <c r="F340" s="161">
        <f t="shared" ref="F340:F346" si="76">+(J340*1000)/H340</f>
        <v>9058457254.9019604</v>
      </c>
      <c r="G340" s="152" t="s">
        <v>437</v>
      </c>
      <c r="H340" s="320">
        <v>1.02</v>
      </c>
      <c r="I340" s="152" t="s">
        <v>484</v>
      </c>
      <c r="J340" s="243">
        <v>9239626.4000000004</v>
      </c>
      <c r="K340" s="161">
        <v>549113.1</v>
      </c>
      <c r="L340" s="293">
        <v>1.02</v>
      </c>
      <c r="M340" s="307">
        <v>10.18</v>
      </c>
      <c r="N340" s="143"/>
      <c r="O340" s="143"/>
      <c r="P340" s="143"/>
      <c r="Q340" s="143"/>
      <c r="R340" s="143"/>
      <c r="S340" s="431"/>
      <c r="T340" s="143"/>
      <c r="U340" s="143"/>
      <c r="V340" s="143"/>
      <c r="W340" s="143"/>
      <c r="X340" s="143"/>
      <c r="Y340" s="143"/>
      <c r="Z340" s="143"/>
      <c r="AA340" s="143"/>
      <c r="AB340" s="143"/>
      <c r="AC340" s="143"/>
      <c r="AD340" s="143"/>
      <c r="AE340" s="143"/>
      <c r="AF340" s="143"/>
      <c r="AG340" s="143"/>
      <c r="AH340" s="143"/>
      <c r="AI340" s="143"/>
      <c r="AJ340" s="143"/>
      <c r="AK340" s="143"/>
      <c r="AL340" s="143"/>
      <c r="AM340" s="143"/>
    </row>
    <row r="341" spans="1:39" ht="12.75" customHeight="1" x14ac:dyDescent="0.25">
      <c r="A341" s="143"/>
      <c r="B341" s="151"/>
      <c r="C341" s="232" t="s">
        <v>501</v>
      </c>
      <c r="D341" s="152" t="s">
        <v>502</v>
      </c>
      <c r="E341" s="152" t="s">
        <v>439</v>
      </c>
      <c r="F341" s="161">
        <f t="shared" si="76"/>
        <v>9623423039.2156868</v>
      </c>
      <c r="G341" s="152" t="s">
        <v>437</v>
      </c>
      <c r="H341" s="320">
        <v>1.02</v>
      </c>
      <c r="I341" s="152" t="s">
        <v>484</v>
      </c>
      <c r="J341" s="243">
        <v>9815891.5</v>
      </c>
      <c r="K341" s="161">
        <v>580383.17000000004</v>
      </c>
      <c r="L341" s="293">
        <v>1.08</v>
      </c>
      <c r="M341" s="307">
        <v>10.82</v>
      </c>
      <c r="N341" s="143"/>
      <c r="O341" s="143"/>
      <c r="P341" s="143"/>
      <c r="Q341" s="143"/>
      <c r="R341" s="143"/>
      <c r="S341" s="431"/>
      <c r="T341" s="143"/>
      <c r="U341" s="143"/>
      <c r="V341" s="143"/>
      <c r="W341" s="143"/>
      <c r="X341" s="143"/>
      <c r="Y341" s="143"/>
      <c r="Z341" s="143"/>
      <c r="AA341" s="143"/>
      <c r="AB341" s="143"/>
      <c r="AC341" s="143"/>
      <c r="AD341" s="143"/>
      <c r="AE341" s="143"/>
      <c r="AF341" s="143"/>
      <c r="AG341" s="143"/>
      <c r="AH341" s="143"/>
      <c r="AI341" s="143"/>
      <c r="AJ341" s="143"/>
      <c r="AK341" s="143"/>
      <c r="AL341" s="143"/>
      <c r="AM341" s="143"/>
    </row>
    <row r="342" spans="1:39" ht="12.75" customHeight="1" x14ac:dyDescent="0.25">
      <c r="A342" s="143"/>
      <c r="B342" s="151"/>
      <c r="C342" s="232" t="s">
        <v>499</v>
      </c>
      <c r="D342" s="152" t="s">
        <v>503</v>
      </c>
      <c r="E342" s="152" t="s">
        <v>439</v>
      </c>
      <c r="F342" s="161">
        <f t="shared" si="76"/>
        <v>829230784.31372547</v>
      </c>
      <c r="G342" s="152" t="s">
        <v>437</v>
      </c>
      <c r="H342" s="320">
        <v>1.02</v>
      </c>
      <c r="I342" s="152" t="s">
        <v>484</v>
      </c>
      <c r="J342" s="243">
        <v>845815.4</v>
      </c>
      <c r="K342" s="161">
        <v>50267</v>
      </c>
      <c r="L342" s="293">
        <v>0.09</v>
      </c>
      <c r="M342" s="307">
        <v>0.93</v>
      </c>
      <c r="N342" s="143"/>
      <c r="O342" s="143"/>
      <c r="P342" s="143"/>
      <c r="Q342" s="143"/>
      <c r="R342" s="143"/>
      <c r="S342" s="431"/>
      <c r="T342" s="143"/>
      <c r="U342" s="143"/>
      <c r="V342" s="143"/>
      <c r="W342" s="143"/>
      <c r="X342" s="143"/>
      <c r="Y342" s="143"/>
      <c r="Z342" s="143"/>
      <c r="AA342" s="143"/>
      <c r="AB342" s="143"/>
      <c r="AC342" s="143"/>
      <c r="AD342" s="143"/>
      <c r="AE342" s="143"/>
      <c r="AF342" s="143"/>
      <c r="AG342" s="143"/>
      <c r="AH342" s="143"/>
      <c r="AI342" s="143"/>
      <c r="AJ342" s="143"/>
      <c r="AK342" s="143"/>
      <c r="AL342" s="143"/>
      <c r="AM342" s="143"/>
    </row>
    <row r="343" spans="1:39" ht="12.75" customHeight="1" x14ac:dyDescent="0.25">
      <c r="A343" s="143"/>
      <c r="B343" s="151"/>
      <c r="C343" s="232" t="s">
        <v>504</v>
      </c>
      <c r="D343" s="152" t="s">
        <v>505</v>
      </c>
      <c r="E343" s="152" t="s">
        <v>439</v>
      </c>
      <c r="F343" s="161">
        <f t="shared" si="76"/>
        <v>905049607.84313726</v>
      </c>
      <c r="G343" s="152" t="s">
        <v>437</v>
      </c>
      <c r="H343" s="320">
        <v>1.02</v>
      </c>
      <c r="I343" s="152" t="s">
        <v>484</v>
      </c>
      <c r="J343" s="306">
        <v>923150.6</v>
      </c>
      <c r="K343" s="161">
        <v>54583.03</v>
      </c>
      <c r="L343" s="293">
        <v>0.1</v>
      </c>
      <c r="M343" s="307">
        <v>1.02</v>
      </c>
      <c r="N343" s="143"/>
      <c r="O343" s="143"/>
      <c r="P343" s="143"/>
      <c r="Q343" s="143"/>
      <c r="R343" s="143"/>
      <c r="S343" s="431"/>
      <c r="T343" s="143"/>
      <c r="U343" s="143"/>
      <c r="V343" s="143"/>
      <c r="W343" s="143"/>
      <c r="X343" s="143"/>
      <c r="Y343" s="143"/>
      <c r="Z343" s="143"/>
      <c r="AA343" s="143"/>
      <c r="AB343" s="143"/>
      <c r="AC343" s="143"/>
      <c r="AD343" s="143"/>
      <c r="AE343" s="143"/>
      <c r="AF343" s="143"/>
      <c r="AG343" s="143"/>
      <c r="AH343" s="143"/>
      <c r="AI343" s="143"/>
      <c r="AJ343" s="143"/>
      <c r="AK343" s="143"/>
      <c r="AL343" s="143"/>
      <c r="AM343" s="143"/>
    </row>
    <row r="344" spans="1:39" ht="12.75" customHeight="1" x14ac:dyDescent="0.25">
      <c r="A344" s="143"/>
      <c r="B344" s="151"/>
      <c r="C344" s="232" t="s">
        <v>506</v>
      </c>
      <c r="D344" s="152" t="s">
        <v>496</v>
      </c>
      <c r="E344" s="152" t="s">
        <v>439</v>
      </c>
      <c r="F344" s="161">
        <f t="shared" si="76"/>
        <v>6878490.1960784309</v>
      </c>
      <c r="G344" s="152" t="s">
        <v>437</v>
      </c>
      <c r="H344" s="320">
        <v>1.02</v>
      </c>
      <c r="I344" s="152" t="s">
        <v>484</v>
      </c>
      <c r="J344" s="290">
        <v>7016.06</v>
      </c>
      <c r="K344" s="161">
        <v>410</v>
      </c>
      <c r="L344" s="235">
        <v>7.7300000000000003E-4</v>
      </c>
      <c r="M344" s="307">
        <v>7.7299999999999999E-3</v>
      </c>
      <c r="N344" s="143"/>
      <c r="O344" s="143"/>
      <c r="P344" s="143"/>
      <c r="Q344" s="143"/>
      <c r="R344" s="143"/>
      <c r="S344" s="431"/>
      <c r="T344" s="143"/>
      <c r="U344" s="143"/>
      <c r="V344" s="143"/>
      <c r="W344" s="143"/>
      <c r="X344" s="143"/>
      <c r="Y344" s="143"/>
      <c r="Z344" s="143"/>
      <c r="AA344" s="143"/>
      <c r="AB344" s="143"/>
      <c r="AC344" s="143"/>
      <c r="AD344" s="143"/>
      <c r="AE344" s="143"/>
      <c r="AF344" s="143"/>
      <c r="AG344" s="143"/>
      <c r="AH344" s="143"/>
      <c r="AI344" s="143"/>
      <c r="AJ344" s="143"/>
      <c r="AK344" s="143"/>
      <c r="AL344" s="143"/>
      <c r="AM344" s="143"/>
    </row>
    <row r="345" spans="1:39" ht="12.75" customHeight="1" x14ac:dyDescent="0.25">
      <c r="A345" s="143"/>
      <c r="B345" s="151"/>
      <c r="C345" s="324" t="s">
        <v>507</v>
      </c>
      <c r="D345" s="152" t="s">
        <v>508</v>
      </c>
      <c r="E345" s="152" t="s">
        <v>439</v>
      </c>
      <c r="F345" s="161">
        <f t="shared" si="76"/>
        <v>2677215.6862745099</v>
      </c>
      <c r="G345" s="152" t="s">
        <v>437</v>
      </c>
      <c r="H345" s="320">
        <v>1.02</v>
      </c>
      <c r="I345" s="152" t="s">
        <v>484</v>
      </c>
      <c r="J345" s="290">
        <v>2730.76</v>
      </c>
      <c r="K345" s="161">
        <v>159.6</v>
      </c>
      <c r="L345" s="235">
        <v>3.01E-4</v>
      </c>
      <c r="M345" s="307">
        <v>3.0100000000000001E-3</v>
      </c>
      <c r="N345" s="143"/>
      <c r="O345" s="143"/>
      <c r="P345" s="143"/>
      <c r="Q345" s="143"/>
      <c r="R345" s="143"/>
      <c r="S345" s="431"/>
      <c r="T345" s="143"/>
      <c r="U345" s="143"/>
      <c r="V345" s="143"/>
      <c r="W345" s="143"/>
      <c r="X345" s="143"/>
      <c r="Y345" s="143"/>
      <c r="Z345" s="143"/>
      <c r="AA345" s="143"/>
      <c r="AB345" s="143"/>
      <c r="AC345" s="143"/>
      <c r="AD345" s="143"/>
      <c r="AE345" s="143"/>
      <c r="AF345" s="143"/>
      <c r="AG345" s="143"/>
      <c r="AH345" s="143"/>
      <c r="AI345" s="143"/>
      <c r="AJ345" s="143"/>
      <c r="AK345" s="143"/>
      <c r="AL345" s="143"/>
      <c r="AM345" s="143"/>
    </row>
    <row r="346" spans="1:39" ht="12.75" customHeight="1" x14ac:dyDescent="0.25">
      <c r="A346" s="143"/>
      <c r="B346" s="151"/>
      <c r="C346" s="324" t="s">
        <v>507</v>
      </c>
      <c r="D346" s="152" t="s">
        <v>429</v>
      </c>
      <c r="E346" s="152" t="s">
        <v>439</v>
      </c>
      <c r="F346" s="161">
        <f t="shared" si="76"/>
        <v>52911.76470588235</v>
      </c>
      <c r="G346" s="152" t="s">
        <v>437</v>
      </c>
      <c r="H346" s="320">
        <v>1.02</v>
      </c>
      <c r="I346" s="152" t="s">
        <v>484</v>
      </c>
      <c r="J346" s="290">
        <v>53.97</v>
      </c>
      <c r="K346" s="161">
        <v>4.4000000000000004</v>
      </c>
      <c r="L346" s="235">
        <v>1.7799999999999999E-4</v>
      </c>
      <c r="M346" s="307">
        <v>3.57E-5</v>
      </c>
      <c r="N346" s="143"/>
      <c r="O346" s="143"/>
      <c r="P346" s="143"/>
      <c r="Q346" s="143"/>
      <c r="R346" s="143"/>
      <c r="S346" s="431"/>
      <c r="T346" s="143"/>
      <c r="U346" s="143"/>
      <c r="V346" s="143"/>
      <c r="W346" s="143"/>
      <c r="X346" s="143"/>
      <c r="Y346" s="143"/>
      <c r="Z346" s="143"/>
      <c r="AA346" s="143"/>
      <c r="AB346" s="143"/>
      <c r="AC346" s="143"/>
      <c r="AD346" s="143"/>
      <c r="AE346" s="143"/>
      <c r="AF346" s="143"/>
      <c r="AG346" s="143"/>
      <c r="AH346" s="143"/>
      <c r="AI346" s="143"/>
      <c r="AJ346" s="143"/>
      <c r="AK346" s="143"/>
      <c r="AL346" s="143"/>
      <c r="AM346" s="143"/>
    </row>
    <row r="347" spans="1:39" ht="12.75" customHeight="1" x14ac:dyDescent="0.25">
      <c r="A347" s="143"/>
      <c r="B347" s="201"/>
      <c r="C347" s="202"/>
      <c r="D347" s="202"/>
      <c r="E347" s="202"/>
      <c r="F347" s="202"/>
      <c r="G347" s="202"/>
      <c r="H347" s="202"/>
      <c r="I347" s="202"/>
      <c r="J347" s="202"/>
      <c r="K347" s="202"/>
      <c r="L347" s="202"/>
      <c r="M347" s="300"/>
      <c r="N347" s="143"/>
      <c r="O347" s="143"/>
      <c r="P347" s="143"/>
      <c r="Q347" s="143"/>
      <c r="R347" s="143"/>
      <c r="S347" s="431"/>
      <c r="T347" s="143"/>
      <c r="U347" s="143"/>
      <c r="V347" s="143"/>
      <c r="W347" s="143"/>
      <c r="X347" s="143"/>
      <c r="Y347" s="143"/>
      <c r="Z347" s="143"/>
      <c r="AA347" s="143"/>
      <c r="AB347" s="143"/>
      <c r="AC347" s="143"/>
      <c r="AD347" s="143"/>
      <c r="AE347" s="143"/>
      <c r="AF347" s="143"/>
      <c r="AG347" s="143"/>
      <c r="AH347" s="143"/>
      <c r="AI347" s="143"/>
      <c r="AJ347" s="143"/>
      <c r="AK347" s="143"/>
      <c r="AL347" s="143"/>
      <c r="AM347" s="143"/>
    </row>
    <row r="348" spans="1:39" ht="12.75" customHeight="1" x14ac:dyDescent="0.25">
      <c r="A348" s="143"/>
      <c r="B348" s="143"/>
      <c r="C348" s="143"/>
      <c r="D348" s="143"/>
      <c r="E348" s="143"/>
      <c r="F348" s="143"/>
      <c r="G348" s="143"/>
      <c r="H348" s="143"/>
      <c r="I348" s="143"/>
      <c r="J348" s="143"/>
      <c r="K348" s="143"/>
      <c r="L348" s="143"/>
      <c r="M348" s="143"/>
      <c r="N348" s="143"/>
      <c r="O348" s="143"/>
      <c r="P348" s="143"/>
      <c r="Q348" s="143"/>
      <c r="R348" s="143"/>
      <c r="S348" s="431"/>
      <c r="T348" s="143"/>
      <c r="U348" s="143"/>
      <c r="V348" s="143"/>
      <c r="W348" s="143"/>
      <c r="X348" s="143"/>
      <c r="Y348" s="143"/>
      <c r="Z348" s="143"/>
      <c r="AA348" s="143"/>
      <c r="AB348" s="143"/>
      <c r="AC348" s="143"/>
      <c r="AD348" s="143"/>
      <c r="AE348" s="143"/>
      <c r="AF348" s="143"/>
      <c r="AG348" s="143"/>
      <c r="AH348" s="143"/>
      <c r="AI348" s="143"/>
      <c r="AJ348" s="143"/>
      <c r="AK348" s="143"/>
      <c r="AL348" s="143"/>
      <c r="AM348" s="143"/>
    </row>
    <row r="349" spans="1:39" ht="12.75" customHeight="1" x14ac:dyDescent="0.25">
      <c r="A349" s="143"/>
      <c r="B349" s="143"/>
      <c r="C349" s="143"/>
      <c r="D349" s="143"/>
      <c r="E349" s="143"/>
      <c r="F349" s="143"/>
      <c r="G349" s="143"/>
      <c r="H349" s="143"/>
      <c r="I349" s="143"/>
      <c r="J349" s="143"/>
      <c r="K349" s="143"/>
      <c r="L349" s="143"/>
      <c r="M349" s="143"/>
      <c r="N349" s="143"/>
      <c r="O349" s="143"/>
      <c r="P349" s="143"/>
      <c r="Q349" s="143"/>
      <c r="R349" s="143"/>
      <c r="S349" s="431"/>
      <c r="T349" s="143"/>
      <c r="U349" s="143"/>
      <c r="V349" s="143"/>
      <c r="W349" s="143"/>
      <c r="X349" s="143"/>
      <c r="Y349" s="143"/>
      <c r="Z349" s="143"/>
      <c r="AA349" s="143"/>
      <c r="AB349" s="143"/>
      <c r="AC349" s="143"/>
      <c r="AD349" s="143"/>
      <c r="AE349" s="143"/>
      <c r="AF349" s="143"/>
      <c r="AG349" s="143"/>
      <c r="AH349" s="143"/>
      <c r="AI349" s="143"/>
      <c r="AJ349" s="143"/>
      <c r="AK349" s="143"/>
      <c r="AL349" s="143"/>
      <c r="AM349" s="143"/>
    </row>
    <row r="350" spans="1:39" ht="12.75" customHeight="1" x14ac:dyDescent="0.25">
      <c r="A350" s="143"/>
      <c r="B350" s="143"/>
      <c r="C350" s="143"/>
      <c r="D350" s="143"/>
      <c r="E350" s="143"/>
      <c r="F350" s="143"/>
      <c r="G350" s="143"/>
      <c r="H350" s="143"/>
      <c r="I350" s="143"/>
      <c r="J350" s="473">
        <f t="shared" ref="J350:M350" si="77">SUM(J9,J11,J13,J20,J24,J26,J52,J58,J63,J68,J70,J72,J76,J80,J84,J88,J90,J91,J92,J98,J104,J108,J112,J116,J124,J126,J128,J130,J132,J136,J140,J156,J158,J160,J164,J171,J176,J180,J182,J188,J192,J199,J204,J206,J207,J208,J209,J210,J211,J212,J213,J219,J223,J229,J230,J231,J232,J240,J241,J242,J243,J247,J248,J249,J250,J251,J255,J256,J257,J258,J259,J260,J261,J262,J263,J264,J268,J269,J270,J271,J272,J273,J274,J275,J280,J281,J282,J283,J284,J285,J286,J287,J288,J293,J294,J295,J296,J301,J302,J303,J304,J305,J306,J307,J308,J312,J313,J314,J315,J316,J321,J322,J323,J324,J325,J329,J333,J334,J335,J336,J340,J341,J342,J343,J344,J345,J346)</f>
        <v>142864201.35583499</v>
      </c>
      <c r="K350" s="473">
        <f t="shared" si="77"/>
        <v>10194400.619999999</v>
      </c>
      <c r="L350" s="473">
        <f t="shared" si="77"/>
        <v>614.68147951253673</v>
      </c>
      <c r="M350" s="473">
        <f t="shared" si="77"/>
        <v>112.85435597192708</v>
      </c>
      <c r="N350" s="143"/>
      <c r="O350" s="143"/>
      <c r="P350" s="143"/>
      <c r="Q350" s="143"/>
      <c r="R350" s="143"/>
      <c r="S350" s="143"/>
      <c r="T350" s="143"/>
      <c r="U350" s="143"/>
      <c r="V350" s="143"/>
      <c r="W350" s="143"/>
      <c r="X350" s="143"/>
      <c r="Y350" s="143"/>
      <c r="Z350" s="143"/>
      <c r="AA350" s="143"/>
      <c r="AB350" s="143"/>
      <c r="AC350" s="143"/>
      <c r="AD350" s="143"/>
      <c r="AE350" s="143"/>
      <c r="AF350" s="143"/>
      <c r="AG350" s="143"/>
      <c r="AH350" s="143"/>
      <c r="AI350" s="143"/>
      <c r="AJ350" s="143"/>
      <c r="AK350" s="143"/>
      <c r="AL350" s="143"/>
      <c r="AM350" s="143"/>
    </row>
    <row r="351" spans="1:39" ht="12.75" customHeight="1" x14ac:dyDescent="0.25">
      <c r="A351" s="143"/>
      <c r="B351" s="143"/>
      <c r="C351" s="143"/>
      <c r="D351" s="143"/>
      <c r="E351" s="143"/>
      <c r="F351" s="143"/>
      <c r="G351" s="143"/>
      <c r="H351" s="143"/>
      <c r="I351" s="143"/>
      <c r="J351" s="143"/>
      <c r="K351" s="143"/>
      <c r="L351" s="143"/>
      <c r="M351" s="143"/>
      <c r="N351" s="143"/>
      <c r="O351" s="143"/>
      <c r="P351" s="143"/>
      <c r="Q351" s="143"/>
      <c r="R351" s="143"/>
      <c r="S351" s="143"/>
      <c r="T351" s="143"/>
      <c r="U351" s="143"/>
      <c r="V351" s="143"/>
      <c r="W351" s="143"/>
      <c r="X351" s="143"/>
      <c r="Y351" s="143"/>
      <c r="Z351" s="143"/>
      <c r="AA351" s="143"/>
      <c r="AB351" s="143"/>
      <c r="AC351" s="143"/>
      <c r="AD351" s="143"/>
      <c r="AE351" s="143"/>
      <c r="AF351" s="143"/>
      <c r="AG351" s="143"/>
      <c r="AH351" s="143"/>
      <c r="AI351" s="143"/>
      <c r="AJ351" s="143"/>
      <c r="AK351" s="143"/>
      <c r="AL351" s="143"/>
      <c r="AM351" s="143"/>
    </row>
    <row r="352" spans="1:39" ht="12.75" customHeight="1" x14ac:dyDescent="0.25">
      <c r="A352" s="143"/>
      <c r="B352" s="143"/>
      <c r="C352" s="143"/>
      <c r="D352" s="143"/>
      <c r="E352" s="143"/>
      <c r="F352" s="143"/>
      <c r="G352" s="143"/>
      <c r="H352" s="143"/>
      <c r="I352" s="143"/>
      <c r="J352" s="143"/>
      <c r="K352" s="143"/>
      <c r="L352" s="143"/>
      <c r="M352" s="143"/>
      <c r="N352" s="143"/>
      <c r="O352" s="143"/>
      <c r="P352" s="143"/>
      <c r="Q352" s="143"/>
      <c r="R352" s="143"/>
      <c r="S352" s="143"/>
      <c r="T352" s="143"/>
      <c r="U352" s="143"/>
      <c r="V352" s="143"/>
      <c r="W352" s="143"/>
      <c r="X352" s="143"/>
      <c r="Y352" s="143"/>
      <c r="Z352" s="143"/>
      <c r="AA352" s="143"/>
      <c r="AB352" s="143"/>
      <c r="AC352" s="143"/>
      <c r="AD352" s="143"/>
      <c r="AE352" s="143"/>
      <c r="AF352" s="143"/>
      <c r="AG352" s="143"/>
      <c r="AH352" s="143"/>
      <c r="AI352" s="143"/>
      <c r="AJ352" s="143"/>
      <c r="AK352" s="143"/>
      <c r="AL352" s="143"/>
      <c r="AM352" s="143"/>
    </row>
    <row r="353" spans="1:39" ht="12.75" customHeight="1" x14ac:dyDescent="0.25">
      <c r="A353" s="143"/>
      <c r="B353" s="143"/>
      <c r="C353" s="143"/>
      <c r="D353" s="143"/>
      <c r="E353" s="143"/>
      <c r="F353" s="143"/>
      <c r="G353" s="143"/>
      <c r="H353" s="143"/>
      <c r="I353" s="143"/>
      <c r="J353" s="143"/>
      <c r="K353" s="143"/>
      <c r="L353" s="143"/>
      <c r="M353" s="143"/>
      <c r="N353" s="143"/>
      <c r="O353" s="143"/>
      <c r="P353" s="143"/>
      <c r="Q353" s="143"/>
      <c r="R353" s="143"/>
      <c r="S353" s="143"/>
      <c r="T353" s="143"/>
      <c r="U353" s="143"/>
      <c r="V353" s="143"/>
      <c r="W353" s="143"/>
      <c r="X353" s="143"/>
      <c r="Y353" s="143"/>
      <c r="Z353" s="143"/>
      <c r="AA353" s="143"/>
      <c r="AB353" s="143"/>
      <c r="AC353" s="143"/>
      <c r="AD353" s="143"/>
      <c r="AE353" s="143"/>
      <c r="AF353" s="143"/>
      <c r="AG353" s="143"/>
      <c r="AH353" s="143"/>
      <c r="AI353" s="143"/>
      <c r="AJ353" s="143"/>
      <c r="AK353" s="143"/>
      <c r="AL353" s="143"/>
      <c r="AM353" s="143"/>
    </row>
    <row r="354" spans="1:39" ht="12.75" customHeight="1" x14ac:dyDescent="0.25">
      <c r="A354" s="143"/>
      <c r="B354" s="143"/>
      <c r="C354" s="143"/>
      <c r="D354" s="143"/>
      <c r="E354" s="143"/>
      <c r="F354" s="143"/>
      <c r="G354" s="143"/>
      <c r="H354" s="143"/>
      <c r="I354" s="143"/>
      <c r="J354" s="143"/>
      <c r="K354" s="143"/>
      <c r="L354" s="143"/>
      <c r="M354" s="143"/>
      <c r="N354" s="143"/>
      <c r="O354" s="143"/>
      <c r="P354" s="143"/>
      <c r="Q354" s="143"/>
      <c r="R354" s="143"/>
      <c r="S354" s="143"/>
      <c r="T354" s="143"/>
      <c r="U354" s="143"/>
      <c r="V354" s="143"/>
      <c r="W354" s="143"/>
      <c r="X354" s="143"/>
      <c r="Y354" s="143"/>
      <c r="Z354" s="143"/>
      <c r="AA354" s="143"/>
      <c r="AB354" s="143"/>
      <c r="AC354" s="143"/>
      <c r="AD354" s="143"/>
      <c r="AE354" s="143"/>
      <c r="AF354" s="143"/>
      <c r="AG354" s="143"/>
      <c r="AH354" s="143"/>
      <c r="AI354" s="143"/>
      <c r="AJ354" s="143"/>
      <c r="AK354" s="143"/>
      <c r="AL354" s="143"/>
      <c r="AM354" s="143"/>
    </row>
    <row r="355" spans="1:39" ht="12.75" customHeight="1" x14ac:dyDescent="0.25">
      <c r="A355" s="143"/>
      <c r="B355" s="143"/>
      <c r="C355" s="143"/>
      <c r="D355" s="143"/>
      <c r="E355" s="143"/>
      <c r="F355" s="143"/>
      <c r="G355" s="143"/>
      <c r="H355" s="143"/>
      <c r="I355" s="143"/>
      <c r="J355" s="143"/>
      <c r="K355" s="143"/>
      <c r="L355" s="143"/>
      <c r="M355" s="143"/>
      <c r="N355" s="143"/>
      <c r="O355" s="143"/>
      <c r="P355" s="143"/>
      <c r="Q355" s="143"/>
      <c r="R355" s="143"/>
      <c r="S355" s="143"/>
      <c r="T355" s="143"/>
      <c r="U355" s="143"/>
      <c r="V355" s="143"/>
      <c r="W355" s="143"/>
      <c r="X355" s="143"/>
      <c r="Y355" s="143"/>
      <c r="Z355" s="143"/>
      <c r="AA355" s="143"/>
      <c r="AB355" s="143"/>
      <c r="AC355" s="143"/>
      <c r="AD355" s="143"/>
      <c r="AE355" s="143"/>
      <c r="AF355" s="143"/>
      <c r="AG355" s="143"/>
      <c r="AH355" s="143"/>
      <c r="AI355" s="143"/>
      <c r="AJ355" s="143"/>
      <c r="AK355" s="143"/>
      <c r="AL355" s="143"/>
      <c r="AM355" s="143"/>
    </row>
    <row r="356" spans="1:39" ht="12.75" customHeight="1" x14ac:dyDescent="0.25">
      <c r="A356" s="143"/>
      <c r="B356" s="143"/>
      <c r="C356" s="143"/>
      <c r="D356" s="143"/>
      <c r="E356" s="143"/>
      <c r="F356" s="143"/>
      <c r="G356" s="143"/>
      <c r="H356" s="143"/>
      <c r="I356" s="143"/>
      <c r="J356" s="143"/>
      <c r="K356" s="143"/>
      <c r="L356" s="143"/>
      <c r="M356" s="143"/>
      <c r="N356" s="143"/>
      <c r="O356" s="143"/>
      <c r="P356" s="143"/>
      <c r="Q356" s="143"/>
      <c r="R356" s="143"/>
      <c r="S356" s="143"/>
      <c r="T356" s="143"/>
      <c r="U356" s="143"/>
      <c r="V356" s="143"/>
      <c r="W356" s="143"/>
      <c r="X356" s="143"/>
      <c r="Y356" s="143"/>
      <c r="Z356" s="143"/>
      <c r="AA356" s="143"/>
      <c r="AB356" s="143"/>
      <c r="AC356" s="143"/>
      <c r="AD356" s="143"/>
      <c r="AE356" s="143"/>
      <c r="AF356" s="143"/>
      <c r="AG356" s="143"/>
      <c r="AH356" s="143"/>
      <c r="AI356" s="143"/>
      <c r="AJ356" s="143"/>
      <c r="AK356" s="143"/>
      <c r="AL356" s="143"/>
      <c r="AM356" s="143"/>
    </row>
    <row r="357" spans="1:39" ht="12.75" customHeight="1" x14ac:dyDescent="0.25">
      <c r="A357" s="143"/>
      <c r="B357" s="143"/>
      <c r="C357" s="143"/>
      <c r="D357" s="143"/>
      <c r="E357" s="143"/>
      <c r="F357" s="143"/>
      <c r="G357" s="143"/>
      <c r="H357" s="143"/>
      <c r="I357" s="143"/>
      <c r="J357" s="143"/>
      <c r="K357" s="143"/>
      <c r="L357" s="143"/>
      <c r="M357" s="143"/>
      <c r="N357" s="143"/>
      <c r="O357" s="143"/>
      <c r="P357" s="143"/>
      <c r="Q357" s="143"/>
      <c r="R357" s="143"/>
      <c r="S357" s="143"/>
      <c r="T357" s="143"/>
      <c r="U357" s="143"/>
      <c r="V357" s="143"/>
      <c r="W357" s="143"/>
      <c r="X357" s="143"/>
      <c r="Y357" s="143"/>
      <c r="Z357" s="143"/>
      <c r="AA357" s="143"/>
      <c r="AB357" s="143"/>
      <c r="AC357" s="143"/>
      <c r="AD357" s="143"/>
      <c r="AE357" s="143"/>
      <c r="AF357" s="143"/>
      <c r="AG357" s="143"/>
      <c r="AH357" s="143"/>
      <c r="AI357" s="143"/>
      <c r="AJ357" s="143"/>
      <c r="AK357" s="143"/>
      <c r="AL357" s="143"/>
      <c r="AM357" s="143"/>
    </row>
    <row r="358" spans="1:39" ht="12.75" customHeight="1" x14ac:dyDescent="0.25">
      <c r="A358" s="143"/>
      <c r="B358" s="143"/>
      <c r="C358" s="143"/>
      <c r="D358" s="143"/>
      <c r="E358" s="143"/>
      <c r="F358" s="143"/>
      <c r="G358" s="143"/>
      <c r="H358" s="143"/>
      <c r="I358" s="143"/>
      <c r="J358" s="143"/>
      <c r="K358" s="143"/>
      <c r="L358" s="143"/>
      <c r="M358" s="143"/>
      <c r="N358" s="143"/>
      <c r="O358" s="143"/>
      <c r="P358" s="143"/>
      <c r="Q358" s="143"/>
      <c r="R358" s="143"/>
      <c r="S358" s="143"/>
      <c r="T358" s="143"/>
      <c r="U358" s="143"/>
      <c r="V358" s="143"/>
      <c r="W358" s="143"/>
      <c r="X358" s="143"/>
      <c r="Y358" s="143"/>
      <c r="Z358" s="143"/>
      <c r="AA358" s="143"/>
      <c r="AB358" s="143"/>
      <c r="AC358" s="143"/>
      <c r="AD358" s="143"/>
      <c r="AE358" s="143"/>
      <c r="AF358" s="143"/>
      <c r="AG358" s="143"/>
      <c r="AH358" s="143"/>
      <c r="AI358" s="143"/>
      <c r="AJ358" s="143"/>
      <c r="AK358" s="143"/>
      <c r="AL358" s="143"/>
      <c r="AM358" s="143"/>
    </row>
    <row r="359" spans="1:39" ht="12.75" customHeight="1" x14ac:dyDescent="0.25">
      <c r="A359" s="143"/>
      <c r="B359" s="143"/>
      <c r="C359" s="143"/>
      <c r="D359" s="143"/>
      <c r="E359" s="143"/>
      <c r="F359" s="143"/>
      <c r="G359" s="143"/>
      <c r="H359" s="143"/>
      <c r="I359" s="143"/>
      <c r="J359" s="143"/>
      <c r="K359" s="143"/>
      <c r="L359" s="143"/>
      <c r="M359" s="143"/>
      <c r="N359" s="143"/>
      <c r="O359" s="143"/>
      <c r="P359" s="143"/>
      <c r="Q359" s="143"/>
      <c r="R359" s="143"/>
      <c r="S359" s="143"/>
      <c r="T359" s="143"/>
      <c r="U359" s="143"/>
      <c r="V359" s="143"/>
      <c r="W359" s="143"/>
      <c r="X359" s="143"/>
      <c r="Y359" s="143"/>
      <c r="Z359" s="143"/>
      <c r="AA359" s="143"/>
      <c r="AB359" s="143"/>
      <c r="AC359" s="143"/>
      <c r="AD359" s="143"/>
      <c r="AE359" s="143"/>
      <c r="AF359" s="143"/>
      <c r="AG359" s="143"/>
      <c r="AH359" s="143"/>
      <c r="AI359" s="143"/>
      <c r="AJ359" s="143"/>
      <c r="AK359" s="143"/>
      <c r="AL359" s="143"/>
      <c r="AM359" s="143"/>
    </row>
    <row r="360" spans="1:39" ht="12.75" customHeight="1" x14ac:dyDescent="0.25">
      <c r="A360" s="143"/>
      <c r="B360" s="143"/>
      <c r="C360" s="143"/>
      <c r="D360" s="143"/>
      <c r="E360" s="143"/>
      <c r="F360" s="143"/>
      <c r="G360" s="143"/>
      <c r="H360" s="143"/>
      <c r="I360" s="143"/>
      <c r="J360" s="143"/>
      <c r="K360" s="143"/>
      <c r="L360" s="143"/>
      <c r="M360" s="143"/>
      <c r="N360" s="143"/>
      <c r="O360" s="143"/>
      <c r="P360" s="143"/>
      <c r="Q360" s="143"/>
      <c r="R360" s="143"/>
      <c r="S360" s="143"/>
      <c r="T360" s="143"/>
      <c r="U360" s="143"/>
      <c r="V360" s="143"/>
      <c r="W360" s="143"/>
      <c r="X360" s="143"/>
      <c r="Y360" s="143"/>
      <c r="Z360" s="143"/>
      <c r="AA360" s="143"/>
      <c r="AB360" s="143"/>
      <c r="AC360" s="143"/>
      <c r="AD360" s="143"/>
      <c r="AE360" s="143"/>
      <c r="AF360" s="143"/>
      <c r="AG360" s="143"/>
      <c r="AH360" s="143"/>
      <c r="AI360" s="143"/>
      <c r="AJ360" s="143"/>
      <c r="AK360" s="143"/>
      <c r="AL360" s="143"/>
      <c r="AM360" s="143"/>
    </row>
    <row r="361" spans="1:39" ht="12.75" customHeight="1" x14ac:dyDescent="0.25">
      <c r="A361" s="143"/>
      <c r="B361" s="143"/>
      <c r="C361" s="143"/>
      <c r="D361" s="143"/>
      <c r="E361" s="143"/>
      <c r="F361" s="143"/>
      <c r="G361" s="143"/>
      <c r="H361" s="143"/>
      <c r="I361" s="143"/>
      <c r="J361" s="143"/>
      <c r="K361" s="143"/>
      <c r="L361" s="143"/>
      <c r="M361" s="143"/>
      <c r="N361" s="143"/>
      <c r="O361" s="143"/>
      <c r="P361" s="143"/>
      <c r="Q361" s="143"/>
      <c r="R361" s="143"/>
      <c r="S361" s="143"/>
      <c r="T361" s="143"/>
      <c r="U361" s="143"/>
      <c r="V361" s="143"/>
      <c r="W361" s="143"/>
      <c r="X361" s="143"/>
      <c r="Y361" s="143"/>
      <c r="Z361" s="143"/>
      <c r="AA361" s="143"/>
      <c r="AB361" s="143"/>
      <c r="AC361" s="143"/>
      <c r="AD361" s="143"/>
      <c r="AE361" s="143"/>
      <c r="AF361" s="143"/>
      <c r="AG361" s="143"/>
      <c r="AH361" s="143"/>
      <c r="AI361" s="143"/>
      <c r="AJ361" s="143"/>
      <c r="AK361" s="143"/>
      <c r="AL361" s="143"/>
      <c r="AM361" s="143"/>
    </row>
    <row r="362" spans="1:39" ht="12.75" customHeight="1" x14ac:dyDescent="0.25">
      <c r="A362" s="143"/>
      <c r="B362" s="143"/>
      <c r="C362" s="143"/>
      <c r="D362" s="143"/>
      <c r="E362" s="143"/>
      <c r="F362" s="143"/>
      <c r="G362" s="143"/>
      <c r="H362" s="143"/>
      <c r="I362" s="143"/>
      <c r="J362" s="143"/>
      <c r="K362" s="143"/>
      <c r="L362" s="143"/>
      <c r="M362" s="143"/>
      <c r="N362" s="143"/>
      <c r="O362" s="143"/>
      <c r="P362" s="143"/>
      <c r="Q362" s="143"/>
      <c r="R362" s="143"/>
      <c r="S362" s="143"/>
      <c r="T362" s="143"/>
      <c r="U362" s="143"/>
      <c r="V362" s="143"/>
      <c r="W362" s="143"/>
      <c r="X362" s="143"/>
      <c r="Y362" s="143"/>
      <c r="Z362" s="143"/>
      <c r="AA362" s="143"/>
      <c r="AB362" s="143"/>
      <c r="AC362" s="143"/>
      <c r="AD362" s="143"/>
      <c r="AE362" s="143"/>
      <c r="AF362" s="143"/>
      <c r="AG362" s="143"/>
      <c r="AH362" s="143"/>
      <c r="AI362" s="143"/>
      <c r="AJ362" s="143"/>
      <c r="AK362" s="143"/>
      <c r="AL362" s="143"/>
      <c r="AM362" s="143"/>
    </row>
    <row r="363" spans="1:39" ht="12.75" customHeight="1" x14ac:dyDescent="0.25">
      <c r="A363" s="143"/>
      <c r="B363" s="143"/>
      <c r="C363" s="143"/>
      <c r="D363" s="143"/>
      <c r="E363" s="143"/>
      <c r="F363" s="143"/>
      <c r="G363" s="143"/>
      <c r="H363" s="143"/>
      <c r="I363" s="143"/>
      <c r="J363" s="143"/>
      <c r="K363" s="143"/>
      <c r="L363" s="143"/>
      <c r="M363" s="143"/>
      <c r="N363" s="143"/>
      <c r="O363" s="143"/>
      <c r="P363" s="143"/>
      <c r="Q363" s="143"/>
      <c r="R363" s="143"/>
      <c r="S363" s="143"/>
      <c r="T363" s="143"/>
      <c r="U363" s="143"/>
      <c r="V363" s="143"/>
      <c r="W363" s="143"/>
      <c r="X363" s="143"/>
      <c r="Y363" s="143"/>
      <c r="Z363" s="143"/>
      <c r="AA363" s="143"/>
      <c r="AB363" s="143"/>
      <c r="AC363" s="143"/>
      <c r="AD363" s="143"/>
      <c r="AE363" s="143"/>
      <c r="AF363" s="143"/>
      <c r="AG363" s="143"/>
      <c r="AH363" s="143"/>
      <c r="AI363" s="143"/>
      <c r="AJ363" s="143"/>
      <c r="AK363" s="143"/>
      <c r="AL363" s="143"/>
      <c r="AM363" s="143"/>
    </row>
    <row r="364" spans="1:39" ht="12.75" customHeight="1" x14ac:dyDescent="0.25">
      <c r="A364" s="143"/>
      <c r="B364" s="143"/>
      <c r="C364" s="143"/>
      <c r="D364" s="143"/>
      <c r="E364" s="143"/>
      <c r="F364" s="143"/>
      <c r="G364" s="143"/>
      <c r="H364" s="143"/>
      <c r="I364" s="143"/>
      <c r="J364" s="143"/>
      <c r="K364" s="143"/>
      <c r="L364" s="143"/>
      <c r="M364" s="143"/>
      <c r="N364" s="143"/>
      <c r="O364" s="143"/>
      <c r="P364" s="143"/>
      <c r="Q364" s="143"/>
      <c r="R364" s="143"/>
      <c r="S364" s="143"/>
      <c r="T364" s="143"/>
      <c r="U364" s="143"/>
      <c r="V364" s="143"/>
      <c r="W364" s="143"/>
      <c r="X364" s="143"/>
      <c r="Y364" s="143"/>
      <c r="Z364" s="143"/>
      <c r="AA364" s="143"/>
      <c r="AB364" s="143"/>
      <c r="AC364" s="143"/>
      <c r="AD364" s="143"/>
      <c r="AE364" s="143"/>
      <c r="AF364" s="143"/>
      <c r="AG364" s="143"/>
      <c r="AH364" s="143"/>
      <c r="AI364" s="143"/>
      <c r="AJ364" s="143"/>
      <c r="AK364" s="143"/>
      <c r="AL364" s="143"/>
      <c r="AM364" s="143"/>
    </row>
    <row r="365" spans="1:39" ht="12.75" customHeight="1" x14ac:dyDescent="0.25">
      <c r="A365" s="143"/>
      <c r="B365" s="143"/>
      <c r="C365" s="143"/>
      <c r="D365" s="143"/>
      <c r="E365" s="143"/>
      <c r="F365" s="143"/>
      <c r="G365" s="143"/>
      <c r="H365" s="143"/>
      <c r="I365" s="143"/>
      <c r="J365" s="143"/>
      <c r="K365" s="143"/>
      <c r="L365" s="143"/>
      <c r="M365" s="143"/>
      <c r="N365" s="143"/>
      <c r="O365" s="143"/>
      <c r="P365" s="143"/>
      <c r="Q365" s="143"/>
      <c r="R365" s="143"/>
      <c r="S365" s="143"/>
      <c r="T365" s="143"/>
      <c r="U365" s="143"/>
      <c r="V365" s="143"/>
      <c r="W365" s="143"/>
      <c r="X365" s="143"/>
      <c r="Y365" s="143"/>
      <c r="Z365" s="143"/>
      <c r="AA365" s="143"/>
      <c r="AB365" s="143"/>
      <c r="AC365" s="143"/>
      <c r="AD365" s="143"/>
      <c r="AE365" s="143"/>
      <c r="AF365" s="143"/>
      <c r="AG365" s="143"/>
      <c r="AH365" s="143"/>
      <c r="AI365" s="143"/>
      <c r="AJ365" s="143"/>
      <c r="AK365" s="143"/>
      <c r="AL365" s="143"/>
      <c r="AM365" s="143"/>
    </row>
    <row r="366" spans="1:39" ht="12.75" customHeight="1" x14ac:dyDescent="0.25">
      <c r="A366" s="143"/>
      <c r="B366" s="143"/>
      <c r="C366" s="143"/>
      <c r="D366" s="143"/>
      <c r="E366" s="143"/>
      <c r="F366" s="143"/>
      <c r="G366" s="143"/>
      <c r="H366" s="143"/>
      <c r="I366" s="143"/>
      <c r="J366" s="143"/>
      <c r="K366" s="143"/>
      <c r="L366" s="143"/>
      <c r="M366" s="143"/>
      <c r="N366" s="143"/>
      <c r="O366" s="143"/>
      <c r="P366" s="143"/>
      <c r="Q366" s="143"/>
      <c r="R366" s="143"/>
      <c r="S366" s="143"/>
      <c r="T366" s="143"/>
      <c r="U366" s="143"/>
      <c r="V366" s="143"/>
      <c r="W366" s="143"/>
      <c r="X366" s="143"/>
      <c r="Y366" s="143"/>
      <c r="Z366" s="143"/>
      <c r="AA366" s="143"/>
      <c r="AB366" s="143"/>
      <c r="AC366" s="143"/>
      <c r="AD366" s="143"/>
      <c r="AE366" s="143"/>
      <c r="AF366" s="143"/>
      <c r="AG366" s="143"/>
      <c r="AH366" s="143"/>
      <c r="AI366" s="143"/>
      <c r="AJ366" s="143"/>
      <c r="AK366" s="143"/>
      <c r="AL366" s="143"/>
      <c r="AM366" s="143"/>
    </row>
    <row r="367" spans="1:39" ht="12.75" customHeight="1" x14ac:dyDescent="0.25">
      <c r="A367" s="143"/>
      <c r="B367" s="143"/>
      <c r="C367" s="143"/>
      <c r="D367" s="143"/>
      <c r="E367" s="143"/>
      <c r="F367" s="143"/>
      <c r="G367" s="143"/>
      <c r="H367" s="143"/>
      <c r="I367" s="143"/>
      <c r="J367" s="143"/>
      <c r="K367" s="143"/>
      <c r="L367" s="143"/>
      <c r="M367" s="143"/>
      <c r="N367" s="143"/>
      <c r="O367" s="143"/>
      <c r="P367" s="143"/>
      <c r="Q367" s="143"/>
      <c r="R367" s="143"/>
      <c r="S367" s="143"/>
      <c r="T367" s="143"/>
      <c r="U367" s="143"/>
      <c r="V367" s="143"/>
      <c r="W367" s="143"/>
      <c r="X367" s="143"/>
      <c r="Y367" s="143"/>
      <c r="Z367" s="143"/>
      <c r="AA367" s="143"/>
      <c r="AB367" s="143"/>
      <c r="AC367" s="143"/>
      <c r="AD367" s="143"/>
      <c r="AE367" s="143"/>
      <c r="AF367" s="143"/>
      <c r="AG367" s="143"/>
      <c r="AH367" s="143"/>
      <c r="AI367" s="143"/>
      <c r="AJ367" s="143"/>
      <c r="AK367" s="143"/>
      <c r="AL367" s="143"/>
      <c r="AM367" s="143"/>
    </row>
    <row r="368" spans="1:39" ht="12.75" customHeight="1" x14ac:dyDescent="0.25">
      <c r="A368" s="143"/>
      <c r="B368" s="143"/>
      <c r="C368" s="143"/>
      <c r="D368" s="143"/>
      <c r="E368" s="143"/>
      <c r="F368" s="143"/>
      <c r="G368" s="143"/>
      <c r="H368" s="143"/>
      <c r="I368" s="143"/>
      <c r="J368" s="143"/>
      <c r="K368" s="143"/>
      <c r="L368" s="143"/>
      <c r="M368" s="143"/>
      <c r="N368" s="143"/>
      <c r="O368" s="143"/>
      <c r="P368" s="143"/>
      <c r="Q368" s="143"/>
      <c r="R368" s="143"/>
      <c r="S368" s="143"/>
      <c r="T368" s="143"/>
      <c r="U368" s="143"/>
      <c r="V368" s="143"/>
      <c r="W368" s="143"/>
      <c r="X368" s="143"/>
      <c r="Y368" s="143"/>
      <c r="Z368" s="143"/>
      <c r="AA368" s="143"/>
      <c r="AB368" s="143"/>
      <c r="AC368" s="143"/>
      <c r="AD368" s="143"/>
      <c r="AE368" s="143"/>
      <c r="AF368" s="143"/>
      <c r="AG368" s="143"/>
      <c r="AH368" s="143"/>
      <c r="AI368" s="143"/>
      <c r="AJ368" s="143"/>
      <c r="AK368" s="143"/>
      <c r="AL368" s="143"/>
      <c r="AM368" s="143"/>
    </row>
    <row r="369" spans="1:39" ht="12.75" customHeight="1" x14ac:dyDescent="0.25">
      <c r="A369" s="143"/>
      <c r="B369" s="143"/>
      <c r="C369" s="143"/>
      <c r="D369" s="143"/>
      <c r="E369" s="143"/>
      <c r="F369" s="143"/>
      <c r="G369" s="143"/>
      <c r="H369" s="143"/>
      <c r="I369" s="143"/>
      <c r="J369" s="143"/>
      <c r="K369" s="143"/>
      <c r="L369" s="143"/>
      <c r="M369" s="143"/>
      <c r="N369" s="143"/>
      <c r="O369" s="143"/>
      <c r="P369" s="143"/>
      <c r="Q369" s="143"/>
      <c r="R369" s="143"/>
      <c r="S369" s="143"/>
      <c r="T369" s="143"/>
      <c r="U369" s="143"/>
      <c r="V369" s="143"/>
      <c r="W369" s="143"/>
      <c r="X369" s="143"/>
      <c r="Y369" s="143"/>
      <c r="Z369" s="143"/>
      <c r="AA369" s="143"/>
      <c r="AB369" s="143"/>
      <c r="AC369" s="143"/>
      <c r="AD369" s="143"/>
      <c r="AE369" s="143"/>
      <c r="AF369" s="143"/>
      <c r="AG369" s="143"/>
      <c r="AH369" s="143"/>
      <c r="AI369" s="143"/>
      <c r="AJ369" s="143"/>
      <c r="AK369" s="143"/>
      <c r="AL369" s="143"/>
      <c r="AM369" s="143"/>
    </row>
    <row r="370" spans="1:39" ht="12.75" customHeight="1" x14ac:dyDescent="0.25">
      <c r="A370" s="143"/>
      <c r="B370" s="143"/>
      <c r="C370" s="143"/>
      <c r="D370" s="143"/>
      <c r="E370" s="143"/>
      <c r="F370" s="143"/>
      <c r="G370" s="143"/>
      <c r="H370" s="143"/>
      <c r="I370" s="143"/>
      <c r="J370" s="143"/>
      <c r="K370" s="143"/>
      <c r="L370" s="143"/>
      <c r="M370" s="143"/>
      <c r="N370" s="143"/>
      <c r="O370" s="143"/>
      <c r="P370" s="143"/>
      <c r="Q370" s="143"/>
      <c r="R370" s="143"/>
      <c r="S370" s="143"/>
      <c r="T370" s="143"/>
      <c r="U370" s="143"/>
      <c r="V370" s="143"/>
      <c r="W370" s="143"/>
      <c r="X370" s="143"/>
      <c r="Y370" s="143"/>
      <c r="Z370" s="143"/>
      <c r="AA370" s="143"/>
      <c r="AB370" s="143"/>
      <c r="AC370" s="143"/>
      <c r="AD370" s="143"/>
      <c r="AE370" s="143"/>
      <c r="AF370" s="143"/>
      <c r="AG370" s="143"/>
      <c r="AH370" s="143"/>
      <c r="AI370" s="143"/>
      <c r="AJ370" s="143"/>
      <c r="AK370" s="143"/>
      <c r="AL370" s="143"/>
      <c r="AM370" s="143"/>
    </row>
    <row r="371" spans="1:39" ht="12.75" customHeight="1" x14ac:dyDescent="0.25">
      <c r="A371" s="143"/>
      <c r="B371" s="143"/>
      <c r="C371" s="143"/>
      <c r="D371" s="143"/>
      <c r="E371" s="143"/>
      <c r="F371" s="143"/>
      <c r="G371" s="143"/>
      <c r="H371" s="143"/>
      <c r="I371" s="143"/>
      <c r="J371" s="143"/>
      <c r="K371" s="143"/>
      <c r="L371" s="143"/>
      <c r="M371" s="143"/>
      <c r="N371" s="143"/>
      <c r="O371" s="143"/>
      <c r="P371" s="143"/>
      <c r="Q371" s="143"/>
      <c r="R371" s="143"/>
      <c r="S371" s="143"/>
      <c r="T371" s="143"/>
      <c r="U371" s="143"/>
      <c r="V371" s="143"/>
      <c r="W371" s="143"/>
      <c r="X371" s="143"/>
      <c r="Y371" s="143"/>
      <c r="Z371" s="143"/>
      <c r="AA371" s="143"/>
      <c r="AB371" s="143"/>
      <c r="AC371" s="143"/>
      <c r="AD371" s="143"/>
      <c r="AE371" s="143"/>
      <c r="AF371" s="143"/>
      <c r="AG371" s="143"/>
      <c r="AH371" s="143"/>
      <c r="AI371" s="143"/>
      <c r="AJ371" s="143"/>
      <c r="AK371" s="143"/>
      <c r="AL371" s="143"/>
      <c r="AM371" s="143"/>
    </row>
    <row r="372" spans="1:39" ht="12.75" customHeight="1" x14ac:dyDescent="0.25">
      <c r="A372" s="143"/>
      <c r="B372" s="143"/>
      <c r="C372" s="143"/>
      <c r="D372" s="143"/>
      <c r="E372" s="143"/>
      <c r="F372" s="143"/>
      <c r="G372" s="143"/>
      <c r="H372" s="143"/>
      <c r="I372" s="143"/>
      <c r="J372" s="143"/>
      <c r="K372" s="143"/>
      <c r="L372" s="143"/>
      <c r="M372" s="143"/>
      <c r="N372" s="143"/>
      <c r="O372" s="143"/>
      <c r="P372" s="143"/>
      <c r="Q372" s="143"/>
      <c r="R372" s="143"/>
      <c r="S372" s="143"/>
      <c r="T372" s="143"/>
      <c r="U372" s="143"/>
      <c r="V372" s="143"/>
      <c r="W372" s="143"/>
      <c r="X372" s="143"/>
      <c r="Y372" s="143"/>
      <c r="Z372" s="143"/>
      <c r="AA372" s="143"/>
      <c r="AB372" s="143"/>
      <c r="AC372" s="143"/>
      <c r="AD372" s="143"/>
      <c r="AE372" s="143"/>
      <c r="AF372" s="143"/>
      <c r="AG372" s="143"/>
      <c r="AH372" s="143"/>
      <c r="AI372" s="143"/>
      <c r="AJ372" s="143"/>
      <c r="AK372" s="143"/>
      <c r="AL372" s="143"/>
      <c r="AM372" s="143"/>
    </row>
    <row r="373" spans="1:39" ht="12.75" customHeight="1" x14ac:dyDescent="0.25">
      <c r="A373" s="143"/>
      <c r="B373" s="143"/>
      <c r="C373" s="143"/>
      <c r="D373" s="143"/>
      <c r="E373" s="143"/>
      <c r="F373" s="143"/>
      <c r="G373" s="143"/>
      <c r="H373" s="143"/>
      <c r="I373" s="143"/>
      <c r="J373" s="143"/>
      <c r="K373" s="143"/>
      <c r="L373" s="143"/>
      <c r="M373" s="143"/>
      <c r="N373" s="143"/>
      <c r="O373" s="143"/>
      <c r="P373" s="143"/>
      <c r="Q373" s="143"/>
      <c r="R373" s="143"/>
      <c r="S373" s="143"/>
      <c r="T373" s="143"/>
      <c r="U373" s="143"/>
      <c r="V373" s="143"/>
      <c r="W373" s="143"/>
      <c r="X373" s="143"/>
      <c r="Y373" s="143"/>
      <c r="Z373" s="143"/>
      <c r="AA373" s="143"/>
      <c r="AB373" s="143"/>
      <c r="AC373" s="143"/>
      <c r="AD373" s="143"/>
      <c r="AE373" s="143"/>
      <c r="AF373" s="143"/>
      <c r="AG373" s="143"/>
      <c r="AH373" s="143"/>
      <c r="AI373" s="143"/>
      <c r="AJ373" s="143"/>
      <c r="AK373" s="143"/>
      <c r="AL373" s="143"/>
      <c r="AM373" s="143"/>
    </row>
    <row r="374" spans="1:39" ht="12.75" customHeight="1" x14ac:dyDescent="0.25">
      <c r="A374" s="143"/>
      <c r="B374" s="143"/>
      <c r="C374" s="143"/>
      <c r="D374" s="143"/>
      <c r="E374" s="143"/>
      <c r="F374" s="143"/>
      <c r="G374" s="143"/>
      <c r="H374" s="143"/>
      <c r="I374" s="143"/>
      <c r="J374" s="143"/>
      <c r="K374" s="143"/>
      <c r="L374" s="143"/>
      <c r="M374" s="143"/>
      <c r="N374" s="143"/>
      <c r="O374" s="143"/>
      <c r="P374" s="143"/>
      <c r="Q374" s="143"/>
      <c r="R374" s="143"/>
      <c r="S374" s="143"/>
      <c r="T374" s="143"/>
      <c r="U374" s="143"/>
      <c r="V374" s="143"/>
      <c r="W374" s="143"/>
      <c r="X374" s="143"/>
      <c r="Y374" s="143"/>
      <c r="Z374" s="143"/>
      <c r="AA374" s="143"/>
      <c r="AB374" s="143"/>
      <c r="AC374" s="143"/>
      <c r="AD374" s="143"/>
      <c r="AE374" s="143"/>
      <c r="AF374" s="143"/>
      <c r="AG374" s="143"/>
      <c r="AH374" s="143"/>
      <c r="AI374" s="143"/>
      <c r="AJ374" s="143"/>
      <c r="AK374" s="143"/>
      <c r="AL374" s="143"/>
      <c r="AM374" s="143"/>
    </row>
    <row r="375" spans="1:39" ht="12.75" customHeight="1" x14ac:dyDescent="0.25">
      <c r="A375" s="143"/>
      <c r="B375" s="143"/>
      <c r="C375" s="143"/>
      <c r="D375" s="143"/>
      <c r="E375" s="143"/>
      <c r="F375" s="143"/>
      <c r="G375" s="143"/>
      <c r="H375" s="143"/>
      <c r="I375" s="143"/>
      <c r="J375" s="143"/>
      <c r="K375" s="143"/>
      <c r="L375" s="143"/>
      <c r="M375" s="143"/>
      <c r="N375" s="143"/>
      <c r="O375" s="143"/>
      <c r="P375" s="143"/>
      <c r="Q375" s="143"/>
      <c r="R375" s="143"/>
      <c r="S375" s="143"/>
      <c r="T375" s="143"/>
      <c r="U375" s="143"/>
      <c r="V375" s="143"/>
      <c r="W375" s="143"/>
      <c r="X375" s="143"/>
      <c r="Y375" s="143"/>
      <c r="Z375" s="143"/>
      <c r="AA375" s="143"/>
      <c r="AB375" s="143"/>
      <c r="AC375" s="143"/>
      <c r="AD375" s="143"/>
      <c r="AE375" s="143"/>
      <c r="AF375" s="143"/>
      <c r="AG375" s="143"/>
      <c r="AH375" s="143"/>
      <c r="AI375" s="143"/>
      <c r="AJ375" s="143"/>
      <c r="AK375" s="143"/>
      <c r="AL375" s="143"/>
      <c r="AM375" s="143"/>
    </row>
    <row r="376" spans="1:39" ht="12.75" customHeight="1" x14ac:dyDescent="0.25">
      <c r="A376" s="143"/>
      <c r="B376" s="143"/>
      <c r="C376" s="143"/>
      <c r="D376" s="143"/>
      <c r="E376" s="143"/>
      <c r="F376" s="143"/>
      <c r="G376" s="143"/>
      <c r="H376" s="143"/>
      <c r="I376" s="143"/>
      <c r="J376" s="143"/>
      <c r="K376" s="143"/>
      <c r="L376" s="143"/>
      <c r="M376" s="143"/>
      <c r="N376" s="143"/>
      <c r="O376" s="143"/>
      <c r="P376" s="143"/>
      <c r="Q376" s="143"/>
      <c r="R376" s="143"/>
      <c r="S376" s="143"/>
      <c r="T376" s="143"/>
      <c r="U376" s="143"/>
      <c r="V376" s="143"/>
      <c r="W376" s="143"/>
      <c r="X376" s="143"/>
      <c r="Y376" s="143"/>
      <c r="Z376" s="143"/>
      <c r="AA376" s="143"/>
      <c r="AB376" s="143"/>
      <c r="AC376" s="143"/>
      <c r="AD376" s="143"/>
      <c r="AE376" s="143"/>
      <c r="AF376" s="143"/>
      <c r="AG376" s="143"/>
      <c r="AH376" s="143"/>
      <c r="AI376" s="143"/>
      <c r="AJ376" s="143"/>
      <c r="AK376" s="143"/>
      <c r="AL376" s="143"/>
      <c r="AM376" s="143"/>
    </row>
    <row r="377" spans="1:39" ht="12.75" customHeight="1" x14ac:dyDescent="0.25">
      <c r="A377" s="143"/>
      <c r="B377" s="143"/>
      <c r="C377" s="143"/>
      <c r="D377" s="143"/>
      <c r="E377" s="143"/>
      <c r="F377" s="143"/>
      <c r="G377" s="143"/>
      <c r="H377" s="143"/>
      <c r="I377" s="143"/>
      <c r="J377" s="143"/>
      <c r="K377" s="143"/>
      <c r="L377" s="143"/>
      <c r="M377" s="143"/>
      <c r="N377" s="143"/>
      <c r="O377" s="143"/>
      <c r="P377" s="143"/>
      <c r="Q377" s="143"/>
      <c r="R377" s="143"/>
      <c r="S377" s="143"/>
      <c r="T377" s="143"/>
      <c r="U377" s="143"/>
      <c r="V377" s="143"/>
      <c r="W377" s="143"/>
      <c r="X377" s="143"/>
      <c r="Y377" s="143"/>
      <c r="Z377" s="143"/>
      <c r="AA377" s="143"/>
      <c r="AB377" s="143"/>
      <c r="AC377" s="143"/>
      <c r="AD377" s="143"/>
      <c r="AE377" s="143"/>
      <c r="AF377" s="143"/>
      <c r="AG377" s="143"/>
      <c r="AH377" s="143"/>
      <c r="AI377" s="143"/>
      <c r="AJ377" s="143"/>
      <c r="AK377" s="143"/>
      <c r="AL377" s="143"/>
      <c r="AM377" s="143"/>
    </row>
    <row r="378" spans="1:39" ht="12.75" customHeight="1" x14ac:dyDescent="0.25">
      <c r="A378" s="143"/>
      <c r="B378" s="143"/>
      <c r="C378" s="143"/>
      <c r="D378" s="143"/>
      <c r="E378" s="143"/>
      <c r="F378" s="143"/>
      <c r="G378" s="143"/>
      <c r="H378" s="143"/>
      <c r="I378" s="143"/>
      <c r="J378" s="143"/>
      <c r="K378" s="143"/>
      <c r="L378" s="143"/>
      <c r="M378" s="143"/>
      <c r="N378" s="143"/>
      <c r="O378" s="143"/>
      <c r="P378" s="143"/>
      <c r="Q378" s="143"/>
      <c r="R378" s="143"/>
      <c r="S378" s="143"/>
      <c r="T378" s="143"/>
      <c r="U378" s="143"/>
      <c r="V378" s="143"/>
      <c r="W378" s="143"/>
      <c r="X378" s="143"/>
      <c r="Y378" s="143"/>
      <c r="Z378" s="143"/>
      <c r="AA378" s="143"/>
      <c r="AB378" s="143"/>
      <c r="AC378" s="143"/>
      <c r="AD378" s="143"/>
      <c r="AE378" s="143"/>
      <c r="AF378" s="143"/>
      <c r="AG378" s="143"/>
      <c r="AH378" s="143"/>
      <c r="AI378" s="143"/>
      <c r="AJ378" s="143"/>
      <c r="AK378" s="143"/>
      <c r="AL378" s="143"/>
      <c r="AM378" s="143"/>
    </row>
    <row r="379" spans="1:39" ht="12.75" customHeight="1" x14ac:dyDescent="0.25">
      <c r="A379" s="143"/>
      <c r="B379" s="143"/>
      <c r="C379" s="143"/>
      <c r="D379" s="143"/>
      <c r="E379" s="143"/>
      <c r="F379" s="143"/>
      <c r="G379" s="143"/>
      <c r="H379" s="143"/>
      <c r="I379" s="143"/>
      <c r="J379" s="143"/>
      <c r="K379" s="143"/>
      <c r="L379" s="143"/>
      <c r="M379" s="143"/>
      <c r="N379" s="143"/>
      <c r="O379" s="143"/>
      <c r="P379" s="143"/>
      <c r="Q379" s="143"/>
      <c r="R379" s="143"/>
      <c r="S379" s="143"/>
      <c r="T379" s="143"/>
      <c r="U379" s="143"/>
      <c r="V379" s="143"/>
      <c r="W379" s="143"/>
      <c r="X379" s="143"/>
      <c r="Y379" s="143"/>
      <c r="Z379" s="143"/>
      <c r="AA379" s="143"/>
      <c r="AB379" s="143"/>
      <c r="AC379" s="143"/>
      <c r="AD379" s="143"/>
      <c r="AE379" s="143"/>
      <c r="AF379" s="143"/>
      <c r="AG379" s="143"/>
      <c r="AH379" s="143"/>
      <c r="AI379" s="143"/>
      <c r="AJ379" s="143"/>
      <c r="AK379" s="143"/>
      <c r="AL379" s="143"/>
      <c r="AM379" s="143"/>
    </row>
    <row r="380" spans="1:39" ht="12.75" customHeight="1" x14ac:dyDescent="0.25">
      <c r="A380" s="143"/>
      <c r="B380" s="143"/>
      <c r="C380" s="143"/>
      <c r="D380" s="143"/>
      <c r="E380" s="143"/>
      <c r="F380" s="143"/>
      <c r="G380" s="143"/>
      <c r="H380" s="143"/>
      <c r="I380" s="143"/>
      <c r="J380" s="143"/>
      <c r="K380" s="143"/>
      <c r="L380" s="143"/>
      <c r="M380" s="143"/>
      <c r="N380" s="143"/>
      <c r="O380" s="143"/>
      <c r="P380" s="143"/>
      <c r="Q380" s="143"/>
      <c r="R380" s="143"/>
      <c r="S380" s="143"/>
      <c r="T380" s="143"/>
      <c r="U380" s="143"/>
      <c r="V380" s="143"/>
      <c r="W380" s="143"/>
      <c r="X380" s="143"/>
      <c r="Y380" s="143"/>
      <c r="Z380" s="143"/>
      <c r="AA380" s="143"/>
      <c r="AB380" s="143"/>
      <c r="AC380" s="143"/>
      <c r="AD380" s="143"/>
      <c r="AE380" s="143"/>
      <c r="AF380" s="143"/>
      <c r="AG380" s="143"/>
      <c r="AH380" s="143"/>
      <c r="AI380" s="143"/>
      <c r="AJ380" s="143"/>
      <c r="AK380" s="143"/>
      <c r="AL380" s="143"/>
      <c r="AM380" s="143"/>
    </row>
    <row r="381" spans="1:39" ht="12.75" customHeight="1" x14ac:dyDescent="0.25">
      <c r="A381" s="143"/>
      <c r="B381" s="143"/>
      <c r="C381" s="143"/>
      <c r="D381" s="143"/>
      <c r="E381" s="143"/>
      <c r="F381" s="143"/>
      <c r="G381" s="143"/>
      <c r="H381" s="143"/>
      <c r="I381" s="143"/>
      <c r="J381" s="143"/>
      <c r="K381" s="143"/>
      <c r="L381" s="143"/>
      <c r="M381" s="143"/>
      <c r="N381" s="143"/>
      <c r="O381" s="143"/>
      <c r="P381" s="143"/>
      <c r="Q381" s="143"/>
      <c r="R381" s="143"/>
      <c r="S381" s="143"/>
      <c r="T381" s="143"/>
      <c r="U381" s="143"/>
      <c r="V381" s="143"/>
      <c r="W381" s="143"/>
      <c r="X381" s="143"/>
      <c r="Y381" s="143"/>
      <c r="Z381" s="143"/>
      <c r="AA381" s="143"/>
      <c r="AB381" s="143"/>
      <c r="AC381" s="143"/>
      <c r="AD381" s="143"/>
      <c r="AE381" s="143"/>
      <c r="AF381" s="143"/>
      <c r="AG381" s="143"/>
      <c r="AH381" s="143"/>
      <c r="AI381" s="143"/>
      <c r="AJ381" s="143"/>
      <c r="AK381" s="143"/>
      <c r="AL381" s="143"/>
      <c r="AM381" s="143"/>
    </row>
    <row r="382" spans="1:39" ht="12.75" customHeight="1" x14ac:dyDescent="0.25">
      <c r="A382" s="143"/>
      <c r="B382" s="143"/>
      <c r="C382" s="143"/>
      <c r="D382" s="143"/>
      <c r="E382" s="143"/>
      <c r="F382" s="143"/>
      <c r="G382" s="143"/>
      <c r="H382" s="143"/>
      <c r="I382" s="143"/>
      <c r="J382" s="143"/>
      <c r="K382" s="143"/>
      <c r="L382" s="143"/>
      <c r="M382" s="143"/>
      <c r="N382" s="143"/>
      <c r="O382" s="143"/>
      <c r="P382" s="143"/>
      <c r="Q382" s="143"/>
      <c r="R382" s="143"/>
      <c r="S382" s="143"/>
      <c r="T382" s="143"/>
      <c r="U382" s="143"/>
      <c r="V382" s="143"/>
      <c r="W382" s="143"/>
      <c r="X382" s="143"/>
      <c r="Y382" s="143"/>
      <c r="Z382" s="143"/>
      <c r="AA382" s="143"/>
      <c r="AB382" s="143"/>
      <c r="AC382" s="143"/>
      <c r="AD382" s="143"/>
      <c r="AE382" s="143"/>
      <c r="AF382" s="143"/>
      <c r="AG382" s="143"/>
      <c r="AH382" s="143"/>
      <c r="AI382" s="143"/>
      <c r="AJ382" s="143"/>
      <c r="AK382" s="143"/>
      <c r="AL382" s="143"/>
      <c r="AM382" s="143"/>
    </row>
    <row r="383" spans="1:39" ht="12.75" customHeight="1" x14ac:dyDescent="0.25">
      <c r="A383" s="143"/>
      <c r="B383" s="143"/>
      <c r="C383" s="143"/>
      <c r="D383" s="143"/>
      <c r="E383" s="143"/>
      <c r="F383" s="143"/>
      <c r="G383" s="143"/>
      <c r="H383" s="143"/>
      <c r="I383" s="143"/>
      <c r="J383" s="143"/>
      <c r="K383" s="143"/>
      <c r="L383" s="143"/>
      <c r="M383" s="143"/>
      <c r="N383" s="143"/>
      <c r="O383" s="143"/>
      <c r="P383" s="143"/>
      <c r="Q383" s="143"/>
      <c r="R383" s="143"/>
      <c r="S383" s="143"/>
      <c r="T383" s="143"/>
      <c r="U383" s="143"/>
      <c r="V383" s="143"/>
      <c r="W383" s="143"/>
      <c r="X383" s="143"/>
      <c r="Y383" s="143"/>
      <c r="Z383" s="143"/>
      <c r="AA383" s="143"/>
      <c r="AB383" s="143"/>
      <c r="AC383" s="143"/>
      <c r="AD383" s="143"/>
      <c r="AE383" s="143"/>
      <c r="AF383" s="143"/>
      <c r="AG383" s="143"/>
      <c r="AH383" s="143"/>
      <c r="AI383" s="143"/>
      <c r="AJ383" s="143"/>
      <c r="AK383" s="143"/>
      <c r="AL383" s="143"/>
      <c r="AM383" s="143"/>
    </row>
    <row r="384" spans="1:39" ht="12.75" customHeight="1" x14ac:dyDescent="0.25">
      <c r="A384" s="143"/>
      <c r="B384" s="143"/>
      <c r="C384" s="143"/>
      <c r="D384" s="143"/>
      <c r="E384" s="143"/>
      <c r="F384" s="143"/>
      <c r="G384" s="143"/>
      <c r="H384" s="143"/>
      <c r="I384" s="143"/>
      <c r="J384" s="143"/>
      <c r="K384" s="143"/>
      <c r="L384" s="143"/>
      <c r="M384" s="143"/>
      <c r="N384" s="143"/>
      <c r="O384" s="143"/>
      <c r="P384" s="143"/>
      <c r="Q384" s="143"/>
      <c r="R384" s="143"/>
      <c r="S384" s="143"/>
      <c r="T384" s="143"/>
      <c r="U384" s="143"/>
      <c r="V384" s="143"/>
      <c r="W384" s="143"/>
      <c r="X384" s="143"/>
      <c r="Y384" s="143"/>
      <c r="Z384" s="143"/>
      <c r="AA384" s="143"/>
      <c r="AB384" s="143"/>
      <c r="AC384" s="143"/>
      <c r="AD384" s="143"/>
      <c r="AE384" s="143"/>
      <c r="AF384" s="143"/>
      <c r="AG384" s="143"/>
      <c r="AH384" s="143"/>
      <c r="AI384" s="143"/>
      <c r="AJ384" s="143"/>
      <c r="AK384" s="143"/>
      <c r="AL384" s="143"/>
      <c r="AM384" s="143"/>
    </row>
    <row r="385" spans="1:39" ht="12.75" customHeight="1" x14ac:dyDescent="0.25">
      <c r="A385" s="143"/>
      <c r="B385" s="143"/>
      <c r="C385" s="143"/>
      <c r="D385" s="143"/>
      <c r="E385" s="143"/>
      <c r="F385" s="143"/>
      <c r="G385" s="143"/>
      <c r="H385" s="143"/>
      <c r="I385" s="143"/>
      <c r="J385" s="143"/>
      <c r="K385" s="143"/>
      <c r="L385" s="143"/>
      <c r="M385" s="143"/>
      <c r="N385" s="143"/>
      <c r="O385" s="143"/>
      <c r="P385" s="143"/>
      <c r="Q385" s="143"/>
      <c r="R385" s="143"/>
      <c r="S385" s="143"/>
      <c r="T385" s="143"/>
      <c r="U385" s="143"/>
      <c r="V385" s="143"/>
      <c r="W385" s="143"/>
      <c r="X385" s="143"/>
      <c r="Y385" s="143"/>
      <c r="Z385" s="143"/>
      <c r="AA385" s="143"/>
      <c r="AB385" s="143"/>
      <c r="AC385" s="143"/>
      <c r="AD385" s="143"/>
      <c r="AE385" s="143"/>
      <c r="AF385" s="143"/>
      <c r="AG385" s="143"/>
      <c r="AH385" s="143"/>
      <c r="AI385" s="143"/>
      <c r="AJ385" s="143"/>
      <c r="AK385" s="143"/>
      <c r="AL385" s="143"/>
      <c r="AM385" s="143"/>
    </row>
    <row r="386" spans="1:39" ht="12.75" customHeight="1" x14ac:dyDescent="0.25">
      <c r="A386" s="143"/>
      <c r="B386" s="143"/>
      <c r="C386" s="143"/>
      <c r="D386" s="143"/>
      <c r="E386" s="143"/>
      <c r="F386" s="143"/>
      <c r="G386" s="143"/>
      <c r="H386" s="143"/>
      <c r="I386" s="143"/>
      <c r="J386" s="143"/>
      <c r="K386" s="143"/>
      <c r="L386" s="143"/>
      <c r="M386" s="143"/>
      <c r="N386" s="143"/>
      <c r="O386" s="143"/>
      <c r="P386" s="143"/>
      <c r="Q386" s="143"/>
      <c r="R386" s="143"/>
      <c r="S386" s="143"/>
      <c r="T386" s="143"/>
      <c r="U386" s="143"/>
      <c r="V386" s="143"/>
      <c r="W386" s="143"/>
      <c r="X386" s="143"/>
      <c r="Y386" s="143"/>
      <c r="Z386" s="143"/>
      <c r="AA386" s="143"/>
      <c r="AB386" s="143"/>
      <c r="AC386" s="143"/>
      <c r="AD386" s="143"/>
      <c r="AE386" s="143"/>
      <c r="AF386" s="143"/>
      <c r="AG386" s="143"/>
      <c r="AH386" s="143"/>
      <c r="AI386" s="143"/>
      <c r="AJ386" s="143"/>
      <c r="AK386" s="143"/>
      <c r="AL386" s="143"/>
      <c r="AM386" s="143"/>
    </row>
    <row r="387" spans="1:39" ht="12.75" customHeight="1" x14ac:dyDescent="0.25">
      <c r="A387" s="143"/>
      <c r="B387" s="143"/>
      <c r="C387" s="143"/>
      <c r="D387" s="143"/>
      <c r="E387" s="143"/>
      <c r="F387" s="143"/>
      <c r="G387" s="143"/>
      <c r="H387" s="143"/>
      <c r="I387" s="143"/>
      <c r="J387" s="143"/>
      <c r="K387" s="143"/>
      <c r="L387" s="143"/>
      <c r="M387" s="143"/>
      <c r="N387" s="143"/>
      <c r="O387" s="143"/>
      <c r="P387" s="143"/>
      <c r="Q387" s="143"/>
      <c r="R387" s="143"/>
      <c r="S387" s="143"/>
      <c r="T387" s="143"/>
      <c r="U387" s="143"/>
      <c r="V387" s="143"/>
      <c r="W387" s="143"/>
      <c r="X387" s="143"/>
      <c r="Y387" s="143"/>
      <c r="Z387" s="143"/>
      <c r="AA387" s="143"/>
      <c r="AB387" s="143"/>
      <c r="AC387" s="143"/>
      <c r="AD387" s="143"/>
      <c r="AE387" s="143"/>
      <c r="AF387" s="143"/>
      <c r="AG387" s="143"/>
      <c r="AH387" s="143"/>
      <c r="AI387" s="143"/>
      <c r="AJ387" s="143"/>
      <c r="AK387" s="143"/>
      <c r="AL387" s="143"/>
      <c r="AM387" s="143"/>
    </row>
    <row r="388" spans="1:39" ht="12.75" customHeight="1" x14ac:dyDescent="0.25">
      <c r="A388" s="143"/>
      <c r="B388" s="143"/>
      <c r="C388" s="143"/>
      <c r="D388" s="143"/>
      <c r="E388" s="143"/>
      <c r="F388" s="143"/>
      <c r="G388" s="143"/>
      <c r="H388" s="143"/>
      <c r="I388" s="143"/>
      <c r="J388" s="143"/>
      <c r="K388" s="143"/>
      <c r="L388" s="143"/>
      <c r="M388" s="143"/>
      <c r="N388" s="143"/>
      <c r="O388" s="143"/>
      <c r="P388" s="143"/>
      <c r="Q388" s="143"/>
      <c r="R388" s="143"/>
      <c r="S388" s="143"/>
      <c r="T388" s="143"/>
      <c r="U388" s="143"/>
      <c r="V388" s="143"/>
      <c r="W388" s="143"/>
      <c r="X388" s="143"/>
      <c r="Y388" s="143"/>
      <c r="Z388" s="143"/>
      <c r="AA388" s="143"/>
      <c r="AB388" s="143"/>
      <c r="AC388" s="143"/>
      <c r="AD388" s="143"/>
      <c r="AE388" s="143"/>
      <c r="AF388" s="143"/>
      <c r="AG388" s="143"/>
      <c r="AH388" s="143"/>
      <c r="AI388" s="143"/>
      <c r="AJ388" s="143"/>
      <c r="AK388" s="143"/>
      <c r="AL388" s="143"/>
      <c r="AM388" s="143"/>
    </row>
    <row r="389" spans="1:39" ht="12.75" customHeight="1" x14ac:dyDescent="0.25">
      <c r="A389" s="143"/>
      <c r="B389" s="143"/>
      <c r="C389" s="143"/>
      <c r="D389" s="143"/>
      <c r="E389" s="143"/>
      <c r="F389" s="143"/>
      <c r="G389" s="143"/>
      <c r="H389" s="143"/>
      <c r="I389" s="143"/>
      <c r="J389" s="143"/>
      <c r="K389" s="143"/>
      <c r="L389" s="143"/>
      <c r="M389" s="143"/>
      <c r="N389" s="143"/>
      <c r="O389" s="143"/>
      <c r="P389" s="143"/>
      <c r="Q389" s="143"/>
      <c r="R389" s="143"/>
      <c r="S389" s="143"/>
      <c r="T389" s="143"/>
      <c r="U389" s="143"/>
      <c r="V389" s="143"/>
      <c r="W389" s="143"/>
      <c r="X389" s="143"/>
      <c r="Y389" s="143"/>
      <c r="Z389" s="143"/>
      <c r="AA389" s="143"/>
      <c r="AB389" s="143"/>
      <c r="AC389" s="143"/>
      <c r="AD389" s="143"/>
      <c r="AE389" s="143"/>
      <c r="AF389" s="143"/>
      <c r="AG389" s="143"/>
      <c r="AH389" s="143"/>
      <c r="AI389" s="143"/>
      <c r="AJ389" s="143"/>
      <c r="AK389" s="143"/>
      <c r="AL389" s="143"/>
      <c r="AM389" s="143"/>
    </row>
    <row r="390" spans="1:39" ht="12.75" customHeight="1" x14ac:dyDescent="0.25">
      <c r="A390" s="143"/>
      <c r="B390" s="143"/>
      <c r="C390" s="143"/>
      <c r="D390" s="143"/>
      <c r="E390" s="143"/>
      <c r="F390" s="143"/>
      <c r="G390" s="143"/>
      <c r="H390" s="143"/>
      <c r="I390" s="143"/>
      <c r="J390" s="143"/>
      <c r="K390" s="143"/>
      <c r="L390" s="143"/>
      <c r="M390" s="143"/>
      <c r="N390" s="143"/>
      <c r="O390" s="143"/>
      <c r="P390" s="143"/>
      <c r="Q390" s="143"/>
      <c r="R390" s="143"/>
      <c r="S390" s="143"/>
      <c r="T390" s="143"/>
      <c r="U390" s="143"/>
      <c r="V390" s="143"/>
      <c r="W390" s="143"/>
      <c r="X390" s="143"/>
      <c r="Y390" s="143"/>
      <c r="Z390" s="143"/>
      <c r="AA390" s="143"/>
      <c r="AB390" s="143"/>
      <c r="AC390" s="143"/>
      <c r="AD390" s="143"/>
      <c r="AE390" s="143"/>
      <c r="AF390" s="143"/>
      <c r="AG390" s="143"/>
      <c r="AH390" s="143"/>
      <c r="AI390" s="143"/>
      <c r="AJ390" s="143"/>
      <c r="AK390" s="143"/>
      <c r="AL390" s="143"/>
      <c r="AM390" s="143"/>
    </row>
    <row r="391" spans="1:39" ht="12.75" customHeight="1" x14ac:dyDescent="0.25">
      <c r="A391" s="143"/>
      <c r="B391" s="143"/>
      <c r="C391" s="143"/>
      <c r="D391" s="143"/>
      <c r="E391" s="143"/>
      <c r="F391" s="143"/>
      <c r="G391" s="143"/>
      <c r="H391" s="143"/>
      <c r="I391" s="143"/>
      <c r="J391" s="143"/>
      <c r="K391" s="143"/>
      <c r="L391" s="143"/>
      <c r="M391" s="143"/>
      <c r="N391" s="143"/>
      <c r="O391" s="143"/>
      <c r="P391" s="143"/>
      <c r="Q391" s="143"/>
      <c r="R391" s="143"/>
      <c r="S391" s="143"/>
      <c r="T391" s="143"/>
      <c r="U391" s="143"/>
      <c r="V391" s="143"/>
      <c r="W391" s="143"/>
      <c r="X391" s="143"/>
      <c r="Y391" s="143"/>
      <c r="Z391" s="143"/>
      <c r="AA391" s="143"/>
      <c r="AB391" s="143"/>
      <c r="AC391" s="143"/>
      <c r="AD391" s="143"/>
      <c r="AE391" s="143"/>
      <c r="AF391" s="143"/>
      <c r="AG391" s="143"/>
      <c r="AH391" s="143"/>
      <c r="AI391" s="143"/>
      <c r="AJ391" s="143"/>
      <c r="AK391" s="143"/>
      <c r="AL391" s="143"/>
      <c r="AM391" s="143"/>
    </row>
    <row r="392" spans="1:39" ht="12.75" customHeight="1" x14ac:dyDescent="0.25">
      <c r="A392" s="143"/>
      <c r="B392" s="143"/>
      <c r="C392" s="143"/>
      <c r="D392" s="143"/>
      <c r="E392" s="143"/>
      <c r="F392" s="143"/>
      <c r="G392" s="143"/>
      <c r="H392" s="143"/>
      <c r="I392" s="143"/>
      <c r="J392" s="143"/>
      <c r="K392" s="143"/>
      <c r="L392" s="143"/>
      <c r="M392" s="143"/>
      <c r="N392" s="143"/>
      <c r="O392" s="143"/>
      <c r="P392" s="143"/>
      <c r="Q392" s="143"/>
      <c r="R392" s="143"/>
      <c r="S392" s="143"/>
      <c r="T392" s="143"/>
      <c r="U392" s="143"/>
      <c r="V392" s="143"/>
      <c r="W392" s="143"/>
      <c r="X392" s="143"/>
      <c r="Y392" s="143"/>
      <c r="Z392" s="143"/>
      <c r="AA392" s="143"/>
      <c r="AB392" s="143"/>
      <c r="AC392" s="143"/>
      <c r="AD392" s="143"/>
      <c r="AE392" s="143"/>
      <c r="AF392" s="143"/>
      <c r="AG392" s="143"/>
      <c r="AH392" s="143"/>
      <c r="AI392" s="143"/>
      <c r="AJ392" s="143"/>
      <c r="AK392" s="143"/>
      <c r="AL392" s="143"/>
      <c r="AM392" s="143"/>
    </row>
    <row r="393" spans="1:39" ht="12.75" customHeight="1" x14ac:dyDescent="0.25">
      <c r="A393" s="143"/>
      <c r="B393" s="143"/>
      <c r="C393" s="143"/>
      <c r="D393" s="143"/>
      <c r="E393" s="143"/>
      <c r="F393" s="143"/>
      <c r="G393" s="143"/>
      <c r="H393" s="143"/>
      <c r="I393" s="143"/>
      <c r="J393" s="143"/>
      <c r="K393" s="143"/>
      <c r="L393" s="143"/>
      <c r="M393" s="143"/>
      <c r="N393" s="143"/>
      <c r="O393" s="143"/>
      <c r="P393" s="143"/>
      <c r="Q393" s="143"/>
      <c r="R393" s="143"/>
      <c r="S393" s="143"/>
      <c r="T393" s="143"/>
      <c r="U393" s="143"/>
      <c r="V393" s="143"/>
      <c r="W393" s="143"/>
      <c r="X393" s="143"/>
      <c r="Y393" s="143"/>
      <c r="Z393" s="143"/>
      <c r="AA393" s="143"/>
      <c r="AB393" s="143"/>
      <c r="AC393" s="143"/>
      <c r="AD393" s="143"/>
      <c r="AE393" s="143"/>
      <c r="AF393" s="143"/>
      <c r="AG393" s="143"/>
      <c r="AH393" s="143"/>
      <c r="AI393" s="143"/>
      <c r="AJ393" s="143"/>
      <c r="AK393" s="143"/>
      <c r="AL393" s="143"/>
      <c r="AM393" s="143"/>
    </row>
    <row r="394" spans="1:39" ht="12.75" customHeight="1" x14ac:dyDescent="0.25">
      <c r="A394" s="143"/>
      <c r="B394" s="143"/>
      <c r="C394" s="143"/>
      <c r="D394" s="143"/>
      <c r="E394" s="143"/>
      <c r="F394" s="143"/>
      <c r="G394" s="143"/>
      <c r="H394" s="143"/>
      <c r="I394" s="143"/>
      <c r="J394" s="143"/>
      <c r="K394" s="143"/>
      <c r="L394" s="143"/>
      <c r="M394" s="143"/>
      <c r="N394" s="143"/>
      <c r="O394" s="143"/>
      <c r="P394" s="143"/>
      <c r="Q394" s="143"/>
      <c r="R394" s="143"/>
      <c r="S394" s="143"/>
      <c r="T394" s="143"/>
      <c r="U394" s="143"/>
      <c r="V394" s="143"/>
      <c r="W394" s="143"/>
      <c r="X394" s="143"/>
      <c r="Y394" s="143"/>
      <c r="Z394" s="143"/>
      <c r="AA394" s="143"/>
      <c r="AB394" s="143"/>
      <c r="AC394" s="143"/>
      <c r="AD394" s="143"/>
      <c r="AE394" s="143"/>
      <c r="AF394" s="143"/>
      <c r="AG394" s="143"/>
      <c r="AH394" s="143"/>
      <c r="AI394" s="143"/>
      <c r="AJ394" s="143"/>
      <c r="AK394" s="143"/>
      <c r="AL394" s="143"/>
      <c r="AM394" s="143"/>
    </row>
    <row r="395" spans="1:39" ht="12.75" customHeight="1" x14ac:dyDescent="0.25">
      <c r="A395" s="143"/>
      <c r="B395" s="143"/>
      <c r="C395" s="143"/>
      <c r="D395" s="143"/>
      <c r="E395" s="143"/>
      <c r="F395" s="143"/>
      <c r="G395" s="143"/>
      <c r="H395" s="143"/>
      <c r="I395" s="143"/>
      <c r="J395" s="143"/>
      <c r="K395" s="143"/>
      <c r="L395" s="143"/>
      <c r="M395" s="143"/>
      <c r="N395" s="143"/>
      <c r="O395" s="143"/>
      <c r="P395" s="143"/>
      <c r="Q395" s="143"/>
      <c r="R395" s="143"/>
      <c r="S395" s="143"/>
      <c r="T395" s="143"/>
      <c r="U395" s="143"/>
      <c r="V395" s="143"/>
      <c r="W395" s="143"/>
      <c r="X395" s="143"/>
      <c r="Y395" s="143"/>
      <c r="Z395" s="143"/>
      <c r="AA395" s="143"/>
      <c r="AB395" s="143"/>
      <c r="AC395" s="143"/>
      <c r="AD395" s="143"/>
      <c r="AE395" s="143"/>
      <c r="AF395" s="143"/>
      <c r="AG395" s="143"/>
      <c r="AH395" s="143"/>
      <c r="AI395" s="143"/>
      <c r="AJ395" s="143"/>
      <c r="AK395" s="143"/>
      <c r="AL395" s="143"/>
      <c r="AM395" s="143"/>
    </row>
    <row r="396" spans="1:39" ht="12.75" customHeight="1" x14ac:dyDescent="0.25">
      <c r="A396" s="143"/>
      <c r="B396" s="143"/>
      <c r="C396" s="143"/>
      <c r="D396" s="143"/>
      <c r="E396" s="143"/>
      <c r="F396" s="143"/>
      <c r="G396" s="143"/>
      <c r="H396" s="143"/>
      <c r="I396" s="143"/>
      <c r="J396" s="143"/>
      <c r="K396" s="143"/>
      <c r="L396" s="143"/>
      <c r="M396" s="143"/>
      <c r="N396" s="143"/>
      <c r="O396" s="143"/>
      <c r="P396" s="143"/>
      <c r="Q396" s="143"/>
      <c r="R396" s="143"/>
      <c r="S396" s="143"/>
      <c r="T396" s="143"/>
      <c r="U396" s="143"/>
      <c r="V396" s="143"/>
      <c r="W396" s="143"/>
      <c r="X396" s="143"/>
      <c r="Y396" s="143"/>
      <c r="Z396" s="143"/>
      <c r="AA396" s="143"/>
      <c r="AB396" s="143"/>
      <c r="AC396" s="143"/>
      <c r="AD396" s="143"/>
      <c r="AE396" s="143"/>
      <c r="AF396" s="143"/>
      <c r="AG396" s="143"/>
      <c r="AH396" s="143"/>
      <c r="AI396" s="143"/>
      <c r="AJ396" s="143"/>
      <c r="AK396" s="143"/>
      <c r="AL396" s="143"/>
      <c r="AM396" s="143"/>
    </row>
    <row r="397" spans="1:39" ht="12.75" customHeight="1" x14ac:dyDescent="0.25">
      <c r="A397" s="143"/>
      <c r="B397" s="143"/>
      <c r="C397" s="143"/>
      <c r="D397" s="143"/>
      <c r="E397" s="143"/>
      <c r="F397" s="143"/>
      <c r="G397" s="143"/>
      <c r="H397" s="143"/>
      <c r="I397" s="143"/>
      <c r="J397" s="143"/>
      <c r="K397" s="143"/>
      <c r="L397" s="143"/>
      <c r="M397" s="143"/>
      <c r="N397" s="143"/>
      <c r="O397" s="143"/>
      <c r="P397" s="143"/>
      <c r="Q397" s="143"/>
      <c r="R397" s="143"/>
      <c r="S397" s="143"/>
      <c r="T397" s="143"/>
      <c r="U397" s="143"/>
      <c r="V397" s="143"/>
      <c r="W397" s="143"/>
      <c r="X397" s="143"/>
      <c r="Y397" s="143"/>
      <c r="Z397" s="143"/>
      <c r="AA397" s="143"/>
      <c r="AB397" s="143"/>
      <c r="AC397" s="143"/>
      <c r="AD397" s="143"/>
      <c r="AE397" s="143"/>
      <c r="AF397" s="143"/>
      <c r="AG397" s="143"/>
      <c r="AH397" s="143"/>
      <c r="AI397" s="143"/>
      <c r="AJ397" s="143"/>
      <c r="AK397" s="143"/>
      <c r="AL397" s="143"/>
      <c r="AM397" s="143"/>
    </row>
    <row r="398" spans="1:39" ht="12.75" customHeight="1" x14ac:dyDescent="0.25">
      <c r="A398" s="143"/>
      <c r="B398" s="143"/>
      <c r="C398" s="143"/>
      <c r="D398" s="143"/>
      <c r="E398" s="143"/>
      <c r="F398" s="143"/>
      <c r="G398" s="143"/>
      <c r="H398" s="143"/>
      <c r="I398" s="143"/>
      <c r="J398" s="143"/>
      <c r="K398" s="143"/>
      <c r="L398" s="143"/>
      <c r="M398" s="143"/>
      <c r="N398" s="143"/>
      <c r="O398" s="143"/>
      <c r="P398" s="143"/>
      <c r="Q398" s="143"/>
      <c r="R398" s="143"/>
      <c r="S398" s="143"/>
      <c r="T398" s="143"/>
      <c r="U398" s="143"/>
      <c r="V398" s="143"/>
      <c r="W398" s="143"/>
      <c r="X398" s="143"/>
      <c r="Y398" s="143"/>
      <c r="Z398" s="143"/>
      <c r="AA398" s="143"/>
      <c r="AB398" s="143"/>
      <c r="AC398" s="143"/>
      <c r="AD398" s="143"/>
      <c r="AE398" s="143"/>
      <c r="AF398" s="143"/>
      <c r="AG398" s="143"/>
      <c r="AH398" s="143"/>
      <c r="AI398" s="143"/>
      <c r="AJ398" s="143"/>
      <c r="AK398" s="143"/>
      <c r="AL398" s="143"/>
      <c r="AM398" s="143"/>
    </row>
    <row r="399" spans="1:39" ht="12.75" customHeight="1" x14ac:dyDescent="0.25">
      <c r="A399" s="143"/>
      <c r="B399" s="143"/>
      <c r="C399" s="143"/>
      <c r="D399" s="143"/>
      <c r="E399" s="143"/>
      <c r="F399" s="143"/>
      <c r="G399" s="143"/>
      <c r="H399" s="143"/>
      <c r="I399" s="143"/>
      <c r="J399" s="143"/>
      <c r="K399" s="143"/>
      <c r="L399" s="143"/>
      <c r="M399" s="143"/>
      <c r="N399" s="143"/>
      <c r="O399" s="143"/>
      <c r="P399" s="143"/>
      <c r="Q399" s="143"/>
      <c r="R399" s="143"/>
      <c r="S399" s="143"/>
      <c r="T399" s="143"/>
      <c r="U399" s="143"/>
      <c r="V399" s="143"/>
      <c r="W399" s="143"/>
      <c r="X399" s="143"/>
      <c r="Y399" s="143"/>
      <c r="Z399" s="143"/>
      <c r="AA399" s="143"/>
      <c r="AB399" s="143"/>
      <c r="AC399" s="143"/>
      <c r="AD399" s="143"/>
      <c r="AE399" s="143"/>
      <c r="AF399" s="143"/>
      <c r="AG399" s="143"/>
      <c r="AH399" s="143"/>
      <c r="AI399" s="143"/>
      <c r="AJ399" s="143"/>
      <c r="AK399" s="143"/>
      <c r="AL399" s="143"/>
      <c r="AM399" s="143"/>
    </row>
    <row r="400" spans="1:39" ht="12.75" customHeight="1" x14ac:dyDescent="0.25">
      <c r="A400" s="143"/>
      <c r="B400" s="143"/>
      <c r="C400" s="143"/>
      <c r="D400" s="143"/>
      <c r="E400" s="143"/>
      <c r="F400" s="143"/>
      <c r="G400" s="143"/>
      <c r="H400" s="143"/>
      <c r="I400" s="143"/>
      <c r="J400" s="143"/>
      <c r="K400" s="143"/>
      <c r="L400" s="143"/>
      <c r="M400" s="143"/>
      <c r="N400" s="143"/>
      <c r="O400" s="143"/>
      <c r="P400" s="143"/>
      <c r="Q400" s="143"/>
      <c r="R400" s="143"/>
      <c r="S400" s="143"/>
      <c r="T400" s="143"/>
      <c r="U400" s="143"/>
      <c r="V400" s="143"/>
      <c r="W400" s="143"/>
      <c r="X400" s="143"/>
      <c r="Y400" s="143"/>
      <c r="Z400" s="143"/>
      <c r="AA400" s="143"/>
      <c r="AB400" s="143"/>
      <c r="AC400" s="143"/>
      <c r="AD400" s="143"/>
      <c r="AE400" s="143"/>
      <c r="AF400" s="143"/>
      <c r="AG400" s="143"/>
      <c r="AH400" s="143"/>
      <c r="AI400" s="143"/>
      <c r="AJ400" s="143"/>
      <c r="AK400" s="143"/>
      <c r="AL400" s="143"/>
      <c r="AM400" s="143"/>
    </row>
    <row r="401" spans="1:39" ht="12.75" customHeight="1" x14ac:dyDescent="0.25">
      <c r="A401" s="143"/>
      <c r="B401" s="143"/>
      <c r="C401" s="143"/>
      <c r="D401" s="143"/>
      <c r="E401" s="143"/>
      <c r="F401" s="143"/>
      <c r="G401" s="143"/>
      <c r="H401" s="143"/>
      <c r="I401" s="143"/>
      <c r="J401" s="143"/>
      <c r="K401" s="143"/>
      <c r="L401" s="143"/>
      <c r="M401" s="143"/>
      <c r="N401" s="143"/>
      <c r="O401" s="143"/>
      <c r="P401" s="143"/>
      <c r="Q401" s="143"/>
      <c r="R401" s="143"/>
      <c r="S401" s="143"/>
      <c r="T401" s="143"/>
      <c r="U401" s="143"/>
      <c r="V401" s="143"/>
      <c r="W401" s="143"/>
      <c r="X401" s="143"/>
      <c r="Y401" s="143"/>
      <c r="Z401" s="143"/>
      <c r="AA401" s="143"/>
      <c r="AB401" s="143"/>
      <c r="AC401" s="143"/>
      <c r="AD401" s="143"/>
      <c r="AE401" s="143"/>
      <c r="AF401" s="143"/>
      <c r="AG401" s="143"/>
      <c r="AH401" s="143"/>
      <c r="AI401" s="143"/>
      <c r="AJ401" s="143"/>
      <c r="AK401" s="143"/>
      <c r="AL401" s="143"/>
      <c r="AM401" s="143"/>
    </row>
    <row r="402" spans="1:39" ht="12.75" customHeight="1" x14ac:dyDescent="0.25">
      <c r="A402" s="143"/>
      <c r="B402" s="143"/>
      <c r="C402" s="143"/>
      <c r="D402" s="143"/>
      <c r="E402" s="143"/>
      <c r="F402" s="143"/>
      <c r="G402" s="143"/>
      <c r="H402" s="143"/>
      <c r="I402" s="143"/>
      <c r="J402" s="143"/>
      <c r="K402" s="143"/>
      <c r="L402" s="143"/>
      <c r="M402" s="143"/>
      <c r="N402" s="143"/>
      <c r="O402" s="143"/>
      <c r="P402" s="143"/>
      <c r="Q402" s="143"/>
      <c r="R402" s="143"/>
      <c r="S402" s="143"/>
      <c r="T402" s="143"/>
      <c r="U402" s="143"/>
      <c r="V402" s="143"/>
      <c r="W402" s="143"/>
      <c r="X402" s="143"/>
      <c r="Y402" s="143"/>
      <c r="Z402" s="143"/>
      <c r="AA402" s="143"/>
      <c r="AB402" s="143"/>
      <c r="AC402" s="143"/>
      <c r="AD402" s="143"/>
      <c r="AE402" s="143"/>
      <c r="AF402" s="143"/>
      <c r="AG402" s="143"/>
      <c r="AH402" s="143"/>
      <c r="AI402" s="143"/>
      <c r="AJ402" s="143"/>
      <c r="AK402" s="143"/>
      <c r="AL402" s="143"/>
      <c r="AM402" s="143"/>
    </row>
    <row r="403" spans="1:39" ht="12.75" customHeight="1" x14ac:dyDescent="0.25">
      <c r="A403" s="143"/>
      <c r="B403" s="143"/>
      <c r="C403" s="143"/>
      <c r="D403" s="143"/>
      <c r="E403" s="143"/>
      <c r="F403" s="143"/>
      <c r="G403" s="143"/>
      <c r="H403" s="143"/>
      <c r="I403" s="143"/>
      <c r="J403" s="143"/>
      <c r="K403" s="143"/>
      <c r="L403" s="143"/>
      <c r="M403" s="143"/>
      <c r="N403" s="143"/>
      <c r="O403" s="143"/>
      <c r="P403" s="143"/>
      <c r="Q403" s="143"/>
      <c r="R403" s="143"/>
      <c r="S403" s="143"/>
      <c r="T403" s="143"/>
      <c r="U403" s="143"/>
      <c r="V403" s="143"/>
      <c r="W403" s="143"/>
      <c r="X403" s="143"/>
      <c r="Y403" s="143"/>
      <c r="Z403" s="143"/>
      <c r="AA403" s="143"/>
      <c r="AB403" s="143"/>
      <c r="AC403" s="143"/>
      <c r="AD403" s="143"/>
      <c r="AE403" s="143"/>
      <c r="AF403" s="143"/>
      <c r="AG403" s="143"/>
      <c r="AH403" s="143"/>
      <c r="AI403" s="143"/>
      <c r="AJ403" s="143"/>
      <c r="AK403" s="143"/>
      <c r="AL403" s="143"/>
      <c r="AM403" s="143"/>
    </row>
    <row r="404" spans="1:39" ht="12.75" customHeight="1" x14ac:dyDescent="0.25">
      <c r="A404" s="143"/>
      <c r="B404" s="143"/>
      <c r="C404" s="143"/>
      <c r="D404" s="143"/>
      <c r="E404" s="143"/>
      <c r="F404" s="143"/>
      <c r="G404" s="143"/>
      <c r="H404" s="143"/>
      <c r="I404" s="143"/>
      <c r="J404" s="143"/>
      <c r="K404" s="143"/>
      <c r="L404" s="143"/>
      <c r="M404" s="143"/>
      <c r="N404" s="143"/>
      <c r="O404" s="143"/>
      <c r="P404" s="143"/>
      <c r="Q404" s="143"/>
      <c r="R404" s="143"/>
      <c r="S404" s="143"/>
      <c r="T404" s="143"/>
      <c r="U404" s="143"/>
      <c r="V404" s="143"/>
      <c r="W404" s="143"/>
      <c r="X404" s="143"/>
      <c r="Y404" s="143"/>
      <c r="Z404" s="143"/>
      <c r="AA404" s="143"/>
      <c r="AB404" s="143"/>
      <c r="AC404" s="143"/>
      <c r="AD404" s="143"/>
      <c r="AE404" s="143"/>
      <c r="AF404" s="143"/>
      <c r="AG404" s="143"/>
      <c r="AH404" s="143"/>
      <c r="AI404" s="143"/>
      <c r="AJ404" s="143"/>
      <c r="AK404" s="143"/>
      <c r="AL404" s="143"/>
      <c r="AM404" s="143"/>
    </row>
    <row r="405" spans="1:39" ht="12.75" customHeight="1" x14ac:dyDescent="0.25">
      <c r="A405" s="143"/>
      <c r="B405" s="143"/>
      <c r="C405" s="143"/>
      <c r="D405" s="143"/>
      <c r="E405" s="143"/>
      <c r="F405" s="143"/>
      <c r="G405" s="143"/>
      <c r="H405" s="143"/>
      <c r="I405" s="143"/>
      <c r="J405" s="143"/>
      <c r="K405" s="143"/>
      <c r="L405" s="143"/>
      <c r="M405" s="143"/>
      <c r="N405" s="143"/>
      <c r="O405" s="143"/>
      <c r="P405" s="143"/>
      <c r="Q405" s="143"/>
      <c r="R405" s="143"/>
      <c r="S405" s="143"/>
      <c r="T405" s="143"/>
      <c r="U405" s="143"/>
      <c r="V405" s="143"/>
      <c r="W405" s="143"/>
      <c r="X405" s="143"/>
      <c r="Y405" s="143"/>
      <c r="Z405" s="143"/>
      <c r="AA405" s="143"/>
      <c r="AB405" s="143"/>
      <c r="AC405" s="143"/>
      <c r="AD405" s="143"/>
      <c r="AE405" s="143"/>
      <c r="AF405" s="143"/>
      <c r="AG405" s="143"/>
      <c r="AH405" s="143"/>
      <c r="AI405" s="143"/>
      <c r="AJ405" s="143"/>
      <c r="AK405" s="143"/>
      <c r="AL405" s="143"/>
      <c r="AM405" s="143"/>
    </row>
    <row r="406" spans="1:39" ht="12.75" customHeight="1" x14ac:dyDescent="0.25">
      <c r="A406" s="143"/>
      <c r="B406" s="143"/>
      <c r="C406" s="143"/>
      <c r="D406" s="143"/>
      <c r="E406" s="143"/>
      <c r="F406" s="143"/>
      <c r="G406" s="143"/>
      <c r="H406" s="143"/>
      <c r="I406" s="143"/>
      <c r="J406" s="143"/>
      <c r="K406" s="143"/>
      <c r="L406" s="143"/>
      <c r="M406" s="143"/>
      <c r="N406" s="143"/>
      <c r="O406" s="143"/>
      <c r="P406" s="143"/>
      <c r="Q406" s="143"/>
      <c r="R406" s="143"/>
      <c r="S406" s="143"/>
      <c r="T406" s="143"/>
      <c r="U406" s="143"/>
      <c r="V406" s="143"/>
      <c r="W406" s="143"/>
      <c r="X406" s="143"/>
      <c r="Y406" s="143"/>
      <c r="Z406" s="143"/>
      <c r="AA406" s="143"/>
      <c r="AB406" s="143"/>
      <c r="AC406" s="143"/>
      <c r="AD406" s="143"/>
      <c r="AE406" s="143"/>
      <c r="AF406" s="143"/>
      <c r="AG406" s="143"/>
      <c r="AH406" s="143"/>
      <c r="AI406" s="143"/>
      <c r="AJ406" s="143"/>
      <c r="AK406" s="143"/>
      <c r="AL406" s="143"/>
      <c r="AM406" s="143"/>
    </row>
    <row r="407" spans="1:39" ht="12.75" customHeight="1" x14ac:dyDescent="0.25">
      <c r="A407" s="143"/>
      <c r="B407" s="143"/>
      <c r="C407" s="143"/>
      <c r="D407" s="143"/>
      <c r="E407" s="143"/>
      <c r="F407" s="143"/>
      <c r="G407" s="143"/>
      <c r="H407" s="143"/>
      <c r="I407" s="143"/>
      <c r="J407" s="143"/>
      <c r="K407" s="143"/>
      <c r="L407" s="143"/>
      <c r="M407" s="143"/>
      <c r="N407" s="143"/>
      <c r="O407" s="143"/>
      <c r="P407" s="143"/>
      <c r="Q407" s="143"/>
      <c r="R407" s="143"/>
      <c r="S407" s="143"/>
      <c r="T407" s="143"/>
      <c r="U407" s="143"/>
      <c r="V407" s="143"/>
      <c r="W407" s="143"/>
      <c r="X407" s="143"/>
      <c r="Y407" s="143"/>
      <c r="Z407" s="143"/>
      <c r="AA407" s="143"/>
      <c r="AB407" s="143"/>
      <c r="AC407" s="143"/>
      <c r="AD407" s="143"/>
      <c r="AE407" s="143"/>
      <c r="AF407" s="143"/>
      <c r="AG407" s="143"/>
      <c r="AH407" s="143"/>
      <c r="AI407" s="143"/>
      <c r="AJ407" s="143"/>
      <c r="AK407" s="143"/>
      <c r="AL407" s="143"/>
      <c r="AM407" s="143"/>
    </row>
    <row r="408" spans="1:39" ht="12.75" customHeight="1" x14ac:dyDescent="0.25">
      <c r="A408" s="143"/>
      <c r="B408" s="143"/>
      <c r="C408" s="143"/>
      <c r="D408" s="143"/>
      <c r="E408" s="143"/>
      <c r="F408" s="143"/>
      <c r="G408" s="143"/>
      <c r="H408" s="143"/>
      <c r="I408" s="143"/>
      <c r="J408" s="143"/>
      <c r="K408" s="143"/>
      <c r="L408" s="143"/>
      <c r="M408" s="143"/>
      <c r="N408" s="143"/>
      <c r="O408" s="143"/>
      <c r="P408" s="143"/>
      <c r="Q408" s="143"/>
      <c r="R408" s="143"/>
      <c r="S408" s="143"/>
      <c r="T408" s="143"/>
      <c r="U408" s="143"/>
      <c r="V408" s="143"/>
      <c r="W408" s="143"/>
      <c r="X408" s="143"/>
      <c r="Y408" s="143"/>
      <c r="Z408" s="143"/>
      <c r="AA408" s="143"/>
      <c r="AB408" s="143"/>
      <c r="AC408" s="143"/>
      <c r="AD408" s="143"/>
      <c r="AE408" s="143"/>
      <c r="AF408" s="143"/>
      <c r="AG408" s="143"/>
      <c r="AH408" s="143"/>
      <c r="AI408" s="143"/>
      <c r="AJ408" s="143"/>
      <c r="AK408" s="143"/>
      <c r="AL408" s="143"/>
      <c r="AM408" s="143"/>
    </row>
    <row r="409" spans="1:39" ht="12.75" customHeight="1" x14ac:dyDescent="0.25">
      <c r="A409" s="143"/>
      <c r="B409" s="143"/>
      <c r="C409" s="143"/>
      <c r="D409" s="143"/>
      <c r="E409" s="143"/>
      <c r="F409" s="143"/>
      <c r="G409" s="143"/>
      <c r="H409" s="143"/>
      <c r="I409" s="143"/>
      <c r="J409" s="143"/>
      <c r="K409" s="143"/>
      <c r="L409" s="143"/>
      <c r="M409" s="143"/>
      <c r="N409" s="143"/>
      <c r="O409" s="143"/>
      <c r="P409" s="143"/>
      <c r="Q409" s="143"/>
      <c r="R409" s="143"/>
      <c r="S409" s="143"/>
      <c r="T409" s="143"/>
      <c r="U409" s="143"/>
      <c r="V409" s="143"/>
      <c r="W409" s="143"/>
      <c r="X409" s="143"/>
      <c r="Y409" s="143"/>
      <c r="Z409" s="143"/>
      <c r="AA409" s="143"/>
      <c r="AB409" s="143"/>
      <c r="AC409" s="143"/>
      <c r="AD409" s="143"/>
      <c r="AE409" s="143"/>
      <c r="AF409" s="143"/>
      <c r="AG409" s="143"/>
      <c r="AH409" s="143"/>
      <c r="AI409" s="143"/>
      <c r="AJ409" s="143"/>
      <c r="AK409" s="143"/>
      <c r="AL409" s="143"/>
      <c r="AM409" s="143"/>
    </row>
    <row r="410" spans="1:39" ht="12.75" customHeight="1" x14ac:dyDescent="0.25">
      <c r="A410" s="143"/>
      <c r="B410" s="143"/>
      <c r="C410" s="143"/>
      <c r="D410" s="143"/>
      <c r="E410" s="143"/>
      <c r="F410" s="143"/>
      <c r="G410" s="143"/>
      <c r="H410" s="143"/>
      <c r="I410" s="143"/>
      <c r="J410" s="143"/>
      <c r="K410" s="143"/>
      <c r="L410" s="143"/>
      <c r="M410" s="143"/>
      <c r="N410" s="143"/>
      <c r="O410" s="143"/>
      <c r="P410" s="143"/>
      <c r="Q410" s="143"/>
      <c r="R410" s="143"/>
      <c r="S410" s="143"/>
      <c r="T410" s="143"/>
      <c r="U410" s="143"/>
      <c r="V410" s="143"/>
      <c r="W410" s="143"/>
      <c r="X410" s="143"/>
      <c r="Y410" s="143"/>
      <c r="Z410" s="143"/>
      <c r="AA410" s="143"/>
      <c r="AB410" s="143"/>
      <c r="AC410" s="143"/>
      <c r="AD410" s="143"/>
      <c r="AE410" s="143"/>
      <c r="AF410" s="143"/>
      <c r="AG410" s="143"/>
      <c r="AH410" s="143"/>
      <c r="AI410" s="143"/>
      <c r="AJ410" s="143"/>
      <c r="AK410" s="143"/>
      <c r="AL410" s="143"/>
      <c r="AM410" s="143"/>
    </row>
    <row r="411" spans="1:39" ht="12.75" customHeight="1" x14ac:dyDescent="0.25">
      <c r="A411" s="143"/>
      <c r="B411" s="143"/>
      <c r="C411" s="143"/>
      <c r="D411" s="143"/>
      <c r="E411" s="143"/>
      <c r="F411" s="143"/>
      <c r="G411" s="143"/>
      <c r="H411" s="143"/>
      <c r="I411" s="143"/>
      <c r="J411" s="143"/>
      <c r="K411" s="143"/>
      <c r="L411" s="143"/>
      <c r="M411" s="143"/>
      <c r="N411" s="143"/>
      <c r="O411" s="143"/>
      <c r="P411" s="143"/>
      <c r="Q411" s="143"/>
      <c r="R411" s="143"/>
      <c r="S411" s="143"/>
      <c r="T411" s="143"/>
      <c r="U411" s="143"/>
      <c r="V411" s="143"/>
      <c r="W411" s="143"/>
      <c r="X411" s="143"/>
      <c r="Y411" s="143"/>
      <c r="Z411" s="143"/>
      <c r="AA411" s="143"/>
      <c r="AB411" s="143"/>
      <c r="AC411" s="143"/>
      <c r="AD411" s="143"/>
      <c r="AE411" s="143"/>
      <c r="AF411" s="143"/>
      <c r="AG411" s="143"/>
      <c r="AH411" s="143"/>
      <c r="AI411" s="143"/>
      <c r="AJ411" s="143"/>
      <c r="AK411" s="143"/>
      <c r="AL411" s="143"/>
      <c r="AM411" s="143"/>
    </row>
    <row r="412" spans="1:39" ht="12.75" customHeight="1" x14ac:dyDescent="0.25">
      <c r="A412" s="143"/>
      <c r="B412" s="143"/>
      <c r="C412" s="143"/>
      <c r="D412" s="143"/>
      <c r="E412" s="143"/>
      <c r="F412" s="143"/>
      <c r="G412" s="143"/>
      <c r="H412" s="143"/>
      <c r="I412" s="143"/>
      <c r="J412" s="143"/>
      <c r="K412" s="143"/>
      <c r="L412" s="143"/>
      <c r="M412" s="143"/>
      <c r="N412" s="143"/>
      <c r="O412" s="143"/>
      <c r="P412" s="143"/>
      <c r="Q412" s="143"/>
      <c r="R412" s="143"/>
      <c r="S412" s="143"/>
      <c r="T412" s="143"/>
      <c r="U412" s="143"/>
      <c r="V412" s="143"/>
      <c r="W412" s="143"/>
      <c r="X412" s="143"/>
      <c r="Y412" s="143"/>
      <c r="Z412" s="143"/>
      <c r="AA412" s="143"/>
      <c r="AB412" s="143"/>
      <c r="AC412" s="143"/>
      <c r="AD412" s="143"/>
      <c r="AE412" s="143"/>
      <c r="AF412" s="143"/>
      <c r="AG412" s="143"/>
      <c r="AH412" s="143"/>
      <c r="AI412" s="143"/>
      <c r="AJ412" s="143"/>
      <c r="AK412" s="143"/>
      <c r="AL412" s="143"/>
      <c r="AM412" s="143"/>
    </row>
    <row r="413" spans="1:39" ht="12.75" customHeight="1" x14ac:dyDescent="0.25">
      <c r="A413" s="143"/>
      <c r="B413" s="143"/>
      <c r="C413" s="143"/>
      <c r="D413" s="143"/>
      <c r="E413" s="143"/>
      <c r="F413" s="143"/>
      <c r="G413" s="143"/>
      <c r="H413" s="143"/>
      <c r="I413" s="143"/>
      <c r="J413" s="143"/>
      <c r="K413" s="143"/>
      <c r="L413" s="143"/>
      <c r="M413" s="143"/>
      <c r="N413" s="143"/>
      <c r="O413" s="143"/>
      <c r="P413" s="143"/>
      <c r="Q413" s="143"/>
      <c r="R413" s="143"/>
      <c r="S413" s="143"/>
      <c r="T413" s="143"/>
      <c r="U413" s="143"/>
      <c r="V413" s="143"/>
      <c r="W413" s="143"/>
      <c r="X413" s="143"/>
      <c r="Y413" s="143"/>
      <c r="Z413" s="143"/>
      <c r="AA413" s="143"/>
      <c r="AB413" s="143"/>
      <c r="AC413" s="143"/>
      <c r="AD413" s="143"/>
      <c r="AE413" s="143"/>
      <c r="AF413" s="143"/>
      <c r="AG413" s="143"/>
      <c r="AH413" s="143"/>
      <c r="AI413" s="143"/>
      <c r="AJ413" s="143"/>
      <c r="AK413" s="143"/>
      <c r="AL413" s="143"/>
      <c r="AM413" s="143"/>
    </row>
    <row r="414" spans="1:39" ht="12.75" customHeight="1" x14ac:dyDescent="0.25">
      <c r="A414" s="143"/>
      <c r="B414" s="143"/>
      <c r="C414" s="143"/>
      <c r="D414" s="143"/>
      <c r="E414" s="143"/>
      <c r="F414" s="143"/>
      <c r="G414" s="143"/>
      <c r="H414" s="143"/>
      <c r="I414" s="143"/>
      <c r="J414" s="143"/>
      <c r="K414" s="143"/>
      <c r="L414" s="143"/>
      <c r="M414" s="143"/>
      <c r="N414" s="143"/>
      <c r="O414" s="143"/>
      <c r="P414" s="143"/>
      <c r="Q414" s="143"/>
      <c r="R414" s="143"/>
      <c r="S414" s="143"/>
      <c r="T414" s="143"/>
      <c r="U414" s="143"/>
      <c r="V414" s="143"/>
      <c r="W414" s="143"/>
      <c r="X414" s="143"/>
      <c r="Y414" s="143"/>
      <c r="Z414" s="143"/>
      <c r="AA414" s="143"/>
      <c r="AB414" s="143"/>
      <c r="AC414" s="143"/>
      <c r="AD414" s="143"/>
      <c r="AE414" s="143"/>
      <c r="AF414" s="143"/>
      <c r="AG414" s="143"/>
      <c r="AH414" s="143"/>
      <c r="AI414" s="143"/>
      <c r="AJ414" s="143"/>
      <c r="AK414" s="143"/>
      <c r="AL414" s="143"/>
      <c r="AM414" s="143"/>
    </row>
    <row r="415" spans="1:39" ht="12.75" customHeight="1" x14ac:dyDescent="0.25">
      <c r="A415" s="143"/>
      <c r="B415" s="143"/>
      <c r="C415" s="143"/>
      <c r="D415" s="143"/>
      <c r="E415" s="143"/>
      <c r="F415" s="143"/>
      <c r="G415" s="143"/>
      <c r="H415" s="143"/>
      <c r="I415" s="143"/>
      <c r="J415" s="143"/>
      <c r="K415" s="143"/>
      <c r="L415" s="143"/>
      <c r="M415" s="143"/>
      <c r="N415" s="143"/>
      <c r="O415" s="143"/>
      <c r="P415" s="143"/>
      <c r="Q415" s="143"/>
      <c r="R415" s="143"/>
      <c r="S415" s="143"/>
      <c r="T415" s="143"/>
      <c r="U415" s="143"/>
      <c r="V415" s="143"/>
      <c r="W415" s="143"/>
      <c r="X415" s="143"/>
      <c r="Y415" s="143"/>
      <c r="Z415" s="143"/>
      <c r="AA415" s="143"/>
      <c r="AB415" s="143"/>
      <c r="AC415" s="143"/>
      <c r="AD415" s="143"/>
      <c r="AE415" s="143"/>
      <c r="AF415" s="143"/>
      <c r="AG415" s="143"/>
      <c r="AH415" s="143"/>
      <c r="AI415" s="143"/>
      <c r="AJ415" s="143"/>
      <c r="AK415" s="143"/>
      <c r="AL415" s="143"/>
      <c r="AM415" s="143"/>
    </row>
    <row r="416" spans="1:39" ht="12.75" customHeight="1" x14ac:dyDescent="0.25">
      <c r="A416" s="143"/>
      <c r="B416" s="143"/>
      <c r="C416" s="143"/>
      <c r="D416" s="143"/>
      <c r="E416" s="143"/>
      <c r="F416" s="143"/>
      <c r="G416" s="143"/>
      <c r="H416" s="143"/>
      <c r="I416" s="143"/>
      <c r="J416" s="143"/>
      <c r="K416" s="143"/>
      <c r="L416" s="143"/>
      <c r="M416" s="143"/>
      <c r="N416" s="143"/>
      <c r="O416" s="143"/>
      <c r="P416" s="143"/>
      <c r="Q416" s="143"/>
      <c r="R416" s="143"/>
      <c r="S416" s="143"/>
      <c r="T416" s="143"/>
      <c r="U416" s="143"/>
      <c r="V416" s="143"/>
      <c r="W416" s="143"/>
      <c r="X416" s="143"/>
      <c r="Y416" s="143"/>
      <c r="Z416" s="143"/>
      <c r="AA416" s="143"/>
      <c r="AB416" s="143"/>
      <c r="AC416" s="143"/>
      <c r="AD416" s="143"/>
      <c r="AE416" s="143"/>
      <c r="AF416" s="143"/>
      <c r="AG416" s="143"/>
      <c r="AH416" s="143"/>
      <c r="AI416" s="143"/>
      <c r="AJ416" s="143"/>
      <c r="AK416" s="143"/>
      <c r="AL416" s="143"/>
      <c r="AM416" s="143"/>
    </row>
    <row r="417" spans="1:39" ht="12.75" customHeight="1" x14ac:dyDescent="0.25">
      <c r="A417" s="143"/>
      <c r="B417" s="143"/>
      <c r="C417" s="143"/>
      <c r="D417" s="143"/>
      <c r="E417" s="143"/>
      <c r="F417" s="143"/>
      <c r="G417" s="143"/>
      <c r="H417" s="143"/>
      <c r="I417" s="143"/>
      <c r="J417" s="143"/>
      <c r="K417" s="143"/>
      <c r="L417" s="143"/>
      <c r="M417" s="143"/>
      <c r="N417" s="143"/>
      <c r="O417" s="143"/>
      <c r="P417" s="143"/>
      <c r="Q417" s="143"/>
      <c r="R417" s="143"/>
      <c r="S417" s="143"/>
      <c r="T417" s="143"/>
      <c r="U417" s="143"/>
      <c r="V417" s="143"/>
      <c r="W417" s="143"/>
      <c r="X417" s="143"/>
      <c r="Y417" s="143"/>
      <c r="Z417" s="143"/>
      <c r="AA417" s="143"/>
      <c r="AB417" s="143"/>
      <c r="AC417" s="143"/>
      <c r="AD417" s="143"/>
      <c r="AE417" s="143"/>
      <c r="AF417" s="143"/>
      <c r="AG417" s="143"/>
      <c r="AH417" s="143"/>
      <c r="AI417" s="143"/>
      <c r="AJ417" s="143"/>
      <c r="AK417" s="143"/>
      <c r="AL417" s="143"/>
      <c r="AM417" s="143"/>
    </row>
    <row r="418" spans="1:39" ht="12.75" customHeight="1" x14ac:dyDescent="0.25">
      <c r="A418" s="143"/>
      <c r="B418" s="143"/>
      <c r="C418" s="143"/>
      <c r="D418" s="143"/>
      <c r="E418" s="143"/>
      <c r="F418" s="143"/>
      <c r="G418" s="143"/>
      <c r="H418" s="143"/>
      <c r="I418" s="143"/>
      <c r="J418" s="143"/>
      <c r="K418" s="143"/>
      <c r="L418" s="143"/>
      <c r="M418" s="143"/>
      <c r="N418" s="143"/>
      <c r="O418" s="143"/>
      <c r="P418" s="143"/>
      <c r="Q418" s="143"/>
      <c r="R418" s="143"/>
      <c r="S418" s="143"/>
      <c r="T418" s="143"/>
      <c r="U418" s="143"/>
      <c r="V418" s="143"/>
      <c r="W418" s="143"/>
      <c r="X418" s="143"/>
      <c r="Y418" s="143"/>
      <c r="Z418" s="143"/>
      <c r="AA418" s="143"/>
      <c r="AB418" s="143"/>
      <c r="AC418" s="143"/>
      <c r="AD418" s="143"/>
      <c r="AE418" s="143"/>
      <c r="AF418" s="143"/>
      <c r="AG418" s="143"/>
      <c r="AH418" s="143"/>
      <c r="AI418" s="143"/>
      <c r="AJ418" s="143"/>
      <c r="AK418" s="143"/>
      <c r="AL418" s="143"/>
      <c r="AM418" s="143"/>
    </row>
    <row r="419" spans="1:39" ht="12.75" customHeight="1" x14ac:dyDescent="0.25">
      <c r="A419" s="143"/>
      <c r="B419" s="143"/>
      <c r="C419" s="143"/>
      <c r="D419" s="143"/>
      <c r="E419" s="143"/>
      <c r="F419" s="143"/>
      <c r="G419" s="143"/>
      <c r="H419" s="143"/>
      <c r="I419" s="143"/>
      <c r="J419" s="143"/>
      <c r="K419" s="143"/>
      <c r="L419" s="143"/>
      <c r="M419" s="143"/>
      <c r="N419" s="143"/>
      <c r="O419" s="143"/>
      <c r="P419" s="143"/>
      <c r="Q419" s="143"/>
      <c r="R419" s="143"/>
      <c r="S419" s="143"/>
      <c r="T419" s="143"/>
      <c r="U419" s="143"/>
      <c r="V419" s="143"/>
      <c r="W419" s="143"/>
      <c r="X419" s="143"/>
      <c r="Y419" s="143"/>
      <c r="Z419" s="143"/>
      <c r="AA419" s="143"/>
      <c r="AB419" s="143"/>
      <c r="AC419" s="143"/>
      <c r="AD419" s="143"/>
      <c r="AE419" s="143"/>
      <c r="AF419" s="143"/>
      <c r="AG419" s="143"/>
      <c r="AH419" s="143"/>
      <c r="AI419" s="143"/>
      <c r="AJ419" s="143"/>
      <c r="AK419" s="143"/>
      <c r="AL419" s="143"/>
      <c r="AM419" s="143"/>
    </row>
    <row r="420" spans="1:39" ht="12.75" customHeight="1" x14ac:dyDescent="0.25">
      <c r="A420" s="143"/>
      <c r="B420" s="143"/>
      <c r="C420" s="143"/>
      <c r="D420" s="143"/>
      <c r="E420" s="143"/>
      <c r="F420" s="143"/>
      <c r="G420" s="143"/>
      <c r="H420" s="143"/>
      <c r="I420" s="143"/>
      <c r="J420" s="143"/>
      <c r="K420" s="143"/>
      <c r="L420" s="143"/>
      <c r="M420" s="143"/>
      <c r="N420" s="143"/>
      <c r="O420" s="143"/>
      <c r="P420" s="143"/>
      <c r="Q420" s="143"/>
      <c r="R420" s="143"/>
      <c r="S420" s="143"/>
      <c r="T420" s="143"/>
      <c r="U420" s="143"/>
      <c r="V420" s="143"/>
      <c r="W420" s="143"/>
      <c r="X420" s="143"/>
      <c r="Y420" s="143"/>
      <c r="Z420" s="143"/>
      <c r="AA420" s="143"/>
      <c r="AB420" s="143"/>
      <c r="AC420" s="143"/>
      <c r="AD420" s="143"/>
      <c r="AE420" s="143"/>
      <c r="AF420" s="143"/>
      <c r="AG420" s="143"/>
      <c r="AH420" s="143"/>
      <c r="AI420" s="143"/>
      <c r="AJ420" s="143"/>
      <c r="AK420" s="143"/>
      <c r="AL420" s="143"/>
      <c r="AM420" s="143"/>
    </row>
    <row r="421" spans="1:39" ht="12.75" customHeight="1" x14ac:dyDescent="0.25">
      <c r="A421" s="143"/>
      <c r="B421" s="143"/>
      <c r="C421" s="143"/>
      <c r="D421" s="143"/>
      <c r="E421" s="143"/>
      <c r="F421" s="143"/>
      <c r="G421" s="143"/>
      <c r="H421" s="143"/>
      <c r="I421" s="143"/>
      <c r="J421" s="143"/>
      <c r="K421" s="143"/>
      <c r="L421" s="143"/>
      <c r="M421" s="143"/>
      <c r="N421" s="143"/>
      <c r="O421" s="143"/>
      <c r="P421" s="143"/>
      <c r="Q421" s="143"/>
      <c r="R421" s="143"/>
      <c r="S421" s="143"/>
      <c r="T421" s="143"/>
      <c r="U421" s="143"/>
      <c r="V421" s="143"/>
      <c r="W421" s="143"/>
      <c r="X421" s="143"/>
      <c r="Y421" s="143"/>
      <c r="Z421" s="143"/>
      <c r="AA421" s="143"/>
      <c r="AB421" s="143"/>
      <c r="AC421" s="143"/>
      <c r="AD421" s="143"/>
      <c r="AE421" s="143"/>
      <c r="AF421" s="143"/>
      <c r="AG421" s="143"/>
      <c r="AH421" s="143"/>
      <c r="AI421" s="143"/>
      <c r="AJ421" s="143"/>
      <c r="AK421" s="143"/>
      <c r="AL421" s="143"/>
      <c r="AM421" s="143"/>
    </row>
    <row r="422" spans="1:39" ht="12.75" customHeight="1" x14ac:dyDescent="0.25">
      <c r="A422" s="143"/>
      <c r="B422" s="143"/>
      <c r="C422" s="143"/>
      <c r="D422" s="143"/>
      <c r="E422" s="143"/>
      <c r="F422" s="143"/>
      <c r="G422" s="143"/>
      <c r="H422" s="143"/>
      <c r="I422" s="143"/>
      <c r="J422" s="143"/>
      <c r="K422" s="143"/>
      <c r="L422" s="143"/>
      <c r="M422" s="143"/>
      <c r="N422" s="143"/>
      <c r="O422" s="143"/>
      <c r="P422" s="143"/>
      <c r="Q422" s="143"/>
      <c r="R422" s="143"/>
      <c r="S422" s="143"/>
      <c r="T422" s="143"/>
      <c r="U422" s="143"/>
      <c r="V422" s="143"/>
      <c r="W422" s="143"/>
      <c r="X422" s="143"/>
      <c r="Y422" s="143"/>
      <c r="Z422" s="143"/>
      <c r="AA422" s="143"/>
      <c r="AB422" s="143"/>
      <c r="AC422" s="143"/>
      <c r="AD422" s="143"/>
      <c r="AE422" s="143"/>
      <c r="AF422" s="143"/>
      <c r="AG422" s="143"/>
      <c r="AH422" s="143"/>
      <c r="AI422" s="143"/>
      <c r="AJ422" s="143"/>
      <c r="AK422" s="143"/>
      <c r="AL422" s="143"/>
      <c r="AM422" s="143"/>
    </row>
    <row r="423" spans="1:39" ht="12.75" customHeight="1" x14ac:dyDescent="0.25">
      <c r="A423" s="143"/>
      <c r="B423" s="143"/>
      <c r="C423" s="143"/>
      <c r="D423" s="143"/>
      <c r="E423" s="143"/>
      <c r="F423" s="143"/>
      <c r="G423" s="143"/>
      <c r="H423" s="143"/>
      <c r="I423" s="143"/>
      <c r="J423" s="143"/>
      <c r="K423" s="143"/>
      <c r="L423" s="143"/>
      <c r="M423" s="143"/>
      <c r="N423" s="143"/>
      <c r="O423" s="143"/>
      <c r="P423" s="143"/>
      <c r="Q423" s="143"/>
      <c r="R423" s="143"/>
      <c r="S423" s="143"/>
      <c r="T423" s="143"/>
      <c r="U423" s="143"/>
      <c r="V423" s="143"/>
      <c r="W423" s="143"/>
      <c r="X423" s="143"/>
      <c r="Y423" s="143"/>
      <c r="Z423" s="143"/>
      <c r="AA423" s="143"/>
      <c r="AB423" s="143"/>
      <c r="AC423" s="143"/>
      <c r="AD423" s="143"/>
      <c r="AE423" s="143"/>
      <c r="AF423" s="143"/>
      <c r="AG423" s="143"/>
      <c r="AH423" s="143"/>
      <c r="AI423" s="143"/>
      <c r="AJ423" s="143"/>
      <c r="AK423" s="143"/>
      <c r="AL423" s="143"/>
      <c r="AM423" s="143"/>
    </row>
    <row r="424" spans="1:39" ht="12.75" customHeight="1" x14ac:dyDescent="0.25">
      <c r="A424" s="143"/>
      <c r="B424" s="143"/>
      <c r="C424" s="143"/>
      <c r="D424" s="143"/>
      <c r="E424" s="143"/>
      <c r="F424" s="143"/>
      <c r="G424" s="143"/>
      <c r="H424" s="143"/>
      <c r="I424" s="143"/>
      <c r="J424" s="143"/>
      <c r="K424" s="143"/>
      <c r="L424" s="143"/>
      <c r="M424" s="143"/>
      <c r="N424" s="143"/>
      <c r="O424" s="143"/>
      <c r="P424" s="143"/>
      <c r="Q424" s="143"/>
      <c r="R424" s="143"/>
      <c r="S424" s="143"/>
      <c r="T424" s="143"/>
      <c r="U424" s="143"/>
      <c r="V424" s="143"/>
      <c r="W424" s="143"/>
      <c r="X424" s="143"/>
      <c r="Y424" s="143"/>
      <c r="Z424" s="143"/>
      <c r="AA424" s="143"/>
      <c r="AB424" s="143"/>
      <c r="AC424" s="143"/>
      <c r="AD424" s="143"/>
      <c r="AE424" s="143"/>
      <c r="AF424" s="143"/>
      <c r="AG424" s="143"/>
      <c r="AH424" s="143"/>
      <c r="AI424" s="143"/>
      <c r="AJ424" s="143"/>
      <c r="AK424" s="143"/>
      <c r="AL424" s="143"/>
      <c r="AM424" s="143"/>
    </row>
    <row r="425" spans="1:39" ht="12.75" customHeight="1" x14ac:dyDescent="0.25">
      <c r="A425" s="143"/>
      <c r="B425" s="143"/>
      <c r="C425" s="143"/>
      <c r="D425" s="143"/>
      <c r="E425" s="143"/>
      <c r="F425" s="143"/>
      <c r="G425" s="143"/>
      <c r="H425" s="143"/>
      <c r="I425" s="143"/>
      <c r="J425" s="143"/>
      <c r="K425" s="143"/>
      <c r="L425" s="143"/>
      <c r="M425" s="143"/>
      <c r="N425" s="143"/>
      <c r="O425" s="143"/>
      <c r="P425" s="143"/>
      <c r="Q425" s="143"/>
      <c r="R425" s="143"/>
      <c r="S425" s="143"/>
      <c r="T425" s="143"/>
      <c r="U425" s="143"/>
      <c r="V425" s="143"/>
      <c r="W425" s="143"/>
      <c r="X425" s="143"/>
      <c r="Y425" s="143"/>
      <c r="Z425" s="143"/>
      <c r="AA425" s="143"/>
      <c r="AB425" s="143"/>
      <c r="AC425" s="143"/>
      <c r="AD425" s="143"/>
      <c r="AE425" s="143"/>
      <c r="AF425" s="143"/>
      <c r="AG425" s="143"/>
      <c r="AH425" s="143"/>
      <c r="AI425" s="143"/>
      <c r="AJ425" s="143"/>
      <c r="AK425" s="143"/>
      <c r="AL425" s="143"/>
      <c r="AM425" s="143"/>
    </row>
    <row r="426" spans="1:39" ht="12.75" customHeight="1" x14ac:dyDescent="0.25">
      <c r="A426" s="143"/>
      <c r="B426" s="143"/>
      <c r="C426" s="143"/>
      <c r="D426" s="143"/>
      <c r="E426" s="143"/>
      <c r="F426" s="143"/>
      <c r="G426" s="143"/>
      <c r="H426" s="143"/>
      <c r="I426" s="143"/>
      <c r="J426" s="143"/>
      <c r="K426" s="143"/>
      <c r="L426" s="143"/>
      <c r="M426" s="143"/>
      <c r="N426" s="143"/>
      <c r="O426" s="143"/>
      <c r="P426" s="143"/>
      <c r="Q426" s="143"/>
      <c r="R426" s="143"/>
      <c r="S426" s="143"/>
      <c r="T426" s="143"/>
      <c r="U426" s="143"/>
      <c r="V426" s="143"/>
      <c r="W426" s="143"/>
      <c r="X426" s="143"/>
      <c r="Y426" s="143"/>
      <c r="Z426" s="143"/>
      <c r="AA426" s="143"/>
      <c r="AB426" s="143"/>
      <c r="AC426" s="143"/>
      <c r="AD426" s="143"/>
      <c r="AE426" s="143"/>
      <c r="AF426" s="143"/>
      <c r="AG426" s="143"/>
      <c r="AH426" s="143"/>
      <c r="AI426" s="143"/>
      <c r="AJ426" s="143"/>
      <c r="AK426" s="143"/>
      <c r="AL426" s="143"/>
      <c r="AM426" s="143"/>
    </row>
    <row r="427" spans="1:39" ht="12.75" customHeight="1" x14ac:dyDescent="0.25">
      <c r="A427" s="143"/>
      <c r="B427" s="143"/>
      <c r="C427" s="143"/>
      <c r="D427" s="143"/>
      <c r="E427" s="143"/>
      <c r="F427" s="143"/>
      <c r="G427" s="143"/>
      <c r="H427" s="143"/>
      <c r="I427" s="143"/>
      <c r="J427" s="143"/>
      <c r="K427" s="143"/>
      <c r="L427" s="143"/>
      <c r="M427" s="143"/>
      <c r="N427" s="143"/>
      <c r="O427" s="143"/>
      <c r="P427" s="143"/>
      <c r="Q427" s="143"/>
      <c r="R427" s="143"/>
      <c r="S427" s="143"/>
      <c r="T427" s="143"/>
      <c r="U427" s="143"/>
      <c r="V427" s="143"/>
      <c r="W427" s="143"/>
      <c r="X427" s="143"/>
      <c r="Y427" s="143"/>
      <c r="Z427" s="143"/>
      <c r="AA427" s="143"/>
      <c r="AB427" s="143"/>
      <c r="AC427" s="143"/>
      <c r="AD427" s="143"/>
      <c r="AE427" s="143"/>
      <c r="AF427" s="143"/>
      <c r="AG427" s="143"/>
      <c r="AH427" s="143"/>
      <c r="AI427" s="143"/>
      <c r="AJ427" s="143"/>
      <c r="AK427" s="143"/>
      <c r="AL427" s="143"/>
      <c r="AM427" s="143"/>
    </row>
    <row r="428" spans="1:39" ht="12.75" customHeight="1" x14ac:dyDescent="0.25">
      <c r="A428" s="143"/>
      <c r="B428" s="143"/>
      <c r="C428" s="143"/>
      <c r="D428" s="143"/>
      <c r="E428" s="143"/>
      <c r="F428" s="143"/>
      <c r="G428" s="143"/>
      <c r="H428" s="143"/>
      <c r="I428" s="143"/>
      <c r="J428" s="143"/>
      <c r="K428" s="143"/>
      <c r="L428" s="143"/>
      <c r="M428" s="143"/>
      <c r="N428" s="143"/>
      <c r="O428" s="143"/>
      <c r="P428" s="143"/>
      <c r="Q428" s="143"/>
      <c r="R428" s="143"/>
      <c r="S428" s="143"/>
      <c r="T428" s="143"/>
      <c r="U428" s="143"/>
      <c r="V428" s="143"/>
      <c r="W428" s="143"/>
      <c r="X428" s="143"/>
      <c r="Y428" s="143"/>
      <c r="Z428" s="143"/>
      <c r="AA428" s="143"/>
      <c r="AB428" s="143"/>
      <c r="AC428" s="143"/>
      <c r="AD428" s="143"/>
      <c r="AE428" s="143"/>
      <c r="AF428" s="143"/>
      <c r="AG428" s="143"/>
      <c r="AH428" s="143"/>
      <c r="AI428" s="143"/>
      <c r="AJ428" s="143"/>
      <c r="AK428" s="143"/>
      <c r="AL428" s="143"/>
      <c r="AM428" s="143"/>
    </row>
    <row r="429" spans="1:39" ht="12.75" customHeight="1" x14ac:dyDescent="0.25">
      <c r="A429" s="143"/>
      <c r="B429" s="143"/>
      <c r="C429" s="143"/>
      <c r="D429" s="143"/>
      <c r="E429" s="143"/>
      <c r="F429" s="143"/>
      <c r="G429" s="143"/>
      <c r="H429" s="143"/>
      <c r="I429" s="143"/>
      <c r="J429" s="143"/>
      <c r="K429" s="143"/>
      <c r="L429" s="143"/>
      <c r="M429" s="143"/>
      <c r="N429" s="143"/>
      <c r="O429" s="143"/>
      <c r="P429" s="143"/>
      <c r="Q429" s="143"/>
      <c r="R429" s="143"/>
      <c r="S429" s="143"/>
      <c r="T429" s="143"/>
      <c r="U429" s="143"/>
      <c r="V429" s="143"/>
      <c r="W429" s="143"/>
      <c r="X429" s="143"/>
      <c r="Y429" s="143"/>
      <c r="Z429" s="143"/>
      <c r="AA429" s="143"/>
      <c r="AB429" s="143"/>
      <c r="AC429" s="143"/>
      <c r="AD429" s="143"/>
      <c r="AE429" s="143"/>
      <c r="AF429" s="143"/>
      <c r="AG429" s="143"/>
      <c r="AH429" s="143"/>
      <c r="AI429" s="143"/>
      <c r="AJ429" s="143"/>
      <c r="AK429" s="143"/>
      <c r="AL429" s="143"/>
      <c r="AM429" s="143"/>
    </row>
    <row r="430" spans="1:39" ht="12.75" customHeight="1" x14ac:dyDescent="0.25">
      <c r="A430" s="143"/>
      <c r="B430" s="143"/>
      <c r="C430" s="143"/>
      <c r="D430" s="143"/>
      <c r="E430" s="143"/>
      <c r="F430" s="143"/>
      <c r="G430" s="143"/>
      <c r="H430" s="143"/>
      <c r="I430" s="143"/>
      <c r="J430" s="143"/>
      <c r="K430" s="143"/>
      <c r="L430" s="143"/>
      <c r="M430" s="143"/>
      <c r="N430" s="143"/>
      <c r="O430" s="143"/>
      <c r="P430" s="143"/>
      <c r="Q430" s="143"/>
      <c r="R430" s="143"/>
      <c r="S430" s="143"/>
      <c r="T430" s="143"/>
      <c r="U430" s="143"/>
      <c r="V430" s="143"/>
      <c r="W430" s="143"/>
      <c r="X430" s="143"/>
      <c r="Y430" s="143"/>
      <c r="Z430" s="143"/>
      <c r="AA430" s="143"/>
      <c r="AB430" s="143"/>
      <c r="AC430" s="143"/>
      <c r="AD430" s="143"/>
      <c r="AE430" s="143"/>
      <c r="AF430" s="143"/>
      <c r="AG430" s="143"/>
      <c r="AH430" s="143"/>
      <c r="AI430" s="143"/>
      <c r="AJ430" s="143"/>
      <c r="AK430" s="143"/>
      <c r="AL430" s="143"/>
      <c r="AM430" s="143"/>
    </row>
    <row r="431" spans="1:39" ht="12.75" customHeight="1" x14ac:dyDescent="0.25">
      <c r="A431" s="143"/>
      <c r="B431" s="143"/>
      <c r="C431" s="143"/>
      <c r="D431" s="143"/>
      <c r="E431" s="143"/>
      <c r="F431" s="143"/>
      <c r="G431" s="143"/>
      <c r="H431" s="143"/>
      <c r="I431" s="143"/>
      <c r="J431" s="143"/>
      <c r="K431" s="143"/>
      <c r="L431" s="143"/>
      <c r="M431" s="143"/>
      <c r="N431" s="143"/>
      <c r="O431" s="143"/>
      <c r="P431" s="143"/>
      <c r="Q431" s="143"/>
      <c r="R431" s="143"/>
      <c r="S431" s="143"/>
      <c r="T431" s="143"/>
      <c r="U431" s="143"/>
      <c r="V431" s="143"/>
      <c r="W431" s="143"/>
      <c r="X431" s="143"/>
      <c r="Y431" s="143"/>
      <c r="Z431" s="143"/>
      <c r="AA431" s="143"/>
      <c r="AB431" s="143"/>
      <c r="AC431" s="143"/>
      <c r="AD431" s="143"/>
      <c r="AE431" s="143"/>
      <c r="AF431" s="143"/>
      <c r="AG431" s="143"/>
      <c r="AH431" s="143"/>
      <c r="AI431" s="143"/>
      <c r="AJ431" s="143"/>
      <c r="AK431" s="143"/>
      <c r="AL431" s="143"/>
      <c r="AM431" s="143"/>
    </row>
    <row r="432" spans="1:39" ht="12.75" customHeight="1" x14ac:dyDescent="0.25">
      <c r="A432" s="143"/>
      <c r="B432" s="143"/>
      <c r="C432" s="143"/>
      <c r="D432" s="143"/>
      <c r="E432" s="143"/>
      <c r="F432" s="143"/>
      <c r="G432" s="143"/>
      <c r="H432" s="143"/>
      <c r="I432" s="143"/>
      <c r="J432" s="143"/>
      <c r="K432" s="143"/>
      <c r="L432" s="143"/>
      <c r="M432" s="143"/>
      <c r="N432" s="143"/>
      <c r="O432" s="143"/>
      <c r="P432" s="143"/>
      <c r="Q432" s="143"/>
      <c r="R432" s="143"/>
      <c r="S432" s="143"/>
      <c r="T432" s="143"/>
      <c r="U432" s="143"/>
      <c r="V432" s="143"/>
      <c r="W432" s="143"/>
      <c r="X432" s="143"/>
      <c r="Y432" s="143"/>
      <c r="Z432" s="143"/>
      <c r="AA432" s="143"/>
      <c r="AB432" s="143"/>
      <c r="AC432" s="143"/>
      <c r="AD432" s="143"/>
      <c r="AE432" s="143"/>
      <c r="AF432" s="143"/>
      <c r="AG432" s="143"/>
      <c r="AH432" s="143"/>
      <c r="AI432" s="143"/>
      <c r="AJ432" s="143"/>
      <c r="AK432" s="143"/>
      <c r="AL432" s="143"/>
      <c r="AM432" s="143"/>
    </row>
    <row r="433" spans="1:39" ht="12.75" customHeight="1" x14ac:dyDescent="0.25">
      <c r="A433" s="143"/>
      <c r="B433" s="143"/>
      <c r="C433" s="143"/>
      <c r="D433" s="143"/>
      <c r="E433" s="143"/>
      <c r="F433" s="143"/>
      <c r="G433" s="143"/>
      <c r="H433" s="143"/>
      <c r="I433" s="143"/>
      <c r="J433" s="143"/>
      <c r="K433" s="143"/>
      <c r="L433" s="143"/>
      <c r="M433" s="143"/>
      <c r="N433" s="143"/>
      <c r="O433" s="143"/>
      <c r="P433" s="143"/>
      <c r="Q433" s="143"/>
      <c r="R433" s="143"/>
      <c r="S433" s="143"/>
      <c r="T433" s="143"/>
      <c r="U433" s="143"/>
      <c r="V433" s="143"/>
      <c r="W433" s="143"/>
      <c r="X433" s="143"/>
      <c r="Y433" s="143"/>
      <c r="Z433" s="143"/>
      <c r="AA433" s="143"/>
      <c r="AB433" s="143"/>
      <c r="AC433" s="143"/>
      <c r="AD433" s="143"/>
      <c r="AE433" s="143"/>
      <c r="AF433" s="143"/>
      <c r="AG433" s="143"/>
      <c r="AH433" s="143"/>
      <c r="AI433" s="143"/>
      <c r="AJ433" s="143"/>
      <c r="AK433" s="143"/>
      <c r="AL433" s="143"/>
      <c r="AM433" s="143"/>
    </row>
    <row r="434" spans="1:39" ht="12.75" customHeight="1" x14ac:dyDescent="0.25">
      <c r="A434" s="143"/>
      <c r="B434" s="143"/>
      <c r="C434" s="143"/>
      <c r="D434" s="143"/>
      <c r="E434" s="143"/>
      <c r="F434" s="143"/>
      <c r="G434" s="143"/>
      <c r="H434" s="143"/>
      <c r="I434" s="143"/>
      <c r="J434" s="143"/>
      <c r="K434" s="143"/>
      <c r="L434" s="143"/>
      <c r="M434" s="143"/>
      <c r="N434" s="143"/>
      <c r="O434" s="143"/>
      <c r="P434" s="143"/>
      <c r="Q434" s="143"/>
      <c r="R434" s="143"/>
      <c r="S434" s="143"/>
      <c r="T434" s="143"/>
      <c r="U434" s="143"/>
      <c r="V434" s="143"/>
      <c r="W434" s="143"/>
      <c r="X434" s="143"/>
      <c r="Y434" s="143"/>
      <c r="Z434" s="143"/>
      <c r="AA434" s="143"/>
      <c r="AB434" s="143"/>
      <c r="AC434" s="143"/>
      <c r="AD434" s="143"/>
      <c r="AE434" s="143"/>
      <c r="AF434" s="143"/>
      <c r="AG434" s="143"/>
      <c r="AH434" s="143"/>
      <c r="AI434" s="143"/>
      <c r="AJ434" s="143"/>
      <c r="AK434" s="143"/>
      <c r="AL434" s="143"/>
      <c r="AM434" s="143"/>
    </row>
    <row r="435" spans="1:39" ht="12.75" customHeight="1" x14ac:dyDescent="0.25">
      <c r="A435" s="143"/>
      <c r="B435" s="143"/>
      <c r="C435" s="143"/>
      <c r="D435" s="143"/>
      <c r="E435" s="143"/>
      <c r="F435" s="143"/>
      <c r="G435" s="143"/>
      <c r="H435" s="143"/>
      <c r="I435" s="143"/>
      <c r="J435" s="143"/>
      <c r="K435" s="143"/>
      <c r="L435" s="143"/>
      <c r="M435" s="143"/>
      <c r="N435" s="143"/>
      <c r="O435" s="143"/>
      <c r="P435" s="143"/>
      <c r="Q435" s="143"/>
      <c r="R435" s="143"/>
      <c r="S435" s="143"/>
      <c r="T435" s="143"/>
      <c r="U435" s="143"/>
      <c r="V435" s="143"/>
      <c r="W435" s="143"/>
      <c r="X435" s="143"/>
      <c r="Y435" s="143"/>
      <c r="Z435" s="143"/>
      <c r="AA435" s="143"/>
      <c r="AB435" s="143"/>
      <c r="AC435" s="143"/>
      <c r="AD435" s="143"/>
      <c r="AE435" s="143"/>
      <c r="AF435" s="143"/>
      <c r="AG435" s="143"/>
      <c r="AH435" s="143"/>
      <c r="AI435" s="143"/>
      <c r="AJ435" s="143"/>
      <c r="AK435" s="143"/>
      <c r="AL435" s="143"/>
      <c r="AM435" s="143"/>
    </row>
    <row r="436" spans="1:39" ht="12.75" customHeight="1" x14ac:dyDescent="0.25">
      <c r="A436" s="143"/>
      <c r="B436" s="143"/>
      <c r="C436" s="143"/>
      <c r="D436" s="143"/>
      <c r="E436" s="143"/>
      <c r="F436" s="143"/>
      <c r="G436" s="143"/>
      <c r="H436" s="143"/>
      <c r="I436" s="143"/>
      <c r="J436" s="143"/>
      <c r="K436" s="143"/>
      <c r="L436" s="143"/>
      <c r="M436" s="143"/>
      <c r="N436" s="143"/>
      <c r="O436" s="143"/>
      <c r="P436" s="143"/>
      <c r="Q436" s="143"/>
      <c r="R436" s="143"/>
      <c r="S436" s="143"/>
      <c r="T436" s="143"/>
      <c r="U436" s="143"/>
      <c r="V436" s="143"/>
      <c r="W436" s="143"/>
      <c r="X436" s="143"/>
      <c r="Y436" s="143"/>
      <c r="Z436" s="143"/>
      <c r="AA436" s="143"/>
      <c r="AB436" s="143"/>
      <c r="AC436" s="143"/>
      <c r="AD436" s="143"/>
      <c r="AE436" s="143"/>
      <c r="AF436" s="143"/>
      <c r="AG436" s="143"/>
      <c r="AH436" s="143"/>
      <c r="AI436" s="143"/>
      <c r="AJ436" s="143"/>
      <c r="AK436" s="143"/>
      <c r="AL436" s="143"/>
      <c r="AM436" s="143"/>
    </row>
    <row r="437" spans="1:39" ht="12.75" customHeight="1" x14ac:dyDescent="0.25">
      <c r="A437" s="143"/>
      <c r="B437" s="143"/>
      <c r="C437" s="143"/>
      <c r="D437" s="143"/>
      <c r="E437" s="143"/>
      <c r="F437" s="143"/>
      <c r="G437" s="143"/>
      <c r="H437" s="143"/>
      <c r="I437" s="143"/>
      <c r="J437" s="143"/>
      <c r="K437" s="143"/>
      <c r="L437" s="143"/>
      <c r="M437" s="143"/>
      <c r="N437" s="143"/>
      <c r="O437" s="143"/>
      <c r="P437" s="143"/>
      <c r="Q437" s="143"/>
      <c r="R437" s="143"/>
      <c r="S437" s="143"/>
      <c r="T437" s="143"/>
      <c r="U437" s="143"/>
      <c r="V437" s="143"/>
      <c r="W437" s="143"/>
      <c r="X437" s="143"/>
      <c r="Y437" s="143"/>
      <c r="Z437" s="143"/>
      <c r="AA437" s="143"/>
      <c r="AB437" s="143"/>
      <c r="AC437" s="143"/>
      <c r="AD437" s="143"/>
      <c r="AE437" s="143"/>
      <c r="AF437" s="143"/>
      <c r="AG437" s="143"/>
      <c r="AH437" s="143"/>
      <c r="AI437" s="143"/>
      <c r="AJ437" s="143"/>
      <c r="AK437" s="143"/>
      <c r="AL437" s="143"/>
      <c r="AM437" s="143"/>
    </row>
    <row r="438" spans="1:39" ht="12.75" customHeight="1" x14ac:dyDescent="0.25">
      <c r="A438" s="143"/>
      <c r="B438" s="143"/>
      <c r="C438" s="143"/>
      <c r="D438" s="143"/>
      <c r="E438" s="143"/>
      <c r="F438" s="143"/>
      <c r="G438" s="143"/>
      <c r="H438" s="143"/>
      <c r="I438" s="143"/>
      <c r="J438" s="143"/>
      <c r="K438" s="143"/>
      <c r="L438" s="143"/>
      <c r="M438" s="143"/>
      <c r="N438" s="143"/>
      <c r="O438" s="143"/>
      <c r="P438" s="143"/>
      <c r="Q438" s="143"/>
      <c r="R438" s="143"/>
      <c r="S438" s="143"/>
      <c r="T438" s="143"/>
      <c r="U438" s="143"/>
      <c r="V438" s="143"/>
      <c r="W438" s="143"/>
      <c r="X438" s="143"/>
      <c r="Y438" s="143"/>
      <c r="Z438" s="143"/>
      <c r="AA438" s="143"/>
      <c r="AB438" s="143"/>
      <c r="AC438" s="143"/>
      <c r="AD438" s="143"/>
      <c r="AE438" s="143"/>
      <c r="AF438" s="143"/>
      <c r="AG438" s="143"/>
      <c r="AH438" s="143"/>
      <c r="AI438" s="143"/>
      <c r="AJ438" s="143"/>
      <c r="AK438" s="143"/>
      <c r="AL438" s="143"/>
      <c r="AM438" s="143"/>
    </row>
    <row r="439" spans="1:39" ht="12.75" customHeight="1" x14ac:dyDescent="0.25">
      <c r="A439" s="143"/>
      <c r="B439" s="143"/>
      <c r="C439" s="143"/>
      <c r="D439" s="143"/>
      <c r="E439" s="143"/>
      <c r="F439" s="143"/>
      <c r="G439" s="143"/>
      <c r="H439" s="143"/>
      <c r="I439" s="143"/>
      <c r="J439" s="143"/>
      <c r="K439" s="143"/>
      <c r="L439" s="143"/>
      <c r="M439" s="143"/>
      <c r="N439" s="143"/>
      <c r="O439" s="143"/>
      <c r="P439" s="143"/>
      <c r="Q439" s="143"/>
      <c r="R439" s="143"/>
      <c r="S439" s="143"/>
      <c r="T439" s="143"/>
      <c r="U439" s="143"/>
      <c r="V439" s="143"/>
      <c r="W439" s="143"/>
      <c r="X439" s="143"/>
      <c r="Y439" s="143"/>
      <c r="Z439" s="143"/>
      <c r="AA439" s="143"/>
      <c r="AB439" s="143"/>
      <c r="AC439" s="143"/>
      <c r="AD439" s="143"/>
      <c r="AE439" s="143"/>
      <c r="AF439" s="143"/>
      <c r="AG439" s="143"/>
      <c r="AH439" s="143"/>
      <c r="AI439" s="143"/>
      <c r="AJ439" s="143"/>
      <c r="AK439" s="143"/>
      <c r="AL439" s="143"/>
      <c r="AM439" s="143"/>
    </row>
    <row r="440" spans="1:39" ht="12.75" customHeight="1" x14ac:dyDescent="0.25">
      <c r="A440" s="143"/>
      <c r="B440" s="143"/>
      <c r="C440" s="143"/>
      <c r="D440" s="143"/>
      <c r="E440" s="143"/>
      <c r="F440" s="143"/>
      <c r="G440" s="143"/>
      <c r="H440" s="143"/>
      <c r="I440" s="143"/>
      <c r="J440" s="143"/>
      <c r="K440" s="143"/>
      <c r="L440" s="143"/>
      <c r="M440" s="143"/>
      <c r="N440" s="143"/>
      <c r="O440" s="143"/>
      <c r="P440" s="143"/>
      <c r="Q440" s="143"/>
      <c r="R440" s="143"/>
      <c r="S440" s="143"/>
      <c r="T440" s="143"/>
      <c r="U440" s="143"/>
      <c r="V440" s="143"/>
      <c r="W440" s="143"/>
      <c r="X440" s="143"/>
      <c r="Y440" s="143"/>
      <c r="Z440" s="143"/>
      <c r="AA440" s="143"/>
      <c r="AB440" s="143"/>
      <c r="AC440" s="143"/>
      <c r="AD440" s="143"/>
      <c r="AE440" s="143"/>
      <c r="AF440" s="143"/>
      <c r="AG440" s="143"/>
      <c r="AH440" s="143"/>
      <c r="AI440" s="143"/>
      <c r="AJ440" s="143"/>
      <c r="AK440" s="143"/>
      <c r="AL440" s="143"/>
      <c r="AM440" s="143"/>
    </row>
    <row r="441" spans="1:39" ht="12.75" customHeight="1" x14ac:dyDescent="0.25">
      <c r="A441" s="143"/>
      <c r="B441" s="143"/>
      <c r="C441" s="143"/>
      <c r="D441" s="143"/>
      <c r="E441" s="143"/>
      <c r="F441" s="143"/>
      <c r="G441" s="143"/>
      <c r="H441" s="143"/>
      <c r="I441" s="143"/>
      <c r="J441" s="143"/>
      <c r="K441" s="143"/>
      <c r="L441" s="143"/>
      <c r="M441" s="143"/>
      <c r="N441" s="143"/>
      <c r="O441" s="143"/>
      <c r="P441" s="143"/>
      <c r="Q441" s="143"/>
      <c r="R441" s="143"/>
      <c r="S441" s="143"/>
      <c r="T441" s="143"/>
      <c r="U441" s="143"/>
      <c r="V441" s="143"/>
      <c r="W441" s="143"/>
      <c r="X441" s="143"/>
      <c r="Y441" s="143"/>
      <c r="Z441" s="143"/>
      <c r="AA441" s="143"/>
      <c r="AB441" s="143"/>
      <c r="AC441" s="143"/>
      <c r="AD441" s="143"/>
      <c r="AE441" s="143"/>
      <c r="AF441" s="143"/>
      <c r="AG441" s="143"/>
      <c r="AH441" s="143"/>
      <c r="AI441" s="143"/>
      <c r="AJ441" s="143"/>
      <c r="AK441" s="143"/>
      <c r="AL441" s="143"/>
      <c r="AM441" s="143"/>
    </row>
    <row r="442" spans="1:39" ht="12.75" customHeight="1" x14ac:dyDescent="0.25">
      <c r="A442" s="143"/>
      <c r="B442" s="143"/>
      <c r="C442" s="143"/>
      <c r="D442" s="143"/>
      <c r="E442" s="143"/>
      <c r="F442" s="143"/>
      <c r="G442" s="143"/>
      <c r="H442" s="143"/>
      <c r="I442" s="143"/>
      <c r="J442" s="143"/>
      <c r="K442" s="143"/>
      <c r="L442" s="143"/>
      <c r="M442" s="143"/>
      <c r="N442" s="143"/>
      <c r="O442" s="143"/>
      <c r="P442" s="143"/>
      <c r="Q442" s="143"/>
      <c r="R442" s="143"/>
      <c r="S442" s="143"/>
      <c r="T442" s="143"/>
      <c r="U442" s="143"/>
      <c r="V442" s="143"/>
      <c r="W442" s="143"/>
      <c r="X442" s="143"/>
      <c r="Y442" s="143"/>
      <c r="Z442" s="143"/>
      <c r="AA442" s="143"/>
      <c r="AB442" s="143"/>
      <c r="AC442" s="143"/>
      <c r="AD442" s="143"/>
      <c r="AE442" s="143"/>
      <c r="AF442" s="143"/>
      <c r="AG442" s="143"/>
      <c r="AH442" s="143"/>
      <c r="AI442" s="143"/>
      <c r="AJ442" s="143"/>
      <c r="AK442" s="143"/>
      <c r="AL442" s="143"/>
      <c r="AM442" s="143"/>
    </row>
    <row r="443" spans="1:39" ht="12.75" customHeight="1" x14ac:dyDescent="0.25">
      <c r="A443" s="143"/>
      <c r="B443" s="143"/>
      <c r="C443" s="143"/>
      <c r="D443" s="143"/>
      <c r="E443" s="143"/>
      <c r="F443" s="143"/>
      <c r="G443" s="143"/>
      <c r="H443" s="143"/>
      <c r="I443" s="143"/>
      <c r="J443" s="143"/>
      <c r="K443" s="143"/>
      <c r="L443" s="143"/>
      <c r="M443" s="143"/>
      <c r="N443" s="143"/>
      <c r="O443" s="143"/>
      <c r="P443" s="143"/>
      <c r="Q443" s="143"/>
      <c r="R443" s="143"/>
      <c r="S443" s="143"/>
      <c r="T443" s="143"/>
      <c r="U443" s="143"/>
      <c r="V443" s="143"/>
      <c r="W443" s="143"/>
      <c r="X443" s="143"/>
      <c r="Y443" s="143"/>
      <c r="Z443" s="143"/>
      <c r="AA443" s="143"/>
      <c r="AB443" s="143"/>
      <c r="AC443" s="143"/>
      <c r="AD443" s="143"/>
      <c r="AE443" s="143"/>
      <c r="AF443" s="143"/>
      <c r="AG443" s="143"/>
      <c r="AH443" s="143"/>
      <c r="AI443" s="143"/>
      <c r="AJ443" s="143"/>
      <c r="AK443" s="143"/>
      <c r="AL443" s="143"/>
      <c r="AM443" s="143"/>
    </row>
    <row r="444" spans="1:39" ht="12.75" customHeight="1" x14ac:dyDescent="0.25">
      <c r="A444" s="143"/>
      <c r="B444" s="143"/>
      <c r="C444" s="143"/>
      <c r="D444" s="143"/>
      <c r="E444" s="143"/>
      <c r="F444" s="143"/>
      <c r="G444" s="143"/>
      <c r="H444" s="143"/>
      <c r="I444" s="143"/>
      <c r="J444" s="143"/>
      <c r="K444" s="143"/>
      <c r="L444" s="143"/>
      <c r="M444" s="143"/>
      <c r="N444" s="143"/>
      <c r="O444" s="143"/>
      <c r="P444" s="143"/>
      <c r="Q444" s="143"/>
      <c r="R444" s="143"/>
      <c r="S444" s="143"/>
      <c r="T444" s="143"/>
      <c r="U444" s="143"/>
      <c r="V444" s="143"/>
      <c r="W444" s="143"/>
      <c r="X444" s="143"/>
      <c r="Y444" s="143"/>
      <c r="Z444" s="143"/>
      <c r="AA444" s="143"/>
      <c r="AB444" s="143"/>
      <c r="AC444" s="143"/>
      <c r="AD444" s="143"/>
      <c r="AE444" s="143"/>
      <c r="AF444" s="143"/>
      <c r="AG444" s="143"/>
      <c r="AH444" s="143"/>
      <c r="AI444" s="143"/>
      <c r="AJ444" s="143"/>
      <c r="AK444" s="143"/>
      <c r="AL444" s="143"/>
      <c r="AM444" s="143"/>
    </row>
    <row r="445" spans="1:39" ht="12.75" customHeight="1" x14ac:dyDescent="0.25">
      <c r="A445" s="143"/>
      <c r="B445" s="143"/>
      <c r="C445" s="143"/>
      <c r="D445" s="143"/>
      <c r="E445" s="143"/>
      <c r="F445" s="143"/>
      <c r="G445" s="143"/>
      <c r="H445" s="143"/>
      <c r="I445" s="143"/>
      <c r="J445" s="143"/>
      <c r="K445" s="143"/>
      <c r="L445" s="143"/>
      <c r="M445" s="143"/>
      <c r="N445" s="143"/>
      <c r="O445" s="143"/>
      <c r="P445" s="143"/>
      <c r="Q445" s="143"/>
      <c r="R445" s="143"/>
      <c r="S445" s="143"/>
      <c r="T445" s="143"/>
      <c r="U445" s="143"/>
      <c r="V445" s="143"/>
      <c r="W445" s="143"/>
      <c r="X445" s="143"/>
      <c r="Y445" s="143"/>
      <c r="Z445" s="143"/>
      <c r="AA445" s="143"/>
      <c r="AB445" s="143"/>
      <c r="AC445" s="143"/>
      <c r="AD445" s="143"/>
      <c r="AE445" s="143"/>
      <c r="AF445" s="143"/>
      <c r="AG445" s="143"/>
      <c r="AH445" s="143"/>
      <c r="AI445" s="143"/>
      <c r="AJ445" s="143"/>
      <c r="AK445" s="143"/>
      <c r="AL445" s="143"/>
      <c r="AM445" s="143"/>
    </row>
    <row r="446" spans="1:39" ht="12.75" customHeight="1" x14ac:dyDescent="0.25">
      <c r="A446" s="143"/>
      <c r="B446" s="143"/>
      <c r="C446" s="143"/>
      <c r="D446" s="143"/>
      <c r="E446" s="143"/>
      <c r="F446" s="143"/>
      <c r="G446" s="143"/>
      <c r="H446" s="143"/>
      <c r="I446" s="143"/>
      <c r="J446" s="143"/>
      <c r="K446" s="143"/>
      <c r="L446" s="143"/>
      <c r="M446" s="143"/>
      <c r="N446" s="143"/>
      <c r="O446" s="143"/>
      <c r="P446" s="143"/>
      <c r="Q446" s="143"/>
      <c r="R446" s="143"/>
      <c r="S446" s="143"/>
      <c r="T446" s="143"/>
      <c r="U446" s="143"/>
      <c r="V446" s="143"/>
      <c r="W446" s="143"/>
      <c r="X446" s="143"/>
      <c r="Y446" s="143"/>
      <c r="Z446" s="143"/>
      <c r="AA446" s="143"/>
      <c r="AB446" s="143"/>
      <c r="AC446" s="143"/>
      <c r="AD446" s="143"/>
      <c r="AE446" s="143"/>
      <c r="AF446" s="143"/>
      <c r="AG446" s="143"/>
      <c r="AH446" s="143"/>
      <c r="AI446" s="143"/>
      <c r="AJ446" s="143"/>
      <c r="AK446" s="143"/>
      <c r="AL446" s="143"/>
      <c r="AM446" s="143"/>
    </row>
    <row r="447" spans="1:39" ht="12.75" customHeight="1" x14ac:dyDescent="0.25">
      <c r="A447" s="143"/>
      <c r="B447" s="143"/>
      <c r="C447" s="143"/>
      <c r="D447" s="143"/>
      <c r="E447" s="143"/>
      <c r="F447" s="143"/>
      <c r="G447" s="143"/>
      <c r="H447" s="143"/>
      <c r="I447" s="143"/>
      <c r="J447" s="143"/>
      <c r="K447" s="143"/>
      <c r="L447" s="143"/>
      <c r="M447" s="143"/>
      <c r="N447" s="143"/>
      <c r="O447" s="143"/>
      <c r="P447" s="143"/>
      <c r="Q447" s="143"/>
      <c r="R447" s="143"/>
      <c r="S447" s="143"/>
      <c r="T447" s="143"/>
      <c r="U447" s="143"/>
      <c r="V447" s="143"/>
      <c r="W447" s="143"/>
      <c r="X447" s="143"/>
      <c r="Y447" s="143"/>
      <c r="Z447" s="143"/>
      <c r="AA447" s="143"/>
      <c r="AB447" s="143"/>
      <c r="AC447" s="143"/>
      <c r="AD447" s="143"/>
      <c r="AE447" s="143"/>
      <c r="AF447" s="143"/>
      <c r="AG447" s="143"/>
      <c r="AH447" s="143"/>
      <c r="AI447" s="143"/>
      <c r="AJ447" s="143"/>
      <c r="AK447" s="143"/>
      <c r="AL447" s="143"/>
      <c r="AM447" s="143"/>
    </row>
    <row r="448" spans="1:39" ht="12.75" customHeight="1" x14ac:dyDescent="0.25">
      <c r="A448" s="143"/>
      <c r="B448" s="143"/>
      <c r="C448" s="143"/>
      <c r="D448" s="143"/>
      <c r="E448" s="143"/>
      <c r="F448" s="143"/>
      <c r="G448" s="143"/>
      <c r="H448" s="143"/>
      <c r="I448" s="143"/>
      <c r="J448" s="143"/>
      <c r="K448" s="143"/>
      <c r="L448" s="143"/>
      <c r="M448" s="143"/>
      <c r="N448" s="143"/>
      <c r="O448" s="143"/>
      <c r="P448" s="143"/>
      <c r="Q448" s="143"/>
      <c r="R448" s="143"/>
      <c r="S448" s="143"/>
      <c r="T448" s="143"/>
      <c r="U448" s="143"/>
      <c r="V448" s="143"/>
      <c r="W448" s="143"/>
      <c r="X448" s="143"/>
      <c r="Y448" s="143"/>
      <c r="Z448" s="143"/>
      <c r="AA448" s="143"/>
      <c r="AB448" s="143"/>
      <c r="AC448" s="143"/>
      <c r="AD448" s="143"/>
      <c r="AE448" s="143"/>
      <c r="AF448" s="143"/>
      <c r="AG448" s="143"/>
      <c r="AH448" s="143"/>
      <c r="AI448" s="143"/>
      <c r="AJ448" s="143"/>
      <c r="AK448" s="143"/>
      <c r="AL448" s="143"/>
      <c r="AM448" s="143"/>
    </row>
    <row r="449" spans="1:39" ht="12.75" customHeight="1" x14ac:dyDescent="0.25">
      <c r="A449" s="143"/>
      <c r="B449" s="143"/>
      <c r="C449" s="143"/>
      <c r="D449" s="143"/>
      <c r="E449" s="143"/>
      <c r="F449" s="143"/>
      <c r="G449" s="143"/>
      <c r="H449" s="143"/>
      <c r="I449" s="143"/>
      <c r="J449" s="143"/>
      <c r="K449" s="143"/>
      <c r="L449" s="143"/>
      <c r="M449" s="143"/>
      <c r="N449" s="143"/>
      <c r="O449" s="143"/>
      <c r="P449" s="143"/>
      <c r="Q449" s="143"/>
      <c r="R449" s="143"/>
      <c r="S449" s="143"/>
      <c r="T449" s="143"/>
      <c r="U449" s="143"/>
      <c r="V449" s="143"/>
      <c r="W449" s="143"/>
      <c r="X449" s="143"/>
      <c r="Y449" s="143"/>
      <c r="Z449" s="143"/>
      <c r="AA449" s="143"/>
      <c r="AB449" s="143"/>
      <c r="AC449" s="143"/>
      <c r="AD449" s="143"/>
      <c r="AE449" s="143"/>
      <c r="AF449" s="143"/>
      <c r="AG449" s="143"/>
      <c r="AH449" s="143"/>
      <c r="AI449" s="143"/>
      <c r="AJ449" s="143"/>
      <c r="AK449" s="143"/>
      <c r="AL449" s="143"/>
      <c r="AM449" s="143"/>
    </row>
    <row r="450" spans="1:39" ht="12.75" customHeight="1" x14ac:dyDescent="0.25">
      <c r="A450" s="143"/>
      <c r="B450" s="143"/>
      <c r="C450" s="143"/>
      <c r="D450" s="143"/>
      <c r="E450" s="143"/>
      <c r="F450" s="143"/>
      <c r="G450" s="143"/>
      <c r="H450" s="143"/>
      <c r="I450" s="143"/>
      <c r="J450" s="143"/>
      <c r="K450" s="143"/>
      <c r="L450" s="143"/>
      <c r="M450" s="143"/>
      <c r="N450" s="143"/>
      <c r="O450" s="143"/>
      <c r="P450" s="143"/>
      <c r="Q450" s="143"/>
      <c r="R450" s="143"/>
      <c r="S450" s="143"/>
      <c r="T450" s="143"/>
      <c r="U450" s="143"/>
      <c r="V450" s="143"/>
      <c r="W450" s="143"/>
      <c r="X450" s="143"/>
      <c r="Y450" s="143"/>
      <c r="Z450" s="143"/>
      <c r="AA450" s="143"/>
      <c r="AB450" s="143"/>
      <c r="AC450" s="143"/>
      <c r="AD450" s="143"/>
      <c r="AE450" s="143"/>
      <c r="AF450" s="143"/>
      <c r="AG450" s="143"/>
      <c r="AH450" s="143"/>
      <c r="AI450" s="143"/>
      <c r="AJ450" s="143"/>
      <c r="AK450" s="143"/>
      <c r="AL450" s="143"/>
      <c r="AM450" s="143"/>
    </row>
    <row r="451" spans="1:39" ht="12.75" customHeight="1" x14ac:dyDescent="0.25">
      <c r="A451" s="143"/>
      <c r="B451" s="143"/>
      <c r="C451" s="143"/>
      <c r="D451" s="143"/>
      <c r="E451" s="143"/>
      <c r="F451" s="143"/>
      <c r="G451" s="143"/>
      <c r="H451" s="143"/>
      <c r="I451" s="143"/>
      <c r="J451" s="143"/>
      <c r="K451" s="143"/>
      <c r="L451" s="143"/>
      <c r="M451" s="143"/>
      <c r="N451" s="143"/>
      <c r="O451" s="143"/>
      <c r="P451" s="143"/>
      <c r="Q451" s="143"/>
      <c r="R451" s="143"/>
      <c r="S451" s="143"/>
      <c r="T451" s="143"/>
      <c r="U451" s="143"/>
      <c r="V451" s="143"/>
      <c r="W451" s="143"/>
      <c r="X451" s="143"/>
      <c r="Y451" s="143"/>
      <c r="Z451" s="143"/>
      <c r="AA451" s="143"/>
      <c r="AB451" s="143"/>
      <c r="AC451" s="143"/>
      <c r="AD451" s="143"/>
      <c r="AE451" s="143"/>
      <c r="AF451" s="143"/>
      <c r="AG451" s="143"/>
      <c r="AH451" s="143"/>
      <c r="AI451" s="143"/>
      <c r="AJ451" s="143"/>
      <c r="AK451" s="143"/>
      <c r="AL451" s="143"/>
      <c r="AM451" s="143"/>
    </row>
    <row r="452" spans="1:39" ht="12.75" customHeight="1" x14ac:dyDescent="0.25">
      <c r="A452" s="143"/>
      <c r="B452" s="143"/>
      <c r="C452" s="143"/>
      <c r="D452" s="143"/>
      <c r="E452" s="143"/>
      <c r="F452" s="143"/>
      <c r="G452" s="143"/>
      <c r="H452" s="143"/>
      <c r="I452" s="143"/>
      <c r="J452" s="143"/>
      <c r="K452" s="143"/>
      <c r="L452" s="143"/>
      <c r="M452" s="143"/>
      <c r="N452" s="143"/>
      <c r="O452" s="143"/>
      <c r="P452" s="143"/>
      <c r="Q452" s="143"/>
      <c r="R452" s="143"/>
      <c r="S452" s="143"/>
      <c r="T452" s="143"/>
      <c r="U452" s="143"/>
      <c r="V452" s="143"/>
      <c r="W452" s="143"/>
      <c r="X452" s="143"/>
      <c r="Y452" s="143"/>
      <c r="Z452" s="143"/>
      <c r="AA452" s="143"/>
      <c r="AB452" s="143"/>
      <c r="AC452" s="143"/>
      <c r="AD452" s="143"/>
      <c r="AE452" s="143"/>
      <c r="AF452" s="143"/>
      <c r="AG452" s="143"/>
      <c r="AH452" s="143"/>
      <c r="AI452" s="143"/>
      <c r="AJ452" s="143"/>
      <c r="AK452" s="143"/>
      <c r="AL452" s="143"/>
      <c r="AM452" s="143"/>
    </row>
    <row r="453" spans="1:39" ht="12.75" customHeight="1" x14ac:dyDescent="0.25">
      <c r="A453" s="143"/>
      <c r="B453" s="143"/>
      <c r="C453" s="143"/>
      <c r="D453" s="143"/>
      <c r="E453" s="143"/>
      <c r="F453" s="143"/>
      <c r="G453" s="143"/>
      <c r="H453" s="143"/>
      <c r="I453" s="143"/>
      <c r="J453" s="143"/>
      <c r="K453" s="143"/>
      <c r="L453" s="143"/>
      <c r="M453" s="143"/>
      <c r="N453" s="143"/>
      <c r="O453" s="143"/>
      <c r="P453" s="143"/>
      <c r="Q453" s="143"/>
      <c r="R453" s="143"/>
      <c r="S453" s="143"/>
      <c r="T453" s="143"/>
      <c r="U453" s="143"/>
      <c r="V453" s="143"/>
      <c r="W453" s="143"/>
      <c r="X453" s="143"/>
      <c r="Y453" s="143"/>
      <c r="Z453" s="143"/>
      <c r="AA453" s="143"/>
      <c r="AB453" s="143"/>
      <c r="AC453" s="143"/>
      <c r="AD453" s="143"/>
      <c r="AE453" s="143"/>
      <c r="AF453" s="143"/>
      <c r="AG453" s="143"/>
      <c r="AH453" s="143"/>
      <c r="AI453" s="143"/>
      <c r="AJ453" s="143"/>
      <c r="AK453" s="143"/>
      <c r="AL453" s="143"/>
      <c r="AM453" s="143"/>
    </row>
    <row r="454" spans="1:39" ht="12.75" customHeight="1" x14ac:dyDescent="0.25">
      <c r="A454" s="143"/>
      <c r="B454" s="143"/>
      <c r="C454" s="143"/>
      <c r="D454" s="143"/>
      <c r="E454" s="143"/>
      <c r="F454" s="143"/>
      <c r="G454" s="143"/>
      <c r="H454" s="143"/>
      <c r="I454" s="143"/>
      <c r="J454" s="143"/>
      <c r="K454" s="143"/>
      <c r="L454" s="143"/>
      <c r="M454" s="143"/>
      <c r="N454" s="143"/>
      <c r="O454" s="143"/>
      <c r="P454" s="143"/>
      <c r="Q454" s="143"/>
      <c r="R454" s="143"/>
      <c r="S454" s="143"/>
      <c r="T454" s="143"/>
      <c r="U454" s="143"/>
      <c r="V454" s="143"/>
      <c r="W454" s="143"/>
      <c r="X454" s="143"/>
      <c r="Y454" s="143"/>
      <c r="Z454" s="143"/>
      <c r="AA454" s="143"/>
      <c r="AB454" s="143"/>
      <c r="AC454" s="143"/>
      <c r="AD454" s="143"/>
      <c r="AE454" s="143"/>
      <c r="AF454" s="143"/>
      <c r="AG454" s="143"/>
      <c r="AH454" s="143"/>
      <c r="AI454" s="143"/>
      <c r="AJ454" s="143"/>
      <c r="AK454" s="143"/>
      <c r="AL454" s="143"/>
      <c r="AM454" s="143"/>
    </row>
    <row r="455" spans="1:39" ht="12.75" customHeight="1" x14ac:dyDescent="0.25">
      <c r="A455" s="143"/>
      <c r="B455" s="143"/>
      <c r="C455" s="143"/>
      <c r="D455" s="143"/>
      <c r="E455" s="143"/>
      <c r="F455" s="143"/>
      <c r="G455" s="143"/>
      <c r="H455" s="143"/>
      <c r="I455" s="143"/>
      <c r="J455" s="143"/>
      <c r="K455" s="143"/>
      <c r="L455" s="143"/>
      <c r="M455" s="143"/>
      <c r="N455" s="143"/>
      <c r="O455" s="143"/>
      <c r="P455" s="143"/>
      <c r="Q455" s="143"/>
      <c r="R455" s="143"/>
      <c r="S455" s="143"/>
      <c r="T455" s="143"/>
      <c r="U455" s="143"/>
      <c r="V455" s="143"/>
      <c r="W455" s="143"/>
      <c r="X455" s="143"/>
      <c r="Y455" s="143"/>
      <c r="Z455" s="143"/>
      <c r="AA455" s="143"/>
      <c r="AB455" s="143"/>
      <c r="AC455" s="143"/>
      <c r="AD455" s="143"/>
      <c r="AE455" s="143"/>
      <c r="AF455" s="143"/>
      <c r="AG455" s="143"/>
      <c r="AH455" s="143"/>
      <c r="AI455" s="143"/>
      <c r="AJ455" s="143"/>
      <c r="AK455" s="143"/>
      <c r="AL455" s="143"/>
      <c r="AM455" s="143"/>
    </row>
    <row r="456" spans="1:39" ht="12.75" customHeight="1" x14ac:dyDescent="0.25">
      <c r="A456" s="143"/>
      <c r="B456" s="143"/>
      <c r="C456" s="143"/>
      <c r="D456" s="143"/>
      <c r="E456" s="143"/>
      <c r="F456" s="143"/>
      <c r="G456" s="143"/>
      <c r="H456" s="143"/>
      <c r="I456" s="143"/>
      <c r="J456" s="143"/>
      <c r="K456" s="143"/>
      <c r="L456" s="143"/>
      <c r="M456" s="143"/>
      <c r="N456" s="143"/>
      <c r="O456" s="143"/>
      <c r="P456" s="143"/>
      <c r="Q456" s="143"/>
      <c r="R456" s="143"/>
      <c r="S456" s="143"/>
      <c r="T456" s="143"/>
      <c r="U456" s="143"/>
      <c r="V456" s="143"/>
      <c r="W456" s="143"/>
      <c r="X456" s="143"/>
      <c r="Y456" s="143"/>
      <c r="Z456" s="143"/>
      <c r="AA456" s="143"/>
      <c r="AB456" s="143"/>
      <c r="AC456" s="143"/>
      <c r="AD456" s="143"/>
      <c r="AE456" s="143"/>
      <c r="AF456" s="143"/>
      <c r="AG456" s="143"/>
      <c r="AH456" s="143"/>
      <c r="AI456" s="143"/>
      <c r="AJ456" s="143"/>
      <c r="AK456" s="143"/>
      <c r="AL456" s="143"/>
      <c r="AM456" s="143"/>
    </row>
    <row r="457" spans="1:39" ht="12.75" customHeight="1" x14ac:dyDescent="0.25">
      <c r="A457" s="143"/>
      <c r="B457" s="143"/>
      <c r="C457" s="143"/>
      <c r="D457" s="143"/>
      <c r="E457" s="143"/>
      <c r="F457" s="143"/>
      <c r="G457" s="143"/>
      <c r="H457" s="143"/>
      <c r="I457" s="143"/>
      <c r="J457" s="143"/>
      <c r="K457" s="143"/>
      <c r="L457" s="143"/>
      <c r="M457" s="143"/>
      <c r="N457" s="143"/>
      <c r="O457" s="143"/>
      <c r="P457" s="143"/>
      <c r="Q457" s="143"/>
      <c r="R457" s="143"/>
      <c r="S457" s="143"/>
      <c r="T457" s="143"/>
      <c r="U457" s="143"/>
      <c r="V457" s="143"/>
      <c r="W457" s="143"/>
      <c r="X457" s="143"/>
      <c r="Y457" s="143"/>
      <c r="Z457" s="143"/>
      <c r="AA457" s="143"/>
      <c r="AB457" s="143"/>
      <c r="AC457" s="143"/>
      <c r="AD457" s="143"/>
      <c r="AE457" s="143"/>
      <c r="AF457" s="143"/>
      <c r="AG457" s="143"/>
      <c r="AH457" s="143"/>
      <c r="AI457" s="143"/>
      <c r="AJ457" s="143"/>
      <c r="AK457" s="143"/>
      <c r="AL457" s="143"/>
      <c r="AM457" s="143"/>
    </row>
    <row r="458" spans="1:39" ht="12.75" customHeight="1" x14ac:dyDescent="0.25">
      <c r="A458" s="143"/>
      <c r="B458" s="143"/>
      <c r="C458" s="143"/>
      <c r="D458" s="143"/>
      <c r="E458" s="143"/>
      <c r="F458" s="143"/>
      <c r="G458" s="143"/>
      <c r="H458" s="143"/>
      <c r="I458" s="143"/>
      <c r="J458" s="143"/>
      <c r="K458" s="143"/>
      <c r="L458" s="143"/>
      <c r="M458" s="143"/>
      <c r="N458" s="143"/>
      <c r="O458" s="143"/>
      <c r="P458" s="143"/>
      <c r="Q458" s="143"/>
      <c r="R458" s="143"/>
      <c r="S458" s="143"/>
      <c r="T458" s="143"/>
      <c r="U458" s="143"/>
      <c r="V458" s="143"/>
      <c r="W458" s="143"/>
      <c r="X458" s="143"/>
      <c r="Y458" s="143"/>
      <c r="Z458" s="143"/>
      <c r="AA458" s="143"/>
      <c r="AB458" s="143"/>
      <c r="AC458" s="143"/>
      <c r="AD458" s="143"/>
      <c r="AE458" s="143"/>
      <c r="AF458" s="143"/>
      <c r="AG458" s="143"/>
      <c r="AH458" s="143"/>
      <c r="AI458" s="143"/>
      <c r="AJ458" s="143"/>
      <c r="AK458" s="143"/>
      <c r="AL458" s="143"/>
      <c r="AM458" s="143"/>
    </row>
    <row r="459" spans="1:39" ht="12.75" customHeight="1" x14ac:dyDescent="0.25">
      <c r="A459" s="143"/>
      <c r="B459" s="143"/>
      <c r="C459" s="143"/>
      <c r="D459" s="143"/>
      <c r="E459" s="143"/>
      <c r="F459" s="143"/>
      <c r="G459" s="143"/>
      <c r="H459" s="143"/>
      <c r="I459" s="143"/>
      <c r="J459" s="143"/>
      <c r="K459" s="143"/>
      <c r="L459" s="143"/>
      <c r="M459" s="143"/>
      <c r="N459" s="143"/>
      <c r="O459" s="143"/>
      <c r="P459" s="143"/>
      <c r="Q459" s="143"/>
      <c r="R459" s="143"/>
      <c r="S459" s="143"/>
      <c r="T459" s="143"/>
      <c r="U459" s="143"/>
      <c r="V459" s="143"/>
      <c r="W459" s="143"/>
      <c r="X459" s="143"/>
      <c r="Y459" s="143"/>
      <c r="Z459" s="143"/>
      <c r="AA459" s="143"/>
      <c r="AB459" s="143"/>
      <c r="AC459" s="143"/>
      <c r="AD459" s="143"/>
      <c r="AE459" s="143"/>
      <c r="AF459" s="143"/>
      <c r="AG459" s="143"/>
      <c r="AH459" s="143"/>
      <c r="AI459" s="143"/>
      <c r="AJ459" s="143"/>
      <c r="AK459" s="143"/>
      <c r="AL459" s="143"/>
      <c r="AM459" s="143"/>
    </row>
    <row r="460" spans="1:39" ht="12.75" customHeight="1" x14ac:dyDescent="0.25">
      <c r="A460" s="143"/>
      <c r="B460" s="143"/>
      <c r="C460" s="143"/>
      <c r="D460" s="143"/>
      <c r="E460" s="143"/>
      <c r="F460" s="143"/>
      <c r="G460" s="143"/>
      <c r="H460" s="143"/>
      <c r="I460" s="143"/>
      <c r="J460" s="143"/>
      <c r="K460" s="143"/>
      <c r="L460" s="143"/>
      <c r="M460" s="143"/>
      <c r="N460" s="143"/>
      <c r="O460" s="143"/>
      <c r="P460" s="143"/>
      <c r="Q460" s="143"/>
      <c r="R460" s="143"/>
      <c r="S460" s="143"/>
      <c r="T460" s="143"/>
      <c r="U460" s="143"/>
      <c r="V460" s="143"/>
      <c r="W460" s="143"/>
      <c r="X460" s="143"/>
      <c r="Y460" s="143"/>
      <c r="Z460" s="143"/>
      <c r="AA460" s="143"/>
      <c r="AB460" s="143"/>
      <c r="AC460" s="143"/>
      <c r="AD460" s="143"/>
      <c r="AE460" s="143"/>
      <c r="AF460" s="143"/>
      <c r="AG460" s="143"/>
      <c r="AH460" s="143"/>
      <c r="AI460" s="143"/>
      <c r="AJ460" s="143"/>
      <c r="AK460" s="143"/>
      <c r="AL460" s="143"/>
      <c r="AM460" s="143"/>
    </row>
    <row r="461" spans="1:39" ht="12.75" customHeight="1" x14ac:dyDescent="0.25">
      <c r="A461" s="143"/>
      <c r="B461" s="143"/>
      <c r="C461" s="143"/>
      <c r="D461" s="143"/>
      <c r="E461" s="143"/>
      <c r="F461" s="143"/>
      <c r="G461" s="143"/>
      <c r="H461" s="143"/>
      <c r="I461" s="143"/>
      <c r="J461" s="143"/>
      <c r="K461" s="143"/>
      <c r="L461" s="143"/>
      <c r="M461" s="143"/>
      <c r="N461" s="143"/>
      <c r="O461" s="143"/>
      <c r="P461" s="143"/>
      <c r="Q461" s="143"/>
      <c r="R461" s="143"/>
      <c r="S461" s="143"/>
      <c r="T461" s="143"/>
      <c r="U461" s="143"/>
      <c r="V461" s="143"/>
      <c r="W461" s="143"/>
      <c r="X461" s="143"/>
      <c r="Y461" s="143"/>
      <c r="Z461" s="143"/>
      <c r="AA461" s="143"/>
      <c r="AB461" s="143"/>
      <c r="AC461" s="143"/>
      <c r="AD461" s="143"/>
      <c r="AE461" s="143"/>
      <c r="AF461" s="143"/>
      <c r="AG461" s="143"/>
      <c r="AH461" s="143"/>
      <c r="AI461" s="143"/>
      <c r="AJ461" s="143"/>
      <c r="AK461" s="143"/>
      <c r="AL461" s="143"/>
      <c r="AM461" s="143"/>
    </row>
    <row r="462" spans="1:39" ht="12.75" customHeight="1" x14ac:dyDescent="0.25">
      <c r="A462" s="143"/>
      <c r="B462" s="143"/>
      <c r="C462" s="143"/>
      <c r="D462" s="143"/>
      <c r="E462" s="143"/>
      <c r="F462" s="143"/>
      <c r="G462" s="143"/>
      <c r="H462" s="143"/>
      <c r="I462" s="143"/>
      <c r="J462" s="143"/>
      <c r="K462" s="143"/>
      <c r="L462" s="143"/>
      <c r="M462" s="143"/>
      <c r="N462" s="143"/>
      <c r="O462" s="143"/>
      <c r="P462" s="143"/>
      <c r="Q462" s="143"/>
      <c r="R462" s="143"/>
      <c r="S462" s="143"/>
      <c r="T462" s="143"/>
      <c r="U462" s="143"/>
      <c r="V462" s="143"/>
      <c r="W462" s="143"/>
      <c r="X462" s="143"/>
      <c r="Y462" s="143"/>
      <c r="Z462" s="143"/>
      <c r="AA462" s="143"/>
      <c r="AB462" s="143"/>
      <c r="AC462" s="143"/>
      <c r="AD462" s="143"/>
      <c r="AE462" s="143"/>
      <c r="AF462" s="143"/>
      <c r="AG462" s="143"/>
      <c r="AH462" s="143"/>
      <c r="AI462" s="143"/>
      <c r="AJ462" s="143"/>
      <c r="AK462" s="143"/>
      <c r="AL462" s="143"/>
      <c r="AM462" s="143"/>
    </row>
    <row r="463" spans="1:39" ht="12.75" customHeight="1" x14ac:dyDescent="0.25">
      <c r="A463" s="143"/>
      <c r="B463" s="143"/>
      <c r="C463" s="143"/>
      <c r="D463" s="143"/>
      <c r="E463" s="143"/>
      <c r="F463" s="143"/>
      <c r="G463" s="143"/>
      <c r="H463" s="143"/>
      <c r="I463" s="143"/>
      <c r="J463" s="143"/>
      <c r="K463" s="143"/>
      <c r="L463" s="143"/>
      <c r="M463" s="143"/>
      <c r="N463" s="143"/>
      <c r="O463" s="143"/>
      <c r="P463" s="143"/>
      <c r="Q463" s="143"/>
      <c r="R463" s="143"/>
      <c r="S463" s="143"/>
      <c r="T463" s="143"/>
      <c r="U463" s="143"/>
      <c r="V463" s="143"/>
      <c r="W463" s="143"/>
      <c r="X463" s="143"/>
      <c r="Y463" s="143"/>
      <c r="Z463" s="143"/>
      <c r="AA463" s="143"/>
      <c r="AB463" s="143"/>
      <c r="AC463" s="143"/>
      <c r="AD463" s="143"/>
      <c r="AE463" s="143"/>
      <c r="AF463" s="143"/>
      <c r="AG463" s="143"/>
      <c r="AH463" s="143"/>
      <c r="AI463" s="143"/>
      <c r="AJ463" s="143"/>
      <c r="AK463" s="143"/>
      <c r="AL463" s="143"/>
      <c r="AM463" s="143"/>
    </row>
    <row r="464" spans="1:39" ht="12.75" customHeight="1" x14ac:dyDescent="0.25">
      <c r="A464" s="143"/>
      <c r="B464" s="143"/>
      <c r="C464" s="143"/>
      <c r="D464" s="143"/>
      <c r="E464" s="143"/>
      <c r="F464" s="143"/>
      <c r="G464" s="143"/>
      <c r="H464" s="143"/>
      <c r="I464" s="143"/>
      <c r="J464" s="143"/>
      <c r="K464" s="143"/>
      <c r="L464" s="143"/>
      <c r="M464" s="143"/>
      <c r="N464" s="143"/>
      <c r="O464" s="143"/>
      <c r="P464" s="143"/>
      <c r="Q464" s="143"/>
      <c r="R464" s="143"/>
      <c r="S464" s="143"/>
      <c r="T464" s="143"/>
      <c r="U464" s="143"/>
      <c r="V464" s="143"/>
      <c r="W464" s="143"/>
      <c r="X464" s="143"/>
      <c r="Y464" s="143"/>
      <c r="Z464" s="143"/>
      <c r="AA464" s="143"/>
      <c r="AB464" s="143"/>
      <c r="AC464" s="143"/>
      <c r="AD464" s="143"/>
      <c r="AE464" s="143"/>
      <c r="AF464" s="143"/>
      <c r="AG464" s="143"/>
      <c r="AH464" s="143"/>
      <c r="AI464" s="143"/>
      <c r="AJ464" s="143"/>
      <c r="AK464" s="143"/>
      <c r="AL464" s="143"/>
      <c r="AM464" s="143"/>
    </row>
    <row r="465" spans="1:39" ht="12.75" customHeight="1" x14ac:dyDescent="0.25">
      <c r="A465" s="143"/>
      <c r="B465" s="143"/>
      <c r="C465" s="143"/>
      <c r="D465" s="143"/>
      <c r="E465" s="143"/>
      <c r="F465" s="143"/>
      <c r="G465" s="143"/>
      <c r="H465" s="143"/>
      <c r="I465" s="143"/>
      <c r="J465" s="143"/>
      <c r="K465" s="143"/>
      <c r="L465" s="143"/>
      <c r="M465" s="143"/>
      <c r="N465" s="143"/>
      <c r="O465" s="143"/>
      <c r="P465" s="143"/>
      <c r="Q465" s="143"/>
      <c r="R465" s="143"/>
      <c r="S465" s="143"/>
      <c r="T465" s="143"/>
      <c r="U465" s="143"/>
      <c r="V465" s="143"/>
      <c r="W465" s="143"/>
      <c r="X465" s="143"/>
      <c r="Y465" s="143"/>
      <c r="Z465" s="143"/>
      <c r="AA465" s="143"/>
      <c r="AB465" s="143"/>
      <c r="AC465" s="143"/>
      <c r="AD465" s="143"/>
      <c r="AE465" s="143"/>
      <c r="AF465" s="143"/>
      <c r="AG465" s="143"/>
      <c r="AH465" s="143"/>
      <c r="AI465" s="143"/>
      <c r="AJ465" s="143"/>
      <c r="AK465" s="143"/>
      <c r="AL465" s="143"/>
      <c r="AM465" s="143"/>
    </row>
    <row r="466" spans="1:39" ht="12.75" customHeight="1" x14ac:dyDescent="0.25">
      <c r="A466" s="143"/>
      <c r="B466" s="143"/>
      <c r="C466" s="143"/>
      <c r="D466" s="143"/>
      <c r="E466" s="143"/>
      <c r="F466" s="143"/>
      <c r="G466" s="143"/>
      <c r="H466" s="143"/>
      <c r="I466" s="143"/>
      <c r="J466" s="143"/>
      <c r="K466" s="143"/>
      <c r="L466" s="143"/>
      <c r="M466" s="143"/>
      <c r="N466" s="143"/>
      <c r="O466" s="143"/>
      <c r="P466" s="143"/>
      <c r="Q466" s="143"/>
      <c r="R466" s="143"/>
      <c r="S466" s="143"/>
      <c r="T466" s="143"/>
      <c r="U466" s="143"/>
      <c r="V466" s="143"/>
      <c r="W466" s="143"/>
      <c r="X466" s="143"/>
      <c r="Y466" s="143"/>
      <c r="Z466" s="143"/>
      <c r="AA466" s="143"/>
      <c r="AB466" s="143"/>
      <c r="AC466" s="143"/>
      <c r="AD466" s="143"/>
      <c r="AE466" s="143"/>
      <c r="AF466" s="143"/>
      <c r="AG466" s="143"/>
      <c r="AH466" s="143"/>
      <c r="AI466" s="143"/>
      <c r="AJ466" s="143"/>
      <c r="AK466" s="143"/>
      <c r="AL466" s="143"/>
      <c r="AM466" s="143"/>
    </row>
    <row r="467" spans="1:39" ht="12.75" customHeight="1" x14ac:dyDescent="0.25">
      <c r="A467" s="143"/>
      <c r="B467" s="143"/>
      <c r="C467" s="143"/>
      <c r="D467" s="143"/>
      <c r="E467" s="143"/>
      <c r="F467" s="143"/>
      <c r="G467" s="143"/>
      <c r="H467" s="143"/>
      <c r="I467" s="143"/>
      <c r="J467" s="143"/>
      <c r="K467" s="143"/>
      <c r="L467" s="143"/>
      <c r="M467" s="143"/>
      <c r="N467" s="143"/>
      <c r="O467" s="143"/>
      <c r="P467" s="143"/>
      <c r="Q467" s="143"/>
      <c r="R467" s="143"/>
      <c r="S467" s="143"/>
      <c r="T467" s="143"/>
      <c r="U467" s="143"/>
      <c r="V467" s="143"/>
      <c r="W467" s="143"/>
      <c r="X467" s="143"/>
      <c r="Y467" s="143"/>
      <c r="Z467" s="143"/>
      <c r="AA467" s="143"/>
      <c r="AB467" s="143"/>
      <c r="AC467" s="143"/>
      <c r="AD467" s="143"/>
      <c r="AE467" s="143"/>
      <c r="AF467" s="143"/>
      <c r="AG467" s="143"/>
      <c r="AH467" s="143"/>
      <c r="AI467" s="143"/>
      <c r="AJ467" s="143"/>
      <c r="AK467" s="143"/>
      <c r="AL467" s="143"/>
      <c r="AM467" s="143"/>
    </row>
    <row r="468" spans="1:39" ht="12.75" customHeight="1" x14ac:dyDescent="0.25">
      <c r="A468" s="143"/>
      <c r="B468" s="143"/>
      <c r="C468" s="143"/>
      <c r="D468" s="143"/>
      <c r="E468" s="143"/>
      <c r="F468" s="143"/>
      <c r="G468" s="143"/>
      <c r="H468" s="143"/>
      <c r="I468" s="143"/>
      <c r="J468" s="143"/>
      <c r="K468" s="143"/>
      <c r="L468" s="143"/>
      <c r="M468" s="143"/>
      <c r="N468" s="143"/>
      <c r="O468" s="143"/>
      <c r="P468" s="143"/>
      <c r="Q468" s="143"/>
      <c r="R468" s="143"/>
      <c r="S468" s="143"/>
      <c r="T468" s="143"/>
      <c r="U468" s="143"/>
      <c r="V468" s="143"/>
      <c r="W468" s="143"/>
      <c r="X468" s="143"/>
      <c r="Y468" s="143"/>
      <c r="Z468" s="143"/>
      <c r="AA468" s="143"/>
      <c r="AB468" s="143"/>
      <c r="AC468" s="143"/>
      <c r="AD468" s="143"/>
      <c r="AE468" s="143"/>
      <c r="AF468" s="143"/>
      <c r="AG468" s="143"/>
      <c r="AH468" s="143"/>
      <c r="AI468" s="143"/>
      <c r="AJ468" s="143"/>
      <c r="AK468" s="143"/>
      <c r="AL468" s="143"/>
      <c r="AM468" s="143"/>
    </row>
    <row r="469" spans="1:39" ht="12.75" customHeight="1" x14ac:dyDescent="0.25">
      <c r="A469" s="143"/>
      <c r="B469" s="143"/>
      <c r="C469" s="143"/>
      <c r="D469" s="143"/>
      <c r="E469" s="143"/>
      <c r="F469" s="143"/>
      <c r="G469" s="143"/>
      <c r="H469" s="143"/>
      <c r="I469" s="143"/>
      <c r="J469" s="143"/>
      <c r="K469" s="143"/>
      <c r="L469" s="143"/>
      <c r="M469" s="143"/>
      <c r="N469" s="143"/>
      <c r="O469" s="143"/>
      <c r="P469" s="143"/>
      <c r="Q469" s="143"/>
      <c r="R469" s="143"/>
      <c r="S469" s="143"/>
      <c r="T469" s="143"/>
      <c r="U469" s="143"/>
      <c r="V469" s="143"/>
      <c r="W469" s="143"/>
      <c r="X469" s="143"/>
      <c r="Y469" s="143"/>
      <c r="Z469" s="143"/>
      <c r="AA469" s="143"/>
      <c r="AB469" s="143"/>
      <c r="AC469" s="143"/>
      <c r="AD469" s="143"/>
      <c r="AE469" s="143"/>
      <c r="AF469" s="143"/>
      <c r="AG469" s="143"/>
      <c r="AH469" s="143"/>
      <c r="AI469" s="143"/>
      <c r="AJ469" s="143"/>
      <c r="AK469" s="143"/>
      <c r="AL469" s="143"/>
      <c r="AM469" s="143"/>
    </row>
    <row r="470" spans="1:39" ht="12.75" customHeight="1" x14ac:dyDescent="0.25">
      <c r="A470" s="143"/>
      <c r="B470" s="143"/>
      <c r="C470" s="143"/>
      <c r="D470" s="143"/>
      <c r="E470" s="143"/>
      <c r="F470" s="143"/>
      <c r="G470" s="143"/>
      <c r="H470" s="143"/>
      <c r="I470" s="143"/>
      <c r="J470" s="143"/>
      <c r="K470" s="143"/>
      <c r="L470" s="143"/>
      <c r="M470" s="143"/>
      <c r="N470" s="143"/>
      <c r="O470" s="143"/>
      <c r="P470" s="143"/>
      <c r="Q470" s="143"/>
      <c r="R470" s="143"/>
      <c r="S470" s="143"/>
      <c r="T470" s="143"/>
      <c r="U470" s="143"/>
      <c r="V470" s="143"/>
      <c r="W470" s="143"/>
      <c r="X470" s="143"/>
      <c r="Y470" s="143"/>
      <c r="Z470" s="143"/>
      <c r="AA470" s="143"/>
      <c r="AB470" s="143"/>
      <c r="AC470" s="143"/>
      <c r="AD470" s="143"/>
      <c r="AE470" s="143"/>
      <c r="AF470" s="143"/>
      <c r="AG470" s="143"/>
      <c r="AH470" s="143"/>
      <c r="AI470" s="143"/>
      <c r="AJ470" s="143"/>
      <c r="AK470" s="143"/>
      <c r="AL470" s="143"/>
      <c r="AM470" s="143"/>
    </row>
    <row r="471" spans="1:39" ht="12.75" customHeight="1" x14ac:dyDescent="0.25">
      <c r="A471" s="143"/>
      <c r="B471" s="143"/>
      <c r="C471" s="143"/>
      <c r="D471" s="143"/>
      <c r="E471" s="143"/>
      <c r="F471" s="143"/>
      <c r="G471" s="143"/>
      <c r="H471" s="143"/>
      <c r="I471" s="143"/>
      <c r="J471" s="143"/>
      <c r="K471" s="143"/>
      <c r="L471" s="143"/>
      <c r="M471" s="143"/>
      <c r="N471" s="143"/>
      <c r="O471" s="143"/>
      <c r="P471" s="143"/>
      <c r="Q471" s="143"/>
      <c r="R471" s="143"/>
      <c r="S471" s="143"/>
      <c r="T471" s="143"/>
      <c r="U471" s="143"/>
      <c r="V471" s="143"/>
      <c r="W471" s="143"/>
      <c r="X471" s="143"/>
      <c r="Y471" s="143"/>
      <c r="Z471" s="143"/>
      <c r="AA471" s="143"/>
      <c r="AB471" s="143"/>
      <c r="AC471" s="143"/>
      <c r="AD471" s="143"/>
      <c r="AE471" s="143"/>
      <c r="AF471" s="143"/>
      <c r="AG471" s="143"/>
      <c r="AH471" s="143"/>
      <c r="AI471" s="143"/>
      <c r="AJ471" s="143"/>
      <c r="AK471" s="143"/>
      <c r="AL471" s="143"/>
      <c r="AM471" s="143"/>
    </row>
    <row r="472" spans="1:39" ht="12.75" customHeight="1" x14ac:dyDescent="0.25">
      <c r="A472" s="143"/>
      <c r="B472" s="143"/>
      <c r="C472" s="143"/>
      <c r="D472" s="143"/>
      <c r="E472" s="143"/>
      <c r="F472" s="143"/>
      <c r="G472" s="143"/>
      <c r="H472" s="143"/>
      <c r="I472" s="143"/>
      <c r="J472" s="143"/>
      <c r="K472" s="143"/>
      <c r="L472" s="143"/>
      <c r="M472" s="143"/>
      <c r="N472" s="143"/>
      <c r="O472" s="143"/>
      <c r="P472" s="143"/>
      <c r="Q472" s="143"/>
      <c r="R472" s="143"/>
      <c r="S472" s="143"/>
      <c r="T472" s="143"/>
      <c r="U472" s="143"/>
      <c r="V472" s="143"/>
      <c r="W472" s="143"/>
      <c r="X472" s="143"/>
      <c r="Y472" s="143"/>
      <c r="Z472" s="143"/>
      <c r="AA472" s="143"/>
      <c r="AB472" s="143"/>
      <c r="AC472" s="143"/>
      <c r="AD472" s="143"/>
      <c r="AE472" s="143"/>
      <c r="AF472" s="143"/>
      <c r="AG472" s="143"/>
      <c r="AH472" s="143"/>
      <c r="AI472" s="143"/>
      <c r="AJ472" s="143"/>
      <c r="AK472" s="143"/>
      <c r="AL472" s="143"/>
      <c r="AM472" s="143"/>
    </row>
    <row r="473" spans="1:39" ht="12.75" customHeight="1" x14ac:dyDescent="0.25">
      <c r="A473" s="143"/>
      <c r="B473" s="143"/>
      <c r="C473" s="143"/>
      <c r="D473" s="143"/>
      <c r="E473" s="143"/>
      <c r="F473" s="143"/>
      <c r="G473" s="143"/>
      <c r="H473" s="143"/>
      <c r="I473" s="143"/>
      <c r="J473" s="143"/>
      <c r="K473" s="143"/>
      <c r="L473" s="143"/>
      <c r="M473" s="143"/>
      <c r="N473" s="143"/>
      <c r="O473" s="143"/>
      <c r="P473" s="143"/>
      <c r="Q473" s="143"/>
      <c r="R473" s="143"/>
      <c r="S473" s="143"/>
      <c r="T473" s="143"/>
      <c r="U473" s="143"/>
      <c r="V473" s="143"/>
      <c r="W473" s="143"/>
      <c r="X473" s="143"/>
      <c r="Y473" s="143"/>
      <c r="Z473" s="143"/>
      <c r="AA473" s="143"/>
      <c r="AB473" s="143"/>
      <c r="AC473" s="143"/>
      <c r="AD473" s="143"/>
      <c r="AE473" s="143"/>
      <c r="AF473" s="143"/>
      <c r="AG473" s="143"/>
      <c r="AH473" s="143"/>
      <c r="AI473" s="143"/>
      <c r="AJ473" s="143"/>
      <c r="AK473" s="143"/>
      <c r="AL473" s="143"/>
      <c r="AM473" s="143"/>
    </row>
    <row r="474" spans="1:39" ht="12.75" customHeight="1" x14ac:dyDescent="0.25">
      <c r="A474" s="143"/>
      <c r="B474" s="143"/>
      <c r="C474" s="143"/>
      <c r="D474" s="143"/>
      <c r="E474" s="143"/>
      <c r="F474" s="143"/>
      <c r="G474" s="143"/>
      <c r="H474" s="143"/>
      <c r="I474" s="143"/>
      <c r="J474" s="143"/>
      <c r="K474" s="143"/>
      <c r="L474" s="143"/>
      <c r="M474" s="143"/>
      <c r="N474" s="143"/>
      <c r="O474" s="143"/>
      <c r="P474" s="143"/>
      <c r="Q474" s="143"/>
      <c r="R474" s="143"/>
      <c r="S474" s="143"/>
      <c r="T474" s="143"/>
      <c r="U474" s="143"/>
      <c r="V474" s="143"/>
      <c r="W474" s="143"/>
      <c r="X474" s="143"/>
      <c r="Y474" s="143"/>
      <c r="Z474" s="143"/>
      <c r="AA474" s="143"/>
      <c r="AB474" s="143"/>
      <c r="AC474" s="143"/>
      <c r="AD474" s="143"/>
      <c r="AE474" s="143"/>
      <c r="AF474" s="143"/>
      <c r="AG474" s="143"/>
      <c r="AH474" s="143"/>
      <c r="AI474" s="143"/>
      <c r="AJ474" s="143"/>
      <c r="AK474" s="143"/>
      <c r="AL474" s="143"/>
      <c r="AM474" s="143"/>
    </row>
    <row r="475" spans="1:39" ht="12.75" customHeight="1" x14ac:dyDescent="0.25">
      <c r="A475" s="143"/>
      <c r="B475" s="143"/>
      <c r="C475" s="143"/>
      <c r="D475" s="143"/>
      <c r="E475" s="143"/>
      <c r="F475" s="143"/>
      <c r="G475" s="143"/>
      <c r="H475" s="143"/>
      <c r="I475" s="143"/>
      <c r="J475" s="143"/>
      <c r="K475" s="143"/>
      <c r="L475" s="143"/>
      <c r="M475" s="143"/>
      <c r="N475" s="143"/>
      <c r="O475" s="143"/>
      <c r="P475" s="143"/>
      <c r="Q475" s="143"/>
      <c r="R475" s="143"/>
      <c r="S475" s="143"/>
      <c r="T475" s="143"/>
      <c r="U475" s="143"/>
      <c r="V475" s="143"/>
      <c r="W475" s="143"/>
      <c r="X475" s="143"/>
      <c r="Y475" s="143"/>
      <c r="Z475" s="143"/>
      <c r="AA475" s="143"/>
      <c r="AB475" s="143"/>
      <c r="AC475" s="143"/>
      <c r="AD475" s="143"/>
      <c r="AE475" s="143"/>
      <c r="AF475" s="143"/>
      <c r="AG475" s="143"/>
      <c r="AH475" s="143"/>
      <c r="AI475" s="143"/>
      <c r="AJ475" s="143"/>
      <c r="AK475" s="143"/>
      <c r="AL475" s="143"/>
      <c r="AM475" s="143"/>
    </row>
    <row r="476" spans="1:39" ht="12.75" customHeight="1" x14ac:dyDescent="0.25">
      <c r="A476" s="143"/>
      <c r="B476" s="143"/>
      <c r="C476" s="143"/>
      <c r="D476" s="143"/>
      <c r="E476" s="143"/>
      <c r="F476" s="143"/>
      <c r="G476" s="143"/>
      <c r="H476" s="143"/>
      <c r="I476" s="143"/>
      <c r="J476" s="143"/>
      <c r="K476" s="143"/>
      <c r="L476" s="143"/>
      <c r="M476" s="143"/>
      <c r="N476" s="143"/>
      <c r="O476" s="143"/>
      <c r="P476" s="143"/>
      <c r="Q476" s="143"/>
      <c r="R476" s="143"/>
      <c r="S476" s="143"/>
      <c r="T476" s="143"/>
      <c r="U476" s="143"/>
      <c r="V476" s="143"/>
      <c r="W476" s="143"/>
      <c r="X476" s="143"/>
      <c r="Y476" s="143"/>
      <c r="Z476" s="143"/>
      <c r="AA476" s="143"/>
      <c r="AB476" s="143"/>
      <c r="AC476" s="143"/>
      <c r="AD476" s="143"/>
      <c r="AE476" s="143"/>
      <c r="AF476" s="143"/>
      <c r="AG476" s="143"/>
      <c r="AH476" s="143"/>
      <c r="AI476" s="143"/>
      <c r="AJ476" s="143"/>
      <c r="AK476" s="143"/>
      <c r="AL476" s="143"/>
      <c r="AM476" s="143"/>
    </row>
    <row r="477" spans="1:39" ht="12.75" customHeight="1" x14ac:dyDescent="0.25">
      <c r="A477" s="143"/>
      <c r="B477" s="143"/>
      <c r="C477" s="143"/>
      <c r="D477" s="143"/>
      <c r="E477" s="143"/>
      <c r="F477" s="143"/>
      <c r="G477" s="143"/>
      <c r="H477" s="143"/>
      <c r="I477" s="143"/>
      <c r="J477" s="143"/>
      <c r="K477" s="143"/>
      <c r="L477" s="143"/>
      <c r="M477" s="143"/>
      <c r="N477" s="143"/>
      <c r="O477" s="143"/>
      <c r="P477" s="143"/>
      <c r="Q477" s="143"/>
      <c r="R477" s="143"/>
      <c r="S477" s="143"/>
      <c r="T477" s="143"/>
      <c r="U477" s="143"/>
      <c r="V477" s="143"/>
      <c r="W477" s="143"/>
      <c r="X477" s="143"/>
      <c r="Y477" s="143"/>
      <c r="Z477" s="143"/>
      <c r="AA477" s="143"/>
      <c r="AB477" s="143"/>
      <c r="AC477" s="143"/>
      <c r="AD477" s="143"/>
      <c r="AE477" s="143"/>
      <c r="AF477" s="143"/>
      <c r="AG477" s="143"/>
      <c r="AH477" s="143"/>
      <c r="AI477" s="143"/>
      <c r="AJ477" s="143"/>
      <c r="AK477" s="143"/>
      <c r="AL477" s="143"/>
      <c r="AM477" s="143"/>
    </row>
    <row r="478" spans="1:39" ht="12.75" customHeight="1" x14ac:dyDescent="0.25">
      <c r="A478" s="143"/>
      <c r="B478" s="143"/>
      <c r="C478" s="143"/>
      <c r="D478" s="143"/>
      <c r="E478" s="143"/>
      <c r="F478" s="143"/>
      <c r="G478" s="143"/>
      <c r="H478" s="143"/>
      <c r="I478" s="143"/>
      <c r="J478" s="143"/>
      <c r="K478" s="143"/>
      <c r="L478" s="143"/>
      <c r="M478" s="143"/>
      <c r="N478" s="143"/>
      <c r="O478" s="143"/>
      <c r="P478" s="143"/>
      <c r="Q478" s="143"/>
      <c r="R478" s="143"/>
      <c r="S478" s="143"/>
      <c r="T478" s="143"/>
      <c r="U478" s="143"/>
      <c r="V478" s="143"/>
      <c r="W478" s="143"/>
      <c r="X478" s="143"/>
      <c r="Y478" s="143"/>
      <c r="Z478" s="143"/>
      <c r="AA478" s="143"/>
      <c r="AB478" s="143"/>
      <c r="AC478" s="143"/>
      <c r="AD478" s="143"/>
      <c r="AE478" s="143"/>
      <c r="AF478" s="143"/>
      <c r="AG478" s="143"/>
      <c r="AH478" s="143"/>
      <c r="AI478" s="143"/>
      <c r="AJ478" s="143"/>
      <c r="AK478" s="143"/>
      <c r="AL478" s="143"/>
      <c r="AM478" s="143"/>
    </row>
    <row r="479" spans="1:39" ht="12.75" customHeight="1" x14ac:dyDescent="0.25">
      <c r="A479" s="143"/>
      <c r="B479" s="143"/>
      <c r="C479" s="143"/>
      <c r="D479" s="143"/>
      <c r="E479" s="143"/>
      <c r="F479" s="143"/>
      <c r="G479" s="143"/>
      <c r="H479" s="143"/>
      <c r="I479" s="143"/>
      <c r="J479" s="143"/>
      <c r="K479" s="143"/>
      <c r="L479" s="143"/>
      <c r="M479" s="143"/>
      <c r="N479" s="143"/>
      <c r="O479" s="143"/>
      <c r="P479" s="143"/>
      <c r="Q479" s="143"/>
      <c r="R479" s="143"/>
      <c r="S479" s="143"/>
      <c r="T479" s="143"/>
      <c r="U479" s="143"/>
      <c r="V479" s="143"/>
      <c r="W479" s="143"/>
      <c r="X479" s="143"/>
      <c r="Y479" s="143"/>
      <c r="Z479" s="143"/>
      <c r="AA479" s="143"/>
      <c r="AB479" s="143"/>
      <c r="AC479" s="143"/>
      <c r="AD479" s="143"/>
      <c r="AE479" s="143"/>
      <c r="AF479" s="143"/>
      <c r="AG479" s="143"/>
      <c r="AH479" s="143"/>
      <c r="AI479" s="143"/>
      <c r="AJ479" s="143"/>
      <c r="AK479" s="143"/>
      <c r="AL479" s="143"/>
      <c r="AM479" s="143"/>
    </row>
    <row r="480" spans="1:39" ht="12.75" customHeight="1" x14ac:dyDescent="0.25">
      <c r="A480" s="143"/>
      <c r="B480" s="143"/>
      <c r="C480" s="143"/>
      <c r="D480" s="143"/>
      <c r="E480" s="143"/>
      <c r="F480" s="143"/>
      <c r="G480" s="143"/>
      <c r="H480" s="143"/>
      <c r="I480" s="143"/>
      <c r="J480" s="143"/>
      <c r="K480" s="143"/>
      <c r="L480" s="143"/>
      <c r="M480" s="143"/>
      <c r="N480" s="143"/>
      <c r="O480" s="143"/>
      <c r="P480" s="143"/>
      <c r="Q480" s="143"/>
      <c r="R480" s="143"/>
      <c r="S480" s="143"/>
      <c r="T480" s="143"/>
      <c r="U480" s="143"/>
      <c r="V480" s="143"/>
      <c r="W480" s="143"/>
      <c r="X480" s="143"/>
      <c r="Y480" s="143"/>
      <c r="Z480" s="143"/>
      <c r="AA480" s="143"/>
      <c r="AB480" s="143"/>
      <c r="AC480" s="143"/>
      <c r="AD480" s="143"/>
      <c r="AE480" s="143"/>
      <c r="AF480" s="143"/>
      <c r="AG480" s="143"/>
      <c r="AH480" s="143"/>
      <c r="AI480" s="143"/>
      <c r="AJ480" s="143"/>
      <c r="AK480" s="143"/>
      <c r="AL480" s="143"/>
      <c r="AM480" s="143"/>
    </row>
    <row r="481" spans="1:39" ht="12.75" customHeight="1" x14ac:dyDescent="0.25">
      <c r="A481" s="143"/>
      <c r="B481" s="143"/>
      <c r="C481" s="143"/>
      <c r="D481" s="143"/>
      <c r="E481" s="143"/>
      <c r="F481" s="143"/>
      <c r="G481" s="143"/>
      <c r="H481" s="143"/>
      <c r="I481" s="143"/>
      <c r="J481" s="143"/>
      <c r="K481" s="143"/>
      <c r="L481" s="143"/>
      <c r="M481" s="143"/>
      <c r="N481" s="143"/>
      <c r="O481" s="143"/>
      <c r="P481" s="143"/>
      <c r="Q481" s="143"/>
      <c r="R481" s="143"/>
      <c r="S481" s="143"/>
      <c r="T481" s="143"/>
      <c r="U481" s="143"/>
      <c r="V481" s="143"/>
      <c r="W481" s="143"/>
      <c r="X481" s="143"/>
      <c r="Y481" s="143"/>
      <c r="Z481" s="143"/>
      <c r="AA481" s="143"/>
      <c r="AB481" s="143"/>
      <c r="AC481" s="143"/>
      <c r="AD481" s="143"/>
      <c r="AE481" s="143"/>
      <c r="AF481" s="143"/>
      <c r="AG481" s="143"/>
      <c r="AH481" s="143"/>
      <c r="AI481" s="143"/>
      <c r="AJ481" s="143"/>
      <c r="AK481" s="143"/>
      <c r="AL481" s="143"/>
      <c r="AM481" s="143"/>
    </row>
    <row r="482" spans="1:39" ht="12.75" customHeight="1" x14ac:dyDescent="0.25">
      <c r="A482" s="143"/>
      <c r="B482" s="143"/>
      <c r="C482" s="143"/>
      <c r="D482" s="143"/>
      <c r="E482" s="143"/>
      <c r="F482" s="143"/>
      <c r="G482" s="143"/>
      <c r="H482" s="143"/>
      <c r="I482" s="143"/>
      <c r="J482" s="143"/>
      <c r="K482" s="143"/>
      <c r="L482" s="143"/>
      <c r="M482" s="143"/>
      <c r="N482" s="143"/>
      <c r="O482" s="143"/>
      <c r="P482" s="143"/>
      <c r="Q482" s="143"/>
      <c r="R482" s="143"/>
      <c r="S482" s="143"/>
      <c r="T482" s="143"/>
      <c r="U482" s="143"/>
      <c r="V482" s="143"/>
      <c r="W482" s="143"/>
      <c r="X482" s="143"/>
      <c r="Y482" s="143"/>
      <c r="Z482" s="143"/>
      <c r="AA482" s="143"/>
      <c r="AB482" s="143"/>
      <c r="AC482" s="143"/>
      <c r="AD482" s="143"/>
      <c r="AE482" s="143"/>
      <c r="AF482" s="143"/>
      <c r="AG482" s="143"/>
      <c r="AH482" s="143"/>
      <c r="AI482" s="143"/>
      <c r="AJ482" s="143"/>
      <c r="AK482" s="143"/>
      <c r="AL482" s="143"/>
      <c r="AM482" s="143"/>
    </row>
    <row r="483" spans="1:39" ht="12.75" customHeight="1" x14ac:dyDescent="0.25">
      <c r="A483" s="143"/>
      <c r="B483" s="143"/>
      <c r="C483" s="143"/>
      <c r="D483" s="143"/>
      <c r="E483" s="143"/>
      <c r="F483" s="143"/>
      <c r="G483" s="143"/>
      <c r="H483" s="143"/>
      <c r="I483" s="143"/>
      <c r="J483" s="143"/>
      <c r="K483" s="143"/>
      <c r="L483" s="143"/>
      <c r="M483" s="143"/>
      <c r="N483" s="143"/>
      <c r="O483" s="143"/>
      <c r="P483" s="143"/>
      <c r="Q483" s="143"/>
      <c r="R483" s="143"/>
      <c r="S483" s="143"/>
      <c r="T483" s="143"/>
      <c r="U483" s="143"/>
      <c r="V483" s="143"/>
      <c r="W483" s="143"/>
      <c r="X483" s="143"/>
      <c r="Y483" s="143"/>
      <c r="Z483" s="143"/>
      <c r="AA483" s="143"/>
      <c r="AB483" s="143"/>
      <c r="AC483" s="143"/>
      <c r="AD483" s="143"/>
      <c r="AE483" s="143"/>
      <c r="AF483" s="143"/>
      <c r="AG483" s="143"/>
      <c r="AH483" s="143"/>
      <c r="AI483" s="143"/>
      <c r="AJ483" s="143"/>
      <c r="AK483" s="143"/>
      <c r="AL483" s="143"/>
      <c r="AM483" s="143"/>
    </row>
    <row r="484" spans="1:39" ht="12.75" customHeight="1" x14ac:dyDescent="0.25">
      <c r="A484" s="143"/>
      <c r="B484" s="143"/>
      <c r="C484" s="143"/>
      <c r="D484" s="143"/>
      <c r="E484" s="143"/>
      <c r="F484" s="143"/>
      <c r="G484" s="143"/>
      <c r="H484" s="143"/>
      <c r="I484" s="143"/>
      <c r="J484" s="143"/>
      <c r="K484" s="143"/>
      <c r="L484" s="143"/>
      <c r="M484" s="143"/>
      <c r="N484" s="143"/>
      <c r="O484" s="143"/>
      <c r="P484" s="143"/>
      <c r="Q484" s="143"/>
      <c r="R484" s="143"/>
      <c r="S484" s="143"/>
      <c r="T484" s="143"/>
      <c r="U484" s="143"/>
      <c r="V484" s="143"/>
      <c r="W484" s="143"/>
      <c r="X484" s="143"/>
      <c r="Y484" s="143"/>
      <c r="Z484" s="143"/>
      <c r="AA484" s="143"/>
      <c r="AB484" s="143"/>
      <c r="AC484" s="143"/>
      <c r="AD484" s="143"/>
      <c r="AE484" s="143"/>
      <c r="AF484" s="143"/>
      <c r="AG484" s="143"/>
      <c r="AH484" s="143"/>
      <c r="AI484" s="143"/>
      <c r="AJ484" s="143"/>
      <c r="AK484" s="143"/>
      <c r="AL484" s="143"/>
      <c r="AM484" s="143"/>
    </row>
    <row r="485" spans="1:39" ht="12.75" customHeight="1" x14ac:dyDescent="0.25">
      <c r="A485" s="143"/>
      <c r="B485" s="143"/>
      <c r="C485" s="143"/>
      <c r="D485" s="143"/>
      <c r="E485" s="143"/>
      <c r="F485" s="143"/>
      <c r="G485" s="143"/>
      <c r="H485" s="143"/>
      <c r="I485" s="143"/>
      <c r="J485" s="143"/>
      <c r="K485" s="143"/>
      <c r="L485" s="143"/>
      <c r="M485" s="143"/>
      <c r="N485" s="143"/>
      <c r="O485" s="143"/>
      <c r="P485" s="143"/>
      <c r="Q485" s="143"/>
      <c r="R485" s="143"/>
      <c r="S485" s="143"/>
      <c r="T485" s="143"/>
      <c r="U485" s="143"/>
      <c r="V485" s="143"/>
      <c r="W485" s="143"/>
      <c r="X485" s="143"/>
      <c r="Y485" s="143"/>
      <c r="Z485" s="143"/>
      <c r="AA485" s="143"/>
      <c r="AB485" s="143"/>
      <c r="AC485" s="143"/>
      <c r="AD485" s="143"/>
      <c r="AE485" s="143"/>
      <c r="AF485" s="143"/>
      <c r="AG485" s="143"/>
      <c r="AH485" s="143"/>
      <c r="AI485" s="143"/>
      <c r="AJ485" s="143"/>
      <c r="AK485" s="143"/>
      <c r="AL485" s="143"/>
      <c r="AM485" s="143"/>
    </row>
    <row r="486" spans="1:39" ht="12.75" customHeight="1" x14ac:dyDescent="0.25">
      <c r="A486" s="143"/>
      <c r="B486" s="143"/>
      <c r="C486" s="143"/>
      <c r="D486" s="143"/>
      <c r="E486" s="143"/>
      <c r="F486" s="143"/>
      <c r="G486" s="143"/>
      <c r="H486" s="143"/>
      <c r="I486" s="143"/>
      <c r="J486" s="143"/>
      <c r="K486" s="143"/>
      <c r="L486" s="143"/>
      <c r="M486" s="143"/>
      <c r="N486" s="143"/>
      <c r="O486" s="143"/>
      <c r="P486" s="143"/>
      <c r="Q486" s="143"/>
      <c r="R486" s="143"/>
      <c r="S486" s="143"/>
      <c r="T486" s="143"/>
      <c r="U486" s="143"/>
      <c r="V486" s="143"/>
      <c r="W486" s="143"/>
      <c r="X486" s="143"/>
      <c r="Y486" s="143"/>
      <c r="Z486" s="143"/>
      <c r="AA486" s="143"/>
      <c r="AB486" s="143"/>
      <c r="AC486" s="143"/>
      <c r="AD486" s="143"/>
      <c r="AE486" s="143"/>
      <c r="AF486" s="143"/>
      <c r="AG486" s="143"/>
      <c r="AH486" s="143"/>
      <c r="AI486" s="143"/>
      <c r="AJ486" s="143"/>
      <c r="AK486" s="143"/>
      <c r="AL486" s="143"/>
      <c r="AM486" s="143"/>
    </row>
    <row r="487" spans="1:39" ht="12.75" customHeight="1" x14ac:dyDescent="0.25">
      <c r="A487" s="143"/>
      <c r="B487" s="143"/>
      <c r="C487" s="143"/>
      <c r="D487" s="143"/>
      <c r="E487" s="143"/>
      <c r="F487" s="143"/>
      <c r="G487" s="143"/>
      <c r="H487" s="143"/>
      <c r="I487" s="143"/>
      <c r="J487" s="143"/>
      <c r="K487" s="143"/>
      <c r="L487" s="143"/>
      <c r="M487" s="143"/>
      <c r="N487" s="143"/>
      <c r="O487" s="143"/>
      <c r="P487" s="143"/>
      <c r="Q487" s="143"/>
      <c r="R487" s="143"/>
      <c r="S487" s="143"/>
      <c r="T487" s="143"/>
      <c r="U487" s="143"/>
      <c r="V487" s="143"/>
      <c r="W487" s="143"/>
      <c r="X487" s="143"/>
      <c r="Y487" s="143"/>
      <c r="Z487" s="143"/>
      <c r="AA487" s="143"/>
      <c r="AB487" s="143"/>
      <c r="AC487" s="143"/>
      <c r="AD487" s="143"/>
      <c r="AE487" s="143"/>
      <c r="AF487" s="143"/>
      <c r="AG487" s="143"/>
      <c r="AH487" s="143"/>
      <c r="AI487" s="143"/>
      <c r="AJ487" s="143"/>
      <c r="AK487" s="143"/>
      <c r="AL487" s="143"/>
      <c r="AM487" s="143"/>
    </row>
    <row r="488" spans="1:39" ht="12.75" customHeight="1" x14ac:dyDescent="0.25">
      <c r="A488" s="143"/>
      <c r="B488" s="143"/>
      <c r="C488" s="143"/>
      <c r="D488" s="143"/>
      <c r="E488" s="143"/>
      <c r="F488" s="143"/>
      <c r="G488" s="143"/>
      <c r="H488" s="143"/>
      <c r="I488" s="143"/>
      <c r="J488" s="143"/>
      <c r="K488" s="143"/>
      <c r="L488" s="143"/>
      <c r="M488" s="143"/>
      <c r="N488" s="143"/>
      <c r="O488" s="143"/>
      <c r="P488" s="143"/>
      <c r="Q488" s="143"/>
      <c r="R488" s="143"/>
      <c r="S488" s="143"/>
      <c r="T488" s="143"/>
      <c r="U488" s="143"/>
      <c r="V488" s="143"/>
      <c r="W488" s="143"/>
      <c r="X488" s="143"/>
      <c r="Y488" s="143"/>
      <c r="Z488" s="143"/>
      <c r="AA488" s="143"/>
      <c r="AB488" s="143"/>
      <c r="AC488" s="143"/>
      <c r="AD488" s="143"/>
      <c r="AE488" s="143"/>
      <c r="AF488" s="143"/>
      <c r="AG488" s="143"/>
      <c r="AH488" s="143"/>
      <c r="AI488" s="143"/>
      <c r="AJ488" s="143"/>
      <c r="AK488" s="143"/>
      <c r="AL488" s="143"/>
      <c r="AM488" s="143"/>
    </row>
    <row r="489" spans="1:39" ht="12.75" customHeight="1" x14ac:dyDescent="0.25">
      <c r="A489" s="143"/>
      <c r="B489" s="143"/>
      <c r="C489" s="143"/>
      <c r="D489" s="143"/>
      <c r="E489" s="143"/>
      <c r="F489" s="143"/>
      <c r="G489" s="143"/>
      <c r="H489" s="143"/>
      <c r="I489" s="143"/>
      <c r="J489" s="143"/>
      <c r="K489" s="143"/>
      <c r="L489" s="143"/>
      <c r="M489" s="143"/>
      <c r="N489" s="143"/>
      <c r="O489" s="143"/>
      <c r="P489" s="143"/>
      <c r="Q489" s="143"/>
      <c r="R489" s="143"/>
      <c r="S489" s="143"/>
      <c r="T489" s="143"/>
      <c r="U489" s="143"/>
      <c r="V489" s="143"/>
      <c r="W489" s="143"/>
      <c r="X489" s="143"/>
      <c r="Y489" s="143"/>
      <c r="Z489" s="143"/>
      <c r="AA489" s="143"/>
      <c r="AB489" s="143"/>
      <c r="AC489" s="143"/>
      <c r="AD489" s="143"/>
      <c r="AE489" s="143"/>
      <c r="AF489" s="143"/>
      <c r="AG489" s="143"/>
      <c r="AH489" s="143"/>
      <c r="AI489" s="143"/>
      <c r="AJ489" s="143"/>
      <c r="AK489" s="143"/>
      <c r="AL489" s="143"/>
      <c r="AM489" s="143"/>
    </row>
    <row r="490" spans="1:39" ht="12.75" customHeight="1" x14ac:dyDescent="0.25">
      <c r="A490" s="143"/>
      <c r="B490" s="143"/>
      <c r="C490" s="143"/>
      <c r="D490" s="143"/>
      <c r="E490" s="143"/>
      <c r="F490" s="143"/>
      <c r="G490" s="143"/>
      <c r="H490" s="143"/>
      <c r="I490" s="143"/>
      <c r="J490" s="143"/>
      <c r="K490" s="143"/>
      <c r="L490" s="143"/>
      <c r="M490" s="143"/>
      <c r="N490" s="143"/>
      <c r="O490" s="143"/>
      <c r="P490" s="143"/>
      <c r="Q490" s="143"/>
      <c r="R490" s="143"/>
      <c r="S490" s="143"/>
      <c r="T490" s="143"/>
      <c r="U490" s="143"/>
      <c r="V490" s="143"/>
      <c r="W490" s="143"/>
      <c r="X490" s="143"/>
      <c r="Y490" s="143"/>
      <c r="Z490" s="143"/>
      <c r="AA490" s="143"/>
      <c r="AB490" s="143"/>
      <c r="AC490" s="143"/>
      <c r="AD490" s="143"/>
      <c r="AE490" s="143"/>
      <c r="AF490" s="143"/>
      <c r="AG490" s="143"/>
      <c r="AH490" s="143"/>
      <c r="AI490" s="143"/>
      <c r="AJ490" s="143"/>
      <c r="AK490" s="143"/>
      <c r="AL490" s="143"/>
      <c r="AM490" s="143"/>
    </row>
    <row r="491" spans="1:39" ht="12.75" customHeight="1" x14ac:dyDescent="0.25">
      <c r="A491" s="143"/>
      <c r="B491" s="143"/>
      <c r="C491" s="143"/>
      <c r="D491" s="143"/>
      <c r="E491" s="143"/>
      <c r="F491" s="143"/>
      <c r="G491" s="143"/>
      <c r="H491" s="143"/>
      <c r="I491" s="143"/>
      <c r="J491" s="143"/>
      <c r="K491" s="143"/>
      <c r="L491" s="143"/>
      <c r="M491" s="143"/>
      <c r="N491" s="143"/>
      <c r="O491" s="143"/>
      <c r="P491" s="143"/>
      <c r="Q491" s="143"/>
      <c r="R491" s="143"/>
      <c r="S491" s="143"/>
      <c r="T491" s="143"/>
      <c r="U491" s="143"/>
      <c r="V491" s="143"/>
      <c r="W491" s="143"/>
      <c r="X491" s="143"/>
      <c r="Y491" s="143"/>
      <c r="Z491" s="143"/>
      <c r="AA491" s="143"/>
      <c r="AB491" s="143"/>
      <c r="AC491" s="143"/>
      <c r="AD491" s="143"/>
      <c r="AE491" s="143"/>
      <c r="AF491" s="143"/>
      <c r="AG491" s="143"/>
      <c r="AH491" s="143"/>
      <c r="AI491" s="143"/>
      <c r="AJ491" s="143"/>
      <c r="AK491" s="143"/>
      <c r="AL491" s="143"/>
      <c r="AM491" s="143"/>
    </row>
    <row r="492" spans="1:39" ht="12.75" customHeight="1" x14ac:dyDescent="0.25">
      <c r="A492" s="143"/>
      <c r="B492" s="143"/>
      <c r="C492" s="143"/>
      <c r="D492" s="143"/>
      <c r="E492" s="143"/>
      <c r="F492" s="143"/>
      <c r="G492" s="143"/>
      <c r="H492" s="143"/>
      <c r="I492" s="143"/>
      <c r="J492" s="143"/>
      <c r="K492" s="143"/>
      <c r="L492" s="143"/>
      <c r="M492" s="143"/>
      <c r="N492" s="143"/>
      <c r="O492" s="143"/>
      <c r="P492" s="143"/>
      <c r="Q492" s="143"/>
      <c r="R492" s="143"/>
      <c r="S492" s="143"/>
      <c r="T492" s="143"/>
      <c r="U492" s="143"/>
      <c r="V492" s="143"/>
      <c r="W492" s="143"/>
      <c r="X492" s="143"/>
      <c r="Y492" s="143"/>
      <c r="Z492" s="143"/>
      <c r="AA492" s="143"/>
      <c r="AB492" s="143"/>
      <c r="AC492" s="143"/>
      <c r="AD492" s="143"/>
      <c r="AE492" s="143"/>
      <c r="AF492" s="143"/>
      <c r="AG492" s="143"/>
      <c r="AH492" s="143"/>
      <c r="AI492" s="143"/>
      <c r="AJ492" s="143"/>
      <c r="AK492" s="143"/>
      <c r="AL492" s="143"/>
      <c r="AM492" s="143"/>
    </row>
    <row r="493" spans="1:39" ht="12.75" customHeight="1" x14ac:dyDescent="0.25">
      <c r="A493" s="143"/>
      <c r="B493" s="143"/>
      <c r="C493" s="143"/>
      <c r="D493" s="143"/>
      <c r="E493" s="143"/>
      <c r="F493" s="143"/>
      <c r="G493" s="143"/>
      <c r="H493" s="143"/>
      <c r="I493" s="143"/>
      <c r="J493" s="143"/>
      <c r="K493" s="143"/>
      <c r="L493" s="143"/>
      <c r="M493" s="143"/>
      <c r="N493" s="143"/>
      <c r="O493" s="143"/>
      <c r="P493" s="143"/>
      <c r="Q493" s="143"/>
      <c r="R493" s="143"/>
      <c r="S493" s="143"/>
      <c r="T493" s="143"/>
      <c r="U493" s="143"/>
      <c r="V493" s="143"/>
      <c r="W493" s="143"/>
      <c r="X493" s="143"/>
      <c r="Y493" s="143"/>
      <c r="Z493" s="143"/>
      <c r="AA493" s="143"/>
      <c r="AB493" s="143"/>
      <c r="AC493" s="143"/>
      <c r="AD493" s="143"/>
      <c r="AE493" s="143"/>
      <c r="AF493" s="143"/>
      <c r="AG493" s="143"/>
      <c r="AH493" s="143"/>
      <c r="AI493" s="143"/>
      <c r="AJ493" s="143"/>
      <c r="AK493" s="143"/>
      <c r="AL493" s="143"/>
      <c r="AM493" s="143"/>
    </row>
    <row r="494" spans="1:39" ht="12.75" customHeight="1" x14ac:dyDescent="0.25">
      <c r="A494" s="143"/>
      <c r="B494" s="143"/>
      <c r="C494" s="143"/>
      <c r="D494" s="143"/>
      <c r="E494" s="143"/>
      <c r="F494" s="143"/>
      <c r="G494" s="143"/>
      <c r="H494" s="143"/>
      <c r="I494" s="143"/>
      <c r="J494" s="143"/>
      <c r="K494" s="143"/>
      <c r="L494" s="143"/>
      <c r="M494" s="143"/>
      <c r="N494" s="143"/>
      <c r="O494" s="143"/>
      <c r="P494" s="143"/>
      <c r="Q494" s="143"/>
      <c r="R494" s="143"/>
      <c r="S494" s="143"/>
      <c r="T494" s="143"/>
      <c r="U494" s="143"/>
      <c r="V494" s="143"/>
      <c r="W494" s="143"/>
      <c r="X494" s="143"/>
      <c r="Y494" s="143"/>
      <c r="Z494" s="143"/>
      <c r="AA494" s="143"/>
      <c r="AB494" s="143"/>
      <c r="AC494" s="143"/>
      <c r="AD494" s="143"/>
      <c r="AE494" s="143"/>
      <c r="AF494" s="143"/>
      <c r="AG494" s="143"/>
      <c r="AH494" s="143"/>
      <c r="AI494" s="143"/>
      <c r="AJ494" s="143"/>
      <c r="AK494" s="143"/>
      <c r="AL494" s="143"/>
      <c r="AM494" s="143"/>
    </row>
    <row r="495" spans="1:39" ht="12.75" customHeight="1" x14ac:dyDescent="0.25">
      <c r="A495" s="143"/>
      <c r="B495" s="143"/>
      <c r="C495" s="143"/>
      <c r="D495" s="143"/>
      <c r="E495" s="143"/>
      <c r="F495" s="143"/>
      <c r="G495" s="143"/>
      <c r="H495" s="143"/>
      <c r="I495" s="143"/>
      <c r="J495" s="143"/>
      <c r="K495" s="143"/>
      <c r="L495" s="143"/>
      <c r="M495" s="143"/>
      <c r="N495" s="143"/>
      <c r="O495" s="143"/>
      <c r="P495" s="143"/>
      <c r="Q495" s="143"/>
      <c r="R495" s="143"/>
      <c r="S495" s="143"/>
      <c r="T495" s="143"/>
      <c r="U495" s="143"/>
      <c r="V495" s="143"/>
      <c r="W495" s="143"/>
      <c r="X495" s="143"/>
      <c r="Y495" s="143"/>
      <c r="Z495" s="143"/>
      <c r="AA495" s="143"/>
      <c r="AB495" s="143"/>
      <c r="AC495" s="143"/>
      <c r="AD495" s="143"/>
      <c r="AE495" s="143"/>
      <c r="AF495" s="143"/>
      <c r="AG495" s="143"/>
      <c r="AH495" s="143"/>
      <c r="AI495" s="143"/>
      <c r="AJ495" s="143"/>
      <c r="AK495" s="143"/>
      <c r="AL495" s="143"/>
      <c r="AM495" s="143"/>
    </row>
    <row r="496" spans="1:39" ht="12.75" customHeight="1" x14ac:dyDescent="0.25">
      <c r="A496" s="143"/>
      <c r="B496" s="143"/>
      <c r="C496" s="143"/>
      <c r="D496" s="143"/>
      <c r="E496" s="143"/>
      <c r="F496" s="143"/>
      <c r="G496" s="143"/>
      <c r="H496" s="143"/>
      <c r="I496" s="143"/>
      <c r="J496" s="143"/>
      <c r="K496" s="143"/>
      <c r="L496" s="143"/>
      <c r="M496" s="143"/>
      <c r="N496" s="143"/>
      <c r="O496" s="143"/>
      <c r="P496" s="143"/>
      <c r="Q496" s="143"/>
      <c r="R496" s="143"/>
      <c r="S496" s="143"/>
      <c r="T496" s="143"/>
      <c r="U496" s="143"/>
      <c r="V496" s="143"/>
      <c r="W496" s="143"/>
      <c r="X496" s="143"/>
      <c r="Y496" s="143"/>
      <c r="Z496" s="143"/>
      <c r="AA496" s="143"/>
      <c r="AB496" s="143"/>
      <c r="AC496" s="143"/>
      <c r="AD496" s="143"/>
      <c r="AE496" s="143"/>
      <c r="AF496" s="143"/>
      <c r="AG496" s="143"/>
      <c r="AH496" s="143"/>
      <c r="AI496" s="143"/>
      <c r="AJ496" s="143"/>
      <c r="AK496" s="143"/>
      <c r="AL496" s="143"/>
      <c r="AM496" s="143"/>
    </row>
    <row r="497" spans="1:39" ht="12.75" customHeight="1" x14ac:dyDescent="0.25">
      <c r="A497" s="143"/>
      <c r="B497" s="143"/>
      <c r="C497" s="143"/>
      <c r="D497" s="143"/>
      <c r="E497" s="143"/>
      <c r="F497" s="143"/>
      <c r="G497" s="143"/>
      <c r="H497" s="143"/>
      <c r="I497" s="143"/>
      <c r="J497" s="143"/>
      <c r="K497" s="143"/>
      <c r="L497" s="143"/>
      <c r="M497" s="143"/>
      <c r="N497" s="143"/>
      <c r="O497" s="143"/>
      <c r="P497" s="143"/>
      <c r="Q497" s="143"/>
      <c r="R497" s="143"/>
      <c r="S497" s="143"/>
      <c r="T497" s="143"/>
      <c r="U497" s="143"/>
      <c r="V497" s="143"/>
      <c r="W497" s="143"/>
      <c r="X497" s="143"/>
      <c r="Y497" s="143"/>
      <c r="Z497" s="143"/>
      <c r="AA497" s="143"/>
      <c r="AB497" s="143"/>
      <c r="AC497" s="143"/>
      <c r="AD497" s="143"/>
      <c r="AE497" s="143"/>
      <c r="AF497" s="143"/>
      <c r="AG497" s="143"/>
      <c r="AH497" s="143"/>
      <c r="AI497" s="143"/>
      <c r="AJ497" s="143"/>
      <c r="AK497" s="143"/>
      <c r="AL497" s="143"/>
      <c r="AM497" s="143"/>
    </row>
    <row r="498" spans="1:39" ht="12.75" customHeight="1" x14ac:dyDescent="0.25">
      <c r="A498" s="143"/>
      <c r="B498" s="143"/>
      <c r="C498" s="143"/>
      <c r="D498" s="143"/>
      <c r="E498" s="143"/>
      <c r="F498" s="143"/>
      <c r="G498" s="143"/>
      <c r="H498" s="143"/>
      <c r="I498" s="143"/>
      <c r="J498" s="143"/>
      <c r="K498" s="143"/>
      <c r="L498" s="143"/>
      <c r="M498" s="143"/>
      <c r="N498" s="143"/>
      <c r="O498" s="143"/>
      <c r="P498" s="143"/>
      <c r="Q498" s="143"/>
      <c r="R498" s="143"/>
      <c r="S498" s="143"/>
      <c r="T498" s="143"/>
      <c r="U498" s="143"/>
      <c r="V498" s="143"/>
      <c r="W498" s="143"/>
      <c r="X498" s="143"/>
      <c r="Y498" s="143"/>
      <c r="Z498" s="143"/>
      <c r="AA498" s="143"/>
      <c r="AB498" s="143"/>
      <c r="AC498" s="143"/>
      <c r="AD498" s="143"/>
      <c r="AE498" s="143"/>
      <c r="AF498" s="143"/>
      <c r="AG498" s="143"/>
      <c r="AH498" s="143"/>
      <c r="AI498" s="143"/>
      <c r="AJ498" s="143"/>
      <c r="AK498" s="143"/>
      <c r="AL498" s="143"/>
      <c r="AM498" s="143"/>
    </row>
    <row r="499" spans="1:39" ht="12.75" customHeight="1" x14ac:dyDescent="0.25">
      <c r="A499" s="143"/>
      <c r="B499" s="143"/>
      <c r="C499" s="143"/>
      <c r="D499" s="143"/>
      <c r="E499" s="143"/>
      <c r="F499" s="143"/>
      <c r="G499" s="143"/>
      <c r="H499" s="143"/>
      <c r="I499" s="143"/>
      <c r="J499" s="143"/>
      <c r="K499" s="143"/>
      <c r="L499" s="143"/>
      <c r="M499" s="143"/>
      <c r="N499" s="143"/>
      <c r="O499" s="143"/>
      <c r="P499" s="143"/>
      <c r="Q499" s="143"/>
      <c r="R499" s="143"/>
      <c r="S499" s="143"/>
      <c r="T499" s="143"/>
      <c r="U499" s="143"/>
      <c r="V499" s="143"/>
      <c r="W499" s="143"/>
      <c r="X499" s="143"/>
      <c r="Y499" s="143"/>
      <c r="Z499" s="143"/>
      <c r="AA499" s="143"/>
      <c r="AB499" s="143"/>
      <c r="AC499" s="143"/>
      <c r="AD499" s="143"/>
      <c r="AE499" s="143"/>
      <c r="AF499" s="143"/>
      <c r="AG499" s="143"/>
      <c r="AH499" s="143"/>
      <c r="AI499" s="143"/>
      <c r="AJ499" s="143"/>
      <c r="AK499" s="143"/>
      <c r="AL499" s="143"/>
      <c r="AM499" s="143"/>
    </row>
    <row r="500" spans="1:39" ht="12.75" customHeight="1" x14ac:dyDescent="0.25">
      <c r="A500" s="143"/>
      <c r="B500" s="143"/>
      <c r="C500" s="143"/>
      <c r="D500" s="143"/>
      <c r="E500" s="143"/>
      <c r="F500" s="143"/>
      <c r="G500" s="143"/>
      <c r="H500" s="143"/>
      <c r="I500" s="143"/>
      <c r="J500" s="143"/>
      <c r="K500" s="143"/>
      <c r="L500" s="143"/>
      <c r="M500" s="143"/>
      <c r="N500" s="143"/>
      <c r="O500" s="143"/>
      <c r="P500" s="143"/>
      <c r="Q500" s="143"/>
      <c r="R500" s="143"/>
      <c r="S500" s="143"/>
      <c r="T500" s="143"/>
      <c r="U500" s="143"/>
      <c r="V500" s="143"/>
      <c r="W500" s="143"/>
      <c r="X500" s="143"/>
      <c r="Y500" s="143"/>
      <c r="Z500" s="143"/>
      <c r="AA500" s="143"/>
      <c r="AB500" s="143"/>
      <c r="AC500" s="143"/>
      <c r="AD500" s="143"/>
      <c r="AE500" s="143"/>
      <c r="AF500" s="143"/>
      <c r="AG500" s="143"/>
      <c r="AH500" s="143"/>
      <c r="AI500" s="143"/>
      <c r="AJ500" s="143"/>
      <c r="AK500" s="143"/>
      <c r="AL500" s="143"/>
      <c r="AM500" s="143"/>
    </row>
    <row r="501" spans="1:39" ht="12.75" customHeight="1" x14ac:dyDescent="0.25">
      <c r="A501" s="143"/>
      <c r="B501" s="143"/>
      <c r="C501" s="143"/>
      <c r="D501" s="143"/>
      <c r="E501" s="143"/>
      <c r="F501" s="143"/>
      <c r="G501" s="143"/>
      <c r="H501" s="143"/>
      <c r="I501" s="143"/>
      <c r="J501" s="143"/>
      <c r="K501" s="143"/>
      <c r="L501" s="143"/>
      <c r="M501" s="143"/>
      <c r="N501" s="143"/>
      <c r="O501" s="143"/>
      <c r="P501" s="143"/>
      <c r="Q501" s="143"/>
      <c r="R501" s="143"/>
      <c r="S501" s="143"/>
      <c r="T501" s="143"/>
      <c r="U501" s="143"/>
      <c r="V501" s="143"/>
      <c r="W501" s="143"/>
      <c r="X501" s="143"/>
      <c r="Y501" s="143"/>
      <c r="Z501" s="143"/>
      <c r="AA501" s="143"/>
      <c r="AB501" s="143"/>
      <c r="AC501" s="143"/>
      <c r="AD501" s="143"/>
      <c r="AE501" s="143"/>
      <c r="AF501" s="143"/>
      <c r="AG501" s="143"/>
      <c r="AH501" s="143"/>
      <c r="AI501" s="143"/>
      <c r="AJ501" s="143"/>
      <c r="AK501" s="143"/>
      <c r="AL501" s="143"/>
      <c r="AM501" s="143"/>
    </row>
    <row r="502" spans="1:39" ht="12.75" customHeight="1" x14ac:dyDescent="0.25">
      <c r="A502" s="143"/>
      <c r="B502" s="143"/>
      <c r="C502" s="143"/>
      <c r="D502" s="143"/>
      <c r="E502" s="143"/>
      <c r="F502" s="143"/>
      <c r="G502" s="143"/>
      <c r="H502" s="143"/>
      <c r="I502" s="143"/>
      <c r="J502" s="143"/>
      <c r="K502" s="143"/>
      <c r="L502" s="143"/>
      <c r="M502" s="143"/>
      <c r="N502" s="143"/>
      <c r="O502" s="143"/>
      <c r="P502" s="143"/>
      <c r="Q502" s="143"/>
      <c r="R502" s="143"/>
      <c r="S502" s="143"/>
      <c r="T502" s="143"/>
      <c r="U502" s="143"/>
      <c r="V502" s="143"/>
      <c r="W502" s="143"/>
      <c r="X502" s="143"/>
      <c r="Y502" s="143"/>
      <c r="Z502" s="143"/>
      <c r="AA502" s="143"/>
      <c r="AB502" s="143"/>
      <c r="AC502" s="143"/>
      <c r="AD502" s="143"/>
      <c r="AE502" s="143"/>
      <c r="AF502" s="143"/>
      <c r="AG502" s="143"/>
      <c r="AH502" s="143"/>
      <c r="AI502" s="143"/>
      <c r="AJ502" s="143"/>
      <c r="AK502" s="143"/>
      <c r="AL502" s="143"/>
      <c r="AM502" s="143"/>
    </row>
    <row r="503" spans="1:39" ht="12.75" customHeight="1" x14ac:dyDescent="0.25">
      <c r="A503" s="143"/>
      <c r="B503" s="143"/>
      <c r="C503" s="143"/>
      <c r="D503" s="143"/>
      <c r="E503" s="143"/>
      <c r="F503" s="143"/>
      <c r="G503" s="143"/>
      <c r="H503" s="143"/>
      <c r="I503" s="143"/>
      <c r="J503" s="143"/>
      <c r="K503" s="143"/>
      <c r="L503" s="143"/>
      <c r="M503" s="143"/>
      <c r="N503" s="143"/>
      <c r="O503" s="143"/>
      <c r="P503" s="143"/>
      <c r="Q503" s="143"/>
      <c r="R503" s="143"/>
      <c r="S503" s="143"/>
      <c r="T503" s="143"/>
      <c r="U503" s="143"/>
      <c r="V503" s="143"/>
      <c r="W503" s="143"/>
      <c r="X503" s="143"/>
      <c r="Y503" s="143"/>
      <c r="Z503" s="143"/>
      <c r="AA503" s="143"/>
      <c r="AB503" s="143"/>
      <c r="AC503" s="143"/>
      <c r="AD503" s="143"/>
      <c r="AE503" s="143"/>
      <c r="AF503" s="143"/>
      <c r="AG503" s="143"/>
      <c r="AH503" s="143"/>
      <c r="AI503" s="143"/>
      <c r="AJ503" s="143"/>
      <c r="AK503" s="143"/>
      <c r="AL503" s="143"/>
      <c r="AM503" s="143"/>
    </row>
    <row r="504" spans="1:39" ht="12.75" customHeight="1" x14ac:dyDescent="0.25">
      <c r="A504" s="143"/>
      <c r="B504" s="143"/>
      <c r="C504" s="143"/>
      <c r="D504" s="143"/>
      <c r="E504" s="143"/>
      <c r="F504" s="143"/>
      <c r="G504" s="143"/>
      <c r="H504" s="143"/>
      <c r="I504" s="143"/>
      <c r="J504" s="143"/>
      <c r="K504" s="143"/>
      <c r="L504" s="143"/>
      <c r="M504" s="143"/>
      <c r="N504" s="143"/>
      <c r="O504" s="143"/>
      <c r="P504" s="143"/>
      <c r="Q504" s="143"/>
      <c r="R504" s="143"/>
      <c r="S504" s="143"/>
      <c r="T504" s="143"/>
      <c r="U504" s="143"/>
      <c r="V504" s="143"/>
      <c r="W504" s="143"/>
      <c r="X504" s="143"/>
      <c r="Y504" s="143"/>
      <c r="Z504" s="143"/>
      <c r="AA504" s="143"/>
      <c r="AB504" s="143"/>
      <c r="AC504" s="143"/>
      <c r="AD504" s="143"/>
      <c r="AE504" s="143"/>
      <c r="AF504" s="143"/>
      <c r="AG504" s="143"/>
      <c r="AH504" s="143"/>
      <c r="AI504" s="143"/>
      <c r="AJ504" s="143"/>
      <c r="AK504" s="143"/>
      <c r="AL504" s="143"/>
      <c r="AM504" s="143"/>
    </row>
    <row r="505" spans="1:39" ht="12.75" customHeight="1" x14ac:dyDescent="0.25">
      <c r="A505" s="143"/>
      <c r="B505" s="143"/>
      <c r="C505" s="143"/>
      <c r="D505" s="143"/>
      <c r="E505" s="143"/>
      <c r="F505" s="143"/>
      <c r="G505" s="143"/>
      <c r="H505" s="143"/>
      <c r="I505" s="143"/>
      <c r="J505" s="143"/>
      <c r="K505" s="143"/>
      <c r="L505" s="143"/>
      <c r="M505" s="143"/>
      <c r="N505" s="143"/>
      <c r="O505" s="143"/>
      <c r="P505" s="143"/>
      <c r="Q505" s="143"/>
      <c r="R505" s="143"/>
      <c r="S505" s="143"/>
      <c r="T505" s="143"/>
      <c r="U505" s="143"/>
      <c r="V505" s="143"/>
      <c r="W505" s="143"/>
      <c r="X505" s="143"/>
      <c r="Y505" s="143"/>
      <c r="Z505" s="143"/>
      <c r="AA505" s="143"/>
      <c r="AB505" s="143"/>
      <c r="AC505" s="143"/>
      <c r="AD505" s="143"/>
      <c r="AE505" s="143"/>
      <c r="AF505" s="143"/>
      <c r="AG505" s="143"/>
      <c r="AH505" s="143"/>
      <c r="AI505" s="143"/>
      <c r="AJ505" s="143"/>
      <c r="AK505" s="143"/>
      <c r="AL505" s="143"/>
      <c r="AM505" s="143"/>
    </row>
    <row r="506" spans="1:39" ht="12.75" customHeight="1" x14ac:dyDescent="0.25">
      <c r="A506" s="143"/>
      <c r="B506" s="143"/>
      <c r="C506" s="143"/>
      <c r="D506" s="143"/>
      <c r="E506" s="143"/>
      <c r="F506" s="143"/>
      <c r="G506" s="143"/>
      <c r="H506" s="143"/>
      <c r="I506" s="143"/>
      <c r="J506" s="143"/>
      <c r="K506" s="143"/>
      <c r="L506" s="143"/>
      <c r="M506" s="143"/>
      <c r="N506" s="143"/>
      <c r="O506" s="143"/>
      <c r="P506" s="143"/>
      <c r="Q506" s="143"/>
      <c r="R506" s="143"/>
      <c r="S506" s="143"/>
      <c r="T506" s="143"/>
      <c r="U506" s="143"/>
      <c r="V506" s="143"/>
      <c r="W506" s="143"/>
      <c r="X506" s="143"/>
      <c r="Y506" s="143"/>
      <c r="Z506" s="143"/>
      <c r="AA506" s="143"/>
      <c r="AB506" s="143"/>
      <c r="AC506" s="143"/>
      <c r="AD506" s="143"/>
      <c r="AE506" s="143"/>
      <c r="AF506" s="143"/>
      <c r="AG506" s="143"/>
      <c r="AH506" s="143"/>
      <c r="AI506" s="143"/>
      <c r="AJ506" s="143"/>
      <c r="AK506" s="143"/>
      <c r="AL506" s="143"/>
      <c r="AM506" s="143"/>
    </row>
    <row r="507" spans="1:39" ht="12.75" customHeight="1" x14ac:dyDescent="0.25">
      <c r="A507" s="143"/>
      <c r="B507" s="143"/>
      <c r="C507" s="143"/>
      <c r="D507" s="143"/>
      <c r="E507" s="143"/>
      <c r="F507" s="143"/>
      <c r="G507" s="143"/>
      <c r="H507" s="143"/>
      <c r="I507" s="143"/>
      <c r="J507" s="143"/>
      <c r="K507" s="143"/>
      <c r="L507" s="143"/>
      <c r="M507" s="143"/>
      <c r="N507" s="143"/>
      <c r="O507" s="143"/>
      <c r="P507" s="143"/>
      <c r="Q507" s="143"/>
      <c r="R507" s="143"/>
      <c r="S507" s="143"/>
      <c r="T507" s="143"/>
      <c r="U507" s="143"/>
      <c r="V507" s="143"/>
      <c r="W507" s="143"/>
      <c r="X507" s="143"/>
      <c r="Y507" s="143"/>
      <c r="Z507" s="143"/>
      <c r="AA507" s="143"/>
      <c r="AB507" s="143"/>
      <c r="AC507" s="143"/>
      <c r="AD507" s="143"/>
      <c r="AE507" s="143"/>
      <c r="AF507" s="143"/>
      <c r="AG507" s="143"/>
      <c r="AH507" s="143"/>
      <c r="AI507" s="143"/>
      <c r="AJ507" s="143"/>
      <c r="AK507" s="143"/>
      <c r="AL507" s="143"/>
      <c r="AM507" s="143"/>
    </row>
    <row r="508" spans="1:39" ht="12.75" customHeight="1" x14ac:dyDescent="0.25">
      <c r="A508" s="143"/>
      <c r="B508" s="143"/>
      <c r="C508" s="143"/>
      <c r="D508" s="143"/>
      <c r="E508" s="143"/>
      <c r="F508" s="143"/>
      <c r="G508" s="143"/>
      <c r="H508" s="143"/>
      <c r="I508" s="143"/>
      <c r="J508" s="143"/>
      <c r="K508" s="143"/>
      <c r="L508" s="143"/>
      <c r="M508" s="143"/>
      <c r="N508" s="143"/>
      <c r="O508" s="143"/>
      <c r="P508" s="143"/>
      <c r="Q508" s="143"/>
      <c r="R508" s="143"/>
      <c r="S508" s="143"/>
      <c r="T508" s="143"/>
      <c r="U508" s="143"/>
      <c r="V508" s="143"/>
      <c r="W508" s="143"/>
      <c r="X508" s="143"/>
      <c r="Y508" s="143"/>
      <c r="Z508" s="143"/>
      <c r="AA508" s="143"/>
      <c r="AB508" s="143"/>
      <c r="AC508" s="143"/>
      <c r="AD508" s="143"/>
      <c r="AE508" s="143"/>
      <c r="AF508" s="143"/>
      <c r="AG508" s="143"/>
      <c r="AH508" s="143"/>
      <c r="AI508" s="143"/>
      <c r="AJ508" s="143"/>
      <c r="AK508" s="143"/>
      <c r="AL508" s="143"/>
      <c r="AM508" s="143"/>
    </row>
    <row r="509" spans="1:39" ht="12.75" customHeight="1" x14ac:dyDescent="0.25">
      <c r="A509" s="143"/>
      <c r="B509" s="143"/>
      <c r="C509" s="143"/>
      <c r="D509" s="143"/>
      <c r="E509" s="143"/>
      <c r="F509" s="143"/>
      <c r="G509" s="143"/>
      <c r="H509" s="143"/>
      <c r="I509" s="143"/>
      <c r="J509" s="143"/>
      <c r="K509" s="143"/>
      <c r="L509" s="143"/>
      <c r="M509" s="143"/>
      <c r="N509" s="143"/>
      <c r="O509" s="143"/>
      <c r="P509" s="143"/>
      <c r="Q509" s="143"/>
      <c r="R509" s="143"/>
      <c r="S509" s="143"/>
      <c r="T509" s="143"/>
      <c r="U509" s="143"/>
      <c r="V509" s="143"/>
      <c r="W509" s="143"/>
      <c r="X509" s="143"/>
      <c r="Y509" s="143"/>
      <c r="Z509" s="143"/>
      <c r="AA509" s="143"/>
      <c r="AB509" s="143"/>
      <c r="AC509" s="143"/>
      <c r="AD509" s="143"/>
      <c r="AE509" s="143"/>
      <c r="AF509" s="143"/>
      <c r="AG509" s="143"/>
      <c r="AH509" s="143"/>
      <c r="AI509" s="143"/>
      <c r="AJ509" s="143"/>
      <c r="AK509" s="143"/>
      <c r="AL509" s="143"/>
      <c r="AM509" s="143"/>
    </row>
    <row r="510" spans="1:39" ht="12.75" customHeight="1" x14ac:dyDescent="0.25">
      <c r="A510" s="143"/>
      <c r="B510" s="143"/>
      <c r="C510" s="143"/>
      <c r="D510" s="143"/>
      <c r="E510" s="143"/>
      <c r="F510" s="143"/>
      <c r="G510" s="143"/>
      <c r="H510" s="143"/>
      <c r="I510" s="143"/>
      <c r="J510" s="143"/>
      <c r="K510" s="143"/>
      <c r="L510" s="143"/>
      <c r="M510" s="143"/>
      <c r="N510" s="143"/>
      <c r="O510" s="143"/>
      <c r="P510" s="143"/>
      <c r="Q510" s="143"/>
      <c r="R510" s="143"/>
      <c r="S510" s="143"/>
      <c r="T510" s="143"/>
      <c r="U510" s="143"/>
      <c r="V510" s="143"/>
      <c r="W510" s="143"/>
      <c r="X510" s="143"/>
      <c r="Y510" s="143"/>
      <c r="Z510" s="143"/>
      <c r="AA510" s="143"/>
      <c r="AB510" s="143"/>
      <c r="AC510" s="143"/>
      <c r="AD510" s="143"/>
      <c r="AE510" s="143"/>
      <c r="AF510" s="143"/>
      <c r="AG510" s="143"/>
      <c r="AH510" s="143"/>
      <c r="AI510" s="143"/>
      <c r="AJ510" s="143"/>
      <c r="AK510" s="143"/>
      <c r="AL510" s="143"/>
      <c r="AM510" s="143"/>
    </row>
    <row r="511" spans="1:39" ht="12.75" customHeight="1" x14ac:dyDescent="0.25">
      <c r="A511" s="143"/>
      <c r="B511" s="143"/>
      <c r="C511" s="143"/>
      <c r="D511" s="143"/>
      <c r="E511" s="143"/>
      <c r="F511" s="143"/>
      <c r="G511" s="143"/>
      <c r="H511" s="143"/>
      <c r="I511" s="143"/>
      <c r="J511" s="143"/>
      <c r="K511" s="143"/>
      <c r="L511" s="143"/>
      <c r="M511" s="143"/>
      <c r="N511" s="143"/>
      <c r="O511" s="143"/>
      <c r="P511" s="143"/>
      <c r="Q511" s="143"/>
      <c r="R511" s="143"/>
      <c r="S511" s="143"/>
      <c r="T511" s="143"/>
      <c r="U511" s="143"/>
      <c r="V511" s="143"/>
      <c r="W511" s="143"/>
      <c r="X511" s="143"/>
      <c r="Y511" s="143"/>
      <c r="Z511" s="143"/>
      <c r="AA511" s="143"/>
      <c r="AB511" s="143"/>
      <c r="AC511" s="143"/>
      <c r="AD511" s="143"/>
      <c r="AE511" s="143"/>
      <c r="AF511" s="143"/>
      <c r="AG511" s="143"/>
      <c r="AH511" s="143"/>
      <c r="AI511" s="143"/>
      <c r="AJ511" s="143"/>
      <c r="AK511" s="143"/>
      <c r="AL511" s="143"/>
      <c r="AM511" s="143"/>
    </row>
    <row r="512" spans="1:39" ht="12.75" customHeight="1" x14ac:dyDescent="0.25">
      <c r="A512" s="143"/>
      <c r="B512" s="143"/>
      <c r="C512" s="143"/>
      <c r="D512" s="143"/>
      <c r="E512" s="143"/>
      <c r="F512" s="143"/>
      <c r="G512" s="143"/>
      <c r="H512" s="143"/>
      <c r="I512" s="143"/>
      <c r="J512" s="143"/>
      <c r="K512" s="143"/>
      <c r="L512" s="143"/>
      <c r="M512" s="143"/>
      <c r="N512" s="143"/>
      <c r="O512" s="143"/>
      <c r="P512" s="143"/>
      <c r="Q512" s="143"/>
      <c r="R512" s="143"/>
      <c r="S512" s="143"/>
      <c r="T512" s="143"/>
      <c r="U512" s="143"/>
      <c r="V512" s="143"/>
      <c r="W512" s="143"/>
      <c r="X512" s="143"/>
      <c r="Y512" s="143"/>
      <c r="Z512" s="143"/>
      <c r="AA512" s="143"/>
      <c r="AB512" s="143"/>
      <c r="AC512" s="143"/>
      <c r="AD512" s="143"/>
      <c r="AE512" s="143"/>
      <c r="AF512" s="143"/>
      <c r="AG512" s="143"/>
      <c r="AH512" s="143"/>
      <c r="AI512" s="143"/>
      <c r="AJ512" s="143"/>
      <c r="AK512" s="143"/>
      <c r="AL512" s="143"/>
      <c r="AM512" s="143"/>
    </row>
    <row r="513" spans="1:39" ht="12.75" customHeight="1" x14ac:dyDescent="0.25">
      <c r="A513" s="143"/>
      <c r="B513" s="143"/>
      <c r="C513" s="143"/>
      <c r="D513" s="143"/>
      <c r="E513" s="143"/>
      <c r="F513" s="143"/>
      <c r="G513" s="143"/>
      <c r="H513" s="143"/>
      <c r="I513" s="143"/>
      <c r="J513" s="143"/>
      <c r="K513" s="143"/>
      <c r="L513" s="143"/>
      <c r="M513" s="143"/>
      <c r="N513" s="143"/>
      <c r="O513" s="143"/>
      <c r="P513" s="143"/>
      <c r="Q513" s="143"/>
      <c r="R513" s="143"/>
      <c r="S513" s="143"/>
      <c r="T513" s="143"/>
      <c r="U513" s="143"/>
      <c r="V513" s="143"/>
      <c r="W513" s="143"/>
      <c r="X513" s="143"/>
      <c r="Y513" s="143"/>
      <c r="Z513" s="143"/>
      <c r="AA513" s="143"/>
      <c r="AB513" s="143"/>
      <c r="AC513" s="143"/>
      <c r="AD513" s="143"/>
      <c r="AE513" s="143"/>
      <c r="AF513" s="143"/>
      <c r="AG513" s="143"/>
      <c r="AH513" s="143"/>
      <c r="AI513" s="143"/>
      <c r="AJ513" s="143"/>
      <c r="AK513" s="143"/>
      <c r="AL513" s="143"/>
      <c r="AM513" s="143"/>
    </row>
    <row r="514" spans="1:39" ht="12.75" customHeight="1" x14ac:dyDescent="0.25">
      <c r="A514" s="143"/>
      <c r="B514" s="143"/>
      <c r="C514" s="143"/>
      <c r="D514" s="143"/>
      <c r="E514" s="143"/>
      <c r="F514" s="143"/>
      <c r="G514" s="143"/>
      <c r="H514" s="143"/>
      <c r="I514" s="143"/>
      <c r="J514" s="143"/>
      <c r="K514" s="143"/>
      <c r="L514" s="143"/>
      <c r="M514" s="143"/>
      <c r="N514" s="143"/>
      <c r="O514" s="143"/>
      <c r="P514" s="143"/>
      <c r="Q514" s="143"/>
      <c r="R514" s="143"/>
      <c r="S514" s="143"/>
      <c r="T514" s="143"/>
      <c r="U514" s="143"/>
      <c r="V514" s="143"/>
      <c r="W514" s="143"/>
      <c r="X514" s="143"/>
      <c r="Y514" s="143"/>
      <c r="Z514" s="143"/>
      <c r="AA514" s="143"/>
      <c r="AB514" s="143"/>
      <c r="AC514" s="143"/>
      <c r="AD514" s="143"/>
      <c r="AE514" s="143"/>
      <c r="AF514" s="143"/>
      <c r="AG514" s="143"/>
      <c r="AH514" s="143"/>
      <c r="AI514" s="143"/>
      <c r="AJ514" s="143"/>
      <c r="AK514" s="143"/>
      <c r="AL514" s="143"/>
      <c r="AM514" s="143"/>
    </row>
    <row r="515" spans="1:39" ht="12.75" customHeight="1" x14ac:dyDescent="0.25">
      <c r="A515" s="143"/>
      <c r="B515" s="143"/>
      <c r="C515" s="143"/>
      <c r="D515" s="143"/>
      <c r="E515" s="143"/>
      <c r="F515" s="143"/>
      <c r="G515" s="143"/>
      <c r="H515" s="143"/>
      <c r="I515" s="143"/>
      <c r="J515" s="143"/>
      <c r="K515" s="143"/>
      <c r="L515" s="143"/>
      <c r="M515" s="143"/>
      <c r="N515" s="143"/>
      <c r="O515" s="143"/>
      <c r="P515" s="143"/>
      <c r="Q515" s="143"/>
      <c r="R515" s="143"/>
      <c r="S515" s="143"/>
      <c r="T515" s="143"/>
      <c r="U515" s="143"/>
      <c r="V515" s="143"/>
      <c r="W515" s="143"/>
      <c r="X515" s="143"/>
      <c r="Y515" s="143"/>
      <c r="Z515" s="143"/>
      <c r="AA515" s="143"/>
      <c r="AB515" s="143"/>
      <c r="AC515" s="143"/>
      <c r="AD515" s="143"/>
      <c r="AE515" s="143"/>
      <c r="AF515" s="143"/>
      <c r="AG515" s="143"/>
      <c r="AH515" s="143"/>
      <c r="AI515" s="143"/>
      <c r="AJ515" s="143"/>
      <c r="AK515" s="143"/>
      <c r="AL515" s="143"/>
      <c r="AM515" s="143"/>
    </row>
    <row r="516" spans="1:39" ht="12.75" customHeight="1" x14ac:dyDescent="0.25">
      <c r="A516" s="143"/>
      <c r="B516" s="143"/>
      <c r="C516" s="143"/>
      <c r="D516" s="143"/>
      <c r="E516" s="143"/>
      <c r="F516" s="143"/>
      <c r="G516" s="143"/>
      <c r="H516" s="143"/>
      <c r="I516" s="143"/>
      <c r="J516" s="143"/>
      <c r="K516" s="143"/>
      <c r="L516" s="143"/>
      <c r="M516" s="143"/>
      <c r="N516" s="143"/>
      <c r="O516" s="143"/>
      <c r="P516" s="143"/>
      <c r="Q516" s="143"/>
      <c r="R516" s="143"/>
      <c r="S516" s="143"/>
      <c r="T516" s="143"/>
      <c r="U516" s="143"/>
      <c r="V516" s="143"/>
      <c r="W516" s="143"/>
      <c r="X516" s="143"/>
      <c r="Y516" s="143"/>
      <c r="Z516" s="143"/>
      <c r="AA516" s="143"/>
      <c r="AB516" s="143"/>
      <c r="AC516" s="143"/>
      <c r="AD516" s="143"/>
      <c r="AE516" s="143"/>
      <c r="AF516" s="143"/>
      <c r="AG516" s="143"/>
      <c r="AH516" s="143"/>
      <c r="AI516" s="143"/>
      <c r="AJ516" s="143"/>
      <c r="AK516" s="143"/>
      <c r="AL516" s="143"/>
      <c r="AM516" s="143"/>
    </row>
    <row r="517" spans="1:39" ht="12.75" customHeight="1" x14ac:dyDescent="0.25">
      <c r="A517" s="143"/>
      <c r="B517" s="143"/>
      <c r="C517" s="143"/>
      <c r="D517" s="143"/>
      <c r="E517" s="143"/>
      <c r="F517" s="143"/>
      <c r="G517" s="143"/>
      <c r="H517" s="143"/>
      <c r="I517" s="143"/>
      <c r="J517" s="143"/>
      <c r="K517" s="143"/>
      <c r="L517" s="143"/>
      <c r="M517" s="143"/>
      <c r="N517" s="143"/>
      <c r="O517" s="143"/>
      <c r="P517" s="143"/>
      <c r="Q517" s="143"/>
      <c r="R517" s="143"/>
      <c r="S517" s="143"/>
      <c r="T517" s="143"/>
      <c r="U517" s="143"/>
      <c r="V517" s="143"/>
      <c r="W517" s="143"/>
      <c r="X517" s="143"/>
      <c r="Y517" s="143"/>
      <c r="Z517" s="143"/>
      <c r="AA517" s="143"/>
      <c r="AB517" s="143"/>
      <c r="AC517" s="143"/>
      <c r="AD517" s="143"/>
      <c r="AE517" s="143"/>
      <c r="AF517" s="143"/>
      <c r="AG517" s="143"/>
      <c r="AH517" s="143"/>
      <c r="AI517" s="143"/>
      <c r="AJ517" s="143"/>
      <c r="AK517" s="143"/>
      <c r="AL517" s="143"/>
      <c r="AM517" s="143"/>
    </row>
    <row r="518" spans="1:39" ht="12.75" customHeight="1" x14ac:dyDescent="0.25">
      <c r="A518" s="143"/>
      <c r="B518" s="143"/>
      <c r="C518" s="143"/>
      <c r="D518" s="143"/>
      <c r="E518" s="143"/>
      <c r="F518" s="143"/>
      <c r="G518" s="143"/>
      <c r="H518" s="143"/>
      <c r="I518" s="143"/>
      <c r="J518" s="143"/>
      <c r="K518" s="143"/>
      <c r="L518" s="143"/>
      <c r="M518" s="143"/>
      <c r="N518" s="143"/>
      <c r="O518" s="143"/>
      <c r="P518" s="143"/>
      <c r="Q518" s="143"/>
      <c r="R518" s="143"/>
      <c r="S518" s="143"/>
      <c r="T518" s="143"/>
      <c r="U518" s="143"/>
      <c r="V518" s="143"/>
      <c r="W518" s="143"/>
      <c r="X518" s="143"/>
      <c r="Y518" s="143"/>
      <c r="Z518" s="143"/>
      <c r="AA518" s="143"/>
      <c r="AB518" s="143"/>
      <c r="AC518" s="143"/>
      <c r="AD518" s="143"/>
      <c r="AE518" s="143"/>
      <c r="AF518" s="143"/>
      <c r="AG518" s="143"/>
      <c r="AH518" s="143"/>
      <c r="AI518" s="143"/>
      <c r="AJ518" s="143"/>
      <c r="AK518" s="143"/>
      <c r="AL518" s="143"/>
      <c r="AM518" s="143"/>
    </row>
    <row r="519" spans="1:39" ht="12.75" customHeight="1" x14ac:dyDescent="0.25">
      <c r="A519" s="143"/>
      <c r="B519" s="143"/>
      <c r="C519" s="143"/>
      <c r="D519" s="143"/>
      <c r="E519" s="143"/>
      <c r="F519" s="143"/>
      <c r="G519" s="143"/>
      <c r="H519" s="143"/>
      <c r="I519" s="143"/>
      <c r="J519" s="143"/>
      <c r="K519" s="143"/>
      <c r="L519" s="143"/>
      <c r="M519" s="143"/>
      <c r="N519" s="143"/>
      <c r="O519" s="143"/>
      <c r="P519" s="143"/>
      <c r="Q519" s="143"/>
      <c r="R519" s="143"/>
      <c r="S519" s="143"/>
      <c r="T519" s="143"/>
      <c r="U519" s="143"/>
      <c r="V519" s="143"/>
      <c r="W519" s="143"/>
      <c r="X519" s="143"/>
      <c r="Y519" s="143"/>
      <c r="Z519" s="143"/>
      <c r="AA519" s="143"/>
      <c r="AB519" s="143"/>
      <c r="AC519" s="143"/>
      <c r="AD519" s="143"/>
      <c r="AE519" s="143"/>
      <c r="AF519" s="143"/>
      <c r="AG519" s="143"/>
      <c r="AH519" s="143"/>
      <c r="AI519" s="143"/>
      <c r="AJ519" s="143"/>
      <c r="AK519" s="143"/>
      <c r="AL519" s="143"/>
      <c r="AM519" s="143"/>
    </row>
    <row r="520" spans="1:39" ht="12.75" customHeight="1" x14ac:dyDescent="0.25">
      <c r="A520" s="143"/>
      <c r="B520" s="143"/>
      <c r="C520" s="143"/>
      <c r="D520" s="143"/>
      <c r="E520" s="143"/>
      <c r="F520" s="143"/>
      <c r="G520" s="143"/>
      <c r="H520" s="143"/>
      <c r="I520" s="143"/>
      <c r="J520" s="143"/>
      <c r="K520" s="143"/>
      <c r="L520" s="143"/>
      <c r="M520" s="143"/>
      <c r="N520" s="143"/>
      <c r="O520" s="143"/>
      <c r="P520" s="143"/>
      <c r="Q520" s="143"/>
      <c r="R520" s="143"/>
      <c r="S520" s="143"/>
      <c r="T520" s="143"/>
      <c r="U520" s="143"/>
      <c r="V520" s="143"/>
      <c r="W520" s="143"/>
      <c r="X520" s="143"/>
      <c r="Y520" s="143"/>
      <c r="Z520" s="143"/>
      <c r="AA520" s="143"/>
      <c r="AB520" s="143"/>
      <c r="AC520" s="143"/>
      <c r="AD520" s="143"/>
      <c r="AE520" s="143"/>
      <c r="AF520" s="143"/>
      <c r="AG520" s="143"/>
      <c r="AH520" s="143"/>
      <c r="AI520" s="143"/>
      <c r="AJ520" s="143"/>
      <c r="AK520" s="143"/>
      <c r="AL520" s="143"/>
      <c r="AM520" s="143"/>
    </row>
    <row r="521" spans="1:39" ht="12.75" customHeight="1" x14ac:dyDescent="0.25">
      <c r="A521" s="143"/>
      <c r="B521" s="143"/>
      <c r="C521" s="143"/>
      <c r="D521" s="143"/>
      <c r="E521" s="143"/>
      <c r="F521" s="143"/>
      <c r="G521" s="143"/>
      <c r="H521" s="143"/>
      <c r="I521" s="143"/>
      <c r="J521" s="143"/>
      <c r="K521" s="143"/>
      <c r="L521" s="143"/>
      <c r="M521" s="143"/>
      <c r="N521" s="143"/>
      <c r="O521" s="143"/>
      <c r="P521" s="143"/>
      <c r="Q521" s="143"/>
      <c r="R521" s="143"/>
      <c r="S521" s="143"/>
      <c r="T521" s="143"/>
      <c r="U521" s="143"/>
      <c r="V521" s="143"/>
      <c r="W521" s="143"/>
      <c r="X521" s="143"/>
      <c r="Y521" s="143"/>
      <c r="Z521" s="143"/>
      <c r="AA521" s="143"/>
      <c r="AB521" s="143"/>
      <c r="AC521" s="143"/>
      <c r="AD521" s="143"/>
      <c r="AE521" s="143"/>
      <c r="AF521" s="143"/>
      <c r="AG521" s="143"/>
      <c r="AH521" s="143"/>
      <c r="AI521" s="143"/>
      <c r="AJ521" s="143"/>
      <c r="AK521" s="143"/>
      <c r="AL521" s="143"/>
      <c r="AM521" s="143"/>
    </row>
    <row r="522" spans="1:39" ht="12.75" customHeight="1" x14ac:dyDescent="0.25">
      <c r="A522" s="143"/>
      <c r="B522" s="143"/>
      <c r="C522" s="143"/>
      <c r="D522" s="143"/>
      <c r="E522" s="143"/>
      <c r="F522" s="143"/>
      <c r="G522" s="143"/>
      <c r="H522" s="143"/>
      <c r="I522" s="143"/>
      <c r="J522" s="143"/>
      <c r="K522" s="143"/>
      <c r="L522" s="143"/>
      <c r="M522" s="143"/>
      <c r="N522" s="143"/>
      <c r="O522" s="143"/>
      <c r="P522" s="143"/>
      <c r="Q522" s="143"/>
      <c r="R522" s="143"/>
      <c r="S522" s="143"/>
      <c r="T522" s="143"/>
      <c r="U522" s="143"/>
      <c r="V522" s="143"/>
      <c r="W522" s="143"/>
      <c r="X522" s="143"/>
      <c r="Y522" s="143"/>
      <c r="Z522" s="143"/>
      <c r="AA522" s="143"/>
      <c r="AB522" s="143"/>
      <c r="AC522" s="143"/>
      <c r="AD522" s="143"/>
      <c r="AE522" s="143"/>
      <c r="AF522" s="143"/>
      <c r="AG522" s="143"/>
      <c r="AH522" s="143"/>
      <c r="AI522" s="143"/>
      <c r="AJ522" s="143"/>
      <c r="AK522" s="143"/>
      <c r="AL522" s="143"/>
      <c r="AM522" s="143"/>
    </row>
    <row r="523" spans="1:39" ht="12.75" customHeight="1" x14ac:dyDescent="0.25">
      <c r="A523" s="143"/>
      <c r="B523" s="143"/>
      <c r="C523" s="143"/>
      <c r="D523" s="143"/>
      <c r="E523" s="143"/>
      <c r="F523" s="143"/>
      <c r="G523" s="143"/>
      <c r="H523" s="143"/>
      <c r="I523" s="143"/>
      <c r="J523" s="143"/>
      <c r="K523" s="143"/>
      <c r="L523" s="143"/>
      <c r="M523" s="143"/>
      <c r="N523" s="143"/>
      <c r="O523" s="143"/>
      <c r="P523" s="143"/>
      <c r="Q523" s="143"/>
      <c r="R523" s="143"/>
      <c r="S523" s="143"/>
      <c r="T523" s="143"/>
      <c r="U523" s="143"/>
      <c r="V523" s="143"/>
      <c r="W523" s="143"/>
      <c r="X523" s="143"/>
      <c r="Y523" s="143"/>
      <c r="Z523" s="143"/>
      <c r="AA523" s="143"/>
      <c r="AB523" s="143"/>
      <c r="AC523" s="143"/>
      <c r="AD523" s="143"/>
      <c r="AE523" s="143"/>
      <c r="AF523" s="143"/>
      <c r="AG523" s="143"/>
      <c r="AH523" s="143"/>
      <c r="AI523" s="143"/>
      <c r="AJ523" s="143"/>
      <c r="AK523" s="143"/>
      <c r="AL523" s="143"/>
      <c r="AM523" s="143"/>
    </row>
    <row r="524" spans="1:39" ht="12.75" customHeight="1" x14ac:dyDescent="0.25">
      <c r="A524" s="143"/>
      <c r="B524" s="143"/>
      <c r="C524" s="143"/>
      <c r="D524" s="143"/>
      <c r="E524" s="143"/>
      <c r="F524" s="143"/>
      <c r="G524" s="143"/>
      <c r="H524" s="143"/>
      <c r="I524" s="143"/>
      <c r="J524" s="143"/>
      <c r="K524" s="143"/>
      <c r="L524" s="143"/>
      <c r="M524" s="143"/>
      <c r="N524" s="143"/>
      <c r="O524" s="143"/>
      <c r="P524" s="143"/>
      <c r="Q524" s="143"/>
      <c r="R524" s="143"/>
      <c r="S524" s="143"/>
      <c r="T524" s="143"/>
      <c r="U524" s="143"/>
      <c r="V524" s="143"/>
      <c r="W524" s="143"/>
      <c r="X524" s="143"/>
      <c r="Y524" s="143"/>
      <c r="Z524" s="143"/>
      <c r="AA524" s="143"/>
      <c r="AB524" s="143"/>
      <c r="AC524" s="143"/>
      <c r="AD524" s="143"/>
      <c r="AE524" s="143"/>
      <c r="AF524" s="143"/>
      <c r="AG524" s="143"/>
      <c r="AH524" s="143"/>
      <c r="AI524" s="143"/>
      <c r="AJ524" s="143"/>
      <c r="AK524" s="143"/>
      <c r="AL524" s="143"/>
      <c r="AM524" s="143"/>
    </row>
    <row r="525" spans="1:39" ht="12.75" customHeight="1" x14ac:dyDescent="0.25">
      <c r="A525" s="143"/>
      <c r="B525" s="143"/>
      <c r="C525" s="143"/>
      <c r="D525" s="143"/>
      <c r="E525" s="143"/>
      <c r="F525" s="143"/>
      <c r="G525" s="143"/>
      <c r="H525" s="143"/>
      <c r="I525" s="143"/>
      <c r="J525" s="143"/>
      <c r="K525" s="143"/>
      <c r="L525" s="143"/>
      <c r="M525" s="143"/>
      <c r="N525" s="143"/>
      <c r="O525" s="143"/>
      <c r="P525" s="143"/>
      <c r="Q525" s="143"/>
      <c r="R525" s="143"/>
      <c r="S525" s="143"/>
      <c r="T525" s="143"/>
      <c r="U525" s="143"/>
      <c r="V525" s="143"/>
      <c r="W525" s="143"/>
      <c r="X525" s="143"/>
      <c r="Y525" s="143"/>
      <c r="Z525" s="143"/>
      <c r="AA525" s="143"/>
      <c r="AB525" s="143"/>
      <c r="AC525" s="143"/>
      <c r="AD525" s="143"/>
      <c r="AE525" s="143"/>
      <c r="AF525" s="143"/>
      <c r="AG525" s="143"/>
      <c r="AH525" s="143"/>
      <c r="AI525" s="143"/>
      <c r="AJ525" s="143"/>
      <c r="AK525" s="143"/>
      <c r="AL525" s="143"/>
      <c r="AM525" s="143"/>
    </row>
    <row r="526" spans="1:39" ht="12.75" customHeight="1" x14ac:dyDescent="0.25">
      <c r="A526" s="143"/>
      <c r="B526" s="143"/>
      <c r="C526" s="143"/>
      <c r="D526" s="143"/>
      <c r="E526" s="143"/>
      <c r="F526" s="143"/>
      <c r="G526" s="143"/>
      <c r="H526" s="143"/>
      <c r="I526" s="143"/>
      <c r="J526" s="143"/>
      <c r="K526" s="143"/>
      <c r="L526" s="143"/>
      <c r="M526" s="143"/>
      <c r="N526" s="143"/>
      <c r="O526" s="143"/>
      <c r="P526" s="143"/>
      <c r="Q526" s="143"/>
      <c r="R526" s="143"/>
      <c r="S526" s="143"/>
      <c r="T526" s="143"/>
      <c r="U526" s="143"/>
      <c r="V526" s="143"/>
      <c r="W526" s="143"/>
      <c r="X526" s="143"/>
      <c r="Y526" s="143"/>
      <c r="Z526" s="143"/>
      <c r="AA526" s="143"/>
      <c r="AB526" s="143"/>
      <c r="AC526" s="143"/>
      <c r="AD526" s="143"/>
      <c r="AE526" s="143"/>
      <c r="AF526" s="143"/>
      <c r="AG526" s="143"/>
      <c r="AH526" s="143"/>
      <c r="AI526" s="143"/>
      <c r="AJ526" s="143"/>
      <c r="AK526" s="143"/>
      <c r="AL526" s="143"/>
      <c r="AM526" s="143"/>
    </row>
    <row r="527" spans="1:39" ht="12.75" customHeight="1" x14ac:dyDescent="0.25">
      <c r="A527" s="143"/>
      <c r="B527" s="143"/>
      <c r="C527" s="143"/>
      <c r="D527" s="143"/>
      <c r="E527" s="143"/>
      <c r="F527" s="143"/>
      <c r="G527" s="143"/>
      <c r="H527" s="143"/>
      <c r="I527" s="143"/>
      <c r="J527" s="143"/>
      <c r="K527" s="143"/>
      <c r="L527" s="143"/>
      <c r="M527" s="143"/>
      <c r="N527" s="143"/>
      <c r="O527" s="143"/>
      <c r="P527" s="143"/>
      <c r="Q527" s="143"/>
      <c r="R527" s="143"/>
      <c r="S527" s="143"/>
      <c r="T527" s="143"/>
      <c r="U527" s="143"/>
      <c r="V527" s="143"/>
      <c r="W527" s="143"/>
      <c r="X527" s="143"/>
      <c r="Y527" s="143"/>
      <c r="Z527" s="143"/>
      <c r="AA527" s="143"/>
      <c r="AB527" s="143"/>
      <c r="AC527" s="143"/>
      <c r="AD527" s="143"/>
      <c r="AE527" s="143"/>
      <c r="AF527" s="143"/>
      <c r="AG527" s="143"/>
      <c r="AH527" s="143"/>
      <c r="AI527" s="143"/>
      <c r="AJ527" s="143"/>
      <c r="AK527" s="143"/>
      <c r="AL527" s="143"/>
      <c r="AM527" s="143"/>
    </row>
    <row r="528" spans="1:39" ht="12.75" customHeight="1" x14ac:dyDescent="0.25">
      <c r="A528" s="143"/>
      <c r="B528" s="143"/>
      <c r="C528" s="143"/>
      <c r="D528" s="143"/>
      <c r="E528" s="143"/>
      <c r="F528" s="143"/>
      <c r="G528" s="143"/>
      <c r="H528" s="143"/>
      <c r="I528" s="143"/>
      <c r="J528" s="143"/>
      <c r="K528" s="143"/>
      <c r="L528" s="143"/>
      <c r="M528" s="143"/>
      <c r="N528" s="143"/>
      <c r="O528" s="143"/>
      <c r="P528" s="143"/>
      <c r="Q528" s="143"/>
      <c r="R528" s="143"/>
      <c r="S528" s="143"/>
      <c r="T528" s="143"/>
      <c r="U528" s="143"/>
      <c r="V528" s="143"/>
      <c r="W528" s="143"/>
      <c r="X528" s="143"/>
      <c r="Y528" s="143"/>
      <c r="Z528" s="143"/>
      <c r="AA528" s="143"/>
      <c r="AB528" s="143"/>
      <c r="AC528" s="143"/>
      <c r="AD528" s="143"/>
      <c r="AE528" s="143"/>
      <c r="AF528" s="143"/>
      <c r="AG528" s="143"/>
      <c r="AH528" s="143"/>
      <c r="AI528" s="143"/>
      <c r="AJ528" s="143"/>
      <c r="AK528" s="143"/>
      <c r="AL528" s="143"/>
      <c r="AM528" s="143"/>
    </row>
    <row r="529" spans="1:39" ht="12.75" customHeight="1" x14ac:dyDescent="0.25">
      <c r="A529" s="143"/>
      <c r="B529" s="143"/>
      <c r="C529" s="143"/>
      <c r="D529" s="143"/>
      <c r="E529" s="143"/>
      <c r="F529" s="143"/>
      <c r="G529" s="143"/>
      <c r="H529" s="143"/>
      <c r="I529" s="143"/>
      <c r="J529" s="143"/>
      <c r="K529" s="143"/>
      <c r="L529" s="143"/>
      <c r="M529" s="143"/>
      <c r="N529" s="143"/>
      <c r="O529" s="143"/>
      <c r="P529" s="143"/>
      <c r="Q529" s="143"/>
      <c r="R529" s="143"/>
      <c r="S529" s="143"/>
      <c r="T529" s="143"/>
      <c r="U529" s="143"/>
      <c r="V529" s="143"/>
      <c r="W529" s="143"/>
      <c r="X529" s="143"/>
      <c r="Y529" s="143"/>
      <c r="Z529" s="143"/>
      <c r="AA529" s="143"/>
      <c r="AB529" s="143"/>
      <c r="AC529" s="143"/>
      <c r="AD529" s="143"/>
      <c r="AE529" s="143"/>
      <c r="AF529" s="143"/>
      <c r="AG529" s="143"/>
      <c r="AH529" s="143"/>
      <c r="AI529" s="143"/>
      <c r="AJ529" s="143"/>
      <c r="AK529" s="143"/>
      <c r="AL529" s="143"/>
      <c r="AM529" s="143"/>
    </row>
    <row r="530" spans="1:39" ht="12.75" customHeight="1" x14ac:dyDescent="0.25">
      <c r="A530" s="143"/>
      <c r="B530" s="143"/>
      <c r="C530" s="143"/>
      <c r="D530" s="143"/>
      <c r="E530" s="143"/>
      <c r="F530" s="143"/>
      <c r="G530" s="143"/>
      <c r="H530" s="143"/>
      <c r="I530" s="143"/>
      <c r="J530" s="143"/>
      <c r="K530" s="143"/>
      <c r="L530" s="143"/>
      <c r="M530" s="143"/>
      <c r="N530" s="143"/>
      <c r="O530" s="143"/>
      <c r="P530" s="143"/>
      <c r="Q530" s="143"/>
      <c r="R530" s="143"/>
      <c r="S530" s="143"/>
      <c r="T530" s="143"/>
      <c r="U530" s="143"/>
      <c r="V530" s="143"/>
      <c r="W530" s="143"/>
      <c r="X530" s="143"/>
      <c r="Y530" s="143"/>
      <c r="Z530" s="143"/>
      <c r="AA530" s="143"/>
      <c r="AB530" s="143"/>
      <c r="AC530" s="143"/>
      <c r="AD530" s="143"/>
      <c r="AE530" s="143"/>
      <c r="AF530" s="143"/>
      <c r="AG530" s="143"/>
      <c r="AH530" s="143"/>
      <c r="AI530" s="143"/>
      <c r="AJ530" s="143"/>
      <c r="AK530" s="143"/>
      <c r="AL530" s="143"/>
      <c r="AM530" s="143"/>
    </row>
    <row r="531" spans="1:39" ht="12.75" customHeight="1" x14ac:dyDescent="0.25">
      <c r="A531" s="143"/>
      <c r="B531" s="143"/>
      <c r="C531" s="143"/>
      <c r="D531" s="143"/>
      <c r="E531" s="143"/>
      <c r="F531" s="143"/>
      <c r="G531" s="143"/>
      <c r="H531" s="143"/>
      <c r="I531" s="143"/>
      <c r="J531" s="143"/>
      <c r="K531" s="143"/>
      <c r="L531" s="143"/>
      <c r="M531" s="143"/>
      <c r="N531" s="143"/>
      <c r="O531" s="143"/>
      <c r="P531" s="143"/>
      <c r="Q531" s="143"/>
      <c r="R531" s="143"/>
      <c r="S531" s="143"/>
      <c r="T531" s="143"/>
      <c r="U531" s="143"/>
      <c r="V531" s="143"/>
      <c r="W531" s="143"/>
      <c r="X531" s="143"/>
      <c r="Y531" s="143"/>
      <c r="Z531" s="143"/>
      <c r="AA531" s="143"/>
      <c r="AB531" s="143"/>
      <c r="AC531" s="143"/>
      <c r="AD531" s="143"/>
      <c r="AE531" s="143"/>
      <c r="AF531" s="143"/>
      <c r="AG531" s="143"/>
      <c r="AH531" s="143"/>
      <c r="AI531" s="143"/>
      <c r="AJ531" s="143"/>
      <c r="AK531" s="143"/>
      <c r="AL531" s="143"/>
      <c r="AM531" s="143"/>
    </row>
    <row r="532" spans="1:39" ht="12.75" customHeight="1" x14ac:dyDescent="0.25">
      <c r="A532" s="143"/>
      <c r="B532" s="143"/>
      <c r="C532" s="143"/>
      <c r="D532" s="143"/>
      <c r="E532" s="143"/>
      <c r="F532" s="143"/>
      <c r="G532" s="143"/>
      <c r="H532" s="143"/>
      <c r="I532" s="143"/>
      <c r="J532" s="143"/>
      <c r="K532" s="143"/>
      <c r="L532" s="143"/>
      <c r="M532" s="143"/>
      <c r="N532" s="143"/>
      <c r="O532" s="143"/>
      <c r="P532" s="143"/>
      <c r="Q532" s="143"/>
      <c r="R532" s="143"/>
      <c r="S532" s="143"/>
      <c r="T532" s="143"/>
      <c r="U532" s="143"/>
      <c r="V532" s="143"/>
      <c r="W532" s="143"/>
      <c r="X532" s="143"/>
      <c r="Y532" s="143"/>
      <c r="Z532" s="143"/>
      <c r="AA532" s="143"/>
      <c r="AB532" s="143"/>
      <c r="AC532" s="143"/>
      <c r="AD532" s="143"/>
      <c r="AE532" s="143"/>
      <c r="AF532" s="143"/>
      <c r="AG532" s="143"/>
      <c r="AH532" s="143"/>
      <c r="AI532" s="143"/>
      <c r="AJ532" s="143"/>
      <c r="AK532" s="143"/>
      <c r="AL532" s="143"/>
      <c r="AM532" s="143"/>
    </row>
    <row r="533" spans="1:39" ht="12.75" customHeight="1" x14ac:dyDescent="0.25">
      <c r="A533" s="143"/>
      <c r="B533" s="143"/>
      <c r="C533" s="143"/>
      <c r="D533" s="143"/>
      <c r="E533" s="143"/>
      <c r="F533" s="143"/>
      <c r="G533" s="143"/>
      <c r="H533" s="143"/>
      <c r="I533" s="143"/>
      <c r="J533" s="143"/>
      <c r="K533" s="143"/>
      <c r="L533" s="143"/>
      <c r="M533" s="143"/>
      <c r="N533" s="143"/>
      <c r="O533" s="143"/>
      <c r="P533" s="143"/>
      <c r="Q533" s="143"/>
      <c r="R533" s="143"/>
      <c r="S533" s="143"/>
      <c r="T533" s="143"/>
      <c r="U533" s="143"/>
      <c r="V533" s="143"/>
      <c r="W533" s="143"/>
      <c r="X533" s="143"/>
      <c r="Y533" s="143"/>
      <c r="Z533" s="143"/>
      <c r="AA533" s="143"/>
      <c r="AB533" s="143"/>
      <c r="AC533" s="143"/>
      <c r="AD533" s="143"/>
      <c r="AE533" s="143"/>
      <c r="AF533" s="143"/>
      <c r="AG533" s="143"/>
      <c r="AH533" s="143"/>
      <c r="AI533" s="143"/>
      <c r="AJ533" s="143"/>
      <c r="AK533" s="143"/>
      <c r="AL533" s="143"/>
      <c r="AM533" s="143"/>
    </row>
    <row r="534" spans="1:39" ht="12.75" customHeight="1" x14ac:dyDescent="0.25">
      <c r="A534" s="143"/>
      <c r="B534" s="143"/>
      <c r="C534" s="143"/>
      <c r="D534" s="143"/>
      <c r="E534" s="143"/>
      <c r="F534" s="143"/>
      <c r="G534" s="143"/>
      <c r="H534" s="143"/>
      <c r="I534" s="143"/>
      <c r="J534" s="143"/>
      <c r="K534" s="143"/>
      <c r="L534" s="143"/>
      <c r="M534" s="143"/>
      <c r="N534" s="143"/>
      <c r="O534" s="143"/>
      <c r="P534" s="143"/>
      <c r="Q534" s="143"/>
      <c r="R534" s="143"/>
      <c r="S534" s="143"/>
      <c r="T534" s="143"/>
      <c r="U534" s="143"/>
      <c r="V534" s="143"/>
      <c r="W534" s="143"/>
      <c r="X534" s="143"/>
      <c r="Y534" s="143"/>
      <c r="Z534" s="143"/>
      <c r="AA534" s="143"/>
      <c r="AB534" s="143"/>
      <c r="AC534" s="143"/>
      <c r="AD534" s="143"/>
      <c r="AE534" s="143"/>
      <c r="AF534" s="143"/>
      <c r="AG534" s="143"/>
      <c r="AH534" s="143"/>
      <c r="AI534" s="143"/>
      <c r="AJ534" s="143"/>
      <c r="AK534" s="143"/>
      <c r="AL534" s="143"/>
      <c r="AM534" s="143"/>
    </row>
    <row r="535" spans="1:39" ht="12.75" customHeight="1" x14ac:dyDescent="0.25">
      <c r="A535" s="143"/>
      <c r="B535" s="143"/>
      <c r="C535" s="143"/>
      <c r="D535" s="143"/>
      <c r="E535" s="143"/>
      <c r="F535" s="143"/>
      <c r="G535" s="143"/>
      <c r="H535" s="143"/>
      <c r="I535" s="143"/>
      <c r="J535" s="143"/>
      <c r="K535" s="143"/>
      <c r="L535" s="143"/>
      <c r="M535" s="143"/>
      <c r="N535" s="143"/>
      <c r="O535" s="143"/>
      <c r="P535" s="143"/>
      <c r="Q535" s="143"/>
      <c r="R535" s="143"/>
      <c r="S535" s="143"/>
      <c r="T535" s="143"/>
      <c r="U535" s="143"/>
      <c r="V535" s="143"/>
      <c r="W535" s="143"/>
      <c r="X535" s="143"/>
      <c r="Y535" s="143"/>
      <c r="Z535" s="143"/>
      <c r="AA535" s="143"/>
      <c r="AB535" s="143"/>
      <c r="AC535" s="143"/>
      <c r="AD535" s="143"/>
      <c r="AE535" s="143"/>
      <c r="AF535" s="143"/>
      <c r="AG535" s="143"/>
      <c r="AH535" s="143"/>
      <c r="AI535" s="143"/>
      <c r="AJ535" s="143"/>
      <c r="AK535" s="143"/>
      <c r="AL535" s="143"/>
      <c r="AM535" s="143"/>
    </row>
    <row r="536" spans="1:39" ht="12.75" customHeight="1" x14ac:dyDescent="0.25">
      <c r="A536" s="143"/>
      <c r="B536" s="143"/>
      <c r="C536" s="143"/>
      <c r="D536" s="143"/>
      <c r="E536" s="143"/>
      <c r="F536" s="143"/>
      <c r="G536" s="143"/>
      <c r="H536" s="143"/>
      <c r="I536" s="143"/>
      <c r="J536" s="143"/>
      <c r="K536" s="143"/>
      <c r="L536" s="143"/>
      <c r="M536" s="143"/>
      <c r="N536" s="143"/>
      <c r="O536" s="143"/>
      <c r="P536" s="143"/>
      <c r="Q536" s="143"/>
      <c r="R536" s="143"/>
      <c r="S536" s="143"/>
      <c r="T536" s="143"/>
      <c r="U536" s="143"/>
      <c r="V536" s="143"/>
      <c r="W536" s="143"/>
      <c r="X536" s="143"/>
      <c r="Y536" s="143"/>
      <c r="Z536" s="143"/>
      <c r="AA536" s="143"/>
      <c r="AB536" s="143"/>
      <c r="AC536" s="143"/>
      <c r="AD536" s="143"/>
      <c r="AE536" s="143"/>
      <c r="AF536" s="143"/>
      <c r="AG536" s="143"/>
      <c r="AH536" s="143"/>
      <c r="AI536" s="143"/>
      <c r="AJ536" s="143"/>
      <c r="AK536" s="143"/>
      <c r="AL536" s="143"/>
      <c r="AM536" s="143"/>
    </row>
    <row r="537" spans="1:39" ht="12.75" customHeight="1" x14ac:dyDescent="0.25">
      <c r="A537" s="143"/>
      <c r="B537" s="143"/>
      <c r="C537" s="143"/>
      <c r="D537" s="143"/>
      <c r="E537" s="143"/>
      <c r="F537" s="143"/>
      <c r="G537" s="143"/>
      <c r="H537" s="143"/>
      <c r="I537" s="143"/>
      <c r="J537" s="143"/>
      <c r="K537" s="143"/>
      <c r="L537" s="143"/>
      <c r="M537" s="143"/>
      <c r="N537" s="143"/>
      <c r="O537" s="143"/>
      <c r="P537" s="143"/>
      <c r="Q537" s="143"/>
      <c r="R537" s="143"/>
      <c r="S537" s="143"/>
      <c r="T537" s="143"/>
      <c r="U537" s="143"/>
      <c r="V537" s="143"/>
      <c r="W537" s="143"/>
      <c r="X537" s="143"/>
      <c r="Y537" s="143"/>
      <c r="Z537" s="143"/>
      <c r="AA537" s="143"/>
      <c r="AB537" s="143"/>
      <c r="AC537" s="143"/>
      <c r="AD537" s="143"/>
      <c r="AE537" s="143"/>
      <c r="AF537" s="143"/>
      <c r="AG537" s="143"/>
      <c r="AH537" s="143"/>
      <c r="AI537" s="143"/>
      <c r="AJ537" s="143"/>
      <c r="AK537" s="143"/>
      <c r="AL537" s="143"/>
      <c r="AM537" s="143"/>
    </row>
    <row r="538" spans="1:39" ht="12.75" customHeight="1" x14ac:dyDescent="0.25">
      <c r="A538" s="143"/>
      <c r="B538" s="143"/>
      <c r="C538" s="143"/>
      <c r="D538" s="143"/>
      <c r="E538" s="143"/>
      <c r="F538" s="143"/>
      <c r="G538" s="143"/>
      <c r="H538" s="143"/>
      <c r="I538" s="143"/>
      <c r="J538" s="143"/>
      <c r="K538" s="143"/>
      <c r="L538" s="143"/>
      <c r="M538" s="143"/>
      <c r="N538" s="143"/>
      <c r="O538" s="143"/>
      <c r="P538" s="143"/>
      <c r="Q538" s="143"/>
      <c r="R538" s="143"/>
      <c r="S538" s="143"/>
      <c r="T538" s="143"/>
      <c r="U538" s="143"/>
      <c r="V538" s="143"/>
      <c r="W538" s="143"/>
      <c r="X538" s="143"/>
      <c r="Y538" s="143"/>
      <c r="Z538" s="143"/>
      <c r="AA538" s="143"/>
      <c r="AB538" s="143"/>
      <c r="AC538" s="143"/>
      <c r="AD538" s="143"/>
      <c r="AE538" s="143"/>
      <c r="AF538" s="143"/>
      <c r="AG538" s="143"/>
      <c r="AH538" s="143"/>
      <c r="AI538" s="143"/>
      <c r="AJ538" s="143"/>
      <c r="AK538" s="143"/>
      <c r="AL538" s="143"/>
      <c r="AM538" s="143"/>
    </row>
    <row r="539" spans="1:39" ht="12.75" customHeight="1" x14ac:dyDescent="0.25">
      <c r="A539" s="143"/>
      <c r="B539" s="143"/>
      <c r="C539" s="143"/>
      <c r="D539" s="143"/>
      <c r="E539" s="143"/>
      <c r="F539" s="143"/>
      <c r="G539" s="143"/>
      <c r="H539" s="143"/>
      <c r="I539" s="143"/>
      <c r="J539" s="143"/>
      <c r="K539" s="143"/>
      <c r="L539" s="143"/>
      <c r="M539" s="143"/>
      <c r="N539" s="143"/>
      <c r="O539" s="143"/>
      <c r="P539" s="143"/>
      <c r="Q539" s="143"/>
      <c r="R539" s="143"/>
      <c r="S539" s="143"/>
      <c r="T539" s="143"/>
      <c r="U539" s="143"/>
      <c r="V539" s="143"/>
      <c r="W539" s="143"/>
      <c r="X539" s="143"/>
      <c r="Y539" s="143"/>
      <c r="Z539" s="143"/>
      <c r="AA539" s="143"/>
      <c r="AB539" s="143"/>
      <c r="AC539" s="143"/>
      <c r="AD539" s="143"/>
      <c r="AE539" s="143"/>
      <c r="AF539" s="143"/>
      <c r="AG539" s="143"/>
      <c r="AH539" s="143"/>
      <c r="AI539" s="143"/>
      <c r="AJ539" s="143"/>
      <c r="AK539" s="143"/>
      <c r="AL539" s="143"/>
      <c r="AM539" s="143"/>
    </row>
    <row r="540" spans="1:39" ht="12.75" customHeight="1" x14ac:dyDescent="0.25">
      <c r="A540" s="143"/>
      <c r="B540" s="143"/>
      <c r="C540" s="143"/>
      <c r="D540" s="143"/>
      <c r="E540" s="143"/>
      <c r="F540" s="143"/>
      <c r="G540" s="143"/>
      <c r="H540" s="143"/>
      <c r="I540" s="143"/>
      <c r="J540" s="143"/>
      <c r="K540" s="143"/>
      <c r="L540" s="143"/>
      <c r="M540" s="143"/>
      <c r="N540" s="143"/>
      <c r="O540" s="143"/>
      <c r="P540" s="143"/>
      <c r="Q540" s="143"/>
      <c r="R540" s="143"/>
      <c r="S540" s="143"/>
      <c r="T540" s="143"/>
      <c r="U540" s="143"/>
      <c r="V540" s="143"/>
      <c r="W540" s="143"/>
      <c r="X540" s="143"/>
      <c r="Y540" s="143"/>
      <c r="Z540" s="143"/>
      <c r="AA540" s="143"/>
      <c r="AB540" s="143"/>
      <c r="AC540" s="143"/>
      <c r="AD540" s="143"/>
      <c r="AE540" s="143"/>
      <c r="AF540" s="143"/>
      <c r="AG540" s="143"/>
      <c r="AH540" s="143"/>
      <c r="AI540" s="143"/>
      <c r="AJ540" s="143"/>
      <c r="AK540" s="143"/>
      <c r="AL540" s="143"/>
      <c r="AM540" s="143"/>
    </row>
    <row r="541" spans="1:39" ht="12.75" customHeight="1" x14ac:dyDescent="0.25">
      <c r="A541" s="143"/>
      <c r="B541" s="143"/>
      <c r="C541" s="143"/>
      <c r="D541" s="143"/>
      <c r="E541" s="143"/>
      <c r="F541" s="143"/>
      <c r="G541" s="143"/>
      <c r="H541" s="143"/>
      <c r="I541" s="143"/>
      <c r="J541" s="143"/>
      <c r="K541" s="143"/>
      <c r="L541" s="143"/>
      <c r="M541" s="143"/>
      <c r="N541" s="143"/>
      <c r="O541" s="143"/>
      <c r="P541" s="143"/>
      <c r="Q541" s="143"/>
      <c r="R541" s="143"/>
      <c r="S541" s="143"/>
      <c r="T541" s="143"/>
      <c r="U541" s="143"/>
      <c r="V541" s="143"/>
      <c r="W541" s="143"/>
      <c r="X541" s="143"/>
      <c r="Y541" s="143"/>
      <c r="Z541" s="143"/>
      <c r="AA541" s="143"/>
      <c r="AB541" s="143"/>
      <c r="AC541" s="143"/>
      <c r="AD541" s="143"/>
      <c r="AE541" s="143"/>
      <c r="AF541" s="143"/>
      <c r="AG541" s="143"/>
      <c r="AH541" s="143"/>
      <c r="AI541" s="143"/>
      <c r="AJ541" s="143"/>
      <c r="AK541" s="143"/>
      <c r="AL541" s="143"/>
      <c r="AM541" s="143"/>
    </row>
    <row r="542" spans="1:39" ht="12.75" customHeight="1" x14ac:dyDescent="0.25">
      <c r="A542" s="143"/>
      <c r="B542" s="143"/>
      <c r="C542" s="143"/>
      <c r="D542" s="143"/>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c r="AA542" s="143"/>
      <c r="AB542" s="143"/>
      <c r="AC542" s="143"/>
      <c r="AD542" s="143"/>
      <c r="AE542" s="143"/>
      <c r="AF542" s="143"/>
      <c r="AG542" s="143"/>
      <c r="AH542" s="143"/>
      <c r="AI542" s="143"/>
      <c r="AJ542" s="143"/>
      <c r="AK542" s="143"/>
      <c r="AL542" s="143"/>
      <c r="AM542" s="143"/>
    </row>
    <row r="543" spans="1:39" ht="12.75" customHeight="1" x14ac:dyDescent="0.25">
      <c r="A543" s="143"/>
      <c r="B543" s="143"/>
      <c r="C543" s="143"/>
      <c r="D543" s="143"/>
      <c r="E543" s="143"/>
      <c r="F543" s="143"/>
      <c r="G543" s="143"/>
      <c r="H543" s="143"/>
      <c r="I543" s="143"/>
      <c r="J543" s="143"/>
      <c r="K543" s="143"/>
      <c r="L543" s="143"/>
      <c r="M543" s="143"/>
      <c r="N543" s="143"/>
      <c r="O543" s="143"/>
      <c r="P543" s="143"/>
      <c r="Q543" s="143"/>
      <c r="R543" s="143"/>
      <c r="S543" s="143"/>
      <c r="T543" s="143"/>
      <c r="U543" s="143"/>
      <c r="V543" s="143"/>
      <c r="W543" s="143"/>
      <c r="X543" s="143"/>
      <c r="Y543" s="143"/>
      <c r="Z543" s="143"/>
      <c r="AA543" s="143"/>
      <c r="AB543" s="143"/>
      <c r="AC543" s="143"/>
      <c r="AD543" s="143"/>
      <c r="AE543" s="143"/>
      <c r="AF543" s="143"/>
      <c r="AG543" s="143"/>
      <c r="AH543" s="143"/>
      <c r="AI543" s="143"/>
      <c r="AJ543" s="143"/>
      <c r="AK543" s="143"/>
      <c r="AL543" s="143"/>
      <c r="AM543" s="143"/>
    </row>
    <row r="544" spans="1:39" ht="12.75" customHeight="1" x14ac:dyDescent="0.25">
      <c r="A544" s="143"/>
      <c r="B544" s="143"/>
      <c r="C544" s="143"/>
      <c r="D544" s="143"/>
      <c r="E544" s="143"/>
      <c r="F544" s="143"/>
      <c r="G544" s="143"/>
      <c r="H544" s="143"/>
      <c r="I544" s="143"/>
      <c r="J544" s="143"/>
      <c r="K544" s="143"/>
      <c r="L544" s="143"/>
      <c r="M544" s="143"/>
      <c r="N544" s="143"/>
      <c r="O544" s="143"/>
      <c r="P544" s="143"/>
      <c r="Q544" s="143"/>
      <c r="R544" s="143"/>
      <c r="S544" s="143"/>
      <c r="T544" s="143"/>
      <c r="U544" s="143"/>
      <c r="V544" s="143"/>
      <c r="W544" s="143"/>
      <c r="X544" s="143"/>
      <c r="Y544" s="143"/>
      <c r="Z544" s="143"/>
      <c r="AA544" s="143"/>
      <c r="AB544" s="143"/>
      <c r="AC544" s="143"/>
      <c r="AD544" s="143"/>
      <c r="AE544" s="143"/>
      <c r="AF544" s="143"/>
      <c r="AG544" s="143"/>
      <c r="AH544" s="143"/>
      <c r="AI544" s="143"/>
      <c r="AJ544" s="143"/>
      <c r="AK544" s="143"/>
      <c r="AL544" s="143"/>
      <c r="AM544" s="143"/>
    </row>
    <row r="545" spans="1:39" ht="12.75" customHeight="1" x14ac:dyDescent="0.25">
      <c r="A545" s="143"/>
      <c r="B545" s="143"/>
      <c r="C545" s="143"/>
      <c r="D545" s="143"/>
      <c r="E545" s="143"/>
      <c r="F545" s="143"/>
      <c r="G545" s="143"/>
      <c r="H545" s="143"/>
      <c r="I545" s="143"/>
      <c r="J545" s="143"/>
      <c r="K545" s="143"/>
      <c r="L545" s="143"/>
      <c r="M545" s="143"/>
      <c r="N545" s="143"/>
      <c r="O545" s="143"/>
      <c r="P545" s="143"/>
      <c r="Q545" s="143"/>
      <c r="R545" s="143"/>
      <c r="S545" s="143"/>
      <c r="T545" s="143"/>
      <c r="U545" s="143"/>
      <c r="V545" s="143"/>
      <c r="W545" s="143"/>
      <c r="X545" s="143"/>
      <c r="Y545" s="143"/>
      <c r="Z545" s="143"/>
      <c r="AA545" s="143"/>
      <c r="AB545" s="143"/>
      <c r="AC545" s="143"/>
      <c r="AD545" s="143"/>
      <c r="AE545" s="143"/>
      <c r="AF545" s="143"/>
      <c r="AG545" s="143"/>
      <c r="AH545" s="143"/>
      <c r="AI545" s="143"/>
      <c r="AJ545" s="143"/>
      <c r="AK545" s="143"/>
      <c r="AL545" s="143"/>
      <c r="AM545" s="143"/>
    </row>
    <row r="546" spans="1:39" ht="12.75" customHeight="1" x14ac:dyDescent="0.25">
      <c r="A546" s="143"/>
      <c r="B546" s="143"/>
      <c r="C546" s="143"/>
      <c r="D546" s="143"/>
      <c r="E546" s="143"/>
      <c r="F546" s="143"/>
      <c r="G546" s="143"/>
      <c r="H546" s="143"/>
      <c r="I546" s="143"/>
      <c r="J546" s="143"/>
      <c r="K546" s="143"/>
      <c r="L546" s="143"/>
      <c r="M546" s="143"/>
      <c r="N546" s="143"/>
      <c r="O546" s="143"/>
      <c r="P546" s="143"/>
      <c r="Q546" s="143"/>
      <c r="R546" s="143"/>
      <c r="S546" s="143"/>
      <c r="T546" s="143"/>
      <c r="U546" s="143"/>
      <c r="V546" s="143"/>
      <c r="W546" s="143"/>
      <c r="X546" s="143"/>
      <c r="Y546" s="143"/>
      <c r="Z546" s="143"/>
      <c r="AA546" s="143"/>
      <c r="AB546" s="143"/>
      <c r="AC546" s="143"/>
      <c r="AD546" s="143"/>
      <c r="AE546" s="143"/>
      <c r="AF546" s="143"/>
      <c r="AG546" s="143"/>
      <c r="AH546" s="143"/>
      <c r="AI546" s="143"/>
      <c r="AJ546" s="143"/>
      <c r="AK546" s="143"/>
      <c r="AL546" s="143"/>
      <c r="AM546" s="143"/>
    </row>
    <row r="547" spans="1:39" ht="12.75" customHeight="1" x14ac:dyDescent="0.25">
      <c r="A547" s="143"/>
      <c r="B547" s="143"/>
      <c r="C547" s="143"/>
      <c r="D547" s="143"/>
      <c r="E547" s="143"/>
      <c r="F547" s="143"/>
      <c r="G547" s="143"/>
      <c r="H547" s="143"/>
      <c r="I547" s="143"/>
      <c r="J547" s="143"/>
      <c r="K547" s="143"/>
      <c r="L547" s="143"/>
      <c r="M547" s="143"/>
      <c r="N547" s="143"/>
      <c r="O547" s="143"/>
      <c r="P547" s="143"/>
      <c r="Q547" s="143"/>
      <c r="R547" s="143"/>
      <c r="S547" s="143"/>
      <c r="T547" s="143"/>
      <c r="U547" s="143"/>
      <c r="V547" s="143"/>
      <c r="W547" s="143"/>
      <c r="X547" s="143"/>
      <c r="Y547" s="143"/>
      <c r="Z547" s="143"/>
      <c r="AA547" s="143"/>
      <c r="AB547" s="143"/>
      <c r="AC547" s="143"/>
      <c r="AD547" s="143"/>
      <c r="AE547" s="143"/>
      <c r="AF547" s="143"/>
      <c r="AG547" s="143"/>
      <c r="AH547" s="143"/>
      <c r="AI547" s="143"/>
      <c r="AJ547" s="143"/>
      <c r="AK547" s="143"/>
      <c r="AL547" s="143"/>
      <c r="AM547" s="143"/>
    </row>
    <row r="548" spans="1:39" ht="12.75" customHeight="1" x14ac:dyDescent="0.25">
      <c r="A548" s="143"/>
      <c r="B548" s="143"/>
      <c r="C548" s="143"/>
      <c r="D548" s="143"/>
      <c r="E548" s="143"/>
      <c r="F548" s="143"/>
      <c r="G548" s="143"/>
      <c r="H548" s="143"/>
      <c r="I548" s="143"/>
      <c r="J548" s="143"/>
      <c r="K548" s="143"/>
      <c r="L548" s="143"/>
      <c r="M548" s="143"/>
      <c r="N548" s="143"/>
      <c r="O548" s="143"/>
      <c r="P548" s="143"/>
      <c r="Q548" s="143"/>
      <c r="R548" s="143"/>
      <c r="S548" s="143"/>
      <c r="T548" s="143"/>
      <c r="U548" s="143"/>
      <c r="V548" s="143"/>
      <c r="W548" s="143"/>
      <c r="X548" s="143"/>
      <c r="Y548" s="143"/>
      <c r="Z548" s="143"/>
      <c r="AA548" s="143"/>
      <c r="AB548" s="143"/>
      <c r="AC548" s="143"/>
      <c r="AD548" s="143"/>
      <c r="AE548" s="143"/>
      <c r="AF548" s="143"/>
      <c r="AG548" s="143"/>
      <c r="AH548" s="143"/>
      <c r="AI548" s="143"/>
      <c r="AJ548" s="143"/>
      <c r="AK548" s="143"/>
      <c r="AL548" s="143"/>
      <c r="AM548" s="143"/>
    </row>
    <row r="549" spans="1:39" ht="12.75" customHeight="1" x14ac:dyDescent="0.25">
      <c r="A549" s="143"/>
      <c r="B549" s="143"/>
      <c r="C549" s="143"/>
      <c r="D549" s="143"/>
      <c r="E549" s="143"/>
      <c r="F549" s="143"/>
      <c r="G549" s="143"/>
      <c r="H549" s="143"/>
      <c r="I549" s="143"/>
      <c r="J549" s="143"/>
      <c r="K549" s="143"/>
      <c r="L549" s="143"/>
      <c r="M549" s="143"/>
      <c r="N549" s="143"/>
      <c r="O549" s="143"/>
      <c r="P549" s="143"/>
      <c r="Q549" s="143"/>
      <c r="R549" s="143"/>
      <c r="S549" s="143"/>
      <c r="T549" s="143"/>
      <c r="U549" s="143"/>
      <c r="V549" s="143"/>
      <c r="W549" s="143"/>
      <c r="X549" s="143"/>
      <c r="Y549" s="143"/>
      <c r="Z549" s="143"/>
      <c r="AA549" s="143"/>
      <c r="AB549" s="143"/>
      <c r="AC549" s="143"/>
      <c r="AD549" s="143"/>
      <c r="AE549" s="143"/>
      <c r="AF549" s="143"/>
      <c r="AG549" s="143"/>
      <c r="AH549" s="143"/>
      <c r="AI549" s="143"/>
      <c r="AJ549" s="143"/>
      <c r="AK549" s="143"/>
      <c r="AL549" s="143"/>
      <c r="AM549" s="143"/>
    </row>
    <row r="550" spans="1:39" ht="12.75" customHeight="1" x14ac:dyDescent="0.25">
      <c r="A550" s="143"/>
      <c r="B550" s="143"/>
      <c r="C550" s="143"/>
      <c r="D550" s="143"/>
      <c r="E550" s="143"/>
      <c r="F550" s="143"/>
      <c r="G550" s="143"/>
      <c r="H550" s="143"/>
      <c r="I550" s="143"/>
      <c r="J550" s="143"/>
      <c r="K550" s="143"/>
      <c r="L550" s="143"/>
      <c r="M550" s="143"/>
      <c r="N550" s="143"/>
      <c r="O550" s="143"/>
      <c r="P550" s="143"/>
      <c r="Q550" s="143"/>
      <c r="R550" s="143"/>
      <c r="S550" s="143"/>
      <c r="T550" s="143"/>
      <c r="U550" s="143"/>
      <c r="V550" s="143"/>
      <c r="W550" s="143"/>
      <c r="X550" s="143"/>
      <c r="Y550" s="143"/>
      <c r="Z550" s="143"/>
      <c r="AA550" s="143"/>
      <c r="AB550" s="143"/>
      <c r="AC550" s="143"/>
      <c r="AD550" s="143"/>
      <c r="AE550" s="143"/>
      <c r="AF550" s="143"/>
      <c r="AG550" s="143"/>
      <c r="AH550" s="143"/>
      <c r="AI550" s="143"/>
      <c r="AJ550" s="143"/>
      <c r="AK550" s="143"/>
      <c r="AL550" s="143"/>
      <c r="AM550" s="143"/>
    </row>
    <row r="551" spans="1:39" ht="12.75" customHeight="1" x14ac:dyDescent="0.25">
      <c r="A551" s="143"/>
      <c r="B551" s="143"/>
      <c r="C551" s="143"/>
      <c r="D551" s="143"/>
      <c r="E551" s="143"/>
      <c r="F551" s="143"/>
      <c r="G551" s="143"/>
      <c r="H551" s="143"/>
      <c r="I551" s="143"/>
      <c r="J551" s="143"/>
      <c r="K551" s="143"/>
      <c r="L551" s="143"/>
      <c r="M551" s="143"/>
      <c r="N551" s="143"/>
      <c r="O551" s="143"/>
      <c r="P551" s="143"/>
      <c r="Q551" s="143"/>
      <c r="R551" s="143"/>
      <c r="S551" s="143"/>
      <c r="T551" s="143"/>
      <c r="U551" s="143"/>
      <c r="V551" s="143"/>
      <c r="W551" s="143"/>
      <c r="X551" s="143"/>
      <c r="Y551" s="143"/>
      <c r="Z551" s="143"/>
      <c r="AA551" s="143"/>
      <c r="AB551" s="143"/>
      <c r="AC551" s="143"/>
      <c r="AD551" s="143"/>
      <c r="AE551" s="143"/>
      <c r="AF551" s="143"/>
      <c r="AG551" s="143"/>
      <c r="AH551" s="143"/>
      <c r="AI551" s="143"/>
      <c r="AJ551" s="143"/>
      <c r="AK551" s="143"/>
      <c r="AL551" s="143"/>
      <c r="AM551" s="143"/>
    </row>
    <row r="552" spans="1:39" ht="12.75" customHeight="1" x14ac:dyDescent="0.25">
      <c r="A552" s="143"/>
      <c r="B552" s="143"/>
      <c r="C552" s="143"/>
      <c r="D552" s="143"/>
      <c r="E552" s="143"/>
      <c r="F552" s="143"/>
      <c r="G552" s="143"/>
      <c r="H552" s="143"/>
      <c r="I552" s="143"/>
      <c r="J552" s="143"/>
      <c r="K552" s="143"/>
      <c r="L552" s="143"/>
      <c r="M552" s="143"/>
      <c r="N552" s="143"/>
      <c r="O552" s="143"/>
      <c r="P552" s="143"/>
      <c r="Q552" s="143"/>
      <c r="R552" s="143"/>
      <c r="S552" s="143"/>
      <c r="T552" s="143"/>
      <c r="U552" s="143"/>
      <c r="V552" s="143"/>
      <c r="W552" s="143"/>
      <c r="X552" s="143"/>
      <c r="Y552" s="143"/>
      <c r="Z552" s="143"/>
      <c r="AA552" s="143"/>
      <c r="AB552" s="143"/>
      <c r="AC552" s="143"/>
      <c r="AD552" s="143"/>
      <c r="AE552" s="143"/>
      <c r="AF552" s="143"/>
      <c r="AG552" s="143"/>
      <c r="AH552" s="143"/>
      <c r="AI552" s="143"/>
      <c r="AJ552" s="143"/>
      <c r="AK552" s="143"/>
      <c r="AL552" s="143"/>
      <c r="AM552" s="143"/>
    </row>
    <row r="553" spans="1:39" ht="12.75" customHeight="1" x14ac:dyDescent="0.25">
      <c r="A553" s="143"/>
      <c r="B553" s="143"/>
      <c r="C553" s="143"/>
      <c r="D553" s="143"/>
      <c r="E553" s="143"/>
      <c r="F553" s="143"/>
      <c r="G553" s="143"/>
      <c r="H553" s="143"/>
      <c r="I553" s="143"/>
      <c r="J553" s="143"/>
      <c r="K553" s="143"/>
      <c r="L553" s="143"/>
      <c r="M553" s="143"/>
      <c r="N553" s="143"/>
      <c r="O553" s="143"/>
      <c r="P553" s="143"/>
      <c r="Q553" s="143"/>
      <c r="R553" s="143"/>
      <c r="S553" s="143"/>
      <c r="T553" s="143"/>
      <c r="U553" s="143"/>
      <c r="V553" s="143"/>
      <c r="W553" s="143"/>
      <c r="X553" s="143"/>
      <c r="Y553" s="143"/>
      <c r="Z553" s="143"/>
      <c r="AA553" s="143"/>
      <c r="AB553" s="143"/>
      <c r="AC553" s="143"/>
      <c r="AD553" s="143"/>
      <c r="AE553" s="143"/>
      <c r="AF553" s="143"/>
      <c r="AG553" s="143"/>
      <c r="AH553" s="143"/>
      <c r="AI553" s="143"/>
      <c r="AJ553" s="143"/>
      <c r="AK553" s="143"/>
      <c r="AL553" s="143"/>
      <c r="AM553" s="143"/>
    </row>
    <row r="554" spans="1:39" ht="12.75" customHeight="1" x14ac:dyDescent="0.25">
      <c r="A554" s="143"/>
      <c r="B554" s="143"/>
      <c r="C554" s="143"/>
      <c r="D554" s="143"/>
      <c r="E554" s="143"/>
      <c r="F554" s="143"/>
      <c r="G554" s="143"/>
      <c r="H554" s="143"/>
      <c r="I554" s="143"/>
      <c r="J554" s="143"/>
      <c r="K554" s="143"/>
      <c r="L554" s="143"/>
      <c r="M554" s="143"/>
      <c r="N554" s="143"/>
      <c r="O554" s="143"/>
      <c r="P554" s="143"/>
      <c r="Q554" s="143"/>
      <c r="R554" s="143"/>
      <c r="S554" s="143"/>
      <c r="T554" s="143"/>
      <c r="U554" s="143"/>
      <c r="V554" s="143"/>
      <c r="W554" s="143"/>
      <c r="X554" s="143"/>
      <c r="Y554" s="143"/>
      <c r="Z554" s="143"/>
      <c r="AA554" s="143"/>
      <c r="AB554" s="143"/>
      <c r="AC554" s="143"/>
      <c r="AD554" s="143"/>
      <c r="AE554" s="143"/>
      <c r="AF554" s="143"/>
      <c r="AG554" s="143"/>
      <c r="AH554" s="143"/>
      <c r="AI554" s="143"/>
      <c r="AJ554" s="143"/>
      <c r="AK554" s="143"/>
      <c r="AL554" s="143"/>
      <c r="AM554" s="143"/>
    </row>
    <row r="555" spans="1:39" ht="12.75" customHeight="1" x14ac:dyDescent="0.25">
      <c r="A555" s="143"/>
      <c r="B555" s="143"/>
      <c r="C555" s="143"/>
      <c r="D555" s="143"/>
      <c r="E555" s="143"/>
      <c r="F555" s="143"/>
      <c r="G555" s="143"/>
      <c r="H555" s="143"/>
      <c r="I555" s="143"/>
      <c r="J555" s="143"/>
      <c r="K555" s="143"/>
      <c r="L555" s="143"/>
      <c r="M555" s="143"/>
      <c r="N555" s="143"/>
      <c r="O555" s="143"/>
      <c r="P555" s="143"/>
      <c r="Q555" s="143"/>
      <c r="R555" s="143"/>
      <c r="S555" s="143"/>
      <c r="T555" s="143"/>
      <c r="U555" s="143"/>
      <c r="V555" s="143"/>
      <c r="W555" s="143"/>
      <c r="X555" s="143"/>
      <c r="Y555" s="143"/>
      <c r="Z555" s="143"/>
      <c r="AA555" s="143"/>
      <c r="AB555" s="143"/>
      <c r="AC555" s="143"/>
      <c r="AD555" s="143"/>
      <c r="AE555" s="143"/>
      <c r="AF555" s="143"/>
      <c r="AG555" s="143"/>
      <c r="AH555" s="143"/>
      <c r="AI555" s="143"/>
      <c r="AJ555" s="143"/>
      <c r="AK555" s="143"/>
      <c r="AL555" s="143"/>
      <c r="AM555" s="143"/>
    </row>
    <row r="556" spans="1:39" ht="12.75" customHeight="1" x14ac:dyDescent="0.25">
      <c r="A556" s="143"/>
      <c r="B556" s="143"/>
      <c r="C556" s="143"/>
      <c r="D556" s="143"/>
      <c r="E556" s="143"/>
      <c r="F556" s="143"/>
      <c r="G556" s="143"/>
      <c r="H556" s="143"/>
      <c r="I556" s="143"/>
      <c r="J556" s="143"/>
      <c r="K556" s="143"/>
      <c r="L556" s="143"/>
      <c r="M556" s="143"/>
      <c r="N556" s="143"/>
      <c r="O556" s="143"/>
      <c r="P556" s="143"/>
      <c r="Q556" s="143"/>
      <c r="R556" s="143"/>
      <c r="S556" s="143"/>
      <c r="T556" s="143"/>
      <c r="U556" s="143"/>
      <c r="V556" s="143"/>
      <c r="W556" s="143"/>
      <c r="X556" s="143"/>
      <c r="Y556" s="143"/>
      <c r="Z556" s="143"/>
      <c r="AA556" s="143"/>
      <c r="AB556" s="143"/>
      <c r="AC556" s="143"/>
      <c r="AD556" s="143"/>
      <c r="AE556" s="143"/>
      <c r="AF556" s="143"/>
      <c r="AG556" s="143"/>
      <c r="AH556" s="143"/>
      <c r="AI556" s="143"/>
      <c r="AJ556" s="143"/>
      <c r="AK556" s="143"/>
      <c r="AL556" s="143"/>
      <c r="AM556" s="143"/>
    </row>
    <row r="557" spans="1:39" ht="12.75" customHeight="1" x14ac:dyDescent="0.25">
      <c r="A557" s="143"/>
      <c r="B557" s="143"/>
      <c r="C557" s="143"/>
      <c r="D557" s="143"/>
      <c r="E557" s="143"/>
      <c r="F557" s="143"/>
      <c r="G557" s="143"/>
      <c r="H557" s="143"/>
      <c r="I557" s="143"/>
      <c r="J557" s="143"/>
      <c r="K557" s="143"/>
      <c r="L557" s="143"/>
      <c r="M557" s="143"/>
      <c r="N557" s="143"/>
      <c r="O557" s="143"/>
      <c r="P557" s="143"/>
      <c r="Q557" s="143"/>
      <c r="R557" s="143"/>
      <c r="S557" s="143"/>
      <c r="T557" s="143"/>
      <c r="U557" s="143"/>
      <c r="V557" s="143"/>
      <c r="W557" s="143"/>
      <c r="X557" s="143"/>
      <c r="Y557" s="143"/>
      <c r="Z557" s="143"/>
      <c r="AA557" s="143"/>
      <c r="AB557" s="143"/>
      <c r="AC557" s="143"/>
      <c r="AD557" s="143"/>
      <c r="AE557" s="143"/>
      <c r="AF557" s="143"/>
      <c r="AG557" s="143"/>
      <c r="AH557" s="143"/>
      <c r="AI557" s="143"/>
      <c r="AJ557" s="143"/>
      <c r="AK557" s="143"/>
      <c r="AL557" s="143"/>
      <c r="AM557" s="143"/>
    </row>
    <row r="558" spans="1:39" ht="12.75" customHeight="1" x14ac:dyDescent="0.25">
      <c r="A558" s="143"/>
      <c r="B558" s="143"/>
      <c r="C558" s="143"/>
      <c r="D558" s="143"/>
      <c r="E558" s="143"/>
      <c r="F558" s="143"/>
      <c r="G558" s="143"/>
      <c r="H558" s="143"/>
      <c r="I558" s="143"/>
      <c r="J558" s="143"/>
      <c r="K558" s="143"/>
      <c r="L558" s="143"/>
      <c r="M558" s="143"/>
      <c r="N558" s="143"/>
      <c r="O558" s="143"/>
      <c r="P558" s="143"/>
      <c r="Q558" s="143"/>
      <c r="R558" s="143"/>
      <c r="S558" s="143"/>
      <c r="T558" s="143"/>
      <c r="U558" s="143"/>
      <c r="V558" s="143"/>
      <c r="W558" s="143"/>
      <c r="X558" s="143"/>
      <c r="Y558" s="143"/>
      <c r="Z558" s="143"/>
      <c r="AA558" s="143"/>
      <c r="AB558" s="143"/>
      <c r="AC558" s="143"/>
      <c r="AD558" s="143"/>
      <c r="AE558" s="143"/>
      <c r="AF558" s="143"/>
      <c r="AG558" s="143"/>
      <c r="AH558" s="143"/>
      <c r="AI558" s="143"/>
      <c r="AJ558" s="143"/>
      <c r="AK558" s="143"/>
      <c r="AL558" s="143"/>
      <c r="AM558" s="143"/>
    </row>
    <row r="559" spans="1:39" ht="12.75" customHeight="1" x14ac:dyDescent="0.25">
      <c r="A559" s="143"/>
      <c r="B559" s="143"/>
      <c r="C559" s="143"/>
      <c r="D559" s="143"/>
      <c r="E559" s="143"/>
      <c r="F559" s="143"/>
      <c r="G559" s="143"/>
      <c r="H559" s="143"/>
      <c r="I559" s="143"/>
      <c r="J559" s="143"/>
      <c r="K559" s="143"/>
      <c r="L559" s="143"/>
      <c r="M559" s="143"/>
      <c r="N559" s="143"/>
      <c r="O559" s="143"/>
      <c r="P559" s="143"/>
      <c r="Q559" s="143"/>
      <c r="R559" s="143"/>
      <c r="S559" s="143"/>
      <c r="T559" s="143"/>
      <c r="U559" s="143"/>
      <c r="V559" s="143"/>
      <c r="W559" s="143"/>
      <c r="X559" s="143"/>
      <c r="Y559" s="143"/>
      <c r="Z559" s="143"/>
      <c r="AA559" s="143"/>
      <c r="AB559" s="143"/>
      <c r="AC559" s="143"/>
      <c r="AD559" s="143"/>
      <c r="AE559" s="143"/>
      <c r="AF559" s="143"/>
      <c r="AG559" s="143"/>
      <c r="AH559" s="143"/>
      <c r="AI559" s="143"/>
      <c r="AJ559" s="143"/>
      <c r="AK559" s="143"/>
      <c r="AL559" s="143"/>
      <c r="AM559" s="143"/>
    </row>
    <row r="560" spans="1:39" ht="12.75" customHeight="1" x14ac:dyDescent="0.25">
      <c r="A560" s="143"/>
      <c r="B560" s="143"/>
      <c r="C560" s="143"/>
      <c r="D560" s="143"/>
      <c r="E560" s="143"/>
      <c r="F560" s="143"/>
      <c r="G560" s="143"/>
      <c r="H560" s="143"/>
      <c r="I560" s="143"/>
      <c r="J560" s="143"/>
      <c r="K560" s="143"/>
      <c r="L560" s="143"/>
      <c r="M560" s="143"/>
      <c r="N560" s="143"/>
      <c r="O560" s="143"/>
      <c r="P560" s="143"/>
      <c r="Q560" s="143"/>
      <c r="R560" s="143"/>
      <c r="S560" s="143"/>
      <c r="T560" s="143"/>
      <c r="U560" s="143"/>
      <c r="V560" s="143"/>
      <c r="W560" s="143"/>
      <c r="X560" s="143"/>
      <c r="Y560" s="143"/>
      <c r="Z560" s="143"/>
      <c r="AA560" s="143"/>
      <c r="AB560" s="143"/>
      <c r="AC560" s="143"/>
      <c r="AD560" s="143"/>
      <c r="AE560" s="143"/>
      <c r="AF560" s="143"/>
      <c r="AG560" s="143"/>
      <c r="AH560" s="143"/>
      <c r="AI560" s="143"/>
      <c r="AJ560" s="143"/>
      <c r="AK560" s="143"/>
      <c r="AL560" s="143"/>
      <c r="AM560" s="143"/>
    </row>
    <row r="561" spans="1:39" ht="12.75" customHeight="1" x14ac:dyDescent="0.25">
      <c r="A561" s="143"/>
      <c r="B561" s="143"/>
      <c r="C561" s="143"/>
      <c r="D561" s="143"/>
      <c r="E561" s="143"/>
      <c r="F561" s="143"/>
      <c r="G561" s="143"/>
      <c r="H561" s="143"/>
      <c r="I561" s="143"/>
      <c r="J561" s="143"/>
      <c r="K561" s="143"/>
      <c r="L561" s="143"/>
      <c r="M561" s="143"/>
      <c r="N561" s="143"/>
      <c r="O561" s="143"/>
      <c r="P561" s="143"/>
      <c r="Q561" s="143"/>
      <c r="R561" s="143"/>
      <c r="S561" s="143"/>
      <c r="T561" s="143"/>
      <c r="U561" s="143"/>
      <c r="V561" s="143"/>
      <c r="W561" s="143"/>
      <c r="X561" s="143"/>
      <c r="Y561" s="143"/>
      <c r="Z561" s="143"/>
      <c r="AA561" s="143"/>
      <c r="AB561" s="143"/>
      <c r="AC561" s="143"/>
      <c r="AD561" s="143"/>
      <c r="AE561" s="143"/>
      <c r="AF561" s="143"/>
      <c r="AG561" s="143"/>
      <c r="AH561" s="143"/>
      <c r="AI561" s="143"/>
      <c r="AJ561" s="143"/>
      <c r="AK561" s="143"/>
      <c r="AL561" s="143"/>
      <c r="AM561" s="143"/>
    </row>
    <row r="562" spans="1:39" ht="12.75" customHeight="1" x14ac:dyDescent="0.25">
      <c r="A562" s="143"/>
      <c r="B562" s="143"/>
      <c r="C562" s="143"/>
      <c r="D562" s="143"/>
      <c r="E562" s="143"/>
      <c r="F562" s="143"/>
      <c r="G562" s="143"/>
      <c r="H562" s="143"/>
      <c r="I562" s="143"/>
      <c r="J562" s="143"/>
      <c r="K562" s="143"/>
      <c r="L562" s="143"/>
      <c r="M562" s="143"/>
      <c r="N562" s="143"/>
      <c r="O562" s="143"/>
      <c r="P562" s="143"/>
      <c r="Q562" s="143"/>
      <c r="R562" s="143"/>
      <c r="S562" s="143"/>
      <c r="T562" s="143"/>
      <c r="U562" s="143"/>
      <c r="V562" s="143"/>
      <c r="W562" s="143"/>
      <c r="X562" s="143"/>
      <c r="Y562" s="143"/>
      <c r="Z562" s="143"/>
      <c r="AA562" s="143"/>
      <c r="AB562" s="143"/>
      <c r="AC562" s="143"/>
      <c r="AD562" s="143"/>
      <c r="AE562" s="143"/>
      <c r="AF562" s="143"/>
      <c r="AG562" s="143"/>
      <c r="AH562" s="143"/>
      <c r="AI562" s="143"/>
      <c r="AJ562" s="143"/>
      <c r="AK562" s="143"/>
      <c r="AL562" s="143"/>
      <c r="AM562" s="143"/>
    </row>
    <row r="563" spans="1:39" ht="12.75" customHeight="1" x14ac:dyDescent="0.25">
      <c r="A563" s="143"/>
      <c r="B563" s="143"/>
      <c r="C563" s="143"/>
      <c r="D563" s="143"/>
      <c r="E563" s="143"/>
      <c r="F563" s="143"/>
      <c r="G563" s="143"/>
      <c r="H563" s="143"/>
      <c r="I563" s="143"/>
      <c r="J563" s="143"/>
      <c r="K563" s="143"/>
      <c r="L563" s="143"/>
      <c r="M563" s="143"/>
      <c r="N563" s="143"/>
      <c r="O563" s="143"/>
      <c r="P563" s="143"/>
      <c r="Q563" s="143"/>
      <c r="R563" s="143"/>
      <c r="S563" s="143"/>
      <c r="T563" s="143"/>
      <c r="U563" s="143"/>
      <c r="V563" s="143"/>
      <c r="W563" s="143"/>
      <c r="X563" s="143"/>
      <c r="Y563" s="143"/>
      <c r="Z563" s="143"/>
      <c r="AA563" s="143"/>
      <c r="AB563" s="143"/>
      <c r="AC563" s="143"/>
      <c r="AD563" s="143"/>
      <c r="AE563" s="143"/>
      <c r="AF563" s="143"/>
      <c r="AG563" s="143"/>
      <c r="AH563" s="143"/>
      <c r="AI563" s="143"/>
      <c r="AJ563" s="143"/>
      <c r="AK563" s="143"/>
      <c r="AL563" s="143"/>
      <c r="AM563" s="143"/>
    </row>
    <row r="564" spans="1:39" ht="12.75" customHeight="1" x14ac:dyDescent="0.25">
      <c r="A564" s="143"/>
      <c r="B564" s="143"/>
      <c r="C564" s="143"/>
      <c r="D564" s="143"/>
      <c r="E564" s="143"/>
      <c r="F564" s="143"/>
      <c r="G564" s="143"/>
      <c r="H564" s="143"/>
      <c r="I564" s="143"/>
      <c r="J564" s="143"/>
      <c r="K564" s="143"/>
      <c r="L564" s="143"/>
      <c r="M564" s="143"/>
      <c r="N564" s="143"/>
      <c r="O564" s="143"/>
      <c r="P564" s="143"/>
      <c r="Q564" s="143"/>
      <c r="R564" s="143"/>
      <c r="S564" s="143"/>
      <c r="T564" s="143"/>
      <c r="U564" s="143"/>
      <c r="V564" s="143"/>
      <c r="W564" s="143"/>
      <c r="X564" s="143"/>
      <c r="Y564" s="143"/>
      <c r="Z564" s="143"/>
      <c r="AA564" s="143"/>
      <c r="AB564" s="143"/>
      <c r="AC564" s="143"/>
      <c r="AD564" s="143"/>
      <c r="AE564" s="143"/>
      <c r="AF564" s="143"/>
      <c r="AG564" s="143"/>
      <c r="AH564" s="143"/>
      <c r="AI564" s="143"/>
      <c r="AJ564" s="143"/>
      <c r="AK564" s="143"/>
      <c r="AL564" s="143"/>
      <c r="AM564" s="143"/>
    </row>
    <row r="565" spans="1:39" ht="12.75" customHeight="1" x14ac:dyDescent="0.25">
      <c r="A565" s="143"/>
      <c r="B565" s="143"/>
      <c r="C565" s="143"/>
      <c r="D565" s="143"/>
      <c r="E565" s="143"/>
      <c r="F565" s="143"/>
      <c r="G565" s="143"/>
      <c r="H565" s="143"/>
      <c r="I565" s="143"/>
      <c r="J565" s="143"/>
      <c r="K565" s="143"/>
      <c r="L565" s="143"/>
      <c r="M565" s="143"/>
      <c r="N565" s="143"/>
      <c r="O565" s="143"/>
      <c r="P565" s="143"/>
      <c r="Q565" s="143"/>
      <c r="R565" s="143"/>
      <c r="S565" s="143"/>
      <c r="T565" s="143"/>
      <c r="U565" s="143"/>
      <c r="V565" s="143"/>
      <c r="W565" s="143"/>
      <c r="X565" s="143"/>
      <c r="Y565" s="143"/>
      <c r="Z565" s="143"/>
      <c r="AA565" s="143"/>
      <c r="AB565" s="143"/>
      <c r="AC565" s="143"/>
      <c r="AD565" s="143"/>
      <c r="AE565" s="143"/>
      <c r="AF565" s="143"/>
      <c r="AG565" s="143"/>
      <c r="AH565" s="143"/>
      <c r="AI565" s="143"/>
      <c r="AJ565" s="143"/>
      <c r="AK565" s="143"/>
      <c r="AL565" s="143"/>
      <c r="AM565" s="143"/>
    </row>
    <row r="566" spans="1:39" ht="12.75" customHeight="1" x14ac:dyDescent="0.25">
      <c r="A566" s="143"/>
      <c r="B566" s="143"/>
      <c r="C566" s="143"/>
      <c r="D566" s="143"/>
      <c r="E566" s="143"/>
      <c r="F566" s="143"/>
      <c r="G566" s="143"/>
      <c r="H566" s="143"/>
      <c r="I566" s="143"/>
      <c r="J566" s="143"/>
      <c r="K566" s="143"/>
      <c r="L566" s="143"/>
      <c r="M566" s="143"/>
      <c r="N566" s="143"/>
      <c r="O566" s="143"/>
      <c r="P566" s="143"/>
      <c r="Q566" s="143"/>
      <c r="R566" s="143"/>
      <c r="S566" s="143"/>
      <c r="T566" s="143"/>
      <c r="U566" s="143"/>
      <c r="V566" s="143"/>
      <c r="W566" s="143"/>
      <c r="X566" s="143"/>
      <c r="Y566" s="143"/>
      <c r="Z566" s="143"/>
      <c r="AA566" s="143"/>
      <c r="AB566" s="143"/>
      <c r="AC566" s="143"/>
      <c r="AD566" s="143"/>
      <c r="AE566" s="143"/>
      <c r="AF566" s="143"/>
      <c r="AG566" s="143"/>
      <c r="AH566" s="143"/>
      <c r="AI566" s="143"/>
      <c r="AJ566" s="143"/>
      <c r="AK566" s="143"/>
      <c r="AL566" s="143"/>
      <c r="AM566" s="143"/>
    </row>
    <row r="567" spans="1:39" ht="12.75" customHeight="1" x14ac:dyDescent="0.25">
      <c r="A567" s="143"/>
      <c r="B567" s="143"/>
      <c r="C567" s="143"/>
      <c r="D567" s="143"/>
      <c r="E567" s="143"/>
      <c r="F567" s="143"/>
      <c r="G567" s="143"/>
      <c r="H567" s="143"/>
      <c r="I567" s="143"/>
      <c r="J567" s="143"/>
      <c r="K567" s="143"/>
      <c r="L567" s="143"/>
      <c r="M567" s="143"/>
      <c r="N567" s="143"/>
      <c r="O567" s="143"/>
      <c r="P567" s="143"/>
      <c r="Q567" s="143"/>
      <c r="R567" s="143"/>
      <c r="S567" s="143"/>
      <c r="T567" s="143"/>
      <c r="U567" s="143"/>
      <c r="V567" s="143"/>
      <c r="W567" s="143"/>
      <c r="X567" s="143"/>
      <c r="Y567" s="143"/>
      <c r="Z567" s="143"/>
      <c r="AA567" s="143"/>
      <c r="AB567" s="143"/>
      <c r="AC567" s="143"/>
      <c r="AD567" s="143"/>
      <c r="AE567" s="143"/>
      <c r="AF567" s="143"/>
      <c r="AG567" s="143"/>
      <c r="AH567" s="143"/>
      <c r="AI567" s="143"/>
      <c r="AJ567" s="143"/>
      <c r="AK567" s="143"/>
      <c r="AL567" s="143"/>
      <c r="AM567" s="143"/>
    </row>
    <row r="568" spans="1:39" ht="12.75" customHeight="1" x14ac:dyDescent="0.25">
      <c r="A568" s="143"/>
      <c r="B568" s="143"/>
      <c r="C568" s="143"/>
      <c r="D568" s="143"/>
      <c r="E568" s="143"/>
      <c r="F568" s="143"/>
      <c r="G568" s="143"/>
      <c r="H568" s="143"/>
      <c r="I568" s="143"/>
      <c r="J568" s="143"/>
      <c r="K568" s="143"/>
      <c r="L568" s="143"/>
      <c r="M568" s="143"/>
      <c r="N568" s="143"/>
      <c r="O568" s="143"/>
      <c r="P568" s="143"/>
      <c r="Q568" s="143"/>
      <c r="R568" s="143"/>
      <c r="S568" s="143"/>
      <c r="T568" s="143"/>
      <c r="U568" s="143"/>
      <c r="V568" s="143"/>
      <c r="W568" s="143"/>
      <c r="X568" s="143"/>
      <c r="Y568" s="143"/>
      <c r="Z568" s="143"/>
      <c r="AA568" s="143"/>
      <c r="AB568" s="143"/>
      <c r="AC568" s="143"/>
      <c r="AD568" s="143"/>
      <c r="AE568" s="143"/>
      <c r="AF568" s="143"/>
      <c r="AG568" s="143"/>
      <c r="AH568" s="143"/>
      <c r="AI568" s="143"/>
      <c r="AJ568" s="143"/>
      <c r="AK568" s="143"/>
      <c r="AL568" s="143"/>
      <c r="AM568" s="143"/>
    </row>
    <row r="569" spans="1:39" ht="12.75" customHeight="1" x14ac:dyDescent="0.25">
      <c r="A569" s="143"/>
      <c r="B569" s="143"/>
      <c r="C569" s="143"/>
      <c r="D569" s="143"/>
      <c r="E569" s="143"/>
      <c r="F569" s="143"/>
      <c r="G569" s="143"/>
      <c r="H569" s="143"/>
      <c r="I569" s="143"/>
      <c r="J569" s="143"/>
      <c r="K569" s="143"/>
      <c r="L569" s="143"/>
      <c r="M569" s="143"/>
      <c r="N569" s="143"/>
      <c r="O569" s="143"/>
      <c r="P569" s="143"/>
      <c r="Q569" s="143"/>
      <c r="R569" s="143"/>
      <c r="S569" s="143"/>
      <c r="T569" s="143"/>
      <c r="U569" s="143"/>
      <c r="V569" s="143"/>
      <c r="W569" s="143"/>
      <c r="X569" s="143"/>
      <c r="Y569" s="143"/>
      <c r="Z569" s="143"/>
      <c r="AA569" s="143"/>
      <c r="AB569" s="143"/>
      <c r="AC569" s="143"/>
      <c r="AD569" s="143"/>
      <c r="AE569" s="143"/>
      <c r="AF569" s="143"/>
      <c r="AG569" s="143"/>
      <c r="AH569" s="143"/>
      <c r="AI569" s="143"/>
      <c r="AJ569" s="143"/>
      <c r="AK569" s="143"/>
      <c r="AL569" s="143"/>
      <c r="AM569" s="143"/>
    </row>
    <row r="570" spans="1:39" ht="12.75" customHeight="1" x14ac:dyDescent="0.25">
      <c r="A570" s="143"/>
      <c r="B570" s="143"/>
      <c r="C570" s="143"/>
      <c r="D570" s="143"/>
      <c r="E570" s="143"/>
      <c r="F570" s="143"/>
      <c r="G570" s="143"/>
      <c r="H570" s="143"/>
      <c r="I570" s="143"/>
      <c r="J570" s="143"/>
      <c r="K570" s="143"/>
      <c r="L570" s="143"/>
      <c r="M570" s="143"/>
      <c r="N570" s="143"/>
      <c r="O570" s="143"/>
      <c r="P570" s="143"/>
      <c r="Q570" s="143"/>
      <c r="R570" s="143"/>
      <c r="S570" s="143"/>
      <c r="T570" s="143"/>
      <c r="U570" s="143"/>
      <c r="V570" s="143"/>
      <c r="W570" s="143"/>
      <c r="X570" s="143"/>
      <c r="Y570" s="143"/>
      <c r="Z570" s="143"/>
      <c r="AA570" s="143"/>
      <c r="AB570" s="143"/>
      <c r="AC570" s="143"/>
      <c r="AD570" s="143"/>
      <c r="AE570" s="143"/>
      <c r="AF570" s="143"/>
      <c r="AG570" s="143"/>
      <c r="AH570" s="143"/>
      <c r="AI570" s="143"/>
      <c r="AJ570" s="143"/>
      <c r="AK570" s="143"/>
      <c r="AL570" s="143"/>
      <c r="AM570" s="143"/>
    </row>
    <row r="571" spans="1:39" ht="12.75" customHeight="1" x14ac:dyDescent="0.25">
      <c r="A571" s="143"/>
      <c r="B571" s="143"/>
      <c r="C571" s="143"/>
      <c r="D571" s="143"/>
      <c r="E571" s="143"/>
      <c r="F571" s="143"/>
      <c r="G571" s="143"/>
      <c r="H571" s="143"/>
      <c r="I571" s="143"/>
      <c r="J571" s="143"/>
      <c r="K571" s="143"/>
      <c r="L571" s="143"/>
      <c r="M571" s="143"/>
      <c r="N571" s="143"/>
      <c r="O571" s="143"/>
      <c r="P571" s="143"/>
      <c r="Q571" s="143"/>
      <c r="R571" s="143"/>
      <c r="S571" s="143"/>
      <c r="T571" s="143"/>
      <c r="U571" s="143"/>
      <c r="V571" s="143"/>
      <c r="W571" s="143"/>
      <c r="X571" s="143"/>
      <c r="Y571" s="143"/>
      <c r="Z571" s="143"/>
      <c r="AA571" s="143"/>
      <c r="AB571" s="143"/>
      <c r="AC571" s="143"/>
      <c r="AD571" s="143"/>
      <c r="AE571" s="143"/>
      <c r="AF571" s="143"/>
      <c r="AG571" s="143"/>
      <c r="AH571" s="143"/>
      <c r="AI571" s="143"/>
      <c r="AJ571" s="143"/>
      <c r="AK571" s="143"/>
      <c r="AL571" s="143"/>
      <c r="AM571" s="143"/>
    </row>
    <row r="572" spans="1:39" ht="12.75" customHeight="1" x14ac:dyDescent="0.25">
      <c r="A572" s="143"/>
      <c r="B572" s="143"/>
      <c r="C572" s="143"/>
      <c r="D572" s="143"/>
      <c r="E572" s="143"/>
      <c r="F572" s="143"/>
      <c r="G572" s="143"/>
      <c r="H572" s="143"/>
      <c r="I572" s="143"/>
      <c r="J572" s="143"/>
      <c r="K572" s="143"/>
      <c r="L572" s="143"/>
      <c r="M572" s="143"/>
      <c r="N572" s="143"/>
      <c r="O572" s="143"/>
      <c r="P572" s="143"/>
      <c r="Q572" s="143"/>
      <c r="R572" s="143"/>
      <c r="S572" s="143"/>
      <c r="T572" s="143"/>
      <c r="U572" s="143"/>
      <c r="V572" s="143"/>
      <c r="W572" s="143"/>
      <c r="X572" s="143"/>
      <c r="Y572" s="143"/>
      <c r="Z572" s="143"/>
      <c r="AA572" s="143"/>
      <c r="AB572" s="143"/>
      <c r="AC572" s="143"/>
      <c r="AD572" s="143"/>
      <c r="AE572" s="143"/>
      <c r="AF572" s="143"/>
      <c r="AG572" s="143"/>
      <c r="AH572" s="143"/>
      <c r="AI572" s="143"/>
      <c r="AJ572" s="143"/>
      <c r="AK572" s="143"/>
      <c r="AL572" s="143"/>
      <c r="AM572" s="143"/>
    </row>
    <row r="573" spans="1:39" ht="12.75" customHeight="1" x14ac:dyDescent="0.25">
      <c r="A573" s="143"/>
      <c r="B573" s="143"/>
      <c r="C573" s="143"/>
      <c r="D573" s="143"/>
      <c r="E573" s="143"/>
      <c r="F573" s="143"/>
      <c r="G573" s="143"/>
      <c r="H573" s="143"/>
      <c r="I573" s="143"/>
      <c r="J573" s="143"/>
      <c r="K573" s="143"/>
      <c r="L573" s="143"/>
      <c r="M573" s="143"/>
      <c r="N573" s="143"/>
      <c r="O573" s="143"/>
      <c r="P573" s="143"/>
      <c r="Q573" s="143"/>
      <c r="R573" s="143"/>
      <c r="S573" s="143"/>
      <c r="T573" s="143"/>
      <c r="U573" s="143"/>
      <c r="V573" s="143"/>
      <c r="W573" s="143"/>
      <c r="X573" s="143"/>
      <c r="Y573" s="143"/>
      <c r="Z573" s="143"/>
      <c r="AA573" s="143"/>
      <c r="AB573" s="143"/>
      <c r="AC573" s="143"/>
      <c r="AD573" s="143"/>
      <c r="AE573" s="143"/>
      <c r="AF573" s="143"/>
      <c r="AG573" s="143"/>
      <c r="AH573" s="143"/>
      <c r="AI573" s="143"/>
      <c r="AJ573" s="143"/>
      <c r="AK573" s="143"/>
      <c r="AL573" s="143"/>
      <c r="AM573" s="143"/>
    </row>
    <row r="574" spans="1:39" ht="12.75" customHeight="1" x14ac:dyDescent="0.25">
      <c r="A574" s="143"/>
      <c r="B574" s="143"/>
      <c r="C574" s="143"/>
      <c r="D574" s="143"/>
      <c r="E574" s="143"/>
      <c r="F574" s="143"/>
      <c r="G574" s="143"/>
      <c r="H574" s="143"/>
      <c r="I574" s="143"/>
      <c r="J574" s="143"/>
      <c r="K574" s="143"/>
      <c r="L574" s="143"/>
      <c r="M574" s="143"/>
      <c r="N574" s="143"/>
      <c r="O574" s="143"/>
      <c r="P574" s="143"/>
      <c r="Q574" s="143"/>
      <c r="R574" s="143"/>
      <c r="S574" s="143"/>
      <c r="T574" s="143"/>
      <c r="U574" s="143"/>
      <c r="V574" s="143"/>
      <c r="W574" s="143"/>
      <c r="X574" s="143"/>
      <c r="Y574" s="143"/>
      <c r="Z574" s="143"/>
      <c r="AA574" s="143"/>
      <c r="AB574" s="143"/>
      <c r="AC574" s="143"/>
      <c r="AD574" s="143"/>
      <c r="AE574" s="143"/>
      <c r="AF574" s="143"/>
      <c r="AG574" s="143"/>
      <c r="AH574" s="143"/>
      <c r="AI574" s="143"/>
      <c r="AJ574" s="143"/>
      <c r="AK574" s="143"/>
      <c r="AL574" s="143"/>
      <c r="AM574" s="143"/>
    </row>
    <row r="575" spans="1:39" ht="12.75" customHeight="1" x14ac:dyDescent="0.25">
      <c r="A575" s="143"/>
      <c r="B575" s="143"/>
      <c r="C575" s="143"/>
      <c r="D575" s="143"/>
      <c r="E575" s="143"/>
      <c r="F575" s="143"/>
      <c r="G575" s="143"/>
      <c r="H575" s="143"/>
      <c r="I575" s="143"/>
      <c r="J575" s="143"/>
      <c r="K575" s="143"/>
      <c r="L575" s="143"/>
      <c r="M575" s="143"/>
      <c r="N575" s="143"/>
      <c r="O575" s="143"/>
      <c r="P575" s="143"/>
      <c r="Q575" s="143"/>
      <c r="R575" s="143"/>
      <c r="S575" s="143"/>
      <c r="T575" s="143"/>
      <c r="U575" s="143"/>
      <c r="V575" s="143"/>
      <c r="W575" s="143"/>
      <c r="X575" s="143"/>
      <c r="Y575" s="143"/>
      <c r="Z575" s="143"/>
      <c r="AA575" s="143"/>
      <c r="AB575" s="143"/>
      <c r="AC575" s="143"/>
      <c r="AD575" s="143"/>
      <c r="AE575" s="143"/>
      <c r="AF575" s="143"/>
      <c r="AG575" s="143"/>
      <c r="AH575" s="143"/>
      <c r="AI575" s="143"/>
      <c r="AJ575" s="143"/>
      <c r="AK575" s="143"/>
      <c r="AL575" s="143"/>
      <c r="AM575" s="143"/>
    </row>
    <row r="576" spans="1:39" ht="12.75" customHeight="1" x14ac:dyDescent="0.25">
      <c r="A576" s="143"/>
      <c r="B576" s="143"/>
      <c r="C576" s="143"/>
      <c r="D576" s="143"/>
      <c r="E576" s="143"/>
      <c r="F576" s="143"/>
      <c r="G576" s="143"/>
      <c r="H576" s="143"/>
      <c r="I576" s="143"/>
      <c r="J576" s="143"/>
      <c r="K576" s="143"/>
      <c r="L576" s="143"/>
      <c r="M576" s="143"/>
      <c r="N576" s="143"/>
      <c r="O576" s="143"/>
      <c r="P576" s="143"/>
      <c r="Q576" s="143"/>
      <c r="R576" s="143"/>
      <c r="S576" s="143"/>
      <c r="T576" s="143"/>
      <c r="U576" s="143"/>
      <c r="V576" s="143"/>
      <c r="W576" s="143"/>
      <c r="X576" s="143"/>
      <c r="Y576" s="143"/>
      <c r="Z576" s="143"/>
      <c r="AA576" s="143"/>
      <c r="AB576" s="143"/>
      <c r="AC576" s="143"/>
      <c r="AD576" s="143"/>
      <c r="AE576" s="143"/>
      <c r="AF576" s="143"/>
      <c r="AG576" s="143"/>
      <c r="AH576" s="143"/>
      <c r="AI576" s="143"/>
      <c r="AJ576" s="143"/>
      <c r="AK576" s="143"/>
      <c r="AL576" s="143"/>
      <c r="AM576" s="143"/>
    </row>
    <row r="577" spans="1:39" ht="12.75" customHeight="1" x14ac:dyDescent="0.25">
      <c r="A577" s="143"/>
      <c r="B577" s="143"/>
      <c r="C577" s="143"/>
      <c r="D577" s="143"/>
      <c r="E577" s="143"/>
      <c r="F577" s="143"/>
      <c r="G577" s="143"/>
      <c r="H577" s="143"/>
      <c r="I577" s="143"/>
      <c r="J577" s="143"/>
      <c r="K577" s="143"/>
      <c r="L577" s="143"/>
      <c r="M577" s="143"/>
      <c r="N577" s="143"/>
      <c r="O577" s="143"/>
      <c r="P577" s="143"/>
      <c r="Q577" s="143"/>
      <c r="R577" s="143"/>
      <c r="S577" s="143"/>
      <c r="T577" s="143"/>
      <c r="U577" s="143"/>
      <c r="V577" s="143"/>
      <c r="W577" s="143"/>
      <c r="X577" s="143"/>
      <c r="Y577" s="143"/>
      <c r="Z577" s="143"/>
      <c r="AA577" s="143"/>
      <c r="AB577" s="143"/>
      <c r="AC577" s="143"/>
      <c r="AD577" s="143"/>
      <c r="AE577" s="143"/>
      <c r="AF577" s="143"/>
      <c r="AG577" s="143"/>
      <c r="AH577" s="143"/>
      <c r="AI577" s="143"/>
      <c r="AJ577" s="143"/>
      <c r="AK577" s="143"/>
      <c r="AL577" s="143"/>
      <c r="AM577" s="143"/>
    </row>
    <row r="578" spans="1:39" ht="12.75" customHeight="1" x14ac:dyDescent="0.25">
      <c r="A578" s="143"/>
      <c r="B578" s="143"/>
      <c r="C578" s="143"/>
      <c r="D578" s="143"/>
      <c r="E578" s="143"/>
      <c r="F578" s="143"/>
      <c r="G578" s="143"/>
      <c r="H578" s="143"/>
      <c r="I578" s="143"/>
      <c r="J578" s="143"/>
      <c r="K578" s="143"/>
      <c r="L578" s="143"/>
      <c r="M578" s="143"/>
      <c r="N578" s="143"/>
      <c r="O578" s="143"/>
      <c r="P578" s="143"/>
      <c r="Q578" s="143"/>
      <c r="R578" s="143"/>
      <c r="S578" s="143"/>
      <c r="T578" s="143"/>
      <c r="U578" s="143"/>
      <c r="V578" s="143"/>
      <c r="W578" s="143"/>
      <c r="X578" s="143"/>
      <c r="Y578" s="143"/>
      <c r="Z578" s="143"/>
      <c r="AA578" s="143"/>
      <c r="AB578" s="143"/>
      <c r="AC578" s="143"/>
      <c r="AD578" s="143"/>
      <c r="AE578" s="143"/>
      <c r="AF578" s="143"/>
      <c r="AG578" s="143"/>
      <c r="AH578" s="143"/>
      <c r="AI578" s="143"/>
      <c r="AJ578" s="143"/>
      <c r="AK578" s="143"/>
      <c r="AL578" s="143"/>
      <c r="AM578" s="143"/>
    </row>
    <row r="579" spans="1:39" ht="12.75" customHeight="1" x14ac:dyDescent="0.25">
      <c r="A579" s="143"/>
      <c r="B579" s="143"/>
      <c r="C579" s="143"/>
      <c r="D579" s="143"/>
      <c r="E579" s="143"/>
      <c r="F579" s="143"/>
      <c r="G579" s="143"/>
      <c r="H579" s="143"/>
      <c r="I579" s="143"/>
      <c r="J579" s="143"/>
      <c r="K579" s="143"/>
      <c r="L579" s="143"/>
      <c r="M579" s="143"/>
      <c r="N579" s="143"/>
      <c r="O579" s="143"/>
      <c r="P579" s="143"/>
      <c r="Q579" s="143"/>
      <c r="R579" s="143"/>
      <c r="S579" s="143"/>
      <c r="T579" s="143"/>
      <c r="U579" s="143"/>
      <c r="V579" s="143"/>
      <c r="W579" s="143"/>
      <c r="X579" s="143"/>
      <c r="Y579" s="143"/>
      <c r="Z579" s="143"/>
      <c r="AA579" s="143"/>
      <c r="AB579" s="143"/>
      <c r="AC579" s="143"/>
      <c r="AD579" s="143"/>
      <c r="AE579" s="143"/>
      <c r="AF579" s="143"/>
      <c r="AG579" s="143"/>
      <c r="AH579" s="143"/>
      <c r="AI579" s="143"/>
      <c r="AJ579" s="143"/>
      <c r="AK579" s="143"/>
      <c r="AL579" s="143"/>
      <c r="AM579" s="143"/>
    </row>
    <row r="580" spans="1:39" ht="12.75" customHeight="1" x14ac:dyDescent="0.25">
      <c r="A580" s="143"/>
      <c r="B580" s="143"/>
      <c r="C580" s="143"/>
      <c r="D580" s="143"/>
      <c r="E580" s="143"/>
      <c r="F580" s="143"/>
      <c r="G580" s="143"/>
      <c r="H580" s="143"/>
      <c r="I580" s="143"/>
      <c r="J580" s="143"/>
      <c r="K580" s="143"/>
      <c r="L580" s="143"/>
      <c r="M580" s="143"/>
      <c r="N580" s="143"/>
      <c r="O580" s="143"/>
      <c r="P580" s="143"/>
      <c r="Q580" s="143"/>
      <c r="R580" s="143"/>
      <c r="S580" s="143"/>
      <c r="T580" s="143"/>
      <c r="U580" s="143"/>
      <c r="V580" s="143"/>
      <c r="W580" s="143"/>
      <c r="X580" s="143"/>
      <c r="Y580" s="143"/>
      <c r="Z580" s="143"/>
      <c r="AA580" s="143"/>
      <c r="AB580" s="143"/>
      <c r="AC580" s="143"/>
      <c r="AD580" s="143"/>
      <c r="AE580" s="143"/>
      <c r="AF580" s="143"/>
      <c r="AG580" s="143"/>
      <c r="AH580" s="143"/>
      <c r="AI580" s="143"/>
      <c r="AJ580" s="143"/>
      <c r="AK580" s="143"/>
      <c r="AL580" s="143"/>
      <c r="AM580" s="143"/>
    </row>
    <row r="581" spans="1:39" ht="12.75" customHeight="1" x14ac:dyDescent="0.25">
      <c r="A581" s="143"/>
      <c r="B581" s="143"/>
      <c r="C581" s="143"/>
      <c r="D581" s="143"/>
      <c r="E581" s="143"/>
      <c r="F581" s="143"/>
      <c r="G581" s="143"/>
      <c r="H581" s="143"/>
      <c r="I581" s="143"/>
      <c r="J581" s="143"/>
      <c r="K581" s="143"/>
      <c r="L581" s="143"/>
      <c r="M581" s="143"/>
      <c r="N581" s="143"/>
      <c r="O581" s="143"/>
      <c r="P581" s="143"/>
      <c r="Q581" s="143"/>
      <c r="R581" s="143"/>
      <c r="S581" s="143"/>
      <c r="T581" s="143"/>
      <c r="U581" s="143"/>
      <c r="V581" s="143"/>
      <c r="W581" s="143"/>
      <c r="X581" s="143"/>
      <c r="Y581" s="143"/>
      <c r="Z581" s="143"/>
      <c r="AA581" s="143"/>
      <c r="AB581" s="143"/>
      <c r="AC581" s="143"/>
      <c r="AD581" s="143"/>
      <c r="AE581" s="143"/>
      <c r="AF581" s="143"/>
      <c r="AG581" s="143"/>
      <c r="AH581" s="143"/>
      <c r="AI581" s="143"/>
      <c r="AJ581" s="143"/>
      <c r="AK581" s="143"/>
      <c r="AL581" s="143"/>
      <c r="AM581" s="143"/>
    </row>
    <row r="582" spans="1:39" ht="12.75" customHeight="1" x14ac:dyDescent="0.25">
      <c r="A582" s="143"/>
      <c r="B582" s="143"/>
      <c r="C582" s="143"/>
      <c r="D582" s="143"/>
      <c r="E582" s="143"/>
      <c r="F582" s="143"/>
      <c r="G582" s="143"/>
      <c r="H582" s="143"/>
      <c r="I582" s="143"/>
      <c r="J582" s="143"/>
      <c r="K582" s="143"/>
      <c r="L582" s="143"/>
      <c r="M582" s="143"/>
      <c r="N582" s="143"/>
      <c r="O582" s="143"/>
      <c r="P582" s="143"/>
      <c r="Q582" s="143"/>
      <c r="R582" s="143"/>
      <c r="S582" s="143"/>
      <c r="T582" s="143"/>
      <c r="U582" s="143"/>
      <c r="V582" s="143"/>
      <c r="W582" s="143"/>
      <c r="X582" s="143"/>
      <c r="Y582" s="143"/>
      <c r="Z582" s="143"/>
      <c r="AA582" s="143"/>
      <c r="AB582" s="143"/>
      <c r="AC582" s="143"/>
      <c r="AD582" s="143"/>
      <c r="AE582" s="143"/>
      <c r="AF582" s="143"/>
      <c r="AG582" s="143"/>
      <c r="AH582" s="143"/>
      <c r="AI582" s="143"/>
      <c r="AJ582" s="143"/>
      <c r="AK582" s="143"/>
      <c r="AL582" s="143"/>
      <c r="AM582" s="143"/>
    </row>
    <row r="583" spans="1:39" ht="12.75" customHeight="1" x14ac:dyDescent="0.25">
      <c r="A583" s="143"/>
      <c r="B583" s="143"/>
      <c r="C583" s="143"/>
      <c r="D583" s="143"/>
      <c r="E583" s="143"/>
      <c r="F583" s="143"/>
      <c r="G583" s="143"/>
      <c r="H583" s="143"/>
      <c r="I583" s="143"/>
      <c r="J583" s="143"/>
      <c r="K583" s="143"/>
      <c r="L583" s="143"/>
      <c r="M583" s="143"/>
      <c r="N583" s="143"/>
      <c r="O583" s="143"/>
      <c r="P583" s="143"/>
      <c r="Q583" s="143"/>
      <c r="R583" s="143"/>
      <c r="S583" s="143"/>
      <c r="T583" s="143"/>
      <c r="U583" s="143"/>
      <c r="V583" s="143"/>
      <c r="W583" s="143"/>
      <c r="X583" s="143"/>
      <c r="Y583" s="143"/>
      <c r="Z583" s="143"/>
      <c r="AA583" s="143"/>
      <c r="AB583" s="143"/>
      <c r="AC583" s="143"/>
      <c r="AD583" s="143"/>
      <c r="AE583" s="143"/>
      <c r="AF583" s="143"/>
      <c r="AG583" s="143"/>
      <c r="AH583" s="143"/>
      <c r="AI583" s="143"/>
      <c r="AJ583" s="143"/>
      <c r="AK583" s="143"/>
      <c r="AL583" s="143"/>
      <c r="AM583" s="143"/>
    </row>
    <row r="584" spans="1:39" ht="12.75" customHeight="1" x14ac:dyDescent="0.25">
      <c r="A584" s="143"/>
      <c r="B584" s="143"/>
      <c r="C584" s="143"/>
      <c r="D584" s="143"/>
      <c r="E584" s="143"/>
      <c r="F584" s="143"/>
      <c r="G584" s="143"/>
      <c r="H584" s="143"/>
      <c r="I584" s="143"/>
      <c r="J584" s="143"/>
      <c r="K584" s="143"/>
      <c r="L584" s="143"/>
      <c r="M584" s="143"/>
      <c r="N584" s="143"/>
      <c r="O584" s="143"/>
      <c r="P584" s="143"/>
      <c r="Q584" s="143"/>
      <c r="R584" s="143"/>
      <c r="S584" s="143"/>
      <c r="T584" s="143"/>
      <c r="U584" s="143"/>
      <c r="V584" s="143"/>
      <c r="W584" s="143"/>
      <c r="X584" s="143"/>
      <c r="Y584" s="143"/>
      <c r="Z584" s="143"/>
      <c r="AA584" s="143"/>
      <c r="AB584" s="143"/>
      <c r="AC584" s="143"/>
      <c r="AD584" s="143"/>
      <c r="AE584" s="143"/>
      <c r="AF584" s="143"/>
      <c r="AG584" s="143"/>
      <c r="AH584" s="143"/>
      <c r="AI584" s="143"/>
      <c r="AJ584" s="143"/>
      <c r="AK584" s="143"/>
      <c r="AL584" s="143"/>
      <c r="AM584" s="143"/>
    </row>
    <row r="585" spans="1:39" ht="12.75" customHeight="1" x14ac:dyDescent="0.25">
      <c r="A585" s="143"/>
      <c r="B585" s="143"/>
      <c r="C585" s="143"/>
      <c r="D585" s="143"/>
      <c r="E585" s="143"/>
      <c r="F585" s="143"/>
      <c r="G585" s="143"/>
      <c r="H585" s="143"/>
      <c r="I585" s="143"/>
      <c r="J585" s="143"/>
      <c r="K585" s="143"/>
      <c r="L585" s="143"/>
      <c r="M585" s="143"/>
      <c r="N585" s="143"/>
      <c r="O585" s="143"/>
      <c r="P585" s="143"/>
      <c r="Q585" s="143"/>
      <c r="R585" s="143"/>
      <c r="S585" s="143"/>
      <c r="T585" s="143"/>
      <c r="U585" s="143"/>
      <c r="V585" s="143"/>
      <c r="W585" s="143"/>
      <c r="X585" s="143"/>
      <c r="Y585" s="143"/>
      <c r="Z585" s="143"/>
      <c r="AA585" s="143"/>
      <c r="AB585" s="143"/>
      <c r="AC585" s="143"/>
      <c r="AD585" s="143"/>
      <c r="AE585" s="143"/>
      <c r="AF585" s="143"/>
      <c r="AG585" s="143"/>
      <c r="AH585" s="143"/>
      <c r="AI585" s="143"/>
      <c r="AJ585" s="143"/>
      <c r="AK585" s="143"/>
      <c r="AL585" s="143"/>
      <c r="AM585" s="143"/>
    </row>
    <row r="586" spans="1:39" ht="12.75" customHeight="1" x14ac:dyDescent="0.25">
      <c r="A586" s="143"/>
      <c r="B586" s="143"/>
      <c r="C586" s="143"/>
      <c r="D586" s="143"/>
      <c r="E586" s="143"/>
      <c r="F586" s="143"/>
      <c r="G586" s="143"/>
      <c r="H586" s="143"/>
      <c r="I586" s="143"/>
      <c r="J586" s="143"/>
      <c r="K586" s="143"/>
      <c r="L586" s="143"/>
      <c r="M586" s="143"/>
      <c r="N586" s="143"/>
      <c r="O586" s="143"/>
      <c r="P586" s="143"/>
      <c r="Q586" s="143"/>
      <c r="R586" s="143"/>
      <c r="S586" s="143"/>
      <c r="T586" s="143"/>
      <c r="U586" s="143"/>
      <c r="V586" s="143"/>
      <c r="W586" s="143"/>
      <c r="X586" s="143"/>
      <c r="Y586" s="143"/>
      <c r="Z586" s="143"/>
      <c r="AA586" s="143"/>
      <c r="AB586" s="143"/>
      <c r="AC586" s="143"/>
      <c r="AD586" s="143"/>
      <c r="AE586" s="143"/>
      <c r="AF586" s="143"/>
      <c r="AG586" s="143"/>
      <c r="AH586" s="143"/>
      <c r="AI586" s="143"/>
      <c r="AJ586" s="143"/>
      <c r="AK586" s="143"/>
      <c r="AL586" s="143"/>
      <c r="AM586" s="143"/>
    </row>
    <row r="587" spans="1:39" ht="12.75" customHeight="1" x14ac:dyDescent="0.25">
      <c r="A587" s="143"/>
      <c r="B587" s="143"/>
      <c r="C587" s="143"/>
      <c r="D587" s="143"/>
      <c r="E587" s="143"/>
      <c r="F587" s="143"/>
      <c r="G587" s="143"/>
      <c r="H587" s="143"/>
      <c r="I587" s="143"/>
      <c r="J587" s="143"/>
      <c r="K587" s="143"/>
      <c r="L587" s="143"/>
      <c r="M587" s="143"/>
      <c r="N587" s="143"/>
      <c r="O587" s="143"/>
      <c r="P587" s="143"/>
      <c r="Q587" s="143"/>
      <c r="R587" s="143"/>
      <c r="S587" s="143"/>
      <c r="T587" s="143"/>
      <c r="U587" s="143"/>
      <c r="V587" s="143"/>
      <c r="W587" s="143"/>
      <c r="X587" s="143"/>
      <c r="Y587" s="143"/>
      <c r="Z587" s="143"/>
      <c r="AA587" s="143"/>
      <c r="AB587" s="143"/>
      <c r="AC587" s="143"/>
      <c r="AD587" s="143"/>
      <c r="AE587" s="143"/>
      <c r="AF587" s="143"/>
      <c r="AG587" s="143"/>
      <c r="AH587" s="143"/>
      <c r="AI587" s="143"/>
      <c r="AJ587" s="143"/>
      <c r="AK587" s="143"/>
      <c r="AL587" s="143"/>
      <c r="AM587" s="143"/>
    </row>
    <row r="588" spans="1:39" ht="12.75" customHeight="1" x14ac:dyDescent="0.25">
      <c r="A588" s="143"/>
      <c r="B588" s="143"/>
      <c r="C588" s="143"/>
      <c r="D588" s="143"/>
      <c r="E588" s="143"/>
      <c r="F588" s="143"/>
      <c r="G588" s="143"/>
      <c r="H588" s="143"/>
      <c r="I588" s="143"/>
      <c r="J588" s="143"/>
      <c r="K588" s="143"/>
      <c r="L588" s="143"/>
      <c r="M588" s="143"/>
      <c r="N588" s="143"/>
      <c r="O588" s="143"/>
      <c r="P588" s="143"/>
      <c r="Q588" s="143"/>
      <c r="R588" s="143"/>
      <c r="S588" s="143"/>
      <c r="T588" s="143"/>
      <c r="U588" s="143"/>
      <c r="V588" s="143"/>
      <c r="W588" s="143"/>
      <c r="X588" s="143"/>
      <c r="Y588" s="143"/>
      <c r="Z588" s="143"/>
      <c r="AA588" s="143"/>
      <c r="AB588" s="143"/>
      <c r="AC588" s="143"/>
      <c r="AD588" s="143"/>
      <c r="AE588" s="143"/>
      <c r="AF588" s="143"/>
      <c r="AG588" s="143"/>
      <c r="AH588" s="143"/>
      <c r="AI588" s="143"/>
      <c r="AJ588" s="143"/>
      <c r="AK588" s="143"/>
      <c r="AL588" s="143"/>
      <c r="AM588" s="143"/>
    </row>
    <row r="589" spans="1:39" ht="12.75" customHeight="1" x14ac:dyDescent="0.25">
      <c r="A589" s="143"/>
      <c r="B589" s="143"/>
      <c r="C589" s="143"/>
      <c r="D589" s="143"/>
      <c r="E589" s="143"/>
      <c r="F589" s="143"/>
      <c r="G589" s="143"/>
      <c r="H589" s="143"/>
      <c r="I589" s="143"/>
      <c r="J589" s="143"/>
      <c r="K589" s="143"/>
      <c r="L589" s="143"/>
      <c r="M589" s="143"/>
      <c r="N589" s="143"/>
      <c r="O589" s="143"/>
      <c r="P589" s="143"/>
      <c r="Q589" s="143"/>
      <c r="R589" s="143"/>
      <c r="S589" s="143"/>
      <c r="T589" s="143"/>
      <c r="U589" s="143"/>
      <c r="V589" s="143"/>
      <c r="W589" s="143"/>
      <c r="X589" s="143"/>
      <c r="Y589" s="143"/>
      <c r="Z589" s="143"/>
      <c r="AA589" s="143"/>
      <c r="AB589" s="143"/>
      <c r="AC589" s="143"/>
      <c r="AD589" s="143"/>
      <c r="AE589" s="143"/>
      <c r="AF589" s="143"/>
      <c r="AG589" s="143"/>
      <c r="AH589" s="143"/>
      <c r="AI589" s="143"/>
      <c r="AJ589" s="143"/>
      <c r="AK589" s="143"/>
      <c r="AL589" s="143"/>
      <c r="AM589" s="143"/>
    </row>
    <row r="590" spans="1:39" ht="12.75" customHeight="1" x14ac:dyDescent="0.25">
      <c r="A590" s="143"/>
      <c r="B590" s="143"/>
      <c r="C590" s="143"/>
      <c r="D590" s="143"/>
      <c r="E590" s="143"/>
      <c r="F590" s="143"/>
      <c r="G590" s="143"/>
      <c r="H590" s="143"/>
      <c r="I590" s="143"/>
      <c r="J590" s="143"/>
      <c r="K590" s="143"/>
      <c r="L590" s="143"/>
      <c r="M590" s="143"/>
      <c r="N590" s="143"/>
      <c r="O590" s="143"/>
      <c r="P590" s="143"/>
      <c r="Q590" s="143"/>
      <c r="R590" s="143"/>
      <c r="S590" s="143"/>
      <c r="T590" s="143"/>
      <c r="U590" s="143"/>
      <c r="V590" s="143"/>
      <c r="W590" s="143"/>
      <c r="X590" s="143"/>
      <c r="Y590" s="143"/>
      <c r="Z590" s="143"/>
      <c r="AA590" s="143"/>
      <c r="AB590" s="143"/>
      <c r="AC590" s="143"/>
      <c r="AD590" s="143"/>
      <c r="AE590" s="143"/>
      <c r="AF590" s="143"/>
      <c r="AG590" s="143"/>
      <c r="AH590" s="143"/>
      <c r="AI590" s="143"/>
      <c r="AJ590" s="143"/>
      <c r="AK590" s="143"/>
      <c r="AL590" s="143"/>
      <c r="AM590" s="143"/>
    </row>
    <row r="591" spans="1:39" ht="12.75" customHeight="1" x14ac:dyDescent="0.25">
      <c r="A591" s="143"/>
      <c r="B591" s="143"/>
      <c r="C591" s="143"/>
      <c r="D591" s="143"/>
      <c r="E591" s="143"/>
      <c r="F591" s="143"/>
      <c r="G591" s="143"/>
      <c r="H591" s="143"/>
      <c r="I591" s="143"/>
      <c r="J591" s="143"/>
      <c r="K591" s="143"/>
      <c r="L591" s="143"/>
      <c r="M591" s="143"/>
      <c r="N591" s="143"/>
      <c r="O591" s="143"/>
      <c r="P591" s="143"/>
      <c r="Q591" s="143"/>
      <c r="R591" s="143"/>
      <c r="S591" s="143"/>
      <c r="T591" s="143"/>
      <c r="U591" s="143"/>
      <c r="V591" s="143"/>
      <c r="W591" s="143"/>
      <c r="X591" s="143"/>
      <c r="Y591" s="143"/>
      <c r="Z591" s="143"/>
      <c r="AA591" s="143"/>
      <c r="AB591" s="143"/>
      <c r="AC591" s="143"/>
      <c r="AD591" s="143"/>
      <c r="AE591" s="143"/>
      <c r="AF591" s="143"/>
      <c r="AG591" s="143"/>
      <c r="AH591" s="143"/>
      <c r="AI591" s="143"/>
      <c r="AJ591" s="143"/>
      <c r="AK591" s="143"/>
      <c r="AL591" s="143"/>
      <c r="AM591" s="143"/>
    </row>
    <row r="592" spans="1:39" ht="12.75" customHeight="1" x14ac:dyDescent="0.25">
      <c r="A592" s="143"/>
      <c r="B592" s="143"/>
      <c r="C592" s="143"/>
      <c r="D592" s="143"/>
      <c r="E592" s="143"/>
      <c r="F592" s="143"/>
      <c r="G592" s="143"/>
      <c r="H592" s="143"/>
      <c r="I592" s="143"/>
      <c r="J592" s="143"/>
      <c r="K592" s="143"/>
      <c r="L592" s="143"/>
      <c r="M592" s="143"/>
      <c r="N592" s="143"/>
      <c r="O592" s="143"/>
      <c r="P592" s="143"/>
      <c r="Q592" s="143"/>
      <c r="R592" s="143"/>
      <c r="S592" s="143"/>
      <c r="T592" s="143"/>
      <c r="U592" s="143"/>
      <c r="V592" s="143"/>
      <c r="W592" s="143"/>
      <c r="X592" s="143"/>
      <c r="Y592" s="143"/>
      <c r="Z592" s="143"/>
      <c r="AA592" s="143"/>
      <c r="AB592" s="143"/>
      <c r="AC592" s="143"/>
      <c r="AD592" s="143"/>
      <c r="AE592" s="143"/>
      <c r="AF592" s="143"/>
      <c r="AG592" s="143"/>
      <c r="AH592" s="143"/>
      <c r="AI592" s="143"/>
      <c r="AJ592" s="143"/>
      <c r="AK592" s="143"/>
      <c r="AL592" s="143"/>
      <c r="AM592" s="143"/>
    </row>
    <row r="593" spans="1:39" ht="12.75" customHeight="1" x14ac:dyDescent="0.25">
      <c r="A593" s="143"/>
      <c r="B593" s="143"/>
      <c r="C593" s="143"/>
      <c r="D593" s="143"/>
      <c r="E593" s="143"/>
      <c r="F593" s="143"/>
      <c r="G593" s="143"/>
      <c r="H593" s="143"/>
      <c r="I593" s="143"/>
      <c r="J593" s="143"/>
      <c r="K593" s="143"/>
      <c r="L593" s="143"/>
      <c r="M593" s="143"/>
      <c r="N593" s="143"/>
      <c r="O593" s="143"/>
      <c r="P593" s="143"/>
      <c r="Q593" s="143"/>
      <c r="R593" s="143"/>
      <c r="S593" s="143"/>
      <c r="T593" s="143"/>
      <c r="U593" s="143"/>
      <c r="V593" s="143"/>
      <c r="W593" s="143"/>
      <c r="X593" s="143"/>
      <c r="Y593" s="143"/>
      <c r="Z593" s="143"/>
      <c r="AA593" s="143"/>
      <c r="AB593" s="143"/>
      <c r="AC593" s="143"/>
      <c r="AD593" s="143"/>
      <c r="AE593" s="143"/>
      <c r="AF593" s="143"/>
      <c r="AG593" s="143"/>
      <c r="AH593" s="143"/>
      <c r="AI593" s="143"/>
      <c r="AJ593" s="143"/>
      <c r="AK593" s="143"/>
      <c r="AL593" s="143"/>
      <c r="AM593" s="143"/>
    </row>
    <row r="594" spans="1:39" ht="12.75" customHeight="1" x14ac:dyDescent="0.25">
      <c r="A594" s="143"/>
      <c r="B594" s="143"/>
      <c r="C594" s="143"/>
      <c r="D594" s="143"/>
      <c r="E594" s="143"/>
      <c r="F594" s="143"/>
      <c r="G594" s="143"/>
      <c r="H594" s="143"/>
      <c r="I594" s="143"/>
      <c r="J594" s="143"/>
      <c r="K594" s="143"/>
      <c r="L594" s="143"/>
      <c r="M594" s="143"/>
      <c r="N594" s="143"/>
      <c r="O594" s="143"/>
      <c r="P594" s="143"/>
      <c r="Q594" s="143"/>
      <c r="R594" s="143"/>
      <c r="S594" s="143"/>
      <c r="T594" s="143"/>
      <c r="U594" s="143"/>
      <c r="V594" s="143"/>
      <c r="W594" s="143"/>
      <c r="X594" s="143"/>
      <c r="Y594" s="143"/>
      <c r="Z594" s="143"/>
      <c r="AA594" s="143"/>
      <c r="AB594" s="143"/>
      <c r="AC594" s="143"/>
      <c r="AD594" s="143"/>
      <c r="AE594" s="143"/>
      <c r="AF594" s="143"/>
      <c r="AG594" s="143"/>
      <c r="AH594" s="143"/>
      <c r="AI594" s="143"/>
      <c r="AJ594" s="143"/>
      <c r="AK594" s="143"/>
      <c r="AL594" s="143"/>
      <c r="AM594" s="143"/>
    </row>
    <row r="595" spans="1:39" ht="12.75" customHeight="1" x14ac:dyDescent="0.25">
      <c r="A595" s="143"/>
      <c r="B595" s="143"/>
      <c r="C595" s="143"/>
      <c r="D595" s="143"/>
      <c r="E595" s="143"/>
      <c r="F595" s="143"/>
      <c r="G595" s="143"/>
      <c r="H595" s="143"/>
      <c r="I595" s="143"/>
      <c r="J595" s="143"/>
      <c r="K595" s="143"/>
      <c r="L595" s="143"/>
      <c r="M595" s="143"/>
      <c r="N595" s="143"/>
      <c r="O595" s="143"/>
      <c r="P595" s="143"/>
      <c r="Q595" s="143"/>
      <c r="R595" s="143"/>
      <c r="S595" s="143"/>
      <c r="T595" s="143"/>
      <c r="U595" s="143"/>
      <c r="V595" s="143"/>
      <c r="W595" s="143"/>
      <c r="X595" s="143"/>
      <c r="Y595" s="143"/>
      <c r="Z595" s="143"/>
      <c r="AA595" s="143"/>
      <c r="AB595" s="143"/>
      <c r="AC595" s="143"/>
      <c r="AD595" s="143"/>
      <c r="AE595" s="143"/>
      <c r="AF595" s="143"/>
      <c r="AG595" s="143"/>
      <c r="AH595" s="143"/>
      <c r="AI595" s="143"/>
      <c r="AJ595" s="143"/>
      <c r="AK595" s="143"/>
      <c r="AL595" s="143"/>
      <c r="AM595" s="143"/>
    </row>
    <row r="596" spans="1:39" ht="12.75" customHeight="1" x14ac:dyDescent="0.25">
      <c r="A596" s="143"/>
      <c r="B596" s="143"/>
      <c r="C596" s="143"/>
      <c r="D596" s="143"/>
      <c r="E596" s="143"/>
      <c r="F596" s="143"/>
      <c r="G596" s="143"/>
      <c r="H596" s="143"/>
      <c r="I596" s="143"/>
      <c r="J596" s="143"/>
      <c r="K596" s="143"/>
      <c r="L596" s="143"/>
      <c r="M596" s="143"/>
      <c r="N596" s="143"/>
      <c r="O596" s="143"/>
      <c r="P596" s="143"/>
      <c r="Q596" s="143"/>
      <c r="R596" s="143"/>
      <c r="S596" s="143"/>
      <c r="T596" s="143"/>
      <c r="U596" s="143"/>
      <c r="V596" s="143"/>
      <c r="W596" s="143"/>
      <c r="X596" s="143"/>
      <c r="Y596" s="143"/>
      <c r="Z596" s="143"/>
      <c r="AA596" s="143"/>
      <c r="AB596" s="143"/>
      <c r="AC596" s="143"/>
      <c r="AD596" s="143"/>
      <c r="AE596" s="143"/>
      <c r="AF596" s="143"/>
      <c r="AG596" s="143"/>
      <c r="AH596" s="143"/>
      <c r="AI596" s="143"/>
      <c r="AJ596" s="143"/>
      <c r="AK596" s="143"/>
      <c r="AL596" s="143"/>
      <c r="AM596" s="143"/>
    </row>
    <row r="597" spans="1:39" ht="12.75" customHeight="1" x14ac:dyDescent="0.25">
      <c r="A597" s="143"/>
      <c r="B597" s="143"/>
      <c r="C597" s="143"/>
      <c r="D597" s="143"/>
      <c r="E597" s="143"/>
      <c r="F597" s="143"/>
      <c r="G597" s="143"/>
      <c r="H597" s="143"/>
      <c r="I597" s="143"/>
      <c r="J597" s="143"/>
      <c r="K597" s="143"/>
      <c r="L597" s="143"/>
      <c r="M597" s="143"/>
      <c r="N597" s="143"/>
      <c r="O597" s="143"/>
      <c r="P597" s="143"/>
      <c r="Q597" s="143"/>
      <c r="R597" s="143"/>
      <c r="S597" s="143"/>
      <c r="T597" s="143"/>
      <c r="U597" s="143"/>
      <c r="V597" s="143"/>
      <c r="W597" s="143"/>
      <c r="X597" s="143"/>
      <c r="Y597" s="143"/>
      <c r="Z597" s="143"/>
      <c r="AA597" s="143"/>
      <c r="AB597" s="143"/>
      <c r="AC597" s="143"/>
      <c r="AD597" s="143"/>
      <c r="AE597" s="143"/>
      <c r="AF597" s="143"/>
      <c r="AG597" s="143"/>
      <c r="AH597" s="143"/>
      <c r="AI597" s="143"/>
      <c r="AJ597" s="143"/>
      <c r="AK597" s="143"/>
      <c r="AL597" s="143"/>
      <c r="AM597" s="143"/>
    </row>
    <row r="598" spans="1:39" ht="12.75" customHeight="1" x14ac:dyDescent="0.25">
      <c r="A598" s="143"/>
      <c r="B598" s="143"/>
      <c r="C598" s="143"/>
      <c r="D598" s="143"/>
      <c r="E598" s="143"/>
      <c r="F598" s="143"/>
      <c r="G598" s="143"/>
      <c r="H598" s="143"/>
      <c r="I598" s="143"/>
      <c r="J598" s="143"/>
      <c r="K598" s="143"/>
      <c r="L598" s="143"/>
      <c r="M598" s="143"/>
      <c r="N598" s="143"/>
      <c r="O598" s="143"/>
      <c r="P598" s="143"/>
      <c r="Q598" s="143"/>
      <c r="R598" s="143"/>
      <c r="S598" s="143"/>
      <c r="T598" s="143"/>
      <c r="U598" s="143"/>
      <c r="V598" s="143"/>
      <c r="W598" s="143"/>
      <c r="X598" s="143"/>
      <c r="Y598" s="143"/>
      <c r="Z598" s="143"/>
      <c r="AA598" s="143"/>
      <c r="AB598" s="143"/>
      <c r="AC598" s="143"/>
      <c r="AD598" s="143"/>
      <c r="AE598" s="143"/>
      <c r="AF598" s="143"/>
      <c r="AG598" s="143"/>
      <c r="AH598" s="143"/>
      <c r="AI598" s="143"/>
      <c r="AJ598" s="143"/>
      <c r="AK598" s="143"/>
      <c r="AL598" s="143"/>
      <c r="AM598" s="143"/>
    </row>
    <row r="599" spans="1:39" ht="12.75" customHeight="1" x14ac:dyDescent="0.25">
      <c r="A599" s="143"/>
      <c r="B599" s="143"/>
      <c r="C599" s="143"/>
      <c r="D599" s="143"/>
      <c r="E599" s="143"/>
      <c r="F599" s="143"/>
      <c r="G599" s="143"/>
      <c r="H599" s="143"/>
      <c r="I599" s="143"/>
      <c r="J599" s="143"/>
      <c r="K599" s="143"/>
      <c r="L599" s="143"/>
      <c r="M599" s="143"/>
      <c r="N599" s="143"/>
      <c r="O599" s="143"/>
      <c r="P599" s="143"/>
      <c r="Q599" s="143"/>
      <c r="R599" s="143"/>
      <c r="S599" s="143"/>
      <c r="T599" s="143"/>
      <c r="U599" s="143"/>
      <c r="V599" s="143"/>
      <c r="W599" s="143"/>
      <c r="X599" s="143"/>
      <c r="Y599" s="143"/>
      <c r="Z599" s="143"/>
      <c r="AA599" s="143"/>
      <c r="AB599" s="143"/>
      <c r="AC599" s="143"/>
      <c r="AD599" s="143"/>
      <c r="AE599" s="143"/>
      <c r="AF599" s="143"/>
      <c r="AG599" s="143"/>
      <c r="AH599" s="143"/>
      <c r="AI599" s="143"/>
      <c r="AJ599" s="143"/>
      <c r="AK599" s="143"/>
      <c r="AL599" s="143"/>
      <c r="AM599" s="143"/>
    </row>
    <row r="600" spans="1:39" ht="12.75" customHeight="1" x14ac:dyDescent="0.25">
      <c r="A600" s="143"/>
      <c r="B600" s="143"/>
      <c r="C600" s="143"/>
      <c r="D600" s="143"/>
      <c r="E600" s="143"/>
      <c r="F600" s="143"/>
      <c r="G600" s="143"/>
      <c r="H600" s="143"/>
      <c r="I600" s="143"/>
      <c r="J600" s="143"/>
      <c r="K600" s="143"/>
      <c r="L600" s="143"/>
      <c r="M600" s="143"/>
      <c r="N600" s="143"/>
      <c r="O600" s="143"/>
      <c r="P600" s="143"/>
      <c r="Q600" s="143"/>
      <c r="R600" s="143"/>
      <c r="S600" s="143"/>
      <c r="T600" s="143"/>
      <c r="U600" s="143"/>
      <c r="V600" s="143"/>
      <c r="W600" s="143"/>
      <c r="X600" s="143"/>
      <c r="Y600" s="143"/>
      <c r="Z600" s="143"/>
      <c r="AA600" s="143"/>
      <c r="AB600" s="143"/>
      <c r="AC600" s="143"/>
      <c r="AD600" s="143"/>
      <c r="AE600" s="143"/>
      <c r="AF600" s="143"/>
      <c r="AG600" s="143"/>
      <c r="AH600" s="143"/>
      <c r="AI600" s="143"/>
      <c r="AJ600" s="143"/>
      <c r="AK600" s="143"/>
      <c r="AL600" s="143"/>
      <c r="AM600" s="143"/>
    </row>
    <row r="601" spans="1:39" ht="12.75" customHeight="1" x14ac:dyDescent="0.25">
      <c r="A601" s="143"/>
      <c r="B601" s="143"/>
      <c r="C601" s="143"/>
      <c r="D601" s="143"/>
      <c r="E601" s="143"/>
      <c r="F601" s="143"/>
      <c r="G601" s="143"/>
      <c r="H601" s="143"/>
      <c r="I601" s="143"/>
      <c r="J601" s="143"/>
      <c r="K601" s="143"/>
      <c r="L601" s="143"/>
      <c r="M601" s="143"/>
      <c r="N601" s="143"/>
      <c r="O601" s="143"/>
      <c r="P601" s="143"/>
      <c r="Q601" s="143"/>
      <c r="R601" s="143"/>
      <c r="S601" s="143"/>
      <c r="T601" s="143"/>
      <c r="U601" s="143"/>
      <c r="V601" s="143"/>
      <c r="W601" s="143"/>
      <c r="X601" s="143"/>
      <c r="Y601" s="143"/>
      <c r="Z601" s="143"/>
      <c r="AA601" s="143"/>
      <c r="AB601" s="143"/>
      <c r="AC601" s="143"/>
      <c r="AD601" s="143"/>
      <c r="AE601" s="143"/>
      <c r="AF601" s="143"/>
      <c r="AG601" s="143"/>
      <c r="AH601" s="143"/>
      <c r="AI601" s="143"/>
      <c r="AJ601" s="143"/>
      <c r="AK601" s="143"/>
      <c r="AL601" s="143"/>
      <c r="AM601" s="143"/>
    </row>
    <row r="602" spans="1:39" ht="12.75" customHeight="1" x14ac:dyDescent="0.25">
      <c r="A602" s="143"/>
      <c r="B602" s="143"/>
      <c r="C602" s="143"/>
      <c r="D602" s="143"/>
      <c r="E602" s="143"/>
      <c r="F602" s="143"/>
      <c r="G602" s="143"/>
      <c r="H602" s="143"/>
      <c r="I602" s="143"/>
      <c r="J602" s="143"/>
      <c r="K602" s="143"/>
      <c r="L602" s="143"/>
      <c r="M602" s="143"/>
      <c r="N602" s="143"/>
      <c r="O602" s="143"/>
      <c r="P602" s="143"/>
      <c r="Q602" s="143"/>
      <c r="R602" s="143"/>
      <c r="S602" s="143"/>
      <c r="T602" s="143"/>
      <c r="U602" s="143"/>
      <c r="V602" s="143"/>
      <c r="W602" s="143"/>
      <c r="X602" s="143"/>
      <c r="Y602" s="143"/>
      <c r="Z602" s="143"/>
      <c r="AA602" s="143"/>
      <c r="AB602" s="143"/>
      <c r="AC602" s="143"/>
      <c r="AD602" s="143"/>
      <c r="AE602" s="143"/>
      <c r="AF602" s="143"/>
      <c r="AG602" s="143"/>
      <c r="AH602" s="143"/>
      <c r="AI602" s="143"/>
      <c r="AJ602" s="143"/>
      <c r="AK602" s="143"/>
      <c r="AL602" s="143"/>
      <c r="AM602" s="143"/>
    </row>
    <row r="603" spans="1:39" ht="12.75" customHeight="1" x14ac:dyDescent="0.25">
      <c r="A603" s="143"/>
      <c r="B603" s="143"/>
      <c r="C603" s="143"/>
      <c r="D603" s="143"/>
      <c r="E603" s="143"/>
      <c r="F603" s="143"/>
      <c r="G603" s="143"/>
      <c r="H603" s="143"/>
      <c r="I603" s="143"/>
      <c r="J603" s="143"/>
      <c r="K603" s="143"/>
      <c r="L603" s="143"/>
      <c r="M603" s="143"/>
      <c r="N603" s="143"/>
      <c r="O603" s="143"/>
      <c r="P603" s="143"/>
      <c r="Q603" s="143"/>
      <c r="R603" s="143"/>
      <c r="S603" s="143"/>
      <c r="T603" s="143"/>
      <c r="U603" s="143"/>
      <c r="V603" s="143"/>
      <c r="W603" s="143"/>
      <c r="X603" s="143"/>
      <c r="Y603" s="143"/>
      <c r="Z603" s="143"/>
      <c r="AA603" s="143"/>
      <c r="AB603" s="143"/>
      <c r="AC603" s="143"/>
      <c r="AD603" s="143"/>
      <c r="AE603" s="143"/>
      <c r="AF603" s="143"/>
      <c r="AG603" s="143"/>
      <c r="AH603" s="143"/>
      <c r="AI603" s="143"/>
      <c r="AJ603" s="143"/>
      <c r="AK603" s="143"/>
      <c r="AL603" s="143"/>
      <c r="AM603" s="143"/>
    </row>
    <row r="604" spans="1:39" ht="12.75" customHeight="1" x14ac:dyDescent="0.25">
      <c r="A604" s="143"/>
      <c r="B604" s="143"/>
      <c r="C604" s="143"/>
      <c r="D604" s="143"/>
      <c r="E604" s="143"/>
      <c r="F604" s="143"/>
      <c r="G604" s="143"/>
      <c r="H604" s="143"/>
      <c r="I604" s="143"/>
      <c r="J604" s="143"/>
      <c r="K604" s="143"/>
      <c r="L604" s="143"/>
      <c r="M604" s="143"/>
      <c r="N604" s="143"/>
      <c r="O604" s="143"/>
      <c r="P604" s="143"/>
      <c r="Q604" s="143"/>
      <c r="R604" s="143"/>
      <c r="S604" s="143"/>
      <c r="T604" s="143"/>
      <c r="U604" s="143"/>
      <c r="V604" s="143"/>
      <c r="W604" s="143"/>
      <c r="X604" s="143"/>
      <c r="Y604" s="143"/>
      <c r="Z604" s="143"/>
      <c r="AA604" s="143"/>
      <c r="AB604" s="143"/>
      <c r="AC604" s="143"/>
      <c r="AD604" s="143"/>
      <c r="AE604" s="143"/>
      <c r="AF604" s="143"/>
      <c r="AG604" s="143"/>
      <c r="AH604" s="143"/>
      <c r="AI604" s="143"/>
      <c r="AJ604" s="143"/>
      <c r="AK604" s="143"/>
      <c r="AL604" s="143"/>
      <c r="AM604" s="143"/>
    </row>
    <row r="605" spans="1:39" ht="12.75" customHeight="1" x14ac:dyDescent="0.25">
      <c r="A605" s="143"/>
      <c r="B605" s="143"/>
      <c r="C605" s="143"/>
      <c r="D605" s="143"/>
      <c r="E605" s="143"/>
      <c r="F605" s="143"/>
      <c r="G605" s="143"/>
      <c r="H605" s="143"/>
      <c r="I605" s="143"/>
      <c r="J605" s="143"/>
      <c r="K605" s="143"/>
      <c r="L605" s="143"/>
      <c r="M605" s="143"/>
      <c r="N605" s="143"/>
      <c r="O605" s="143"/>
      <c r="P605" s="143"/>
      <c r="Q605" s="143"/>
      <c r="R605" s="143"/>
      <c r="S605" s="143"/>
      <c r="T605" s="143"/>
      <c r="U605" s="143"/>
      <c r="V605" s="143"/>
      <c r="W605" s="143"/>
      <c r="X605" s="143"/>
      <c r="Y605" s="143"/>
      <c r="Z605" s="143"/>
      <c r="AA605" s="143"/>
      <c r="AB605" s="143"/>
      <c r="AC605" s="143"/>
      <c r="AD605" s="143"/>
      <c r="AE605" s="143"/>
      <c r="AF605" s="143"/>
      <c r="AG605" s="143"/>
      <c r="AH605" s="143"/>
      <c r="AI605" s="143"/>
      <c r="AJ605" s="143"/>
      <c r="AK605" s="143"/>
      <c r="AL605" s="143"/>
      <c r="AM605" s="143"/>
    </row>
    <row r="606" spans="1:39" ht="12.75" customHeight="1" x14ac:dyDescent="0.25">
      <c r="A606" s="143"/>
      <c r="B606" s="143"/>
      <c r="C606" s="143"/>
      <c r="D606" s="143"/>
      <c r="E606" s="143"/>
      <c r="F606" s="143"/>
      <c r="G606" s="143"/>
      <c r="H606" s="143"/>
      <c r="I606" s="143"/>
      <c r="J606" s="143"/>
      <c r="K606" s="143"/>
      <c r="L606" s="143"/>
      <c r="M606" s="143"/>
      <c r="N606" s="143"/>
      <c r="O606" s="143"/>
      <c r="P606" s="143"/>
      <c r="Q606" s="143"/>
      <c r="R606" s="143"/>
      <c r="S606" s="143"/>
      <c r="T606" s="143"/>
      <c r="U606" s="143"/>
      <c r="V606" s="143"/>
      <c r="W606" s="143"/>
      <c r="X606" s="143"/>
      <c r="Y606" s="143"/>
      <c r="Z606" s="143"/>
      <c r="AA606" s="143"/>
      <c r="AB606" s="143"/>
      <c r="AC606" s="143"/>
      <c r="AD606" s="143"/>
      <c r="AE606" s="143"/>
      <c r="AF606" s="143"/>
      <c r="AG606" s="143"/>
      <c r="AH606" s="143"/>
      <c r="AI606" s="143"/>
      <c r="AJ606" s="143"/>
      <c r="AK606" s="143"/>
      <c r="AL606" s="143"/>
      <c r="AM606" s="143"/>
    </row>
    <row r="607" spans="1:39" ht="12.75" customHeight="1" x14ac:dyDescent="0.25">
      <c r="A607" s="143"/>
      <c r="B607" s="143"/>
      <c r="C607" s="143"/>
      <c r="D607" s="143"/>
      <c r="E607" s="143"/>
      <c r="F607" s="143"/>
      <c r="G607" s="143"/>
      <c r="H607" s="143"/>
      <c r="I607" s="143"/>
      <c r="J607" s="143"/>
      <c r="K607" s="143"/>
      <c r="L607" s="143"/>
      <c r="M607" s="143"/>
      <c r="N607" s="143"/>
      <c r="O607" s="143"/>
      <c r="P607" s="143"/>
      <c r="Q607" s="143"/>
      <c r="R607" s="143"/>
      <c r="S607" s="143"/>
      <c r="T607" s="143"/>
      <c r="U607" s="143"/>
      <c r="V607" s="143"/>
      <c r="W607" s="143"/>
      <c r="X607" s="143"/>
      <c r="Y607" s="143"/>
      <c r="Z607" s="143"/>
      <c r="AA607" s="143"/>
      <c r="AB607" s="143"/>
      <c r="AC607" s="143"/>
      <c r="AD607" s="143"/>
      <c r="AE607" s="143"/>
      <c r="AF607" s="143"/>
      <c r="AG607" s="143"/>
      <c r="AH607" s="143"/>
      <c r="AI607" s="143"/>
      <c r="AJ607" s="143"/>
      <c r="AK607" s="143"/>
      <c r="AL607" s="143"/>
      <c r="AM607" s="143"/>
    </row>
    <row r="608" spans="1:39" ht="12.75" customHeight="1" x14ac:dyDescent="0.25">
      <c r="A608" s="143"/>
      <c r="B608" s="143"/>
      <c r="C608" s="143"/>
      <c r="D608" s="143"/>
      <c r="E608" s="143"/>
      <c r="F608" s="143"/>
      <c r="G608" s="143"/>
      <c r="H608" s="143"/>
      <c r="I608" s="143"/>
      <c r="J608" s="143"/>
      <c r="K608" s="143"/>
      <c r="L608" s="143"/>
      <c r="M608" s="143"/>
      <c r="N608" s="143"/>
      <c r="O608" s="143"/>
      <c r="P608" s="143"/>
      <c r="Q608" s="143"/>
      <c r="R608" s="143"/>
      <c r="S608" s="143"/>
      <c r="T608" s="143"/>
      <c r="U608" s="143"/>
      <c r="V608" s="143"/>
      <c r="W608" s="143"/>
      <c r="X608" s="143"/>
      <c r="Y608" s="143"/>
      <c r="Z608" s="143"/>
      <c r="AA608" s="143"/>
      <c r="AB608" s="143"/>
      <c r="AC608" s="143"/>
      <c r="AD608" s="143"/>
      <c r="AE608" s="143"/>
      <c r="AF608" s="143"/>
      <c r="AG608" s="143"/>
      <c r="AH608" s="143"/>
      <c r="AI608" s="143"/>
      <c r="AJ608" s="143"/>
      <c r="AK608" s="143"/>
      <c r="AL608" s="143"/>
      <c r="AM608" s="143"/>
    </row>
    <row r="609" spans="1:39" ht="12.75" customHeight="1" x14ac:dyDescent="0.25">
      <c r="A609" s="143"/>
      <c r="B609" s="143"/>
      <c r="C609" s="143"/>
      <c r="D609" s="143"/>
      <c r="E609" s="143"/>
      <c r="F609" s="143"/>
      <c r="G609" s="143"/>
      <c r="H609" s="143"/>
      <c r="I609" s="143"/>
      <c r="J609" s="143"/>
      <c r="K609" s="143"/>
      <c r="L609" s="143"/>
      <c r="M609" s="143"/>
      <c r="N609" s="143"/>
      <c r="O609" s="143"/>
      <c r="P609" s="143"/>
      <c r="Q609" s="143"/>
      <c r="R609" s="143"/>
      <c r="S609" s="143"/>
      <c r="T609" s="143"/>
      <c r="U609" s="143"/>
      <c r="V609" s="143"/>
      <c r="W609" s="143"/>
      <c r="X609" s="143"/>
      <c r="Y609" s="143"/>
      <c r="Z609" s="143"/>
      <c r="AA609" s="143"/>
      <c r="AB609" s="143"/>
      <c r="AC609" s="143"/>
      <c r="AD609" s="143"/>
      <c r="AE609" s="143"/>
      <c r="AF609" s="143"/>
      <c r="AG609" s="143"/>
      <c r="AH609" s="143"/>
      <c r="AI609" s="143"/>
      <c r="AJ609" s="143"/>
      <c r="AK609" s="143"/>
      <c r="AL609" s="143"/>
      <c r="AM609" s="143"/>
    </row>
    <row r="610" spans="1:39" ht="12.75" customHeight="1" x14ac:dyDescent="0.25">
      <c r="A610" s="143"/>
      <c r="B610" s="143"/>
      <c r="C610" s="143"/>
      <c r="D610" s="143"/>
      <c r="E610" s="143"/>
      <c r="F610" s="143"/>
      <c r="G610" s="143"/>
      <c r="H610" s="143"/>
      <c r="I610" s="143"/>
      <c r="J610" s="143"/>
      <c r="K610" s="143"/>
      <c r="L610" s="143"/>
      <c r="M610" s="143"/>
      <c r="N610" s="143"/>
      <c r="O610" s="143"/>
      <c r="P610" s="143"/>
      <c r="Q610" s="143"/>
      <c r="R610" s="143"/>
      <c r="S610" s="143"/>
      <c r="T610" s="143"/>
      <c r="U610" s="143"/>
      <c r="V610" s="143"/>
      <c r="W610" s="143"/>
      <c r="X610" s="143"/>
      <c r="Y610" s="143"/>
      <c r="Z610" s="143"/>
      <c r="AA610" s="143"/>
      <c r="AB610" s="143"/>
      <c r="AC610" s="143"/>
      <c r="AD610" s="143"/>
      <c r="AE610" s="143"/>
      <c r="AF610" s="143"/>
      <c r="AG610" s="143"/>
      <c r="AH610" s="143"/>
      <c r="AI610" s="143"/>
      <c r="AJ610" s="143"/>
      <c r="AK610" s="143"/>
      <c r="AL610" s="143"/>
      <c r="AM610" s="143"/>
    </row>
    <row r="611" spans="1:39" ht="12.75" customHeight="1" x14ac:dyDescent="0.25">
      <c r="A611" s="143"/>
      <c r="B611" s="143"/>
      <c r="C611" s="143"/>
      <c r="D611" s="143"/>
      <c r="E611" s="143"/>
      <c r="F611" s="143"/>
      <c r="G611" s="143"/>
      <c r="H611" s="143"/>
      <c r="I611" s="143"/>
      <c r="J611" s="143"/>
      <c r="K611" s="143"/>
      <c r="L611" s="143"/>
      <c r="M611" s="143"/>
      <c r="N611" s="143"/>
      <c r="O611" s="143"/>
      <c r="P611" s="143"/>
      <c r="Q611" s="143"/>
      <c r="R611" s="143"/>
      <c r="S611" s="143"/>
      <c r="T611" s="143"/>
      <c r="U611" s="143"/>
      <c r="V611" s="143"/>
      <c r="W611" s="143"/>
      <c r="X611" s="143"/>
      <c r="Y611" s="143"/>
      <c r="Z611" s="143"/>
      <c r="AA611" s="143"/>
      <c r="AB611" s="143"/>
      <c r="AC611" s="143"/>
      <c r="AD611" s="143"/>
      <c r="AE611" s="143"/>
      <c r="AF611" s="143"/>
      <c r="AG611" s="143"/>
      <c r="AH611" s="143"/>
      <c r="AI611" s="143"/>
      <c r="AJ611" s="143"/>
      <c r="AK611" s="143"/>
      <c r="AL611" s="143"/>
      <c r="AM611" s="143"/>
    </row>
    <row r="612" spans="1:39" ht="12.75" customHeight="1" x14ac:dyDescent="0.25">
      <c r="A612" s="143"/>
      <c r="B612" s="143"/>
      <c r="C612" s="143"/>
      <c r="D612" s="143"/>
      <c r="E612" s="143"/>
      <c r="F612" s="143"/>
      <c r="G612" s="143"/>
      <c r="H612" s="143"/>
      <c r="I612" s="143"/>
      <c r="J612" s="143"/>
      <c r="K612" s="143"/>
      <c r="L612" s="143"/>
      <c r="M612" s="143"/>
      <c r="N612" s="143"/>
      <c r="O612" s="143"/>
      <c r="P612" s="143"/>
      <c r="Q612" s="143"/>
      <c r="R612" s="143"/>
      <c r="S612" s="143"/>
      <c r="T612" s="143"/>
      <c r="U612" s="143"/>
      <c r="V612" s="143"/>
      <c r="W612" s="143"/>
      <c r="X612" s="143"/>
      <c r="Y612" s="143"/>
      <c r="Z612" s="143"/>
      <c r="AA612" s="143"/>
      <c r="AB612" s="143"/>
      <c r="AC612" s="143"/>
      <c r="AD612" s="143"/>
      <c r="AE612" s="143"/>
      <c r="AF612" s="143"/>
      <c r="AG612" s="143"/>
      <c r="AH612" s="143"/>
      <c r="AI612" s="143"/>
      <c r="AJ612" s="143"/>
      <c r="AK612" s="143"/>
      <c r="AL612" s="143"/>
      <c r="AM612" s="143"/>
    </row>
    <row r="613" spans="1:39" ht="12.75" customHeight="1" x14ac:dyDescent="0.25">
      <c r="A613" s="143"/>
      <c r="B613" s="143"/>
      <c r="C613" s="143"/>
      <c r="D613" s="143"/>
      <c r="E613" s="143"/>
      <c r="F613" s="143"/>
      <c r="G613" s="143"/>
      <c r="H613" s="143"/>
      <c r="I613" s="143"/>
      <c r="J613" s="143"/>
      <c r="K613" s="143"/>
      <c r="L613" s="143"/>
      <c r="M613" s="143"/>
      <c r="N613" s="143"/>
      <c r="O613" s="143"/>
      <c r="P613" s="143"/>
      <c r="Q613" s="143"/>
      <c r="R613" s="143"/>
      <c r="S613" s="143"/>
      <c r="T613" s="143"/>
      <c r="U613" s="143"/>
      <c r="V613" s="143"/>
      <c r="W613" s="143"/>
      <c r="X613" s="143"/>
      <c r="Y613" s="143"/>
      <c r="Z613" s="143"/>
      <c r="AA613" s="143"/>
      <c r="AB613" s="143"/>
      <c r="AC613" s="143"/>
      <c r="AD613" s="143"/>
      <c r="AE613" s="143"/>
      <c r="AF613" s="143"/>
      <c r="AG613" s="143"/>
      <c r="AH613" s="143"/>
      <c r="AI613" s="143"/>
      <c r="AJ613" s="143"/>
      <c r="AK613" s="143"/>
      <c r="AL613" s="143"/>
      <c r="AM613" s="143"/>
    </row>
    <row r="614" spans="1:39" ht="12.75" customHeight="1" x14ac:dyDescent="0.25">
      <c r="A614" s="143"/>
      <c r="B614" s="143"/>
      <c r="C614" s="143"/>
      <c r="D614" s="143"/>
      <c r="E614" s="143"/>
      <c r="F614" s="143"/>
      <c r="G614" s="143"/>
      <c r="H614" s="143"/>
      <c r="I614" s="143"/>
      <c r="J614" s="143"/>
      <c r="K614" s="143"/>
      <c r="L614" s="143"/>
      <c r="M614" s="143"/>
      <c r="N614" s="143"/>
      <c r="O614" s="143"/>
      <c r="P614" s="143"/>
      <c r="Q614" s="143"/>
      <c r="R614" s="143"/>
      <c r="S614" s="143"/>
      <c r="T614" s="143"/>
      <c r="U614" s="143"/>
      <c r="V614" s="143"/>
      <c r="W614" s="143"/>
      <c r="X614" s="143"/>
      <c r="Y614" s="143"/>
      <c r="Z614" s="143"/>
      <c r="AA614" s="143"/>
      <c r="AB614" s="143"/>
      <c r="AC614" s="143"/>
      <c r="AD614" s="143"/>
      <c r="AE614" s="143"/>
      <c r="AF614" s="143"/>
      <c r="AG614" s="143"/>
      <c r="AH614" s="143"/>
      <c r="AI614" s="143"/>
      <c r="AJ614" s="143"/>
      <c r="AK614" s="143"/>
      <c r="AL614" s="143"/>
      <c r="AM614" s="143"/>
    </row>
    <row r="615" spans="1:39" ht="12.75" customHeight="1" x14ac:dyDescent="0.25">
      <c r="A615" s="143"/>
      <c r="B615" s="143"/>
      <c r="C615" s="143"/>
      <c r="D615" s="143"/>
      <c r="E615" s="143"/>
      <c r="F615" s="143"/>
      <c r="G615" s="143"/>
      <c r="H615" s="143"/>
      <c r="I615" s="143"/>
      <c r="J615" s="143"/>
      <c r="K615" s="143"/>
      <c r="L615" s="143"/>
      <c r="M615" s="143"/>
      <c r="N615" s="143"/>
      <c r="O615" s="143"/>
      <c r="P615" s="143"/>
      <c r="Q615" s="143"/>
      <c r="R615" s="143"/>
      <c r="S615" s="143"/>
      <c r="T615" s="143"/>
      <c r="U615" s="143"/>
      <c r="V615" s="143"/>
      <c r="W615" s="143"/>
      <c r="X615" s="143"/>
      <c r="Y615" s="143"/>
      <c r="Z615" s="143"/>
      <c r="AA615" s="143"/>
      <c r="AB615" s="143"/>
      <c r="AC615" s="143"/>
      <c r="AD615" s="143"/>
      <c r="AE615" s="143"/>
      <c r="AF615" s="143"/>
      <c r="AG615" s="143"/>
      <c r="AH615" s="143"/>
      <c r="AI615" s="143"/>
      <c r="AJ615" s="143"/>
      <c r="AK615" s="143"/>
      <c r="AL615" s="143"/>
      <c r="AM615" s="143"/>
    </row>
    <row r="616" spans="1:39" ht="12.75" customHeight="1" x14ac:dyDescent="0.25">
      <c r="A616" s="143"/>
      <c r="B616" s="143"/>
      <c r="C616" s="143"/>
      <c r="D616" s="143"/>
      <c r="E616" s="143"/>
      <c r="F616" s="143"/>
      <c r="G616" s="143"/>
      <c r="H616" s="143"/>
      <c r="I616" s="143"/>
      <c r="J616" s="143"/>
      <c r="K616" s="143"/>
      <c r="L616" s="143"/>
      <c r="M616" s="143"/>
      <c r="N616" s="143"/>
      <c r="O616" s="143"/>
      <c r="P616" s="143"/>
      <c r="Q616" s="143"/>
      <c r="R616" s="143"/>
      <c r="S616" s="143"/>
      <c r="T616" s="143"/>
      <c r="U616" s="143"/>
      <c r="V616" s="143"/>
      <c r="W616" s="143"/>
      <c r="X616" s="143"/>
      <c r="Y616" s="143"/>
      <c r="Z616" s="143"/>
      <c r="AA616" s="143"/>
      <c r="AB616" s="143"/>
      <c r="AC616" s="143"/>
      <c r="AD616" s="143"/>
      <c r="AE616" s="143"/>
      <c r="AF616" s="143"/>
      <c r="AG616" s="143"/>
      <c r="AH616" s="143"/>
      <c r="AI616" s="143"/>
      <c r="AJ616" s="143"/>
      <c r="AK616" s="143"/>
      <c r="AL616" s="143"/>
      <c r="AM616" s="143"/>
    </row>
    <row r="617" spans="1:39" ht="12.75" customHeight="1" x14ac:dyDescent="0.25">
      <c r="A617" s="143"/>
      <c r="B617" s="143"/>
      <c r="C617" s="143"/>
      <c r="D617" s="143"/>
      <c r="E617" s="143"/>
      <c r="F617" s="143"/>
      <c r="G617" s="143"/>
      <c r="H617" s="143"/>
      <c r="I617" s="143"/>
      <c r="J617" s="143"/>
      <c r="K617" s="143"/>
      <c r="L617" s="143"/>
      <c r="M617" s="143"/>
      <c r="N617" s="143"/>
      <c r="O617" s="143"/>
      <c r="P617" s="143"/>
      <c r="Q617" s="143"/>
      <c r="R617" s="143"/>
      <c r="S617" s="143"/>
      <c r="T617" s="143"/>
      <c r="U617" s="143"/>
      <c r="V617" s="143"/>
      <c r="W617" s="143"/>
      <c r="X617" s="143"/>
      <c r="Y617" s="143"/>
      <c r="Z617" s="143"/>
      <c r="AA617" s="143"/>
      <c r="AB617" s="143"/>
      <c r="AC617" s="143"/>
      <c r="AD617" s="143"/>
      <c r="AE617" s="143"/>
      <c r="AF617" s="143"/>
      <c r="AG617" s="143"/>
      <c r="AH617" s="143"/>
      <c r="AI617" s="143"/>
      <c r="AJ617" s="143"/>
      <c r="AK617" s="143"/>
      <c r="AL617" s="143"/>
      <c r="AM617" s="143"/>
    </row>
    <row r="618" spans="1:39" ht="12.75" customHeight="1" x14ac:dyDescent="0.25">
      <c r="A618" s="143"/>
      <c r="B618" s="143"/>
      <c r="C618" s="143"/>
      <c r="D618" s="143"/>
      <c r="E618" s="143"/>
      <c r="F618" s="143"/>
      <c r="G618" s="143"/>
      <c r="H618" s="143"/>
      <c r="I618" s="143"/>
      <c r="J618" s="143"/>
      <c r="K618" s="143"/>
      <c r="L618" s="143"/>
      <c r="M618" s="143"/>
      <c r="N618" s="143"/>
      <c r="O618" s="143"/>
      <c r="P618" s="143"/>
      <c r="Q618" s="143"/>
      <c r="R618" s="143"/>
      <c r="S618" s="143"/>
      <c r="T618" s="143"/>
      <c r="U618" s="143"/>
      <c r="V618" s="143"/>
      <c r="W618" s="143"/>
      <c r="X618" s="143"/>
      <c r="Y618" s="143"/>
      <c r="Z618" s="143"/>
      <c r="AA618" s="143"/>
      <c r="AB618" s="143"/>
      <c r="AC618" s="143"/>
      <c r="AD618" s="143"/>
      <c r="AE618" s="143"/>
      <c r="AF618" s="143"/>
      <c r="AG618" s="143"/>
      <c r="AH618" s="143"/>
      <c r="AI618" s="143"/>
      <c r="AJ618" s="143"/>
      <c r="AK618" s="143"/>
      <c r="AL618" s="143"/>
      <c r="AM618" s="143"/>
    </row>
    <row r="619" spans="1:39" ht="12.75" customHeight="1" x14ac:dyDescent="0.25">
      <c r="A619" s="143"/>
      <c r="B619" s="143"/>
      <c r="C619" s="143"/>
      <c r="D619" s="143"/>
      <c r="E619" s="143"/>
      <c r="F619" s="143"/>
      <c r="G619" s="143"/>
      <c r="H619" s="143"/>
      <c r="I619" s="143"/>
      <c r="J619" s="143"/>
      <c r="K619" s="143"/>
      <c r="L619" s="143"/>
      <c r="M619" s="143"/>
      <c r="N619" s="143"/>
      <c r="O619" s="143"/>
      <c r="P619" s="143"/>
      <c r="Q619" s="143"/>
      <c r="R619" s="143"/>
      <c r="S619" s="143"/>
      <c r="T619" s="143"/>
      <c r="U619" s="143"/>
      <c r="V619" s="143"/>
      <c r="W619" s="143"/>
      <c r="X619" s="143"/>
      <c r="Y619" s="143"/>
      <c r="Z619" s="143"/>
      <c r="AA619" s="143"/>
      <c r="AB619" s="143"/>
      <c r="AC619" s="143"/>
      <c r="AD619" s="143"/>
      <c r="AE619" s="143"/>
      <c r="AF619" s="143"/>
      <c r="AG619" s="143"/>
      <c r="AH619" s="143"/>
      <c r="AI619" s="143"/>
      <c r="AJ619" s="143"/>
      <c r="AK619" s="143"/>
      <c r="AL619" s="143"/>
      <c r="AM619" s="143"/>
    </row>
    <row r="620" spans="1:39" ht="12.75" customHeight="1" x14ac:dyDescent="0.25">
      <c r="A620" s="143"/>
      <c r="B620" s="143"/>
      <c r="C620" s="143"/>
      <c r="D620" s="143"/>
      <c r="E620" s="143"/>
      <c r="F620" s="143"/>
      <c r="G620" s="143"/>
      <c r="H620" s="143"/>
      <c r="I620" s="143"/>
      <c r="J620" s="143"/>
      <c r="K620" s="143"/>
      <c r="L620" s="143"/>
      <c r="M620" s="143"/>
      <c r="N620" s="143"/>
      <c r="O620" s="143"/>
      <c r="P620" s="143"/>
      <c r="Q620" s="143"/>
      <c r="R620" s="143"/>
      <c r="S620" s="143"/>
      <c r="T620" s="143"/>
      <c r="U620" s="143"/>
      <c r="V620" s="143"/>
      <c r="W620" s="143"/>
      <c r="X620" s="143"/>
      <c r="Y620" s="143"/>
      <c r="Z620" s="143"/>
      <c r="AA620" s="143"/>
      <c r="AB620" s="143"/>
      <c r="AC620" s="143"/>
      <c r="AD620" s="143"/>
      <c r="AE620" s="143"/>
      <c r="AF620" s="143"/>
      <c r="AG620" s="143"/>
      <c r="AH620" s="143"/>
      <c r="AI620" s="143"/>
      <c r="AJ620" s="143"/>
      <c r="AK620" s="143"/>
      <c r="AL620" s="143"/>
      <c r="AM620" s="143"/>
    </row>
    <row r="621" spans="1:39" ht="12.75" customHeight="1" x14ac:dyDescent="0.25">
      <c r="A621" s="143"/>
      <c r="B621" s="143"/>
      <c r="C621" s="143"/>
      <c r="D621" s="143"/>
      <c r="E621" s="143"/>
      <c r="F621" s="143"/>
      <c r="G621" s="143"/>
      <c r="H621" s="143"/>
      <c r="I621" s="143"/>
      <c r="J621" s="143"/>
      <c r="K621" s="143"/>
      <c r="L621" s="143"/>
      <c r="M621" s="143"/>
      <c r="N621" s="143"/>
      <c r="O621" s="143"/>
      <c r="P621" s="143"/>
      <c r="Q621" s="143"/>
      <c r="R621" s="143"/>
      <c r="S621" s="143"/>
      <c r="T621" s="143"/>
      <c r="U621" s="143"/>
      <c r="V621" s="143"/>
      <c r="W621" s="143"/>
      <c r="X621" s="143"/>
      <c r="Y621" s="143"/>
      <c r="Z621" s="143"/>
      <c r="AA621" s="143"/>
      <c r="AB621" s="143"/>
      <c r="AC621" s="143"/>
      <c r="AD621" s="143"/>
      <c r="AE621" s="143"/>
      <c r="AF621" s="143"/>
      <c r="AG621" s="143"/>
      <c r="AH621" s="143"/>
      <c r="AI621" s="143"/>
      <c r="AJ621" s="143"/>
      <c r="AK621" s="143"/>
      <c r="AL621" s="143"/>
      <c r="AM621" s="143"/>
    </row>
    <row r="622" spans="1:39" ht="12.75" customHeight="1" x14ac:dyDescent="0.25">
      <c r="A622" s="143"/>
      <c r="B622" s="143"/>
      <c r="C622" s="143"/>
      <c r="D622" s="143"/>
      <c r="E622" s="143"/>
      <c r="F622" s="143"/>
      <c r="G622" s="143"/>
      <c r="H622" s="143"/>
      <c r="I622" s="143"/>
      <c r="J622" s="143"/>
      <c r="K622" s="143"/>
      <c r="L622" s="143"/>
      <c r="M622" s="143"/>
      <c r="N622" s="143"/>
      <c r="O622" s="143"/>
      <c r="P622" s="143"/>
      <c r="Q622" s="143"/>
      <c r="R622" s="143"/>
      <c r="S622" s="143"/>
      <c r="T622" s="143"/>
      <c r="U622" s="143"/>
      <c r="V622" s="143"/>
      <c r="W622" s="143"/>
      <c r="X622" s="143"/>
      <c r="Y622" s="143"/>
      <c r="Z622" s="143"/>
      <c r="AA622" s="143"/>
      <c r="AB622" s="143"/>
      <c r="AC622" s="143"/>
      <c r="AD622" s="143"/>
      <c r="AE622" s="143"/>
      <c r="AF622" s="143"/>
      <c r="AG622" s="143"/>
      <c r="AH622" s="143"/>
      <c r="AI622" s="143"/>
      <c r="AJ622" s="143"/>
      <c r="AK622" s="143"/>
      <c r="AL622" s="143"/>
      <c r="AM622" s="143"/>
    </row>
    <row r="623" spans="1:39" ht="12.75" customHeight="1" x14ac:dyDescent="0.25">
      <c r="A623" s="143"/>
      <c r="B623" s="143"/>
      <c r="C623" s="143"/>
      <c r="D623" s="143"/>
      <c r="E623" s="143"/>
      <c r="F623" s="143"/>
      <c r="G623" s="143"/>
      <c r="H623" s="143"/>
      <c r="I623" s="143"/>
      <c r="J623" s="143"/>
      <c r="K623" s="143"/>
      <c r="L623" s="143"/>
      <c r="M623" s="143"/>
      <c r="N623" s="143"/>
      <c r="O623" s="143"/>
      <c r="P623" s="143"/>
      <c r="Q623" s="143"/>
      <c r="R623" s="143"/>
      <c r="S623" s="143"/>
      <c r="T623" s="143"/>
      <c r="U623" s="143"/>
      <c r="V623" s="143"/>
      <c r="W623" s="143"/>
      <c r="X623" s="143"/>
      <c r="Y623" s="143"/>
      <c r="Z623" s="143"/>
      <c r="AA623" s="143"/>
      <c r="AB623" s="143"/>
      <c r="AC623" s="143"/>
      <c r="AD623" s="143"/>
      <c r="AE623" s="143"/>
      <c r="AF623" s="143"/>
      <c r="AG623" s="143"/>
      <c r="AH623" s="143"/>
      <c r="AI623" s="143"/>
      <c r="AJ623" s="143"/>
      <c r="AK623" s="143"/>
      <c r="AL623" s="143"/>
      <c r="AM623" s="143"/>
    </row>
    <row r="624" spans="1:39" ht="12.75" customHeight="1" x14ac:dyDescent="0.25">
      <c r="A624" s="143"/>
      <c r="B624" s="143"/>
      <c r="C624" s="143"/>
      <c r="D624" s="143"/>
      <c r="E624" s="143"/>
      <c r="F624" s="143"/>
      <c r="G624" s="143"/>
      <c r="H624" s="143"/>
      <c r="I624" s="143"/>
      <c r="J624" s="143"/>
      <c r="K624" s="143"/>
      <c r="L624" s="143"/>
      <c r="M624" s="143"/>
      <c r="N624" s="143"/>
      <c r="O624" s="143"/>
      <c r="P624" s="143"/>
      <c r="Q624" s="143"/>
      <c r="R624" s="143"/>
      <c r="S624" s="143"/>
      <c r="T624" s="143"/>
      <c r="U624" s="143"/>
      <c r="V624" s="143"/>
      <c r="W624" s="143"/>
      <c r="X624" s="143"/>
      <c r="Y624" s="143"/>
      <c r="Z624" s="143"/>
      <c r="AA624" s="143"/>
      <c r="AB624" s="143"/>
      <c r="AC624" s="143"/>
      <c r="AD624" s="143"/>
      <c r="AE624" s="143"/>
      <c r="AF624" s="143"/>
      <c r="AG624" s="143"/>
      <c r="AH624" s="143"/>
      <c r="AI624" s="143"/>
      <c r="AJ624" s="143"/>
      <c r="AK624" s="143"/>
      <c r="AL624" s="143"/>
      <c r="AM624" s="143"/>
    </row>
    <row r="625" spans="1:39" ht="12.75" customHeight="1" x14ac:dyDescent="0.25">
      <c r="A625" s="143"/>
      <c r="B625" s="143"/>
      <c r="C625" s="143"/>
      <c r="D625" s="143"/>
      <c r="E625" s="143"/>
      <c r="F625" s="143"/>
      <c r="G625" s="143"/>
      <c r="H625" s="143"/>
      <c r="I625" s="143"/>
      <c r="J625" s="143"/>
      <c r="K625" s="143"/>
      <c r="L625" s="143"/>
      <c r="M625" s="143"/>
      <c r="N625" s="143"/>
      <c r="O625" s="143"/>
      <c r="P625" s="143"/>
      <c r="Q625" s="143"/>
      <c r="R625" s="143"/>
      <c r="S625" s="143"/>
      <c r="T625" s="143"/>
      <c r="U625" s="143"/>
      <c r="V625" s="143"/>
      <c r="W625" s="143"/>
      <c r="X625" s="143"/>
      <c r="Y625" s="143"/>
      <c r="Z625" s="143"/>
      <c r="AA625" s="143"/>
      <c r="AB625" s="143"/>
      <c r="AC625" s="143"/>
      <c r="AD625" s="143"/>
      <c r="AE625" s="143"/>
      <c r="AF625" s="143"/>
      <c r="AG625" s="143"/>
      <c r="AH625" s="143"/>
      <c r="AI625" s="143"/>
      <c r="AJ625" s="143"/>
      <c r="AK625" s="143"/>
      <c r="AL625" s="143"/>
      <c r="AM625" s="143"/>
    </row>
    <row r="626" spans="1:39" ht="12.75" customHeight="1" x14ac:dyDescent="0.25">
      <c r="A626" s="143"/>
      <c r="B626" s="143"/>
      <c r="C626" s="143"/>
      <c r="D626" s="143"/>
      <c r="E626" s="143"/>
      <c r="F626" s="143"/>
      <c r="G626" s="143"/>
      <c r="H626" s="143"/>
      <c r="I626" s="143"/>
      <c r="J626" s="143"/>
      <c r="K626" s="143"/>
      <c r="L626" s="143"/>
      <c r="M626" s="143"/>
      <c r="N626" s="143"/>
      <c r="O626" s="143"/>
      <c r="P626" s="143"/>
      <c r="Q626" s="143"/>
      <c r="R626" s="143"/>
      <c r="S626" s="143"/>
      <c r="T626" s="143"/>
      <c r="U626" s="143"/>
      <c r="V626" s="143"/>
      <c r="W626" s="143"/>
      <c r="X626" s="143"/>
      <c r="Y626" s="143"/>
      <c r="Z626" s="143"/>
      <c r="AA626" s="143"/>
      <c r="AB626" s="143"/>
      <c r="AC626" s="143"/>
      <c r="AD626" s="143"/>
      <c r="AE626" s="143"/>
      <c r="AF626" s="143"/>
      <c r="AG626" s="143"/>
      <c r="AH626" s="143"/>
      <c r="AI626" s="143"/>
      <c r="AJ626" s="143"/>
      <c r="AK626" s="143"/>
      <c r="AL626" s="143"/>
      <c r="AM626" s="143"/>
    </row>
    <row r="627" spans="1:39" ht="12.75" customHeight="1" x14ac:dyDescent="0.25">
      <c r="A627" s="143"/>
      <c r="B627" s="143"/>
      <c r="C627" s="143"/>
      <c r="D627" s="143"/>
      <c r="E627" s="143"/>
      <c r="F627" s="143"/>
      <c r="G627" s="143"/>
      <c r="H627" s="143"/>
      <c r="I627" s="143"/>
      <c r="J627" s="143"/>
      <c r="K627" s="143"/>
      <c r="L627" s="143"/>
      <c r="M627" s="143"/>
      <c r="N627" s="143"/>
      <c r="O627" s="143"/>
      <c r="P627" s="143"/>
      <c r="Q627" s="143"/>
      <c r="R627" s="143"/>
      <c r="S627" s="143"/>
      <c r="T627" s="143"/>
      <c r="U627" s="143"/>
      <c r="V627" s="143"/>
      <c r="W627" s="143"/>
      <c r="X627" s="143"/>
      <c r="Y627" s="143"/>
      <c r="Z627" s="143"/>
      <c r="AA627" s="143"/>
      <c r="AB627" s="143"/>
      <c r="AC627" s="143"/>
      <c r="AD627" s="143"/>
      <c r="AE627" s="143"/>
      <c r="AF627" s="143"/>
      <c r="AG627" s="143"/>
      <c r="AH627" s="143"/>
      <c r="AI627" s="143"/>
      <c r="AJ627" s="143"/>
      <c r="AK627" s="143"/>
      <c r="AL627" s="143"/>
      <c r="AM627" s="143"/>
    </row>
    <row r="628" spans="1:39" ht="12.75" customHeight="1" x14ac:dyDescent="0.25">
      <c r="A628" s="143"/>
      <c r="B628" s="143"/>
      <c r="C628" s="143"/>
      <c r="D628" s="143"/>
      <c r="E628" s="143"/>
      <c r="F628" s="143"/>
      <c r="G628" s="143"/>
      <c r="H628" s="143"/>
      <c r="I628" s="143"/>
      <c r="J628" s="143"/>
      <c r="K628" s="143"/>
      <c r="L628" s="143"/>
      <c r="M628" s="143"/>
      <c r="N628" s="143"/>
      <c r="O628" s="143"/>
      <c r="P628" s="143"/>
      <c r="Q628" s="143"/>
      <c r="R628" s="143"/>
      <c r="S628" s="143"/>
      <c r="T628" s="143"/>
      <c r="U628" s="143"/>
      <c r="V628" s="143"/>
      <c r="W628" s="143"/>
      <c r="X628" s="143"/>
      <c r="Y628" s="143"/>
      <c r="Z628" s="143"/>
      <c r="AA628" s="143"/>
      <c r="AB628" s="143"/>
      <c r="AC628" s="143"/>
      <c r="AD628" s="143"/>
      <c r="AE628" s="143"/>
      <c r="AF628" s="143"/>
      <c r="AG628" s="143"/>
      <c r="AH628" s="143"/>
      <c r="AI628" s="143"/>
      <c r="AJ628" s="143"/>
      <c r="AK628" s="143"/>
      <c r="AL628" s="143"/>
      <c r="AM628" s="143"/>
    </row>
    <row r="629" spans="1:39" ht="12.75" customHeight="1" x14ac:dyDescent="0.25">
      <c r="A629" s="143"/>
      <c r="B629" s="143"/>
      <c r="C629" s="143"/>
      <c r="D629" s="143"/>
      <c r="E629" s="143"/>
      <c r="F629" s="143"/>
      <c r="G629" s="143"/>
      <c r="H629" s="143"/>
      <c r="I629" s="143"/>
      <c r="J629" s="143"/>
      <c r="K629" s="143"/>
      <c r="L629" s="143"/>
      <c r="M629" s="143"/>
      <c r="N629" s="143"/>
      <c r="O629" s="143"/>
      <c r="P629" s="143"/>
      <c r="Q629" s="143"/>
      <c r="R629" s="143"/>
      <c r="S629" s="143"/>
      <c r="T629" s="143"/>
      <c r="U629" s="143"/>
      <c r="V629" s="143"/>
      <c r="W629" s="143"/>
      <c r="X629" s="143"/>
      <c r="Y629" s="143"/>
      <c r="Z629" s="143"/>
      <c r="AA629" s="143"/>
      <c r="AB629" s="143"/>
      <c r="AC629" s="143"/>
      <c r="AD629" s="143"/>
      <c r="AE629" s="143"/>
      <c r="AF629" s="143"/>
      <c r="AG629" s="143"/>
      <c r="AH629" s="143"/>
      <c r="AI629" s="143"/>
      <c r="AJ629" s="143"/>
      <c r="AK629" s="143"/>
      <c r="AL629" s="143"/>
      <c r="AM629" s="143"/>
    </row>
    <row r="630" spans="1:39" ht="12.75" customHeight="1" x14ac:dyDescent="0.25">
      <c r="A630" s="143"/>
      <c r="B630" s="143"/>
      <c r="C630" s="143"/>
      <c r="D630" s="143"/>
      <c r="E630" s="143"/>
      <c r="F630" s="143"/>
      <c r="G630" s="143"/>
      <c r="H630" s="143"/>
      <c r="I630" s="143"/>
      <c r="J630" s="143"/>
      <c r="K630" s="143"/>
      <c r="L630" s="143"/>
      <c r="M630" s="143"/>
      <c r="N630" s="143"/>
      <c r="O630" s="143"/>
      <c r="P630" s="143"/>
      <c r="Q630" s="143"/>
      <c r="R630" s="143"/>
      <c r="S630" s="143"/>
      <c r="T630" s="143"/>
      <c r="U630" s="143"/>
      <c r="V630" s="143"/>
      <c r="W630" s="143"/>
      <c r="X630" s="143"/>
      <c r="Y630" s="143"/>
      <c r="Z630" s="143"/>
      <c r="AA630" s="143"/>
      <c r="AB630" s="143"/>
      <c r="AC630" s="143"/>
      <c r="AD630" s="143"/>
      <c r="AE630" s="143"/>
      <c r="AF630" s="143"/>
      <c r="AG630" s="143"/>
      <c r="AH630" s="143"/>
      <c r="AI630" s="143"/>
      <c r="AJ630" s="143"/>
      <c r="AK630" s="143"/>
      <c r="AL630" s="143"/>
      <c r="AM630" s="143"/>
    </row>
    <row r="631" spans="1:39" ht="12.75" customHeight="1" x14ac:dyDescent="0.25">
      <c r="A631" s="143"/>
      <c r="B631" s="143"/>
      <c r="C631" s="143"/>
      <c r="D631" s="143"/>
      <c r="E631" s="143"/>
      <c r="F631" s="143"/>
      <c r="G631" s="143"/>
      <c r="H631" s="143"/>
      <c r="I631" s="143"/>
      <c r="J631" s="143"/>
      <c r="K631" s="143"/>
      <c r="L631" s="143"/>
      <c r="M631" s="143"/>
      <c r="N631" s="143"/>
      <c r="O631" s="143"/>
      <c r="P631" s="143"/>
      <c r="Q631" s="143"/>
      <c r="R631" s="143"/>
      <c r="S631" s="143"/>
      <c r="T631" s="143"/>
      <c r="U631" s="143"/>
      <c r="V631" s="143"/>
      <c r="W631" s="143"/>
      <c r="X631" s="143"/>
      <c r="Y631" s="143"/>
      <c r="Z631" s="143"/>
      <c r="AA631" s="143"/>
      <c r="AB631" s="143"/>
      <c r="AC631" s="143"/>
      <c r="AD631" s="143"/>
      <c r="AE631" s="143"/>
      <c r="AF631" s="143"/>
      <c r="AG631" s="143"/>
      <c r="AH631" s="143"/>
      <c r="AI631" s="143"/>
      <c r="AJ631" s="143"/>
      <c r="AK631" s="143"/>
      <c r="AL631" s="143"/>
      <c r="AM631" s="143"/>
    </row>
    <row r="632" spans="1:39" ht="12.75" customHeight="1" x14ac:dyDescent="0.25">
      <c r="A632" s="143"/>
      <c r="B632" s="143"/>
      <c r="C632" s="143"/>
      <c r="D632" s="143"/>
      <c r="E632" s="143"/>
      <c r="F632" s="143"/>
      <c r="G632" s="143"/>
      <c r="H632" s="143"/>
      <c r="I632" s="143"/>
      <c r="J632" s="143"/>
      <c r="K632" s="143"/>
      <c r="L632" s="143"/>
      <c r="M632" s="143"/>
      <c r="N632" s="143"/>
      <c r="O632" s="143"/>
      <c r="P632" s="143"/>
      <c r="Q632" s="143"/>
      <c r="R632" s="143"/>
      <c r="S632" s="143"/>
      <c r="T632" s="143"/>
      <c r="U632" s="143"/>
      <c r="V632" s="143"/>
      <c r="W632" s="143"/>
      <c r="X632" s="143"/>
      <c r="Y632" s="143"/>
      <c r="Z632" s="143"/>
      <c r="AA632" s="143"/>
      <c r="AB632" s="143"/>
      <c r="AC632" s="143"/>
      <c r="AD632" s="143"/>
      <c r="AE632" s="143"/>
      <c r="AF632" s="143"/>
      <c r="AG632" s="143"/>
      <c r="AH632" s="143"/>
      <c r="AI632" s="143"/>
      <c r="AJ632" s="143"/>
      <c r="AK632" s="143"/>
      <c r="AL632" s="143"/>
      <c r="AM632" s="143"/>
    </row>
    <row r="633" spans="1:39" ht="12.75" customHeight="1" x14ac:dyDescent="0.25">
      <c r="A633" s="143"/>
      <c r="B633" s="143"/>
      <c r="C633" s="143"/>
      <c r="D633" s="143"/>
      <c r="E633" s="143"/>
      <c r="F633" s="143"/>
      <c r="G633" s="143"/>
      <c r="H633" s="143"/>
      <c r="I633" s="143"/>
      <c r="J633" s="143"/>
      <c r="K633" s="143"/>
      <c r="L633" s="143"/>
      <c r="M633" s="143"/>
      <c r="N633" s="143"/>
      <c r="O633" s="143"/>
      <c r="P633" s="143"/>
      <c r="Q633" s="143"/>
      <c r="R633" s="143"/>
      <c r="S633" s="143"/>
      <c r="T633" s="143"/>
      <c r="U633" s="143"/>
      <c r="V633" s="143"/>
      <c r="W633" s="143"/>
      <c r="X633" s="143"/>
      <c r="Y633" s="143"/>
      <c r="Z633" s="143"/>
      <c r="AA633" s="143"/>
      <c r="AB633" s="143"/>
      <c r="AC633" s="143"/>
      <c r="AD633" s="143"/>
      <c r="AE633" s="143"/>
      <c r="AF633" s="143"/>
      <c r="AG633" s="143"/>
      <c r="AH633" s="143"/>
      <c r="AI633" s="143"/>
      <c r="AJ633" s="143"/>
      <c r="AK633" s="143"/>
      <c r="AL633" s="143"/>
      <c r="AM633" s="143"/>
    </row>
    <row r="634" spans="1:39" ht="12.75" customHeight="1" x14ac:dyDescent="0.25">
      <c r="A634" s="143"/>
      <c r="B634" s="143"/>
      <c r="C634" s="143"/>
      <c r="D634" s="143"/>
      <c r="E634" s="143"/>
      <c r="F634" s="143"/>
      <c r="G634" s="143"/>
      <c r="H634" s="143"/>
      <c r="I634" s="143"/>
      <c r="J634" s="143"/>
      <c r="K634" s="143"/>
      <c r="L634" s="143"/>
      <c r="M634" s="143"/>
      <c r="N634" s="143"/>
      <c r="O634" s="143"/>
      <c r="P634" s="143"/>
      <c r="Q634" s="143"/>
      <c r="R634" s="143"/>
      <c r="S634" s="143"/>
      <c r="T634" s="143"/>
      <c r="U634" s="143"/>
      <c r="V634" s="143"/>
      <c r="W634" s="143"/>
      <c r="X634" s="143"/>
      <c r="Y634" s="143"/>
      <c r="Z634" s="143"/>
      <c r="AA634" s="143"/>
      <c r="AB634" s="143"/>
      <c r="AC634" s="143"/>
      <c r="AD634" s="143"/>
      <c r="AE634" s="143"/>
      <c r="AF634" s="143"/>
      <c r="AG634" s="143"/>
      <c r="AH634" s="143"/>
      <c r="AI634" s="143"/>
      <c r="AJ634" s="143"/>
      <c r="AK634" s="143"/>
      <c r="AL634" s="143"/>
      <c r="AM634" s="143"/>
    </row>
    <row r="635" spans="1:39" ht="12.75" customHeight="1" x14ac:dyDescent="0.25">
      <c r="A635" s="143"/>
      <c r="B635" s="143"/>
      <c r="C635" s="143"/>
      <c r="D635" s="143"/>
      <c r="E635" s="143"/>
      <c r="F635" s="143"/>
      <c r="G635" s="143"/>
      <c r="H635" s="143"/>
      <c r="I635" s="143"/>
      <c r="J635" s="143"/>
      <c r="K635" s="143"/>
      <c r="L635" s="143"/>
      <c r="M635" s="143"/>
      <c r="N635" s="143"/>
      <c r="O635" s="143"/>
      <c r="P635" s="143"/>
      <c r="Q635" s="143"/>
      <c r="R635" s="143"/>
      <c r="S635" s="143"/>
      <c r="T635" s="143"/>
      <c r="U635" s="143"/>
      <c r="V635" s="143"/>
      <c r="W635" s="143"/>
      <c r="X635" s="143"/>
      <c r="Y635" s="143"/>
      <c r="Z635" s="143"/>
      <c r="AA635" s="143"/>
      <c r="AB635" s="143"/>
      <c r="AC635" s="143"/>
      <c r="AD635" s="143"/>
      <c r="AE635" s="143"/>
      <c r="AF635" s="143"/>
      <c r="AG635" s="143"/>
      <c r="AH635" s="143"/>
      <c r="AI635" s="143"/>
      <c r="AJ635" s="143"/>
      <c r="AK635" s="143"/>
      <c r="AL635" s="143"/>
      <c r="AM635" s="143"/>
    </row>
    <row r="636" spans="1:39" ht="12.75" customHeight="1" x14ac:dyDescent="0.25">
      <c r="A636" s="143"/>
      <c r="B636" s="143"/>
      <c r="C636" s="143"/>
      <c r="D636" s="143"/>
      <c r="E636" s="143"/>
      <c r="F636" s="143"/>
      <c r="G636" s="143"/>
      <c r="H636" s="143"/>
      <c r="I636" s="143"/>
      <c r="J636" s="143"/>
      <c r="K636" s="143"/>
      <c r="L636" s="143"/>
      <c r="M636" s="143"/>
      <c r="N636" s="143"/>
      <c r="O636" s="143"/>
      <c r="P636" s="143"/>
      <c r="Q636" s="143"/>
      <c r="R636" s="143"/>
      <c r="S636" s="143"/>
      <c r="T636" s="143"/>
      <c r="U636" s="143"/>
      <c r="V636" s="143"/>
      <c r="W636" s="143"/>
      <c r="X636" s="143"/>
      <c r="Y636" s="143"/>
      <c r="Z636" s="143"/>
      <c r="AA636" s="143"/>
      <c r="AB636" s="143"/>
      <c r="AC636" s="143"/>
      <c r="AD636" s="143"/>
      <c r="AE636" s="143"/>
      <c r="AF636" s="143"/>
      <c r="AG636" s="143"/>
      <c r="AH636" s="143"/>
      <c r="AI636" s="143"/>
      <c r="AJ636" s="143"/>
      <c r="AK636" s="143"/>
      <c r="AL636" s="143"/>
      <c r="AM636" s="143"/>
    </row>
    <row r="637" spans="1:39" ht="12.75" customHeight="1" x14ac:dyDescent="0.25">
      <c r="A637" s="143"/>
      <c r="B637" s="143"/>
      <c r="C637" s="143"/>
      <c r="D637" s="143"/>
      <c r="E637" s="143"/>
      <c r="F637" s="143"/>
      <c r="G637" s="143"/>
      <c r="H637" s="143"/>
      <c r="I637" s="143"/>
      <c r="J637" s="143"/>
      <c r="K637" s="143"/>
      <c r="L637" s="143"/>
      <c r="M637" s="143"/>
      <c r="N637" s="143"/>
      <c r="O637" s="143"/>
      <c r="P637" s="143"/>
      <c r="Q637" s="143"/>
      <c r="R637" s="143"/>
      <c r="S637" s="143"/>
      <c r="T637" s="143"/>
      <c r="U637" s="143"/>
      <c r="V637" s="143"/>
      <c r="W637" s="143"/>
      <c r="X637" s="143"/>
      <c r="Y637" s="143"/>
      <c r="Z637" s="143"/>
      <c r="AA637" s="143"/>
      <c r="AB637" s="143"/>
      <c r="AC637" s="143"/>
      <c r="AD637" s="143"/>
      <c r="AE637" s="143"/>
      <c r="AF637" s="143"/>
      <c r="AG637" s="143"/>
      <c r="AH637" s="143"/>
      <c r="AI637" s="143"/>
      <c r="AJ637" s="143"/>
      <c r="AK637" s="143"/>
      <c r="AL637" s="143"/>
      <c r="AM637" s="143"/>
    </row>
    <row r="638" spans="1:39" ht="12.75" customHeight="1" x14ac:dyDescent="0.25">
      <c r="A638" s="143"/>
      <c r="B638" s="143"/>
      <c r="C638" s="143"/>
      <c r="D638" s="143"/>
      <c r="E638" s="143"/>
      <c r="F638" s="143"/>
      <c r="G638" s="143"/>
      <c r="H638" s="143"/>
      <c r="I638" s="143"/>
      <c r="J638" s="143"/>
      <c r="K638" s="143"/>
      <c r="L638" s="143"/>
      <c r="M638" s="143"/>
      <c r="N638" s="143"/>
      <c r="O638" s="143"/>
      <c r="P638" s="143"/>
      <c r="Q638" s="143"/>
      <c r="R638" s="143"/>
      <c r="S638" s="143"/>
      <c r="T638" s="143"/>
      <c r="U638" s="143"/>
      <c r="V638" s="143"/>
      <c r="W638" s="143"/>
      <c r="X638" s="143"/>
      <c r="Y638" s="143"/>
      <c r="Z638" s="143"/>
      <c r="AA638" s="143"/>
      <c r="AB638" s="143"/>
      <c r="AC638" s="143"/>
      <c r="AD638" s="143"/>
      <c r="AE638" s="143"/>
      <c r="AF638" s="143"/>
      <c r="AG638" s="143"/>
      <c r="AH638" s="143"/>
      <c r="AI638" s="143"/>
      <c r="AJ638" s="143"/>
      <c r="AK638" s="143"/>
      <c r="AL638" s="143"/>
      <c r="AM638" s="143"/>
    </row>
    <row r="639" spans="1:39" ht="12.75" customHeight="1" x14ac:dyDescent="0.25">
      <c r="A639" s="143"/>
      <c r="B639" s="143"/>
      <c r="C639" s="143"/>
      <c r="D639" s="143"/>
      <c r="E639" s="143"/>
      <c r="F639" s="143"/>
      <c r="G639" s="143"/>
      <c r="H639" s="143"/>
      <c r="I639" s="143"/>
      <c r="J639" s="143"/>
      <c r="K639" s="143"/>
      <c r="L639" s="143"/>
      <c r="M639" s="143"/>
      <c r="N639" s="143"/>
      <c r="O639" s="143"/>
      <c r="P639" s="143"/>
      <c r="Q639" s="143"/>
      <c r="R639" s="143"/>
      <c r="S639" s="143"/>
      <c r="T639" s="143"/>
      <c r="U639" s="143"/>
      <c r="V639" s="143"/>
      <c r="W639" s="143"/>
      <c r="X639" s="143"/>
      <c r="Y639" s="143"/>
      <c r="Z639" s="143"/>
      <c r="AA639" s="143"/>
      <c r="AB639" s="143"/>
      <c r="AC639" s="143"/>
      <c r="AD639" s="143"/>
      <c r="AE639" s="143"/>
      <c r="AF639" s="143"/>
      <c r="AG639" s="143"/>
      <c r="AH639" s="143"/>
      <c r="AI639" s="143"/>
      <c r="AJ639" s="143"/>
      <c r="AK639" s="143"/>
      <c r="AL639" s="143"/>
      <c r="AM639" s="143"/>
    </row>
    <row r="640" spans="1:39" ht="12.75" customHeight="1" x14ac:dyDescent="0.25">
      <c r="A640" s="143"/>
      <c r="B640" s="143"/>
      <c r="C640" s="143"/>
      <c r="D640" s="143"/>
      <c r="E640" s="143"/>
      <c r="F640" s="143"/>
      <c r="G640" s="143"/>
      <c r="H640" s="143"/>
      <c r="I640" s="143"/>
      <c r="J640" s="143"/>
      <c r="K640" s="143"/>
      <c r="L640" s="143"/>
      <c r="M640" s="143"/>
      <c r="N640" s="143"/>
      <c r="O640" s="143"/>
      <c r="P640" s="143"/>
      <c r="Q640" s="143"/>
      <c r="R640" s="143"/>
      <c r="S640" s="143"/>
      <c r="T640" s="143"/>
      <c r="U640" s="143"/>
      <c r="V640" s="143"/>
      <c r="W640" s="143"/>
      <c r="X640" s="143"/>
      <c r="Y640" s="143"/>
      <c r="Z640" s="143"/>
      <c r="AA640" s="143"/>
      <c r="AB640" s="143"/>
      <c r="AC640" s="143"/>
      <c r="AD640" s="143"/>
      <c r="AE640" s="143"/>
      <c r="AF640" s="143"/>
      <c r="AG640" s="143"/>
      <c r="AH640" s="143"/>
      <c r="AI640" s="143"/>
      <c r="AJ640" s="143"/>
      <c r="AK640" s="143"/>
      <c r="AL640" s="143"/>
      <c r="AM640" s="143"/>
    </row>
    <row r="641" spans="1:39" ht="12.75" customHeight="1" x14ac:dyDescent="0.25">
      <c r="A641" s="143"/>
      <c r="B641" s="143"/>
      <c r="C641" s="143"/>
      <c r="D641" s="143"/>
      <c r="E641" s="143"/>
      <c r="F641" s="143"/>
      <c r="G641" s="143"/>
      <c r="H641" s="143"/>
      <c r="I641" s="143"/>
      <c r="J641" s="143"/>
      <c r="K641" s="143"/>
      <c r="L641" s="143"/>
      <c r="M641" s="143"/>
      <c r="N641" s="143"/>
      <c r="O641" s="143"/>
      <c r="P641" s="143"/>
      <c r="Q641" s="143"/>
      <c r="R641" s="143"/>
      <c r="S641" s="143"/>
      <c r="T641" s="143"/>
      <c r="U641" s="143"/>
      <c r="V641" s="143"/>
      <c r="W641" s="143"/>
      <c r="X641" s="143"/>
      <c r="Y641" s="143"/>
      <c r="Z641" s="143"/>
      <c r="AA641" s="143"/>
      <c r="AB641" s="143"/>
      <c r="AC641" s="143"/>
      <c r="AD641" s="143"/>
      <c r="AE641" s="143"/>
      <c r="AF641" s="143"/>
      <c r="AG641" s="143"/>
      <c r="AH641" s="143"/>
      <c r="AI641" s="143"/>
      <c r="AJ641" s="143"/>
      <c r="AK641" s="143"/>
      <c r="AL641" s="143"/>
      <c r="AM641" s="143"/>
    </row>
    <row r="642" spans="1:39" ht="12.75" customHeight="1" x14ac:dyDescent="0.25">
      <c r="A642" s="143"/>
      <c r="B642" s="143"/>
      <c r="C642" s="143"/>
      <c r="D642" s="143"/>
      <c r="E642" s="143"/>
      <c r="F642" s="143"/>
      <c r="G642" s="143"/>
      <c r="H642" s="143"/>
      <c r="I642" s="143"/>
      <c r="J642" s="143"/>
      <c r="K642" s="143"/>
      <c r="L642" s="143"/>
      <c r="M642" s="143"/>
      <c r="N642" s="143"/>
      <c r="O642" s="143"/>
      <c r="P642" s="143"/>
      <c r="Q642" s="143"/>
      <c r="R642" s="143"/>
      <c r="S642" s="143"/>
      <c r="T642" s="143"/>
      <c r="U642" s="143"/>
      <c r="V642" s="143"/>
      <c r="W642" s="143"/>
      <c r="X642" s="143"/>
      <c r="Y642" s="143"/>
      <c r="Z642" s="143"/>
      <c r="AA642" s="143"/>
      <c r="AB642" s="143"/>
      <c r="AC642" s="143"/>
      <c r="AD642" s="143"/>
      <c r="AE642" s="143"/>
      <c r="AF642" s="143"/>
      <c r="AG642" s="143"/>
      <c r="AH642" s="143"/>
      <c r="AI642" s="143"/>
      <c r="AJ642" s="143"/>
      <c r="AK642" s="143"/>
      <c r="AL642" s="143"/>
      <c r="AM642" s="143"/>
    </row>
    <row r="643" spans="1:39" ht="12.75" customHeight="1" x14ac:dyDescent="0.25">
      <c r="A643" s="143"/>
      <c r="B643" s="143"/>
      <c r="C643" s="143"/>
      <c r="D643" s="143"/>
      <c r="E643" s="143"/>
      <c r="F643" s="143"/>
      <c r="G643" s="143"/>
      <c r="H643" s="143"/>
      <c r="I643" s="143"/>
      <c r="J643" s="143"/>
      <c r="K643" s="143"/>
      <c r="L643" s="143"/>
      <c r="M643" s="143"/>
      <c r="N643" s="143"/>
      <c r="O643" s="143"/>
      <c r="P643" s="143"/>
      <c r="Q643" s="143"/>
      <c r="R643" s="143"/>
      <c r="S643" s="143"/>
      <c r="T643" s="143"/>
      <c r="U643" s="143"/>
      <c r="V643" s="143"/>
      <c r="W643" s="143"/>
      <c r="X643" s="143"/>
      <c r="Y643" s="143"/>
      <c r="Z643" s="143"/>
      <c r="AA643" s="143"/>
      <c r="AB643" s="143"/>
      <c r="AC643" s="143"/>
      <c r="AD643" s="143"/>
      <c r="AE643" s="143"/>
      <c r="AF643" s="143"/>
      <c r="AG643" s="143"/>
      <c r="AH643" s="143"/>
      <c r="AI643" s="143"/>
      <c r="AJ643" s="143"/>
      <c r="AK643" s="143"/>
      <c r="AL643" s="143"/>
      <c r="AM643" s="143"/>
    </row>
    <row r="644" spans="1:39" ht="12.75" customHeight="1" x14ac:dyDescent="0.25">
      <c r="A644" s="143"/>
      <c r="B644" s="143"/>
      <c r="C644" s="143"/>
      <c r="D644" s="143"/>
      <c r="E644" s="143"/>
      <c r="F644" s="143"/>
      <c r="G644" s="143"/>
      <c r="H644" s="143"/>
      <c r="I644" s="143"/>
      <c r="J644" s="143"/>
      <c r="K644" s="143"/>
      <c r="L644" s="143"/>
      <c r="M644" s="143"/>
      <c r="N644" s="143"/>
      <c r="O644" s="143"/>
      <c r="P644" s="143"/>
      <c r="Q644" s="143"/>
      <c r="R644" s="143"/>
      <c r="S644" s="143"/>
      <c r="T644" s="143"/>
      <c r="U644" s="143"/>
      <c r="V644" s="143"/>
      <c r="W644" s="143"/>
      <c r="X644" s="143"/>
      <c r="Y644" s="143"/>
      <c r="Z644" s="143"/>
      <c r="AA644" s="143"/>
      <c r="AB644" s="143"/>
      <c r="AC644" s="143"/>
      <c r="AD644" s="143"/>
      <c r="AE644" s="143"/>
      <c r="AF644" s="143"/>
      <c r="AG644" s="143"/>
      <c r="AH644" s="143"/>
      <c r="AI644" s="143"/>
      <c r="AJ644" s="143"/>
      <c r="AK644" s="143"/>
      <c r="AL644" s="143"/>
      <c r="AM644" s="143"/>
    </row>
    <row r="645" spans="1:39" ht="12.75" customHeight="1" x14ac:dyDescent="0.25">
      <c r="A645" s="143"/>
      <c r="B645" s="143"/>
      <c r="C645" s="143"/>
      <c r="D645" s="143"/>
      <c r="E645" s="143"/>
      <c r="F645" s="143"/>
      <c r="G645" s="143"/>
      <c r="H645" s="143"/>
      <c r="I645" s="143"/>
      <c r="J645" s="143"/>
      <c r="K645" s="143"/>
      <c r="L645" s="143"/>
      <c r="M645" s="143"/>
      <c r="N645" s="143"/>
      <c r="O645" s="143"/>
      <c r="P645" s="143"/>
      <c r="Q645" s="143"/>
      <c r="R645" s="143"/>
      <c r="S645" s="143"/>
      <c r="T645" s="143"/>
      <c r="U645" s="143"/>
      <c r="V645" s="143"/>
      <c r="W645" s="143"/>
      <c r="X645" s="143"/>
      <c r="Y645" s="143"/>
      <c r="Z645" s="143"/>
      <c r="AA645" s="143"/>
      <c r="AB645" s="143"/>
      <c r="AC645" s="143"/>
      <c r="AD645" s="143"/>
      <c r="AE645" s="143"/>
      <c r="AF645" s="143"/>
      <c r="AG645" s="143"/>
      <c r="AH645" s="143"/>
      <c r="AI645" s="143"/>
      <c r="AJ645" s="143"/>
      <c r="AK645" s="143"/>
      <c r="AL645" s="143"/>
      <c r="AM645" s="143"/>
    </row>
    <row r="646" spans="1:39" ht="12.75" customHeight="1" x14ac:dyDescent="0.25">
      <c r="A646" s="143"/>
      <c r="B646" s="143"/>
      <c r="C646" s="143"/>
      <c r="D646" s="143"/>
      <c r="E646" s="143"/>
      <c r="F646" s="143"/>
      <c r="G646" s="143"/>
      <c r="H646" s="143"/>
      <c r="I646" s="143"/>
      <c r="J646" s="143"/>
      <c r="K646" s="143"/>
      <c r="L646" s="143"/>
      <c r="M646" s="143"/>
      <c r="N646" s="143"/>
      <c r="O646" s="143"/>
      <c r="P646" s="143"/>
      <c r="Q646" s="143"/>
      <c r="R646" s="143"/>
      <c r="S646" s="143"/>
      <c r="T646" s="143"/>
      <c r="U646" s="143"/>
      <c r="V646" s="143"/>
      <c r="W646" s="143"/>
      <c r="X646" s="143"/>
      <c r="Y646" s="143"/>
      <c r="Z646" s="143"/>
      <c r="AA646" s="143"/>
      <c r="AB646" s="143"/>
      <c r="AC646" s="143"/>
      <c r="AD646" s="143"/>
      <c r="AE646" s="143"/>
      <c r="AF646" s="143"/>
      <c r="AG646" s="143"/>
      <c r="AH646" s="143"/>
      <c r="AI646" s="143"/>
      <c r="AJ646" s="143"/>
      <c r="AK646" s="143"/>
      <c r="AL646" s="143"/>
      <c r="AM646" s="143"/>
    </row>
    <row r="647" spans="1:39" ht="12.75" customHeight="1" x14ac:dyDescent="0.25">
      <c r="A647" s="143"/>
      <c r="B647" s="143"/>
      <c r="C647" s="143"/>
      <c r="D647" s="143"/>
      <c r="E647" s="143"/>
      <c r="F647" s="143"/>
      <c r="G647" s="143"/>
      <c r="H647" s="143"/>
      <c r="I647" s="143"/>
      <c r="J647" s="143"/>
      <c r="K647" s="143"/>
      <c r="L647" s="143"/>
      <c r="M647" s="143"/>
      <c r="N647" s="143"/>
      <c r="O647" s="143"/>
      <c r="P647" s="143"/>
      <c r="Q647" s="143"/>
      <c r="R647" s="143"/>
      <c r="S647" s="143"/>
      <c r="T647" s="143"/>
      <c r="U647" s="143"/>
      <c r="V647" s="143"/>
      <c r="W647" s="143"/>
      <c r="X647" s="143"/>
      <c r="Y647" s="143"/>
      <c r="Z647" s="143"/>
      <c r="AA647" s="143"/>
      <c r="AB647" s="143"/>
      <c r="AC647" s="143"/>
      <c r="AD647" s="143"/>
      <c r="AE647" s="143"/>
      <c r="AF647" s="143"/>
      <c r="AG647" s="143"/>
      <c r="AH647" s="143"/>
      <c r="AI647" s="143"/>
      <c r="AJ647" s="143"/>
      <c r="AK647" s="143"/>
      <c r="AL647" s="143"/>
      <c r="AM647" s="143"/>
    </row>
    <row r="648" spans="1:39" ht="12.75" customHeight="1" x14ac:dyDescent="0.25">
      <c r="A648" s="143"/>
      <c r="B648" s="143"/>
      <c r="C648" s="143"/>
      <c r="D648" s="143"/>
      <c r="E648" s="143"/>
      <c r="F648" s="143"/>
      <c r="G648" s="143"/>
      <c r="H648" s="143"/>
      <c r="I648" s="143"/>
      <c r="J648" s="143"/>
      <c r="K648" s="143"/>
      <c r="L648" s="143"/>
      <c r="M648" s="143"/>
      <c r="N648" s="143"/>
      <c r="O648" s="143"/>
      <c r="P648" s="143"/>
      <c r="Q648" s="143"/>
      <c r="R648" s="143"/>
      <c r="S648" s="143"/>
      <c r="T648" s="143"/>
      <c r="U648" s="143"/>
      <c r="V648" s="143"/>
      <c r="W648" s="143"/>
      <c r="X648" s="143"/>
      <c r="Y648" s="143"/>
      <c r="Z648" s="143"/>
      <c r="AA648" s="143"/>
      <c r="AB648" s="143"/>
      <c r="AC648" s="143"/>
      <c r="AD648" s="143"/>
      <c r="AE648" s="143"/>
      <c r="AF648" s="143"/>
      <c r="AG648" s="143"/>
      <c r="AH648" s="143"/>
      <c r="AI648" s="143"/>
      <c r="AJ648" s="143"/>
      <c r="AK648" s="143"/>
      <c r="AL648" s="143"/>
      <c r="AM648" s="143"/>
    </row>
    <row r="649" spans="1:39" ht="12.75" customHeight="1" x14ac:dyDescent="0.25">
      <c r="A649" s="143"/>
      <c r="B649" s="143"/>
      <c r="C649" s="143"/>
      <c r="D649" s="143"/>
      <c r="E649" s="143"/>
      <c r="F649" s="143"/>
      <c r="G649" s="143"/>
      <c r="H649" s="143"/>
      <c r="I649" s="143"/>
      <c r="J649" s="143"/>
      <c r="K649" s="143"/>
      <c r="L649" s="143"/>
      <c r="M649" s="143"/>
      <c r="N649" s="143"/>
      <c r="O649" s="143"/>
      <c r="P649" s="143"/>
      <c r="Q649" s="143"/>
      <c r="R649" s="143"/>
      <c r="S649" s="143"/>
      <c r="T649" s="143"/>
      <c r="U649" s="143"/>
      <c r="V649" s="143"/>
      <c r="W649" s="143"/>
      <c r="X649" s="143"/>
      <c r="Y649" s="143"/>
      <c r="Z649" s="143"/>
      <c r="AA649" s="143"/>
      <c r="AB649" s="143"/>
      <c r="AC649" s="143"/>
      <c r="AD649" s="143"/>
      <c r="AE649" s="143"/>
      <c r="AF649" s="143"/>
      <c r="AG649" s="143"/>
      <c r="AH649" s="143"/>
      <c r="AI649" s="143"/>
      <c r="AJ649" s="143"/>
      <c r="AK649" s="143"/>
      <c r="AL649" s="143"/>
      <c r="AM649" s="143"/>
    </row>
    <row r="650" spans="1:39" ht="12.75" customHeight="1" x14ac:dyDescent="0.25">
      <c r="A650" s="143"/>
      <c r="B650" s="143"/>
      <c r="C650" s="143"/>
      <c r="D650" s="143"/>
      <c r="E650" s="143"/>
      <c r="F650" s="143"/>
      <c r="G650" s="143"/>
      <c r="H650" s="143"/>
      <c r="I650" s="143"/>
      <c r="J650" s="143"/>
      <c r="K650" s="143"/>
      <c r="L650" s="143"/>
      <c r="M650" s="143"/>
      <c r="N650" s="143"/>
      <c r="O650" s="143"/>
      <c r="P650" s="143"/>
      <c r="Q650" s="143"/>
      <c r="R650" s="143"/>
      <c r="S650" s="143"/>
      <c r="T650" s="143"/>
      <c r="U650" s="143"/>
      <c r="V650" s="143"/>
      <c r="W650" s="143"/>
      <c r="X650" s="143"/>
      <c r="Y650" s="143"/>
      <c r="Z650" s="143"/>
      <c r="AA650" s="143"/>
      <c r="AB650" s="143"/>
      <c r="AC650" s="143"/>
      <c r="AD650" s="143"/>
      <c r="AE650" s="143"/>
      <c r="AF650" s="143"/>
      <c r="AG650" s="143"/>
      <c r="AH650" s="143"/>
      <c r="AI650" s="143"/>
      <c r="AJ650" s="143"/>
      <c r="AK650" s="143"/>
      <c r="AL650" s="143"/>
      <c r="AM650" s="143"/>
    </row>
    <row r="651" spans="1:39" ht="12.75" customHeight="1" x14ac:dyDescent="0.25">
      <c r="A651" s="143"/>
      <c r="B651" s="143"/>
      <c r="C651" s="143"/>
      <c r="D651" s="143"/>
      <c r="E651" s="143"/>
      <c r="F651" s="143"/>
      <c r="G651" s="143"/>
      <c r="H651" s="143"/>
      <c r="I651" s="143"/>
      <c r="J651" s="143"/>
      <c r="K651" s="143"/>
      <c r="L651" s="143"/>
      <c r="M651" s="143"/>
      <c r="N651" s="143"/>
      <c r="O651" s="143"/>
      <c r="P651" s="143"/>
      <c r="Q651" s="143"/>
      <c r="R651" s="143"/>
      <c r="S651" s="143"/>
      <c r="T651" s="143"/>
      <c r="U651" s="143"/>
      <c r="V651" s="143"/>
      <c r="W651" s="143"/>
      <c r="X651" s="143"/>
      <c r="Y651" s="143"/>
      <c r="Z651" s="143"/>
      <c r="AA651" s="143"/>
      <c r="AB651" s="143"/>
      <c r="AC651" s="143"/>
      <c r="AD651" s="143"/>
      <c r="AE651" s="143"/>
      <c r="AF651" s="143"/>
      <c r="AG651" s="143"/>
      <c r="AH651" s="143"/>
      <c r="AI651" s="143"/>
      <c r="AJ651" s="143"/>
      <c r="AK651" s="143"/>
      <c r="AL651" s="143"/>
      <c r="AM651" s="143"/>
    </row>
    <row r="652" spans="1:39" ht="12.75" customHeight="1" x14ac:dyDescent="0.25">
      <c r="A652" s="143"/>
      <c r="B652" s="143"/>
      <c r="C652" s="143"/>
      <c r="D652" s="143"/>
      <c r="E652" s="143"/>
      <c r="F652" s="143"/>
      <c r="G652" s="143"/>
      <c r="H652" s="143"/>
      <c r="I652" s="143"/>
      <c r="J652" s="143"/>
      <c r="K652" s="143"/>
      <c r="L652" s="143"/>
      <c r="M652" s="143"/>
      <c r="N652" s="143"/>
      <c r="O652" s="143"/>
      <c r="P652" s="143"/>
      <c r="Q652" s="143"/>
      <c r="R652" s="143"/>
      <c r="S652" s="143"/>
      <c r="T652" s="143"/>
      <c r="U652" s="143"/>
      <c r="V652" s="143"/>
      <c r="W652" s="143"/>
      <c r="X652" s="143"/>
      <c r="Y652" s="143"/>
      <c r="Z652" s="143"/>
      <c r="AA652" s="143"/>
      <c r="AB652" s="143"/>
      <c r="AC652" s="143"/>
      <c r="AD652" s="143"/>
      <c r="AE652" s="143"/>
      <c r="AF652" s="143"/>
      <c r="AG652" s="143"/>
      <c r="AH652" s="143"/>
      <c r="AI652" s="143"/>
      <c r="AJ652" s="143"/>
      <c r="AK652" s="143"/>
      <c r="AL652" s="143"/>
      <c r="AM652" s="143"/>
    </row>
    <row r="653" spans="1:39" ht="12.75" customHeight="1" x14ac:dyDescent="0.25">
      <c r="A653" s="143"/>
      <c r="B653" s="143"/>
      <c r="C653" s="143"/>
      <c r="D653" s="143"/>
      <c r="E653" s="143"/>
      <c r="F653" s="143"/>
      <c r="G653" s="143"/>
      <c r="H653" s="143"/>
      <c r="I653" s="143"/>
      <c r="J653" s="143"/>
      <c r="K653" s="143"/>
      <c r="L653" s="143"/>
      <c r="M653" s="143"/>
      <c r="N653" s="143"/>
      <c r="O653" s="143"/>
      <c r="P653" s="143"/>
      <c r="Q653" s="143"/>
      <c r="R653" s="143"/>
      <c r="S653" s="143"/>
      <c r="T653" s="143"/>
      <c r="U653" s="143"/>
      <c r="V653" s="143"/>
      <c r="W653" s="143"/>
      <c r="X653" s="143"/>
      <c r="Y653" s="143"/>
      <c r="Z653" s="143"/>
      <c r="AA653" s="143"/>
      <c r="AB653" s="143"/>
      <c r="AC653" s="143"/>
      <c r="AD653" s="143"/>
      <c r="AE653" s="143"/>
      <c r="AF653" s="143"/>
      <c r="AG653" s="143"/>
      <c r="AH653" s="143"/>
      <c r="AI653" s="143"/>
      <c r="AJ653" s="143"/>
      <c r="AK653" s="143"/>
      <c r="AL653" s="143"/>
      <c r="AM653" s="143"/>
    </row>
    <row r="654" spans="1:39" ht="12.75" customHeight="1" x14ac:dyDescent="0.25">
      <c r="A654" s="143"/>
      <c r="B654" s="143"/>
      <c r="C654" s="143"/>
      <c r="D654" s="143"/>
      <c r="E654" s="143"/>
      <c r="F654" s="143"/>
      <c r="G654" s="143"/>
      <c r="H654" s="143"/>
      <c r="I654" s="143"/>
      <c r="J654" s="143"/>
      <c r="K654" s="143"/>
      <c r="L654" s="143"/>
      <c r="M654" s="143"/>
      <c r="N654" s="143"/>
      <c r="O654" s="143"/>
      <c r="P654" s="143"/>
      <c r="Q654" s="143"/>
      <c r="R654" s="143"/>
      <c r="S654" s="143"/>
      <c r="T654" s="143"/>
      <c r="U654" s="143"/>
      <c r="V654" s="143"/>
      <c r="W654" s="143"/>
      <c r="X654" s="143"/>
      <c r="Y654" s="143"/>
      <c r="Z654" s="143"/>
      <c r="AA654" s="143"/>
      <c r="AB654" s="143"/>
      <c r="AC654" s="143"/>
      <c r="AD654" s="143"/>
      <c r="AE654" s="143"/>
      <c r="AF654" s="143"/>
      <c r="AG654" s="143"/>
      <c r="AH654" s="143"/>
      <c r="AI654" s="143"/>
      <c r="AJ654" s="143"/>
      <c r="AK654" s="143"/>
      <c r="AL654" s="143"/>
      <c r="AM654" s="143"/>
    </row>
    <row r="655" spans="1:39" ht="12.75" customHeight="1" x14ac:dyDescent="0.25">
      <c r="A655" s="143"/>
      <c r="B655" s="143"/>
      <c r="C655" s="143"/>
      <c r="D655" s="143"/>
      <c r="E655" s="143"/>
      <c r="F655" s="143"/>
      <c r="G655" s="143"/>
      <c r="H655" s="143"/>
      <c r="I655" s="143"/>
      <c r="J655" s="143"/>
      <c r="K655" s="143"/>
      <c r="L655" s="143"/>
      <c r="M655" s="143"/>
      <c r="N655" s="143"/>
      <c r="O655" s="143"/>
      <c r="P655" s="143"/>
      <c r="Q655" s="143"/>
      <c r="R655" s="143"/>
      <c r="S655" s="143"/>
      <c r="T655" s="143"/>
      <c r="U655" s="143"/>
      <c r="V655" s="143"/>
      <c r="W655" s="143"/>
      <c r="X655" s="143"/>
      <c r="Y655" s="143"/>
      <c r="Z655" s="143"/>
      <c r="AA655" s="143"/>
      <c r="AB655" s="143"/>
      <c r="AC655" s="143"/>
      <c r="AD655" s="143"/>
      <c r="AE655" s="143"/>
      <c r="AF655" s="143"/>
      <c r="AG655" s="143"/>
      <c r="AH655" s="143"/>
      <c r="AI655" s="143"/>
      <c r="AJ655" s="143"/>
      <c r="AK655" s="143"/>
      <c r="AL655" s="143"/>
      <c r="AM655" s="143"/>
    </row>
    <row r="656" spans="1:39" ht="12.75" customHeight="1" x14ac:dyDescent="0.25">
      <c r="A656" s="143"/>
      <c r="B656" s="143"/>
      <c r="C656" s="143"/>
      <c r="D656" s="143"/>
      <c r="E656" s="143"/>
      <c r="F656" s="143"/>
      <c r="G656" s="143"/>
      <c r="H656" s="143"/>
      <c r="I656" s="143"/>
      <c r="J656" s="143"/>
      <c r="K656" s="143"/>
      <c r="L656" s="143"/>
      <c r="M656" s="143"/>
      <c r="N656" s="143"/>
      <c r="O656" s="143"/>
      <c r="P656" s="143"/>
      <c r="Q656" s="143"/>
      <c r="R656" s="143"/>
      <c r="S656" s="143"/>
      <c r="T656" s="143"/>
      <c r="U656" s="143"/>
      <c r="V656" s="143"/>
      <c r="W656" s="143"/>
      <c r="X656" s="143"/>
      <c r="Y656" s="143"/>
      <c r="Z656" s="143"/>
      <c r="AA656" s="143"/>
      <c r="AB656" s="143"/>
      <c r="AC656" s="143"/>
      <c r="AD656" s="143"/>
      <c r="AE656" s="143"/>
      <c r="AF656" s="143"/>
      <c r="AG656" s="143"/>
      <c r="AH656" s="143"/>
      <c r="AI656" s="143"/>
      <c r="AJ656" s="143"/>
      <c r="AK656" s="143"/>
      <c r="AL656" s="143"/>
      <c r="AM656" s="143"/>
    </row>
    <row r="657" spans="1:39" ht="12.75" customHeight="1" x14ac:dyDescent="0.25">
      <c r="A657" s="143"/>
      <c r="B657" s="143"/>
      <c r="C657" s="143"/>
      <c r="D657" s="143"/>
      <c r="E657" s="143"/>
      <c r="F657" s="143"/>
      <c r="G657" s="143"/>
      <c r="H657" s="143"/>
      <c r="I657" s="143"/>
      <c r="J657" s="143"/>
      <c r="K657" s="143"/>
      <c r="L657" s="143"/>
      <c r="M657" s="143"/>
      <c r="N657" s="143"/>
      <c r="O657" s="143"/>
      <c r="P657" s="143"/>
      <c r="Q657" s="143"/>
      <c r="R657" s="143"/>
      <c r="S657" s="143"/>
      <c r="T657" s="143"/>
      <c r="U657" s="143"/>
      <c r="V657" s="143"/>
      <c r="W657" s="143"/>
      <c r="X657" s="143"/>
      <c r="Y657" s="143"/>
      <c r="Z657" s="143"/>
      <c r="AA657" s="143"/>
      <c r="AB657" s="143"/>
      <c r="AC657" s="143"/>
      <c r="AD657" s="143"/>
      <c r="AE657" s="143"/>
      <c r="AF657" s="143"/>
      <c r="AG657" s="143"/>
      <c r="AH657" s="143"/>
      <c r="AI657" s="143"/>
      <c r="AJ657" s="143"/>
      <c r="AK657" s="143"/>
      <c r="AL657" s="143"/>
      <c r="AM657" s="143"/>
    </row>
    <row r="658" spans="1:39" ht="12.75" customHeight="1" x14ac:dyDescent="0.25">
      <c r="A658" s="143"/>
      <c r="B658" s="143"/>
      <c r="C658" s="143"/>
      <c r="D658" s="143"/>
      <c r="E658" s="143"/>
      <c r="F658" s="143"/>
      <c r="G658" s="143"/>
      <c r="H658" s="143"/>
      <c r="I658" s="143"/>
      <c r="J658" s="143"/>
      <c r="K658" s="143"/>
      <c r="L658" s="143"/>
      <c r="M658" s="143"/>
      <c r="N658" s="143"/>
      <c r="O658" s="143"/>
      <c r="P658" s="143"/>
      <c r="Q658" s="143"/>
      <c r="R658" s="143"/>
      <c r="S658" s="143"/>
      <c r="T658" s="143"/>
      <c r="U658" s="143"/>
      <c r="V658" s="143"/>
      <c r="W658" s="143"/>
      <c r="X658" s="143"/>
      <c r="Y658" s="143"/>
      <c r="Z658" s="143"/>
      <c r="AA658" s="143"/>
      <c r="AB658" s="143"/>
      <c r="AC658" s="143"/>
      <c r="AD658" s="143"/>
      <c r="AE658" s="143"/>
      <c r="AF658" s="143"/>
      <c r="AG658" s="143"/>
      <c r="AH658" s="143"/>
      <c r="AI658" s="143"/>
      <c r="AJ658" s="143"/>
      <c r="AK658" s="143"/>
      <c r="AL658" s="143"/>
      <c r="AM658" s="143"/>
    </row>
    <row r="659" spans="1:39" ht="12.75" customHeight="1" x14ac:dyDescent="0.25">
      <c r="A659" s="143"/>
      <c r="B659" s="143"/>
      <c r="C659" s="143"/>
      <c r="D659" s="143"/>
      <c r="E659" s="143"/>
      <c r="F659" s="143"/>
      <c r="G659" s="143"/>
      <c r="H659" s="143"/>
      <c r="I659" s="143"/>
      <c r="J659" s="143"/>
      <c r="K659" s="143"/>
      <c r="L659" s="143"/>
      <c r="M659" s="143"/>
      <c r="N659" s="143"/>
      <c r="O659" s="143"/>
      <c r="P659" s="143"/>
      <c r="Q659" s="143"/>
      <c r="R659" s="143"/>
      <c r="S659" s="143"/>
      <c r="T659" s="143"/>
      <c r="U659" s="143"/>
      <c r="V659" s="143"/>
      <c r="W659" s="143"/>
      <c r="X659" s="143"/>
      <c r="Y659" s="143"/>
      <c r="Z659" s="143"/>
      <c r="AA659" s="143"/>
      <c r="AB659" s="143"/>
      <c r="AC659" s="143"/>
      <c r="AD659" s="143"/>
      <c r="AE659" s="143"/>
      <c r="AF659" s="143"/>
      <c r="AG659" s="143"/>
      <c r="AH659" s="143"/>
      <c r="AI659" s="143"/>
      <c r="AJ659" s="143"/>
      <c r="AK659" s="143"/>
      <c r="AL659" s="143"/>
      <c r="AM659" s="143"/>
    </row>
    <row r="660" spans="1:39" ht="12.75" customHeight="1" x14ac:dyDescent="0.25">
      <c r="A660" s="143"/>
      <c r="B660" s="143"/>
      <c r="C660" s="143"/>
      <c r="D660" s="143"/>
      <c r="E660" s="143"/>
      <c r="F660" s="143"/>
      <c r="G660" s="143"/>
      <c r="H660" s="143"/>
      <c r="I660" s="143"/>
      <c r="J660" s="143"/>
      <c r="K660" s="143"/>
      <c r="L660" s="143"/>
      <c r="M660" s="143"/>
      <c r="N660" s="143"/>
      <c r="O660" s="143"/>
      <c r="P660" s="143"/>
      <c r="Q660" s="143"/>
      <c r="R660" s="143"/>
      <c r="S660" s="143"/>
      <c r="T660" s="143"/>
      <c r="U660" s="143"/>
      <c r="V660" s="143"/>
      <c r="W660" s="143"/>
      <c r="X660" s="143"/>
      <c r="Y660" s="143"/>
      <c r="Z660" s="143"/>
      <c r="AA660" s="143"/>
      <c r="AB660" s="143"/>
      <c r="AC660" s="143"/>
      <c r="AD660" s="143"/>
      <c r="AE660" s="143"/>
      <c r="AF660" s="143"/>
      <c r="AG660" s="143"/>
      <c r="AH660" s="143"/>
      <c r="AI660" s="143"/>
      <c r="AJ660" s="143"/>
      <c r="AK660" s="143"/>
      <c r="AL660" s="143"/>
      <c r="AM660" s="143"/>
    </row>
    <row r="661" spans="1:39" ht="12.75" customHeight="1" x14ac:dyDescent="0.25">
      <c r="A661" s="143"/>
      <c r="B661" s="143"/>
      <c r="C661" s="143"/>
      <c r="D661" s="143"/>
      <c r="E661" s="143"/>
      <c r="F661" s="143"/>
      <c r="G661" s="143"/>
      <c r="H661" s="143"/>
      <c r="I661" s="143"/>
      <c r="J661" s="143"/>
      <c r="K661" s="143"/>
      <c r="L661" s="143"/>
      <c r="M661" s="143"/>
      <c r="N661" s="143"/>
      <c r="O661" s="143"/>
      <c r="P661" s="143"/>
      <c r="Q661" s="143"/>
      <c r="R661" s="143"/>
      <c r="S661" s="143"/>
      <c r="T661" s="143"/>
      <c r="U661" s="143"/>
      <c r="V661" s="143"/>
      <c r="W661" s="143"/>
      <c r="X661" s="143"/>
      <c r="Y661" s="143"/>
      <c r="Z661" s="143"/>
      <c r="AA661" s="143"/>
      <c r="AB661" s="143"/>
      <c r="AC661" s="143"/>
      <c r="AD661" s="143"/>
      <c r="AE661" s="143"/>
      <c r="AF661" s="143"/>
      <c r="AG661" s="143"/>
      <c r="AH661" s="143"/>
      <c r="AI661" s="143"/>
      <c r="AJ661" s="143"/>
      <c r="AK661" s="143"/>
      <c r="AL661" s="143"/>
      <c r="AM661" s="143"/>
    </row>
    <row r="662" spans="1:39" ht="12.75" customHeight="1" x14ac:dyDescent="0.25">
      <c r="A662" s="143"/>
      <c r="B662" s="143"/>
      <c r="C662" s="143"/>
      <c r="D662" s="143"/>
      <c r="E662" s="143"/>
      <c r="F662" s="143"/>
      <c r="G662" s="143"/>
      <c r="H662" s="143"/>
      <c r="I662" s="143"/>
      <c r="J662" s="143"/>
      <c r="K662" s="143"/>
      <c r="L662" s="143"/>
      <c r="M662" s="143"/>
      <c r="N662" s="143"/>
      <c r="O662" s="143"/>
      <c r="P662" s="143"/>
      <c r="Q662" s="143"/>
      <c r="R662" s="143"/>
      <c r="S662" s="143"/>
      <c r="T662" s="143"/>
      <c r="U662" s="143"/>
      <c r="V662" s="143"/>
      <c r="W662" s="143"/>
      <c r="X662" s="143"/>
      <c r="Y662" s="143"/>
      <c r="Z662" s="143"/>
      <c r="AA662" s="143"/>
      <c r="AB662" s="143"/>
      <c r="AC662" s="143"/>
      <c r="AD662" s="143"/>
      <c r="AE662" s="143"/>
      <c r="AF662" s="143"/>
      <c r="AG662" s="143"/>
      <c r="AH662" s="143"/>
      <c r="AI662" s="143"/>
      <c r="AJ662" s="143"/>
      <c r="AK662" s="143"/>
      <c r="AL662" s="143"/>
      <c r="AM662" s="143"/>
    </row>
    <row r="663" spans="1:39" ht="12.75" customHeight="1" x14ac:dyDescent="0.25">
      <c r="A663" s="143"/>
      <c r="B663" s="143"/>
      <c r="C663" s="143"/>
      <c r="D663" s="143"/>
      <c r="E663" s="143"/>
      <c r="F663" s="143"/>
      <c r="G663" s="143"/>
      <c r="H663" s="143"/>
      <c r="I663" s="143"/>
      <c r="J663" s="143"/>
      <c r="K663" s="143"/>
      <c r="L663" s="143"/>
      <c r="M663" s="143"/>
      <c r="N663" s="143"/>
      <c r="O663" s="143"/>
      <c r="P663" s="143"/>
      <c r="Q663" s="143"/>
      <c r="R663" s="143"/>
      <c r="S663" s="143"/>
      <c r="T663" s="143"/>
      <c r="U663" s="143"/>
      <c r="V663" s="143"/>
      <c r="W663" s="143"/>
      <c r="X663" s="143"/>
      <c r="Y663" s="143"/>
      <c r="Z663" s="143"/>
      <c r="AA663" s="143"/>
      <c r="AB663" s="143"/>
      <c r="AC663" s="143"/>
      <c r="AD663" s="143"/>
      <c r="AE663" s="143"/>
      <c r="AF663" s="143"/>
      <c r="AG663" s="143"/>
      <c r="AH663" s="143"/>
      <c r="AI663" s="143"/>
      <c r="AJ663" s="143"/>
      <c r="AK663" s="143"/>
      <c r="AL663" s="143"/>
      <c r="AM663" s="143"/>
    </row>
    <row r="664" spans="1:39" ht="12.75" customHeight="1" x14ac:dyDescent="0.25">
      <c r="A664" s="143"/>
      <c r="B664" s="143"/>
      <c r="C664" s="143"/>
      <c r="D664" s="143"/>
      <c r="E664" s="143"/>
      <c r="F664" s="143"/>
      <c r="G664" s="143"/>
      <c r="H664" s="143"/>
      <c r="I664" s="143"/>
      <c r="J664" s="143"/>
      <c r="K664" s="143"/>
      <c r="L664" s="143"/>
      <c r="M664" s="143"/>
      <c r="N664" s="143"/>
      <c r="O664" s="143"/>
      <c r="P664" s="143"/>
      <c r="Q664" s="143"/>
      <c r="R664" s="143"/>
      <c r="S664" s="143"/>
      <c r="T664" s="143"/>
      <c r="U664" s="143"/>
      <c r="V664" s="143"/>
      <c r="W664" s="143"/>
      <c r="X664" s="143"/>
      <c r="Y664" s="143"/>
      <c r="Z664" s="143"/>
      <c r="AA664" s="143"/>
      <c r="AB664" s="143"/>
      <c r="AC664" s="143"/>
      <c r="AD664" s="143"/>
      <c r="AE664" s="143"/>
      <c r="AF664" s="143"/>
      <c r="AG664" s="143"/>
      <c r="AH664" s="143"/>
      <c r="AI664" s="143"/>
      <c r="AJ664" s="143"/>
      <c r="AK664" s="143"/>
      <c r="AL664" s="143"/>
      <c r="AM664" s="143"/>
    </row>
    <row r="665" spans="1:39" ht="12.75" customHeight="1" x14ac:dyDescent="0.25">
      <c r="A665" s="143"/>
      <c r="B665" s="143"/>
      <c r="C665" s="143"/>
      <c r="D665" s="143"/>
      <c r="E665" s="143"/>
      <c r="F665" s="143"/>
      <c r="G665" s="143"/>
      <c r="H665" s="143"/>
      <c r="I665" s="143"/>
      <c r="J665" s="143"/>
      <c r="K665" s="143"/>
      <c r="L665" s="143"/>
      <c r="M665" s="143"/>
      <c r="N665" s="143"/>
      <c r="O665" s="143"/>
      <c r="P665" s="143"/>
      <c r="Q665" s="143"/>
      <c r="R665" s="143"/>
      <c r="S665" s="143"/>
      <c r="T665" s="143"/>
      <c r="U665" s="143"/>
      <c r="V665" s="143"/>
      <c r="W665" s="143"/>
      <c r="X665" s="143"/>
      <c r="Y665" s="143"/>
      <c r="Z665" s="143"/>
      <c r="AA665" s="143"/>
      <c r="AB665" s="143"/>
      <c r="AC665" s="143"/>
      <c r="AD665" s="143"/>
      <c r="AE665" s="143"/>
      <c r="AF665" s="143"/>
      <c r="AG665" s="143"/>
      <c r="AH665" s="143"/>
      <c r="AI665" s="143"/>
      <c r="AJ665" s="143"/>
      <c r="AK665" s="143"/>
      <c r="AL665" s="143"/>
      <c r="AM665" s="143"/>
    </row>
    <row r="666" spans="1:39" ht="12.75" customHeight="1" x14ac:dyDescent="0.25">
      <c r="A666" s="143"/>
      <c r="B666" s="143"/>
      <c r="C666" s="143"/>
      <c r="D666" s="143"/>
      <c r="E666" s="143"/>
      <c r="F666" s="143"/>
      <c r="G666" s="143"/>
      <c r="H666" s="143"/>
      <c r="I666" s="143"/>
      <c r="J666" s="143"/>
      <c r="K666" s="143"/>
      <c r="L666" s="143"/>
      <c r="M666" s="143"/>
      <c r="N666" s="143"/>
      <c r="O666" s="143"/>
      <c r="P666" s="143"/>
      <c r="Q666" s="143"/>
      <c r="R666" s="143"/>
      <c r="S666" s="143"/>
      <c r="T666" s="143"/>
      <c r="U666" s="143"/>
      <c r="V666" s="143"/>
      <c r="W666" s="143"/>
      <c r="X666" s="143"/>
      <c r="Y666" s="143"/>
      <c r="Z666" s="143"/>
      <c r="AA666" s="143"/>
      <c r="AB666" s="143"/>
      <c r="AC666" s="143"/>
      <c r="AD666" s="143"/>
      <c r="AE666" s="143"/>
      <c r="AF666" s="143"/>
      <c r="AG666" s="143"/>
      <c r="AH666" s="143"/>
      <c r="AI666" s="143"/>
      <c r="AJ666" s="143"/>
      <c r="AK666" s="143"/>
      <c r="AL666" s="143"/>
      <c r="AM666" s="143"/>
    </row>
    <row r="667" spans="1:39" ht="12.75" customHeight="1" x14ac:dyDescent="0.25">
      <c r="A667" s="143"/>
      <c r="B667" s="143"/>
      <c r="C667" s="143"/>
      <c r="D667" s="143"/>
      <c r="E667" s="143"/>
      <c r="F667" s="143"/>
      <c r="G667" s="143"/>
      <c r="H667" s="143"/>
      <c r="I667" s="143"/>
      <c r="J667" s="143"/>
      <c r="K667" s="143"/>
      <c r="L667" s="143"/>
      <c r="M667" s="143"/>
      <c r="N667" s="143"/>
      <c r="O667" s="143"/>
      <c r="P667" s="143"/>
      <c r="Q667" s="143"/>
      <c r="R667" s="143"/>
      <c r="S667" s="143"/>
      <c r="T667" s="143"/>
      <c r="U667" s="143"/>
      <c r="V667" s="143"/>
      <c r="W667" s="143"/>
      <c r="X667" s="143"/>
      <c r="Y667" s="143"/>
      <c r="Z667" s="143"/>
      <c r="AA667" s="143"/>
      <c r="AB667" s="143"/>
      <c r="AC667" s="143"/>
      <c r="AD667" s="143"/>
      <c r="AE667" s="143"/>
      <c r="AF667" s="143"/>
      <c r="AG667" s="143"/>
      <c r="AH667" s="143"/>
      <c r="AI667" s="143"/>
      <c r="AJ667" s="143"/>
      <c r="AK667" s="143"/>
      <c r="AL667" s="143"/>
      <c r="AM667" s="143"/>
    </row>
    <row r="668" spans="1:39" ht="12.75" customHeight="1" x14ac:dyDescent="0.25">
      <c r="A668" s="143"/>
      <c r="B668" s="143"/>
      <c r="C668" s="143"/>
      <c r="D668" s="143"/>
      <c r="E668" s="143"/>
      <c r="F668" s="143"/>
      <c r="G668" s="143"/>
      <c r="H668" s="143"/>
      <c r="I668" s="143"/>
      <c r="J668" s="143"/>
      <c r="K668" s="143"/>
      <c r="L668" s="143"/>
      <c r="M668" s="143"/>
      <c r="N668" s="143"/>
      <c r="O668" s="143"/>
      <c r="P668" s="143"/>
      <c r="Q668" s="143"/>
      <c r="R668" s="143"/>
      <c r="S668" s="143"/>
      <c r="T668" s="143"/>
      <c r="U668" s="143"/>
      <c r="V668" s="143"/>
      <c r="W668" s="143"/>
      <c r="X668" s="143"/>
      <c r="Y668" s="143"/>
      <c r="Z668" s="143"/>
      <c r="AA668" s="143"/>
      <c r="AB668" s="143"/>
      <c r="AC668" s="143"/>
      <c r="AD668" s="143"/>
      <c r="AE668" s="143"/>
      <c r="AF668" s="143"/>
      <c r="AG668" s="143"/>
      <c r="AH668" s="143"/>
      <c r="AI668" s="143"/>
      <c r="AJ668" s="143"/>
      <c r="AK668" s="143"/>
      <c r="AL668" s="143"/>
      <c r="AM668" s="143"/>
    </row>
    <row r="669" spans="1:39" ht="12.75" customHeight="1" x14ac:dyDescent="0.25">
      <c r="A669" s="143"/>
      <c r="B669" s="143"/>
      <c r="C669" s="143"/>
      <c r="D669" s="143"/>
      <c r="E669" s="143"/>
      <c r="F669" s="143"/>
      <c r="G669" s="143"/>
      <c r="H669" s="143"/>
      <c r="I669" s="143"/>
      <c r="J669" s="143"/>
      <c r="K669" s="143"/>
      <c r="L669" s="143"/>
      <c r="M669" s="143"/>
      <c r="N669" s="143"/>
      <c r="O669" s="143"/>
      <c r="P669" s="143"/>
      <c r="Q669" s="143"/>
      <c r="R669" s="143"/>
      <c r="S669" s="143"/>
      <c r="T669" s="143"/>
      <c r="U669" s="143"/>
      <c r="V669" s="143"/>
      <c r="W669" s="143"/>
      <c r="X669" s="143"/>
      <c r="Y669" s="143"/>
      <c r="Z669" s="143"/>
      <c r="AA669" s="143"/>
      <c r="AB669" s="143"/>
      <c r="AC669" s="143"/>
      <c r="AD669" s="143"/>
      <c r="AE669" s="143"/>
      <c r="AF669" s="143"/>
      <c r="AG669" s="143"/>
      <c r="AH669" s="143"/>
      <c r="AI669" s="143"/>
      <c r="AJ669" s="143"/>
      <c r="AK669" s="143"/>
      <c r="AL669" s="143"/>
      <c r="AM669" s="143"/>
    </row>
    <row r="670" spans="1:39" ht="12.75" customHeight="1" x14ac:dyDescent="0.25">
      <c r="A670" s="143"/>
      <c r="B670" s="143"/>
      <c r="C670" s="143"/>
      <c r="D670" s="143"/>
      <c r="E670" s="143"/>
      <c r="F670" s="143"/>
      <c r="G670" s="143"/>
      <c r="H670" s="143"/>
      <c r="I670" s="143"/>
      <c r="J670" s="143"/>
      <c r="K670" s="143"/>
      <c r="L670" s="143"/>
      <c r="M670" s="143"/>
      <c r="N670" s="143"/>
      <c r="O670" s="143"/>
      <c r="P670" s="143"/>
      <c r="Q670" s="143"/>
      <c r="R670" s="143"/>
      <c r="S670" s="143"/>
      <c r="T670" s="143"/>
      <c r="U670" s="143"/>
      <c r="V670" s="143"/>
      <c r="W670" s="143"/>
      <c r="X670" s="143"/>
      <c r="Y670" s="143"/>
      <c r="Z670" s="143"/>
      <c r="AA670" s="143"/>
      <c r="AB670" s="143"/>
      <c r="AC670" s="143"/>
      <c r="AD670" s="143"/>
      <c r="AE670" s="143"/>
      <c r="AF670" s="143"/>
      <c r="AG670" s="143"/>
      <c r="AH670" s="143"/>
      <c r="AI670" s="143"/>
      <c r="AJ670" s="143"/>
      <c r="AK670" s="143"/>
      <c r="AL670" s="143"/>
      <c r="AM670" s="143"/>
    </row>
    <row r="671" spans="1:39" ht="12.75" customHeight="1" x14ac:dyDescent="0.25">
      <c r="A671" s="143"/>
      <c r="B671" s="143"/>
      <c r="C671" s="143"/>
      <c r="D671" s="143"/>
      <c r="E671" s="143"/>
      <c r="F671" s="143"/>
      <c r="G671" s="143"/>
      <c r="H671" s="143"/>
      <c r="I671" s="143"/>
      <c r="J671" s="143"/>
      <c r="K671" s="143"/>
      <c r="L671" s="143"/>
      <c r="M671" s="143"/>
      <c r="N671" s="143"/>
      <c r="O671" s="143"/>
      <c r="P671" s="143"/>
      <c r="Q671" s="143"/>
      <c r="R671" s="143"/>
      <c r="S671" s="143"/>
      <c r="T671" s="143"/>
      <c r="U671" s="143"/>
      <c r="V671" s="143"/>
      <c r="W671" s="143"/>
      <c r="X671" s="143"/>
      <c r="Y671" s="143"/>
      <c r="Z671" s="143"/>
      <c r="AA671" s="143"/>
      <c r="AB671" s="143"/>
      <c r="AC671" s="143"/>
      <c r="AD671" s="143"/>
      <c r="AE671" s="143"/>
      <c r="AF671" s="143"/>
      <c r="AG671" s="143"/>
      <c r="AH671" s="143"/>
      <c r="AI671" s="143"/>
      <c r="AJ671" s="143"/>
      <c r="AK671" s="143"/>
      <c r="AL671" s="143"/>
      <c r="AM671" s="143"/>
    </row>
    <row r="672" spans="1:39" ht="12.75" customHeight="1" x14ac:dyDescent="0.25">
      <c r="A672" s="143"/>
      <c r="B672" s="143"/>
      <c r="C672" s="143"/>
      <c r="D672" s="143"/>
      <c r="E672" s="143"/>
      <c r="F672" s="143"/>
      <c r="G672" s="143"/>
      <c r="H672" s="143"/>
      <c r="I672" s="143"/>
      <c r="J672" s="143"/>
      <c r="K672" s="143"/>
      <c r="L672" s="143"/>
      <c r="M672" s="143"/>
      <c r="N672" s="143"/>
      <c r="O672" s="143"/>
      <c r="P672" s="143"/>
      <c r="Q672" s="143"/>
      <c r="R672" s="143"/>
      <c r="S672" s="143"/>
      <c r="T672" s="143"/>
      <c r="U672" s="143"/>
      <c r="V672" s="143"/>
      <c r="W672" s="143"/>
      <c r="X672" s="143"/>
      <c r="Y672" s="143"/>
      <c r="Z672" s="143"/>
      <c r="AA672" s="143"/>
      <c r="AB672" s="143"/>
      <c r="AC672" s="143"/>
      <c r="AD672" s="143"/>
      <c r="AE672" s="143"/>
      <c r="AF672" s="143"/>
      <c r="AG672" s="143"/>
      <c r="AH672" s="143"/>
      <c r="AI672" s="143"/>
      <c r="AJ672" s="143"/>
      <c r="AK672" s="143"/>
      <c r="AL672" s="143"/>
      <c r="AM672" s="143"/>
    </row>
    <row r="673" spans="1:39" ht="12.75" customHeight="1" x14ac:dyDescent="0.25">
      <c r="A673" s="143"/>
      <c r="B673" s="143"/>
      <c r="C673" s="143"/>
      <c r="D673" s="143"/>
      <c r="E673" s="143"/>
      <c r="F673" s="143"/>
      <c r="G673" s="143"/>
      <c r="H673" s="143"/>
      <c r="I673" s="143"/>
      <c r="J673" s="143"/>
      <c r="K673" s="143"/>
      <c r="L673" s="143"/>
      <c r="M673" s="143"/>
      <c r="N673" s="143"/>
      <c r="O673" s="143"/>
      <c r="P673" s="143"/>
      <c r="Q673" s="143"/>
      <c r="R673" s="143"/>
      <c r="S673" s="143"/>
      <c r="T673" s="143"/>
      <c r="U673" s="143"/>
      <c r="V673" s="143"/>
      <c r="W673" s="143"/>
      <c r="X673" s="143"/>
      <c r="Y673" s="143"/>
      <c r="Z673" s="143"/>
      <c r="AA673" s="143"/>
      <c r="AB673" s="143"/>
      <c r="AC673" s="143"/>
      <c r="AD673" s="143"/>
      <c r="AE673" s="143"/>
      <c r="AF673" s="143"/>
      <c r="AG673" s="143"/>
      <c r="AH673" s="143"/>
      <c r="AI673" s="143"/>
      <c r="AJ673" s="143"/>
      <c r="AK673" s="143"/>
      <c r="AL673" s="143"/>
      <c r="AM673" s="143"/>
    </row>
    <row r="674" spans="1:39" ht="12.75" customHeight="1" x14ac:dyDescent="0.25">
      <c r="A674" s="143"/>
      <c r="B674" s="143"/>
      <c r="C674" s="143"/>
      <c r="D674" s="143"/>
      <c r="E674" s="143"/>
      <c r="F674" s="143"/>
      <c r="G674" s="143"/>
      <c r="H674" s="143"/>
      <c r="I674" s="143"/>
      <c r="J674" s="143"/>
      <c r="K674" s="143"/>
      <c r="L674" s="143"/>
      <c r="M674" s="143"/>
      <c r="N674" s="143"/>
      <c r="O674" s="143"/>
      <c r="P674" s="143"/>
      <c r="Q674" s="143"/>
      <c r="R674" s="143"/>
      <c r="S674" s="143"/>
      <c r="T674" s="143"/>
      <c r="U674" s="143"/>
      <c r="V674" s="143"/>
      <c r="W674" s="143"/>
      <c r="X674" s="143"/>
      <c r="Y674" s="143"/>
      <c r="Z674" s="143"/>
      <c r="AA674" s="143"/>
      <c r="AB674" s="143"/>
      <c r="AC674" s="143"/>
      <c r="AD674" s="143"/>
      <c r="AE674" s="143"/>
      <c r="AF674" s="143"/>
      <c r="AG674" s="143"/>
      <c r="AH674" s="143"/>
      <c r="AI674" s="143"/>
      <c r="AJ674" s="143"/>
      <c r="AK674" s="143"/>
      <c r="AL674" s="143"/>
      <c r="AM674" s="143"/>
    </row>
    <row r="675" spans="1:39" ht="12.75" customHeight="1" x14ac:dyDescent="0.25">
      <c r="A675" s="143"/>
      <c r="B675" s="143"/>
      <c r="C675" s="143"/>
      <c r="D675" s="143"/>
      <c r="E675" s="143"/>
      <c r="F675" s="143"/>
      <c r="G675" s="143"/>
      <c r="H675" s="143"/>
      <c r="I675" s="143"/>
      <c r="J675" s="143"/>
      <c r="K675" s="143"/>
      <c r="L675" s="143"/>
      <c r="M675" s="143"/>
      <c r="N675" s="143"/>
      <c r="O675" s="143"/>
      <c r="P675" s="143"/>
      <c r="Q675" s="143"/>
      <c r="R675" s="143"/>
      <c r="S675" s="143"/>
      <c r="T675" s="143"/>
      <c r="U675" s="143"/>
      <c r="V675" s="143"/>
      <c r="W675" s="143"/>
      <c r="X675" s="143"/>
      <c r="Y675" s="143"/>
      <c r="Z675" s="143"/>
      <c r="AA675" s="143"/>
      <c r="AB675" s="143"/>
      <c r="AC675" s="143"/>
      <c r="AD675" s="143"/>
      <c r="AE675" s="143"/>
      <c r="AF675" s="143"/>
      <c r="AG675" s="143"/>
      <c r="AH675" s="143"/>
      <c r="AI675" s="143"/>
      <c r="AJ675" s="143"/>
      <c r="AK675" s="143"/>
      <c r="AL675" s="143"/>
      <c r="AM675" s="143"/>
    </row>
    <row r="676" spans="1:39" ht="12.75" customHeight="1" x14ac:dyDescent="0.25">
      <c r="A676" s="143"/>
      <c r="B676" s="143"/>
      <c r="C676" s="143"/>
      <c r="D676" s="143"/>
      <c r="E676" s="143"/>
      <c r="F676" s="143"/>
      <c r="G676" s="143"/>
      <c r="H676" s="143"/>
      <c r="I676" s="143"/>
      <c r="J676" s="143"/>
      <c r="K676" s="143"/>
      <c r="L676" s="143"/>
      <c r="M676" s="143"/>
      <c r="N676" s="143"/>
      <c r="O676" s="143"/>
      <c r="P676" s="143"/>
      <c r="Q676" s="143"/>
      <c r="R676" s="143"/>
      <c r="S676" s="143"/>
      <c r="T676" s="143"/>
      <c r="U676" s="143"/>
      <c r="V676" s="143"/>
      <c r="W676" s="143"/>
      <c r="X676" s="143"/>
      <c r="Y676" s="143"/>
      <c r="Z676" s="143"/>
      <c r="AA676" s="143"/>
      <c r="AB676" s="143"/>
      <c r="AC676" s="143"/>
      <c r="AD676" s="143"/>
      <c r="AE676" s="143"/>
      <c r="AF676" s="143"/>
      <c r="AG676" s="143"/>
      <c r="AH676" s="143"/>
      <c r="AI676" s="143"/>
      <c r="AJ676" s="143"/>
      <c r="AK676" s="143"/>
      <c r="AL676" s="143"/>
      <c r="AM676" s="143"/>
    </row>
    <row r="677" spans="1:39" ht="12.75" customHeight="1" x14ac:dyDescent="0.25">
      <c r="A677" s="143"/>
      <c r="B677" s="143"/>
      <c r="C677" s="143"/>
      <c r="D677" s="143"/>
      <c r="E677" s="143"/>
      <c r="F677" s="143"/>
      <c r="G677" s="143"/>
      <c r="H677" s="143"/>
      <c r="I677" s="143"/>
      <c r="J677" s="143"/>
      <c r="K677" s="143"/>
      <c r="L677" s="143"/>
      <c r="M677" s="143"/>
      <c r="N677" s="143"/>
      <c r="O677" s="143"/>
      <c r="P677" s="143"/>
      <c r="Q677" s="143"/>
      <c r="R677" s="143"/>
      <c r="S677" s="143"/>
      <c r="T677" s="143"/>
      <c r="U677" s="143"/>
      <c r="V677" s="143"/>
      <c r="W677" s="143"/>
      <c r="X677" s="143"/>
      <c r="Y677" s="143"/>
      <c r="Z677" s="143"/>
      <c r="AA677" s="143"/>
      <c r="AB677" s="143"/>
      <c r="AC677" s="143"/>
      <c r="AD677" s="143"/>
      <c r="AE677" s="143"/>
      <c r="AF677" s="143"/>
      <c r="AG677" s="143"/>
      <c r="AH677" s="143"/>
      <c r="AI677" s="143"/>
      <c r="AJ677" s="143"/>
      <c r="AK677" s="143"/>
      <c r="AL677" s="143"/>
      <c r="AM677" s="143"/>
    </row>
    <row r="678" spans="1:39" ht="12.75" customHeight="1" x14ac:dyDescent="0.25">
      <c r="A678" s="143"/>
      <c r="B678" s="143"/>
      <c r="C678" s="143"/>
      <c r="D678" s="143"/>
      <c r="E678" s="143"/>
      <c r="F678" s="143"/>
      <c r="G678" s="143"/>
      <c r="H678" s="143"/>
      <c r="I678" s="143"/>
      <c r="J678" s="143"/>
      <c r="K678" s="143"/>
      <c r="L678" s="143"/>
      <c r="M678" s="143"/>
      <c r="N678" s="143"/>
      <c r="O678" s="143"/>
      <c r="P678" s="143"/>
      <c r="Q678" s="143"/>
      <c r="R678" s="143"/>
      <c r="S678" s="143"/>
      <c r="T678" s="143"/>
      <c r="U678" s="143"/>
      <c r="V678" s="143"/>
      <c r="W678" s="143"/>
      <c r="X678" s="143"/>
      <c r="Y678" s="143"/>
      <c r="Z678" s="143"/>
      <c r="AA678" s="143"/>
      <c r="AB678" s="143"/>
      <c r="AC678" s="143"/>
      <c r="AD678" s="143"/>
      <c r="AE678" s="143"/>
      <c r="AF678" s="143"/>
      <c r="AG678" s="143"/>
      <c r="AH678" s="143"/>
      <c r="AI678" s="143"/>
      <c r="AJ678" s="143"/>
      <c r="AK678" s="143"/>
      <c r="AL678" s="143"/>
      <c r="AM678" s="143"/>
    </row>
    <row r="679" spans="1:39" ht="12.75" customHeight="1" x14ac:dyDescent="0.25">
      <c r="A679" s="143"/>
      <c r="B679" s="143"/>
      <c r="C679" s="143"/>
      <c r="D679" s="143"/>
      <c r="E679" s="143"/>
      <c r="F679" s="143"/>
      <c r="G679" s="143"/>
      <c r="H679" s="143"/>
      <c r="I679" s="143"/>
      <c r="J679" s="143"/>
      <c r="K679" s="143"/>
      <c r="L679" s="143"/>
      <c r="M679" s="143"/>
      <c r="N679" s="143"/>
      <c r="O679" s="143"/>
      <c r="P679" s="143"/>
      <c r="Q679" s="143"/>
      <c r="R679" s="143"/>
      <c r="S679" s="143"/>
      <c r="T679" s="143"/>
      <c r="U679" s="143"/>
      <c r="V679" s="143"/>
      <c r="W679" s="143"/>
      <c r="X679" s="143"/>
      <c r="Y679" s="143"/>
      <c r="Z679" s="143"/>
      <c r="AA679" s="143"/>
      <c r="AB679" s="143"/>
      <c r="AC679" s="143"/>
      <c r="AD679" s="143"/>
      <c r="AE679" s="143"/>
      <c r="AF679" s="143"/>
      <c r="AG679" s="143"/>
      <c r="AH679" s="143"/>
      <c r="AI679" s="143"/>
      <c r="AJ679" s="143"/>
      <c r="AK679" s="143"/>
      <c r="AL679" s="143"/>
      <c r="AM679" s="143"/>
    </row>
    <row r="680" spans="1:39" ht="12.75" customHeight="1" x14ac:dyDescent="0.25">
      <c r="A680" s="143"/>
      <c r="B680" s="143"/>
      <c r="C680" s="143"/>
      <c r="D680" s="143"/>
      <c r="E680" s="143"/>
      <c r="F680" s="143"/>
      <c r="G680" s="143"/>
      <c r="H680" s="143"/>
      <c r="I680" s="143"/>
      <c r="J680" s="143"/>
      <c r="K680" s="143"/>
      <c r="L680" s="143"/>
      <c r="M680" s="143"/>
      <c r="N680" s="143"/>
      <c r="O680" s="143"/>
      <c r="P680" s="143"/>
      <c r="Q680" s="143"/>
      <c r="R680" s="143"/>
      <c r="S680" s="143"/>
      <c r="T680" s="143"/>
      <c r="U680" s="143"/>
      <c r="V680" s="143"/>
      <c r="W680" s="143"/>
      <c r="X680" s="143"/>
      <c r="Y680" s="143"/>
      <c r="Z680" s="143"/>
      <c r="AA680" s="143"/>
      <c r="AB680" s="143"/>
      <c r="AC680" s="143"/>
      <c r="AD680" s="143"/>
      <c r="AE680" s="143"/>
      <c r="AF680" s="143"/>
      <c r="AG680" s="143"/>
      <c r="AH680" s="143"/>
      <c r="AI680" s="143"/>
      <c r="AJ680" s="143"/>
      <c r="AK680" s="143"/>
      <c r="AL680" s="143"/>
      <c r="AM680" s="143"/>
    </row>
    <row r="681" spans="1:39" ht="12.75" customHeight="1" x14ac:dyDescent="0.25">
      <c r="A681" s="143"/>
      <c r="B681" s="143"/>
      <c r="C681" s="143"/>
      <c r="D681" s="143"/>
      <c r="E681" s="143"/>
      <c r="F681" s="143"/>
      <c r="G681" s="143"/>
      <c r="H681" s="143"/>
      <c r="I681" s="143"/>
      <c r="J681" s="143"/>
      <c r="K681" s="143"/>
      <c r="L681" s="143"/>
      <c r="M681" s="143"/>
      <c r="N681" s="143"/>
      <c r="O681" s="143"/>
      <c r="P681" s="143"/>
      <c r="Q681" s="143"/>
      <c r="R681" s="143"/>
      <c r="S681" s="143"/>
      <c r="T681" s="143"/>
      <c r="U681" s="143"/>
      <c r="V681" s="143"/>
      <c r="W681" s="143"/>
      <c r="X681" s="143"/>
      <c r="Y681" s="143"/>
      <c r="Z681" s="143"/>
      <c r="AA681" s="143"/>
      <c r="AB681" s="143"/>
      <c r="AC681" s="143"/>
      <c r="AD681" s="143"/>
      <c r="AE681" s="143"/>
      <c r="AF681" s="143"/>
      <c r="AG681" s="143"/>
      <c r="AH681" s="143"/>
      <c r="AI681" s="143"/>
      <c r="AJ681" s="143"/>
      <c r="AK681" s="143"/>
      <c r="AL681" s="143"/>
      <c r="AM681" s="143"/>
    </row>
    <row r="682" spans="1:39" ht="12.75" customHeight="1" x14ac:dyDescent="0.25">
      <c r="A682" s="143"/>
      <c r="B682" s="143"/>
      <c r="C682" s="143"/>
      <c r="D682" s="143"/>
      <c r="E682" s="143"/>
      <c r="F682" s="143"/>
      <c r="G682" s="143"/>
      <c r="H682" s="143"/>
      <c r="I682" s="143"/>
      <c r="J682" s="143"/>
      <c r="K682" s="143"/>
      <c r="L682" s="143"/>
      <c r="M682" s="143"/>
      <c r="N682" s="143"/>
      <c r="O682" s="143"/>
      <c r="P682" s="143"/>
      <c r="Q682" s="143"/>
      <c r="R682" s="143"/>
      <c r="S682" s="143"/>
      <c r="T682" s="143"/>
      <c r="U682" s="143"/>
      <c r="V682" s="143"/>
      <c r="W682" s="143"/>
      <c r="X682" s="143"/>
      <c r="Y682" s="143"/>
      <c r="Z682" s="143"/>
      <c r="AA682" s="143"/>
      <c r="AB682" s="143"/>
      <c r="AC682" s="143"/>
      <c r="AD682" s="143"/>
      <c r="AE682" s="143"/>
      <c r="AF682" s="143"/>
      <c r="AG682" s="143"/>
      <c r="AH682" s="143"/>
      <c r="AI682" s="143"/>
      <c r="AJ682" s="143"/>
      <c r="AK682" s="143"/>
      <c r="AL682" s="143"/>
      <c r="AM682" s="143"/>
    </row>
    <row r="683" spans="1:39" ht="12.75" customHeight="1" x14ac:dyDescent="0.25">
      <c r="A683" s="143"/>
      <c r="B683" s="143"/>
      <c r="C683" s="143"/>
      <c r="D683" s="143"/>
      <c r="E683" s="143"/>
      <c r="F683" s="143"/>
      <c r="G683" s="143"/>
      <c r="H683" s="143"/>
      <c r="I683" s="143"/>
      <c r="J683" s="143"/>
      <c r="K683" s="143"/>
      <c r="L683" s="143"/>
      <c r="M683" s="143"/>
      <c r="N683" s="143"/>
      <c r="O683" s="143"/>
      <c r="P683" s="143"/>
      <c r="Q683" s="143"/>
      <c r="R683" s="143"/>
      <c r="S683" s="143"/>
      <c r="T683" s="143"/>
      <c r="U683" s="143"/>
      <c r="V683" s="143"/>
      <c r="W683" s="143"/>
      <c r="X683" s="143"/>
      <c r="Y683" s="143"/>
      <c r="Z683" s="143"/>
      <c r="AA683" s="143"/>
      <c r="AB683" s="143"/>
      <c r="AC683" s="143"/>
      <c r="AD683" s="143"/>
      <c r="AE683" s="143"/>
      <c r="AF683" s="143"/>
      <c r="AG683" s="143"/>
      <c r="AH683" s="143"/>
      <c r="AI683" s="143"/>
      <c r="AJ683" s="143"/>
      <c r="AK683" s="143"/>
      <c r="AL683" s="143"/>
      <c r="AM683" s="143"/>
    </row>
    <row r="684" spans="1:39" ht="12.75" customHeight="1" x14ac:dyDescent="0.25">
      <c r="A684" s="143"/>
      <c r="B684" s="143"/>
      <c r="C684" s="143"/>
      <c r="D684" s="143"/>
      <c r="E684" s="143"/>
      <c r="F684" s="143"/>
      <c r="G684" s="143"/>
      <c r="H684" s="143"/>
      <c r="I684" s="143"/>
      <c r="J684" s="143"/>
      <c r="K684" s="143"/>
      <c r="L684" s="143"/>
      <c r="M684" s="143"/>
      <c r="N684" s="143"/>
      <c r="O684" s="143"/>
      <c r="P684" s="143"/>
      <c r="Q684" s="143"/>
      <c r="R684" s="143"/>
      <c r="S684" s="143"/>
      <c r="T684" s="143"/>
      <c r="U684" s="143"/>
      <c r="V684" s="143"/>
      <c r="W684" s="143"/>
      <c r="X684" s="143"/>
      <c r="Y684" s="143"/>
      <c r="Z684" s="143"/>
      <c r="AA684" s="143"/>
      <c r="AB684" s="143"/>
      <c r="AC684" s="143"/>
      <c r="AD684" s="143"/>
      <c r="AE684" s="143"/>
      <c r="AF684" s="143"/>
      <c r="AG684" s="143"/>
      <c r="AH684" s="143"/>
      <c r="AI684" s="143"/>
      <c r="AJ684" s="143"/>
      <c r="AK684" s="143"/>
      <c r="AL684" s="143"/>
      <c r="AM684" s="143"/>
    </row>
    <row r="685" spans="1:39" ht="12.75" customHeight="1" x14ac:dyDescent="0.25">
      <c r="A685" s="143"/>
      <c r="B685" s="143"/>
      <c r="C685" s="143"/>
      <c r="D685" s="143"/>
      <c r="E685" s="143"/>
      <c r="F685" s="143"/>
      <c r="G685" s="143"/>
      <c r="H685" s="143"/>
      <c r="I685" s="143"/>
      <c r="J685" s="143"/>
      <c r="K685" s="143"/>
      <c r="L685" s="143"/>
      <c r="M685" s="143"/>
      <c r="N685" s="143"/>
      <c r="O685" s="143"/>
      <c r="P685" s="143"/>
      <c r="Q685" s="143"/>
      <c r="R685" s="143"/>
      <c r="S685" s="143"/>
      <c r="T685" s="143"/>
      <c r="U685" s="143"/>
      <c r="V685" s="143"/>
      <c r="W685" s="143"/>
      <c r="X685" s="143"/>
      <c r="Y685" s="143"/>
      <c r="Z685" s="143"/>
      <c r="AA685" s="143"/>
      <c r="AB685" s="143"/>
      <c r="AC685" s="143"/>
      <c r="AD685" s="143"/>
      <c r="AE685" s="143"/>
      <c r="AF685" s="143"/>
      <c r="AG685" s="143"/>
      <c r="AH685" s="143"/>
      <c r="AI685" s="143"/>
      <c r="AJ685" s="143"/>
      <c r="AK685" s="143"/>
      <c r="AL685" s="143"/>
      <c r="AM685" s="143"/>
    </row>
    <row r="686" spans="1:39" ht="12.75" customHeight="1" x14ac:dyDescent="0.25">
      <c r="A686" s="143"/>
      <c r="B686" s="143"/>
      <c r="C686" s="143"/>
      <c r="D686" s="143"/>
      <c r="E686" s="143"/>
      <c r="F686" s="143"/>
      <c r="G686" s="143"/>
      <c r="H686" s="143"/>
      <c r="I686" s="143"/>
      <c r="J686" s="143"/>
      <c r="K686" s="143"/>
      <c r="L686" s="143"/>
      <c r="M686" s="143"/>
      <c r="N686" s="143"/>
      <c r="O686" s="143"/>
      <c r="P686" s="143"/>
      <c r="Q686" s="143"/>
      <c r="R686" s="143"/>
      <c r="S686" s="143"/>
      <c r="T686" s="143"/>
      <c r="U686" s="143"/>
      <c r="V686" s="143"/>
      <c r="W686" s="143"/>
      <c r="X686" s="143"/>
      <c r="Y686" s="143"/>
      <c r="Z686" s="143"/>
      <c r="AA686" s="143"/>
      <c r="AB686" s="143"/>
      <c r="AC686" s="143"/>
      <c r="AD686" s="143"/>
      <c r="AE686" s="143"/>
      <c r="AF686" s="143"/>
      <c r="AG686" s="143"/>
      <c r="AH686" s="143"/>
      <c r="AI686" s="143"/>
      <c r="AJ686" s="143"/>
      <c r="AK686" s="143"/>
      <c r="AL686" s="143"/>
      <c r="AM686" s="143"/>
    </row>
    <row r="687" spans="1:39" ht="12.75" customHeight="1" x14ac:dyDescent="0.25">
      <c r="A687" s="143"/>
      <c r="B687" s="143"/>
      <c r="C687" s="143"/>
      <c r="D687" s="143"/>
      <c r="E687" s="143"/>
      <c r="F687" s="143"/>
      <c r="G687" s="143"/>
      <c r="H687" s="143"/>
      <c r="I687" s="143"/>
      <c r="J687" s="143"/>
      <c r="K687" s="143"/>
      <c r="L687" s="143"/>
      <c r="M687" s="143"/>
      <c r="N687" s="143"/>
      <c r="O687" s="143"/>
      <c r="P687" s="143"/>
      <c r="Q687" s="143"/>
      <c r="R687" s="143"/>
      <c r="S687" s="143"/>
      <c r="T687" s="143"/>
      <c r="U687" s="143"/>
      <c r="V687" s="143"/>
      <c r="W687" s="143"/>
      <c r="X687" s="143"/>
      <c r="Y687" s="143"/>
      <c r="Z687" s="143"/>
      <c r="AA687" s="143"/>
      <c r="AB687" s="143"/>
      <c r="AC687" s="143"/>
      <c r="AD687" s="143"/>
      <c r="AE687" s="143"/>
      <c r="AF687" s="143"/>
      <c r="AG687" s="143"/>
      <c r="AH687" s="143"/>
      <c r="AI687" s="143"/>
      <c r="AJ687" s="143"/>
      <c r="AK687" s="143"/>
      <c r="AL687" s="143"/>
      <c r="AM687" s="143"/>
    </row>
    <row r="688" spans="1:39" ht="12.75" customHeight="1" x14ac:dyDescent="0.25">
      <c r="A688" s="143"/>
      <c r="B688" s="143"/>
      <c r="C688" s="143"/>
      <c r="D688" s="143"/>
      <c r="E688" s="143"/>
      <c r="F688" s="143"/>
      <c r="G688" s="143"/>
      <c r="H688" s="143"/>
      <c r="I688" s="143"/>
      <c r="J688" s="143"/>
      <c r="K688" s="143"/>
      <c r="L688" s="143"/>
      <c r="M688" s="143"/>
      <c r="N688" s="143"/>
      <c r="O688" s="143"/>
      <c r="P688" s="143"/>
      <c r="Q688" s="143"/>
      <c r="R688" s="143"/>
      <c r="S688" s="143"/>
      <c r="T688" s="143"/>
      <c r="U688" s="143"/>
      <c r="V688" s="143"/>
      <c r="W688" s="143"/>
      <c r="X688" s="143"/>
      <c r="Y688" s="143"/>
      <c r="Z688" s="143"/>
      <c r="AA688" s="143"/>
      <c r="AB688" s="143"/>
      <c r="AC688" s="143"/>
      <c r="AD688" s="143"/>
      <c r="AE688" s="143"/>
      <c r="AF688" s="143"/>
      <c r="AG688" s="143"/>
      <c r="AH688" s="143"/>
      <c r="AI688" s="143"/>
      <c r="AJ688" s="143"/>
      <c r="AK688" s="143"/>
      <c r="AL688" s="143"/>
      <c r="AM688" s="143"/>
    </row>
    <row r="689" spans="1:39" ht="12.75" customHeight="1" x14ac:dyDescent="0.25">
      <c r="A689" s="143"/>
      <c r="B689" s="143"/>
      <c r="C689" s="143"/>
      <c r="D689" s="143"/>
      <c r="E689" s="143"/>
      <c r="F689" s="143"/>
      <c r="G689" s="143"/>
      <c r="H689" s="143"/>
      <c r="I689" s="143"/>
      <c r="J689" s="143"/>
      <c r="K689" s="143"/>
      <c r="L689" s="143"/>
      <c r="M689" s="143"/>
      <c r="N689" s="143"/>
      <c r="O689" s="143"/>
      <c r="P689" s="143"/>
      <c r="Q689" s="143"/>
      <c r="R689" s="143"/>
      <c r="S689" s="143"/>
      <c r="T689" s="143"/>
      <c r="U689" s="143"/>
      <c r="V689" s="143"/>
      <c r="W689" s="143"/>
      <c r="X689" s="143"/>
      <c r="Y689" s="143"/>
      <c r="Z689" s="143"/>
      <c r="AA689" s="143"/>
      <c r="AB689" s="143"/>
      <c r="AC689" s="143"/>
      <c r="AD689" s="143"/>
      <c r="AE689" s="143"/>
      <c r="AF689" s="143"/>
      <c r="AG689" s="143"/>
      <c r="AH689" s="143"/>
      <c r="AI689" s="143"/>
      <c r="AJ689" s="143"/>
      <c r="AK689" s="143"/>
      <c r="AL689" s="143"/>
      <c r="AM689" s="143"/>
    </row>
    <row r="690" spans="1:39" ht="12.75" customHeight="1" x14ac:dyDescent="0.25">
      <c r="A690" s="143"/>
      <c r="B690" s="143"/>
      <c r="C690" s="143"/>
      <c r="D690" s="143"/>
      <c r="E690" s="143"/>
      <c r="F690" s="143"/>
      <c r="G690" s="143"/>
      <c r="H690" s="143"/>
      <c r="I690" s="143"/>
      <c r="J690" s="143"/>
      <c r="K690" s="143"/>
      <c r="L690" s="143"/>
      <c r="M690" s="143"/>
      <c r="N690" s="143"/>
      <c r="O690" s="143"/>
      <c r="P690" s="143"/>
      <c r="Q690" s="143"/>
      <c r="R690" s="143"/>
      <c r="S690" s="143"/>
      <c r="T690" s="143"/>
      <c r="U690" s="143"/>
      <c r="V690" s="143"/>
      <c r="W690" s="143"/>
      <c r="X690" s="143"/>
      <c r="Y690" s="143"/>
      <c r="Z690" s="143"/>
      <c r="AA690" s="143"/>
      <c r="AB690" s="143"/>
      <c r="AC690" s="143"/>
      <c r="AD690" s="143"/>
      <c r="AE690" s="143"/>
      <c r="AF690" s="143"/>
      <c r="AG690" s="143"/>
      <c r="AH690" s="143"/>
      <c r="AI690" s="143"/>
      <c r="AJ690" s="143"/>
      <c r="AK690" s="143"/>
      <c r="AL690" s="143"/>
      <c r="AM690" s="143"/>
    </row>
    <row r="691" spans="1:39" ht="12.75" customHeight="1" x14ac:dyDescent="0.25">
      <c r="A691" s="143"/>
      <c r="B691" s="143"/>
      <c r="C691" s="143"/>
      <c r="D691" s="143"/>
      <c r="E691" s="143"/>
      <c r="F691" s="143"/>
      <c r="G691" s="143"/>
      <c r="H691" s="143"/>
      <c r="I691" s="143"/>
      <c r="J691" s="143"/>
      <c r="K691" s="143"/>
      <c r="L691" s="143"/>
      <c r="M691" s="143"/>
      <c r="N691" s="143"/>
      <c r="O691" s="143"/>
      <c r="P691" s="143"/>
      <c r="Q691" s="143"/>
      <c r="R691" s="143"/>
      <c r="S691" s="143"/>
      <c r="T691" s="143"/>
      <c r="U691" s="143"/>
      <c r="V691" s="143"/>
      <c r="W691" s="143"/>
      <c r="X691" s="143"/>
      <c r="Y691" s="143"/>
      <c r="Z691" s="143"/>
      <c r="AA691" s="143"/>
      <c r="AB691" s="143"/>
      <c r="AC691" s="143"/>
      <c r="AD691" s="143"/>
      <c r="AE691" s="143"/>
      <c r="AF691" s="143"/>
      <c r="AG691" s="143"/>
      <c r="AH691" s="143"/>
      <c r="AI691" s="143"/>
      <c r="AJ691" s="143"/>
      <c r="AK691" s="143"/>
      <c r="AL691" s="143"/>
      <c r="AM691" s="143"/>
    </row>
    <row r="692" spans="1:39" ht="12.75" customHeight="1" x14ac:dyDescent="0.25">
      <c r="A692" s="143"/>
      <c r="B692" s="143"/>
      <c r="C692" s="143"/>
      <c r="D692" s="143"/>
      <c r="E692" s="143"/>
      <c r="F692" s="143"/>
      <c r="G692" s="143"/>
      <c r="H692" s="143"/>
      <c r="I692" s="143"/>
      <c r="J692" s="143"/>
      <c r="K692" s="143"/>
      <c r="L692" s="143"/>
      <c r="M692" s="143"/>
      <c r="N692" s="143"/>
      <c r="O692" s="143"/>
      <c r="P692" s="143"/>
      <c r="Q692" s="143"/>
      <c r="R692" s="143"/>
      <c r="S692" s="143"/>
      <c r="T692" s="143"/>
      <c r="U692" s="143"/>
      <c r="V692" s="143"/>
      <c r="W692" s="143"/>
      <c r="X692" s="143"/>
      <c r="Y692" s="143"/>
      <c r="Z692" s="143"/>
      <c r="AA692" s="143"/>
      <c r="AB692" s="143"/>
      <c r="AC692" s="143"/>
      <c r="AD692" s="143"/>
      <c r="AE692" s="143"/>
      <c r="AF692" s="143"/>
      <c r="AG692" s="143"/>
      <c r="AH692" s="143"/>
      <c r="AI692" s="143"/>
      <c r="AJ692" s="143"/>
      <c r="AK692" s="143"/>
      <c r="AL692" s="143"/>
      <c r="AM692" s="143"/>
    </row>
    <row r="693" spans="1:39" ht="12.75" customHeight="1" x14ac:dyDescent="0.25">
      <c r="A693" s="143"/>
      <c r="B693" s="143"/>
      <c r="C693" s="143"/>
      <c r="D693" s="143"/>
      <c r="E693" s="143"/>
      <c r="F693" s="143"/>
      <c r="G693" s="143"/>
      <c r="H693" s="143"/>
      <c r="I693" s="143"/>
      <c r="J693" s="143"/>
      <c r="K693" s="143"/>
      <c r="L693" s="143"/>
      <c r="M693" s="143"/>
      <c r="N693" s="143"/>
      <c r="O693" s="143"/>
      <c r="P693" s="143"/>
      <c r="Q693" s="143"/>
      <c r="R693" s="143"/>
      <c r="S693" s="143"/>
      <c r="T693" s="143"/>
      <c r="U693" s="143"/>
      <c r="V693" s="143"/>
      <c r="W693" s="143"/>
      <c r="X693" s="143"/>
      <c r="Y693" s="143"/>
      <c r="Z693" s="143"/>
      <c r="AA693" s="143"/>
      <c r="AB693" s="143"/>
      <c r="AC693" s="143"/>
      <c r="AD693" s="143"/>
      <c r="AE693" s="143"/>
      <c r="AF693" s="143"/>
      <c r="AG693" s="143"/>
      <c r="AH693" s="143"/>
      <c r="AI693" s="143"/>
      <c r="AJ693" s="143"/>
      <c r="AK693" s="143"/>
      <c r="AL693" s="143"/>
      <c r="AM693" s="143"/>
    </row>
    <row r="694" spans="1:39" ht="12.75" customHeight="1" x14ac:dyDescent="0.25">
      <c r="A694" s="143"/>
      <c r="B694" s="143"/>
      <c r="C694" s="143"/>
      <c r="D694" s="143"/>
      <c r="E694" s="143"/>
      <c r="F694" s="143"/>
      <c r="G694" s="143"/>
      <c r="H694" s="143"/>
      <c r="I694" s="143"/>
      <c r="J694" s="143"/>
      <c r="K694" s="143"/>
      <c r="L694" s="143"/>
      <c r="M694" s="143"/>
      <c r="N694" s="143"/>
      <c r="O694" s="143"/>
      <c r="P694" s="143"/>
      <c r="Q694" s="143"/>
      <c r="R694" s="143"/>
      <c r="S694" s="143"/>
      <c r="T694" s="143"/>
      <c r="U694" s="143"/>
      <c r="V694" s="143"/>
      <c r="W694" s="143"/>
      <c r="X694" s="143"/>
      <c r="Y694" s="143"/>
      <c r="Z694" s="143"/>
      <c r="AA694" s="143"/>
      <c r="AB694" s="143"/>
      <c r="AC694" s="143"/>
      <c r="AD694" s="143"/>
      <c r="AE694" s="143"/>
      <c r="AF694" s="143"/>
      <c r="AG694" s="143"/>
      <c r="AH694" s="143"/>
      <c r="AI694" s="143"/>
      <c r="AJ694" s="143"/>
      <c r="AK694" s="143"/>
      <c r="AL694" s="143"/>
      <c r="AM694" s="143"/>
    </row>
    <row r="695" spans="1:39" ht="12.75" customHeight="1" x14ac:dyDescent="0.25">
      <c r="A695" s="143"/>
      <c r="B695" s="143"/>
      <c r="C695" s="143"/>
      <c r="D695" s="143"/>
      <c r="E695" s="143"/>
      <c r="F695" s="143"/>
      <c r="G695" s="143"/>
      <c r="H695" s="143"/>
      <c r="I695" s="143"/>
      <c r="J695" s="143"/>
      <c r="K695" s="143"/>
      <c r="L695" s="143"/>
      <c r="M695" s="143"/>
      <c r="N695" s="143"/>
      <c r="O695" s="143"/>
      <c r="P695" s="143"/>
      <c r="Q695" s="143"/>
      <c r="R695" s="143"/>
      <c r="S695" s="143"/>
      <c r="T695" s="143"/>
      <c r="U695" s="143"/>
      <c r="V695" s="143"/>
      <c r="W695" s="143"/>
      <c r="X695" s="143"/>
      <c r="Y695" s="143"/>
      <c r="Z695" s="143"/>
      <c r="AA695" s="143"/>
      <c r="AB695" s="143"/>
      <c r="AC695" s="143"/>
      <c r="AD695" s="143"/>
      <c r="AE695" s="143"/>
      <c r="AF695" s="143"/>
      <c r="AG695" s="143"/>
      <c r="AH695" s="143"/>
      <c r="AI695" s="143"/>
      <c r="AJ695" s="143"/>
      <c r="AK695" s="143"/>
      <c r="AL695" s="143"/>
      <c r="AM695" s="143"/>
    </row>
    <row r="696" spans="1:39" ht="12.75" customHeight="1" x14ac:dyDescent="0.25">
      <c r="A696" s="143"/>
      <c r="B696" s="143"/>
      <c r="C696" s="143"/>
      <c r="D696" s="143"/>
      <c r="E696" s="143"/>
      <c r="F696" s="143"/>
      <c r="G696" s="143"/>
      <c r="H696" s="143"/>
      <c r="I696" s="143"/>
      <c r="J696" s="143"/>
      <c r="K696" s="143"/>
      <c r="L696" s="143"/>
      <c r="M696" s="143"/>
      <c r="N696" s="143"/>
      <c r="O696" s="143"/>
      <c r="P696" s="143"/>
      <c r="Q696" s="143"/>
      <c r="R696" s="143"/>
      <c r="S696" s="143"/>
      <c r="T696" s="143"/>
      <c r="U696" s="143"/>
      <c r="V696" s="143"/>
      <c r="W696" s="143"/>
      <c r="X696" s="143"/>
      <c r="Y696" s="143"/>
      <c r="Z696" s="143"/>
      <c r="AA696" s="143"/>
      <c r="AB696" s="143"/>
      <c r="AC696" s="143"/>
      <c r="AD696" s="143"/>
      <c r="AE696" s="143"/>
      <c r="AF696" s="143"/>
      <c r="AG696" s="143"/>
      <c r="AH696" s="143"/>
      <c r="AI696" s="143"/>
      <c r="AJ696" s="143"/>
      <c r="AK696" s="143"/>
      <c r="AL696" s="143"/>
      <c r="AM696" s="143"/>
    </row>
    <row r="697" spans="1:39" ht="12.75" customHeight="1" x14ac:dyDescent="0.25">
      <c r="A697" s="143"/>
      <c r="B697" s="143"/>
      <c r="C697" s="143"/>
      <c r="D697" s="143"/>
      <c r="E697" s="143"/>
      <c r="F697" s="143"/>
      <c r="G697" s="143"/>
      <c r="H697" s="143"/>
      <c r="I697" s="143"/>
      <c r="J697" s="143"/>
      <c r="K697" s="143"/>
      <c r="L697" s="143"/>
      <c r="M697" s="143"/>
      <c r="N697" s="143"/>
      <c r="O697" s="143"/>
      <c r="P697" s="143"/>
      <c r="Q697" s="143"/>
      <c r="R697" s="143"/>
      <c r="S697" s="143"/>
      <c r="T697" s="143"/>
      <c r="U697" s="143"/>
      <c r="V697" s="143"/>
      <c r="W697" s="143"/>
      <c r="X697" s="143"/>
      <c r="Y697" s="143"/>
      <c r="Z697" s="143"/>
      <c r="AA697" s="143"/>
      <c r="AB697" s="143"/>
      <c r="AC697" s="143"/>
      <c r="AD697" s="143"/>
      <c r="AE697" s="143"/>
      <c r="AF697" s="143"/>
      <c r="AG697" s="143"/>
      <c r="AH697" s="143"/>
      <c r="AI697" s="143"/>
      <c r="AJ697" s="143"/>
      <c r="AK697" s="143"/>
      <c r="AL697" s="143"/>
      <c r="AM697" s="143"/>
    </row>
    <row r="698" spans="1:39" ht="12.75" customHeight="1" x14ac:dyDescent="0.25">
      <c r="A698" s="143"/>
      <c r="B698" s="143"/>
      <c r="C698" s="143"/>
      <c r="D698" s="143"/>
      <c r="E698" s="143"/>
      <c r="F698" s="143"/>
      <c r="G698" s="143"/>
      <c r="H698" s="143"/>
      <c r="I698" s="143"/>
      <c r="J698" s="143"/>
      <c r="K698" s="143"/>
      <c r="L698" s="143"/>
      <c r="M698" s="143"/>
      <c r="N698" s="143"/>
      <c r="O698" s="143"/>
      <c r="P698" s="143"/>
      <c r="Q698" s="143"/>
      <c r="R698" s="143"/>
      <c r="S698" s="143"/>
      <c r="T698" s="143"/>
      <c r="U698" s="143"/>
      <c r="V698" s="143"/>
      <c r="W698" s="143"/>
      <c r="X698" s="143"/>
      <c r="Y698" s="143"/>
      <c r="Z698" s="143"/>
      <c r="AA698" s="143"/>
      <c r="AB698" s="143"/>
      <c r="AC698" s="143"/>
      <c r="AD698" s="143"/>
      <c r="AE698" s="143"/>
      <c r="AF698" s="143"/>
      <c r="AG698" s="143"/>
      <c r="AH698" s="143"/>
      <c r="AI698" s="143"/>
      <c r="AJ698" s="143"/>
      <c r="AK698" s="143"/>
      <c r="AL698" s="143"/>
      <c r="AM698" s="143"/>
    </row>
    <row r="699" spans="1:39" ht="12.75" customHeight="1" x14ac:dyDescent="0.25">
      <c r="A699" s="143"/>
      <c r="B699" s="143"/>
      <c r="C699" s="143"/>
      <c r="D699" s="143"/>
      <c r="E699" s="143"/>
      <c r="F699" s="143"/>
      <c r="G699" s="143"/>
      <c r="H699" s="143"/>
      <c r="I699" s="143"/>
      <c r="J699" s="143"/>
      <c r="K699" s="143"/>
      <c r="L699" s="143"/>
      <c r="M699" s="143"/>
      <c r="N699" s="143"/>
      <c r="O699" s="143"/>
      <c r="P699" s="143"/>
      <c r="Q699" s="143"/>
      <c r="R699" s="143"/>
      <c r="S699" s="143"/>
      <c r="T699" s="143"/>
      <c r="U699" s="143"/>
      <c r="V699" s="143"/>
      <c r="W699" s="143"/>
      <c r="X699" s="143"/>
      <c r="Y699" s="143"/>
      <c r="Z699" s="143"/>
      <c r="AA699" s="143"/>
      <c r="AB699" s="143"/>
      <c r="AC699" s="143"/>
      <c r="AD699" s="143"/>
      <c r="AE699" s="143"/>
      <c r="AF699" s="143"/>
      <c r="AG699" s="143"/>
      <c r="AH699" s="143"/>
      <c r="AI699" s="143"/>
      <c r="AJ699" s="143"/>
      <c r="AK699" s="143"/>
      <c r="AL699" s="143"/>
      <c r="AM699" s="143"/>
    </row>
    <row r="700" spans="1:39" ht="12.75" customHeight="1" x14ac:dyDescent="0.25">
      <c r="A700" s="143"/>
      <c r="B700" s="143"/>
      <c r="C700" s="143"/>
      <c r="D700" s="143"/>
      <c r="E700" s="143"/>
      <c r="F700" s="143"/>
      <c r="G700" s="143"/>
      <c r="H700" s="143"/>
      <c r="I700" s="143"/>
      <c r="J700" s="143"/>
      <c r="K700" s="143"/>
      <c r="L700" s="143"/>
      <c r="M700" s="143"/>
      <c r="N700" s="143"/>
      <c r="O700" s="143"/>
      <c r="P700" s="143"/>
      <c r="Q700" s="143"/>
      <c r="R700" s="143"/>
      <c r="S700" s="143"/>
      <c r="T700" s="143"/>
      <c r="U700" s="143"/>
      <c r="V700" s="143"/>
      <c r="W700" s="143"/>
      <c r="X700" s="143"/>
      <c r="Y700" s="143"/>
      <c r="Z700" s="143"/>
      <c r="AA700" s="143"/>
      <c r="AB700" s="143"/>
      <c r="AC700" s="143"/>
      <c r="AD700" s="143"/>
      <c r="AE700" s="143"/>
      <c r="AF700" s="143"/>
      <c r="AG700" s="143"/>
      <c r="AH700" s="143"/>
      <c r="AI700" s="143"/>
      <c r="AJ700" s="143"/>
      <c r="AK700" s="143"/>
      <c r="AL700" s="143"/>
      <c r="AM700" s="143"/>
    </row>
    <row r="701" spans="1:39" ht="12.75" customHeight="1" x14ac:dyDescent="0.25">
      <c r="A701" s="143"/>
      <c r="B701" s="143"/>
      <c r="C701" s="143"/>
      <c r="D701" s="143"/>
      <c r="E701" s="143"/>
      <c r="F701" s="143"/>
      <c r="G701" s="143"/>
      <c r="H701" s="143"/>
      <c r="I701" s="143"/>
      <c r="J701" s="143"/>
      <c r="K701" s="143"/>
      <c r="L701" s="143"/>
      <c r="M701" s="143"/>
      <c r="N701" s="143"/>
      <c r="O701" s="143"/>
      <c r="P701" s="143"/>
      <c r="Q701" s="143"/>
      <c r="R701" s="143"/>
      <c r="S701" s="143"/>
      <c r="T701" s="143"/>
      <c r="U701" s="143"/>
      <c r="V701" s="143"/>
      <c r="W701" s="143"/>
      <c r="X701" s="143"/>
      <c r="Y701" s="143"/>
      <c r="Z701" s="143"/>
      <c r="AA701" s="143"/>
      <c r="AB701" s="143"/>
      <c r="AC701" s="143"/>
      <c r="AD701" s="143"/>
      <c r="AE701" s="143"/>
      <c r="AF701" s="143"/>
      <c r="AG701" s="143"/>
      <c r="AH701" s="143"/>
      <c r="AI701" s="143"/>
      <c r="AJ701" s="143"/>
      <c r="AK701" s="143"/>
      <c r="AL701" s="143"/>
      <c r="AM701" s="143"/>
    </row>
    <row r="702" spans="1:39" ht="12.75" customHeight="1" x14ac:dyDescent="0.25">
      <c r="A702" s="143"/>
      <c r="B702" s="143"/>
      <c r="C702" s="143"/>
      <c r="D702" s="143"/>
      <c r="E702" s="143"/>
      <c r="F702" s="143"/>
      <c r="G702" s="143"/>
      <c r="H702" s="143"/>
      <c r="I702" s="143"/>
      <c r="J702" s="143"/>
      <c r="K702" s="143"/>
      <c r="L702" s="143"/>
      <c r="M702" s="143"/>
      <c r="N702" s="143"/>
      <c r="O702" s="143"/>
      <c r="P702" s="143"/>
      <c r="Q702" s="143"/>
      <c r="R702" s="143"/>
      <c r="S702" s="143"/>
      <c r="T702" s="143"/>
      <c r="U702" s="143"/>
      <c r="V702" s="143"/>
      <c r="W702" s="143"/>
      <c r="X702" s="143"/>
      <c r="Y702" s="143"/>
      <c r="Z702" s="143"/>
      <c r="AA702" s="143"/>
      <c r="AB702" s="143"/>
      <c r="AC702" s="143"/>
      <c r="AD702" s="143"/>
      <c r="AE702" s="143"/>
      <c r="AF702" s="143"/>
      <c r="AG702" s="143"/>
      <c r="AH702" s="143"/>
      <c r="AI702" s="143"/>
      <c r="AJ702" s="143"/>
      <c r="AK702" s="143"/>
      <c r="AL702" s="143"/>
      <c r="AM702" s="143"/>
    </row>
    <row r="703" spans="1:39" ht="12.75" customHeight="1" x14ac:dyDescent="0.25">
      <c r="A703" s="143"/>
      <c r="B703" s="143"/>
      <c r="C703" s="143"/>
      <c r="D703" s="143"/>
      <c r="E703" s="143"/>
      <c r="F703" s="143"/>
      <c r="G703" s="143"/>
      <c r="H703" s="143"/>
      <c r="I703" s="143"/>
      <c r="J703" s="143"/>
      <c r="K703" s="143"/>
      <c r="L703" s="143"/>
      <c r="M703" s="143"/>
      <c r="N703" s="143"/>
      <c r="O703" s="143"/>
      <c r="P703" s="143"/>
      <c r="Q703" s="143"/>
      <c r="R703" s="143"/>
      <c r="S703" s="143"/>
      <c r="T703" s="143"/>
      <c r="U703" s="143"/>
      <c r="V703" s="143"/>
      <c r="W703" s="143"/>
      <c r="X703" s="143"/>
      <c r="Y703" s="143"/>
      <c r="Z703" s="143"/>
      <c r="AA703" s="143"/>
      <c r="AB703" s="143"/>
      <c r="AC703" s="143"/>
      <c r="AD703" s="143"/>
      <c r="AE703" s="143"/>
      <c r="AF703" s="143"/>
      <c r="AG703" s="143"/>
      <c r="AH703" s="143"/>
      <c r="AI703" s="143"/>
      <c r="AJ703" s="143"/>
      <c r="AK703" s="143"/>
      <c r="AL703" s="143"/>
      <c r="AM703" s="143"/>
    </row>
    <row r="704" spans="1:39" ht="12.75" customHeight="1" x14ac:dyDescent="0.25">
      <c r="A704" s="143"/>
      <c r="B704" s="143"/>
      <c r="C704" s="143"/>
      <c r="D704" s="143"/>
      <c r="E704" s="143"/>
      <c r="F704" s="143"/>
      <c r="G704" s="143"/>
      <c r="H704" s="143"/>
      <c r="I704" s="143"/>
      <c r="J704" s="143"/>
      <c r="K704" s="143"/>
      <c r="L704" s="143"/>
      <c r="M704" s="143"/>
      <c r="N704" s="143"/>
      <c r="O704" s="143"/>
      <c r="P704" s="143"/>
      <c r="Q704" s="143"/>
      <c r="R704" s="143"/>
      <c r="S704" s="143"/>
      <c r="T704" s="143"/>
      <c r="U704" s="143"/>
      <c r="V704" s="143"/>
      <c r="W704" s="143"/>
      <c r="X704" s="143"/>
      <c r="Y704" s="143"/>
      <c r="Z704" s="143"/>
      <c r="AA704" s="143"/>
      <c r="AB704" s="143"/>
      <c r="AC704" s="143"/>
      <c r="AD704" s="143"/>
      <c r="AE704" s="143"/>
      <c r="AF704" s="143"/>
      <c r="AG704" s="143"/>
      <c r="AH704" s="143"/>
      <c r="AI704" s="143"/>
      <c r="AJ704" s="143"/>
      <c r="AK704" s="143"/>
      <c r="AL704" s="143"/>
      <c r="AM704" s="143"/>
    </row>
    <row r="705" spans="1:39" ht="12.75" customHeight="1" x14ac:dyDescent="0.25">
      <c r="A705" s="143"/>
      <c r="B705" s="143"/>
      <c r="C705" s="143"/>
      <c r="D705" s="143"/>
      <c r="E705" s="143"/>
      <c r="F705" s="143"/>
      <c r="G705" s="143"/>
      <c r="H705" s="143"/>
      <c r="I705" s="143"/>
      <c r="J705" s="143"/>
      <c r="K705" s="143"/>
      <c r="L705" s="143"/>
      <c r="M705" s="143"/>
      <c r="N705" s="143"/>
      <c r="O705" s="143"/>
      <c r="P705" s="143"/>
      <c r="Q705" s="143"/>
      <c r="R705" s="143"/>
      <c r="S705" s="143"/>
      <c r="T705" s="143"/>
      <c r="U705" s="143"/>
      <c r="V705" s="143"/>
      <c r="W705" s="143"/>
      <c r="X705" s="143"/>
      <c r="Y705" s="143"/>
      <c r="Z705" s="143"/>
      <c r="AA705" s="143"/>
      <c r="AB705" s="143"/>
      <c r="AC705" s="143"/>
      <c r="AD705" s="143"/>
      <c r="AE705" s="143"/>
      <c r="AF705" s="143"/>
      <c r="AG705" s="143"/>
      <c r="AH705" s="143"/>
      <c r="AI705" s="143"/>
      <c r="AJ705" s="143"/>
      <c r="AK705" s="143"/>
      <c r="AL705" s="143"/>
      <c r="AM705" s="143"/>
    </row>
    <row r="706" spans="1:39" ht="12.75" customHeight="1" x14ac:dyDescent="0.25">
      <c r="A706" s="143"/>
      <c r="B706" s="143"/>
      <c r="C706" s="143"/>
      <c r="D706" s="143"/>
      <c r="E706" s="143"/>
      <c r="F706" s="143"/>
      <c r="G706" s="143"/>
      <c r="H706" s="143"/>
      <c r="I706" s="143"/>
      <c r="J706" s="143"/>
      <c r="K706" s="143"/>
      <c r="L706" s="143"/>
      <c r="M706" s="143"/>
      <c r="N706" s="143"/>
      <c r="O706" s="143"/>
      <c r="P706" s="143"/>
      <c r="Q706" s="143"/>
      <c r="R706" s="143"/>
      <c r="S706" s="143"/>
      <c r="T706" s="143"/>
      <c r="U706" s="143"/>
      <c r="V706" s="143"/>
      <c r="W706" s="143"/>
      <c r="X706" s="143"/>
      <c r="Y706" s="143"/>
      <c r="Z706" s="143"/>
      <c r="AA706" s="143"/>
      <c r="AB706" s="143"/>
      <c r="AC706" s="143"/>
      <c r="AD706" s="143"/>
      <c r="AE706" s="143"/>
      <c r="AF706" s="143"/>
      <c r="AG706" s="143"/>
      <c r="AH706" s="143"/>
      <c r="AI706" s="143"/>
      <c r="AJ706" s="143"/>
      <c r="AK706" s="143"/>
      <c r="AL706" s="143"/>
      <c r="AM706" s="143"/>
    </row>
    <row r="707" spans="1:39" ht="12.75" customHeight="1" x14ac:dyDescent="0.25">
      <c r="A707" s="143"/>
      <c r="B707" s="143"/>
      <c r="C707" s="143"/>
      <c r="D707" s="143"/>
      <c r="E707" s="143"/>
      <c r="F707" s="143"/>
      <c r="G707" s="143"/>
      <c r="H707" s="143"/>
      <c r="I707" s="143"/>
      <c r="J707" s="143"/>
      <c r="K707" s="143"/>
      <c r="L707" s="143"/>
      <c r="M707" s="143"/>
      <c r="N707" s="143"/>
      <c r="O707" s="143"/>
      <c r="P707" s="143"/>
      <c r="Q707" s="143"/>
      <c r="R707" s="143"/>
      <c r="S707" s="143"/>
      <c r="T707" s="143"/>
      <c r="U707" s="143"/>
      <c r="V707" s="143"/>
      <c r="W707" s="143"/>
      <c r="X707" s="143"/>
      <c r="Y707" s="143"/>
      <c r="Z707" s="143"/>
      <c r="AA707" s="143"/>
      <c r="AB707" s="143"/>
      <c r="AC707" s="143"/>
      <c r="AD707" s="143"/>
      <c r="AE707" s="143"/>
      <c r="AF707" s="143"/>
      <c r="AG707" s="143"/>
      <c r="AH707" s="143"/>
      <c r="AI707" s="143"/>
      <c r="AJ707" s="143"/>
      <c r="AK707" s="143"/>
      <c r="AL707" s="143"/>
      <c r="AM707" s="143"/>
    </row>
    <row r="708" spans="1:39" ht="12.75" customHeight="1" x14ac:dyDescent="0.25">
      <c r="A708" s="143"/>
      <c r="B708" s="143"/>
      <c r="C708" s="143"/>
      <c r="D708" s="143"/>
      <c r="E708" s="143"/>
      <c r="F708" s="143"/>
      <c r="G708" s="143"/>
      <c r="H708" s="143"/>
      <c r="I708" s="143"/>
      <c r="J708" s="143"/>
      <c r="K708" s="143"/>
      <c r="L708" s="143"/>
      <c r="M708" s="143"/>
      <c r="N708" s="143"/>
      <c r="O708" s="143"/>
      <c r="P708" s="143"/>
      <c r="Q708" s="143"/>
      <c r="R708" s="143"/>
      <c r="S708" s="143"/>
      <c r="T708" s="143"/>
      <c r="U708" s="143"/>
      <c r="V708" s="143"/>
      <c r="W708" s="143"/>
      <c r="X708" s="143"/>
      <c r="Y708" s="143"/>
      <c r="Z708" s="143"/>
      <c r="AA708" s="143"/>
      <c r="AB708" s="143"/>
      <c r="AC708" s="143"/>
      <c r="AD708" s="143"/>
      <c r="AE708" s="143"/>
      <c r="AF708" s="143"/>
      <c r="AG708" s="143"/>
      <c r="AH708" s="143"/>
      <c r="AI708" s="143"/>
      <c r="AJ708" s="143"/>
      <c r="AK708" s="143"/>
      <c r="AL708" s="143"/>
      <c r="AM708" s="143"/>
    </row>
    <row r="709" spans="1:39" ht="12.75" customHeight="1" x14ac:dyDescent="0.25">
      <c r="A709" s="143"/>
      <c r="B709" s="143"/>
      <c r="C709" s="143"/>
      <c r="D709" s="143"/>
      <c r="E709" s="143"/>
      <c r="F709" s="143"/>
      <c r="G709" s="143"/>
      <c r="H709" s="143"/>
      <c r="I709" s="143"/>
      <c r="J709" s="143"/>
      <c r="K709" s="143"/>
      <c r="L709" s="143"/>
      <c r="M709" s="143"/>
      <c r="N709" s="143"/>
      <c r="O709" s="143"/>
      <c r="P709" s="143"/>
      <c r="Q709" s="143"/>
      <c r="R709" s="143"/>
      <c r="S709" s="143"/>
      <c r="T709" s="143"/>
      <c r="U709" s="143"/>
      <c r="V709" s="143"/>
      <c r="W709" s="143"/>
      <c r="X709" s="143"/>
      <c r="Y709" s="143"/>
      <c r="Z709" s="143"/>
      <c r="AA709" s="143"/>
      <c r="AB709" s="143"/>
      <c r="AC709" s="143"/>
      <c r="AD709" s="143"/>
      <c r="AE709" s="143"/>
      <c r="AF709" s="143"/>
      <c r="AG709" s="143"/>
      <c r="AH709" s="143"/>
      <c r="AI709" s="143"/>
      <c r="AJ709" s="143"/>
      <c r="AK709" s="143"/>
      <c r="AL709" s="143"/>
      <c r="AM709" s="143"/>
    </row>
    <row r="710" spans="1:39" ht="12.75" customHeight="1" x14ac:dyDescent="0.25">
      <c r="A710" s="143"/>
      <c r="B710" s="143"/>
      <c r="C710" s="143"/>
      <c r="D710" s="143"/>
      <c r="E710" s="143"/>
      <c r="F710" s="143"/>
      <c r="G710" s="143"/>
      <c r="H710" s="143"/>
      <c r="I710" s="143"/>
      <c r="J710" s="143"/>
      <c r="K710" s="143"/>
      <c r="L710" s="143"/>
      <c r="M710" s="143"/>
      <c r="N710" s="143"/>
      <c r="O710" s="143"/>
      <c r="P710" s="143"/>
      <c r="Q710" s="143"/>
      <c r="R710" s="143"/>
      <c r="S710" s="143"/>
      <c r="T710" s="143"/>
      <c r="U710" s="143"/>
      <c r="V710" s="143"/>
      <c r="W710" s="143"/>
      <c r="X710" s="143"/>
      <c r="Y710" s="143"/>
      <c r="Z710" s="143"/>
      <c r="AA710" s="143"/>
      <c r="AB710" s="143"/>
      <c r="AC710" s="143"/>
      <c r="AD710" s="143"/>
      <c r="AE710" s="143"/>
      <c r="AF710" s="143"/>
      <c r="AG710" s="143"/>
      <c r="AH710" s="143"/>
      <c r="AI710" s="143"/>
      <c r="AJ710" s="143"/>
      <c r="AK710" s="143"/>
      <c r="AL710" s="143"/>
      <c r="AM710" s="143"/>
    </row>
    <row r="711" spans="1:39" ht="12.75" customHeight="1" x14ac:dyDescent="0.25">
      <c r="A711" s="143"/>
      <c r="B711" s="143"/>
      <c r="C711" s="143"/>
      <c r="D711" s="143"/>
      <c r="E711" s="143"/>
      <c r="F711" s="143"/>
      <c r="G711" s="143"/>
      <c r="H711" s="143"/>
      <c r="I711" s="143"/>
      <c r="J711" s="143"/>
      <c r="K711" s="143"/>
      <c r="L711" s="143"/>
      <c r="M711" s="143"/>
      <c r="N711" s="143"/>
      <c r="O711" s="143"/>
      <c r="P711" s="143"/>
      <c r="Q711" s="143"/>
      <c r="R711" s="143"/>
      <c r="S711" s="143"/>
      <c r="T711" s="143"/>
      <c r="U711" s="143"/>
      <c r="V711" s="143"/>
      <c r="W711" s="143"/>
      <c r="X711" s="143"/>
      <c r="Y711" s="143"/>
      <c r="Z711" s="143"/>
      <c r="AA711" s="143"/>
      <c r="AB711" s="143"/>
      <c r="AC711" s="143"/>
      <c r="AD711" s="143"/>
      <c r="AE711" s="143"/>
      <c r="AF711" s="143"/>
      <c r="AG711" s="143"/>
      <c r="AH711" s="143"/>
      <c r="AI711" s="143"/>
      <c r="AJ711" s="143"/>
      <c r="AK711" s="143"/>
      <c r="AL711" s="143"/>
      <c r="AM711" s="143"/>
    </row>
    <row r="712" spans="1:39" ht="12.75" customHeight="1" x14ac:dyDescent="0.25">
      <c r="A712" s="143"/>
      <c r="B712" s="143"/>
      <c r="C712" s="143"/>
      <c r="D712" s="143"/>
      <c r="E712" s="143"/>
      <c r="F712" s="143"/>
      <c r="G712" s="143"/>
      <c r="H712" s="143"/>
      <c r="I712" s="143"/>
      <c r="J712" s="143"/>
      <c r="K712" s="143"/>
      <c r="L712" s="143"/>
      <c r="M712" s="143"/>
      <c r="N712" s="143"/>
      <c r="O712" s="143"/>
      <c r="P712" s="143"/>
      <c r="Q712" s="143"/>
      <c r="R712" s="143"/>
      <c r="S712" s="143"/>
      <c r="T712" s="143"/>
      <c r="U712" s="143"/>
      <c r="V712" s="143"/>
      <c r="W712" s="143"/>
      <c r="X712" s="143"/>
      <c r="Y712" s="143"/>
      <c r="Z712" s="143"/>
      <c r="AA712" s="143"/>
      <c r="AB712" s="143"/>
      <c r="AC712" s="143"/>
      <c r="AD712" s="143"/>
      <c r="AE712" s="143"/>
      <c r="AF712" s="143"/>
      <c r="AG712" s="143"/>
      <c r="AH712" s="143"/>
      <c r="AI712" s="143"/>
      <c r="AJ712" s="143"/>
      <c r="AK712" s="143"/>
      <c r="AL712" s="143"/>
      <c r="AM712" s="143"/>
    </row>
    <row r="713" spans="1:39" ht="12.75" customHeight="1" x14ac:dyDescent="0.25">
      <c r="A713" s="143"/>
      <c r="B713" s="143"/>
      <c r="C713" s="143"/>
      <c r="D713" s="143"/>
      <c r="E713" s="143"/>
      <c r="F713" s="143"/>
      <c r="G713" s="143"/>
      <c r="H713" s="143"/>
      <c r="I713" s="143"/>
      <c r="J713" s="143"/>
      <c r="K713" s="143"/>
      <c r="L713" s="143"/>
      <c r="M713" s="143"/>
      <c r="N713" s="143"/>
      <c r="O713" s="143"/>
      <c r="P713" s="143"/>
      <c r="Q713" s="143"/>
      <c r="R713" s="143"/>
      <c r="S713" s="143"/>
      <c r="T713" s="143"/>
      <c r="U713" s="143"/>
      <c r="V713" s="143"/>
      <c r="W713" s="143"/>
      <c r="X713" s="143"/>
      <c r="Y713" s="143"/>
      <c r="Z713" s="143"/>
      <c r="AA713" s="143"/>
      <c r="AB713" s="143"/>
      <c r="AC713" s="143"/>
      <c r="AD713" s="143"/>
      <c r="AE713" s="143"/>
      <c r="AF713" s="143"/>
      <c r="AG713" s="143"/>
      <c r="AH713" s="143"/>
      <c r="AI713" s="143"/>
      <c r="AJ713" s="143"/>
      <c r="AK713" s="143"/>
      <c r="AL713" s="143"/>
      <c r="AM713" s="143"/>
    </row>
    <row r="714" spans="1:39" ht="12.75" customHeight="1" x14ac:dyDescent="0.25">
      <c r="A714" s="143"/>
      <c r="B714" s="143"/>
      <c r="C714" s="143"/>
      <c r="D714" s="143"/>
      <c r="E714" s="143"/>
      <c r="F714" s="143"/>
      <c r="G714" s="143"/>
      <c r="H714" s="143"/>
      <c r="I714" s="143"/>
      <c r="J714" s="143"/>
      <c r="K714" s="143"/>
      <c r="L714" s="143"/>
      <c r="M714" s="143"/>
      <c r="N714" s="143"/>
      <c r="O714" s="143"/>
      <c r="P714" s="143"/>
      <c r="Q714" s="143"/>
      <c r="R714" s="143"/>
      <c r="S714" s="143"/>
      <c r="T714" s="143"/>
      <c r="U714" s="143"/>
      <c r="V714" s="143"/>
      <c r="W714" s="143"/>
      <c r="X714" s="143"/>
      <c r="Y714" s="143"/>
      <c r="Z714" s="143"/>
      <c r="AA714" s="143"/>
      <c r="AB714" s="143"/>
      <c r="AC714" s="143"/>
      <c r="AD714" s="143"/>
      <c r="AE714" s="143"/>
      <c r="AF714" s="143"/>
      <c r="AG714" s="143"/>
      <c r="AH714" s="143"/>
      <c r="AI714" s="143"/>
      <c r="AJ714" s="143"/>
      <c r="AK714" s="143"/>
      <c r="AL714" s="143"/>
      <c r="AM714" s="143"/>
    </row>
    <row r="715" spans="1:39" ht="12.75" customHeight="1" x14ac:dyDescent="0.25">
      <c r="A715" s="143"/>
      <c r="B715" s="143"/>
      <c r="C715" s="143"/>
      <c r="D715" s="143"/>
      <c r="E715" s="143"/>
      <c r="F715" s="143"/>
      <c r="G715" s="143"/>
      <c r="H715" s="143"/>
      <c r="I715" s="143"/>
      <c r="J715" s="143"/>
      <c r="K715" s="143"/>
      <c r="L715" s="143"/>
      <c r="M715" s="143"/>
      <c r="N715" s="143"/>
      <c r="O715" s="143"/>
      <c r="P715" s="143"/>
      <c r="Q715" s="143"/>
      <c r="R715" s="143"/>
      <c r="S715" s="143"/>
      <c r="T715" s="143"/>
      <c r="U715" s="143"/>
      <c r="V715" s="143"/>
      <c r="W715" s="143"/>
      <c r="X715" s="143"/>
      <c r="Y715" s="143"/>
      <c r="Z715" s="143"/>
      <c r="AA715" s="143"/>
      <c r="AB715" s="143"/>
      <c r="AC715" s="143"/>
      <c r="AD715" s="143"/>
      <c r="AE715" s="143"/>
      <c r="AF715" s="143"/>
      <c r="AG715" s="143"/>
      <c r="AH715" s="143"/>
      <c r="AI715" s="143"/>
      <c r="AJ715" s="143"/>
      <c r="AK715" s="143"/>
      <c r="AL715" s="143"/>
      <c r="AM715" s="143"/>
    </row>
    <row r="716" spans="1:39" ht="12.75" customHeight="1" x14ac:dyDescent="0.25">
      <c r="A716" s="143"/>
      <c r="B716" s="143"/>
      <c r="C716" s="143"/>
      <c r="D716" s="143"/>
      <c r="E716" s="143"/>
      <c r="F716" s="143"/>
      <c r="G716" s="143"/>
      <c r="H716" s="143"/>
      <c r="I716" s="143"/>
      <c r="J716" s="143"/>
      <c r="K716" s="143"/>
      <c r="L716" s="143"/>
      <c r="M716" s="143"/>
      <c r="N716" s="143"/>
      <c r="O716" s="143"/>
      <c r="P716" s="143"/>
      <c r="Q716" s="143"/>
      <c r="R716" s="143"/>
      <c r="S716" s="143"/>
      <c r="T716" s="143"/>
      <c r="U716" s="143"/>
      <c r="V716" s="143"/>
      <c r="W716" s="143"/>
      <c r="X716" s="143"/>
      <c r="Y716" s="143"/>
      <c r="Z716" s="143"/>
      <c r="AA716" s="143"/>
      <c r="AB716" s="143"/>
      <c r="AC716" s="143"/>
      <c r="AD716" s="143"/>
      <c r="AE716" s="143"/>
      <c r="AF716" s="143"/>
      <c r="AG716" s="143"/>
      <c r="AH716" s="143"/>
      <c r="AI716" s="143"/>
      <c r="AJ716" s="143"/>
      <c r="AK716" s="143"/>
      <c r="AL716" s="143"/>
      <c r="AM716" s="143"/>
    </row>
    <row r="717" spans="1:39" ht="12.75" customHeight="1" x14ac:dyDescent="0.25">
      <c r="A717" s="143"/>
      <c r="B717" s="143"/>
      <c r="C717" s="143"/>
      <c r="D717" s="143"/>
      <c r="E717" s="143"/>
      <c r="F717" s="143"/>
      <c r="G717" s="143"/>
      <c r="H717" s="143"/>
      <c r="I717" s="143"/>
      <c r="J717" s="143"/>
      <c r="K717" s="143"/>
      <c r="L717" s="143"/>
      <c r="M717" s="143"/>
      <c r="N717" s="143"/>
      <c r="O717" s="143"/>
      <c r="P717" s="143"/>
      <c r="Q717" s="143"/>
      <c r="R717" s="143"/>
      <c r="S717" s="143"/>
      <c r="T717" s="143"/>
      <c r="U717" s="143"/>
      <c r="V717" s="143"/>
      <c r="W717" s="143"/>
      <c r="X717" s="143"/>
      <c r="Y717" s="143"/>
      <c r="Z717" s="143"/>
      <c r="AA717" s="143"/>
      <c r="AB717" s="143"/>
      <c r="AC717" s="143"/>
      <c r="AD717" s="143"/>
      <c r="AE717" s="143"/>
      <c r="AF717" s="143"/>
      <c r="AG717" s="143"/>
      <c r="AH717" s="143"/>
      <c r="AI717" s="143"/>
      <c r="AJ717" s="143"/>
      <c r="AK717" s="143"/>
      <c r="AL717" s="143"/>
      <c r="AM717" s="143"/>
    </row>
    <row r="718" spans="1:39" ht="12.75" customHeight="1" x14ac:dyDescent="0.25">
      <c r="A718" s="143"/>
      <c r="B718" s="143"/>
      <c r="C718" s="143"/>
      <c r="D718" s="143"/>
      <c r="E718" s="143"/>
      <c r="F718" s="143"/>
      <c r="G718" s="143"/>
      <c r="H718" s="143"/>
      <c r="I718" s="143"/>
      <c r="J718" s="143"/>
      <c r="K718" s="143"/>
      <c r="L718" s="143"/>
      <c r="M718" s="143"/>
      <c r="N718" s="143"/>
      <c r="O718" s="143"/>
      <c r="P718" s="143"/>
      <c r="Q718" s="143"/>
      <c r="R718" s="143"/>
      <c r="S718" s="143"/>
      <c r="T718" s="143"/>
      <c r="U718" s="143"/>
      <c r="V718" s="143"/>
      <c r="W718" s="143"/>
      <c r="X718" s="143"/>
      <c r="Y718" s="143"/>
      <c r="Z718" s="143"/>
      <c r="AA718" s="143"/>
      <c r="AB718" s="143"/>
      <c r="AC718" s="143"/>
      <c r="AD718" s="143"/>
      <c r="AE718" s="143"/>
      <c r="AF718" s="143"/>
      <c r="AG718" s="143"/>
      <c r="AH718" s="143"/>
      <c r="AI718" s="143"/>
      <c r="AJ718" s="143"/>
      <c r="AK718" s="143"/>
      <c r="AL718" s="143"/>
      <c r="AM718" s="143"/>
    </row>
    <row r="719" spans="1:39" ht="12.75" customHeight="1" x14ac:dyDescent="0.25">
      <c r="A719" s="143"/>
      <c r="B719" s="143"/>
      <c r="C719" s="143"/>
      <c r="D719" s="143"/>
      <c r="E719" s="143"/>
      <c r="F719" s="143"/>
      <c r="G719" s="143"/>
      <c r="H719" s="143"/>
      <c r="I719" s="143"/>
      <c r="J719" s="143"/>
      <c r="K719" s="143"/>
      <c r="L719" s="143"/>
      <c r="M719" s="143"/>
      <c r="N719" s="143"/>
      <c r="O719" s="143"/>
      <c r="P719" s="143"/>
      <c r="Q719" s="143"/>
      <c r="R719" s="143"/>
      <c r="S719" s="143"/>
      <c r="T719" s="143"/>
      <c r="U719" s="143"/>
      <c r="V719" s="143"/>
      <c r="W719" s="143"/>
      <c r="X719" s="143"/>
      <c r="Y719" s="143"/>
      <c r="Z719" s="143"/>
      <c r="AA719" s="143"/>
      <c r="AB719" s="143"/>
      <c r="AC719" s="143"/>
      <c r="AD719" s="143"/>
      <c r="AE719" s="143"/>
      <c r="AF719" s="143"/>
      <c r="AG719" s="143"/>
      <c r="AH719" s="143"/>
      <c r="AI719" s="143"/>
      <c r="AJ719" s="143"/>
      <c r="AK719" s="143"/>
      <c r="AL719" s="143"/>
      <c r="AM719" s="143"/>
    </row>
    <row r="720" spans="1:39" ht="12.75" customHeight="1" x14ac:dyDescent="0.25">
      <c r="A720" s="143"/>
      <c r="B720" s="143"/>
      <c r="C720" s="143"/>
      <c r="D720" s="143"/>
      <c r="E720" s="143"/>
      <c r="F720" s="143"/>
      <c r="G720" s="143"/>
      <c r="H720" s="143"/>
      <c r="I720" s="143"/>
      <c r="J720" s="143"/>
      <c r="K720" s="143"/>
      <c r="L720" s="143"/>
      <c r="M720" s="143"/>
      <c r="N720" s="143"/>
      <c r="O720" s="143"/>
      <c r="P720" s="143"/>
      <c r="Q720" s="143"/>
      <c r="R720" s="143"/>
      <c r="S720" s="143"/>
      <c r="T720" s="143"/>
      <c r="U720" s="143"/>
      <c r="V720" s="143"/>
      <c r="W720" s="143"/>
      <c r="X720" s="143"/>
      <c r="Y720" s="143"/>
      <c r="Z720" s="143"/>
      <c r="AA720" s="143"/>
      <c r="AB720" s="143"/>
      <c r="AC720" s="143"/>
      <c r="AD720" s="143"/>
      <c r="AE720" s="143"/>
      <c r="AF720" s="143"/>
      <c r="AG720" s="143"/>
      <c r="AH720" s="143"/>
      <c r="AI720" s="143"/>
      <c r="AJ720" s="143"/>
      <c r="AK720" s="143"/>
      <c r="AL720" s="143"/>
      <c r="AM720" s="143"/>
    </row>
    <row r="721" spans="1:39" ht="12.75" customHeight="1" x14ac:dyDescent="0.25">
      <c r="A721" s="143"/>
      <c r="B721" s="143"/>
      <c r="C721" s="143"/>
      <c r="D721" s="143"/>
      <c r="E721" s="143"/>
      <c r="F721" s="143"/>
      <c r="G721" s="143"/>
      <c r="H721" s="143"/>
      <c r="I721" s="143"/>
      <c r="J721" s="143"/>
      <c r="K721" s="143"/>
      <c r="L721" s="143"/>
      <c r="M721" s="143"/>
      <c r="N721" s="143"/>
      <c r="O721" s="143"/>
      <c r="P721" s="143"/>
      <c r="Q721" s="143"/>
      <c r="R721" s="143"/>
      <c r="S721" s="143"/>
      <c r="T721" s="143"/>
      <c r="U721" s="143"/>
      <c r="V721" s="143"/>
      <c r="W721" s="143"/>
      <c r="X721" s="143"/>
      <c r="Y721" s="143"/>
      <c r="Z721" s="143"/>
      <c r="AA721" s="143"/>
      <c r="AB721" s="143"/>
      <c r="AC721" s="143"/>
      <c r="AD721" s="143"/>
      <c r="AE721" s="143"/>
      <c r="AF721" s="143"/>
      <c r="AG721" s="143"/>
      <c r="AH721" s="143"/>
      <c r="AI721" s="143"/>
      <c r="AJ721" s="143"/>
      <c r="AK721" s="143"/>
      <c r="AL721" s="143"/>
      <c r="AM721" s="143"/>
    </row>
    <row r="722" spans="1:39" ht="12.75" customHeight="1" x14ac:dyDescent="0.25">
      <c r="A722" s="143"/>
      <c r="B722" s="143"/>
      <c r="C722" s="143"/>
      <c r="D722" s="143"/>
      <c r="E722" s="143"/>
      <c r="F722" s="143"/>
      <c r="G722" s="143"/>
      <c r="H722" s="143"/>
      <c r="I722" s="143"/>
      <c r="J722" s="143"/>
      <c r="K722" s="143"/>
      <c r="L722" s="143"/>
      <c r="M722" s="143"/>
      <c r="N722" s="143"/>
      <c r="O722" s="143"/>
      <c r="P722" s="143"/>
      <c r="Q722" s="143"/>
      <c r="R722" s="143"/>
      <c r="S722" s="143"/>
      <c r="T722" s="143"/>
      <c r="U722" s="143"/>
      <c r="V722" s="143"/>
      <c r="W722" s="143"/>
      <c r="X722" s="143"/>
      <c r="Y722" s="143"/>
      <c r="Z722" s="143"/>
      <c r="AA722" s="143"/>
      <c r="AB722" s="143"/>
      <c r="AC722" s="143"/>
      <c r="AD722" s="143"/>
      <c r="AE722" s="143"/>
      <c r="AF722" s="143"/>
      <c r="AG722" s="143"/>
      <c r="AH722" s="143"/>
      <c r="AI722" s="143"/>
      <c r="AJ722" s="143"/>
      <c r="AK722" s="143"/>
      <c r="AL722" s="143"/>
      <c r="AM722" s="143"/>
    </row>
    <row r="723" spans="1:39" ht="12.75" customHeight="1" x14ac:dyDescent="0.25">
      <c r="A723" s="143"/>
      <c r="B723" s="143"/>
      <c r="C723" s="143"/>
      <c r="D723" s="143"/>
      <c r="E723" s="143"/>
      <c r="F723" s="143"/>
      <c r="G723" s="143"/>
      <c r="H723" s="143"/>
      <c r="I723" s="143"/>
      <c r="J723" s="143"/>
      <c r="K723" s="143"/>
      <c r="L723" s="143"/>
      <c r="M723" s="143"/>
      <c r="N723" s="143"/>
      <c r="O723" s="143"/>
      <c r="P723" s="143"/>
      <c r="Q723" s="143"/>
      <c r="R723" s="143"/>
      <c r="S723" s="143"/>
      <c r="T723" s="143"/>
      <c r="U723" s="143"/>
      <c r="V723" s="143"/>
      <c r="W723" s="143"/>
      <c r="X723" s="143"/>
      <c r="Y723" s="143"/>
      <c r="Z723" s="143"/>
      <c r="AA723" s="143"/>
      <c r="AB723" s="143"/>
      <c r="AC723" s="143"/>
      <c r="AD723" s="143"/>
      <c r="AE723" s="143"/>
      <c r="AF723" s="143"/>
      <c r="AG723" s="143"/>
      <c r="AH723" s="143"/>
      <c r="AI723" s="143"/>
      <c r="AJ723" s="143"/>
      <c r="AK723" s="143"/>
      <c r="AL723" s="143"/>
      <c r="AM723" s="143"/>
    </row>
    <row r="724" spans="1:39" ht="12.75" customHeight="1" x14ac:dyDescent="0.25">
      <c r="A724" s="143"/>
      <c r="B724" s="143"/>
      <c r="C724" s="143"/>
      <c r="D724" s="143"/>
      <c r="E724" s="143"/>
      <c r="F724" s="143"/>
      <c r="G724" s="143"/>
      <c r="H724" s="143"/>
      <c r="I724" s="143"/>
      <c r="J724" s="143"/>
      <c r="K724" s="143"/>
      <c r="L724" s="143"/>
      <c r="M724" s="143"/>
      <c r="N724" s="143"/>
      <c r="O724" s="143"/>
      <c r="P724" s="143"/>
      <c r="Q724" s="143"/>
      <c r="R724" s="143"/>
      <c r="S724" s="143"/>
      <c r="T724" s="143"/>
      <c r="U724" s="143"/>
      <c r="V724" s="143"/>
      <c r="W724" s="143"/>
      <c r="X724" s="143"/>
      <c r="Y724" s="143"/>
      <c r="Z724" s="143"/>
      <c r="AA724" s="143"/>
      <c r="AB724" s="143"/>
      <c r="AC724" s="143"/>
      <c r="AD724" s="143"/>
      <c r="AE724" s="143"/>
      <c r="AF724" s="143"/>
      <c r="AG724" s="143"/>
      <c r="AH724" s="143"/>
      <c r="AI724" s="143"/>
      <c r="AJ724" s="143"/>
      <c r="AK724" s="143"/>
      <c r="AL724" s="143"/>
      <c r="AM724" s="143"/>
    </row>
    <row r="725" spans="1:39" ht="12.75" customHeight="1" x14ac:dyDescent="0.25">
      <c r="A725" s="143"/>
      <c r="B725" s="143"/>
      <c r="C725" s="143"/>
      <c r="D725" s="143"/>
      <c r="E725" s="143"/>
      <c r="F725" s="143"/>
      <c r="G725" s="143"/>
      <c r="H725" s="143"/>
      <c r="I725" s="143"/>
      <c r="J725" s="143"/>
      <c r="K725" s="143"/>
      <c r="L725" s="143"/>
      <c r="M725" s="143"/>
      <c r="N725" s="143"/>
      <c r="O725" s="143"/>
      <c r="P725" s="143"/>
      <c r="Q725" s="143"/>
      <c r="R725" s="143"/>
      <c r="S725" s="143"/>
      <c r="T725" s="143"/>
      <c r="U725" s="143"/>
      <c r="V725" s="143"/>
      <c r="W725" s="143"/>
      <c r="X725" s="143"/>
      <c r="Y725" s="143"/>
      <c r="Z725" s="143"/>
      <c r="AA725" s="143"/>
      <c r="AB725" s="143"/>
      <c r="AC725" s="143"/>
      <c r="AD725" s="143"/>
      <c r="AE725" s="143"/>
      <c r="AF725" s="143"/>
      <c r="AG725" s="143"/>
      <c r="AH725" s="143"/>
      <c r="AI725" s="143"/>
      <c r="AJ725" s="143"/>
      <c r="AK725" s="143"/>
      <c r="AL725" s="143"/>
      <c r="AM725" s="143"/>
    </row>
    <row r="726" spans="1:39" ht="12.75" customHeight="1" x14ac:dyDescent="0.25">
      <c r="A726" s="143"/>
      <c r="B726" s="143"/>
      <c r="C726" s="143"/>
      <c r="D726" s="143"/>
      <c r="E726" s="143"/>
      <c r="F726" s="143"/>
      <c r="G726" s="143"/>
      <c r="H726" s="143"/>
      <c r="I726" s="143"/>
      <c r="J726" s="143"/>
      <c r="K726" s="143"/>
      <c r="L726" s="143"/>
      <c r="M726" s="143"/>
      <c r="N726" s="143"/>
      <c r="O726" s="143"/>
      <c r="P726" s="143"/>
      <c r="Q726" s="143"/>
      <c r="R726" s="143"/>
      <c r="S726" s="143"/>
      <c r="T726" s="143"/>
      <c r="U726" s="143"/>
      <c r="V726" s="143"/>
      <c r="W726" s="143"/>
      <c r="X726" s="143"/>
      <c r="Y726" s="143"/>
      <c r="Z726" s="143"/>
      <c r="AA726" s="143"/>
      <c r="AB726" s="143"/>
      <c r="AC726" s="143"/>
      <c r="AD726" s="143"/>
      <c r="AE726" s="143"/>
      <c r="AF726" s="143"/>
      <c r="AG726" s="143"/>
      <c r="AH726" s="143"/>
      <c r="AI726" s="143"/>
      <c r="AJ726" s="143"/>
      <c r="AK726" s="143"/>
      <c r="AL726" s="143"/>
      <c r="AM726" s="143"/>
    </row>
    <row r="727" spans="1:39" ht="12.75" customHeight="1" x14ac:dyDescent="0.25">
      <c r="A727" s="143"/>
      <c r="B727" s="143"/>
      <c r="C727" s="143"/>
      <c r="D727" s="143"/>
      <c r="E727" s="143"/>
      <c r="F727" s="143"/>
      <c r="G727" s="143"/>
      <c r="H727" s="143"/>
      <c r="I727" s="143"/>
      <c r="J727" s="143"/>
      <c r="K727" s="143"/>
      <c r="L727" s="143"/>
      <c r="M727" s="143"/>
      <c r="N727" s="143"/>
      <c r="O727" s="143"/>
      <c r="P727" s="143"/>
      <c r="Q727" s="143"/>
      <c r="R727" s="143"/>
      <c r="S727" s="143"/>
      <c r="T727" s="143"/>
      <c r="U727" s="143"/>
      <c r="V727" s="143"/>
      <c r="W727" s="143"/>
      <c r="X727" s="143"/>
      <c r="Y727" s="143"/>
      <c r="Z727" s="143"/>
      <c r="AA727" s="143"/>
      <c r="AB727" s="143"/>
      <c r="AC727" s="143"/>
      <c r="AD727" s="143"/>
      <c r="AE727" s="143"/>
      <c r="AF727" s="143"/>
      <c r="AG727" s="143"/>
      <c r="AH727" s="143"/>
      <c r="AI727" s="143"/>
      <c r="AJ727" s="143"/>
      <c r="AK727" s="143"/>
      <c r="AL727" s="143"/>
      <c r="AM727" s="143"/>
    </row>
    <row r="728" spans="1:39" ht="12.75" customHeight="1" x14ac:dyDescent="0.25">
      <c r="A728" s="143"/>
      <c r="B728" s="143"/>
      <c r="C728" s="143"/>
      <c r="D728" s="143"/>
      <c r="E728" s="143"/>
      <c r="F728" s="143"/>
      <c r="G728" s="143"/>
      <c r="H728" s="143"/>
      <c r="I728" s="143"/>
      <c r="J728" s="143"/>
      <c r="K728" s="143"/>
      <c r="L728" s="143"/>
      <c r="M728" s="143"/>
      <c r="N728" s="143"/>
      <c r="O728" s="143"/>
      <c r="P728" s="143"/>
      <c r="Q728" s="143"/>
      <c r="R728" s="143"/>
      <c r="S728" s="143"/>
      <c r="T728" s="143"/>
      <c r="U728" s="143"/>
      <c r="V728" s="143"/>
      <c r="W728" s="143"/>
      <c r="X728" s="143"/>
      <c r="Y728" s="143"/>
      <c r="Z728" s="143"/>
      <c r="AA728" s="143"/>
      <c r="AB728" s="143"/>
      <c r="AC728" s="143"/>
      <c r="AD728" s="143"/>
      <c r="AE728" s="143"/>
      <c r="AF728" s="143"/>
      <c r="AG728" s="143"/>
      <c r="AH728" s="143"/>
      <c r="AI728" s="143"/>
      <c r="AJ728" s="143"/>
      <c r="AK728" s="143"/>
      <c r="AL728" s="143"/>
      <c r="AM728" s="143"/>
    </row>
    <row r="729" spans="1:39" ht="12.75" customHeight="1" x14ac:dyDescent="0.25">
      <c r="A729" s="143"/>
      <c r="B729" s="143"/>
      <c r="C729" s="143"/>
      <c r="D729" s="143"/>
      <c r="E729" s="143"/>
      <c r="F729" s="143"/>
      <c r="G729" s="143"/>
      <c r="H729" s="143"/>
      <c r="I729" s="143"/>
      <c r="J729" s="143"/>
      <c r="K729" s="143"/>
      <c r="L729" s="143"/>
      <c r="M729" s="143"/>
      <c r="N729" s="143"/>
      <c r="O729" s="143"/>
      <c r="P729" s="143"/>
      <c r="Q729" s="143"/>
      <c r="R729" s="143"/>
      <c r="S729" s="143"/>
      <c r="T729" s="143"/>
      <c r="U729" s="143"/>
      <c r="V729" s="143"/>
      <c r="W729" s="143"/>
      <c r="X729" s="143"/>
      <c r="Y729" s="143"/>
      <c r="Z729" s="143"/>
      <c r="AA729" s="143"/>
      <c r="AB729" s="143"/>
      <c r="AC729" s="143"/>
      <c r="AD729" s="143"/>
      <c r="AE729" s="143"/>
      <c r="AF729" s="143"/>
      <c r="AG729" s="143"/>
      <c r="AH729" s="143"/>
      <c r="AI729" s="143"/>
      <c r="AJ729" s="143"/>
      <c r="AK729" s="143"/>
      <c r="AL729" s="143"/>
      <c r="AM729" s="143"/>
    </row>
    <row r="730" spans="1:39" ht="12.75" customHeight="1" x14ac:dyDescent="0.25">
      <c r="A730" s="143"/>
      <c r="B730" s="143"/>
      <c r="C730" s="143"/>
      <c r="D730" s="143"/>
      <c r="E730" s="143"/>
      <c r="F730" s="143"/>
      <c r="G730" s="143"/>
      <c r="H730" s="143"/>
      <c r="I730" s="143"/>
      <c r="J730" s="143"/>
      <c r="K730" s="143"/>
      <c r="L730" s="143"/>
      <c r="M730" s="143"/>
      <c r="N730" s="143"/>
      <c r="O730" s="143"/>
      <c r="P730" s="143"/>
      <c r="Q730" s="143"/>
      <c r="R730" s="143"/>
      <c r="S730" s="143"/>
      <c r="T730" s="143"/>
      <c r="U730" s="143"/>
      <c r="V730" s="143"/>
      <c r="W730" s="143"/>
      <c r="X730" s="143"/>
      <c r="Y730" s="143"/>
      <c r="Z730" s="143"/>
      <c r="AA730" s="143"/>
      <c r="AB730" s="143"/>
      <c r="AC730" s="143"/>
      <c r="AD730" s="143"/>
      <c r="AE730" s="143"/>
      <c r="AF730" s="143"/>
      <c r="AG730" s="143"/>
      <c r="AH730" s="143"/>
      <c r="AI730" s="143"/>
      <c r="AJ730" s="143"/>
      <c r="AK730" s="143"/>
      <c r="AL730" s="143"/>
      <c r="AM730" s="143"/>
    </row>
    <row r="731" spans="1:39" ht="12.75" customHeight="1" x14ac:dyDescent="0.25">
      <c r="A731" s="143"/>
      <c r="B731" s="143"/>
      <c r="C731" s="143"/>
      <c r="D731" s="143"/>
      <c r="E731" s="143"/>
      <c r="F731" s="143"/>
      <c r="G731" s="143"/>
      <c r="H731" s="143"/>
      <c r="I731" s="143"/>
      <c r="J731" s="143"/>
      <c r="K731" s="143"/>
      <c r="L731" s="143"/>
      <c r="M731" s="143"/>
      <c r="N731" s="143"/>
      <c r="O731" s="143"/>
      <c r="P731" s="143"/>
      <c r="Q731" s="143"/>
      <c r="R731" s="143"/>
      <c r="S731" s="143"/>
      <c r="T731" s="143"/>
      <c r="U731" s="143"/>
      <c r="V731" s="143"/>
      <c r="W731" s="143"/>
      <c r="X731" s="143"/>
      <c r="Y731" s="143"/>
      <c r="Z731" s="143"/>
      <c r="AA731" s="143"/>
      <c r="AB731" s="143"/>
      <c r="AC731" s="143"/>
      <c r="AD731" s="143"/>
      <c r="AE731" s="143"/>
      <c r="AF731" s="143"/>
      <c r="AG731" s="143"/>
      <c r="AH731" s="143"/>
      <c r="AI731" s="143"/>
      <c r="AJ731" s="143"/>
      <c r="AK731" s="143"/>
      <c r="AL731" s="143"/>
      <c r="AM731" s="143"/>
    </row>
    <row r="732" spans="1:39" ht="12.75" customHeight="1" x14ac:dyDescent="0.25">
      <c r="A732" s="143"/>
      <c r="B732" s="143"/>
      <c r="C732" s="143"/>
      <c r="D732" s="143"/>
      <c r="E732" s="143"/>
      <c r="F732" s="143"/>
      <c r="G732" s="143"/>
      <c r="H732" s="143"/>
      <c r="I732" s="143"/>
      <c r="J732" s="143"/>
      <c r="K732" s="143"/>
      <c r="L732" s="143"/>
      <c r="M732" s="143"/>
      <c r="N732" s="143"/>
      <c r="O732" s="143"/>
      <c r="P732" s="143"/>
      <c r="Q732" s="143"/>
      <c r="R732" s="143"/>
      <c r="S732" s="143"/>
      <c r="T732" s="143"/>
      <c r="U732" s="143"/>
      <c r="V732" s="143"/>
      <c r="W732" s="143"/>
      <c r="X732" s="143"/>
      <c r="Y732" s="143"/>
      <c r="Z732" s="143"/>
      <c r="AA732" s="143"/>
      <c r="AB732" s="143"/>
      <c r="AC732" s="143"/>
      <c r="AD732" s="143"/>
      <c r="AE732" s="143"/>
      <c r="AF732" s="143"/>
      <c r="AG732" s="143"/>
      <c r="AH732" s="143"/>
      <c r="AI732" s="143"/>
      <c r="AJ732" s="143"/>
      <c r="AK732" s="143"/>
      <c r="AL732" s="143"/>
      <c r="AM732" s="143"/>
    </row>
    <row r="733" spans="1:39" ht="12.75" customHeight="1" x14ac:dyDescent="0.25">
      <c r="A733" s="143"/>
      <c r="B733" s="143"/>
      <c r="C733" s="143"/>
      <c r="D733" s="143"/>
      <c r="E733" s="143"/>
      <c r="F733" s="143"/>
      <c r="G733" s="143"/>
      <c r="H733" s="143"/>
      <c r="I733" s="143"/>
      <c r="J733" s="143"/>
      <c r="K733" s="143"/>
      <c r="L733" s="143"/>
      <c r="M733" s="143"/>
      <c r="N733" s="143"/>
      <c r="O733" s="143"/>
      <c r="P733" s="143"/>
      <c r="Q733" s="143"/>
      <c r="R733" s="143"/>
      <c r="S733" s="143"/>
      <c r="T733" s="143"/>
      <c r="U733" s="143"/>
      <c r="V733" s="143"/>
      <c r="W733" s="143"/>
      <c r="X733" s="143"/>
      <c r="Y733" s="143"/>
      <c r="Z733" s="143"/>
      <c r="AA733" s="143"/>
      <c r="AB733" s="143"/>
      <c r="AC733" s="143"/>
      <c r="AD733" s="143"/>
      <c r="AE733" s="143"/>
      <c r="AF733" s="143"/>
      <c r="AG733" s="143"/>
      <c r="AH733" s="143"/>
      <c r="AI733" s="143"/>
      <c r="AJ733" s="143"/>
      <c r="AK733" s="143"/>
      <c r="AL733" s="143"/>
      <c r="AM733" s="143"/>
    </row>
    <row r="734" spans="1:39" ht="12.75" customHeight="1" x14ac:dyDescent="0.25">
      <c r="A734" s="143"/>
      <c r="B734" s="143"/>
      <c r="C734" s="143"/>
      <c r="D734" s="143"/>
      <c r="E734" s="143"/>
      <c r="F734" s="143"/>
      <c r="G734" s="143"/>
      <c r="H734" s="143"/>
      <c r="I734" s="143"/>
      <c r="J734" s="143"/>
      <c r="K734" s="143"/>
      <c r="L734" s="143"/>
      <c r="M734" s="143"/>
      <c r="N734" s="143"/>
      <c r="O734" s="143"/>
      <c r="P734" s="143"/>
      <c r="Q734" s="143"/>
      <c r="R734" s="143"/>
      <c r="S734" s="143"/>
      <c r="T734" s="143"/>
      <c r="U734" s="143"/>
      <c r="V734" s="143"/>
      <c r="W734" s="143"/>
      <c r="X734" s="143"/>
      <c r="Y734" s="143"/>
      <c r="Z734" s="143"/>
      <c r="AA734" s="143"/>
      <c r="AB734" s="143"/>
      <c r="AC734" s="143"/>
      <c r="AD734" s="143"/>
      <c r="AE734" s="143"/>
      <c r="AF734" s="143"/>
      <c r="AG734" s="143"/>
      <c r="AH734" s="143"/>
      <c r="AI734" s="143"/>
      <c r="AJ734" s="143"/>
      <c r="AK734" s="143"/>
      <c r="AL734" s="143"/>
      <c r="AM734" s="143"/>
    </row>
    <row r="735" spans="1:39" ht="12.75" customHeight="1" x14ac:dyDescent="0.25">
      <c r="A735" s="143"/>
      <c r="B735" s="143"/>
      <c r="C735" s="143"/>
      <c r="D735" s="143"/>
      <c r="E735" s="143"/>
      <c r="F735" s="143"/>
      <c r="G735" s="143"/>
      <c r="H735" s="143"/>
      <c r="I735" s="143"/>
      <c r="J735" s="143"/>
      <c r="K735" s="143"/>
      <c r="L735" s="143"/>
      <c r="M735" s="143"/>
      <c r="N735" s="143"/>
      <c r="O735" s="143"/>
      <c r="P735" s="143"/>
      <c r="Q735" s="143"/>
      <c r="R735" s="143"/>
      <c r="S735" s="143"/>
      <c r="T735" s="143"/>
      <c r="U735" s="143"/>
      <c r="V735" s="143"/>
      <c r="W735" s="143"/>
      <c r="X735" s="143"/>
      <c r="Y735" s="143"/>
      <c r="Z735" s="143"/>
      <c r="AA735" s="143"/>
      <c r="AB735" s="143"/>
      <c r="AC735" s="143"/>
      <c r="AD735" s="143"/>
      <c r="AE735" s="143"/>
      <c r="AF735" s="143"/>
      <c r="AG735" s="143"/>
      <c r="AH735" s="143"/>
      <c r="AI735" s="143"/>
      <c r="AJ735" s="143"/>
      <c r="AK735" s="143"/>
      <c r="AL735" s="143"/>
      <c r="AM735" s="143"/>
    </row>
    <row r="736" spans="1:39" ht="12.75" customHeight="1" x14ac:dyDescent="0.25">
      <c r="A736" s="143"/>
      <c r="B736" s="143"/>
      <c r="C736" s="143"/>
      <c r="D736" s="143"/>
      <c r="E736" s="143"/>
      <c r="F736" s="143"/>
      <c r="G736" s="143"/>
      <c r="H736" s="143"/>
      <c r="I736" s="143"/>
      <c r="J736" s="143"/>
      <c r="K736" s="143"/>
      <c r="L736" s="143"/>
      <c r="M736" s="143"/>
      <c r="N736" s="143"/>
      <c r="O736" s="143"/>
      <c r="P736" s="143"/>
      <c r="Q736" s="143"/>
      <c r="R736" s="143"/>
      <c r="S736" s="143"/>
      <c r="T736" s="143"/>
      <c r="U736" s="143"/>
      <c r="V736" s="143"/>
      <c r="W736" s="143"/>
      <c r="X736" s="143"/>
      <c r="Y736" s="143"/>
      <c r="Z736" s="143"/>
      <c r="AA736" s="143"/>
      <c r="AB736" s="143"/>
      <c r="AC736" s="143"/>
      <c r="AD736" s="143"/>
      <c r="AE736" s="143"/>
      <c r="AF736" s="143"/>
      <c r="AG736" s="143"/>
      <c r="AH736" s="143"/>
      <c r="AI736" s="143"/>
      <c r="AJ736" s="143"/>
      <c r="AK736" s="143"/>
      <c r="AL736" s="143"/>
      <c r="AM736" s="143"/>
    </row>
    <row r="737" spans="1:39" ht="12.75" customHeight="1" x14ac:dyDescent="0.25">
      <c r="A737" s="143"/>
      <c r="B737" s="143"/>
      <c r="C737" s="143"/>
      <c r="D737" s="143"/>
      <c r="E737" s="143"/>
      <c r="F737" s="143"/>
      <c r="G737" s="143"/>
      <c r="H737" s="143"/>
      <c r="I737" s="143"/>
      <c r="J737" s="143"/>
      <c r="K737" s="143"/>
      <c r="L737" s="143"/>
      <c r="M737" s="143"/>
      <c r="N737" s="143"/>
      <c r="O737" s="143"/>
      <c r="P737" s="143"/>
      <c r="Q737" s="143"/>
      <c r="R737" s="143"/>
      <c r="S737" s="143"/>
      <c r="T737" s="143"/>
      <c r="U737" s="143"/>
      <c r="V737" s="143"/>
      <c r="W737" s="143"/>
      <c r="X737" s="143"/>
      <c r="Y737" s="143"/>
      <c r="Z737" s="143"/>
      <c r="AA737" s="143"/>
      <c r="AB737" s="143"/>
      <c r="AC737" s="143"/>
      <c r="AD737" s="143"/>
      <c r="AE737" s="143"/>
      <c r="AF737" s="143"/>
      <c r="AG737" s="143"/>
      <c r="AH737" s="143"/>
      <c r="AI737" s="143"/>
      <c r="AJ737" s="143"/>
      <c r="AK737" s="143"/>
      <c r="AL737" s="143"/>
      <c r="AM737" s="143"/>
    </row>
    <row r="738" spans="1:39" ht="12.75" customHeight="1" x14ac:dyDescent="0.25">
      <c r="A738" s="143"/>
      <c r="B738" s="143"/>
      <c r="C738" s="143"/>
      <c r="D738" s="143"/>
      <c r="E738" s="143"/>
      <c r="F738" s="143"/>
      <c r="G738" s="143"/>
      <c r="H738" s="143"/>
      <c r="I738" s="143"/>
      <c r="J738" s="143"/>
      <c r="K738" s="143"/>
      <c r="L738" s="143"/>
      <c r="M738" s="143"/>
      <c r="N738" s="143"/>
      <c r="O738" s="143"/>
      <c r="P738" s="143"/>
      <c r="Q738" s="143"/>
      <c r="R738" s="143"/>
      <c r="S738" s="143"/>
      <c r="T738" s="143"/>
      <c r="U738" s="143"/>
      <c r="V738" s="143"/>
      <c r="W738" s="143"/>
      <c r="X738" s="143"/>
      <c r="Y738" s="143"/>
      <c r="Z738" s="143"/>
      <c r="AA738" s="143"/>
      <c r="AB738" s="143"/>
      <c r="AC738" s="143"/>
      <c r="AD738" s="143"/>
      <c r="AE738" s="143"/>
      <c r="AF738" s="143"/>
      <c r="AG738" s="143"/>
      <c r="AH738" s="143"/>
      <c r="AI738" s="143"/>
      <c r="AJ738" s="143"/>
      <c r="AK738" s="143"/>
      <c r="AL738" s="143"/>
      <c r="AM738" s="143"/>
    </row>
    <row r="739" spans="1:39" ht="12.75" customHeight="1" x14ac:dyDescent="0.25">
      <c r="A739" s="143"/>
      <c r="B739" s="143"/>
      <c r="C739" s="143"/>
      <c r="D739" s="143"/>
      <c r="E739" s="143"/>
      <c r="F739" s="143"/>
      <c r="G739" s="143"/>
      <c r="H739" s="143"/>
      <c r="I739" s="143"/>
      <c r="J739" s="143"/>
      <c r="K739" s="143"/>
      <c r="L739" s="143"/>
      <c r="M739" s="143"/>
      <c r="N739" s="143"/>
      <c r="O739" s="143"/>
      <c r="P739" s="143"/>
      <c r="Q739" s="143"/>
      <c r="R739" s="143"/>
      <c r="S739" s="143"/>
      <c r="T739" s="143"/>
      <c r="U739" s="143"/>
      <c r="V739" s="143"/>
      <c r="W739" s="143"/>
      <c r="X739" s="143"/>
      <c r="Y739" s="143"/>
      <c r="Z739" s="143"/>
      <c r="AA739" s="143"/>
      <c r="AB739" s="143"/>
      <c r="AC739" s="143"/>
      <c r="AD739" s="143"/>
      <c r="AE739" s="143"/>
      <c r="AF739" s="143"/>
      <c r="AG739" s="143"/>
      <c r="AH739" s="143"/>
      <c r="AI739" s="143"/>
      <c r="AJ739" s="143"/>
      <c r="AK739" s="143"/>
      <c r="AL739" s="143"/>
      <c r="AM739" s="143"/>
    </row>
    <row r="740" spans="1:39" ht="12.75" customHeight="1" x14ac:dyDescent="0.25">
      <c r="A740" s="143"/>
      <c r="B740" s="143"/>
      <c r="C740" s="143"/>
      <c r="D740" s="143"/>
      <c r="E740" s="143"/>
      <c r="F740" s="143"/>
      <c r="G740" s="143"/>
      <c r="H740" s="143"/>
      <c r="I740" s="143"/>
      <c r="J740" s="143"/>
      <c r="K740" s="143"/>
      <c r="L740" s="143"/>
      <c r="M740" s="143"/>
      <c r="N740" s="143"/>
      <c r="O740" s="143"/>
      <c r="P740" s="143"/>
      <c r="Q740" s="143"/>
      <c r="R740" s="143"/>
      <c r="S740" s="143"/>
      <c r="T740" s="143"/>
      <c r="U740" s="143"/>
      <c r="V740" s="143"/>
      <c r="W740" s="143"/>
      <c r="X740" s="143"/>
      <c r="Y740" s="143"/>
      <c r="Z740" s="143"/>
      <c r="AA740" s="143"/>
      <c r="AB740" s="143"/>
      <c r="AC740" s="143"/>
      <c r="AD740" s="143"/>
      <c r="AE740" s="143"/>
      <c r="AF740" s="143"/>
      <c r="AG740" s="143"/>
      <c r="AH740" s="143"/>
      <c r="AI740" s="143"/>
      <c r="AJ740" s="143"/>
      <c r="AK740" s="143"/>
      <c r="AL740" s="143"/>
      <c r="AM740" s="143"/>
    </row>
    <row r="741" spans="1:39" ht="12.75" customHeight="1" x14ac:dyDescent="0.25">
      <c r="A741" s="143"/>
      <c r="B741" s="143"/>
      <c r="C741" s="143"/>
      <c r="D741" s="143"/>
      <c r="E741" s="143"/>
      <c r="F741" s="143"/>
      <c r="G741" s="143"/>
      <c r="H741" s="143"/>
      <c r="I741" s="143"/>
      <c r="J741" s="143"/>
      <c r="K741" s="143"/>
      <c r="L741" s="143"/>
      <c r="M741" s="143"/>
      <c r="N741" s="143"/>
      <c r="O741" s="143"/>
      <c r="P741" s="143"/>
      <c r="Q741" s="143"/>
      <c r="R741" s="143"/>
      <c r="S741" s="143"/>
      <c r="T741" s="143"/>
      <c r="U741" s="143"/>
      <c r="V741" s="143"/>
      <c r="W741" s="143"/>
      <c r="X741" s="143"/>
      <c r="Y741" s="143"/>
      <c r="Z741" s="143"/>
      <c r="AA741" s="143"/>
      <c r="AB741" s="143"/>
      <c r="AC741" s="143"/>
      <c r="AD741" s="143"/>
      <c r="AE741" s="143"/>
      <c r="AF741" s="143"/>
      <c r="AG741" s="143"/>
      <c r="AH741" s="143"/>
      <c r="AI741" s="143"/>
      <c r="AJ741" s="143"/>
      <c r="AK741" s="143"/>
      <c r="AL741" s="143"/>
      <c r="AM741" s="143"/>
    </row>
    <row r="742" spans="1:39" ht="12.75" customHeight="1" x14ac:dyDescent="0.25">
      <c r="A742" s="143"/>
      <c r="B742" s="143"/>
      <c r="C742" s="143"/>
      <c r="D742" s="143"/>
      <c r="E742" s="143"/>
      <c r="F742" s="143"/>
      <c r="G742" s="143"/>
      <c r="H742" s="143"/>
      <c r="I742" s="143"/>
      <c r="J742" s="143"/>
      <c r="K742" s="143"/>
      <c r="L742" s="143"/>
      <c r="M742" s="143"/>
      <c r="N742" s="143"/>
      <c r="O742" s="143"/>
      <c r="P742" s="143"/>
      <c r="Q742" s="143"/>
      <c r="R742" s="143"/>
      <c r="S742" s="143"/>
      <c r="T742" s="143"/>
      <c r="U742" s="143"/>
      <c r="V742" s="143"/>
      <c r="W742" s="143"/>
      <c r="X742" s="143"/>
      <c r="Y742" s="143"/>
      <c r="Z742" s="143"/>
      <c r="AA742" s="143"/>
      <c r="AB742" s="143"/>
      <c r="AC742" s="143"/>
      <c r="AD742" s="143"/>
      <c r="AE742" s="143"/>
      <c r="AF742" s="143"/>
      <c r="AG742" s="143"/>
      <c r="AH742" s="143"/>
      <c r="AI742" s="143"/>
      <c r="AJ742" s="143"/>
      <c r="AK742" s="143"/>
      <c r="AL742" s="143"/>
      <c r="AM742" s="143"/>
    </row>
    <row r="743" spans="1:39" ht="12.75" customHeight="1" x14ac:dyDescent="0.25">
      <c r="A743" s="143"/>
      <c r="B743" s="143"/>
      <c r="C743" s="143"/>
      <c r="D743" s="143"/>
      <c r="E743" s="143"/>
      <c r="F743" s="143"/>
      <c r="G743" s="143"/>
      <c r="H743" s="143"/>
      <c r="I743" s="143"/>
      <c r="J743" s="143"/>
      <c r="K743" s="143"/>
      <c r="L743" s="143"/>
      <c r="M743" s="143"/>
      <c r="N743" s="143"/>
      <c r="O743" s="143"/>
      <c r="P743" s="143"/>
      <c r="Q743" s="143"/>
      <c r="R743" s="143"/>
      <c r="S743" s="143"/>
      <c r="T743" s="143"/>
      <c r="U743" s="143"/>
      <c r="V743" s="143"/>
      <c r="W743" s="143"/>
      <c r="X743" s="143"/>
      <c r="Y743" s="143"/>
      <c r="Z743" s="143"/>
      <c r="AA743" s="143"/>
      <c r="AB743" s="143"/>
      <c r="AC743" s="143"/>
      <c r="AD743" s="143"/>
      <c r="AE743" s="143"/>
      <c r="AF743" s="143"/>
      <c r="AG743" s="143"/>
      <c r="AH743" s="143"/>
      <c r="AI743" s="143"/>
      <c r="AJ743" s="143"/>
      <c r="AK743" s="143"/>
      <c r="AL743" s="143"/>
      <c r="AM743" s="143"/>
    </row>
    <row r="744" spans="1:39" ht="12.75" customHeight="1" x14ac:dyDescent="0.25">
      <c r="A744" s="143"/>
      <c r="B744" s="143"/>
      <c r="C744" s="143"/>
      <c r="D744" s="143"/>
      <c r="E744" s="143"/>
      <c r="F744" s="143"/>
      <c r="G744" s="143"/>
      <c r="H744" s="143"/>
      <c r="I744" s="143"/>
      <c r="J744" s="143"/>
      <c r="K744" s="143"/>
      <c r="L744" s="143"/>
      <c r="M744" s="143"/>
      <c r="N744" s="143"/>
      <c r="O744" s="143"/>
      <c r="P744" s="143"/>
      <c r="Q744" s="143"/>
      <c r="R744" s="143"/>
      <c r="S744" s="143"/>
      <c r="T744" s="143"/>
      <c r="U744" s="143"/>
      <c r="V744" s="143"/>
      <c r="W744" s="143"/>
      <c r="X744" s="143"/>
      <c r="Y744" s="143"/>
      <c r="Z744" s="143"/>
      <c r="AA744" s="143"/>
      <c r="AB744" s="143"/>
      <c r="AC744" s="143"/>
      <c r="AD744" s="143"/>
      <c r="AE744" s="143"/>
      <c r="AF744" s="143"/>
      <c r="AG744" s="143"/>
      <c r="AH744" s="143"/>
      <c r="AI744" s="143"/>
      <c r="AJ744" s="143"/>
      <c r="AK744" s="143"/>
      <c r="AL744" s="143"/>
      <c r="AM744" s="143"/>
    </row>
    <row r="745" spans="1:39" ht="12.75" customHeight="1" x14ac:dyDescent="0.25">
      <c r="A745" s="143"/>
      <c r="B745" s="143"/>
      <c r="C745" s="143"/>
      <c r="D745" s="143"/>
      <c r="E745" s="143"/>
      <c r="F745" s="143"/>
      <c r="G745" s="143"/>
      <c r="H745" s="143"/>
      <c r="I745" s="143"/>
      <c r="J745" s="143"/>
      <c r="K745" s="143"/>
      <c r="L745" s="143"/>
      <c r="M745" s="143"/>
      <c r="N745" s="143"/>
      <c r="O745" s="143"/>
      <c r="P745" s="143"/>
      <c r="Q745" s="143"/>
      <c r="R745" s="143"/>
      <c r="S745" s="143"/>
      <c r="T745" s="143"/>
      <c r="U745" s="143"/>
      <c r="V745" s="143"/>
      <c r="W745" s="143"/>
      <c r="X745" s="143"/>
      <c r="Y745" s="143"/>
      <c r="Z745" s="143"/>
      <c r="AA745" s="143"/>
      <c r="AB745" s="143"/>
      <c r="AC745" s="143"/>
      <c r="AD745" s="143"/>
      <c r="AE745" s="143"/>
      <c r="AF745" s="143"/>
      <c r="AG745" s="143"/>
      <c r="AH745" s="143"/>
      <c r="AI745" s="143"/>
      <c r="AJ745" s="143"/>
      <c r="AK745" s="143"/>
      <c r="AL745" s="143"/>
      <c r="AM745" s="143"/>
    </row>
    <row r="746" spans="1:39" ht="12.75" customHeight="1" x14ac:dyDescent="0.25">
      <c r="A746" s="143"/>
      <c r="B746" s="143"/>
      <c r="C746" s="143"/>
      <c r="D746" s="143"/>
      <c r="E746" s="143"/>
      <c r="F746" s="143"/>
      <c r="G746" s="143"/>
      <c r="H746" s="143"/>
      <c r="I746" s="143"/>
      <c r="J746" s="143"/>
      <c r="K746" s="143"/>
      <c r="L746" s="143"/>
      <c r="M746" s="143"/>
      <c r="N746" s="143"/>
      <c r="O746" s="143"/>
      <c r="P746" s="143"/>
      <c r="Q746" s="143"/>
      <c r="R746" s="143"/>
      <c r="S746" s="143"/>
      <c r="T746" s="143"/>
      <c r="U746" s="143"/>
      <c r="V746" s="143"/>
      <c r="W746" s="143"/>
      <c r="X746" s="143"/>
      <c r="Y746" s="143"/>
      <c r="Z746" s="143"/>
      <c r="AA746" s="143"/>
      <c r="AB746" s="143"/>
      <c r="AC746" s="143"/>
      <c r="AD746" s="143"/>
      <c r="AE746" s="143"/>
      <c r="AF746" s="143"/>
      <c r="AG746" s="143"/>
      <c r="AH746" s="143"/>
      <c r="AI746" s="143"/>
      <c r="AJ746" s="143"/>
      <c r="AK746" s="143"/>
      <c r="AL746" s="143"/>
      <c r="AM746" s="143"/>
    </row>
    <row r="747" spans="1:39" ht="12.75" customHeight="1" x14ac:dyDescent="0.25">
      <c r="A747" s="143"/>
      <c r="B747" s="143"/>
      <c r="C747" s="143"/>
      <c r="D747" s="143"/>
      <c r="E747" s="143"/>
      <c r="F747" s="143"/>
      <c r="G747" s="143"/>
      <c r="H747" s="143"/>
      <c r="I747" s="143"/>
      <c r="J747" s="143"/>
      <c r="K747" s="143"/>
      <c r="L747" s="143"/>
      <c r="M747" s="143"/>
      <c r="N747" s="143"/>
      <c r="O747" s="143"/>
      <c r="P747" s="143"/>
      <c r="Q747" s="143"/>
      <c r="R747" s="143"/>
      <c r="S747" s="143"/>
      <c r="T747" s="143"/>
      <c r="U747" s="143"/>
      <c r="V747" s="143"/>
      <c r="W747" s="143"/>
      <c r="X747" s="143"/>
      <c r="Y747" s="143"/>
      <c r="Z747" s="143"/>
      <c r="AA747" s="143"/>
      <c r="AB747" s="143"/>
      <c r="AC747" s="143"/>
      <c r="AD747" s="143"/>
      <c r="AE747" s="143"/>
      <c r="AF747" s="143"/>
      <c r="AG747" s="143"/>
      <c r="AH747" s="143"/>
      <c r="AI747" s="143"/>
      <c r="AJ747" s="143"/>
      <c r="AK747" s="143"/>
      <c r="AL747" s="143"/>
      <c r="AM747" s="143"/>
    </row>
    <row r="748" spans="1:39" ht="12.75" customHeight="1" x14ac:dyDescent="0.25">
      <c r="A748" s="143"/>
      <c r="B748" s="143"/>
      <c r="C748" s="143"/>
      <c r="D748" s="143"/>
      <c r="E748" s="143"/>
      <c r="F748" s="143"/>
      <c r="G748" s="143"/>
      <c r="H748" s="143"/>
      <c r="I748" s="143"/>
      <c r="J748" s="143"/>
      <c r="K748" s="143"/>
      <c r="L748" s="143"/>
      <c r="M748" s="143"/>
      <c r="N748" s="143"/>
      <c r="O748" s="143"/>
      <c r="P748" s="143"/>
      <c r="Q748" s="143"/>
      <c r="R748" s="143"/>
      <c r="S748" s="143"/>
      <c r="T748" s="143"/>
      <c r="U748" s="143"/>
      <c r="V748" s="143"/>
      <c r="W748" s="143"/>
      <c r="X748" s="143"/>
      <c r="Y748" s="143"/>
      <c r="Z748" s="143"/>
      <c r="AA748" s="143"/>
      <c r="AB748" s="143"/>
      <c r="AC748" s="143"/>
      <c r="AD748" s="143"/>
      <c r="AE748" s="143"/>
      <c r="AF748" s="143"/>
      <c r="AG748" s="143"/>
      <c r="AH748" s="143"/>
      <c r="AI748" s="143"/>
      <c r="AJ748" s="143"/>
      <c r="AK748" s="143"/>
      <c r="AL748" s="143"/>
      <c r="AM748" s="143"/>
    </row>
    <row r="749" spans="1:39" ht="12.75" customHeight="1" x14ac:dyDescent="0.25">
      <c r="A749" s="143"/>
      <c r="B749" s="143"/>
      <c r="C749" s="143"/>
      <c r="D749" s="143"/>
      <c r="E749" s="143"/>
      <c r="F749" s="143"/>
      <c r="G749" s="143"/>
      <c r="H749" s="143"/>
      <c r="I749" s="143"/>
      <c r="J749" s="143"/>
      <c r="K749" s="143"/>
      <c r="L749" s="143"/>
      <c r="M749" s="143"/>
      <c r="N749" s="143"/>
      <c r="O749" s="143"/>
      <c r="P749" s="143"/>
      <c r="Q749" s="143"/>
      <c r="R749" s="143"/>
      <c r="S749" s="143"/>
      <c r="T749" s="143"/>
      <c r="U749" s="143"/>
      <c r="V749" s="143"/>
      <c r="W749" s="143"/>
      <c r="X749" s="143"/>
      <c r="Y749" s="143"/>
      <c r="Z749" s="143"/>
      <c r="AA749" s="143"/>
      <c r="AB749" s="143"/>
      <c r="AC749" s="143"/>
      <c r="AD749" s="143"/>
      <c r="AE749" s="143"/>
      <c r="AF749" s="143"/>
      <c r="AG749" s="143"/>
      <c r="AH749" s="143"/>
      <c r="AI749" s="143"/>
      <c r="AJ749" s="143"/>
      <c r="AK749" s="143"/>
      <c r="AL749" s="143"/>
      <c r="AM749" s="143"/>
    </row>
    <row r="750" spans="1:39" ht="12.75" customHeight="1" x14ac:dyDescent="0.25">
      <c r="A750" s="143"/>
      <c r="B750" s="143"/>
      <c r="C750" s="143"/>
      <c r="D750" s="143"/>
      <c r="E750" s="143"/>
      <c r="F750" s="143"/>
      <c r="G750" s="143"/>
      <c r="H750" s="143"/>
      <c r="I750" s="143"/>
      <c r="J750" s="143"/>
      <c r="K750" s="143"/>
      <c r="L750" s="143"/>
      <c r="M750" s="143"/>
      <c r="N750" s="143"/>
      <c r="O750" s="143"/>
      <c r="P750" s="143"/>
      <c r="Q750" s="143"/>
      <c r="R750" s="143"/>
      <c r="S750" s="143"/>
      <c r="T750" s="143"/>
      <c r="U750" s="143"/>
      <c r="V750" s="143"/>
      <c r="W750" s="143"/>
      <c r="X750" s="143"/>
      <c r="Y750" s="143"/>
      <c r="Z750" s="143"/>
      <c r="AA750" s="143"/>
      <c r="AB750" s="143"/>
      <c r="AC750" s="143"/>
      <c r="AD750" s="143"/>
      <c r="AE750" s="143"/>
      <c r="AF750" s="143"/>
      <c r="AG750" s="143"/>
      <c r="AH750" s="143"/>
      <c r="AI750" s="143"/>
      <c r="AJ750" s="143"/>
      <c r="AK750" s="143"/>
      <c r="AL750" s="143"/>
      <c r="AM750" s="143"/>
    </row>
    <row r="751" spans="1:39" ht="12.75" customHeight="1" x14ac:dyDescent="0.25">
      <c r="A751" s="143"/>
      <c r="B751" s="143"/>
      <c r="C751" s="143"/>
      <c r="D751" s="143"/>
      <c r="E751" s="143"/>
      <c r="F751" s="143"/>
      <c r="G751" s="143"/>
      <c r="H751" s="143"/>
      <c r="I751" s="143"/>
      <c r="J751" s="143"/>
      <c r="K751" s="143"/>
      <c r="L751" s="143"/>
      <c r="M751" s="143"/>
      <c r="N751" s="143"/>
      <c r="O751" s="143"/>
      <c r="P751" s="143"/>
      <c r="Q751" s="143"/>
      <c r="R751" s="143"/>
      <c r="S751" s="143"/>
      <c r="T751" s="143"/>
      <c r="U751" s="143"/>
      <c r="V751" s="143"/>
      <c r="W751" s="143"/>
      <c r="X751" s="143"/>
      <c r="Y751" s="143"/>
      <c r="Z751" s="143"/>
      <c r="AA751" s="143"/>
      <c r="AB751" s="143"/>
      <c r="AC751" s="143"/>
      <c r="AD751" s="143"/>
      <c r="AE751" s="143"/>
      <c r="AF751" s="143"/>
      <c r="AG751" s="143"/>
      <c r="AH751" s="143"/>
      <c r="AI751" s="143"/>
      <c r="AJ751" s="143"/>
      <c r="AK751" s="143"/>
      <c r="AL751" s="143"/>
      <c r="AM751" s="143"/>
    </row>
    <row r="752" spans="1:39" ht="12.75" customHeight="1" x14ac:dyDescent="0.25">
      <c r="A752" s="143"/>
      <c r="B752" s="143"/>
      <c r="C752" s="143"/>
      <c r="D752" s="143"/>
      <c r="E752" s="143"/>
      <c r="F752" s="143"/>
      <c r="G752" s="143"/>
      <c r="H752" s="143"/>
      <c r="I752" s="143"/>
      <c r="J752" s="143"/>
      <c r="K752" s="143"/>
      <c r="L752" s="143"/>
      <c r="M752" s="143"/>
      <c r="N752" s="143"/>
      <c r="O752" s="143"/>
      <c r="P752" s="143"/>
      <c r="Q752" s="143"/>
      <c r="R752" s="143"/>
      <c r="S752" s="143"/>
      <c r="T752" s="143"/>
      <c r="U752" s="143"/>
      <c r="V752" s="143"/>
      <c r="W752" s="143"/>
      <c r="X752" s="143"/>
      <c r="Y752" s="143"/>
      <c r="Z752" s="143"/>
      <c r="AA752" s="143"/>
      <c r="AB752" s="143"/>
      <c r="AC752" s="143"/>
      <c r="AD752" s="143"/>
      <c r="AE752" s="143"/>
      <c r="AF752" s="143"/>
      <c r="AG752" s="143"/>
      <c r="AH752" s="143"/>
      <c r="AI752" s="143"/>
      <c r="AJ752" s="143"/>
      <c r="AK752" s="143"/>
      <c r="AL752" s="143"/>
      <c r="AM752" s="143"/>
    </row>
    <row r="753" spans="1:39" ht="12.75" customHeight="1" x14ac:dyDescent="0.25">
      <c r="A753" s="143"/>
      <c r="B753" s="143"/>
      <c r="C753" s="143"/>
      <c r="D753" s="143"/>
      <c r="E753" s="143"/>
      <c r="F753" s="143"/>
      <c r="G753" s="143"/>
      <c r="H753" s="143"/>
      <c r="I753" s="143"/>
      <c r="J753" s="143"/>
      <c r="K753" s="143"/>
      <c r="L753" s="143"/>
      <c r="M753" s="143"/>
      <c r="N753" s="143"/>
      <c r="O753" s="143"/>
      <c r="P753" s="143"/>
      <c r="Q753" s="143"/>
      <c r="R753" s="143"/>
      <c r="S753" s="143"/>
      <c r="T753" s="143"/>
      <c r="U753" s="143"/>
      <c r="V753" s="143"/>
      <c r="W753" s="143"/>
      <c r="X753" s="143"/>
      <c r="Y753" s="143"/>
      <c r="Z753" s="143"/>
      <c r="AA753" s="143"/>
      <c r="AB753" s="143"/>
      <c r="AC753" s="143"/>
      <c r="AD753" s="143"/>
      <c r="AE753" s="143"/>
      <c r="AF753" s="143"/>
      <c r="AG753" s="143"/>
      <c r="AH753" s="143"/>
      <c r="AI753" s="143"/>
      <c r="AJ753" s="143"/>
      <c r="AK753" s="143"/>
      <c r="AL753" s="143"/>
      <c r="AM753" s="143"/>
    </row>
    <row r="754" spans="1:39" ht="12.75" customHeight="1" x14ac:dyDescent="0.25">
      <c r="A754" s="143"/>
      <c r="B754" s="143"/>
      <c r="C754" s="143"/>
      <c r="D754" s="143"/>
      <c r="E754" s="143"/>
      <c r="F754" s="143"/>
      <c r="G754" s="143"/>
      <c r="H754" s="143"/>
      <c r="I754" s="143"/>
      <c r="J754" s="143"/>
      <c r="K754" s="143"/>
      <c r="L754" s="143"/>
      <c r="M754" s="143"/>
      <c r="N754" s="143"/>
      <c r="O754" s="143"/>
      <c r="P754" s="143"/>
      <c r="Q754" s="143"/>
      <c r="R754" s="143"/>
      <c r="S754" s="143"/>
      <c r="T754" s="143"/>
      <c r="U754" s="143"/>
      <c r="V754" s="143"/>
      <c r="W754" s="143"/>
      <c r="X754" s="143"/>
      <c r="Y754" s="143"/>
      <c r="Z754" s="143"/>
      <c r="AA754" s="143"/>
      <c r="AB754" s="143"/>
      <c r="AC754" s="143"/>
      <c r="AD754" s="143"/>
      <c r="AE754" s="143"/>
      <c r="AF754" s="143"/>
      <c r="AG754" s="143"/>
      <c r="AH754" s="143"/>
      <c r="AI754" s="143"/>
      <c r="AJ754" s="143"/>
      <c r="AK754" s="143"/>
      <c r="AL754" s="143"/>
      <c r="AM754" s="143"/>
    </row>
    <row r="755" spans="1:39" ht="12.75" customHeight="1" x14ac:dyDescent="0.25">
      <c r="A755" s="143"/>
      <c r="B755" s="143"/>
      <c r="C755" s="143"/>
      <c r="D755" s="143"/>
      <c r="E755" s="143"/>
      <c r="F755" s="143"/>
      <c r="G755" s="143"/>
      <c r="H755" s="143"/>
      <c r="I755" s="143"/>
      <c r="J755" s="143"/>
      <c r="K755" s="143"/>
      <c r="L755" s="143"/>
      <c r="M755" s="143"/>
      <c r="N755" s="143"/>
      <c r="O755" s="143"/>
      <c r="P755" s="143"/>
      <c r="Q755" s="143"/>
      <c r="R755" s="143"/>
      <c r="S755" s="143"/>
      <c r="T755" s="143"/>
      <c r="U755" s="143"/>
      <c r="V755" s="143"/>
      <c r="W755" s="143"/>
      <c r="X755" s="143"/>
      <c r="Y755" s="143"/>
      <c r="Z755" s="143"/>
      <c r="AA755" s="143"/>
      <c r="AB755" s="143"/>
      <c r="AC755" s="143"/>
      <c r="AD755" s="143"/>
      <c r="AE755" s="143"/>
      <c r="AF755" s="143"/>
      <c r="AG755" s="143"/>
      <c r="AH755" s="143"/>
      <c r="AI755" s="143"/>
      <c r="AJ755" s="143"/>
      <c r="AK755" s="143"/>
      <c r="AL755" s="143"/>
      <c r="AM755" s="143"/>
    </row>
    <row r="756" spans="1:39" ht="12.75" customHeight="1" x14ac:dyDescent="0.25">
      <c r="A756" s="143"/>
      <c r="B756" s="143"/>
      <c r="C756" s="143"/>
      <c r="D756" s="143"/>
      <c r="E756" s="143"/>
      <c r="F756" s="143"/>
      <c r="G756" s="143"/>
      <c r="H756" s="143"/>
      <c r="I756" s="143"/>
      <c r="J756" s="143"/>
      <c r="K756" s="143"/>
      <c r="L756" s="143"/>
      <c r="M756" s="143"/>
      <c r="N756" s="143"/>
      <c r="O756" s="143"/>
      <c r="P756" s="143"/>
      <c r="Q756" s="143"/>
      <c r="R756" s="143"/>
      <c r="S756" s="143"/>
      <c r="T756" s="143"/>
      <c r="U756" s="143"/>
      <c r="V756" s="143"/>
      <c r="W756" s="143"/>
      <c r="X756" s="143"/>
      <c r="Y756" s="143"/>
      <c r="Z756" s="143"/>
      <c r="AA756" s="143"/>
      <c r="AB756" s="143"/>
      <c r="AC756" s="143"/>
      <c r="AD756" s="143"/>
      <c r="AE756" s="143"/>
      <c r="AF756" s="143"/>
      <c r="AG756" s="143"/>
      <c r="AH756" s="143"/>
      <c r="AI756" s="143"/>
      <c r="AJ756" s="143"/>
      <c r="AK756" s="143"/>
      <c r="AL756" s="143"/>
      <c r="AM756" s="143"/>
    </row>
    <row r="757" spans="1:39" ht="12.75" customHeight="1" x14ac:dyDescent="0.25">
      <c r="A757" s="143"/>
      <c r="B757" s="143"/>
      <c r="C757" s="143"/>
      <c r="D757" s="143"/>
      <c r="E757" s="143"/>
      <c r="F757" s="143"/>
      <c r="G757" s="143"/>
      <c r="H757" s="143"/>
      <c r="I757" s="143"/>
      <c r="J757" s="143"/>
      <c r="K757" s="143"/>
      <c r="L757" s="143"/>
      <c r="M757" s="143"/>
      <c r="N757" s="143"/>
      <c r="O757" s="143"/>
      <c r="P757" s="143"/>
      <c r="Q757" s="143"/>
      <c r="R757" s="143"/>
      <c r="S757" s="143"/>
      <c r="T757" s="143"/>
      <c r="U757" s="143"/>
      <c r="V757" s="143"/>
      <c r="W757" s="143"/>
      <c r="X757" s="143"/>
      <c r="Y757" s="143"/>
      <c r="Z757" s="143"/>
      <c r="AA757" s="143"/>
      <c r="AB757" s="143"/>
      <c r="AC757" s="143"/>
      <c r="AD757" s="143"/>
      <c r="AE757" s="143"/>
      <c r="AF757" s="143"/>
      <c r="AG757" s="143"/>
      <c r="AH757" s="143"/>
      <c r="AI757" s="143"/>
      <c r="AJ757" s="143"/>
      <c r="AK757" s="143"/>
      <c r="AL757" s="143"/>
      <c r="AM757" s="143"/>
    </row>
    <row r="758" spans="1:39" ht="12.75" customHeight="1" x14ac:dyDescent="0.25">
      <c r="A758" s="143"/>
      <c r="B758" s="143"/>
      <c r="C758" s="143"/>
      <c r="D758" s="143"/>
      <c r="E758" s="143"/>
      <c r="F758" s="143"/>
      <c r="G758" s="143"/>
      <c r="H758" s="143"/>
      <c r="I758" s="143"/>
      <c r="J758" s="143"/>
      <c r="K758" s="143"/>
      <c r="L758" s="143"/>
      <c r="M758" s="143"/>
      <c r="N758" s="143"/>
      <c r="O758" s="143"/>
      <c r="P758" s="143"/>
      <c r="Q758" s="143"/>
      <c r="R758" s="143"/>
      <c r="S758" s="143"/>
      <c r="T758" s="143"/>
      <c r="U758" s="143"/>
      <c r="V758" s="143"/>
      <c r="W758" s="143"/>
      <c r="X758" s="143"/>
      <c r="Y758" s="143"/>
      <c r="Z758" s="143"/>
      <c r="AA758" s="143"/>
      <c r="AB758" s="143"/>
      <c r="AC758" s="143"/>
      <c r="AD758" s="143"/>
      <c r="AE758" s="143"/>
      <c r="AF758" s="143"/>
      <c r="AG758" s="143"/>
      <c r="AH758" s="143"/>
      <c r="AI758" s="143"/>
      <c r="AJ758" s="143"/>
      <c r="AK758" s="143"/>
      <c r="AL758" s="143"/>
      <c r="AM758" s="143"/>
    </row>
    <row r="759" spans="1:39" ht="12.75" customHeight="1" x14ac:dyDescent="0.25">
      <c r="A759" s="143"/>
      <c r="B759" s="143"/>
      <c r="C759" s="143"/>
      <c r="D759" s="143"/>
      <c r="E759" s="143"/>
      <c r="F759" s="143"/>
      <c r="G759" s="143"/>
      <c r="H759" s="143"/>
      <c r="I759" s="143"/>
      <c r="J759" s="143"/>
      <c r="K759" s="143"/>
      <c r="L759" s="143"/>
      <c r="M759" s="143"/>
      <c r="N759" s="143"/>
      <c r="O759" s="143"/>
      <c r="P759" s="143"/>
      <c r="Q759" s="143"/>
      <c r="R759" s="143"/>
      <c r="S759" s="143"/>
      <c r="T759" s="143"/>
      <c r="U759" s="143"/>
      <c r="V759" s="143"/>
      <c r="W759" s="143"/>
      <c r="X759" s="143"/>
      <c r="Y759" s="143"/>
      <c r="Z759" s="143"/>
      <c r="AA759" s="143"/>
      <c r="AB759" s="143"/>
      <c r="AC759" s="143"/>
      <c r="AD759" s="143"/>
      <c r="AE759" s="143"/>
      <c r="AF759" s="143"/>
      <c r="AG759" s="143"/>
      <c r="AH759" s="143"/>
      <c r="AI759" s="143"/>
      <c r="AJ759" s="143"/>
      <c r="AK759" s="143"/>
      <c r="AL759" s="143"/>
      <c r="AM759" s="143"/>
    </row>
    <row r="760" spans="1:39" ht="12.75" customHeight="1" x14ac:dyDescent="0.25">
      <c r="A760" s="143"/>
      <c r="B760" s="143"/>
      <c r="C760" s="143"/>
      <c r="D760" s="143"/>
      <c r="E760" s="143"/>
      <c r="F760" s="143"/>
      <c r="G760" s="143"/>
      <c r="H760" s="143"/>
      <c r="I760" s="143"/>
      <c r="J760" s="143"/>
      <c r="K760" s="143"/>
      <c r="L760" s="143"/>
      <c r="M760" s="143"/>
      <c r="N760" s="143"/>
      <c r="O760" s="143"/>
      <c r="P760" s="143"/>
      <c r="Q760" s="143"/>
      <c r="R760" s="143"/>
      <c r="S760" s="143"/>
      <c r="T760" s="143"/>
      <c r="U760" s="143"/>
      <c r="V760" s="143"/>
      <c r="W760" s="143"/>
      <c r="X760" s="143"/>
      <c r="Y760" s="143"/>
      <c r="Z760" s="143"/>
      <c r="AA760" s="143"/>
      <c r="AB760" s="143"/>
      <c r="AC760" s="143"/>
      <c r="AD760" s="143"/>
      <c r="AE760" s="143"/>
      <c r="AF760" s="143"/>
      <c r="AG760" s="143"/>
      <c r="AH760" s="143"/>
      <c r="AI760" s="143"/>
      <c r="AJ760" s="143"/>
      <c r="AK760" s="143"/>
      <c r="AL760" s="143"/>
      <c r="AM760" s="143"/>
    </row>
    <row r="761" spans="1:39" ht="12.75" customHeight="1" x14ac:dyDescent="0.25">
      <c r="A761" s="143"/>
      <c r="B761" s="143"/>
      <c r="C761" s="143"/>
      <c r="D761" s="143"/>
      <c r="E761" s="143"/>
      <c r="F761" s="143"/>
      <c r="G761" s="143"/>
      <c r="H761" s="143"/>
      <c r="I761" s="143"/>
      <c r="J761" s="143"/>
      <c r="K761" s="143"/>
      <c r="L761" s="143"/>
      <c r="M761" s="143"/>
      <c r="N761" s="143"/>
      <c r="O761" s="143"/>
      <c r="P761" s="143"/>
      <c r="Q761" s="143"/>
      <c r="R761" s="143"/>
      <c r="S761" s="143"/>
      <c r="T761" s="143"/>
      <c r="U761" s="143"/>
      <c r="V761" s="143"/>
      <c r="W761" s="143"/>
      <c r="X761" s="143"/>
      <c r="Y761" s="143"/>
      <c r="Z761" s="143"/>
      <c r="AA761" s="143"/>
      <c r="AB761" s="143"/>
      <c r="AC761" s="143"/>
      <c r="AD761" s="143"/>
      <c r="AE761" s="143"/>
      <c r="AF761" s="143"/>
      <c r="AG761" s="143"/>
      <c r="AH761" s="143"/>
      <c r="AI761" s="143"/>
      <c r="AJ761" s="143"/>
      <c r="AK761" s="143"/>
      <c r="AL761" s="143"/>
      <c r="AM761" s="143"/>
    </row>
    <row r="762" spans="1:39" ht="12.75" customHeight="1" x14ac:dyDescent="0.25">
      <c r="A762" s="143"/>
      <c r="B762" s="143"/>
      <c r="C762" s="143"/>
      <c r="D762" s="143"/>
      <c r="E762" s="143"/>
      <c r="F762" s="143"/>
      <c r="G762" s="143"/>
      <c r="H762" s="143"/>
      <c r="I762" s="143"/>
      <c r="J762" s="143"/>
      <c r="K762" s="143"/>
      <c r="L762" s="143"/>
      <c r="M762" s="143"/>
      <c r="N762" s="143"/>
      <c r="O762" s="143"/>
      <c r="P762" s="143"/>
      <c r="Q762" s="143"/>
      <c r="R762" s="143"/>
      <c r="S762" s="143"/>
      <c r="T762" s="143"/>
      <c r="U762" s="143"/>
      <c r="V762" s="143"/>
      <c r="W762" s="143"/>
      <c r="X762" s="143"/>
      <c r="Y762" s="143"/>
      <c r="Z762" s="143"/>
      <c r="AA762" s="143"/>
      <c r="AB762" s="143"/>
      <c r="AC762" s="143"/>
      <c r="AD762" s="143"/>
      <c r="AE762" s="143"/>
      <c r="AF762" s="143"/>
      <c r="AG762" s="143"/>
      <c r="AH762" s="143"/>
      <c r="AI762" s="143"/>
      <c r="AJ762" s="143"/>
      <c r="AK762" s="143"/>
      <c r="AL762" s="143"/>
      <c r="AM762" s="143"/>
    </row>
    <row r="763" spans="1:39" ht="12.75" customHeight="1" x14ac:dyDescent="0.25">
      <c r="A763" s="143"/>
      <c r="B763" s="143"/>
      <c r="C763" s="143"/>
      <c r="D763" s="143"/>
      <c r="E763" s="143"/>
      <c r="F763" s="143"/>
      <c r="G763" s="143"/>
      <c r="H763" s="143"/>
      <c r="I763" s="143"/>
      <c r="J763" s="143"/>
      <c r="K763" s="143"/>
      <c r="L763" s="143"/>
      <c r="M763" s="143"/>
      <c r="N763" s="143"/>
      <c r="O763" s="143"/>
      <c r="P763" s="143"/>
      <c r="Q763" s="143"/>
      <c r="R763" s="143"/>
      <c r="S763" s="143"/>
      <c r="T763" s="143"/>
      <c r="U763" s="143"/>
      <c r="V763" s="143"/>
      <c r="W763" s="143"/>
      <c r="X763" s="143"/>
      <c r="Y763" s="143"/>
      <c r="Z763" s="143"/>
      <c r="AA763" s="143"/>
      <c r="AB763" s="143"/>
      <c r="AC763" s="143"/>
      <c r="AD763" s="143"/>
      <c r="AE763" s="143"/>
      <c r="AF763" s="143"/>
      <c r="AG763" s="143"/>
      <c r="AH763" s="143"/>
      <c r="AI763" s="143"/>
      <c r="AJ763" s="143"/>
      <c r="AK763" s="143"/>
      <c r="AL763" s="143"/>
      <c r="AM763" s="143"/>
    </row>
    <row r="764" spans="1:39" ht="12.75" customHeight="1" x14ac:dyDescent="0.25">
      <c r="A764" s="143"/>
      <c r="B764" s="143"/>
      <c r="C764" s="143"/>
      <c r="D764" s="143"/>
      <c r="E764" s="143"/>
      <c r="F764" s="143"/>
      <c r="G764" s="143"/>
      <c r="H764" s="143"/>
      <c r="I764" s="143"/>
      <c r="J764" s="143"/>
      <c r="K764" s="143"/>
      <c r="L764" s="143"/>
      <c r="M764" s="143"/>
      <c r="N764" s="143"/>
      <c r="O764" s="143"/>
      <c r="P764" s="143"/>
      <c r="Q764" s="143"/>
      <c r="R764" s="143"/>
      <c r="S764" s="143"/>
      <c r="T764" s="143"/>
      <c r="U764" s="143"/>
      <c r="V764" s="143"/>
      <c r="W764" s="143"/>
      <c r="X764" s="143"/>
      <c r="Y764" s="143"/>
      <c r="Z764" s="143"/>
      <c r="AA764" s="143"/>
      <c r="AB764" s="143"/>
      <c r="AC764" s="143"/>
      <c r="AD764" s="143"/>
      <c r="AE764" s="143"/>
      <c r="AF764" s="143"/>
      <c r="AG764" s="143"/>
      <c r="AH764" s="143"/>
      <c r="AI764" s="143"/>
      <c r="AJ764" s="143"/>
      <c r="AK764" s="143"/>
      <c r="AL764" s="143"/>
      <c r="AM764" s="143"/>
    </row>
    <row r="765" spans="1:39" ht="12.75" customHeight="1" x14ac:dyDescent="0.25">
      <c r="A765" s="143"/>
      <c r="B765" s="143"/>
      <c r="C765" s="143"/>
      <c r="D765" s="143"/>
      <c r="E765" s="143"/>
      <c r="F765" s="143"/>
      <c r="G765" s="143"/>
      <c r="H765" s="143"/>
      <c r="I765" s="143"/>
      <c r="J765" s="143"/>
      <c r="K765" s="143"/>
      <c r="L765" s="143"/>
      <c r="M765" s="143"/>
      <c r="N765" s="143"/>
      <c r="O765" s="143"/>
      <c r="P765" s="143"/>
      <c r="Q765" s="143"/>
      <c r="R765" s="143"/>
      <c r="S765" s="143"/>
      <c r="T765" s="143"/>
      <c r="U765" s="143"/>
      <c r="V765" s="143"/>
      <c r="W765" s="143"/>
      <c r="X765" s="143"/>
      <c r="Y765" s="143"/>
      <c r="Z765" s="143"/>
      <c r="AA765" s="143"/>
      <c r="AB765" s="143"/>
      <c r="AC765" s="143"/>
      <c r="AD765" s="143"/>
      <c r="AE765" s="143"/>
      <c r="AF765" s="143"/>
      <c r="AG765" s="143"/>
      <c r="AH765" s="143"/>
      <c r="AI765" s="143"/>
      <c r="AJ765" s="143"/>
      <c r="AK765" s="143"/>
      <c r="AL765" s="143"/>
      <c r="AM765" s="143"/>
    </row>
    <row r="766" spans="1:39" ht="12.75" customHeight="1" x14ac:dyDescent="0.25">
      <c r="A766" s="143"/>
      <c r="B766" s="143"/>
      <c r="C766" s="143"/>
      <c r="D766" s="143"/>
      <c r="E766" s="143"/>
      <c r="F766" s="143"/>
      <c r="G766" s="143"/>
      <c r="H766" s="143"/>
      <c r="I766" s="143"/>
      <c r="J766" s="143"/>
      <c r="K766" s="143"/>
      <c r="L766" s="143"/>
      <c r="M766" s="143"/>
      <c r="N766" s="143"/>
      <c r="O766" s="143"/>
      <c r="P766" s="143"/>
      <c r="Q766" s="143"/>
      <c r="R766" s="143"/>
      <c r="S766" s="143"/>
      <c r="T766" s="143"/>
      <c r="U766" s="143"/>
      <c r="V766" s="143"/>
      <c r="W766" s="143"/>
      <c r="X766" s="143"/>
      <c r="Y766" s="143"/>
      <c r="Z766" s="143"/>
      <c r="AA766" s="143"/>
      <c r="AB766" s="143"/>
      <c r="AC766" s="143"/>
      <c r="AD766" s="143"/>
      <c r="AE766" s="143"/>
      <c r="AF766" s="143"/>
      <c r="AG766" s="143"/>
      <c r="AH766" s="143"/>
      <c r="AI766" s="143"/>
      <c r="AJ766" s="143"/>
      <c r="AK766" s="143"/>
      <c r="AL766" s="143"/>
      <c r="AM766" s="143"/>
    </row>
    <row r="767" spans="1:39" ht="12.75" customHeight="1" x14ac:dyDescent="0.25">
      <c r="A767" s="143"/>
      <c r="B767" s="143"/>
      <c r="C767" s="143"/>
      <c r="D767" s="143"/>
      <c r="E767" s="143"/>
      <c r="F767" s="143"/>
      <c r="G767" s="143"/>
      <c r="H767" s="143"/>
      <c r="I767" s="143"/>
      <c r="J767" s="143"/>
      <c r="K767" s="143"/>
      <c r="L767" s="143"/>
      <c r="M767" s="143"/>
      <c r="N767" s="143"/>
      <c r="O767" s="143"/>
      <c r="P767" s="143"/>
      <c r="Q767" s="143"/>
      <c r="R767" s="143"/>
      <c r="S767" s="143"/>
      <c r="T767" s="143"/>
      <c r="U767" s="143"/>
      <c r="V767" s="143"/>
      <c r="W767" s="143"/>
      <c r="X767" s="143"/>
      <c r="Y767" s="143"/>
      <c r="Z767" s="143"/>
      <c r="AA767" s="143"/>
      <c r="AB767" s="143"/>
      <c r="AC767" s="143"/>
      <c r="AD767" s="143"/>
      <c r="AE767" s="143"/>
      <c r="AF767" s="143"/>
      <c r="AG767" s="143"/>
      <c r="AH767" s="143"/>
      <c r="AI767" s="143"/>
      <c r="AJ767" s="143"/>
      <c r="AK767" s="143"/>
      <c r="AL767" s="143"/>
      <c r="AM767" s="143"/>
    </row>
    <row r="768" spans="1:39" ht="12.75" customHeight="1" x14ac:dyDescent="0.25">
      <c r="A768" s="143"/>
      <c r="B768" s="143"/>
      <c r="C768" s="143"/>
      <c r="D768" s="143"/>
      <c r="E768" s="143"/>
      <c r="F768" s="143"/>
      <c r="G768" s="143"/>
      <c r="H768" s="143"/>
      <c r="I768" s="143"/>
      <c r="J768" s="143"/>
      <c r="K768" s="143"/>
      <c r="L768" s="143"/>
      <c r="M768" s="143"/>
      <c r="N768" s="143"/>
      <c r="O768" s="143"/>
      <c r="P768" s="143"/>
      <c r="Q768" s="143"/>
      <c r="R768" s="143"/>
      <c r="S768" s="143"/>
      <c r="T768" s="143"/>
      <c r="U768" s="143"/>
      <c r="V768" s="143"/>
      <c r="W768" s="143"/>
      <c r="X768" s="143"/>
      <c r="Y768" s="143"/>
      <c r="Z768" s="143"/>
      <c r="AA768" s="143"/>
      <c r="AB768" s="143"/>
      <c r="AC768" s="143"/>
      <c r="AD768" s="143"/>
      <c r="AE768" s="143"/>
      <c r="AF768" s="143"/>
      <c r="AG768" s="143"/>
      <c r="AH768" s="143"/>
      <c r="AI768" s="143"/>
      <c r="AJ768" s="143"/>
      <c r="AK768" s="143"/>
      <c r="AL768" s="143"/>
      <c r="AM768" s="143"/>
    </row>
    <row r="769" spans="1:39" ht="12.75" customHeight="1" x14ac:dyDescent="0.25">
      <c r="A769" s="143"/>
      <c r="B769" s="143"/>
      <c r="C769" s="143"/>
      <c r="D769" s="143"/>
      <c r="E769" s="143"/>
      <c r="F769" s="143"/>
      <c r="G769" s="143"/>
      <c r="H769" s="143"/>
      <c r="I769" s="143"/>
      <c r="J769" s="143"/>
      <c r="K769" s="143"/>
      <c r="L769" s="143"/>
      <c r="M769" s="143"/>
      <c r="N769" s="143"/>
      <c r="O769" s="143"/>
      <c r="P769" s="143"/>
      <c r="Q769" s="143"/>
      <c r="R769" s="143"/>
      <c r="S769" s="143"/>
      <c r="T769" s="143"/>
      <c r="U769" s="143"/>
      <c r="V769" s="143"/>
      <c r="W769" s="143"/>
      <c r="X769" s="143"/>
      <c r="Y769" s="143"/>
      <c r="Z769" s="143"/>
      <c r="AA769" s="143"/>
      <c r="AB769" s="143"/>
      <c r="AC769" s="143"/>
      <c r="AD769" s="143"/>
      <c r="AE769" s="143"/>
      <c r="AF769" s="143"/>
      <c r="AG769" s="143"/>
      <c r="AH769" s="143"/>
      <c r="AI769" s="143"/>
      <c r="AJ769" s="143"/>
      <c r="AK769" s="143"/>
      <c r="AL769" s="143"/>
      <c r="AM769" s="143"/>
    </row>
    <row r="770" spans="1:39" ht="12.75" customHeight="1" x14ac:dyDescent="0.25">
      <c r="A770" s="143"/>
      <c r="B770" s="143"/>
      <c r="C770" s="143"/>
      <c r="D770" s="143"/>
      <c r="E770" s="143"/>
      <c r="F770" s="143"/>
      <c r="G770" s="143"/>
      <c r="H770" s="143"/>
      <c r="I770" s="143"/>
      <c r="J770" s="143"/>
      <c r="K770" s="143"/>
      <c r="L770" s="143"/>
      <c r="M770" s="143"/>
      <c r="N770" s="143"/>
      <c r="O770" s="143"/>
      <c r="P770" s="143"/>
      <c r="Q770" s="143"/>
      <c r="R770" s="143"/>
      <c r="S770" s="143"/>
      <c r="T770" s="143"/>
      <c r="U770" s="143"/>
      <c r="V770" s="143"/>
      <c r="W770" s="143"/>
      <c r="X770" s="143"/>
      <c r="Y770" s="143"/>
      <c r="Z770" s="143"/>
      <c r="AA770" s="143"/>
      <c r="AB770" s="143"/>
      <c r="AC770" s="143"/>
      <c r="AD770" s="143"/>
      <c r="AE770" s="143"/>
      <c r="AF770" s="143"/>
      <c r="AG770" s="143"/>
      <c r="AH770" s="143"/>
      <c r="AI770" s="143"/>
      <c r="AJ770" s="143"/>
      <c r="AK770" s="143"/>
      <c r="AL770" s="143"/>
      <c r="AM770" s="143"/>
    </row>
    <row r="771" spans="1:39" ht="12.75" customHeight="1" x14ac:dyDescent="0.25">
      <c r="A771" s="143"/>
      <c r="B771" s="143"/>
      <c r="C771" s="143"/>
      <c r="D771" s="143"/>
      <c r="E771" s="143"/>
      <c r="F771" s="143"/>
      <c r="G771" s="143"/>
      <c r="H771" s="143"/>
      <c r="I771" s="143"/>
      <c r="J771" s="143"/>
      <c r="K771" s="143"/>
      <c r="L771" s="143"/>
      <c r="M771" s="143"/>
      <c r="N771" s="143"/>
      <c r="O771" s="143"/>
      <c r="P771" s="143"/>
      <c r="Q771" s="143"/>
      <c r="R771" s="143"/>
      <c r="S771" s="143"/>
      <c r="T771" s="143"/>
      <c r="U771" s="143"/>
      <c r="V771" s="143"/>
      <c r="W771" s="143"/>
      <c r="X771" s="143"/>
      <c r="Y771" s="143"/>
      <c r="Z771" s="143"/>
      <c r="AA771" s="143"/>
      <c r="AB771" s="143"/>
      <c r="AC771" s="143"/>
      <c r="AD771" s="143"/>
      <c r="AE771" s="143"/>
      <c r="AF771" s="143"/>
      <c r="AG771" s="143"/>
      <c r="AH771" s="143"/>
      <c r="AI771" s="143"/>
      <c r="AJ771" s="143"/>
      <c r="AK771" s="143"/>
      <c r="AL771" s="143"/>
      <c r="AM771" s="143"/>
    </row>
    <row r="772" spans="1:39" ht="12.75" customHeight="1" x14ac:dyDescent="0.25">
      <c r="A772" s="143"/>
      <c r="B772" s="143"/>
      <c r="C772" s="143"/>
      <c r="D772" s="143"/>
      <c r="E772" s="143"/>
      <c r="F772" s="143"/>
      <c r="G772" s="143"/>
      <c r="H772" s="143"/>
      <c r="I772" s="143"/>
      <c r="J772" s="143"/>
      <c r="K772" s="143"/>
      <c r="L772" s="143"/>
      <c r="M772" s="143"/>
      <c r="N772" s="143"/>
      <c r="O772" s="143"/>
      <c r="P772" s="143"/>
      <c r="Q772" s="143"/>
      <c r="R772" s="143"/>
      <c r="S772" s="143"/>
      <c r="T772" s="143"/>
      <c r="U772" s="143"/>
      <c r="V772" s="143"/>
      <c r="W772" s="143"/>
      <c r="X772" s="143"/>
      <c r="Y772" s="143"/>
      <c r="Z772" s="143"/>
      <c r="AA772" s="143"/>
      <c r="AB772" s="143"/>
      <c r="AC772" s="143"/>
      <c r="AD772" s="143"/>
      <c r="AE772" s="143"/>
      <c r="AF772" s="143"/>
      <c r="AG772" s="143"/>
      <c r="AH772" s="143"/>
      <c r="AI772" s="143"/>
      <c r="AJ772" s="143"/>
      <c r="AK772" s="143"/>
      <c r="AL772" s="143"/>
      <c r="AM772" s="143"/>
    </row>
    <row r="773" spans="1:39" ht="12.75" customHeight="1" x14ac:dyDescent="0.25">
      <c r="A773" s="143"/>
      <c r="B773" s="143"/>
      <c r="C773" s="143"/>
      <c r="D773" s="143"/>
      <c r="E773" s="143"/>
      <c r="F773" s="143"/>
      <c r="G773" s="143"/>
      <c r="H773" s="143"/>
      <c r="I773" s="143"/>
      <c r="J773" s="143"/>
      <c r="K773" s="143"/>
      <c r="L773" s="143"/>
      <c r="M773" s="143"/>
      <c r="N773" s="143"/>
      <c r="O773" s="143"/>
      <c r="P773" s="143"/>
      <c r="Q773" s="143"/>
      <c r="R773" s="143"/>
      <c r="S773" s="143"/>
      <c r="T773" s="143"/>
      <c r="U773" s="143"/>
      <c r="V773" s="143"/>
      <c r="W773" s="143"/>
      <c r="X773" s="143"/>
      <c r="Y773" s="143"/>
      <c r="Z773" s="143"/>
      <c r="AA773" s="143"/>
      <c r="AB773" s="143"/>
      <c r="AC773" s="143"/>
      <c r="AD773" s="143"/>
      <c r="AE773" s="143"/>
      <c r="AF773" s="143"/>
      <c r="AG773" s="143"/>
      <c r="AH773" s="143"/>
      <c r="AI773" s="143"/>
      <c r="AJ773" s="143"/>
      <c r="AK773" s="143"/>
      <c r="AL773" s="143"/>
      <c r="AM773" s="143"/>
    </row>
    <row r="774" spans="1:39" ht="12.75" customHeight="1" x14ac:dyDescent="0.25">
      <c r="A774" s="143"/>
      <c r="B774" s="143"/>
      <c r="C774" s="143"/>
      <c r="D774" s="143"/>
      <c r="E774" s="143"/>
      <c r="F774" s="143"/>
      <c r="G774" s="143"/>
      <c r="H774" s="143"/>
      <c r="I774" s="143"/>
      <c r="J774" s="143"/>
      <c r="K774" s="143"/>
      <c r="L774" s="143"/>
      <c r="M774" s="143"/>
      <c r="N774" s="143"/>
      <c r="O774" s="143"/>
      <c r="P774" s="143"/>
      <c r="Q774" s="143"/>
      <c r="R774" s="143"/>
      <c r="S774" s="143"/>
      <c r="T774" s="143"/>
      <c r="U774" s="143"/>
      <c r="V774" s="143"/>
      <c r="W774" s="143"/>
      <c r="X774" s="143"/>
      <c r="Y774" s="143"/>
      <c r="Z774" s="143"/>
      <c r="AA774" s="143"/>
      <c r="AB774" s="143"/>
      <c r="AC774" s="143"/>
      <c r="AD774" s="143"/>
      <c r="AE774" s="143"/>
      <c r="AF774" s="143"/>
      <c r="AG774" s="143"/>
      <c r="AH774" s="143"/>
      <c r="AI774" s="143"/>
      <c r="AJ774" s="143"/>
      <c r="AK774" s="143"/>
      <c r="AL774" s="143"/>
      <c r="AM774" s="143"/>
    </row>
    <row r="775" spans="1:39" ht="12.75" customHeight="1" x14ac:dyDescent="0.25">
      <c r="A775" s="143"/>
      <c r="B775" s="143"/>
      <c r="C775" s="143"/>
      <c r="D775" s="143"/>
      <c r="E775" s="143"/>
      <c r="F775" s="143"/>
      <c r="G775" s="143"/>
      <c r="H775" s="143"/>
      <c r="I775" s="143"/>
      <c r="J775" s="143"/>
      <c r="K775" s="143"/>
      <c r="L775" s="143"/>
      <c r="M775" s="143"/>
      <c r="N775" s="143"/>
      <c r="O775" s="143"/>
      <c r="P775" s="143"/>
      <c r="Q775" s="143"/>
      <c r="R775" s="143"/>
      <c r="S775" s="143"/>
      <c r="T775" s="143"/>
      <c r="U775" s="143"/>
      <c r="V775" s="143"/>
      <c r="W775" s="143"/>
      <c r="X775" s="143"/>
      <c r="Y775" s="143"/>
      <c r="Z775" s="143"/>
      <c r="AA775" s="143"/>
      <c r="AB775" s="143"/>
      <c r="AC775" s="143"/>
      <c r="AD775" s="143"/>
      <c r="AE775" s="143"/>
      <c r="AF775" s="143"/>
      <c r="AG775" s="143"/>
      <c r="AH775" s="143"/>
      <c r="AI775" s="143"/>
      <c r="AJ775" s="143"/>
      <c r="AK775" s="143"/>
      <c r="AL775" s="143"/>
      <c r="AM775" s="143"/>
    </row>
    <row r="776" spans="1:39" ht="12.75" customHeight="1" x14ac:dyDescent="0.25">
      <c r="A776" s="143"/>
      <c r="B776" s="143"/>
      <c r="C776" s="143"/>
      <c r="D776" s="143"/>
      <c r="E776" s="143"/>
      <c r="F776" s="143"/>
      <c r="G776" s="143"/>
      <c r="H776" s="143"/>
      <c r="I776" s="143"/>
      <c r="J776" s="143"/>
      <c r="K776" s="143"/>
      <c r="L776" s="143"/>
      <c r="M776" s="143"/>
      <c r="N776" s="143"/>
      <c r="O776" s="143"/>
      <c r="P776" s="143"/>
      <c r="Q776" s="143"/>
      <c r="R776" s="143"/>
      <c r="S776" s="143"/>
      <c r="T776" s="143"/>
      <c r="U776" s="143"/>
      <c r="V776" s="143"/>
      <c r="W776" s="143"/>
      <c r="X776" s="143"/>
      <c r="Y776" s="143"/>
      <c r="Z776" s="143"/>
      <c r="AA776" s="143"/>
      <c r="AB776" s="143"/>
      <c r="AC776" s="143"/>
      <c r="AD776" s="143"/>
      <c r="AE776" s="143"/>
      <c r="AF776" s="143"/>
      <c r="AG776" s="143"/>
      <c r="AH776" s="143"/>
      <c r="AI776" s="143"/>
      <c r="AJ776" s="143"/>
      <c r="AK776" s="143"/>
      <c r="AL776" s="143"/>
      <c r="AM776" s="143"/>
    </row>
    <row r="777" spans="1:39" ht="12.75" customHeight="1" x14ac:dyDescent="0.25">
      <c r="A777" s="143"/>
      <c r="B777" s="143"/>
      <c r="C777" s="143"/>
      <c r="D777" s="143"/>
      <c r="E777" s="143"/>
      <c r="F777" s="143"/>
      <c r="G777" s="143"/>
      <c r="H777" s="143"/>
      <c r="I777" s="143"/>
      <c r="J777" s="143"/>
      <c r="K777" s="143"/>
      <c r="L777" s="143"/>
      <c r="M777" s="143"/>
      <c r="N777" s="143"/>
      <c r="O777" s="143"/>
      <c r="P777" s="143"/>
      <c r="Q777" s="143"/>
      <c r="R777" s="143"/>
      <c r="S777" s="143"/>
      <c r="T777" s="143"/>
      <c r="U777" s="143"/>
      <c r="V777" s="143"/>
      <c r="W777" s="143"/>
      <c r="X777" s="143"/>
      <c r="Y777" s="143"/>
      <c r="Z777" s="143"/>
      <c r="AA777" s="143"/>
      <c r="AB777" s="143"/>
      <c r="AC777" s="143"/>
      <c r="AD777" s="143"/>
      <c r="AE777" s="143"/>
      <c r="AF777" s="143"/>
      <c r="AG777" s="143"/>
      <c r="AH777" s="143"/>
      <c r="AI777" s="143"/>
      <c r="AJ777" s="143"/>
      <c r="AK777" s="143"/>
      <c r="AL777" s="143"/>
      <c r="AM777" s="143"/>
    </row>
    <row r="778" spans="1:39" ht="12.75" customHeight="1" x14ac:dyDescent="0.25">
      <c r="A778" s="143"/>
      <c r="B778" s="143"/>
      <c r="C778" s="143"/>
      <c r="D778" s="143"/>
      <c r="E778" s="143"/>
      <c r="F778" s="143"/>
      <c r="G778" s="143"/>
      <c r="H778" s="143"/>
      <c r="I778" s="143"/>
      <c r="J778" s="143"/>
      <c r="K778" s="143"/>
      <c r="L778" s="143"/>
      <c r="M778" s="143"/>
      <c r="N778" s="143"/>
      <c r="O778" s="143"/>
      <c r="P778" s="143"/>
      <c r="Q778" s="143"/>
      <c r="R778" s="143"/>
      <c r="S778" s="143"/>
      <c r="T778" s="143"/>
      <c r="U778" s="143"/>
      <c r="V778" s="143"/>
      <c r="W778" s="143"/>
      <c r="X778" s="143"/>
      <c r="Y778" s="143"/>
      <c r="Z778" s="143"/>
      <c r="AA778" s="143"/>
      <c r="AB778" s="143"/>
      <c r="AC778" s="143"/>
      <c r="AD778" s="143"/>
      <c r="AE778" s="143"/>
      <c r="AF778" s="143"/>
      <c r="AG778" s="143"/>
      <c r="AH778" s="143"/>
      <c r="AI778" s="143"/>
      <c r="AJ778" s="143"/>
      <c r="AK778" s="143"/>
      <c r="AL778" s="143"/>
      <c r="AM778" s="143"/>
    </row>
    <row r="779" spans="1:39" ht="12.75" customHeight="1" x14ac:dyDescent="0.25">
      <c r="A779" s="143"/>
      <c r="B779" s="143"/>
      <c r="C779" s="143"/>
      <c r="D779" s="143"/>
      <c r="E779" s="143"/>
      <c r="F779" s="143"/>
      <c r="G779" s="143"/>
      <c r="H779" s="143"/>
      <c r="I779" s="143"/>
      <c r="J779" s="143"/>
      <c r="K779" s="143"/>
      <c r="L779" s="143"/>
      <c r="M779" s="143"/>
      <c r="N779" s="143"/>
      <c r="O779" s="143"/>
      <c r="P779" s="143"/>
      <c r="Q779" s="143"/>
      <c r="R779" s="143"/>
      <c r="S779" s="143"/>
      <c r="T779" s="143"/>
      <c r="U779" s="143"/>
      <c r="V779" s="143"/>
      <c r="W779" s="143"/>
      <c r="X779" s="143"/>
      <c r="Y779" s="143"/>
      <c r="Z779" s="143"/>
      <c r="AA779" s="143"/>
      <c r="AB779" s="143"/>
      <c r="AC779" s="143"/>
      <c r="AD779" s="143"/>
      <c r="AE779" s="143"/>
      <c r="AF779" s="143"/>
      <c r="AG779" s="143"/>
      <c r="AH779" s="143"/>
      <c r="AI779" s="143"/>
      <c r="AJ779" s="143"/>
      <c r="AK779" s="143"/>
      <c r="AL779" s="143"/>
      <c r="AM779" s="143"/>
    </row>
    <row r="780" spans="1:39" ht="12.75" customHeight="1" x14ac:dyDescent="0.25">
      <c r="A780" s="143"/>
      <c r="B780" s="143"/>
      <c r="C780" s="143"/>
      <c r="D780" s="143"/>
      <c r="E780" s="143"/>
      <c r="F780" s="143"/>
      <c r="G780" s="143"/>
      <c r="H780" s="143"/>
      <c r="I780" s="143"/>
      <c r="J780" s="143"/>
      <c r="K780" s="143"/>
      <c r="L780" s="143"/>
      <c r="M780" s="143"/>
      <c r="N780" s="143"/>
      <c r="O780" s="143"/>
      <c r="P780" s="143"/>
      <c r="Q780" s="143"/>
      <c r="R780" s="143"/>
      <c r="S780" s="143"/>
      <c r="T780" s="143"/>
      <c r="U780" s="143"/>
      <c r="V780" s="143"/>
      <c r="W780" s="143"/>
      <c r="X780" s="143"/>
      <c r="Y780" s="143"/>
      <c r="Z780" s="143"/>
      <c r="AA780" s="143"/>
      <c r="AB780" s="143"/>
      <c r="AC780" s="143"/>
      <c r="AD780" s="143"/>
      <c r="AE780" s="143"/>
      <c r="AF780" s="143"/>
      <c r="AG780" s="143"/>
      <c r="AH780" s="143"/>
      <c r="AI780" s="143"/>
      <c r="AJ780" s="143"/>
      <c r="AK780" s="143"/>
      <c r="AL780" s="143"/>
      <c r="AM780" s="143"/>
    </row>
    <row r="781" spans="1:39" ht="12.75" customHeight="1" x14ac:dyDescent="0.25">
      <c r="A781" s="143"/>
      <c r="B781" s="143"/>
      <c r="C781" s="143"/>
      <c r="D781" s="143"/>
      <c r="E781" s="143"/>
      <c r="F781" s="143"/>
      <c r="G781" s="143"/>
      <c r="H781" s="143"/>
      <c r="I781" s="143"/>
      <c r="J781" s="143"/>
      <c r="K781" s="143"/>
      <c r="L781" s="143"/>
      <c r="M781" s="143"/>
      <c r="N781" s="143"/>
      <c r="O781" s="143"/>
      <c r="P781" s="143"/>
      <c r="Q781" s="143"/>
      <c r="R781" s="143"/>
      <c r="S781" s="143"/>
      <c r="T781" s="143"/>
      <c r="U781" s="143"/>
      <c r="V781" s="143"/>
      <c r="W781" s="143"/>
      <c r="X781" s="143"/>
      <c r="Y781" s="143"/>
      <c r="Z781" s="143"/>
      <c r="AA781" s="143"/>
      <c r="AB781" s="143"/>
      <c r="AC781" s="143"/>
      <c r="AD781" s="143"/>
      <c r="AE781" s="143"/>
      <c r="AF781" s="143"/>
      <c r="AG781" s="143"/>
      <c r="AH781" s="143"/>
      <c r="AI781" s="143"/>
      <c r="AJ781" s="143"/>
      <c r="AK781" s="143"/>
      <c r="AL781" s="143"/>
      <c r="AM781" s="143"/>
    </row>
    <row r="782" spans="1:39" ht="12.75" customHeight="1" x14ac:dyDescent="0.25">
      <c r="A782" s="143"/>
      <c r="B782" s="143"/>
      <c r="C782" s="143"/>
      <c r="D782" s="143"/>
      <c r="E782" s="143"/>
      <c r="F782" s="143"/>
      <c r="G782" s="143"/>
      <c r="H782" s="143"/>
      <c r="I782" s="143"/>
      <c r="J782" s="143"/>
      <c r="K782" s="143"/>
      <c r="L782" s="143"/>
      <c r="M782" s="143"/>
      <c r="N782" s="143"/>
      <c r="O782" s="143"/>
      <c r="P782" s="143"/>
      <c r="Q782" s="143"/>
      <c r="R782" s="143"/>
      <c r="S782" s="143"/>
      <c r="T782" s="143"/>
      <c r="U782" s="143"/>
      <c r="V782" s="143"/>
      <c r="W782" s="143"/>
      <c r="X782" s="143"/>
      <c r="Y782" s="143"/>
      <c r="Z782" s="143"/>
      <c r="AA782" s="143"/>
      <c r="AB782" s="143"/>
      <c r="AC782" s="143"/>
      <c r="AD782" s="143"/>
      <c r="AE782" s="143"/>
      <c r="AF782" s="143"/>
      <c r="AG782" s="143"/>
      <c r="AH782" s="143"/>
      <c r="AI782" s="143"/>
      <c r="AJ782" s="143"/>
      <c r="AK782" s="143"/>
      <c r="AL782" s="143"/>
      <c r="AM782" s="143"/>
    </row>
    <row r="783" spans="1:39" ht="12.75" customHeight="1" x14ac:dyDescent="0.25">
      <c r="A783" s="143"/>
      <c r="B783" s="143"/>
      <c r="C783" s="143"/>
      <c r="D783" s="143"/>
      <c r="E783" s="143"/>
      <c r="F783" s="143"/>
      <c r="G783" s="143"/>
      <c r="H783" s="143"/>
      <c r="I783" s="143"/>
      <c r="J783" s="143"/>
      <c r="K783" s="143"/>
      <c r="L783" s="143"/>
      <c r="M783" s="143"/>
      <c r="N783" s="143"/>
      <c r="O783" s="143"/>
      <c r="P783" s="143"/>
      <c r="Q783" s="143"/>
      <c r="R783" s="143"/>
      <c r="S783" s="143"/>
      <c r="T783" s="143"/>
      <c r="U783" s="143"/>
      <c r="V783" s="143"/>
      <c r="W783" s="143"/>
      <c r="X783" s="143"/>
      <c r="Y783" s="143"/>
      <c r="Z783" s="143"/>
      <c r="AA783" s="143"/>
      <c r="AB783" s="143"/>
      <c r="AC783" s="143"/>
      <c r="AD783" s="143"/>
      <c r="AE783" s="143"/>
      <c r="AF783" s="143"/>
      <c r="AG783" s="143"/>
      <c r="AH783" s="143"/>
      <c r="AI783" s="143"/>
      <c r="AJ783" s="143"/>
      <c r="AK783" s="143"/>
      <c r="AL783" s="143"/>
      <c r="AM783" s="143"/>
    </row>
    <row r="784" spans="1:39" ht="12.75" customHeight="1" x14ac:dyDescent="0.25">
      <c r="A784" s="143"/>
      <c r="B784" s="143"/>
      <c r="C784" s="143"/>
      <c r="D784" s="143"/>
      <c r="E784" s="143"/>
      <c r="F784" s="143"/>
      <c r="G784" s="143"/>
      <c r="H784" s="143"/>
      <c r="I784" s="143"/>
      <c r="J784" s="143"/>
      <c r="K784" s="143"/>
      <c r="L784" s="143"/>
      <c r="M784" s="143"/>
      <c r="N784" s="143"/>
      <c r="O784" s="143"/>
      <c r="P784" s="143"/>
      <c r="Q784" s="143"/>
      <c r="R784" s="143"/>
      <c r="S784" s="143"/>
      <c r="T784" s="143"/>
      <c r="U784" s="143"/>
      <c r="V784" s="143"/>
      <c r="W784" s="143"/>
      <c r="X784" s="143"/>
      <c r="Y784" s="143"/>
      <c r="Z784" s="143"/>
      <c r="AA784" s="143"/>
      <c r="AB784" s="143"/>
      <c r="AC784" s="143"/>
      <c r="AD784" s="143"/>
      <c r="AE784" s="143"/>
      <c r="AF784" s="143"/>
      <c r="AG784" s="143"/>
      <c r="AH784" s="143"/>
      <c r="AI784" s="143"/>
      <c r="AJ784" s="143"/>
      <c r="AK784" s="143"/>
      <c r="AL784" s="143"/>
      <c r="AM784" s="143"/>
    </row>
    <row r="785" spans="1:39" ht="12.75" customHeight="1" x14ac:dyDescent="0.25">
      <c r="A785" s="143"/>
      <c r="B785" s="143"/>
      <c r="C785" s="143"/>
      <c r="D785" s="143"/>
      <c r="E785" s="143"/>
      <c r="F785" s="143"/>
      <c r="G785" s="143"/>
      <c r="H785" s="143"/>
      <c r="I785" s="143"/>
      <c r="J785" s="143"/>
      <c r="K785" s="143"/>
      <c r="L785" s="143"/>
      <c r="M785" s="143"/>
      <c r="N785" s="143"/>
      <c r="O785" s="143"/>
      <c r="P785" s="143"/>
      <c r="Q785" s="143"/>
      <c r="R785" s="143"/>
      <c r="S785" s="143"/>
      <c r="T785" s="143"/>
      <c r="U785" s="143"/>
      <c r="V785" s="143"/>
      <c r="W785" s="143"/>
      <c r="X785" s="143"/>
      <c r="Y785" s="143"/>
      <c r="Z785" s="143"/>
      <c r="AA785" s="143"/>
      <c r="AB785" s="143"/>
      <c r="AC785" s="143"/>
      <c r="AD785" s="143"/>
      <c r="AE785" s="143"/>
      <c r="AF785" s="143"/>
      <c r="AG785" s="143"/>
      <c r="AH785" s="143"/>
      <c r="AI785" s="143"/>
      <c r="AJ785" s="143"/>
      <c r="AK785" s="143"/>
      <c r="AL785" s="143"/>
      <c r="AM785" s="143"/>
    </row>
    <row r="786" spans="1:39" ht="12.75" customHeight="1" x14ac:dyDescent="0.25">
      <c r="A786" s="143"/>
      <c r="B786" s="143"/>
      <c r="C786" s="143"/>
      <c r="D786" s="143"/>
      <c r="E786" s="143"/>
      <c r="F786" s="143"/>
      <c r="G786" s="143"/>
      <c r="H786" s="143"/>
      <c r="I786" s="143"/>
      <c r="J786" s="143"/>
      <c r="K786" s="143"/>
      <c r="L786" s="143"/>
      <c r="M786" s="143"/>
      <c r="N786" s="143"/>
      <c r="O786" s="143"/>
      <c r="P786" s="143"/>
      <c r="Q786" s="143"/>
      <c r="R786" s="143"/>
      <c r="S786" s="143"/>
      <c r="T786" s="143"/>
      <c r="U786" s="143"/>
      <c r="V786" s="143"/>
      <c r="W786" s="143"/>
      <c r="X786" s="143"/>
      <c r="Y786" s="143"/>
      <c r="Z786" s="143"/>
      <c r="AA786" s="143"/>
      <c r="AB786" s="143"/>
      <c r="AC786" s="143"/>
      <c r="AD786" s="143"/>
      <c r="AE786" s="143"/>
      <c r="AF786" s="143"/>
      <c r="AG786" s="143"/>
      <c r="AH786" s="143"/>
      <c r="AI786" s="143"/>
      <c r="AJ786" s="143"/>
      <c r="AK786" s="143"/>
      <c r="AL786" s="143"/>
      <c r="AM786" s="143"/>
    </row>
    <row r="787" spans="1:39" ht="12.75" customHeight="1" x14ac:dyDescent="0.25">
      <c r="A787" s="143"/>
      <c r="B787" s="143"/>
      <c r="C787" s="143"/>
      <c r="D787" s="143"/>
      <c r="E787" s="143"/>
      <c r="F787" s="143"/>
      <c r="G787" s="143"/>
      <c r="H787" s="143"/>
      <c r="I787" s="143"/>
      <c r="J787" s="143"/>
      <c r="K787" s="143"/>
      <c r="L787" s="143"/>
      <c r="M787" s="143"/>
      <c r="N787" s="143"/>
      <c r="O787" s="143"/>
      <c r="P787" s="143"/>
      <c r="Q787" s="143"/>
      <c r="R787" s="143"/>
      <c r="S787" s="143"/>
      <c r="T787" s="143"/>
      <c r="U787" s="143"/>
      <c r="V787" s="143"/>
      <c r="W787" s="143"/>
      <c r="X787" s="143"/>
      <c r="Y787" s="143"/>
      <c r="Z787" s="143"/>
      <c r="AA787" s="143"/>
      <c r="AB787" s="143"/>
      <c r="AC787" s="143"/>
      <c r="AD787" s="143"/>
      <c r="AE787" s="143"/>
      <c r="AF787" s="143"/>
      <c r="AG787" s="143"/>
      <c r="AH787" s="143"/>
      <c r="AI787" s="143"/>
      <c r="AJ787" s="143"/>
      <c r="AK787" s="143"/>
      <c r="AL787" s="143"/>
      <c r="AM787" s="143"/>
    </row>
    <row r="788" spans="1:39" ht="12.75" customHeight="1" x14ac:dyDescent="0.25">
      <c r="A788" s="143"/>
      <c r="B788" s="143"/>
      <c r="C788" s="143"/>
      <c r="D788" s="143"/>
      <c r="E788" s="143"/>
      <c r="F788" s="143"/>
      <c r="G788" s="143"/>
      <c r="H788" s="143"/>
      <c r="I788" s="143"/>
      <c r="J788" s="143"/>
      <c r="K788" s="143"/>
      <c r="L788" s="143"/>
      <c r="M788" s="143"/>
      <c r="N788" s="143"/>
      <c r="O788" s="143"/>
      <c r="P788" s="143"/>
      <c r="Q788" s="143"/>
      <c r="R788" s="143"/>
      <c r="S788" s="143"/>
      <c r="T788" s="143"/>
      <c r="U788" s="143"/>
      <c r="V788" s="143"/>
      <c r="W788" s="143"/>
      <c r="X788" s="143"/>
      <c r="Y788" s="143"/>
      <c r="Z788" s="143"/>
      <c r="AA788" s="143"/>
      <c r="AB788" s="143"/>
      <c r="AC788" s="143"/>
      <c r="AD788" s="143"/>
      <c r="AE788" s="143"/>
      <c r="AF788" s="143"/>
      <c r="AG788" s="143"/>
      <c r="AH788" s="143"/>
      <c r="AI788" s="143"/>
      <c r="AJ788" s="143"/>
      <c r="AK788" s="143"/>
      <c r="AL788" s="143"/>
      <c r="AM788" s="143"/>
    </row>
    <row r="789" spans="1:39" ht="12.75" customHeight="1" x14ac:dyDescent="0.25">
      <c r="A789" s="143"/>
      <c r="B789" s="143"/>
      <c r="C789" s="143"/>
      <c r="D789" s="143"/>
      <c r="E789" s="143"/>
      <c r="F789" s="143"/>
      <c r="G789" s="143"/>
      <c r="H789" s="143"/>
      <c r="I789" s="143"/>
      <c r="J789" s="143"/>
      <c r="K789" s="143"/>
      <c r="L789" s="143"/>
      <c r="M789" s="143"/>
      <c r="N789" s="143"/>
      <c r="O789" s="143"/>
      <c r="P789" s="143"/>
      <c r="Q789" s="143"/>
      <c r="R789" s="143"/>
      <c r="S789" s="143"/>
      <c r="T789" s="143"/>
      <c r="U789" s="143"/>
      <c r="V789" s="143"/>
      <c r="W789" s="143"/>
      <c r="X789" s="143"/>
      <c r="Y789" s="143"/>
      <c r="Z789" s="143"/>
      <c r="AA789" s="143"/>
      <c r="AB789" s="143"/>
      <c r="AC789" s="143"/>
      <c r="AD789" s="143"/>
      <c r="AE789" s="143"/>
      <c r="AF789" s="143"/>
      <c r="AG789" s="143"/>
      <c r="AH789" s="143"/>
      <c r="AI789" s="143"/>
      <c r="AJ789" s="143"/>
      <c r="AK789" s="143"/>
      <c r="AL789" s="143"/>
      <c r="AM789" s="143"/>
    </row>
    <row r="790" spans="1:39" ht="12.75" customHeight="1" x14ac:dyDescent="0.25">
      <c r="A790" s="143"/>
      <c r="B790" s="143"/>
      <c r="C790" s="143"/>
      <c r="D790" s="143"/>
      <c r="E790" s="143"/>
      <c r="F790" s="143"/>
      <c r="G790" s="143"/>
      <c r="H790" s="143"/>
      <c r="I790" s="143"/>
      <c r="J790" s="143"/>
      <c r="K790" s="143"/>
      <c r="L790" s="143"/>
      <c r="M790" s="143"/>
      <c r="N790" s="143"/>
      <c r="O790" s="143"/>
      <c r="P790" s="143"/>
      <c r="Q790" s="143"/>
      <c r="R790" s="143"/>
      <c r="S790" s="143"/>
      <c r="T790" s="143"/>
      <c r="U790" s="143"/>
      <c r="V790" s="143"/>
      <c r="W790" s="143"/>
      <c r="X790" s="143"/>
      <c r="Y790" s="143"/>
      <c r="Z790" s="143"/>
      <c r="AA790" s="143"/>
      <c r="AB790" s="143"/>
      <c r="AC790" s="143"/>
      <c r="AD790" s="143"/>
      <c r="AE790" s="143"/>
      <c r="AF790" s="143"/>
      <c r="AG790" s="143"/>
      <c r="AH790" s="143"/>
      <c r="AI790" s="143"/>
      <c r="AJ790" s="143"/>
      <c r="AK790" s="143"/>
      <c r="AL790" s="143"/>
      <c r="AM790" s="143"/>
    </row>
    <row r="791" spans="1:39" ht="12.75" customHeight="1" x14ac:dyDescent="0.25">
      <c r="A791" s="143"/>
      <c r="B791" s="143"/>
      <c r="C791" s="143"/>
      <c r="D791" s="143"/>
      <c r="E791" s="143"/>
      <c r="F791" s="143"/>
      <c r="G791" s="143"/>
      <c r="H791" s="143"/>
      <c r="I791" s="143"/>
      <c r="J791" s="143"/>
      <c r="K791" s="143"/>
      <c r="L791" s="143"/>
      <c r="M791" s="143"/>
      <c r="N791" s="143"/>
      <c r="O791" s="143"/>
      <c r="P791" s="143"/>
      <c r="Q791" s="143"/>
      <c r="R791" s="143"/>
      <c r="S791" s="143"/>
      <c r="T791" s="143"/>
      <c r="U791" s="143"/>
      <c r="V791" s="143"/>
      <c r="W791" s="143"/>
      <c r="X791" s="143"/>
      <c r="Y791" s="143"/>
      <c r="Z791" s="143"/>
      <c r="AA791" s="143"/>
      <c r="AB791" s="143"/>
      <c r="AC791" s="143"/>
      <c r="AD791" s="143"/>
      <c r="AE791" s="143"/>
      <c r="AF791" s="143"/>
      <c r="AG791" s="143"/>
      <c r="AH791" s="143"/>
      <c r="AI791" s="143"/>
      <c r="AJ791" s="143"/>
      <c r="AK791" s="143"/>
      <c r="AL791" s="143"/>
      <c r="AM791" s="143"/>
    </row>
    <row r="792" spans="1:39" ht="12.75" customHeight="1" x14ac:dyDescent="0.25">
      <c r="A792" s="143"/>
      <c r="B792" s="143"/>
      <c r="C792" s="143"/>
      <c r="D792" s="143"/>
      <c r="E792" s="143"/>
      <c r="F792" s="143"/>
      <c r="G792" s="143"/>
      <c r="H792" s="143"/>
      <c r="I792" s="143"/>
      <c r="J792" s="143"/>
      <c r="K792" s="143"/>
      <c r="L792" s="143"/>
      <c r="M792" s="143"/>
      <c r="N792" s="143"/>
      <c r="O792" s="143"/>
      <c r="P792" s="143"/>
      <c r="Q792" s="143"/>
      <c r="R792" s="143"/>
      <c r="S792" s="143"/>
      <c r="T792" s="143"/>
      <c r="U792" s="143"/>
      <c r="V792" s="143"/>
      <c r="W792" s="143"/>
      <c r="X792" s="143"/>
      <c r="Y792" s="143"/>
      <c r="Z792" s="143"/>
      <c r="AA792" s="143"/>
      <c r="AB792" s="143"/>
      <c r="AC792" s="143"/>
      <c r="AD792" s="143"/>
      <c r="AE792" s="143"/>
      <c r="AF792" s="143"/>
      <c r="AG792" s="143"/>
      <c r="AH792" s="143"/>
      <c r="AI792" s="143"/>
      <c r="AJ792" s="143"/>
      <c r="AK792" s="143"/>
      <c r="AL792" s="143"/>
      <c r="AM792" s="143"/>
    </row>
    <row r="793" spans="1:39" ht="12.75" customHeight="1" x14ac:dyDescent="0.25">
      <c r="A793" s="143"/>
      <c r="B793" s="143"/>
      <c r="C793" s="143"/>
      <c r="D793" s="143"/>
      <c r="E793" s="143"/>
      <c r="F793" s="143"/>
      <c r="G793" s="143"/>
      <c r="H793" s="143"/>
      <c r="I793" s="143"/>
      <c r="J793" s="143"/>
      <c r="K793" s="143"/>
      <c r="L793" s="143"/>
      <c r="M793" s="143"/>
      <c r="N793" s="143"/>
      <c r="O793" s="143"/>
      <c r="P793" s="143"/>
      <c r="Q793" s="143"/>
      <c r="R793" s="143"/>
      <c r="S793" s="143"/>
      <c r="T793" s="143"/>
      <c r="U793" s="143"/>
      <c r="V793" s="143"/>
      <c r="W793" s="143"/>
      <c r="X793" s="143"/>
      <c r="Y793" s="143"/>
      <c r="Z793" s="143"/>
      <c r="AA793" s="143"/>
      <c r="AB793" s="143"/>
      <c r="AC793" s="143"/>
      <c r="AD793" s="143"/>
      <c r="AE793" s="143"/>
      <c r="AF793" s="143"/>
      <c r="AG793" s="143"/>
      <c r="AH793" s="143"/>
      <c r="AI793" s="143"/>
      <c r="AJ793" s="143"/>
      <c r="AK793" s="143"/>
      <c r="AL793" s="143"/>
      <c r="AM793" s="143"/>
    </row>
    <row r="794" spans="1:39" ht="12.75" customHeight="1" x14ac:dyDescent="0.25">
      <c r="A794" s="143"/>
      <c r="B794" s="143"/>
      <c r="C794" s="143"/>
      <c r="D794" s="143"/>
      <c r="E794" s="143"/>
      <c r="F794" s="143"/>
      <c r="G794" s="143"/>
      <c r="H794" s="143"/>
      <c r="I794" s="143"/>
      <c r="J794" s="143"/>
      <c r="K794" s="143"/>
      <c r="L794" s="143"/>
      <c r="M794" s="143"/>
      <c r="N794" s="143"/>
      <c r="O794" s="143"/>
      <c r="P794" s="143"/>
      <c r="Q794" s="143"/>
      <c r="R794" s="143"/>
      <c r="S794" s="143"/>
      <c r="T794" s="143"/>
      <c r="U794" s="143"/>
      <c r="V794" s="143"/>
      <c r="W794" s="143"/>
      <c r="X794" s="143"/>
      <c r="Y794" s="143"/>
      <c r="Z794" s="143"/>
      <c r="AA794" s="143"/>
      <c r="AB794" s="143"/>
      <c r="AC794" s="143"/>
      <c r="AD794" s="143"/>
      <c r="AE794" s="143"/>
      <c r="AF794" s="143"/>
      <c r="AG794" s="143"/>
      <c r="AH794" s="143"/>
      <c r="AI794" s="143"/>
      <c r="AJ794" s="143"/>
      <c r="AK794" s="143"/>
      <c r="AL794" s="143"/>
      <c r="AM794" s="143"/>
    </row>
    <row r="795" spans="1:39" ht="12.75" customHeight="1" x14ac:dyDescent="0.25">
      <c r="A795" s="143"/>
      <c r="B795" s="143"/>
      <c r="C795" s="143"/>
      <c r="D795" s="143"/>
      <c r="E795" s="143"/>
      <c r="F795" s="143"/>
      <c r="G795" s="143"/>
      <c r="H795" s="143"/>
      <c r="I795" s="143"/>
      <c r="J795" s="143"/>
      <c r="K795" s="143"/>
      <c r="L795" s="143"/>
      <c r="M795" s="143"/>
      <c r="N795" s="143"/>
      <c r="O795" s="143"/>
      <c r="P795" s="143"/>
      <c r="Q795" s="143"/>
      <c r="R795" s="143"/>
      <c r="S795" s="143"/>
      <c r="T795" s="143"/>
      <c r="U795" s="143"/>
      <c r="V795" s="143"/>
      <c r="W795" s="143"/>
      <c r="X795" s="143"/>
      <c r="Y795" s="143"/>
      <c r="Z795" s="143"/>
      <c r="AA795" s="143"/>
      <c r="AB795" s="143"/>
      <c r="AC795" s="143"/>
      <c r="AD795" s="143"/>
      <c r="AE795" s="143"/>
      <c r="AF795" s="143"/>
      <c r="AG795" s="143"/>
      <c r="AH795" s="143"/>
      <c r="AI795" s="143"/>
      <c r="AJ795" s="143"/>
      <c r="AK795" s="143"/>
      <c r="AL795" s="143"/>
      <c r="AM795" s="143"/>
    </row>
    <row r="796" spans="1:39" ht="12.75" customHeight="1" x14ac:dyDescent="0.25">
      <c r="A796" s="143"/>
      <c r="B796" s="143"/>
      <c r="C796" s="143"/>
      <c r="D796" s="143"/>
      <c r="E796" s="143"/>
      <c r="F796" s="143"/>
      <c r="G796" s="143"/>
      <c r="H796" s="143"/>
      <c r="I796" s="143"/>
      <c r="J796" s="143"/>
      <c r="K796" s="143"/>
      <c r="L796" s="143"/>
      <c r="M796" s="143"/>
      <c r="N796" s="143"/>
      <c r="O796" s="143"/>
      <c r="P796" s="143"/>
      <c r="Q796" s="143"/>
      <c r="R796" s="143"/>
      <c r="S796" s="143"/>
      <c r="T796" s="143"/>
      <c r="U796" s="143"/>
      <c r="V796" s="143"/>
      <c r="W796" s="143"/>
      <c r="X796" s="143"/>
      <c r="Y796" s="143"/>
      <c r="Z796" s="143"/>
      <c r="AA796" s="143"/>
      <c r="AB796" s="143"/>
      <c r="AC796" s="143"/>
      <c r="AD796" s="143"/>
      <c r="AE796" s="143"/>
      <c r="AF796" s="143"/>
      <c r="AG796" s="143"/>
      <c r="AH796" s="143"/>
      <c r="AI796" s="143"/>
      <c r="AJ796" s="143"/>
      <c r="AK796" s="143"/>
      <c r="AL796" s="143"/>
      <c r="AM796" s="143"/>
    </row>
    <row r="797" spans="1:39" ht="12.75" customHeight="1" x14ac:dyDescent="0.25">
      <c r="A797" s="143"/>
      <c r="B797" s="143"/>
      <c r="C797" s="143"/>
      <c r="D797" s="143"/>
      <c r="E797" s="143"/>
      <c r="F797" s="143"/>
      <c r="G797" s="143"/>
      <c r="H797" s="143"/>
      <c r="I797" s="143"/>
      <c r="J797" s="143"/>
      <c r="K797" s="143"/>
      <c r="L797" s="143"/>
      <c r="M797" s="143"/>
      <c r="N797" s="143"/>
      <c r="O797" s="143"/>
      <c r="P797" s="143"/>
      <c r="Q797" s="143"/>
      <c r="R797" s="143"/>
      <c r="S797" s="143"/>
      <c r="T797" s="143"/>
      <c r="U797" s="143"/>
      <c r="V797" s="143"/>
      <c r="W797" s="143"/>
      <c r="X797" s="143"/>
      <c r="Y797" s="143"/>
      <c r="Z797" s="143"/>
      <c r="AA797" s="143"/>
      <c r="AB797" s="143"/>
      <c r="AC797" s="143"/>
      <c r="AD797" s="143"/>
      <c r="AE797" s="143"/>
      <c r="AF797" s="143"/>
      <c r="AG797" s="143"/>
      <c r="AH797" s="143"/>
      <c r="AI797" s="143"/>
      <c r="AJ797" s="143"/>
      <c r="AK797" s="143"/>
      <c r="AL797" s="143"/>
      <c r="AM797" s="143"/>
    </row>
    <row r="798" spans="1:39" ht="12.75" customHeight="1" x14ac:dyDescent="0.25">
      <c r="A798" s="143"/>
      <c r="B798" s="143"/>
      <c r="C798" s="143"/>
      <c r="D798" s="143"/>
      <c r="E798" s="143"/>
      <c r="F798" s="143"/>
      <c r="G798" s="143"/>
      <c r="H798" s="143"/>
      <c r="I798" s="143"/>
      <c r="J798" s="143"/>
      <c r="K798" s="143"/>
      <c r="L798" s="143"/>
      <c r="M798" s="143"/>
      <c r="N798" s="143"/>
      <c r="O798" s="143"/>
      <c r="P798" s="143"/>
      <c r="Q798" s="143"/>
      <c r="R798" s="143"/>
      <c r="S798" s="143"/>
      <c r="T798" s="143"/>
      <c r="U798" s="143"/>
      <c r="V798" s="143"/>
      <c r="W798" s="143"/>
      <c r="X798" s="143"/>
      <c r="Y798" s="143"/>
      <c r="Z798" s="143"/>
      <c r="AA798" s="143"/>
      <c r="AB798" s="143"/>
      <c r="AC798" s="143"/>
      <c r="AD798" s="143"/>
      <c r="AE798" s="143"/>
      <c r="AF798" s="143"/>
      <c r="AG798" s="143"/>
      <c r="AH798" s="143"/>
      <c r="AI798" s="143"/>
      <c r="AJ798" s="143"/>
      <c r="AK798" s="143"/>
      <c r="AL798" s="143"/>
      <c r="AM798" s="143"/>
    </row>
    <row r="799" spans="1:39" ht="12.75" customHeight="1" x14ac:dyDescent="0.25">
      <c r="A799" s="143"/>
      <c r="B799" s="143"/>
      <c r="C799" s="143"/>
      <c r="D799" s="143"/>
      <c r="E799" s="143"/>
      <c r="F799" s="143"/>
      <c r="G799" s="143"/>
      <c r="H799" s="143"/>
      <c r="I799" s="143"/>
      <c r="J799" s="143"/>
      <c r="K799" s="143"/>
      <c r="L799" s="143"/>
      <c r="M799" s="143"/>
      <c r="N799" s="143"/>
      <c r="O799" s="143"/>
      <c r="P799" s="143"/>
      <c r="Q799" s="143"/>
      <c r="R799" s="143"/>
      <c r="S799" s="143"/>
      <c r="T799" s="143"/>
      <c r="U799" s="143"/>
      <c r="V799" s="143"/>
      <c r="W799" s="143"/>
      <c r="X799" s="143"/>
      <c r="Y799" s="143"/>
      <c r="Z799" s="143"/>
      <c r="AA799" s="143"/>
      <c r="AB799" s="143"/>
      <c r="AC799" s="143"/>
      <c r="AD799" s="143"/>
      <c r="AE799" s="143"/>
      <c r="AF799" s="143"/>
      <c r="AG799" s="143"/>
      <c r="AH799" s="143"/>
      <c r="AI799" s="143"/>
      <c r="AJ799" s="143"/>
      <c r="AK799" s="143"/>
      <c r="AL799" s="143"/>
      <c r="AM799" s="143"/>
    </row>
    <row r="800" spans="1:39" ht="12.75" customHeight="1" x14ac:dyDescent="0.25">
      <c r="A800" s="143"/>
      <c r="B800" s="143"/>
      <c r="C800" s="143"/>
      <c r="D800" s="143"/>
      <c r="E800" s="143"/>
      <c r="F800" s="143"/>
      <c r="G800" s="143"/>
      <c r="H800" s="143"/>
      <c r="I800" s="143"/>
      <c r="J800" s="143"/>
      <c r="K800" s="143"/>
      <c r="L800" s="143"/>
      <c r="M800" s="143"/>
      <c r="N800" s="143"/>
      <c r="O800" s="143"/>
      <c r="P800" s="143"/>
      <c r="Q800" s="143"/>
      <c r="R800" s="143"/>
      <c r="S800" s="143"/>
      <c r="T800" s="143"/>
      <c r="U800" s="143"/>
      <c r="V800" s="143"/>
      <c r="W800" s="143"/>
      <c r="X800" s="143"/>
      <c r="Y800" s="143"/>
      <c r="Z800" s="143"/>
      <c r="AA800" s="143"/>
      <c r="AB800" s="143"/>
      <c r="AC800" s="143"/>
      <c r="AD800" s="143"/>
      <c r="AE800" s="143"/>
      <c r="AF800" s="143"/>
      <c r="AG800" s="143"/>
      <c r="AH800" s="143"/>
      <c r="AI800" s="143"/>
      <c r="AJ800" s="143"/>
      <c r="AK800" s="143"/>
      <c r="AL800" s="143"/>
      <c r="AM800" s="143"/>
    </row>
    <row r="801" spans="1:39" ht="12.75" customHeight="1" x14ac:dyDescent="0.25">
      <c r="A801" s="143"/>
      <c r="B801" s="143"/>
      <c r="C801" s="143"/>
      <c r="D801" s="143"/>
      <c r="E801" s="143"/>
      <c r="F801" s="143"/>
      <c r="G801" s="143"/>
      <c r="H801" s="143"/>
      <c r="I801" s="143"/>
      <c r="J801" s="143"/>
      <c r="K801" s="143"/>
      <c r="L801" s="143"/>
      <c r="M801" s="143"/>
      <c r="N801" s="143"/>
      <c r="O801" s="143"/>
      <c r="P801" s="143"/>
      <c r="Q801" s="143"/>
      <c r="R801" s="143"/>
      <c r="S801" s="143"/>
      <c r="T801" s="143"/>
      <c r="U801" s="143"/>
      <c r="V801" s="143"/>
      <c r="W801" s="143"/>
      <c r="X801" s="143"/>
      <c r="Y801" s="143"/>
      <c r="Z801" s="143"/>
      <c r="AA801" s="143"/>
      <c r="AB801" s="143"/>
      <c r="AC801" s="143"/>
      <c r="AD801" s="143"/>
      <c r="AE801" s="143"/>
      <c r="AF801" s="143"/>
      <c r="AG801" s="143"/>
      <c r="AH801" s="143"/>
      <c r="AI801" s="143"/>
      <c r="AJ801" s="143"/>
      <c r="AK801" s="143"/>
      <c r="AL801" s="143"/>
      <c r="AM801" s="143"/>
    </row>
    <row r="802" spans="1:39" ht="12.75" customHeight="1" x14ac:dyDescent="0.25">
      <c r="A802" s="143"/>
      <c r="B802" s="143"/>
      <c r="C802" s="143"/>
      <c r="D802" s="143"/>
      <c r="E802" s="143"/>
      <c r="F802" s="143"/>
      <c r="G802" s="143"/>
      <c r="H802" s="143"/>
      <c r="I802" s="143"/>
      <c r="J802" s="143"/>
      <c r="K802" s="143"/>
      <c r="L802" s="143"/>
      <c r="M802" s="143"/>
      <c r="N802" s="143"/>
      <c r="O802" s="143"/>
      <c r="P802" s="143"/>
      <c r="Q802" s="143"/>
      <c r="R802" s="143"/>
      <c r="S802" s="143"/>
      <c r="T802" s="143"/>
      <c r="U802" s="143"/>
      <c r="V802" s="143"/>
      <c r="W802" s="143"/>
      <c r="X802" s="143"/>
      <c r="Y802" s="143"/>
      <c r="Z802" s="143"/>
      <c r="AA802" s="143"/>
      <c r="AB802" s="143"/>
      <c r="AC802" s="143"/>
      <c r="AD802" s="143"/>
      <c r="AE802" s="143"/>
      <c r="AF802" s="143"/>
      <c r="AG802" s="143"/>
      <c r="AH802" s="143"/>
      <c r="AI802" s="143"/>
      <c r="AJ802" s="143"/>
      <c r="AK802" s="143"/>
      <c r="AL802" s="143"/>
      <c r="AM802" s="143"/>
    </row>
    <row r="803" spans="1:39" ht="12.75" customHeight="1" x14ac:dyDescent="0.25">
      <c r="A803" s="143"/>
      <c r="B803" s="143"/>
      <c r="C803" s="143"/>
      <c r="D803" s="143"/>
      <c r="E803" s="143"/>
      <c r="F803" s="143"/>
      <c r="G803" s="143"/>
      <c r="H803" s="143"/>
      <c r="I803" s="143"/>
      <c r="J803" s="143"/>
      <c r="K803" s="143"/>
      <c r="L803" s="143"/>
      <c r="M803" s="143"/>
      <c r="N803" s="143"/>
      <c r="O803" s="143"/>
      <c r="P803" s="143"/>
      <c r="Q803" s="143"/>
      <c r="R803" s="143"/>
      <c r="S803" s="143"/>
      <c r="T803" s="143"/>
      <c r="U803" s="143"/>
      <c r="V803" s="143"/>
      <c r="W803" s="143"/>
      <c r="X803" s="143"/>
      <c r="Y803" s="143"/>
      <c r="Z803" s="143"/>
      <c r="AA803" s="143"/>
      <c r="AB803" s="143"/>
      <c r="AC803" s="143"/>
      <c r="AD803" s="143"/>
      <c r="AE803" s="143"/>
      <c r="AF803" s="143"/>
      <c r="AG803" s="143"/>
      <c r="AH803" s="143"/>
      <c r="AI803" s="143"/>
      <c r="AJ803" s="143"/>
      <c r="AK803" s="143"/>
      <c r="AL803" s="143"/>
      <c r="AM803" s="143"/>
    </row>
    <row r="804" spans="1:39" ht="12.75" customHeight="1" x14ac:dyDescent="0.25">
      <c r="A804" s="143"/>
      <c r="B804" s="143"/>
      <c r="C804" s="143"/>
      <c r="D804" s="143"/>
      <c r="E804" s="143"/>
      <c r="F804" s="143"/>
      <c r="G804" s="143"/>
      <c r="H804" s="143"/>
      <c r="I804" s="143"/>
      <c r="J804" s="143"/>
      <c r="K804" s="143"/>
      <c r="L804" s="143"/>
      <c r="M804" s="143"/>
      <c r="N804" s="143"/>
      <c r="O804" s="143"/>
      <c r="P804" s="143"/>
      <c r="Q804" s="143"/>
      <c r="R804" s="143"/>
      <c r="S804" s="143"/>
      <c r="T804" s="143"/>
      <c r="U804" s="143"/>
      <c r="V804" s="143"/>
      <c r="W804" s="143"/>
      <c r="X804" s="143"/>
      <c r="Y804" s="143"/>
      <c r="Z804" s="143"/>
      <c r="AA804" s="143"/>
      <c r="AB804" s="143"/>
      <c r="AC804" s="143"/>
      <c r="AD804" s="143"/>
      <c r="AE804" s="143"/>
      <c r="AF804" s="143"/>
      <c r="AG804" s="143"/>
      <c r="AH804" s="143"/>
      <c r="AI804" s="143"/>
      <c r="AJ804" s="143"/>
      <c r="AK804" s="143"/>
      <c r="AL804" s="143"/>
      <c r="AM804" s="143"/>
    </row>
    <row r="805" spans="1:39" ht="12.75" customHeight="1" x14ac:dyDescent="0.25">
      <c r="A805" s="143"/>
      <c r="B805" s="143"/>
      <c r="C805" s="143"/>
      <c r="D805" s="143"/>
      <c r="E805" s="143"/>
      <c r="F805" s="143"/>
      <c r="G805" s="143"/>
      <c r="H805" s="143"/>
      <c r="I805" s="143"/>
      <c r="J805" s="143"/>
      <c r="K805" s="143"/>
      <c r="L805" s="143"/>
      <c r="M805" s="143"/>
      <c r="N805" s="143"/>
      <c r="O805" s="143"/>
      <c r="P805" s="143"/>
      <c r="Q805" s="143"/>
      <c r="R805" s="143"/>
      <c r="S805" s="143"/>
      <c r="T805" s="143"/>
      <c r="U805" s="143"/>
      <c r="V805" s="143"/>
      <c r="W805" s="143"/>
      <c r="X805" s="143"/>
      <c r="Y805" s="143"/>
      <c r="Z805" s="143"/>
      <c r="AA805" s="143"/>
      <c r="AB805" s="143"/>
      <c r="AC805" s="143"/>
      <c r="AD805" s="143"/>
      <c r="AE805" s="143"/>
      <c r="AF805" s="143"/>
      <c r="AG805" s="143"/>
      <c r="AH805" s="143"/>
      <c r="AI805" s="143"/>
      <c r="AJ805" s="143"/>
      <c r="AK805" s="143"/>
      <c r="AL805" s="143"/>
      <c r="AM805" s="143"/>
    </row>
    <row r="806" spans="1:39" ht="12.75" customHeight="1" x14ac:dyDescent="0.25">
      <c r="A806" s="143"/>
      <c r="B806" s="143"/>
      <c r="C806" s="143"/>
      <c r="D806" s="143"/>
      <c r="E806" s="143"/>
      <c r="F806" s="143"/>
      <c r="G806" s="143"/>
      <c r="H806" s="143"/>
      <c r="I806" s="143"/>
      <c r="J806" s="143"/>
      <c r="K806" s="143"/>
      <c r="L806" s="143"/>
      <c r="M806" s="143"/>
      <c r="N806" s="143"/>
      <c r="O806" s="143"/>
      <c r="P806" s="143"/>
      <c r="Q806" s="143"/>
      <c r="R806" s="143"/>
      <c r="S806" s="143"/>
      <c r="T806" s="143"/>
      <c r="U806" s="143"/>
      <c r="V806" s="143"/>
      <c r="W806" s="143"/>
      <c r="X806" s="143"/>
      <c r="Y806" s="143"/>
      <c r="Z806" s="143"/>
      <c r="AA806" s="143"/>
      <c r="AB806" s="143"/>
      <c r="AC806" s="143"/>
      <c r="AD806" s="143"/>
      <c r="AE806" s="143"/>
      <c r="AF806" s="143"/>
      <c r="AG806" s="143"/>
      <c r="AH806" s="143"/>
      <c r="AI806" s="143"/>
      <c r="AJ806" s="143"/>
      <c r="AK806" s="143"/>
      <c r="AL806" s="143"/>
      <c r="AM806" s="143"/>
    </row>
    <row r="807" spans="1:39" ht="12.75" customHeight="1" x14ac:dyDescent="0.25">
      <c r="A807" s="143"/>
      <c r="B807" s="143"/>
      <c r="C807" s="143"/>
      <c r="D807" s="143"/>
      <c r="E807" s="143"/>
      <c r="F807" s="143"/>
      <c r="G807" s="143"/>
      <c r="H807" s="143"/>
      <c r="I807" s="143"/>
      <c r="J807" s="143"/>
      <c r="K807" s="143"/>
      <c r="L807" s="143"/>
      <c r="M807" s="143"/>
      <c r="N807" s="143"/>
      <c r="O807" s="143"/>
      <c r="P807" s="143"/>
      <c r="Q807" s="143"/>
      <c r="R807" s="143"/>
      <c r="S807" s="143"/>
      <c r="T807" s="143"/>
      <c r="U807" s="143"/>
      <c r="V807" s="143"/>
      <c r="W807" s="143"/>
      <c r="X807" s="143"/>
      <c r="Y807" s="143"/>
      <c r="Z807" s="143"/>
      <c r="AA807" s="143"/>
      <c r="AB807" s="143"/>
      <c r="AC807" s="143"/>
      <c r="AD807" s="143"/>
      <c r="AE807" s="143"/>
      <c r="AF807" s="143"/>
      <c r="AG807" s="143"/>
      <c r="AH807" s="143"/>
      <c r="AI807" s="143"/>
      <c r="AJ807" s="143"/>
      <c r="AK807" s="143"/>
      <c r="AL807" s="143"/>
      <c r="AM807" s="143"/>
    </row>
    <row r="808" spans="1:39" ht="12.75" customHeight="1" x14ac:dyDescent="0.25">
      <c r="A808" s="143"/>
      <c r="B808" s="143"/>
      <c r="C808" s="143"/>
      <c r="D808" s="143"/>
      <c r="E808" s="143"/>
      <c r="F808" s="143"/>
      <c r="G808" s="143"/>
      <c r="H808" s="143"/>
      <c r="I808" s="143"/>
      <c r="J808" s="143"/>
      <c r="K808" s="143"/>
      <c r="L808" s="143"/>
      <c r="M808" s="143"/>
      <c r="N808" s="143"/>
      <c r="O808" s="143"/>
      <c r="P808" s="143"/>
      <c r="Q808" s="143"/>
      <c r="R808" s="143"/>
      <c r="S808" s="143"/>
      <c r="T808" s="143"/>
      <c r="U808" s="143"/>
      <c r="V808" s="143"/>
      <c r="W808" s="143"/>
      <c r="X808" s="143"/>
      <c r="Y808" s="143"/>
      <c r="Z808" s="143"/>
      <c r="AA808" s="143"/>
      <c r="AB808" s="143"/>
      <c r="AC808" s="143"/>
      <c r="AD808" s="143"/>
      <c r="AE808" s="143"/>
      <c r="AF808" s="143"/>
      <c r="AG808" s="143"/>
      <c r="AH808" s="143"/>
      <c r="AI808" s="143"/>
      <c r="AJ808" s="143"/>
      <c r="AK808" s="143"/>
      <c r="AL808" s="143"/>
      <c r="AM808" s="143"/>
    </row>
    <row r="809" spans="1:39" ht="12.75" customHeight="1" x14ac:dyDescent="0.25">
      <c r="A809" s="143"/>
      <c r="B809" s="143"/>
      <c r="C809" s="143"/>
      <c r="D809" s="143"/>
      <c r="E809" s="143"/>
      <c r="F809" s="143"/>
      <c r="G809" s="143"/>
      <c r="H809" s="143"/>
      <c r="I809" s="143"/>
      <c r="J809" s="143"/>
      <c r="K809" s="143"/>
      <c r="L809" s="143"/>
      <c r="M809" s="143"/>
      <c r="N809" s="143"/>
      <c r="O809" s="143"/>
      <c r="P809" s="143"/>
      <c r="Q809" s="143"/>
      <c r="R809" s="143"/>
      <c r="S809" s="143"/>
      <c r="T809" s="143"/>
      <c r="U809" s="143"/>
      <c r="V809" s="143"/>
      <c r="W809" s="143"/>
      <c r="X809" s="143"/>
      <c r="Y809" s="143"/>
      <c r="Z809" s="143"/>
      <c r="AA809" s="143"/>
      <c r="AB809" s="143"/>
      <c r="AC809" s="143"/>
      <c r="AD809" s="143"/>
      <c r="AE809" s="143"/>
      <c r="AF809" s="143"/>
      <c r="AG809" s="143"/>
      <c r="AH809" s="143"/>
      <c r="AI809" s="143"/>
      <c r="AJ809" s="143"/>
      <c r="AK809" s="143"/>
      <c r="AL809" s="143"/>
      <c r="AM809" s="143"/>
    </row>
    <row r="810" spans="1:39" ht="12.75" customHeight="1" x14ac:dyDescent="0.25">
      <c r="A810" s="143"/>
      <c r="B810" s="143"/>
      <c r="C810" s="143"/>
      <c r="D810" s="143"/>
      <c r="E810" s="143"/>
      <c r="F810" s="143"/>
      <c r="G810" s="143"/>
      <c r="H810" s="143"/>
      <c r="I810" s="143"/>
      <c r="J810" s="143"/>
      <c r="K810" s="143"/>
      <c r="L810" s="143"/>
      <c r="M810" s="143"/>
      <c r="N810" s="143"/>
      <c r="O810" s="143"/>
      <c r="P810" s="143"/>
      <c r="Q810" s="143"/>
      <c r="R810" s="143"/>
      <c r="S810" s="143"/>
      <c r="T810" s="143"/>
      <c r="U810" s="143"/>
      <c r="V810" s="143"/>
      <c r="W810" s="143"/>
      <c r="X810" s="143"/>
      <c r="Y810" s="143"/>
      <c r="Z810" s="143"/>
      <c r="AA810" s="143"/>
      <c r="AB810" s="143"/>
      <c r="AC810" s="143"/>
      <c r="AD810" s="143"/>
      <c r="AE810" s="143"/>
      <c r="AF810" s="143"/>
      <c r="AG810" s="143"/>
      <c r="AH810" s="143"/>
      <c r="AI810" s="143"/>
      <c r="AJ810" s="143"/>
      <c r="AK810" s="143"/>
      <c r="AL810" s="143"/>
      <c r="AM810" s="143"/>
    </row>
    <row r="811" spans="1:39" ht="12.75" customHeight="1" x14ac:dyDescent="0.25">
      <c r="A811" s="143"/>
      <c r="B811" s="143"/>
      <c r="C811" s="143"/>
      <c r="D811" s="143"/>
      <c r="E811" s="143"/>
      <c r="F811" s="143"/>
      <c r="G811" s="143"/>
      <c r="H811" s="143"/>
      <c r="I811" s="143"/>
      <c r="J811" s="143"/>
      <c r="K811" s="143"/>
      <c r="L811" s="143"/>
      <c r="M811" s="143"/>
      <c r="N811" s="143"/>
      <c r="O811" s="143"/>
      <c r="P811" s="143"/>
      <c r="Q811" s="143"/>
      <c r="R811" s="143"/>
      <c r="S811" s="143"/>
      <c r="T811" s="143"/>
      <c r="U811" s="143"/>
      <c r="V811" s="143"/>
      <c r="W811" s="143"/>
      <c r="X811" s="143"/>
      <c r="Y811" s="143"/>
      <c r="Z811" s="143"/>
      <c r="AA811" s="143"/>
      <c r="AB811" s="143"/>
      <c r="AC811" s="143"/>
      <c r="AD811" s="143"/>
      <c r="AE811" s="143"/>
      <c r="AF811" s="143"/>
      <c r="AG811" s="143"/>
      <c r="AH811" s="143"/>
      <c r="AI811" s="143"/>
      <c r="AJ811" s="143"/>
      <c r="AK811" s="143"/>
      <c r="AL811" s="143"/>
      <c r="AM811" s="143"/>
    </row>
    <row r="812" spans="1:39" ht="12.75" customHeight="1" x14ac:dyDescent="0.25">
      <c r="A812" s="143"/>
      <c r="B812" s="143"/>
      <c r="C812" s="143"/>
      <c r="D812" s="143"/>
      <c r="E812" s="143"/>
      <c r="F812" s="143"/>
      <c r="G812" s="143"/>
      <c r="H812" s="143"/>
      <c r="I812" s="143"/>
      <c r="J812" s="143"/>
      <c r="K812" s="143"/>
      <c r="L812" s="143"/>
      <c r="M812" s="143"/>
      <c r="N812" s="143"/>
      <c r="O812" s="143"/>
      <c r="P812" s="143"/>
      <c r="Q812" s="143"/>
      <c r="R812" s="143"/>
      <c r="S812" s="143"/>
      <c r="T812" s="143"/>
      <c r="U812" s="143"/>
      <c r="V812" s="143"/>
      <c r="W812" s="143"/>
      <c r="X812" s="143"/>
      <c r="Y812" s="143"/>
      <c r="Z812" s="143"/>
      <c r="AA812" s="143"/>
      <c r="AB812" s="143"/>
      <c r="AC812" s="143"/>
      <c r="AD812" s="143"/>
      <c r="AE812" s="143"/>
      <c r="AF812" s="143"/>
      <c r="AG812" s="143"/>
      <c r="AH812" s="143"/>
      <c r="AI812" s="143"/>
      <c r="AJ812" s="143"/>
      <c r="AK812" s="143"/>
      <c r="AL812" s="143"/>
      <c r="AM812" s="143"/>
    </row>
    <row r="813" spans="1:39" ht="12.75" customHeight="1" x14ac:dyDescent="0.25">
      <c r="A813" s="143"/>
      <c r="B813" s="143"/>
      <c r="C813" s="143"/>
      <c r="D813" s="143"/>
      <c r="E813" s="143"/>
      <c r="F813" s="143"/>
      <c r="G813" s="143"/>
      <c r="H813" s="143"/>
      <c r="I813" s="143"/>
      <c r="J813" s="143"/>
      <c r="K813" s="143"/>
      <c r="L813" s="143"/>
      <c r="M813" s="143"/>
      <c r="N813" s="143"/>
      <c r="O813" s="143"/>
      <c r="P813" s="143"/>
      <c r="Q813" s="143"/>
      <c r="R813" s="143"/>
      <c r="S813" s="143"/>
      <c r="T813" s="143"/>
      <c r="U813" s="143"/>
      <c r="V813" s="143"/>
      <c r="W813" s="143"/>
      <c r="X813" s="143"/>
      <c r="Y813" s="143"/>
      <c r="Z813" s="143"/>
      <c r="AA813" s="143"/>
      <c r="AB813" s="143"/>
      <c r="AC813" s="143"/>
      <c r="AD813" s="143"/>
      <c r="AE813" s="143"/>
      <c r="AF813" s="143"/>
      <c r="AG813" s="143"/>
      <c r="AH813" s="143"/>
      <c r="AI813" s="143"/>
      <c r="AJ813" s="143"/>
      <c r="AK813" s="143"/>
      <c r="AL813" s="143"/>
      <c r="AM813" s="143"/>
    </row>
    <row r="814" spans="1:39" ht="12.75" customHeight="1" x14ac:dyDescent="0.25">
      <c r="A814" s="143"/>
      <c r="B814" s="143"/>
      <c r="C814" s="143"/>
      <c r="D814" s="143"/>
      <c r="E814" s="143"/>
      <c r="F814" s="143"/>
      <c r="G814" s="143"/>
      <c r="H814" s="143"/>
      <c r="I814" s="143"/>
      <c r="J814" s="143"/>
      <c r="K814" s="143"/>
      <c r="L814" s="143"/>
      <c r="M814" s="143"/>
      <c r="N814" s="143"/>
      <c r="O814" s="143"/>
      <c r="P814" s="143"/>
      <c r="Q814" s="143"/>
      <c r="R814" s="143"/>
      <c r="S814" s="143"/>
      <c r="T814" s="143"/>
      <c r="U814" s="143"/>
      <c r="V814" s="143"/>
      <c r="W814" s="143"/>
      <c r="X814" s="143"/>
      <c r="Y814" s="143"/>
      <c r="Z814" s="143"/>
      <c r="AA814" s="143"/>
      <c r="AB814" s="143"/>
      <c r="AC814" s="143"/>
      <c r="AD814" s="143"/>
      <c r="AE814" s="143"/>
      <c r="AF814" s="143"/>
      <c r="AG814" s="143"/>
      <c r="AH814" s="143"/>
      <c r="AI814" s="143"/>
      <c r="AJ814" s="143"/>
      <c r="AK814" s="143"/>
      <c r="AL814" s="143"/>
      <c r="AM814" s="143"/>
    </row>
    <row r="815" spans="1:39" ht="12.75" customHeight="1" x14ac:dyDescent="0.25">
      <c r="A815" s="143"/>
      <c r="B815" s="143"/>
      <c r="C815" s="143"/>
      <c r="D815" s="143"/>
      <c r="E815" s="143"/>
      <c r="F815" s="143"/>
      <c r="G815" s="143"/>
      <c r="H815" s="143"/>
      <c r="I815" s="143"/>
      <c r="J815" s="143"/>
      <c r="K815" s="143"/>
      <c r="L815" s="143"/>
      <c r="M815" s="143"/>
      <c r="N815" s="143"/>
      <c r="O815" s="143"/>
      <c r="P815" s="143"/>
      <c r="Q815" s="143"/>
      <c r="R815" s="143"/>
      <c r="S815" s="143"/>
      <c r="T815" s="143"/>
      <c r="U815" s="143"/>
      <c r="V815" s="143"/>
      <c r="W815" s="143"/>
      <c r="X815" s="143"/>
      <c r="Y815" s="143"/>
      <c r="Z815" s="143"/>
      <c r="AA815" s="143"/>
      <c r="AB815" s="143"/>
      <c r="AC815" s="143"/>
      <c r="AD815" s="143"/>
      <c r="AE815" s="143"/>
      <c r="AF815" s="143"/>
      <c r="AG815" s="143"/>
      <c r="AH815" s="143"/>
      <c r="AI815" s="143"/>
      <c r="AJ815" s="143"/>
      <c r="AK815" s="143"/>
      <c r="AL815" s="143"/>
      <c r="AM815" s="143"/>
    </row>
    <row r="816" spans="1:39" ht="12.75" customHeight="1" x14ac:dyDescent="0.25">
      <c r="A816" s="143"/>
      <c r="B816" s="143"/>
      <c r="C816" s="143"/>
      <c r="D816" s="143"/>
      <c r="E816" s="143"/>
      <c r="F816" s="143"/>
      <c r="G816" s="143"/>
      <c r="H816" s="143"/>
      <c r="I816" s="143"/>
      <c r="J816" s="143"/>
      <c r="K816" s="143"/>
      <c r="L816" s="143"/>
      <c r="M816" s="143"/>
      <c r="N816" s="143"/>
      <c r="O816" s="143"/>
      <c r="P816" s="143"/>
      <c r="Q816" s="143"/>
      <c r="R816" s="143"/>
      <c r="S816" s="143"/>
      <c r="T816" s="143"/>
      <c r="U816" s="143"/>
      <c r="V816" s="143"/>
      <c r="W816" s="143"/>
      <c r="X816" s="143"/>
      <c r="Y816" s="143"/>
      <c r="Z816" s="143"/>
      <c r="AA816" s="143"/>
      <c r="AB816" s="143"/>
      <c r="AC816" s="143"/>
      <c r="AD816" s="143"/>
      <c r="AE816" s="143"/>
      <c r="AF816" s="143"/>
      <c r="AG816" s="143"/>
      <c r="AH816" s="143"/>
      <c r="AI816" s="143"/>
      <c r="AJ816" s="143"/>
      <c r="AK816" s="143"/>
      <c r="AL816" s="143"/>
      <c r="AM816" s="143"/>
    </row>
    <row r="817" spans="1:39" ht="12.75" customHeight="1" x14ac:dyDescent="0.25">
      <c r="A817" s="143"/>
      <c r="B817" s="143"/>
      <c r="C817" s="143"/>
      <c r="D817" s="143"/>
      <c r="E817" s="143"/>
      <c r="F817" s="143"/>
      <c r="G817" s="143"/>
      <c r="H817" s="143"/>
      <c r="I817" s="143"/>
      <c r="J817" s="143"/>
      <c r="K817" s="143"/>
      <c r="L817" s="143"/>
      <c r="M817" s="143"/>
      <c r="N817" s="143"/>
      <c r="O817" s="143"/>
      <c r="P817" s="143"/>
      <c r="Q817" s="143"/>
      <c r="R817" s="143"/>
      <c r="S817" s="143"/>
      <c r="T817" s="143"/>
      <c r="U817" s="143"/>
      <c r="V817" s="143"/>
      <c r="W817" s="143"/>
      <c r="X817" s="143"/>
      <c r="Y817" s="143"/>
      <c r="Z817" s="143"/>
      <c r="AA817" s="143"/>
      <c r="AB817" s="143"/>
      <c r="AC817" s="143"/>
      <c r="AD817" s="143"/>
      <c r="AE817" s="143"/>
      <c r="AF817" s="143"/>
      <c r="AG817" s="143"/>
      <c r="AH817" s="143"/>
      <c r="AI817" s="143"/>
      <c r="AJ817" s="143"/>
      <c r="AK817" s="143"/>
      <c r="AL817" s="143"/>
      <c r="AM817" s="143"/>
    </row>
    <row r="818" spans="1:39" ht="12.75" customHeight="1" x14ac:dyDescent="0.25">
      <c r="A818" s="143"/>
      <c r="B818" s="143"/>
      <c r="C818" s="143"/>
      <c r="D818" s="143"/>
      <c r="E818" s="143"/>
      <c r="F818" s="143"/>
      <c r="G818" s="143"/>
      <c r="H818" s="143"/>
      <c r="I818" s="143"/>
      <c r="J818" s="143"/>
      <c r="K818" s="143"/>
      <c r="L818" s="143"/>
      <c r="M818" s="143"/>
      <c r="N818" s="143"/>
      <c r="O818" s="143"/>
      <c r="P818" s="143"/>
      <c r="Q818" s="143"/>
      <c r="R818" s="143"/>
      <c r="S818" s="143"/>
      <c r="T818" s="143"/>
      <c r="U818" s="143"/>
      <c r="V818" s="143"/>
      <c r="W818" s="143"/>
      <c r="X818" s="143"/>
      <c r="Y818" s="143"/>
      <c r="Z818" s="143"/>
      <c r="AA818" s="143"/>
      <c r="AB818" s="143"/>
      <c r="AC818" s="143"/>
      <c r="AD818" s="143"/>
      <c r="AE818" s="143"/>
      <c r="AF818" s="143"/>
      <c r="AG818" s="143"/>
      <c r="AH818" s="143"/>
      <c r="AI818" s="143"/>
      <c r="AJ818" s="143"/>
      <c r="AK818" s="143"/>
      <c r="AL818" s="143"/>
      <c r="AM818" s="143"/>
    </row>
    <row r="819" spans="1:39" ht="12.75" customHeight="1" x14ac:dyDescent="0.25">
      <c r="A819" s="143"/>
      <c r="B819" s="143"/>
      <c r="C819" s="143"/>
      <c r="D819" s="143"/>
      <c r="E819" s="143"/>
      <c r="F819" s="143"/>
      <c r="G819" s="143"/>
      <c r="H819" s="143"/>
      <c r="I819" s="143"/>
      <c r="J819" s="143"/>
      <c r="K819" s="143"/>
      <c r="L819" s="143"/>
      <c r="M819" s="143"/>
      <c r="N819" s="143"/>
      <c r="O819" s="143"/>
      <c r="P819" s="143"/>
      <c r="Q819" s="143"/>
      <c r="R819" s="143"/>
      <c r="S819" s="143"/>
      <c r="T819" s="143"/>
      <c r="U819" s="143"/>
      <c r="V819" s="143"/>
      <c r="W819" s="143"/>
      <c r="X819" s="143"/>
      <c r="Y819" s="143"/>
      <c r="Z819" s="143"/>
      <c r="AA819" s="143"/>
      <c r="AB819" s="143"/>
      <c r="AC819" s="143"/>
      <c r="AD819" s="143"/>
      <c r="AE819" s="143"/>
      <c r="AF819" s="143"/>
      <c r="AG819" s="143"/>
      <c r="AH819" s="143"/>
      <c r="AI819" s="143"/>
      <c r="AJ819" s="143"/>
      <c r="AK819" s="143"/>
      <c r="AL819" s="143"/>
      <c r="AM819" s="143"/>
    </row>
    <row r="820" spans="1:39" ht="12.75" customHeight="1" x14ac:dyDescent="0.25">
      <c r="A820" s="143"/>
      <c r="B820" s="143"/>
      <c r="C820" s="143"/>
      <c r="D820" s="143"/>
      <c r="E820" s="143"/>
      <c r="F820" s="143"/>
      <c r="G820" s="143"/>
      <c r="H820" s="143"/>
      <c r="I820" s="143"/>
      <c r="J820" s="143"/>
      <c r="K820" s="143"/>
      <c r="L820" s="143"/>
      <c r="M820" s="143"/>
      <c r="N820" s="143"/>
      <c r="O820" s="143"/>
      <c r="P820" s="143"/>
      <c r="Q820" s="143"/>
      <c r="R820" s="143"/>
      <c r="S820" s="143"/>
      <c r="T820" s="143"/>
      <c r="U820" s="143"/>
      <c r="V820" s="143"/>
      <c r="W820" s="143"/>
      <c r="X820" s="143"/>
      <c r="Y820" s="143"/>
      <c r="Z820" s="143"/>
      <c r="AA820" s="143"/>
      <c r="AB820" s="143"/>
      <c r="AC820" s="143"/>
      <c r="AD820" s="143"/>
      <c r="AE820" s="143"/>
      <c r="AF820" s="143"/>
      <c r="AG820" s="143"/>
      <c r="AH820" s="143"/>
      <c r="AI820" s="143"/>
      <c r="AJ820" s="143"/>
      <c r="AK820" s="143"/>
      <c r="AL820" s="143"/>
      <c r="AM820" s="143"/>
    </row>
    <row r="821" spans="1:39" ht="12.75" customHeight="1" x14ac:dyDescent="0.25">
      <c r="A821" s="143"/>
      <c r="B821" s="143"/>
      <c r="C821" s="143"/>
      <c r="D821" s="143"/>
      <c r="E821" s="143"/>
      <c r="F821" s="143"/>
      <c r="G821" s="143"/>
      <c r="H821" s="143"/>
      <c r="I821" s="143"/>
      <c r="J821" s="143"/>
      <c r="K821" s="143"/>
      <c r="L821" s="143"/>
      <c r="M821" s="143"/>
      <c r="N821" s="143"/>
      <c r="O821" s="143"/>
      <c r="P821" s="143"/>
      <c r="Q821" s="143"/>
      <c r="R821" s="143"/>
      <c r="S821" s="143"/>
      <c r="T821" s="143"/>
      <c r="U821" s="143"/>
      <c r="V821" s="143"/>
      <c r="W821" s="143"/>
      <c r="X821" s="143"/>
      <c r="Y821" s="143"/>
      <c r="Z821" s="143"/>
      <c r="AA821" s="143"/>
      <c r="AB821" s="143"/>
      <c r="AC821" s="143"/>
      <c r="AD821" s="143"/>
      <c r="AE821" s="143"/>
      <c r="AF821" s="143"/>
      <c r="AG821" s="143"/>
      <c r="AH821" s="143"/>
      <c r="AI821" s="143"/>
      <c r="AJ821" s="143"/>
      <c r="AK821" s="143"/>
      <c r="AL821" s="143"/>
      <c r="AM821" s="143"/>
    </row>
    <row r="822" spans="1:39" ht="12.75" customHeight="1" x14ac:dyDescent="0.25">
      <c r="A822" s="143"/>
      <c r="B822" s="143"/>
      <c r="C822" s="143"/>
      <c r="D822" s="143"/>
      <c r="E822" s="143"/>
      <c r="F822" s="143"/>
      <c r="G822" s="143"/>
      <c r="H822" s="143"/>
      <c r="I822" s="143"/>
      <c r="J822" s="143"/>
      <c r="K822" s="143"/>
      <c r="L822" s="143"/>
      <c r="M822" s="143"/>
      <c r="N822" s="143"/>
      <c r="O822" s="143"/>
      <c r="P822" s="143"/>
      <c r="Q822" s="143"/>
      <c r="R822" s="143"/>
      <c r="S822" s="143"/>
      <c r="T822" s="143"/>
      <c r="U822" s="143"/>
      <c r="V822" s="143"/>
      <c r="W822" s="143"/>
      <c r="X822" s="143"/>
      <c r="Y822" s="143"/>
      <c r="Z822" s="143"/>
      <c r="AA822" s="143"/>
      <c r="AB822" s="143"/>
      <c r="AC822" s="143"/>
      <c r="AD822" s="143"/>
      <c r="AE822" s="143"/>
      <c r="AF822" s="143"/>
      <c r="AG822" s="143"/>
      <c r="AH822" s="143"/>
      <c r="AI822" s="143"/>
      <c r="AJ822" s="143"/>
      <c r="AK822" s="143"/>
      <c r="AL822" s="143"/>
      <c r="AM822" s="143"/>
    </row>
    <row r="823" spans="1:39" ht="12.75" customHeight="1" x14ac:dyDescent="0.25">
      <c r="A823" s="143"/>
      <c r="B823" s="143"/>
      <c r="C823" s="143"/>
      <c r="D823" s="143"/>
      <c r="E823" s="143"/>
      <c r="F823" s="143"/>
      <c r="G823" s="143"/>
      <c r="H823" s="143"/>
      <c r="I823" s="143"/>
      <c r="J823" s="143"/>
      <c r="K823" s="143"/>
      <c r="L823" s="143"/>
      <c r="M823" s="143"/>
      <c r="N823" s="143"/>
      <c r="O823" s="143"/>
      <c r="P823" s="143"/>
      <c r="Q823" s="143"/>
      <c r="R823" s="143"/>
      <c r="S823" s="143"/>
      <c r="T823" s="143"/>
      <c r="U823" s="143"/>
      <c r="V823" s="143"/>
      <c r="W823" s="143"/>
      <c r="X823" s="143"/>
      <c r="Y823" s="143"/>
      <c r="Z823" s="143"/>
      <c r="AA823" s="143"/>
      <c r="AB823" s="143"/>
      <c r="AC823" s="143"/>
      <c r="AD823" s="143"/>
      <c r="AE823" s="143"/>
      <c r="AF823" s="143"/>
      <c r="AG823" s="143"/>
      <c r="AH823" s="143"/>
      <c r="AI823" s="143"/>
      <c r="AJ823" s="143"/>
      <c r="AK823" s="143"/>
      <c r="AL823" s="143"/>
      <c r="AM823" s="143"/>
    </row>
    <row r="824" spans="1:39" ht="12.75" customHeight="1" x14ac:dyDescent="0.25">
      <c r="A824" s="143"/>
      <c r="B824" s="143"/>
      <c r="C824" s="143"/>
      <c r="D824" s="143"/>
      <c r="E824" s="143"/>
      <c r="F824" s="143"/>
      <c r="G824" s="143"/>
      <c r="H824" s="143"/>
      <c r="I824" s="143"/>
      <c r="J824" s="143"/>
      <c r="K824" s="143"/>
      <c r="L824" s="143"/>
      <c r="M824" s="143"/>
      <c r="N824" s="143"/>
      <c r="O824" s="143"/>
      <c r="P824" s="143"/>
      <c r="Q824" s="143"/>
      <c r="R824" s="143"/>
      <c r="S824" s="143"/>
      <c r="T824" s="143"/>
      <c r="U824" s="143"/>
      <c r="V824" s="143"/>
      <c r="W824" s="143"/>
      <c r="X824" s="143"/>
      <c r="Y824" s="143"/>
      <c r="Z824" s="143"/>
      <c r="AA824" s="143"/>
      <c r="AB824" s="143"/>
      <c r="AC824" s="143"/>
      <c r="AD824" s="143"/>
      <c r="AE824" s="143"/>
      <c r="AF824" s="143"/>
      <c r="AG824" s="143"/>
      <c r="AH824" s="143"/>
      <c r="AI824" s="143"/>
      <c r="AJ824" s="143"/>
      <c r="AK824" s="143"/>
      <c r="AL824" s="143"/>
      <c r="AM824" s="143"/>
    </row>
    <row r="825" spans="1:39" ht="12.75" customHeight="1" x14ac:dyDescent="0.25">
      <c r="A825" s="143"/>
      <c r="B825" s="143"/>
      <c r="C825" s="143"/>
      <c r="D825" s="143"/>
      <c r="E825" s="143"/>
      <c r="F825" s="143"/>
      <c r="G825" s="143"/>
      <c r="H825" s="143"/>
      <c r="I825" s="143"/>
      <c r="J825" s="143"/>
      <c r="K825" s="143"/>
      <c r="L825" s="143"/>
      <c r="M825" s="143"/>
      <c r="N825" s="143"/>
      <c r="O825" s="143"/>
      <c r="P825" s="143"/>
      <c r="Q825" s="143"/>
      <c r="R825" s="143"/>
      <c r="S825" s="143"/>
      <c r="T825" s="143"/>
      <c r="U825" s="143"/>
      <c r="V825" s="143"/>
      <c r="W825" s="143"/>
      <c r="X825" s="143"/>
      <c r="Y825" s="143"/>
      <c r="Z825" s="143"/>
      <c r="AA825" s="143"/>
      <c r="AB825" s="143"/>
      <c r="AC825" s="143"/>
      <c r="AD825" s="143"/>
      <c r="AE825" s="143"/>
      <c r="AF825" s="143"/>
      <c r="AG825" s="143"/>
      <c r="AH825" s="143"/>
      <c r="AI825" s="143"/>
      <c r="AJ825" s="143"/>
      <c r="AK825" s="143"/>
      <c r="AL825" s="143"/>
      <c r="AM825" s="143"/>
    </row>
    <row r="826" spans="1:39" ht="12.75" customHeight="1" x14ac:dyDescent="0.25">
      <c r="A826" s="143"/>
      <c r="B826" s="143"/>
      <c r="C826" s="143"/>
      <c r="D826" s="143"/>
      <c r="E826" s="143"/>
      <c r="F826" s="143"/>
      <c r="G826" s="143"/>
      <c r="H826" s="143"/>
      <c r="I826" s="143"/>
      <c r="J826" s="143"/>
      <c r="K826" s="143"/>
      <c r="L826" s="143"/>
      <c r="M826" s="143"/>
      <c r="N826" s="143"/>
      <c r="O826" s="143"/>
      <c r="P826" s="143"/>
      <c r="Q826" s="143"/>
      <c r="R826" s="143"/>
      <c r="S826" s="143"/>
      <c r="T826" s="143"/>
      <c r="U826" s="143"/>
      <c r="V826" s="143"/>
      <c r="W826" s="143"/>
      <c r="X826" s="143"/>
      <c r="Y826" s="143"/>
      <c r="Z826" s="143"/>
      <c r="AA826" s="143"/>
      <c r="AB826" s="143"/>
      <c r="AC826" s="143"/>
      <c r="AD826" s="143"/>
      <c r="AE826" s="143"/>
      <c r="AF826" s="143"/>
      <c r="AG826" s="143"/>
      <c r="AH826" s="143"/>
      <c r="AI826" s="143"/>
      <c r="AJ826" s="143"/>
      <c r="AK826" s="143"/>
      <c r="AL826" s="143"/>
      <c r="AM826" s="143"/>
    </row>
    <row r="827" spans="1:39" ht="12.75" customHeight="1" x14ac:dyDescent="0.25">
      <c r="A827" s="143"/>
      <c r="B827" s="143"/>
      <c r="C827" s="143"/>
      <c r="D827" s="143"/>
      <c r="E827" s="143"/>
      <c r="F827" s="143"/>
      <c r="G827" s="143"/>
      <c r="H827" s="143"/>
      <c r="I827" s="143"/>
      <c r="J827" s="143"/>
      <c r="K827" s="143"/>
      <c r="L827" s="143"/>
      <c r="M827" s="143"/>
      <c r="N827" s="143"/>
      <c r="O827" s="143"/>
      <c r="P827" s="143"/>
      <c r="Q827" s="143"/>
      <c r="R827" s="143"/>
      <c r="S827" s="143"/>
      <c r="T827" s="143"/>
      <c r="U827" s="143"/>
      <c r="V827" s="143"/>
      <c r="W827" s="143"/>
      <c r="X827" s="143"/>
      <c r="Y827" s="143"/>
      <c r="Z827" s="143"/>
      <c r="AA827" s="143"/>
      <c r="AB827" s="143"/>
      <c r="AC827" s="143"/>
      <c r="AD827" s="143"/>
      <c r="AE827" s="143"/>
      <c r="AF827" s="143"/>
      <c r="AG827" s="143"/>
      <c r="AH827" s="143"/>
      <c r="AI827" s="143"/>
      <c r="AJ827" s="143"/>
      <c r="AK827" s="143"/>
      <c r="AL827" s="143"/>
      <c r="AM827" s="143"/>
    </row>
    <row r="828" spans="1:39" ht="12.75" customHeight="1" x14ac:dyDescent="0.25">
      <c r="A828" s="143"/>
      <c r="B828" s="143"/>
      <c r="C828" s="143"/>
      <c r="D828" s="143"/>
      <c r="E828" s="143"/>
      <c r="F828" s="143"/>
      <c r="G828" s="143"/>
      <c r="H828" s="143"/>
      <c r="I828" s="143"/>
      <c r="J828" s="143"/>
      <c r="K828" s="143"/>
      <c r="L828" s="143"/>
      <c r="M828" s="143"/>
      <c r="N828" s="143"/>
      <c r="O828" s="143"/>
      <c r="P828" s="143"/>
      <c r="Q828" s="143"/>
      <c r="R828" s="143"/>
      <c r="S828" s="143"/>
      <c r="T828" s="143"/>
      <c r="U828" s="143"/>
      <c r="V828" s="143"/>
      <c r="W828" s="143"/>
      <c r="X828" s="143"/>
      <c r="Y828" s="143"/>
      <c r="Z828" s="143"/>
      <c r="AA828" s="143"/>
      <c r="AB828" s="143"/>
      <c r="AC828" s="143"/>
      <c r="AD828" s="143"/>
      <c r="AE828" s="143"/>
      <c r="AF828" s="143"/>
      <c r="AG828" s="143"/>
      <c r="AH828" s="143"/>
      <c r="AI828" s="143"/>
      <c r="AJ828" s="143"/>
      <c r="AK828" s="143"/>
      <c r="AL828" s="143"/>
      <c r="AM828" s="143"/>
    </row>
    <row r="829" spans="1:39" ht="12.75" customHeight="1" x14ac:dyDescent="0.25">
      <c r="A829" s="143"/>
      <c r="B829" s="143"/>
      <c r="C829" s="143"/>
      <c r="D829" s="143"/>
      <c r="E829" s="143"/>
      <c r="F829" s="143"/>
      <c r="G829" s="143"/>
      <c r="H829" s="143"/>
      <c r="I829" s="143"/>
      <c r="J829" s="143"/>
      <c r="K829" s="143"/>
      <c r="L829" s="143"/>
      <c r="M829" s="143"/>
      <c r="N829" s="143"/>
      <c r="O829" s="143"/>
      <c r="P829" s="143"/>
      <c r="Q829" s="143"/>
      <c r="R829" s="143"/>
      <c r="S829" s="143"/>
      <c r="T829" s="143"/>
      <c r="U829" s="143"/>
      <c r="V829" s="143"/>
      <c r="W829" s="143"/>
      <c r="X829" s="143"/>
      <c r="Y829" s="143"/>
      <c r="Z829" s="143"/>
      <c r="AA829" s="143"/>
      <c r="AB829" s="143"/>
      <c r="AC829" s="143"/>
      <c r="AD829" s="143"/>
      <c r="AE829" s="143"/>
      <c r="AF829" s="143"/>
      <c r="AG829" s="143"/>
      <c r="AH829" s="143"/>
      <c r="AI829" s="143"/>
      <c r="AJ829" s="143"/>
      <c r="AK829" s="143"/>
      <c r="AL829" s="143"/>
      <c r="AM829" s="143"/>
    </row>
    <row r="830" spans="1:39" ht="12.75" customHeight="1" x14ac:dyDescent="0.25">
      <c r="A830" s="143"/>
      <c r="B830" s="143"/>
      <c r="C830" s="143"/>
      <c r="D830" s="143"/>
      <c r="E830" s="143"/>
      <c r="F830" s="143"/>
      <c r="G830" s="143"/>
      <c r="H830" s="143"/>
      <c r="I830" s="143"/>
      <c r="J830" s="143"/>
      <c r="K830" s="143"/>
      <c r="L830" s="143"/>
      <c r="M830" s="143"/>
      <c r="N830" s="143"/>
      <c r="O830" s="143"/>
      <c r="P830" s="143"/>
      <c r="Q830" s="143"/>
      <c r="R830" s="143"/>
      <c r="S830" s="143"/>
      <c r="T830" s="143"/>
      <c r="U830" s="143"/>
      <c r="V830" s="143"/>
      <c r="W830" s="143"/>
      <c r="X830" s="143"/>
      <c r="Y830" s="143"/>
      <c r="Z830" s="143"/>
      <c r="AA830" s="143"/>
      <c r="AB830" s="143"/>
      <c r="AC830" s="143"/>
      <c r="AD830" s="143"/>
      <c r="AE830" s="143"/>
      <c r="AF830" s="143"/>
      <c r="AG830" s="143"/>
      <c r="AH830" s="143"/>
      <c r="AI830" s="143"/>
      <c r="AJ830" s="143"/>
      <c r="AK830" s="143"/>
      <c r="AL830" s="143"/>
      <c r="AM830" s="143"/>
    </row>
    <row r="831" spans="1:39" ht="12.75" customHeight="1" x14ac:dyDescent="0.25">
      <c r="A831" s="143"/>
      <c r="B831" s="143"/>
      <c r="C831" s="143"/>
      <c r="D831" s="143"/>
      <c r="E831" s="143"/>
      <c r="F831" s="143"/>
      <c r="G831" s="143"/>
      <c r="H831" s="143"/>
      <c r="I831" s="143"/>
      <c r="J831" s="143"/>
      <c r="K831" s="143"/>
      <c r="L831" s="143"/>
      <c r="M831" s="143"/>
      <c r="N831" s="143"/>
      <c r="O831" s="143"/>
      <c r="P831" s="143"/>
      <c r="Q831" s="143"/>
      <c r="R831" s="143"/>
      <c r="S831" s="143"/>
      <c r="T831" s="143"/>
      <c r="U831" s="143"/>
      <c r="V831" s="143"/>
      <c r="W831" s="143"/>
      <c r="X831" s="143"/>
      <c r="Y831" s="143"/>
      <c r="Z831" s="143"/>
      <c r="AA831" s="143"/>
      <c r="AB831" s="143"/>
      <c r="AC831" s="143"/>
      <c r="AD831" s="143"/>
      <c r="AE831" s="143"/>
      <c r="AF831" s="143"/>
      <c r="AG831" s="143"/>
      <c r="AH831" s="143"/>
      <c r="AI831" s="143"/>
      <c r="AJ831" s="143"/>
      <c r="AK831" s="143"/>
      <c r="AL831" s="143"/>
      <c r="AM831" s="143"/>
    </row>
    <row r="832" spans="1:39" ht="12.75" customHeight="1" x14ac:dyDescent="0.25">
      <c r="A832" s="143"/>
      <c r="B832" s="143"/>
      <c r="C832" s="143"/>
      <c r="D832" s="143"/>
      <c r="E832" s="143"/>
      <c r="F832" s="143"/>
      <c r="G832" s="143"/>
      <c r="H832" s="143"/>
      <c r="I832" s="143"/>
      <c r="J832" s="143"/>
      <c r="K832" s="143"/>
      <c r="L832" s="143"/>
      <c r="M832" s="143"/>
      <c r="N832" s="143"/>
      <c r="O832" s="143"/>
      <c r="P832" s="143"/>
      <c r="Q832" s="143"/>
      <c r="R832" s="143"/>
      <c r="S832" s="143"/>
      <c r="T832" s="143"/>
      <c r="U832" s="143"/>
      <c r="V832" s="143"/>
      <c r="W832" s="143"/>
      <c r="X832" s="143"/>
      <c r="Y832" s="143"/>
      <c r="Z832" s="143"/>
      <c r="AA832" s="143"/>
      <c r="AB832" s="143"/>
      <c r="AC832" s="143"/>
      <c r="AD832" s="143"/>
      <c r="AE832" s="143"/>
      <c r="AF832" s="143"/>
      <c r="AG832" s="143"/>
      <c r="AH832" s="143"/>
      <c r="AI832" s="143"/>
      <c r="AJ832" s="143"/>
      <c r="AK832" s="143"/>
      <c r="AL832" s="143"/>
      <c r="AM832" s="143"/>
    </row>
    <row r="833" spans="1:39" ht="12.75" customHeight="1" x14ac:dyDescent="0.25">
      <c r="A833" s="143"/>
      <c r="B833" s="143"/>
      <c r="C833" s="143"/>
      <c r="D833" s="143"/>
      <c r="E833" s="143"/>
      <c r="F833" s="143"/>
      <c r="G833" s="143"/>
      <c r="H833" s="143"/>
      <c r="I833" s="143"/>
      <c r="J833" s="143"/>
      <c r="K833" s="143"/>
      <c r="L833" s="143"/>
      <c r="M833" s="143"/>
      <c r="N833" s="143"/>
      <c r="O833" s="143"/>
      <c r="P833" s="143"/>
      <c r="Q833" s="143"/>
      <c r="R833" s="143"/>
      <c r="S833" s="143"/>
      <c r="T833" s="143"/>
      <c r="U833" s="143"/>
      <c r="V833" s="143"/>
      <c r="W833" s="143"/>
      <c r="X833" s="143"/>
      <c r="Y833" s="143"/>
      <c r="Z833" s="143"/>
      <c r="AA833" s="143"/>
      <c r="AB833" s="143"/>
      <c r="AC833" s="143"/>
      <c r="AD833" s="143"/>
      <c r="AE833" s="143"/>
      <c r="AF833" s="143"/>
      <c r="AG833" s="143"/>
      <c r="AH833" s="143"/>
      <c r="AI833" s="143"/>
      <c r="AJ833" s="143"/>
      <c r="AK833" s="143"/>
      <c r="AL833" s="143"/>
      <c r="AM833" s="143"/>
    </row>
    <row r="834" spans="1:39" ht="12.75" customHeight="1" x14ac:dyDescent="0.25">
      <c r="A834" s="143"/>
      <c r="B834" s="143"/>
      <c r="C834" s="143"/>
      <c r="D834" s="143"/>
      <c r="E834" s="143"/>
      <c r="F834" s="143"/>
      <c r="G834" s="143"/>
      <c r="H834" s="143"/>
      <c r="I834" s="143"/>
      <c r="J834" s="143"/>
      <c r="K834" s="143"/>
      <c r="L834" s="143"/>
      <c r="M834" s="143"/>
      <c r="N834" s="143"/>
      <c r="O834" s="143"/>
      <c r="P834" s="143"/>
      <c r="Q834" s="143"/>
      <c r="R834" s="143"/>
      <c r="S834" s="143"/>
      <c r="T834" s="143"/>
      <c r="U834" s="143"/>
      <c r="V834" s="143"/>
      <c r="W834" s="143"/>
      <c r="X834" s="143"/>
      <c r="Y834" s="143"/>
      <c r="Z834" s="143"/>
      <c r="AA834" s="143"/>
      <c r="AB834" s="143"/>
      <c r="AC834" s="143"/>
      <c r="AD834" s="143"/>
      <c r="AE834" s="143"/>
      <c r="AF834" s="143"/>
      <c r="AG834" s="143"/>
      <c r="AH834" s="143"/>
      <c r="AI834" s="143"/>
      <c r="AJ834" s="143"/>
      <c r="AK834" s="143"/>
      <c r="AL834" s="143"/>
      <c r="AM834" s="143"/>
    </row>
    <row r="835" spans="1:39" ht="12.75" customHeight="1" x14ac:dyDescent="0.25">
      <c r="A835" s="143"/>
      <c r="B835" s="143"/>
      <c r="C835" s="143"/>
      <c r="D835" s="143"/>
      <c r="E835" s="143"/>
      <c r="F835" s="143"/>
      <c r="G835" s="143"/>
      <c r="H835" s="143"/>
      <c r="I835" s="143"/>
      <c r="J835" s="143"/>
      <c r="K835" s="143"/>
      <c r="L835" s="143"/>
      <c r="M835" s="143"/>
      <c r="N835" s="143"/>
      <c r="O835" s="143"/>
      <c r="P835" s="143"/>
      <c r="Q835" s="143"/>
      <c r="R835" s="143"/>
      <c r="S835" s="143"/>
      <c r="T835" s="143"/>
      <c r="U835" s="143"/>
      <c r="V835" s="143"/>
      <c r="W835" s="143"/>
      <c r="X835" s="143"/>
      <c r="Y835" s="143"/>
      <c r="Z835" s="143"/>
      <c r="AA835" s="143"/>
      <c r="AB835" s="143"/>
      <c r="AC835" s="143"/>
      <c r="AD835" s="143"/>
      <c r="AE835" s="143"/>
      <c r="AF835" s="143"/>
      <c r="AG835" s="143"/>
      <c r="AH835" s="143"/>
      <c r="AI835" s="143"/>
      <c r="AJ835" s="143"/>
      <c r="AK835" s="143"/>
      <c r="AL835" s="143"/>
      <c r="AM835" s="143"/>
    </row>
    <row r="836" spans="1:39" ht="12.75" customHeight="1" x14ac:dyDescent="0.25">
      <c r="A836" s="143"/>
      <c r="B836" s="143"/>
      <c r="C836" s="143"/>
      <c r="D836" s="143"/>
      <c r="E836" s="143"/>
      <c r="F836" s="143"/>
      <c r="G836" s="143"/>
      <c r="H836" s="143"/>
      <c r="I836" s="143"/>
      <c r="J836" s="143"/>
      <c r="K836" s="143"/>
      <c r="L836" s="143"/>
      <c r="M836" s="143"/>
      <c r="N836" s="143"/>
      <c r="O836" s="143"/>
      <c r="P836" s="143"/>
      <c r="Q836" s="143"/>
      <c r="R836" s="143"/>
      <c r="S836" s="143"/>
      <c r="T836" s="143"/>
      <c r="U836" s="143"/>
      <c r="V836" s="143"/>
      <c r="W836" s="143"/>
      <c r="X836" s="143"/>
      <c r="Y836" s="143"/>
      <c r="Z836" s="143"/>
      <c r="AA836" s="143"/>
      <c r="AB836" s="143"/>
      <c r="AC836" s="143"/>
      <c r="AD836" s="143"/>
      <c r="AE836" s="143"/>
      <c r="AF836" s="143"/>
      <c r="AG836" s="143"/>
      <c r="AH836" s="143"/>
      <c r="AI836" s="143"/>
      <c r="AJ836" s="143"/>
      <c r="AK836" s="143"/>
      <c r="AL836" s="143"/>
      <c r="AM836" s="143"/>
    </row>
    <row r="837" spans="1:39" ht="12.75" customHeight="1" x14ac:dyDescent="0.25">
      <c r="A837" s="143"/>
      <c r="B837" s="143"/>
      <c r="C837" s="143"/>
      <c r="D837" s="143"/>
      <c r="E837" s="143"/>
      <c r="F837" s="143"/>
      <c r="G837" s="143"/>
      <c r="H837" s="143"/>
      <c r="I837" s="143"/>
      <c r="J837" s="143"/>
      <c r="K837" s="143"/>
      <c r="L837" s="143"/>
      <c r="M837" s="143"/>
      <c r="N837" s="143"/>
      <c r="O837" s="143"/>
      <c r="P837" s="143"/>
      <c r="Q837" s="143"/>
      <c r="R837" s="143"/>
      <c r="S837" s="143"/>
      <c r="T837" s="143"/>
      <c r="U837" s="143"/>
      <c r="V837" s="143"/>
      <c r="W837" s="143"/>
      <c r="X837" s="143"/>
      <c r="Y837" s="143"/>
      <c r="Z837" s="143"/>
      <c r="AA837" s="143"/>
      <c r="AB837" s="143"/>
      <c r="AC837" s="143"/>
      <c r="AD837" s="143"/>
      <c r="AE837" s="143"/>
      <c r="AF837" s="143"/>
      <c r="AG837" s="143"/>
      <c r="AH837" s="143"/>
      <c r="AI837" s="143"/>
      <c r="AJ837" s="143"/>
      <c r="AK837" s="143"/>
      <c r="AL837" s="143"/>
      <c r="AM837" s="143"/>
    </row>
    <row r="838" spans="1:39" ht="12.75" customHeight="1" x14ac:dyDescent="0.25">
      <c r="A838" s="143"/>
      <c r="B838" s="143"/>
      <c r="C838" s="143"/>
      <c r="D838" s="143"/>
      <c r="E838" s="143"/>
      <c r="F838" s="143"/>
      <c r="G838" s="143"/>
      <c r="H838" s="143"/>
      <c r="I838" s="143"/>
      <c r="J838" s="143"/>
      <c r="K838" s="143"/>
      <c r="L838" s="143"/>
      <c r="M838" s="143"/>
      <c r="N838" s="143"/>
      <c r="O838" s="143"/>
      <c r="P838" s="143"/>
      <c r="Q838" s="143"/>
      <c r="R838" s="143"/>
      <c r="S838" s="143"/>
      <c r="T838" s="143"/>
      <c r="U838" s="143"/>
      <c r="V838" s="143"/>
      <c r="W838" s="143"/>
      <c r="X838" s="143"/>
      <c r="Y838" s="143"/>
      <c r="Z838" s="143"/>
      <c r="AA838" s="143"/>
      <c r="AB838" s="143"/>
      <c r="AC838" s="143"/>
      <c r="AD838" s="143"/>
      <c r="AE838" s="143"/>
      <c r="AF838" s="143"/>
      <c r="AG838" s="143"/>
      <c r="AH838" s="143"/>
      <c r="AI838" s="143"/>
      <c r="AJ838" s="143"/>
      <c r="AK838" s="143"/>
      <c r="AL838" s="143"/>
      <c r="AM838" s="143"/>
    </row>
    <row r="839" spans="1:39" ht="12.75" customHeight="1" x14ac:dyDescent="0.25">
      <c r="A839" s="143"/>
      <c r="B839" s="143"/>
      <c r="C839" s="143"/>
      <c r="D839" s="143"/>
      <c r="E839" s="143"/>
      <c r="F839" s="143"/>
      <c r="G839" s="143"/>
      <c r="H839" s="143"/>
      <c r="I839" s="143"/>
      <c r="J839" s="143"/>
      <c r="K839" s="143"/>
      <c r="L839" s="143"/>
      <c r="M839" s="143"/>
      <c r="N839" s="143"/>
      <c r="O839" s="143"/>
      <c r="P839" s="143"/>
      <c r="Q839" s="143"/>
      <c r="R839" s="143"/>
      <c r="S839" s="143"/>
      <c r="T839" s="143"/>
      <c r="U839" s="143"/>
      <c r="V839" s="143"/>
      <c r="W839" s="143"/>
      <c r="X839" s="143"/>
      <c r="Y839" s="143"/>
      <c r="Z839" s="143"/>
      <c r="AA839" s="143"/>
      <c r="AB839" s="143"/>
      <c r="AC839" s="143"/>
      <c r="AD839" s="143"/>
      <c r="AE839" s="143"/>
      <c r="AF839" s="143"/>
      <c r="AG839" s="143"/>
      <c r="AH839" s="143"/>
      <c r="AI839" s="143"/>
      <c r="AJ839" s="143"/>
      <c r="AK839" s="143"/>
      <c r="AL839" s="143"/>
      <c r="AM839" s="143"/>
    </row>
    <row r="840" spans="1:39" ht="12.75" customHeight="1" x14ac:dyDescent="0.25">
      <c r="A840" s="143"/>
      <c r="B840" s="143"/>
      <c r="C840" s="143"/>
      <c r="D840" s="143"/>
      <c r="E840" s="143"/>
      <c r="F840" s="143"/>
      <c r="G840" s="143"/>
      <c r="H840" s="143"/>
      <c r="I840" s="143"/>
      <c r="J840" s="143"/>
      <c r="K840" s="143"/>
      <c r="L840" s="143"/>
      <c r="M840" s="143"/>
      <c r="N840" s="143"/>
      <c r="O840" s="143"/>
      <c r="P840" s="143"/>
      <c r="Q840" s="143"/>
      <c r="R840" s="143"/>
      <c r="S840" s="143"/>
      <c r="T840" s="143"/>
      <c r="U840" s="143"/>
      <c r="V840" s="143"/>
      <c r="W840" s="143"/>
      <c r="X840" s="143"/>
      <c r="Y840" s="143"/>
      <c r="Z840" s="143"/>
      <c r="AA840" s="143"/>
      <c r="AB840" s="143"/>
      <c r="AC840" s="143"/>
      <c r="AD840" s="143"/>
      <c r="AE840" s="143"/>
      <c r="AF840" s="143"/>
      <c r="AG840" s="143"/>
      <c r="AH840" s="143"/>
      <c r="AI840" s="143"/>
      <c r="AJ840" s="143"/>
      <c r="AK840" s="143"/>
      <c r="AL840" s="143"/>
      <c r="AM840" s="143"/>
    </row>
    <row r="841" spans="1:39" ht="12.75" customHeight="1" x14ac:dyDescent="0.25">
      <c r="A841" s="143"/>
      <c r="B841" s="143"/>
      <c r="C841" s="143"/>
      <c r="D841" s="143"/>
      <c r="E841" s="143"/>
      <c r="F841" s="143"/>
      <c r="G841" s="143"/>
      <c r="H841" s="143"/>
      <c r="I841" s="143"/>
      <c r="J841" s="143"/>
      <c r="K841" s="143"/>
      <c r="L841" s="143"/>
      <c r="M841" s="143"/>
      <c r="N841" s="143"/>
      <c r="O841" s="143"/>
      <c r="P841" s="143"/>
      <c r="Q841" s="143"/>
      <c r="R841" s="143"/>
      <c r="S841" s="143"/>
      <c r="T841" s="143"/>
      <c r="U841" s="143"/>
      <c r="V841" s="143"/>
      <c r="W841" s="143"/>
      <c r="X841" s="143"/>
      <c r="Y841" s="143"/>
      <c r="Z841" s="143"/>
      <c r="AA841" s="143"/>
      <c r="AB841" s="143"/>
      <c r="AC841" s="143"/>
      <c r="AD841" s="143"/>
      <c r="AE841" s="143"/>
      <c r="AF841" s="143"/>
      <c r="AG841" s="143"/>
      <c r="AH841" s="143"/>
      <c r="AI841" s="143"/>
      <c r="AJ841" s="143"/>
      <c r="AK841" s="143"/>
      <c r="AL841" s="143"/>
      <c r="AM841" s="143"/>
    </row>
    <row r="842" spans="1:39" ht="12.75" customHeight="1" x14ac:dyDescent="0.25">
      <c r="A842" s="143"/>
      <c r="B842" s="143"/>
      <c r="C842" s="143"/>
      <c r="D842" s="143"/>
      <c r="E842" s="143"/>
      <c r="F842" s="143"/>
      <c r="G842" s="143"/>
      <c r="H842" s="143"/>
      <c r="I842" s="143"/>
      <c r="J842" s="143"/>
      <c r="K842" s="143"/>
      <c r="L842" s="143"/>
      <c r="M842" s="143"/>
      <c r="N842" s="143"/>
      <c r="O842" s="143"/>
      <c r="P842" s="143"/>
      <c r="Q842" s="143"/>
      <c r="R842" s="143"/>
      <c r="S842" s="143"/>
      <c r="T842" s="143"/>
      <c r="U842" s="143"/>
      <c r="V842" s="143"/>
      <c r="W842" s="143"/>
      <c r="X842" s="143"/>
      <c r="Y842" s="143"/>
      <c r="Z842" s="143"/>
      <c r="AA842" s="143"/>
      <c r="AB842" s="143"/>
      <c r="AC842" s="143"/>
      <c r="AD842" s="143"/>
      <c r="AE842" s="143"/>
      <c r="AF842" s="143"/>
      <c r="AG842" s="143"/>
      <c r="AH842" s="143"/>
      <c r="AI842" s="143"/>
      <c r="AJ842" s="143"/>
      <c r="AK842" s="143"/>
      <c r="AL842" s="143"/>
      <c r="AM842" s="143"/>
    </row>
    <row r="843" spans="1:39" ht="12.75" customHeight="1" x14ac:dyDescent="0.25">
      <c r="A843" s="143"/>
      <c r="B843" s="143"/>
      <c r="C843" s="143"/>
      <c r="D843" s="143"/>
      <c r="E843" s="143"/>
      <c r="F843" s="143"/>
      <c r="G843" s="143"/>
      <c r="H843" s="143"/>
      <c r="I843" s="143"/>
      <c r="J843" s="143"/>
      <c r="K843" s="143"/>
      <c r="L843" s="143"/>
      <c r="M843" s="143"/>
      <c r="N843" s="143"/>
      <c r="O843" s="143"/>
      <c r="P843" s="143"/>
      <c r="Q843" s="143"/>
      <c r="R843" s="143"/>
      <c r="S843" s="143"/>
      <c r="T843" s="143"/>
      <c r="U843" s="143"/>
      <c r="V843" s="143"/>
      <c r="W843" s="143"/>
      <c r="X843" s="143"/>
      <c r="Y843" s="143"/>
      <c r="Z843" s="143"/>
      <c r="AA843" s="143"/>
      <c r="AB843" s="143"/>
      <c r="AC843" s="143"/>
      <c r="AD843" s="143"/>
      <c r="AE843" s="143"/>
      <c r="AF843" s="143"/>
      <c r="AG843" s="143"/>
      <c r="AH843" s="143"/>
      <c r="AI843" s="143"/>
      <c r="AJ843" s="143"/>
      <c r="AK843" s="143"/>
      <c r="AL843" s="143"/>
      <c r="AM843" s="143"/>
    </row>
    <row r="844" spans="1:39" ht="12.75" customHeight="1" x14ac:dyDescent="0.25">
      <c r="A844" s="143"/>
      <c r="B844" s="143"/>
      <c r="C844" s="143"/>
      <c r="D844" s="143"/>
      <c r="E844" s="143"/>
      <c r="F844" s="143"/>
      <c r="G844" s="143"/>
      <c r="H844" s="143"/>
      <c r="I844" s="143"/>
      <c r="J844" s="143"/>
      <c r="K844" s="143"/>
      <c r="L844" s="143"/>
      <c r="M844" s="143"/>
      <c r="N844" s="143"/>
      <c r="O844" s="143"/>
      <c r="P844" s="143"/>
      <c r="Q844" s="143"/>
      <c r="R844" s="143"/>
      <c r="S844" s="143"/>
      <c r="T844" s="143"/>
      <c r="U844" s="143"/>
      <c r="V844" s="143"/>
      <c r="W844" s="143"/>
      <c r="X844" s="143"/>
      <c r="Y844" s="143"/>
      <c r="Z844" s="143"/>
      <c r="AA844" s="143"/>
      <c r="AB844" s="143"/>
      <c r="AC844" s="143"/>
      <c r="AD844" s="143"/>
      <c r="AE844" s="143"/>
      <c r="AF844" s="143"/>
      <c r="AG844" s="143"/>
      <c r="AH844" s="143"/>
      <c r="AI844" s="143"/>
      <c r="AJ844" s="143"/>
      <c r="AK844" s="143"/>
      <c r="AL844" s="143"/>
      <c r="AM844" s="143"/>
    </row>
    <row r="845" spans="1:39" ht="12.75" customHeight="1" x14ac:dyDescent="0.25">
      <c r="A845" s="143"/>
      <c r="B845" s="143"/>
      <c r="C845" s="143"/>
      <c r="D845" s="143"/>
      <c r="E845" s="143"/>
      <c r="F845" s="143"/>
      <c r="G845" s="143"/>
      <c r="H845" s="143"/>
      <c r="I845" s="143"/>
      <c r="J845" s="143"/>
      <c r="K845" s="143"/>
      <c r="L845" s="143"/>
      <c r="M845" s="143"/>
      <c r="N845" s="143"/>
      <c r="O845" s="143"/>
      <c r="P845" s="143"/>
      <c r="Q845" s="143"/>
      <c r="R845" s="143"/>
      <c r="S845" s="143"/>
      <c r="T845" s="143"/>
      <c r="U845" s="143"/>
      <c r="V845" s="143"/>
      <c r="W845" s="143"/>
      <c r="X845" s="143"/>
      <c r="Y845" s="143"/>
      <c r="Z845" s="143"/>
      <c r="AA845" s="143"/>
      <c r="AB845" s="143"/>
      <c r="AC845" s="143"/>
      <c r="AD845" s="143"/>
      <c r="AE845" s="143"/>
      <c r="AF845" s="143"/>
      <c r="AG845" s="143"/>
      <c r="AH845" s="143"/>
      <c r="AI845" s="143"/>
      <c r="AJ845" s="143"/>
      <c r="AK845" s="143"/>
      <c r="AL845" s="143"/>
      <c r="AM845" s="143"/>
    </row>
    <row r="846" spans="1:39" ht="12.75" customHeight="1" x14ac:dyDescent="0.25">
      <c r="A846" s="143"/>
      <c r="B846" s="143"/>
      <c r="C846" s="143"/>
      <c r="D846" s="143"/>
      <c r="E846" s="143"/>
      <c r="F846" s="143"/>
      <c r="G846" s="143"/>
      <c r="H846" s="143"/>
      <c r="I846" s="143"/>
      <c r="J846" s="143"/>
      <c r="K846" s="143"/>
      <c r="L846" s="143"/>
      <c r="M846" s="143"/>
      <c r="N846" s="143"/>
      <c r="O846" s="143"/>
      <c r="P846" s="143"/>
      <c r="Q846" s="143"/>
      <c r="R846" s="143"/>
      <c r="S846" s="143"/>
      <c r="T846" s="143"/>
      <c r="U846" s="143"/>
      <c r="V846" s="143"/>
      <c r="W846" s="143"/>
      <c r="X846" s="143"/>
      <c r="Y846" s="143"/>
      <c r="Z846" s="143"/>
      <c r="AA846" s="143"/>
      <c r="AB846" s="143"/>
      <c r="AC846" s="143"/>
      <c r="AD846" s="143"/>
      <c r="AE846" s="143"/>
      <c r="AF846" s="143"/>
      <c r="AG846" s="143"/>
      <c r="AH846" s="143"/>
      <c r="AI846" s="143"/>
      <c r="AJ846" s="143"/>
      <c r="AK846" s="143"/>
      <c r="AL846" s="143"/>
      <c r="AM846" s="143"/>
    </row>
    <row r="847" spans="1:39" ht="12.75" customHeight="1" x14ac:dyDescent="0.25">
      <c r="A847" s="143"/>
      <c r="B847" s="143"/>
      <c r="C847" s="143"/>
      <c r="D847" s="143"/>
      <c r="E847" s="143"/>
      <c r="F847" s="143"/>
      <c r="G847" s="143"/>
      <c r="H847" s="143"/>
      <c r="I847" s="143"/>
      <c r="J847" s="143"/>
      <c r="K847" s="143"/>
      <c r="L847" s="143"/>
      <c r="M847" s="143"/>
      <c r="N847" s="143"/>
      <c r="O847" s="143"/>
      <c r="P847" s="143"/>
      <c r="Q847" s="143"/>
      <c r="R847" s="143"/>
      <c r="S847" s="143"/>
      <c r="T847" s="143"/>
      <c r="U847" s="143"/>
      <c r="V847" s="143"/>
      <c r="W847" s="143"/>
      <c r="X847" s="143"/>
      <c r="Y847" s="143"/>
      <c r="Z847" s="143"/>
      <c r="AA847" s="143"/>
      <c r="AB847" s="143"/>
      <c r="AC847" s="143"/>
      <c r="AD847" s="143"/>
      <c r="AE847" s="143"/>
      <c r="AF847" s="143"/>
      <c r="AG847" s="143"/>
      <c r="AH847" s="143"/>
      <c r="AI847" s="143"/>
      <c r="AJ847" s="143"/>
      <c r="AK847" s="143"/>
      <c r="AL847" s="143"/>
      <c r="AM847" s="143"/>
    </row>
    <row r="848" spans="1:39" ht="12.75" customHeight="1" x14ac:dyDescent="0.25">
      <c r="A848" s="143"/>
      <c r="B848" s="143"/>
      <c r="C848" s="143"/>
      <c r="D848" s="143"/>
      <c r="E848" s="143"/>
      <c r="F848" s="143"/>
      <c r="G848" s="143"/>
      <c r="H848" s="143"/>
      <c r="I848" s="143"/>
      <c r="J848" s="143"/>
      <c r="K848" s="143"/>
      <c r="L848" s="143"/>
      <c r="M848" s="143"/>
      <c r="N848" s="143"/>
      <c r="O848" s="143"/>
      <c r="P848" s="143"/>
      <c r="Q848" s="143"/>
      <c r="R848" s="143"/>
      <c r="S848" s="143"/>
      <c r="T848" s="143"/>
      <c r="U848" s="143"/>
      <c r="V848" s="143"/>
      <c r="W848" s="143"/>
      <c r="X848" s="143"/>
      <c r="Y848" s="143"/>
      <c r="Z848" s="143"/>
      <c r="AA848" s="143"/>
      <c r="AB848" s="143"/>
      <c r="AC848" s="143"/>
      <c r="AD848" s="143"/>
      <c r="AE848" s="143"/>
      <c r="AF848" s="143"/>
      <c r="AG848" s="143"/>
      <c r="AH848" s="143"/>
      <c r="AI848" s="143"/>
      <c r="AJ848" s="143"/>
      <c r="AK848" s="143"/>
      <c r="AL848" s="143"/>
      <c r="AM848" s="143"/>
    </row>
    <row r="849" spans="1:39" ht="12.75" customHeight="1" x14ac:dyDescent="0.25">
      <c r="A849" s="143"/>
      <c r="B849" s="143"/>
      <c r="C849" s="143"/>
      <c r="D849" s="143"/>
      <c r="E849" s="143"/>
      <c r="F849" s="143"/>
      <c r="G849" s="143"/>
      <c r="H849" s="143"/>
      <c r="I849" s="143"/>
      <c r="J849" s="143"/>
      <c r="K849" s="143"/>
      <c r="L849" s="143"/>
      <c r="M849" s="143"/>
      <c r="N849" s="143"/>
      <c r="O849" s="143"/>
      <c r="P849" s="143"/>
      <c r="Q849" s="143"/>
      <c r="R849" s="143"/>
      <c r="S849" s="143"/>
      <c r="T849" s="143"/>
      <c r="U849" s="143"/>
      <c r="V849" s="143"/>
      <c r="W849" s="143"/>
      <c r="X849" s="143"/>
      <c r="Y849" s="143"/>
      <c r="Z849" s="143"/>
      <c r="AA849" s="143"/>
      <c r="AB849" s="143"/>
      <c r="AC849" s="143"/>
      <c r="AD849" s="143"/>
      <c r="AE849" s="143"/>
      <c r="AF849" s="143"/>
      <c r="AG849" s="143"/>
      <c r="AH849" s="143"/>
      <c r="AI849" s="143"/>
      <c r="AJ849" s="143"/>
      <c r="AK849" s="143"/>
      <c r="AL849" s="143"/>
      <c r="AM849" s="143"/>
    </row>
    <row r="850" spans="1:39" ht="12.75" customHeight="1" x14ac:dyDescent="0.25">
      <c r="A850" s="143"/>
      <c r="B850" s="143"/>
      <c r="C850" s="143"/>
      <c r="D850" s="143"/>
      <c r="E850" s="143"/>
      <c r="F850" s="143"/>
      <c r="G850" s="143"/>
      <c r="H850" s="143"/>
      <c r="I850" s="143"/>
      <c r="J850" s="143"/>
      <c r="K850" s="143"/>
      <c r="L850" s="143"/>
      <c r="M850" s="143"/>
      <c r="N850" s="143"/>
      <c r="O850" s="143"/>
      <c r="P850" s="143"/>
      <c r="Q850" s="143"/>
      <c r="R850" s="143"/>
      <c r="S850" s="143"/>
      <c r="T850" s="143"/>
      <c r="U850" s="143"/>
      <c r="V850" s="143"/>
      <c r="W850" s="143"/>
      <c r="X850" s="143"/>
      <c r="Y850" s="143"/>
      <c r="Z850" s="143"/>
      <c r="AA850" s="143"/>
      <c r="AB850" s="143"/>
      <c r="AC850" s="143"/>
      <c r="AD850" s="143"/>
      <c r="AE850" s="143"/>
      <c r="AF850" s="143"/>
      <c r="AG850" s="143"/>
      <c r="AH850" s="143"/>
      <c r="AI850" s="143"/>
      <c r="AJ850" s="143"/>
      <c r="AK850" s="143"/>
      <c r="AL850" s="143"/>
      <c r="AM850" s="143"/>
    </row>
    <row r="851" spans="1:39" ht="12.75" customHeight="1" x14ac:dyDescent="0.25">
      <c r="A851" s="143"/>
      <c r="B851" s="143"/>
      <c r="C851" s="143"/>
      <c r="D851" s="143"/>
      <c r="E851" s="143"/>
      <c r="F851" s="143"/>
      <c r="G851" s="143"/>
      <c r="H851" s="143"/>
      <c r="I851" s="143"/>
      <c r="J851" s="143"/>
      <c r="K851" s="143"/>
      <c r="L851" s="143"/>
      <c r="M851" s="143"/>
      <c r="N851" s="143"/>
      <c r="O851" s="143"/>
      <c r="P851" s="143"/>
      <c r="Q851" s="143"/>
      <c r="R851" s="143"/>
      <c r="S851" s="143"/>
      <c r="T851" s="143"/>
      <c r="U851" s="143"/>
      <c r="V851" s="143"/>
      <c r="W851" s="143"/>
      <c r="X851" s="143"/>
      <c r="Y851" s="143"/>
      <c r="Z851" s="143"/>
      <c r="AA851" s="143"/>
      <c r="AB851" s="143"/>
      <c r="AC851" s="143"/>
      <c r="AD851" s="143"/>
      <c r="AE851" s="143"/>
      <c r="AF851" s="143"/>
      <c r="AG851" s="143"/>
      <c r="AH851" s="143"/>
      <c r="AI851" s="143"/>
      <c r="AJ851" s="143"/>
      <c r="AK851" s="143"/>
      <c r="AL851" s="143"/>
      <c r="AM851" s="143"/>
    </row>
    <row r="852" spans="1:39" ht="12.75" customHeight="1" x14ac:dyDescent="0.25">
      <c r="A852" s="143"/>
      <c r="B852" s="143"/>
      <c r="C852" s="143"/>
      <c r="D852" s="143"/>
      <c r="E852" s="143"/>
      <c r="F852" s="143"/>
      <c r="G852" s="143"/>
      <c r="H852" s="143"/>
      <c r="I852" s="143"/>
      <c r="J852" s="143"/>
      <c r="K852" s="143"/>
      <c r="L852" s="143"/>
      <c r="M852" s="143"/>
      <c r="N852" s="143"/>
      <c r="O852" s="143"/>
      <c r="P852" s="143"/>
      <c r="Q852" s="143"/>
      <c r="R852" s="143"/>
      <c r="S852" s="143"/>
      <c r="T852" s="143"/>
      <c r="U852" s="143"/>
      <c r="V852" s="143"/>
      <c r="W852" s="143"/>
      <c r="X852" s="143"/>
      <c r="Y852" s="143"/>
      <c r="Z852" s="143"/>
      <c r="AA852" s="143"/>
      <c r="AB852" s="143"/>
      <c r="AC852" s="143"/>
      <c r="AD852" s="143"/>
      <c r="AE852" s="143"/>
      <c r="AF852" s="143"/>
      <c r="AG852" s="143"/>
      <c r="AH852" s="143"/>
      <c r="AI852" s="143"/>
      <c r="AJ852" s="143"/>
      <c r="AK852" s="143"/>
      <c r="AL852" s="143"/>
      <c r="AM852" s="143"/>
    </row>
    <row r="853" spans="1:39" ht="12.75" customHeight="1" x14ac:dyDescent="0.25">
      <c r="A853" s="143"/>
      <c r="B853" s="143"/>
      <c r="C853" s="143"/>
      <c r="D853" s="143"/>
      <c r="E853" s="143"/>
      <c r="F853" s="143"/>
      <c r="G853" s="143"/>
      <c r="H853" s="143"/>
      <c r="I853" s="143"/>
      <c r="J853" s="143"/>
      <c r="K853" s="143"/>
      <c r="L853" s="143"/>
      <c r="M853" s="143"/>
      <c r="N853" s="143"/>
      <c r="O853" s="143"/>
      <c r="P853" s="143"/>
      <c r="Q853" s="143"/>
      <c r="R853" s="143"/>
      <c r="S853" s="143"/>
      <c r="T853" s="143"/>
      <c r="U853" s="143"/>
      <c r="V853" s="143"/>
      <c r="W853" s="143"/>
      <c r="X853" s="143"/>
      <c r="Y853" s="143"/>
      <c r="Z853" s="143"/>
      <c r="AA853" s="143"/>
      <c r="AB853" s="143"/>
      <c r="AC853" s="143"/>
      <c r="AD853" s="143"/>
      <c r="AE853" s="143"/>
      <c r="AF853" s="143"/>
      <c r="AG853" s="143"/>
      <c r="AH853" s="143"/>
      <c r="AI853" s="143"/>
      <c r="AJ853" s="143"/>
      <c r="AK853" s="143"/>
      <c r="AL853" s="143"/>
      <c r="AM853" s="143"/>
    </row>
    <row r="854" spans="1:39" ht="12.75" customHeight="1" x14ac:dyDescent="0.25">
      <c r="A854" s="143"/>
      <c r="B854" s="143"/>
      <c r="C854" s="143"/>
      <c r="D854" s="143"/>
      <c r="E854" s="143"/>
      <c r="F854" s="143"/>
      <c r="G854" s="143"/>
      <c r="H854" s="143"/>
      <c r="I854" s="143"/>
      <c r="J854" s="143"/>
      <c r="K854" s="143"/>
      <c r="L854" s="143"/>
      <c r="M854" s="143"/>
      <c r="N854" s="143"/>
      <c r="O854" s="143"/>
      <c r="P854" s="143"/>
      <c r="Q854" s="143"/>
      <c r="R854" s="143"/>
      <c r="S854" s="143"/>
      <c r="T854" s="143"/>
      <c r="U854" s="143"/>
      <c r="V854" s="143"/>
      <c r="W854" s="143"/>
      <c r="X854" s="143"/>
      <c r="Y854" s="143"/>
      <c r="Z854" s="143"/>
      <c r="AA854" s="143"/>
      <c r="AB854" s="143"/>
      <c r="AC854" s="143"/>
      <c r="AD854" s="143"/>
      <c r="AE854" s="143"/>
      <c r="AF854" s="143"/>
      <c r="AG854" s="143"/>
      <c r="AH854" s="143"/>
      <c r="AI854" s="143"/>
      <c r="AJ854" s="143"/>
      <c r="AK854" s="143"/>
      <c r="AL854" s="143"/>
      <c r="AM854" s="143"/>
    </row>
    <row r="855" spans="1:39" ht="12.75" customHeight="1" x14ac:dyDescent="0.25">
      <c r="A855" s="143"/>
      <c r="B855" s="143"/>
      <c r="C855" s="143"/>
      <c r="D855" s="143"/>
      <c r="E855" s="143"/>
      <c r="F855" s="143"/>
      <c r="G855" s="143"/>
      <c r="H855" s="143"/>
      <c r="I855" s="143"/>
      <c r="J855" s="143"/>
      <c r="K855" s="143"/>
      <c r="L855" s="143"/>
      <c r="M855" s="143"/>
      <c r="N855" s="143"/>
      <c r="O855" s="143"/>
      <c r="P855" s="143"/>
      <c r="Q855" s="143"/>
      <c r="R855" s="143"/>
      <c r="S855" s="143"/>
      <c r="T855" s="143"/>
      <c r="U855" s="143"/>
      <c r="V855" s="143"/>
      <c r="W855" s="143"/>
      <c r="X855" s="143"/>
      <c r="Y855" s="143"/>
      <c r="Z855" s="143"/>
      <c r="AA855" s="143"/>
      <c r="AB855" s="143"/>
      <c r="AC855" s="143"/>
      <c r="AD855" s="143"/>
      <c r="AE855" s="143"/>
      <c r="AF855" s="143"/>
      <c r="AG855" s="143"/>
      <c r="AH855" s="143"/>
      <c r="AI855" s="143"/>
      <c r="AJ855" s="143"/>
      <c r="AK855" s="143"/>
      <c r="AL855" s="143"/>
      <c r="AM855" s="143"/>
    </row>
    <row r="856" spans="1:39" ht="12.75" customHeight="1" x14ac:dyDescent="0.25">
      <c r="A856" s="143"/>
      <c r="B856" s="143"/>
      <c r="C856" s="143"/>
      <c r="D856" s="143"/>
      <c r="E856" s="143"/>
      <c r="F856" s="143"/>
      <c r="G856" s="143"/>
      <c r="H856" s="143"/>
      <c r="I856" s="143"/>
      <c r="J856" s="143"/>
      <c r="K856" s="143"/>
      <c r="L856" s="143"/>
      <c r="M856" s="143"/>
      <c r="N856" s="143"/>
      <c r="O856" s="143"/>
      <c r="P856" s="143"/>
      <c r="Q856" s="143"/>
      <c r="R856" s="143"/>
      <c r="S856" s="143"/>
      <c r="T856" s="143"/>
      <c r="U856" s="143"/>
      <c r="V856" s="143"/>
      <c r="W856" s="143"/>
      <c r="X856" s="143"/>
      <c r="Y856" s="143"/>
      <c r="Z856" s="143"/>
      <c r="AA856" s="143"/>
      <c r="AB856" s="143"/>
      <c r="AC856" s="143"/>
      <c r="AD856" s="143"/>
      <c r="AE856" s="143"/>
      <c r="AF856" s="143"/>
      <c r="AG856" s="143"/>
      <c r="AH856" s="143"/>
      <c r="AI856" s="143"/>
      <c r="AJ856" s="143"/>
      <c r="AK856" s="143"/>
      <c r="AL856" s="143"/>
      <c r="AM856" s="143"/>
    </row>
    <row r="857" spans="1:39" ht="12.75" customHeight="1" x14ac:dyDescent="0.25">
      <c r="A857" s="143"/>
      <c r="B857" s="143"/>
      <c r="C857" s="143"/>
      <c r="D857" s="143"/>
      <c r="E857" s="143"/>
      <c r="F857" s="143"/>
      <c r="G857" s="143"/>
      <c r="H857" s="143"/>
      <c r="I857" s="143"/>
      <c r="J857" s="143"/>
      <c r="K857" s="143"/>
      <c r="L857" s="143"/>
      <c r="M857" s="143"/>
      <c r="N857" s="143"/>
      <c r="O857" s="143"/>
      <c r="P857" s="143"/>
      <c r="Q857" s="143"/>
      <c r="R857" s="143"/>
      <c r="S857" s="143"/>
      <c r="T857" s="143"/>
      <c r="U857" s="143"/>
      <c r="V857" s="143"/>
      <c r="W857" s="143"/>
      <c r="X857" s="143"/>
      <c r="Y857" s="143"/>
      <c r="Z857" s="143"/>
      <c r="AA857" s="143"/>
      <c r="AB857" s="143"/>
      <c r="AC857" s="143"/>
      <c r="AD857" s="143"/>
      <c r="AE857" s="143"/>
      <c r="AF857" s="143"/>
      <c r="AG857" s="143"/>
      <c r="AH857" s="143"/>
      <c r="AI857" s="143"/>
      <c r="AJ857" s="143"/>
      <c r="AK857" s="143"/>
      <c r="AL857" s="143"/>
      <c r="AM857" s="143"/>
    </row>
    <row r="858" spans="1:39" ht="12.75" customHeight="1" x14ac:dyDescent="0.25">
      <c r="A858" s="143"/>
      <c r="B858" s="143"/>
      <c r="C858" s="143"/>
      <c r="D858" s="143"/>
      <c r="E858" s="143"/>
      <c r="F858" s="143"/>
      <c r="G858" s="143"/>
      <c r="H858" s="143"/>
      <c r="I858" s="143"/>
      <c r="J858" s="143"/>
      <c r="K858" s="143"/>
      <c r="L858" s="143"/>
      <c r="M858" s="143"/>
      <c r="N858" s="143"/>
      <c r="O858" s="143"/>
      <c r="P858" s="143"/>
      <c r="Q858" s="143"/>
      <c r="R858" s="143"/>
      <c r="S858" s="143"/>
      <c r="T858" s="143"/>
      <c r="U858" s="143"/>
      <c r="V858" s="143"/>
      <c r="W858" s="143"/>
      <c r="X858" s="143"/>
      <c r="Y858" s="143"/>
      <c r="Z858" s="143"/>
      <c r="AA858" s="143"/>
      <c r="AB858" s="143"/>
      <c r="AC858" s="143"/>
      <c r="AD858" s="143"/>
      <c r="AE858" s="143"/>
      <c r="AF858" s="143"/>
      <c r="AG858" s="143"/>
      <c r="AH858" s="143"/>
      <c r="AI858" s="143"/>
      <c r="AJ858" s="143"/>
      <c r="AK858" s="143"/>
      <c r="AL858" s="143"/>
      <c r="AM858" s="143"/>
    </row>
    <row r="859" spans="1:39" ht="12.75" customHeight="1" x14ac:dyDescent="0.25">
      <c r="A859" s="143"/>
      <c r="B859" s="143"/>
      <c r="C859" s="143"/>
      <c r="D859" s="143"/>
      <c r="E859" s="143"/>
      <c r="F859" s="143"/>
      <c r="G859" s="143"/>
      <c r="H859" s="143"/>
      <c r="I859" s="143"/>
      <c r="J859" s="143"/>
      <c r="K859" s="143"/>
      <c r="L859" s="143"/>
      <c r="M859" s="143"/>
      <c r="N859" s="143"/>
      <c r="O859" s="143"/>
      <c r="P859" s="143"/>
      <c r="Q859" s="143"/>
      <c r="R859" s="143"/>
      <c r="S859" s="143"/>
      <c r="T859" s="143"/>
      <c r="U859" s="143"/>
      <c r="V859" s="143"/>
      <c r="W859" s="143"/>
      <c r="X859" s="143"/>
      <c r="Y859" s="143"/>
      <c r="Z859" s="143"/>
      <c r="AA859" s="143"/>
      <c r="AB859" s="143"/>
      <c r="AC859" s="143"/>
      <c r="AD859" s="143"/>
      <c r="AE859" s="143"/>
      <c r="AF859" s="143"/>
      <c r="AG859" s="143"/>
      <c r="AH859" s="143"/>
      <c r="AI859" s="143"/>
      <c r="AJ859" s="143"/>
      <c r="AK859" s="143"/>
      <c r="AL859" s="143"/>
      <c r="AM859" s="143"/>
    </row>
    <row r="860" spans="1:39" ht="12.75" customHeight="1" x14ac:dyDescent="0.25">
      <c r="A860" s="143"/>
      <c r="B860" s="143"/>
      <c r="C860" s="143"/>
      <c r="D860" s="143"/>
      <c r="E860" s="143"/>
      <c r="F860" s="143"/>
      <c r="G860" s="143"/>
      <c r="H860" s="143"/>
      <c r="I860" s="143"/>
      <c r="J860" s="143"/>
      <c r="K860" s="143"/>
      <c r="L860" s="143"/>
      <c r="M860" s="143"/>
      <c r="N860" s="143"/>
      <c r="O860" s="143"/>
      <c r="P860" s="143"/>
      <c r="Q860" s="143"/>
      <c r="R860" s="143"/>
      <c r="S860" s="143"/>
      <c r="T860" s="143"/>
      <c r="U860" s="143"/>
      <c r="V860" s="143"/>
      <c r="W860" s="143"/>
      <c r="X860" s="143"/>
      <c r="Y860" s="143"/>
      <c r="Z860" s="143"/>
      <c r="AA860" s="143"/>
      <c r="AB860" s="143"/>
      <c r="AC860" s="143"/>
      <c r="AD860" s="143"/>
      <c r="AE860" s="143"/>
      <c r="AF860" s="143"/>
      <c r="AG860" s="143"/>
      <c r="AH860" s="143"/>
      <c r="AI860" s="143"/>
      <c r="AJ860" s="143"/>
      <c r="AK860" s="143"/>
      <c r="AL860" s="143"/>
      <c r="AM860" s="143"/>
    </row>
    <row r="861" spans="1:39" ht="12.75" customHeight="1" x14ac:dyDescent="0.25">
      <c r="A861" s="143"/>
      <c r="B861" s="143"/>
      <c r="C861" s="143"/>
      <c r="D861" s="143"/>
      <c r="E861" s="143"/>
      <c r="F861" s="143"/>
      <c r="G861" s="143"/>
      <c r="H861" s="143"/>
      <c r="I861" s="143"/>
      <c r="J861" s="143"/>
      <c r="K861" s="143"/>
      <c r="L861" s="143"/>
      <c r="M861" s="143"/>
      <c r="N861" s="143"/>
      <c r="O861" s="143"/>
      <c r="P861" s="143"/>
      <c r="Q861" s="143"/>
      <c r="R861" s="143"/>
      <c r="S861" s="143"/>
      <c r="T861" s="143"/>
      <c r="U861" s="143"/>
      <c r="V861" s="143"/>
      <c r="W861" s="143"/>
      <c r="X861" s="143"/>
      <c r="Y861" s="143"/>
      <c r="Z861" s="143"/>
      <c r="AA861" s="143"/>
      <c r="AB861" s="143"/>
      <c r="AC861" s="143"/>
      <c r="AD861" s="143"/>
      <c r="AE861" s="143"/>
      <c r="AF861" s="143"/>
      <c r="AG861" s="143"/>
      <c r="AH861" s="143"/>
      <c r="AI861" s="143"/>
      <c r="AJ861" s="143"/>
      <c r="AK861" s="143"/>
      <c r="AL861" s="143"/>
      <c r="AM861" s="143"/>
    </row>
    <row r="862" spans="1:39" ht="12.75" customHeight="1" x14ac:dyDescent="0.25">
      <c r="A862" s="143"/>
      <c r="B862" s="143"/>
      <c r="C862" s="143"/>
      <c r="D862" s="143"/>
      <c r="E862" s="143"/>
      <c r="F862" s="143"/>
      <c r="G862" s="143"/>
      <c r="H862" s="143"/>
      <c r="I862" s="143"/>
      <c r="J862" s="143"/>
      <c r="K862" s="143"/>
      <c r="L862" s="143"/>
      <c r="M862" s="143"/>
      <c r="N862" s="143"/>
      <c r="O862" s="143"/>
      <c r="P862" s="143"/>
      <c r="Q862" s="143"/>
      <c r="R862" s="143"/>
      <c r="S862" s="143"/>
      <c r="T862" s="143"/>
      <c r="U862" s="143"/>
      <c r="V862" s="143"/>
      <c r="W862" s="143"/>
      <c r="X862" s="143"/>
      <c r="Y862" s="143"/>
      <c r="Z862" s="143"/>
      <c r="AA862" s="143"/>
      <c r="AB862" s="143"/>
      <c r="AC862" s="143"/>
      <c r="AD862" s="143"/>
      <c r="AE862" s="143"/>
      <c r="AF862" s="143"/>
      <c r="AG862" s="143"/>
      <c r="AH862" s="143"/>
      <c r="AI862" s="143"/>
      <c r="AJ862" s="143"/>
      <c r="AK862" s="143"/>
      <c r="AL862" s="143"/>
      <c r="AM862" s="143"/>
    </row>
    <row r="863" spans="1:39" ht="12.75" customHeight="1" x14ac:dyDescent="0.25">
      <c r="A863" s="143"/>
      <c r="B863" s="143"/>
      <c r="C863" s="143"/>
      <c r="D863" s="143"/>
      <c r="E863" s="143"/>
      <c r="F863" s="143"/>
      <c r="G863" s="143"/>
      <c r="H863" s="143"/>
      <c r="I863" s="143"/>
      <c r="J863" s="143"/>
      <c r="K863" s="143"/>
      <c r="L863" s="143"/>
      <c r="M863" s="143"/>
      <c r="N863" s="143"/>
      <c r="O863" s="143"/>
      <c r="P863" s="143"/>
      <c r="Q863" s="143"/>
      <c r="R863" s="143"/>
      <c r="S863" s="143"/>
      <c r="T863" s="143"/>
      <c r="U863" s="143"/>
      <c r="V863" s="143"/>
      <c r="W863" s="143"/>
      <c r="X863" s="143"/>
      <c r="Y863" s="143"/>
      <c r="Z863" s="143"/>
      <c r="AA863" s="143"/>
      <c r="AB863" s="143"/>
      <c r="AC863" s="143"/>
      <c r="AD863" s="143"/>
      <c r="AE863" s="143"/>
      <c r="AF863" s="143"/>
      <c r="AG863" s="143"/>
      <c r="AH863" s="143"/>
      <c r="AI863" s="143"/>
      <c r="AJ863" s="143"/>
      <c r="AK863" s="143"/>
      <c r="AL863" s="143"/>
      <c r="AM863" s="143"/>
    </row>
    <row r="864" spans="1:39" ht="12.75" customHeight="1" x14ac:dyDescent="0.25">
      <c r="A864" s="143"/>
      <c r="B864" s="143"/>
      <c r="C864" s="143"/>
      <c r="D864" s="143"/>
      <c r="E864" s="143"/>
      <c r="F864" s="143"/>
      <c r="G864" s="143"/>
      <c r="H864" s="143"/>
      <c r="I864" s="143"/>
      <c r="J864" s="143"/>
      <c r="K864" s="143"/>
      <c r="L864" s="143"/>
      <c r="M864" s="143"/>
      <c r="N864" s="143"/>
      <c r="O864" s="143"/>
      <c r="P864" s="143"/>
      <c r="Q864" s="143"/>
      <c r="R864" s="143"/>
      <c r="S864" s="143"/>
      <c r="T864" s="143"/>
      <c r="U864" s="143"/>
      <c r="V864" s="143"/>
      <c r="W864" s="143"/>
      <c r="X864" s="143"/>
      <c r="Y864" s="143"/>
      <c r="Z864" s="143"/>
      <c r="AA864" s="143"/>
      <c r="AB864" s="143"/>
      <c r="AC864" s="143"/>
      <c r="AD864" s="143"/>
      <c r="AE864" s="143"/>
      <c r="AF864" s="143"/>
      <c r="AG864" s="143"/>
      <c r="AH864" s="143"/>
      <c r="AI864" s="143"/>
      <c r="AJ864" s="143"/>
      <c r="AK864" s="143"/>
      <c r="AL864" s="143"/>
      <c r="AM864" s="143"/>
    </row>
    <row r="865" spans="1:39" ht="12.75" customHeight="1" x14ac:dyDescent="0.25">
      <c r="A865" s="143"/>
      <c r="B865" s="143"/>
      <c r="C865" s="143"/>
      <c r="D865" s="143"/>
      <c r="E865" s="143"/>
      <c r="F865" s="143"/>
      <c r="G865" s="143"/>
      <c r="H865" s="143"/>
      <c r="I865" s="143"/>
      <c r="J865" s="143"/>
      <c r="K865" s="143"/>
      <c r="L865" s="143"/>
      <c r="M865" s="143"/>
      <c r="N865" s="143"/>
      <c r="O865" s="143"/>
      <c r="P865" s="143"/>
      <c r="Q865" s="143"/>
      <c r="R865" s="143"/>
      <c r="S865" s="143"/>
      <c r="T865" s="143"/>
      <c r="U865" s="143"/>
      <c r="V865" s="143"/>
      <c r="W865" s="143"/>
      <c r="X865" s="143"/>
      <c r="Y865" s="143"/>
      <c r="Z865" s="143"/>
      <c r="AA865" s="143"/>
      <c r="AB865" s="143"/>
      <c r="AC865" s="143"/>
      <c r="AD865" s="143"/>
      <c r="AE865" s="143"/>
      <c r="AF865" s="143"/>
      <c r="AG865" s="143"/>
      <c r="AH865" s="143"/>
      <c r="AI865" s="143"/>
      <c r="AJ865" s="143"/>
      <c r="AK865" s="143"/>
      <c r="AL865" s="143"/>
      <c r="AM865" s="143"/>
    </row>
    <row r="866" spans="1:39" ht="12.75" customHeight="1" x14ac:dyDescent="0.25">
      <c r="A866" s="143"/>
      <c r="B866" s="143"/>
      <c r="C866" s="143"/>
      <c r="D866" s="143"/>
      <c r="E866" s="143"/>
      <c r="F866" s="143"/>
      <c r="G866" s="143"/>
      <c r="H866" s="143"/>
      <c r="I866" s="143"/>
      <c r="J866" s="143"/>
      <c r="K866" s="143"/>
      <c r="L866" s="143"/>
      <c r="M866" s="143"/>
      <c r="N866" s="143"/>
      <c r="O866" s="143"/>
      <c r="P866" s="143"/>
      <c r="Q866" s="143"/>
      <c r="R866" s="143"/>
      <c r="S866" s="143"/>
      <c r="T866" s="143"/>
      <c r="U866" s="143"/>
      <c r="V866" s="143"/>
      <c r="W866" s="143"/>
      <c r="X866" s="143"/>
      <c r="Y866" s="143"/>
      <c r="Z866" s="143"/>
      <c r="AA866" s="143"/>
      <c r="AB866" s="143"/>
      <c r="AC866" s="143"/>
      <c r="AD866" s="143"/>
      <c r="AE866" s="143"/>
      <c r="AF866" s="143"/>
      <c r="AG866" s="143"/>
      <c r="AH866" s="143"/>
      <c r="AI866" s="143"/>
      <c r="AJ866" s="143"/>
      <c r="AK866" s="143"/>
      <c r="AL866" s="143"/>
      <c r="AM866" s="143"/>
    </row>
    <row r="867" spans="1:39" ht="12.75" customHeight="1" x14ac:dyDescent="0.25">
      <c r="A867" s="143"/>
      <c r="B867" s="143"/>
      <c r="C867" s="143"/>
      <c r="D867" s="143"/>
      <c r="E867" s="143"/>
      <c r="F867" s="143"/>
      <c r="G867" s="143"/>
      <c r="H867" s="143"/>
      <c r="I867" s="143"/>
      <c r="J867" s="143"/>
      <c r="K867" s="143"/>
      <c r="L867" s="143"/>
      <c r="M867" s="143"/>
      <c r="N867" s="143"/>
      <c r="O867" s="143"/>
      <c r="P867" s="143"/>
      <c r="Q867" s="143"/>
      <c r="R867" s="143"/>
      <c r="S867" s="143"/>
      <c r="T867" s="143"/>
      <c r="U867" s="143"/>
      <c r="V867" s="143"/>
      <c r="W867" s="143"/>
      <c r="X867" s="143"/>
      <c r="Y867" s="143"/>
      <c r="Z867" s="143"/>
      <c r="AA867" s="143"/>
      <c r="AB867" s="143"/>
      <c r="AC867" s="143"/>
      <c r="AD867" s="143"/>
      <c r="AE867" s="143"/>
      <c r="AF867" s="143"/>
      <c r="AG867" s="143"/>
      <c r="AH867" s="143"/>
      <c r="AI867" s="143"/>
      <c r="AJ867" s="143"/>
      <c r="AK867" s="143"/>
      <c r="AL867" s="143"/>
      <c r="AM867" s="143"/>
    </row>
    <row r="868" spans="1:39" ht="12.75" customHeight="1" x14ac:dyDescent="0.25">
      <c r="A868" s="143"/>
      <c r="B868" s="143"/>
      <c r="C868" s="143"/>
      <c r="D868" s="143"/>
      <c r="E868" s="143"/>
      <c r="F868" s="143"/>
      <c r="G868" s="143"/>
      <c r="H868" s="143"/>
      <c r="I868" s="143"/>
      <c r="J868" s="143"/>
      <c r="K868" s="143"/>
      <c r="L868" s="143"/>
      <c r="M868" s="143"/>
      <c r="N868" s="143"/>
      <c r="O868" s="143"/>
      <c r="P868" s="143"/>
      <c r="Q868" s="143"/>
      <c r="R868" s="143"/>
      <c r="S868" s="143"/>
      <c r="T868" s="143"/>
      <c r="U868" s="143"/>
      <c r="V868" s="143"/>
      <c r="W868" s="143"/>
      <c r="X868" s="143"/>
      <c r="Y868" s="143"/>
      <c r="Z868" s="143"/>
      <c r="AA868" s="143"/>
      <c r="AB868" s="143"/>
      <c r="AC868" s="143"/>
      <c r="AD868" s="143"/>
      <c r="AE868" s="143"/>
      <c r="AF868" s="143"/>
      <c r="AG868" s="143"/>
      <c r="AH868" s="143"/>
      <c r="AI868" s="143"/>
      <c r="AJ868" s="143"/>
      <c r="AK868" s="143"/>
      <c r="AL868" s="143"/>
      <c r="AM868" s="143"/>
    </row>
    <row r="869" spans="1:39" ht="12.75" customHeight="1" x14ac:dyDescent="0.25">
      <c r="A869" s="143"/>
      <c r="B869" s="143"/>
      <c r="C869" s="143"/>
      <c r="D869" s="143"/>
      <c r="E869" s="143"/>
      <c r="F869" s="143"/>
      <c r="G869" s="143"/>
      <c r="H869" s="143"/>
      <c r="I869" s="143"/>
      <c r="J869" s="143"/>
      <c r="K869" s="143"/>
      <c r="L869" s="143"/>
      <c r="M869" s="143"/>
      <c r="N869" s="143"/>
      <c r="O869" s="143"/>
      <c r="P869" s="143"/>
      <c r="Q869" s="143"/>
      <c r="R869" s="143"/>
      <c r="S869" s="143"/>
      <c r="T869" s="143"/>
      <c r="U869" s="143"/>
      <c r="V869" s="143"/>
      <c r="W869" s="143"/>
      <c r="X869" s="143"/>
      <c r="Y869" s="143"/>
      <c r="Z869" s="143"/>
      <c r="AA869" s="143"/>
      <c r="AB869" s="143"/>
      <c r="AC869" s="143"/>
      <c r="AD869" s="143"/>
      <c r="AE869" s="143"/>
      <c r="AF869" s="143"/>
      <c r="AG869" s="143"/>
      <c r="AH869" s="143"/>
      <c r="AI869" s="143"/>
      <c r="AJ869" s="143"/>
      <c r="AK869" s="143"/>
      <c r="AL869" s="143"/>
      <c r="AM869" s="143"/>
    </row>
    <row r="870" spans="1:39" ht="12.75" customHeight="1" x14ac:dyDescent="0.25">
      <c r="A870" s="143"/>
      <c r="B870" s="143"/>
      <c r="C870" s="143"/>
      <c r="D870" s="143"/>
      <c r="E870" s="143"/>
      <c r="F870" s="143"/>
      <c r="G870" s="143"/>
      <c r="H870" s="143"/>
      <c r="I870" s="143"/>
      <c r="J870" s="143"/>
      <c r="K870" s="143"/>
      <c r="L870" s="143"/>
      <c r="M870" s="143"/>
      <c r="N870" s="143"/>
      <c r="O870" s="143"/>
      <c r="P870" s="143"/>
      <c r="Q870" s="143"/>
      <c r="R870" s="143"/>
      <c r="S870" s="143"/>
      <c r="T870" s="143"/>
      <c r="U870" s="143"/>
      <c r="V870" s="143"/>
      <c r="W870" s="143"/>
      <c r="X870" s="143"/>
      <c r="Y870" s="143"/>
      <c r="Z870" s="143"/>
      <c r="AA870" s="143"/>
      <c r="AB870" s="143"/>
      <c r="AC870" s="143"/>
      <c r="AD870" s="143"/>
      <c r="AE870" s="143"/>
      <c r="AF870" s="143"/>
      <c r="AG870" s="143"/>
      <c r="AH870" s="143"/>
      <c r="AI870" s="143"/>
      <c r="AJ870" s="143"/>
      <c r="AK870" s="143"/>
      <c r="AL870" s="143"/>
      <c r="AM870" s="143"/>
    </row>
    <row r="871" spans="1:39" ht="12.75" customHeight="1" x14ac:dyDescent="0.25">
      <c r="A871" s="143"/>
      <c r="B871" s="143"/>
      <c r="C871" s="143"/>
      <c r="D871" s="143"/>
      <c r="E871" s="143"/>
      <c r="F871" s="143"/>
      <c r="G871" s="143"/>
      <c r="H871" s="143"/>
      <c r="I871" s="143"/>
      <c r="J871" s="143"/>
      <c r="K871" s="143"/>
      <c r="L871" s="143"/>
      <c r="M871" s="143"/>
      <c r="N871" s="143"/>
      <c r="O871" s="143"/>
      <c r="P871" s="143"/>
      <c r="Q871" s="143"/>
      <c r="R871" s="143"/>
      <c r="S871" s="143"/>
      <c r="T871" s="143"/>
      <c r="U871" s="143"/>
      <c r="V871" s="143"/>
      <c r="W871" s="143"/>
      <c r="X871" s="143"/>
      <c r="Y871" s="143"/>
      <c r="Z871" s="143"/>
      <c r="AA871" s="143"/>
      <c r="AB871" s="143"/>
      <c r="AC871" s="143"/>
      <c r="AD871" s="143"/>
      <c r="AE871" s="143"/>
      <c r="AF871" s="143"/>
      <c r="AG871" s="143"/>
      <c r="AH871" s="143"/>
      <c r="AI871" s="143"/>
      <c r="AJ871" s="143"/>
      <c r="AK871" s="143"/>
      <c r="AL871" s="143"/>
      <c r="AM871" s="143"/>
    </row>
    <row r="872" spans="1:39" ht="12.75" customHeight="1" x14ac:dyDescent="0.25">
      <c r="A872" s="143"/>
      <c r="B872" s="143"/>
      <c r="C872" s="143"/>
      <c r="D872" s="143"/>
      <c r="E872" s="143"/>
      <c r="F872" s="143"/>
      <c r="G872" s="143"/>
      <c r="H872" s="143"/>
      <c r="I872" s="143"/>
      <c r="J872" s="143"/>
      <c r="K872" s="143"/>
      <c r="L872" s="143"/>
      <c r="M872" s="143"/>
      <c r="N872" s="143"/>
      <c r="O872" s="143"/>
      <c r="P872" s="143"/>
      <c r="Q872" s="143"/>
      <c r="R872" s="143"/>
      <c r="S872" s="143"/>
      <c r="T872" s="143"/>
      <c r="U872" s="143"/>
      <c r="V872" s="143"/>
      <c r="W872" s="143"/>
      <c r="X872" s="143"/>
      <c r="Y872" s="143"/>
      <c r="Z872" s="143"/>
      <c r="AA872" s="143"/>
      <c r="AB872" s="143"/>
      <c r="AC872" s="143"/>
      <c r="AD872" s="143"/>
      <c r="AE872" s="143"/>
      <c r="AF872" s="143"/>
      <c r="AG872" s="143"/>
      <c r="AH872" s="143"/>
      <c r="AI872" s="143"/>
      <c r="AJ872" s="143"/>
      <c r="AK872" s="143"/>
      <c r="AL872" s="143"/>
      <c r="AM872" s="143"/>
    </row>
    <row r="873" spans="1:39" ht="12.75" customHeight="1" x14ac:dyDescent="0.25">
      <c r="A873" s="143"/>
      <c r="B873" s="143"/>
      <c r="C873" s="143"/>
      <c r="D873" s="143"/>
      <c r="E873" s="143"/>
      <c r="F873" s="143"/>
      <c r="G873" s="143"/>
      <c r="H873" s="143"/>
      <c r="I873" s="143"/>
      <c r="J873" s="143"/>
      <c r="K873" s="143"/>
      <c r="L873" s="143"/>
      <c r="M873" s="143"/>
      <c r="N873" s="143"/>
      <c r="O873" s="143"/>
      <c r="P873" s="143"/>
      <c r="Q873" s="143"/>
      <c r="R873" s="143"/>
      <c r="S873" s="143"/>
      <c r="T873" s="143"/>
      <c r="U873" s="143"/>
      <c r="V873" s="143"/>
      <c r="W873" s="143"/>
      <c r="X873" s="143"/>
      <c r="Y873" s="143"/>
      <c r="Z873" s="143"/>
      <c r="AA873" s="143"/>
      <c r="AB873" s="143"/>
      <c r="AC873" s="143"/>
      <c r="AD873" s="143"/>
      <c r="AE873" s="143"/>
      <c r="AF873" s="143"/>
      <c r="AG873" s="143"/>
      <c r="AH873" s="143"/>
      <c r="AI873" s="143"/>
      <c r="AJ873" s="143"/>
      <c r="AK873" s="143"/>
      <c r="AL873" s="143"/>
      <c r="AM873" s="143"/>
    </row>
    <row r="874" spans="1:39" ht="12.75" customHeight="1" x14ac:dyDescent="0.25">
      <c r="A874" s="143"/>
      <c r="B874" s="143"/>
      <c r="C874" s="143"/>
      <c r="D874" s="143"/>
      <c r="E874" s="143"/>
      <c r="F874" s="143"/>
      <c r="G874" s="143"/>
      <c r="H874" s="143"/>
      <c r="I874" s="143"/>
      <c r="J874" s="143"/>
      <c r="K874" s="143"/>
      <c r="L874" s="143"/>
      <c r="M874" s="143"/>
      <c r="N874" s="143"/>
      <c r="O874" s="143"/>
      <c r="P874" s="143"/>
      <c r="Q874" s="143"/>
      <c r="R874" s="143"/>
      <c r="S874" s="143"/>
      <c r="T874" s="143"/>
      <c r="U874" s="143"/>
      <c r="V874" s="143"/>
      <c r="W874" s="143"/>
      <c r="X874" s="143"/>
      <c r="Y874" s="143"/>
      <c r="Z874" s="143"/>
      <c r="AA874" s="143"/>
      <c r="AB874" s="143"/>
      <c r="AC874" s="143"/>
      <c r="AD874" s="143"/>
      <c r="AE874" s="143"/>
      <c r="AF874" s="143"/>
      <c r="AG874" s="143"/>
      <c r="AH874" s="143"/>
      <c r="AI874" s="143"/>
      <c r="AJ874" s="143"/>
      <c r="AK874" s="143"/>
      <c r="AL874" s="143"/>
      <c r="AM874" s="143"/>
    </row>
    <row r="875" spans="1:39" ht="12.75" customHeight="1" x14ac:dyDescent="0.25">
      <c r="A875" s="143"/>
      <c r="B875" s="143"/>
      <c r="C875" s="143"/>
      <c r="D875" s="143"/>
      <c r="E875" s="143"/>
      <c r="F875" s="143"/>
      <c r="G875" s="143"/>
      <c r="H875" s="143"/>
      <c r="I875" s="143"/>
      <c r="J875" s="143"/>
      <c r="K875" s="143"/>
      <c r="L875" s="143"/>
      <c r="M875" s="143"/>
      <c r="N875" s="143"/>
      <c r="O875" s="143"/>
      <c r="P875" s="143"/>
      <c r="Q875" s="143"/>
      <c r="R875" s="143"/>
      <c r="S875" s="143"/>
      <c r="T875" s="143"/>
      <c r="U875" s="143"/>
      <c r="V875" s="143"/>
      <c r="W875" s="143"/>
      <c r="X875" s="143"/>
      <c r="Y875" s="143"/>
      <c r="Z875" s="143"/>
      <c r="AA875" s="143"/>
      <c r="AB875" s="143"/>
      <c r="AC875" s="143"/>
      <c r="AD875" s="143"/>
      <c r="AE875" s="143"/>
      <c r="AF875" s="143"/>
      <c r="AG875" s="143"/>
      <c r="AH875" s="143"/>
      <c r="AI875" s="143"/>
      <c r="AJ875" s="143"/>
      <c r="AK875" s="143"/>
      <c r="AL875" s="143"/>
      <c r="AM875" s="143"/>
    </row>
    <row r="876" spans="1:39" ht="12.75" customHeight="1" x14ac:dyDescent="0.25">
      <c r="A876" s="143"/>
      <c r="B876" s="143"/>
      <c r="C876" s="143"/>
      <c r="D876" s="143"/>
      <c r="E876" s="143"/>
      <c r="F876" s="143"/>
      <c r="G876" s="143"/>
      <c r="H876" s="143"/>
      <c r="I876" s="143"/>
      <c r="J876" s="143"/>
      <c r="K876" s="143"/>
      <c r="L876" s="143"/>
      <c r="M876" s="143"/>
      <c r="N876" s="143"/>
      <c r="O876" s="143"/>
      <c r="P876" s="143"/>
      <c r="Q876" s="143"/>
      <c r="R876" s="143"/>
      <c r="S876" s="143"/>
      <c r="T876" s="143"/>
      <c r="U876" s="143"/>
      <c r="V876" s="143"/>
      <c r="W876" s="143"/>
      <c r="X876" s="143"/>
      <c r="Y876" s="143"/>
      <c r="Z876" s="143"/>
      <c r="AA876" s="143"/>
      <c r="AB876" s="143"/>
      <c r="AC876" s="143"/>
      <c r="AD876" s="143"/>
      <c r="AE876" s="143"/>
      <c r="AF876" s="143"/>
      <c r="AG876" s="143"/>
      <c r="AH876" s="143"/>
      <c r="AI876" s="143"/>
      <c r="AJ876" s="143"/>
      <c r="AK876" s="143"/>
      <c r="AL876" s="143"/>
      <c r="AM876" s="143"/>
    </row>
    <row r="877" spans="1:39" ht="12.75" customHeight="1" x14ac:dyDescent="0.25">
      <c r="A877" s="143"/>
      <c r="B877" s="143"/>
      <c r="C877" s="143"/>
      <c r="D877" s="143"/>
      <c r="E877" s="143"/>
      <c r="F877" s="143"/>
      <c r="G877" s="143"/>
      <c r="H877" s="143"/>
      <c r="I877" s="143"/>
      <c r="J877" s="143"/>
      <c r="K877" s="143"/>
      <c r="L877" s="143"/>
      <c r="M877" s="143"/>
      <c r="N877" s="143"/>
      <c r="O877" s="143"/>
      <c r="P877" s="143"/>
      <c r="Q877" s="143"/>
      <c r="R877" s="143"/>
      <c r="S877" s="143"/>
      <c r="T877" s="143"/>
      <c r="U877" s="143"/>
      <c r="V877" s="143"/>
      <c r="W877" s="143"/>
      <c r="X877" s="143"/>
      <c r="Y877" s="143"/>
      <c r="Z877" s="143"/>
      <c r="AA877" s="143"/>
      <c r="AB877" s="143"/>
      <c r="AC877" s="143"/>
      <c r="AD877" s="143"/>
      <c r="AE877" s="143"/>
      <c r="AF877" s="143"/>
      <c r="AG877" s="143"/>
      <c r="AH877" s="143"/>
      <c r="AI877" s="143"/>
      <c r="AJ877" s="143"/>
      <c r="AK877" s="143"/>
      <c r="AL877" s="143"/>
      <c r="AM877" s="143"/>
    </row>
    <row r="878" spans="1:39" ht="12.75" customHeight="1" x14ac:dyDescent="0.25">
      <c r="A878" s="143"/>
      <c r="B878" s="143"/>
      <c r="C878" s="143"/>
      <c r="D878" s="143"/>
      <c r="E878" s="143"/>
      <c r="F878" s="143"/>
      <c r="G878" s="143"/>
      <c r="H878" s="143"/>
      <c r="I878" s="143"/>
      <c r="J878" s="143"/>
      <c r="K878" s="143"/>
      <c r="L878" s="143"/>
      <c r="M878" s="143"/>
      <c r="N878" s="143"/>
      <c r="O878" s="143"/>
      <c r="P878" s="143"/>
      <c r="Q878" s="143"/>
      <c r="R878" s="143"/>
      <c r="S878" s="143"/>
      <c r="T878" s="143"/>
      <c r="U878" s="143"/>
      <c r="V878" s="143"/>
      <c r="W878" s="143"/>
      <c r="X878" s="143"/>
      <c r="Y878" s="143"/>
      <c r="Z878" s="143"/>
      <c r="AA878" s="143"/>
      <c r="AB878" s="143"/>
      <c r="AC878" s="143"/>
      <c r="AD878" s="143"/>
      <c r="AE878" s="143"/>
      <c r="AF878" s="143"/>
      <c r="AG878" s="143"/>
      <c r="AH878" s="143"/>
      <c r="AI878" s="143"/>
      <c r="AJ878" s="143"/>
      <c r="AK878" s="143"/>
      <c r="AL878" s="143"/>
      <c r="AM878" s="143"/>
    </row>
    <row r="879" spans="1:39" ht="12.75" customHeight="1" x14ac:dyDescent="0.25">
      <c r="A879" s="143"/>
      <c r="B879" s="143"/>
      <c r="C879" s="143"/>
      <c r="D879" s="143"/>
      <c r="E879" s="143"/>
      <c r="F879" s="143"/>
      <c r="G879" s="143"/>
      <c r="H879" s="143"/>
      <c r="I879" s="143"/>
      <c r="J879" s="143"/>
      <c r="K879" s="143"/>
      <c r="L879" s="143"/>
      <c r="M879" s="143"/>
      <c r="N879" s="143"/>
      <c r="O879" s="143"/>
      <c r="P879" s="143"/>
      <c r="Q879" s="143"/>
      <c r="R879" s="143"/>
      <c r="S879" s="143"/>
      <c r="T879" s="143"/>
      <c r="U879" s="143"/>
      <c r="V879" s="143"/>
      <c r="W879" s="143"/>
      <c r="X879" s="143"/>
      <c r="Y879" s="143"/>
      <c r="Z879" s="143"/>
      <c r="AA879" s="143"/>
      <c r="AB879" s="143"/>
      <c r="AC879" s="143"/>
      <c r="AD879" s="143"/>
      <c r="AE879" s="143"/>
      <c r="AF879" s="143"/>
      <c r="AG879" s="143"/>
      <c r="AH879" s="143"/>
      <c r="AI879" s="143"/>
      <c r="AJ879" s="143"/>
      <c r="AK879" s="143"/>
      <c r="AL879" s="143"/>
      <c r="AM879" s="143"/>
    </row>
    <row r="880" spans="1:39" ht="12.75" customHeight="1" x14ac:dyDescent="0.25">
      <c r="A880" s="143"/>
      <c r="B880" s="143"/>
      <c r="C880" s="143"/>
      <c r="D880" s="143"/>
      <c r="E880" s="143"/>
      <c r="F880" s="143"/>
      <c r="G880" s="143"/>
      <c r="H880" s="143"/>
      <c r="I880" s="143"/>
      <c r="J880" s="143"/>
      <c r="K880" s="143"/>
      <c r="L880" s="143"/>
      <c r="M880" s="143"/>
      <c r="N880" s="143"/>
      <c r="O880" s="143"/>
      <c r="P880" s="143"/>
      <c r="Q880" s="143"/>
      <c r="R880" s="143"/>
      <c r="S880" s="143"/>
      <c r="T880" s="143"/>
      <c r="U880" s="143"/>
      <c r="V880" s="143"/>
      <c r="W880" s="143"/>
      <c r="X880" s="143"/>
      <c r="Y880" s="143"/>
      <c r="Z880" s="143"/>
      <c r="AA880" s="143"/>
      <c r="AB880" s="143"/>
      <c r="AC880" s="143"/>
      <c r="AD880" s="143"/>
      <c r="AE880" s="143"/>
      <c r="AF880" s="143"/>
      <c r="AG880" s="143"/>
      <c r="AH880" s="143"/>
      <c r="AI880" s="143"/>
      <c r="AJ880" s="143"/>
      <c r="AK880" s="143"/>
      <c r="AL880" s="143"/>
      <c r="AM880" s="143"/>
    </row>
    <row r="881" spans="1:39" ht="12.75" customHeight="1" x14ac:dyDescent="0.25">
      <c r="A881" s="143"/>
      <c r="B881" s="143"/>
      <c r="C881" s="143"/>
      <c r="D881" s="143"/>
      <c r="E881" s="143"/>
      <c r="F881" s="143"/>
      <c r="G881" s="143"/>
      <c r="H881" s="143"/>
      <c r="I881" s="143"/>
      <c r="J881" s="143"/>
      <c r="K881" s="143"/>
      <c r="L881" s="143"/>
      <c r="M881" s="143"/>
      <c r="N881" s="143"/>
      <c r="O881" s="143"/>
      <c r="P881" s="143"/>
      <c r="Q881" s="143"/>
      <c r="R881" s="143"/>
      <c r="S881" s="143"/>
      <c r="T881" s="143"/>
      <c r="U881" s="143"/>
      <c r="V881" s="143"/>
      <c r="W881" s="143"/>
      <c r="X881" s="143"/>
      <c r="Y881" s="143"/>
      <c r="Z881" s="143"/>
      <c r="AA881" s="143"/>
      <c r="AB881" s="143"/>
      <c r="AC881" s="143"/>
      <c r="AD881" s="143"/>
      <c r="AE881" s="143"/>
      <c r="AF881" s="143"/>
      <c r="AG881" s="143"/>
      <c r="AH881" s="143"/>
      <c r="AI881" s="143"/>
      <c r="AJ881" s="143"/>
      <c r="AK881" s="143"/>
      <c r="AL881" s="143"/>
      <c r="AM881" s="143"/>
    </row>
    <row r="882" spans="1:39" ht="12.75" customHeight="1" x14ac:dyDescent="0.25">
      <c r="A882" s="143"/>
      <c r="B882" s="143"/>
      <c r="C882" s="143"/>
      <c r="D882" s="143"/>
      <c r="E882" s="143"/>
      <c r="F882" s="143"/>
      <c r="G882" s="143"/>
      <c r="H882" s="143"/>
      <c r="I882" s="143"/>
      <c r="J882" s="143"/>
      <c r="K882" s="143"/>
      <c r="L882" s="143"/>
      <c r="M882" s="143"/>
      <c r="N882" s="143"/>
      <c r="O882" s="143"/>
      <c r="P882" s="143"/>
      <c r="Q882" s="143"/>
      <c r="R882" s="143"/>
      <c r="S882" s="143"/>
      <c r="T882" s="143"/>
      <c r="U882" s="143"/>
      <c r="V882" s="143"/>
      <c r="W882" s="143"/>
      <c r="X882" s="143"/>
      <c r="Y882" s="143"/>
      <c r="Z882" s="143"/>
      <c r="AA882" s="143"/>
      <c r="AB882" s="143"/>
      <c r="AC882" s="143"/>
      <c r="AD882" s="143"/>
      <c r="AE882" s="143"/>
      <c r="AF882" s="143"/>
      <c r="AG882" s="143"/>
      <c r="AH882" s="143"/>
      <c r="AI882" s="143"/>
      <c r="AJ882" s="143"/>
      <c r="AK882" s="143"/>
      <c r="AL882" s="143"/>
      <c r="AM882" s="143"/>
    </row>
    <row r="883" spans="1:39" ht="12.75" customHeight="1" x14ac:dyDescent="0.25">
      <c r="A883" s="143"/>
      <c r="B883" s="143"/>
      <c r="C883" s="143"/>
      <c r="D883" s="143"/>
      <c r="E883" s="143"/>
      <c r="F883" s="143"/>
      <c r="G883" s="143"/>
      <c r="H883" s="143"/>
      <c r="I883" s="143"/>
      <c r="J883" s="143"/>
      <c r="K883" s="143"/>
      <c r="L883" s="143"/>
      <c r="M883" s="143"/>
      <c r="N883" s="143"/>
      <c r="O883" s="143"/>
      <c r="P883" s="143"/>
      <c r="Q883" s="143"/>
      <c r="R883" s="143"/>
      <c r="S883" s="143"/>
      <c r="T883" s="143"/>
      <c r="U883" s="143"/>
      <c r="V883" s="143"/>
      <c r="W883" s="143"/>
      <c r="X883" s="143"/>
      <c r="Y883" s="143"/>
      <c r="Z883" s="143"/>
      <c r="AA883" s="143"/>
      <c r="AB883" s="143"/>
      <c r="AC883" s="143"/>
      <c r="AD883" s="143"/>
      <c r="AE883" s="143"/>
      <c r="AF883" s="143"/>
      <c r="AG883" s="143"/>
      <c r="AH883" s="143"/>
      <c r="AI883" s="143"/>
      <c r="AJ883" s="143"/>
      <c r="AK883" s="143"/>
      <c r="AL883" s="143"/>
      <c r="AM883" s="143"/>
    </row>
    <row r="884" spans="1:39" ht="12.75" customHeight="1" x14ac:dyDescent="0.25">
      <c r="A884" s="143"/>
      <c r="B884" s="143"/>
      <c r="C884" s="143"/>
      <c r="D884" s="143"/>
      <c r="E884" s="143"/>
      <c r="F884" s="143"/>
      <c r="G884" s="143"/>
      <c r="H884" s="143"/>
      <c r="I884" s="143"/>
      <c r="J884" s="143"/>
      <c r="K884" s="143"/>
      <c r="L884" s="143"/>
      <c r="M884" s="143"/>
      <c r="N884" s="143"/>
      <c r="O884" s="143"/>
      <c r="P884" s="143"/>
      <c r="Q884" s="143"/>
      <c r="R884" s="143"/>
      <c r="S884" s="143"/>
      <c r="T884" s="143"/>
      <c r="U884" s="143"/>
      <c r="V884" s="143"/>
      <c r="W884" s="143"/>
      <c r="X884" s="143"/>
      <c r="Y884" s="143"/>
      <c r="Z884" s="143"/>
      <c r="AA884" s="143"/>
      <c r="AB884" s="143"/>
      <c r="AC884" s="143"/>
      <c r="AD884" s="143"/>
      <c r="AE884" s="143"/>
      <c r="AF884" s="143"/>
      <c r="AG884" s="143"/>
      <c r="AH884" s="143"/>
      <c r="AI884" s="143"/>
      <c r="AJ884" s="143"/>
      <c r="AK884" s="143"/>
      <c r="AL884" s="143"/>
      <c r="AM884" s="143"/>
    </row>
    <row r="885" spans="1:39" ht="12.75" customHeight="1" x14ac:dyDescent="0.25">
      <c r="A885" s="143"/>
      <c r="B885" s="143"/>
      <c r="C885" s="143"/>
      <c r="D885" s="143"/>
      <c r="E885" s="143"/>
      <c r="F885" s="143"/>
      <c r="G885" s="143"/>
      <c r="H885" s="143"/>
      <c r="I885" s="143"/>
      <c r="J885" s="143"/>
      <c r="K885" s="143"/>
      <c r="L885" s="143"/>
      <c r="M885" s="143"/>
      <c r="N885" s="143"/>
      <c r="O885" s="143"/>
      <c r="P885" s="143"/>
      <c r="Q885" s="143"/>
      <c r="R885" s="143"/>
      <c r="S885" s="143"/>
      <c r="T885" s="143"/>
      <c r="U885" s="143"/>
      <c r="V885" s="143"/>
      <c r="W885" s="143"/>
      <c r="X885" s="143"/>
      <c r="Y885" s="143"/>
      <c r="Z885" s="143"/>
      <c r="AA885" s="143"/>
      <c r="AB885" s="143"/>
      <c r="AC885" s="143"/>
      <c r="AD885" s="143"/>
      <c r="AE885" s="143"/>
      <c r="AF885" s="143"/>
      <c r="AG885" s="143"/>
      <c r="AH885" s="143"/>
      <c r="AI885" s="143"/>
      <c r="AJ885" s="143"/>
      <c r="AK885" s="143"/>
      <c r="AL885" s="143"/>
      <c r="AM885" s="143"/>
    </row>
    <row r="886" spans="1:39" ht="12.75" customHeight="1" x14ac:dyDescent="0.25">
      <c r="A886" s="143"/>
      <c r="B886" s="143"/>
      <c r="C886" s="143"/>
      <c r="D886" s="143"/>
      <c r="E886" s="143"/>
      <c r="F886" s="143"/>
      <c r="G886" s="143"/>
      <c r="H886" s="143"/>
      <c r="I886" s="143"/>
      <c r="J886" s="143"/>
      <c r="K886" s="143"/>
      <c r="L886" s="143"/>
      <c r="M886" s="143"/>
      <c r="N886" s="143"/>
      <c r="O886" s="143"/>
      <c r="P886" s="143"/>
      <c r="Q886" s="143"/>
      <c r="R886" s="143"/>
      <c r="S886" s="143"/>
      <c r="T886" s="143"/>
      <c r="U886" s="143"/>
      <c r="V886" s="143"/>
      <c r="W886" s="143"/>
      <c r="X886" s="143"/>
      <c r="Y886" s="143"/>
      <c r="Z886" s="143"/>
      <c r="AA886" s="143"/>
      <c r="AB886" s="143"/>
      <c r="AC886" s="143"/>
      <c r="AD886" s="143"/>
      <c r="AE886" s="143"/>
      <c r="AF886" s="143"/>
      <c r="AG886" s="143"/>
      <c r="AH886" s="143"/>
      <c r="AI886" s="143"/>
      <c r="AJ886" s="143"/>
      <c r="AK886" s="143"/>
      <c r="AL886" s="143"/>
      <c r="AM886" s="143"/>
    </row>
    <row r="887" spans="1:39" ht="12.75" customHeight="1" x14ac:dyDescent="0.25">
      <c r="A887" s="143"/>
      <c r="B887" s="143"/>
      <c r="C887" s="143"/>
      <c r="D887" s="143"/>
      <c r="E887" s="143"/>
      <c r="F887" s="143"/>
      <c r="G887" s="143"/>
      <c r="H887" s="143"/>
      <c r="I887" s="143"/>
      <c r="J887" s="143"/>
      <c r="K887" s="143"/>
      <c r="L887" s="143"/>
      <c r="M887" s="143"/>
      <c r="N887" s="143"/>
      <c r="O887" s="143"/>
      <c r="P887" s="143"/>
      <c r="Q887" s="143"/>
      <c r="R887" s="143"/>
      <c r="S887" s="143"/>
      <c r="T887" s="143"/>
      <c r="U887" s="143"/>
      <c r="V887" s="143"/>
      <c r="W887" s="143"/>
      <c r="X887" s="143"/>
      <c r="Y887" s="143"/>
      <c r="Z887" s="143"/>
      <c r="AA887" s="143"/>
      <c r="AB887" s="143"/>
      <c r="AC887" s="143"/>
      <c r="AD887" s="143"/>
      <c r="AE887" s="143"/>
      <c r="AF887" s="143"/>
      <c r="AG887" s="143"/>
      <c r="AH887" s="143"/>
      <c r="AI887" s="143"/>
      <c r="AJ887" s="143"/>
      <c r="AK887" s="143"/>
      <c r="AL887" s="143"/>
      <c r="AM887" s="143"/>
    </row>
    <row r="888" spans="1:39" ht="12.75" customHeight="1" x14ac:dyDescent="0.25">
      <c r="A888" s="143"/>
      <c r="B888" s="143"/>
      <c r="C888" s="143"/>
      <c r="D888" s="143"/>
      <c r="E888" s="143"/>
      <c r="F888" s="143"/>
      <c r="G888" s="143"/>
      <c r="H888" s="143"/>
      <c r="I888" s="143"/>
      <c r="J888" s="143"/>
      <c r="K888" s="143"/>
      <c r="L888" s="143"/>
      <c r="M888" s="143"/>
      <c r="N888" s="143"/>
      <c r="O888" s="143"/>
      <c r="P888" s="143"/>
      <c r="Q888" s="143"/>
      <c r="R888" s="143"/>
      <c r="S888" s="143"/>
      <c r="T888" s="143"/>
      <c r="U888" s="143"/>
      <c r="V888" s="143"/>
      <c r="W888" s="143"/>
      <c r="X888" s="143"/>
      <c r="Y888" s="143"/>
      <c r="Z888" s="143"/>
      <c r="AA888" s="143"/>
      <c r="AB888" s="143"/>
      <c r="AC888" s="143"/>
      <c r="AD888" s="143"/>
      <c r="AE888" s="143"/>
      <c r="AF888" s="143"/>
      <c r="AG888" s="143"/>
      <c r="AH888" s="143"/>
      <c r="AI888" s="143"/>
      <c r="AJ888" s="143"/>
      <c r="AK888" s="143"/>
      <c r="AL888" s="143"/>
      <c r="AM888" s="143"/>
    </row>
    <row r="889" spans="1:39" ht="12.75" customHeight="1" x14ac:dyDescent="0.25">
      <c r="A889" s="143"/>
      <c r="B889" s="143"/>
      <c r="C889" s="143"/>
      <c r="D889" s="143"/>
      <c r="E889" s="143"/>
      <c r="F889" s="143"/>
      <c r="G889" s="143"/>
      <c r="H889" s="143"/>
      <c r="I889" s="143"/>
      <c r="J889" s="143"/>
      <c r="K889" s="143"/>
      <c r="L889" s="143"/>
      <c r="M889" s="143"/>
      <c r="N889" s="143"/>
      <c r="O889" s="143"/>
      <c r="P889" s="143"/>
      <c r="Q889" s="143"/>
      <c r="R889" s="143"/>
      <c r="S889" s="143"/>
      <c r="T889" s="143"/>
      <c r="U889" s="143"/>
      <c r="V889" s="143"/>
      <c r="W889" s="143"/>
      <c r="X889" s="143"/>
      <c r="Y889" s="143"/>
      <c r="Z889" s="143"/>
      <c r="AA889" s="143"/>
      <c r="AB889" s="143"/>
      <c r="AC889" s="143"/>
      <c r="AD889" s="143"/>
      <c r="AE889" s="143"/>
      <c r="AF889" s="143"/>
      <c r="AG889" s="143"/>
      <c r="AH889" s="143"/>
      <c r="AI889" s="143"/>
      <c r="AJ889" s="143"/>
      <c r="AK889" s="143"/>
      <c r="AL889" s="143"/>
      <c r="AM889" s="143"/>
    </row>
    <row r="890" spans="1:39" ht="12.75" customHeight="1" x14ac:dyDescent="0.25">
      <c r="A890" s="143"/>
      <c r="B890" s="143"/>
      <c r="C890" s="143"/>
      <c r="D890" s="143"/>
      <c r="E890" s="143"/>
      <c r="F890" s="143"/>
      <c r="G890" s="143"/>
      <c r="H890" s="143"/>
      <c r="I890" s="143"/>
      <c r="J890" s="143"/>
      <c r="K890" s="143"/>
      <c r="L890" s="143"/>
      <c r="M890" s="143"/>
      <c r="N890" s="143"/>
      <c r="O890" s="143"/>
      <c r="P890" s="143"/>
      <c r="Q890" s="143"/>
      <c r="R890" s="143"/>
      <c r="S890" s="143"/>
      <c r="T890" s="143"/>
      <c r="U890" s="143"/>
      <c r="V890" s="143"/>
      <c r="W890" s="143"/>
      <c r="X890" s="143"/>
      <c r="Y890" s="143"/>
      <c r="Z890" s="143"/>
      <c r="AA890" s="143"/>
      <c r="AB890" s="143"/>
      <c r="AC890" s="143"/>
      <c r="AD890" s="143"/>
      <c r="AE890" s="143"/>
      <c r="AF890" s="143"/>
      <c r="AG890" s="143"/>
      <c r="AH890" s="143"/>
      <c r="AI890" s="143"/>
      <c r="AJ890" s="143"/>
      <c r="AK890" s="143"/>
      <c r="AL890" s="143"/>
      <c r="AM890" s="143"/>
    </row>
    <row r="891" spans="1:39" ht="12.75" customHeight="1" x14ac:dyDescent="0.25">
      <c r="A891" s="143"/>
      <c r="B891" s="143"/>
      <c r="C891" s="143"/>
      <c r="D891" s="143"/>
      <c r="E891" s="143"/>
      <c r="F891" s="143"/>
      <c r="G891" s="143"/>
      <c r="H891" s="143"/>
      <c r="I891" s="143"/>
      <c r="J891" s="143"/>
      <c r="K891" s="143"/>
      <c r="L891" s="143"/>
      <c r="M891" s="143"/>
      <c r="N891" s="143"/>
      <c r="O891" s="143"/>
      <c r="P891" s="143"/>
      <c r="Q891" s="143"/>
      <c r="R891" s="143"/>
      <c r="S891" s="143"/>
      <c r="T891" s="143"/>
      <c r="U891" s="143"/>
      <c r="V891" s="143"/>
      <c r="W891" s="143"/>
      <c r="X891" s="143"/>
      <c r="Y891" s="143"/>
      <c r="Z891" s="143"/>
      <c r="AA891" s="143"/>
      <c r="AB891" s="143"/>
      <c r="AC891" s="143"/>
      <c r="AD891" s="143"/>
      <c r="AE891" s="143"/>
      <c r="AF891" s="143"/>
      <c r="AG891" s="143"/>
      <c r="AH891" s="143"/>
      <c r="AI891" s="143"/>
      <c r="AJ891" s="143"/>
      <c r="AK891" s="143"/>
      <c r="AL891" s="143"/>
      <c r="AM891" s="143"/>
    </row>
    <row r="892" spans="1:39" ht="12.75" customHeight="1" x14ac:dyDescent="0.25">
      <c r="A892" s="143"/>
      <c r="B892" s="143"/>
      <c r="C892" s="143"/>
      <c r="D892" s="143"/>
      <c r="E892" s="143"/>
      <c r="F892" s="143"/>
      <c r="G892" s="143"/>
      <c r="H892" s="143"/>
      <c r="I892" s="143"/>
      <c r="J892" s="143"/>
      <c r="K892" s="143"/>
      <c r="L892" s="143"/>
      <c r="M892" s="143"/>
      <c r="N892" s="143"/>
      <c r="O892" s="143"/>
      <c r="P892" s="143"/>
      <c r="Q892" s="143"/>
      <c r="R892" s="143"/>
      <c r="S892" s="143"/>
      <c r="T892" s="143"/>
      <c r="U892" s="143"/>
      <c r="V892" s="143"/>
      <c r="W892" s="143"/>
      <c r="X892" s="143"/>
      <c r="Y892" s="143"/>
      <c r="Z892" s="143"/>
      <c r="AA892" s="143"/>
      <c r="AB892" s="143"/>
      <c r="AC892" s="143"/>
      <c r="AD892" s="143"/>
      <c r="AE892" s="143"/>
      <c r="AF892" s="143"/>
      <c r="AG892" s="143"/>
      <c r="AH892" s="143"/>
      <c r="AI892" s="143"/>
      <c r="AJ892" s="143"/>
      <c r="AK892" s="143"/>
      <c r="AL892" s="143"/>
      <c r="AM892" s="143"/>
    </row>
    <row r="893" spans="1:39" ht="12.75" customHeight="1" x14ac:dyDescent="0.25">
      <c r="A893" s="143"/>
      <c r="B893" s="143"/>
      <c r="C893" s="143"/>
      <c r="D893" s="143"/>
      <c r="E893" s="143"/>
      <c r="F893" s="143"/>
      <c r="G893" s="143"/>
      <c r="H893" s="143"/>
      <c r="I893" s="143"/>
      <c r="J893" s="143"/>
      <c r="K893" s="143"/>
      <c r="L893" s="143"/>
      <c r="M893" s="143"/>
      <c r="N893" s="143"/>
      <c r="O893" s="143"/>
      <c r="P893" s="143"/>
      <c r="Q893" s="143"/>
      <c r="R893" s="143"/>
      <c r="S893" s="143"/>
      <c r="T893" s="143"/>
      <c r="U893" s="143"/>
      <c r="V893" s="143"/>
      <c r="W893" s="143"/>
      <c r="X893" s="143"/>
      <c r="Y893" s="143"/>
      <c r="Z893" s="143"/>
      <c r="AA893" s="143"/>
      <c r="AB893" s="143"/>
      <c r="AC893" s="143"/>
      <c r="AD893" s="143"/>
      <c r="AE893" s="143"/>
      <c r="AF893" s="143"/>
      <c r="AG893" s="143"/>
      <c r="AH893" s="143"/>
      <c r="AI893" s="143"/>
      <c r="AJ893" s="143"/>
      <c r="AK893" s="143"/>
      <c r="AL893" s="143"/>
      <c r="AM893" s="143"/>
    </row>
    <row r="894" spans="1:39" ht="12.75" customHeight="1" x14ac:dyDescent="0.25">
      <c r="A894" s="143"/>
      <c r="B894" s="143"/>
      <c r="C894" s="143"/>
      <c r="D894" s="143"/>
      <c r="E894" s="143"/>
      <c r="F894" s="143"/>
      <c r="G894" s="143"/>
      <c r="H894" s="143"/>
      <c r="I894" s="143"/>
      <c r="J894" s="143"/>
      <c r="K894" s="143"/>
      <c r="L894" s="143"/>
      <c r="M894" s="143"/>
      <c r="N894" s="143"/>
      <c r="O894" s="143"/>
      <c r="P894" s="143"/>
      <c r="Q894" s="143"/>
      <c r="R894" s="143"/>
      <c r="S894" s="143"/>
      <c r="T894" s="143"/>
      <c r="U894" s="143"/>
      <c r="V894" s="143"/>
      <c r="W894" s="143"/>
      <c r="X894" s="143"/>
      <c r="Y894" s="143"/>
      <c r="Z894" s="143"/>
      <c r="AA894" s="143"/>
      <c r="AB894" s="143"/>
      <c r="AC894" s="143"/>
      <c r="AD894" s="143"/>
      <c r="AE894" s="143"/>
      <c r="AF894" s="143"/>
      <c r="AG894" s="143"/>
      <c r="AH894" s="143"/>
      <c r="AI894" s="143"/>
      <c r="AJ894" s="143"/>
      <c r="AK894" s="143"/>
      <c r="AL894" s="143"/>
      <c r="AM894" s="143"/>
    </row>
    <row r="895" spans="1:39" ht="12.75" customHeight="1" x14ac:dyDescent="0.25">
      <c r="A895" s="143"/>
      <c r="B895" s="143"/>
      <c r="C895" s="143"/>
      <c r="D895" s="143"/>
      <c r="E895" s="143"/>
      <c r="F895" s="143"/>
      <c r="G895" s="143"/>
      <c r="H895" s="143"/>
      <c r="I895" s="143"/>
      <c r="J895" s="143"/>
      <c r="K895" s="143"/>
      <c r="L895" s="143"/>
      <c r="M895" s="143"/>
      <c r="N895" s="143"/>
      <c r="O895" s="143"/>
      <c r="P895" s="143"/>
      <c r="Q895" s="143"/>
      <c r="R895" s="143"/>
      <c r="S895" s="143"/>
      <c r="T895" s="143"/>
      <c r="U895" s="143"/>
      <c r="V895" s="143"/>
      <c r="W895" s="143"/>
      <c r="X895" s="143"/>
      <c r="Y895" s="143"/>
      <c r="Z895" s="143"/>
      <c r="AA895" s="143"/>
      <c r="AB895" s="143"/>
      <c r="AC895" s="143"/>
      <c r="AD895" s="143"/>
      <c r="AE895" s="143"/>
      <c r="AF895" s="143"/>
      <c r="AG895" s="143"/>
      <c r="AH895" s="143"/>
      <c r="AI895" s="143"/>
      <c r="AJ895" s="143"/>
      <c r="AK895" s="143"/>
      <c r="AL895" s="143"/>
      <c r="AM895" s="143"/>
    </row>
    <row r="896" spans="1:39" ht="12.75" customHeight="1" x14ac:dyDescent="0.25">
      <c r="A896" s="143"/>
      <c r="B896" s="143"/>
      <c r="C896" s="143"/>
      <c r="D896" s="143"/>
      <c r="E896" s="143"/>
      <c r="F896" s="143"/>
      <c r="G896" s="143"/>
      <c r="H896" s="143"/>
      <c r="I896" s="143"/>
      <c r="J896" s="143"/>
      <c r="K896" s="143"/>
      <c r="L896" s="143"/>
      <c r="M896" s="143"/>
      <c r="N896" s="143"/>
      <c r="O896" s="143"/>
      <c r="P896" s="143"/>
      <c r="Q896" s="143"/>
      <c r="R896" s="143"/>
      <c r="S896" s="143"/>
      <c r="T896" s="143"/>
      <c r="U896" s="143"/>
      <c r="V896" s="143"/>
      <c r="W896" s="143"/>
      <c r="X896" s="143"/>
      <c r="Y896" s="143"/>
      <c r="Z896" s="143"/>
      <c r="AA896" s="143"/>
      <c r="AB896" s="143"/>
      <c r="AC896" s="143"/>
      <c r="AD896" s="143"/>
      <c r="AE896" s="143"/>
      <c r="AF896" s="143"/>
      <c r="AG896" s="143"/>
      <c r="AH896" s="143"/>
      <c r="AI896" s="143"/>
      <c r="AJ896" s="143"/>
      <c r="AK896" s="143"/>
      <c r="AL896" s="143"/>
      <c r="AM896" s="143"/>
    </row>
    <row r="897" spans="1:39" ht="12.75" customHeight="1" x14ac:dyDescent="0.25">
      <c r="A897" s="143"/>
      <c r="B897" s="143"/>
      <c r="C897" s="143"/>
      <c r="D897" s="143"/>
      <c r="E897" s="143"/>
      <c r="F897" s="143"/>
      <c r="G897" s="143"/>
      <c r="H897" s="143"/>
      <c r="I897" s="143"/>
      <c r="J897" s="143"/>
      <c r="K897" s="143"/>
      <c r="L897" s="143"/>
      <c r="M897" s="143"/>
      <c r="N897" s="143"/>
      <c r="O897" s="143"/>
      <c r="P897" s="143"/>
      <c r="Q897" s="143"/>
      <c r="R897" s="143"/>
      <c r="S897" s="143"/>
      <c r="T897" s="143"/>
      <c r="U897" s="143"/>
      <c r="V897" s="143"/>
      <c r="W897" s="143"/>
      <c r="X897" s="143"/>
      <c r="Y897" s="143"/>
      <c r="Z897" s="143"/>
      <c r="AA897" s="143"/>
      <c r="AB897" s="143"/>
      <c r="AC897" s="143"/>
      <c r="AD897" s="143"/>
      <c r="AE897" s="143"/>
      <c r="AF897" s="143"/>
      <c r="AG897" s="143"/>
      <c r="AH897" s="143"/>
      <c r="AI897" s="143"/>
      <c r="AJ897" s="143"/>
      <c r="AK897" s="143"/>
      <c r="AL897" s="143"/>
      <c r="AM897" s="143"/>
    </row>
    <row r="898" spans="1:39" ht="12.75" customHeight="1" x14ac:dyDescent="0.25">
      <c r="A898" s="143"/>
      <c r="B898" s="143"/>
      <c r="C898" s="143"/>
      <c r="D898" s="143"/>
      <c r="E898" s="143"/>
      <c r="F898" s="143"/>
      <c r="G898" s="143"/>
      <c r="H898" s="143"/>
      <c r="I898" s="143"/>
      <c r="J898" s="143"/>
      <c r="K898" s="143"/>
      <c r="L898" s="143"/>
      <c r="M898" s="143"/>
      <c r="N898" s="143"/>
      <c r="O898" s="143"/>
      <c r="P898" s="143"/>
      <c r="Q898" s="143"/>
      <c r="R898" s="143"/>
      <c r="S898" s="143"/>
      <c r="T898" s="143"/>
      <c r="U898" s="143"/>
      <c r="V898" s="143"/>
      <c r="W898" s="143"/>
      <c r="X898" s="143"/>
      <c r="Y898" s="143"/>
      <c r="Z898" s="143"/>
      <c r="AA898" s="143"/>
      <c r="AB898" s="143"/>
      <c r="AC898" s="143"/>
      <c r="AD898" s="143"/>
      <c r="AE898" s="143"/>
      <c r="AF898" s="143"/>
      <c r="AG898" s="143"/>
      <c r="AH898" s="143"/>
      <c r="AI898" s="143"/>
      <c r="AJ898" s="143"/>
      <c r="AK898" s="143"/>
      <c r="AL898" s="143"/>
      <c r="AM898" s="143"/>
    </row>
    <row r="899" spans="1:39" ht="12.75" customHeight="1" x14ac:dyDescent="0.25">
      <c r="A899" s="143"/>
      <c r="B899" s="143"/>
      <c r="C899" s="143"/>
      <c r="D899" s="143"/>
      <c r="E899" s="143"/>
      <c r="F899" s="143"/>
      <c r="G899" s="143"/>
      <c r="H899" s="143"/>
      <c r="I899" s="143"/>
      <c r="J899" s="143"/>
      <c r="K899" s="143"/>
      <c r="L899" s="143"/>
      <c r="M899" s="143"/>
      <c r="N899" s="143"/>
      <c r="O899" s="143"/>
      <c r="P899" s="143"/>
      <c r="Q899" s="143"/>
      <c r="R899" s="143"/>
      <c r="S899" s="143"/>
      <c r="T899" s="143"/>
      <c r="U899" s="143"/>
      <c r="V899" s="143"/>
      <c r="W899" s="143"/>
      <c r="X899" s="143"/>
      <c r="Y899" s="143"/>
      <c r="Z899" s="143"/>
      <c r="AA899" s="143"/>
      <c r="AB899" s="143"/>
      <c r="AC899" s="143"/>
      <c r="AD899" s="143"/>
      <c r="AE899" s="143"/>
      <c r="AF899" s="143"/>
      <c r="AG899" s="143"/>
      <c r="AH899" s="143"/>
      <c r="AI899" s="143"/>
      <c r="AJ899" s="143"/>
      <c r="AK899" s="143"/>
      <c r="AL899" s="143"/>
      <c r="AM899" s="143"/>
    </row>
    <row r="900" spans="1:39" ht="12.75" customHeight="1" x14ac:dyDescent="0.25">
      <c r="A900" s="143"/>
      <c r="B900" s="143"/>
      <c r="C900" s="143"/>
      <c r="D900" s="143"/>
      <c r="E900" s="143"/>
      <c r="F900" s="143"/>
      <c r="G900" s="143"/>
      <c r="H900" s="143"/>
      <c r="I900" s="143"/>
      <c r="J900" s="143"/>
      <c r="K900" s="143"/>
      <c r="L900" s="143"/>
      <c r="M900" s="143"/>
      <c r="N900" s="143"/>
      <c r="O900" s="143"/>
      <c r="P900" s="143"/>
      <c r="Q900" s="143"/>
      <c r="R900" s="143"/>
      <c r="S900" s="143"/>
      <c r="T900" s="143"/>
      <c r="U900" s="143"/>
      <c r="V900" s="143"/>
      <c r="W900" s="143"/>
      <c r="X900" s="143"/>
      <c r="Y900" s="143"/>
      <c r="Z900" s="143"/>
      <c r="AA900" s="143"/>
      <c r="AB900" s="143"/>
      <c r="AC900" s="143"/>
      <c r="AD900" s="143"/>
      <c r="AE900" s="143"/>
      <c r="AF900" s="143"/>
      <c r="AG900" s="143"/>
      <c r="AH900" s="143"/>
      <c r="AI900" s="143"/>
      <c r="AJ900" s="143"/>
      <c r="AK900" s="143"/>
      <c r="AL900" s="143"/>
      <c r="AM900" s="143"/>
    </row>
    <row r="901" spans="1:39" ht="12.75" customHeight="1" x14ac:dyDescent="0.25">
      <c r="A901" s="143"/>
      <c r="B901" s="143"/>
      <c r="C901" s="143"/>
      <c r="D901" s="143"/>
      <c r="E901" s="143"/>
      <c r="F901" s="143"/>
      <c r="G901" s="143"/>
      <c r="H901" s="143"/>
      <c r="I901" s="143"/>
      <c r="J901" s="143"/>
      <c r="K901" s="143"/>
      <c r="L901" s="143"/>
      <c r="M901" s="143"/>
      <c r="N901" s="143"/>
      <c r="O901" s="143"/>
      <c r="P901" s="143"/>
      <c r="Q901" s="143"/>
      <c r="R901" s="143"/>
      <c r="S901" s="143"/>
      <c r="T901" s="143"/>
      <c r="U901" s="143"/>
      <c r="V901" s="143"/>
      <c r="W901" s="143"/>
      <c r="X901" s="143"/>
      <c r="Y901" s="143"/>
      <c r="Z901" s="143"/>
      <c r="AA901" s="143"/>
      <c r="AB901" s="143"/>
      <c r="AC901" s="143"/>
      <c r="AD901" s="143"/>
      <c r="AE901" s="143"/>
      <c r="AF901" s="143"/>
      <c r="AG901" s="143"/>
      <c r="AH901" s="143"/>
      <c r="AI901" s="143"/>
      <c r="AJ901" s="143"/>
      <c r="AK901" s="143"/>
      <c r="AL901" s="143"/>
      <c r="AM901" s="143"/>
    </row>
    <row r="902" spans="1:39" ht="12.75" customHeight="1" x14ac:dyDescent="0.25">
      <c r="A902" s="143"/>
      <c r="B902" s="143"/>
      <c r="C902" s="143"/>
      <c r="D902" s="143"/>
      <c r="E902" s="143"/>
      <c r="F902" s="143"/>
      <c r="G902" s="143"/>
      <c r="H902" s="143"/>
      <c r="I902" s="143"/>
      <c r="J902" s="143"/>
      <c r="K902" s="143"/>
      <c r="L902" s="143"/>
      <c r="M902" s="143"/>
      <c r="N902" s="143"/>
      <c r="O902" s="143"/>
      <c r="P902" s="143"/>
      <c r="Q902" s="143"/>
      <c r="R902" s="143"/>
      <c r="S902" s="143"/>
      <c r="T902" s="143"/>
      <c r="U902" s="143"/>
      <c r="V902" s="143"/>
      <c r="W902" s="143"/>
      <c r="X902" s="143"/>
      <c r="Y902" s="143"/>
      <c r="Z902" s="143"/>
      <c r="AA902" s="143"/>
      <c r="AB902" s="143"/>
      <c r="AC902" s="143"/>
      <c r="AD902" s="143"/>
      <c r="AE902" s="143"/>
      <c r="AF902" s="143"/>
      <c r="AG902" s="143"/>
      <c r="AH902" s="143"/>
      <c r="AI902" s="143"/>
      <c r="AJ902" s="143"/>
      <c r="AK902" s="143"/>
      <c r="AL902" s="143"/>
      <c r="AM902" s="143"/>
    </row>
    <row r="903" spans="1:39" ht="12.75" customHeight="1" x14ac:dyDescent="0.25">
      <c r="A903" s="143"/>
      <c r="B903" s="143"/>
      <c r="C903" s="143"/>
      <c r="D903" s="143"/>
      <c r="E903" s="143"/>
      <c r="F903" s="143"/>
      <c r="G903" s="143"/>
      <c r="H903" s="143"/>
      <c r="I903" s="143"/>
      <c r="J903" s="143"/>
      <c r="K903" s="143"/>
      <c r="L903" s="143"/>
      <c r="M903" s="143"/>
      <c r="N903" s="143"/>
      <c r="O903" s="143"/>
      <c r="P903" s="143"/>
      <c r="Q903" s="143"/>
      <c r="R903" s="143"/>
      <c r="S903" s="143"/>
      <c r="T903" s="143"/>
      <c r="U903" s="143"/>
      <c r="V903" s="143"/>
      <c r="W903" s="143"/>
      <c r="X903" s="143"/>
      <c r="Y903" s="143"/>
      <c r="Z903" s="143"/>
      <c r="AA903" s="143"/>
      <c r="AB903" s="143"/>
      <c r="AC903" s="143"/>
      <c r="AD903" s="143"/>
      <c r="AE903" s="143"/>
      <c r="AF903" s="143"/>
      <c r="AG903" s="143"/>
      <c r="AH903" s="143"/>
      <c r="AI903" s="143"/>
      <c r="AJ903" s="143"/>
      <c r="AK903" s="143"/>
      <c r="AL903" s="143"/>
      <c r="AM903" s="143"/>
    </row>
    <row r="904" spans="1:39" ht="12.75" customHeight="1" x14ac:dyDescent="0.25">
      <c r="A904" s="143"/>
      <c r="B904" s="143"/>
      <c r="C904" s="143"/>
      <c r="D904" s="143"/>
      <c r="E904" s="143"/>
      <c r="F904" s="143"/>
      <c r="G904" s="143"/>
      <c r="H904" s="143"/>
      <c r="I904" s="143"/>
      <c r="J904" s="143"/>
      <c r="K904" s="143"/>
      <c r="L904" s="143"/>
      <c r="M904" s="143"/>
      <c r="N904" s="143"/>
      <c r="O904" s="143"/>
      <c r="P904" s="143"/>
      <c r="Q904" s="143"/>
      <c r="R904" s="143"/>
      <c r="S904" s="143"/>
      <c r="T904" s="143"/>
      <c r="U904" s="143"/>
      <c r="V904" s="143"/>
      <c r="W904" s="143"/>
      <c r="X904" s="143"/>
      <c r="Y904" s="143"/>
      <c r="Z904" s="143"/>
      <c r="AA904" s="143"/>
      <c r="AB904" s="143"/>
      <c r="AC904" s="143"/>
      <c r="AD904" s="143"/>
      <c r="AE904" s="143"/>
      <c r="AF904" s="143"/>
      <c r="AG904" s="143"/>
      <c r="AH904" s="143"/>
      <c r="AI904" s="143"/>
      <c r="AJ904" s="143"/>
      <c r="AK904" s="143"/>
      <c r="AL904" s="143"/>
      <c r="AM904" s="143"/>
    </row>
    <row r="905" spans="1:39" ht="12.75" customHeight="1" x14ac:dyDescent="0.25">
      <c r="A905" s="143"/>
      <c r="B905" s="143"/>
      <c r="C905" s="143"/>
      <c r="D905" s="143"/>
      <c r="E905" s="143"/>
      <c r="F905" s="143"/>
      <c r="G905" s="143"/>
      <c r="H905" s="143"/>
      <c r="I905" s="143"/>
      <c r="J905" s="143"/>
      <c r="K905" s="143"/>
      <c r="L905" s="143"/>
      <c r="M905" s="143"/>
      <c r="N905" s="143"/>
      <c r="O905" s="143"/>
      <c r="P905" s="143"/>
      <c r="Q905" s="143"/>
      <c r="R905" s="143"/>
      <c r="S905" s="143"/>
      <c r="T905" s="143"/>
      <c r="U905" s="143"/>
      <c r="V905" s="143"/>
      <c r="W905" s="143"/>
      <c r="X905" s="143"/>
      <c r="Y905" s="143"/>
      <c r="Z905" s="143"/>
      <c r="AA905" s="143"/>
      <c r="AB905" s="143"/>
      <c r="AC905" s="143"/>
      <c r="AD905" s="143"/>
      <c r="AE905" s="143"/>
      <c r="AF905" s="143"/>
      <c r="AG905" s="143"/>
      <c r="AH905" s="143"/>
      <c r="AI905" s="143"/>
      <c r="AJ905" s="143"/>
      <c r="AK905" s="143"/>
      <c r="AL905" s="143"/>
      <c r="AM905" s="143"/>
    </row>
    <row r="906" spans="1:39" ht="12.75" customHeight="1" x14ac:dyDescent="0.25">
      <c r="A906" s="143"/>
      <c r="B906" s="143"/>
      <c r="C906" s="143"/>
      <c r="D906" s="143"/>
      <c r="E906" s="143"/>
      <c r="F906" s="143"/>
      <c r="G906" s="143"/>
      <c r="H906" s="143"/>
      <c r="I906" s="143"/>
      <c r="J906" s="143"/>
      <c r="K906" s="143"/>
      <c r="L906" s="143"/>
      <c r="M906" s="143"/>
      <c r="N906" s="143"/>
      <c r="O906" s="143"/>
      <c r="P906" s="143"/>
      <c r="Q906" s="143"/>
      <c r="R906" s="143"/>
      <c r="S906" s="143"/>
      <c r="T906" s="143"/>
      <c r="U906" s="143"/>
      <c r="V906" s="143"/>
      <c r="W906" s="143"/>
      <c r="X906" s="143"/>
      <c r="Y906" s="143"/>
      <c r="Z906" s="143"/>
      <c r="AA906" s="143"/>
      <c r="AB906" s="143"/>
      <c r="AC906" s="143"/>
      <c r="AD906" s="143"/>
      <c r="AE906" s="143"/>
      <c r="AF906" s="143"/>
      <c r="AG906" s="143"/>
      <c r="AH906" s="143"/>
      <c r="AI906" s="143"/>
      <c r="AJ906" s="143"/>
      <c r="AK906" s="143"/>
      <c r="AL906" s="143"/>
      <c r="AM906" s="143"/>
    </row>
    <row r="907" spans="1:39" ht="12.75" customHeight="1" x14ac:dyDescent="0.25">
      <c r="A907" s="143"/>
      <c r="B907" s="143"/>
      <c r="C907" s="143"/>
      <c r="D907" s="143"/>
      <c r="E907" s="143"/>
      <c r="F907" s="143"/>
      <c r="G907" s="143"/>
      <c r="H907" s="143"/>
      <c r="I907" s="143"/>
      <c r="J907" s="143"/>
      <c r="K907" s="143"/>
      <c r="L907" s="143"/>
      <c r="M907" s="143"/>
      <c r="N907" s="143"/>
      <c r="O907" s="143"/>
      <c r="P907" s="143"/>
      <c r="Q907" s="143"/>
      <c r="R907" s="143"/>
      <c r="S907" s="143"/>
      <c r="T907" s="143"/>
      <c r="U907" s="143"/>
      <c r="V907" s="143"/>
      <c r="W907" s="143"/>
      <c r="X907" s="143"/>
      <c r="Y907" s="143"/>
      <c r="Z907" s="143"/>
      <c r="AA907" s="143"/>
      <c r="AB907" s="143"/>
      <c r="AC907" s="143"/>
      <c r="AD907" s="143"/>
      <c r="AE907" s="143"/>
      <c r="AF907" s="143"/>
      <c r="AG907" s="143"/>
      <c r="AH907" s="143"/>
      <c r="AI907" s="143"/>
      <c r="AJ907" s="143"/>
      <c r="AK907" s="143"/>
      <c r="AL907" s="143"/>
      <c r="AM907" s="143"/>
    </row>
    <row r="908" spans="1:39" ht="12.75" customHeight="1" x14ac:dyDescent="0.25">
      <c r="A908" s="143"/>
      <c r="B908" s="143"/>
      <c r="C908" s="143"/>
      <c r="D908" s="143"/>
      <c r="E908" s="143"/>
      <c r="F908" s="143"/>
      <c r="G908" s="143"/>
      <c r="H908" s="143"/>
      <c r="I908" s="143"/>
      <c r="J908" s="143"/>
      <c r="K908" s="143"/>
      <c r="L908" s="143"/>
      <c r="M908" s="143"/>
      <c r="N908" s="143"/>
      <c r="O908" s="143"/>
      <c r="P908" s="143"/>
      <c r="Q908" s="143"/>
      <c r="R908" s="143"/>
      <c r="S908" s="143"/>
      <c r="T908" s="143"/>
      <c r="U908" s="143"/>
      <c r="V908" s="143"/>
      <c r="W908" s="143"/>
      <c r="X908" s="143"/>
      <c r="Y908" s="143"/>
      <c r="Z908" s="143"/>
      <c r="AA908" s="143"/>
      <c r="AB908" s="143"/>
      <c r="AC908" s="143"/>
      <c r="AD908" s="143"/>
      <c r="AE908" s="143"/>
      <c r="AF908" s="143"/>
      <c r="AG908" s="143"/>
      <c r="AH908" s="143"/>
      <c r="AI908" s="143"/>
      <c r="AJ908" s="143"/>
      <c r="AK908" s="143"/>
      <c r="AL908" s="143"/>
      <c r="AM908" s="143"/>
    </row>
    <row r="909" spans="1:39" ht="12.75" customHeight="1" x14ac:dyDescent="0.25">
      <c r="A909" s="143"/>
      <c r="B909" s="143"/>
      <c r="C909" s="143"/>
      <c r="D909" s="143"/>
      <c r="E909" s="143"/>
      <c r="F909" s="143"/>
      <c r="G909" s="143"/>
      <c r="H909" s="143"/>
      <c r="I909" s="143"/>
      <c r="J909" s="143"/>
      <c r="K909" s="143"/>
      <c r="L909" s="143"/>
      <c r="M909" s="143"/>
      <c r="N909" s="143"/>
      <c r="O909" s="143"/>
      <c r="P909" s="143"/>
      <c r="Q909" s="143"/>
      <c r="R909" s="143"/>
      <c r="S909" s="143"/>
      <c r="T909" s="143"/>
      <c r="U909" s="143"/>
      <c r="V909" s="143"/>
      <c r="W909" s="143"/>
      <c r="X909" s="143"/>
      <c r="Y909" s="143"/>
      <c r="Z909" s="143"/>
      <c r="AA909" s="143"/>
      <c r="AB909" s="143"/>
      <c r="AC909" s="143"/>
      <c r="AD909" s="143"/>
      <c r="AE909" s="143"/>
      <c r="AF909" s="143"/>
      <c r="AG909" s="143"/>
      <c r="AH909" s="143"/>
      <c r="AI909" s="143"/>
      <c r="AJ909" s="143"/>
      <c r="AK909" s="143"/>
      <c r="AL909" s="143"/>
      <c r="AM909" s="143"/>
    </row>
    <row r="910" spans="1:39" ht="12.75" customHeight="1" x14ac:dyDescent="0.25">
      <c r="A910" s="143"/>
      <c r="B910" s="143"/>
      <c r="C910" s="143"/>
      <c r="D910" s="143"/>
      <c r="E910" s="143"/>
      <c r="F910" s="143"/>
      <c r="G910" s="143"/>
      <c r="H910" s="143"/>
      <c r="I910" s="143"/>
      <c r="J910" s="143"/>
      <c r="K910" s="143"/>
      <c r="L910" s="143"/>
      <c r="M910" s="143"/>
      <c r="N910" s="143"/>
      <c r="O910" s="143"/>
      <c r="P910" s="143"/>
      <c r="Q910" s="143"/>
      <c r="R910" s="143"/>
      <c r="S910" s="143"/>
      <c r="T910" s="143"/>
      <c r="U910" s="143"/>
      <c r="V910" s="143"/>
      <c r="W910" s="143"/>
      <c r="X910" s="143"/>
      <c r="Y910" s="143"/>
      <c r="Z910" s="143"/>
      <c r="AA910" s="143"/>
      <c r="AB910" s="143"/>
      <c r="AC910" s="143"/>
      <c r="AD910" s="143"/>
      <c r="AE910" s="143"/>
      <c r="AF910" s="143"/>
      <c r="AG910" s="143"/>
      <c r="AH910" s="143"/>
      <c r="AI910" s="143"/>
      <c r="AJ910" s="143"/>
      <c r="AK910" s="143"/>
      <c r="AL910" s="143"/>
      <c r="AM910" s="143"/>
    </row>
    <row r="911" spans="1:39" ht="12.75" customHeight="1" x14ac:dyDescent="0.25">
      <c r="A911" s="143"/>
      <c r="B911" s="143"/>
      <c r="C911" s="143"/>
      <c r="D911" s="143"/>
      <c r="E911" s="143"/>
      <c r="F911" s="143"/>
      <c r="G911" s="143"/>
      <c r="H911" s="143"/>
      <c r="I911" s="143"/>
      <c r="J911" s="143"/>
      <c r="K911" s="143"/>
      <c r="L911" s="143"/>
      <c r="M911" s="143"/>
      <c r="N911" s="143"/>
      <c r="O911" s="143"/>
      <c r="P911" s="143"/>
      <c r="Q911" s="143"/>
      <c r="R911" s="143"/>
      <c r="S911" s="143"/>
      <c r="T911" s="143"/>
      <c r="U911" s="143"/>
      <c r="V911" s="143"/>
      <c r="W911" s="143"/>
      <c r="X911" s="143"/>
      <c r="Y911" s="143"/>
      <c r="Z911" s="143"/>
      <c r="AA911" s="143"/>
      <c r="AB911" s="143"/>
      <c r="AC911" s="143"/>
      <c r="AD911" s="143"/>
      <c r="AE911" s="143"/>
      <c r="AF911" s="143"/>
      <c r="AG911" s="143"/>
      <c r="AH911" s="143"/>
      <c r="AI911" s="143"/>
      <c r="AJ911" s="143"/>
      <c r="AK911" s="143"/>
      <c r="AL911" s="143"/>
      <c r="AM911" s="143"/>
    </row>
    <row r="912" spans="1:39" ht="12.75" customHeight="1" x14ac:dyDescent="0.25">
      <c r="A912" s="143"/>
      <c r="B912" s="143"/>
      <c r="C912" s="143"/>
      <c r="D912" s="143"/>
      <c r="E912" s="143"/>
      <c r="F912" s="143"/>
      <c r="G912" s="143"/>
      <c r="H912" s="143"/>
      <c r="I912" s="143"/>
      <c r="J912" s="143"/>
      <c r="K912" s="143"/>
      <c r="L912" s="143"/>
      <c r="M912" s="143"/>
      <c r="N912" s="143"/>
      <c r="O912" s="143"/>
      <c r="P912" s="143"/>
      <c r="Q912" s="143"/>
      <c r="R912" s="143"/>
      <c r="S912" s="143"/>
      <c r="T912" s="143"/>
      <c r="U912" s="143"/>
      <c r="V912" s="143"/>
      <c r="W912" s="143"/>
      <c r="X912" s="143"/>
      <c r="Y912" s="143"/>
      <c r="Z912" s="143"/>
      <c r="AA912" s="143"/>
      <c r="AB912" s="143"/>
      <c r="AC912" s="143"/>
      <c r="AD912" s="143"/>
      <c r="AE912" s="143"/>
      <c r="AF912" s="143"/>
      <c r="AG912" s="143"/>
      <c r="AH912" s="143"/>
      <c r="AI912" s="143"/>
      <c r="AJ912" s="143"/>
      <c r="AK912" s="143"/>
      <c r="AL912" s="143"/>
      <c r="AM912" s="143"/>
    </row>
    <row r="913" spans="1:39" ht="12.75" customHeight="1" x14ac:dyDescent="0.25">
      <c r="A913" s="143"/>
      <c r="B913" s="143"/>
      <c r="C913" s="143"/>
      <c r="D913" s="143"/>
      <c r="E913" s="143"/>
      <c r="F913" s="143"/>
      <c r="G913" s="143"/>
      <c r="H913" s="143"/>
      <c r="I913" s="143"/>
      <c r="J913" s="143"/>
      <c r="K913" s="143"/>
      <c r="L913" s="143"/>
      <c r="M913" s="143"/>
      <c r="N913" s="143"/>
      <c r="O913" s="143"/>
      <c r="P913" s="143"/>
      <c r="Q913" s="143"/>
      <c r="R913" s="143"/>
      <c r="S913" s="143"/>
      <c r="T913" s="143"/>
      <c r="U913" s="143"/>
      <c r="V913" s="143"/>
      <c r="W913" s="143"/>
      <c r="X913" s="143"/>
      <c r="Y913" s="143"/>
      <c r="Z913" s="143"/>
      <c r="AA913" s="143"/>
      <c r="AB913" s="143"/>
      <c r="AC913" s="143"/>
      <c r="AD913" s="143"/>
      <c r="AE913" s="143"/>
      <c r="AF913" s="143"/>
      <c r="AG913" s="143"/>
      <c r="AH913" s="143"/>
      <c r="AI913" s="143"/>
      <c r="AJ913" s="143"/>
      <c r="AK913" s="143"/>
      <c r="AL913" s="143"/>
      <c r="AM913" s="143"/>
    </row>
    <row r="914" spans="1:39" ht="12.75" customHeight="1" x14ac:dyDescent="0.25">
      <c r="A914" s="143"/>
      <c r="B914" s="143"/>
      <c r="C914" s="143"/>
      <c r="D914" s="143"/>
      <c r="E914" s="143"/>
      <c r="F914" s="143"/>
      <c r="G914" s="143"/>
      <c r="H914" s="143"/>
      <c r="I914" s="143"/>
      <c r="J914" s="143"/>
      <c r="K914" s="143"/>
      <c r="L914" s="143"/>
      <c r="M914" s="143"/>
      <c r="N914" s="143"/>
      <c r="O914" s="143"/>
      <c r="P914" s="143"/>
      <c r="Q914" s="143"/>
      <c r="R914" s="143"/>
      <c r="S914" s="143"/>
      <c r="T914" s="143"/>
      <c r="U914" s="143"/>
      <c r="V914" s="143"/>
      <c r="W914" s="143"/>
      <c r="X914" s="143"/>
      <c r="Y914" s="143"/>
      <c r="Z914" s="143"/>
      <c r="AA914" s="143"/>
      <c r="AB914" s="143"/>
      <c r="AC914" s="143"/>
      <c r="AD914" s="143"/>
      <c r="AE914" s="143"/>
      <c r="AF914" s="143"/>
      <c r="AG914" s="143"/>
      <c r="AH914" s="143"/>
      <c r="AI914" s="143"/>
      <c r="AJ914" s="143"/>
      <c r="AK914" s="143"/>
      <c r="AL914" s="143"/>
      <c r="AM914" s="143"/>
    </row>
    <row r="915" spans="1:39" ht="12.75" customHeight="1" x14ac:dyDescent="0.25">
      <c r="A915" s="143"/>
      <c r="B915" s="143"/>
      <c r="C915" s="143"/>
      <c r="D915" s="143"/>
      <c r="E915" s="143"/>
      <c r="F915" s="143"/>
      <c r="G915" s="143"/>
      <c r="H915" s="143"/>
      <c r="I915" s="143"/>
      <c r="J915" s="143"/>
      <c r="K915" s="143"/>
      <c r="L915" s="143"/>
      <c r="M915" s="143"/>
      <c r="N915" s="143"/>
      <c r="O915" s="143"/>
      <c r="P915" s="143"/>
      <c r="Q915" s="143"/>
      <c r="R915" s="143"/>
      <c r="S915" s="143"/>
      <c r="T915" s="143"/>
      <c r="U915" s="143"/>
      <c r="V915" s="143"/>
      <c r="W915" s="143"/>
      <c r="X915" s="143"/>
      <c r="Y915" s="143"/>
      <c r="Z915" s="143"/>
      <c r="AA915" s="143"/>
      <c r="AB915" s="143"/>
      <c r="AC915" s="143"/>
      <c r="AD915" s="143"/>
      <c r="AE915" s="143"/>
      <c r="AF915" s="143"/>
      <c r="AG915" s="143"/>
      <c r="AH915" s="143"/>
      <c r="AI915" s="143"/>
      <c r="AJ915" s="143"/>
      <c r="AK915" s="143"/>
      <c r="AL915" s="143"/>
      <c r="AM915" s="143"/>
    </row>
    <row r="916" spans="1:39" ht="12.75" customHeight="1" x14ac:dyDescent="0.25">
      <c r="A916" s="143"/>
      <c r="B916" s="143"/>
      <c r="C916" s="143"/>
      <c r="D916" s="143"/>
      <c r="E916" s="143"/>
      <c r="F916" s="143"/>
      <c r="G916" s="143"/>
      <c r="H916" s="143"/>
      <c r="I916" s="143"/>
      <c r="J916" s="143"/>
      <c r="K916" s="143"/>
      <c r="L916" s="143"/>
      <c r="M916" s="143"/>
      <c r="N916" s="143"/>
      <c r="O916" s="143"/>
      <c r="P916" s="143"/>
      <c r="Q916" s="143"/>
      <c r="R916" s="143"/>
      <c r="S916" s="143"/>
      <c r="T916" s="143"/>
      <c r="U916" s="143"/>
      <c r="V916" s="143"/>
      <c r="W916" s="143"/>
      <c r="X916" s="143"/>
      <c r="Y916" s="143"/>
      <c r="Z916" s="143"/>
      <c r="AA916" s="143"/>
      <c r="AB916" s="143"/>
      <c r="AC916" s="143"/>
      <c r="AD916" s="143"/>
      <c r="AE916" s="143"/>
      <c r="AF916" s="143"/>
      <c r="AG916" s="143"/>
      <c r="AH916" s="143"/>
      <c r="AI916" s="143"/>
      <c r="AJ916" s="143"/>
      <c r="AK916" s="143"/>
      <c r="AL916" s="143"/>
      <c r="AM916" s="143"/>
    </row>
    <row r="917" spans="1:39" ht="12.75" customHeight="1" x14ac:dyDescent="0.25">
      <c r="A917" s="143"/>
      <c r="B917" s="143"/>
      <c r="C917" s="143"/>
      <c r="D917" s="143"/>
      <c r="E917" s="143"/>
      <c r="F917" s="143"/>
      <c r="G917" s="143"/>
      <c r="H917" s="143"/>
      <c r="I917" s="143"/>
      <c r="J917" s="143"/>
      <c r="K917" s="143"/>
      <c r="L917" s="143"/>
      <c r="M917" s="143"/>
      <c r="N917" s="143"/>
      <c r="O917" s="143"/>
      <c r="P917" s="143"/>
      <c r="Q917" s="143"/>
      <c r="R917" s="143"/>
      <c r="S917" s="143"/>
      <c r="T917" s="143"/>
      <c r="U917" s="143"/>
      <c r="V917" s="143"/>
      <c r="W917" s="143"/>
      <c r="X917" s="143"/>
      <c r="Y917" s="143"/>
      <c r="Z917" s="143"/>
      <c r="AA917" s="143"/>
      <c r="AB917" s="143"/>
      <c r="AC917" s="143"/>
      <c r="AD917" s="143"/>
      <c r="AE917" s="143"/>
      <c r="AF917" s="143"/>
      <c r="AG917" s="143"/>
      <c r="AH917" s="143"/>
      <c r="AI917" s="143"/>
      <c r="AJ917" s="143"/>
      <c r="AK917" s="143"/>
      <c r="AL917" s="143"/>
      <c r="AM917" s="143"/>
    </row>
    <row r="918" spans="1:39" ht="12.75" customHeight="1" x14ac:dyDescent="0.25">
      <c r="A918" s="143"/>
      <c r="B918" s="143"/>
      <c r="C918" s="143"/>
      <c r="D918" s="143"/>
      <c r="E918" s="143"/>
      <c r="F918" s="143"/>
      <c r="G918" s="143"/>
      <c r="H918" s="143"/>
      <c r="I918" s="143"/>
      <c r="J918" s="143"/>
      <c r="K918" s="143"/>
      <c r="L918" s="143"/>
      <c r="M918" s="143"/>
      <c r="N918" s="143"/>
      <c r="O918" s="143"/>
      <c r="P918" s="143"/>
      <c r="Q918" s="143"/>
      <c r="R918" s="143"/>
      <c r="S918" s="143"/>
      <c r="T918" s="143"/>
      <c r="U918" s="143"/>
      <c r="V918" s="143"/>
      <c r="W918" s="143"/>
      <c r="X918" s="143"/>
      <c r="Y918" s="143"/>
      <c r="Z918" s="143"/>
      <c r="AA918" s="143"/>
      <c r="AB918" s="143"/>
      <c r="AC918" s="143"/>
      <c r="AD918" s="143"/>
      <c r="AE918" s="143"/>
      <c r="AF918" s="143"/>
      <c r="AG918" s="143"/>
      <c r="AH918" s="143"/>
      <c r="AI918" s="143"/>
      <c r="AJ918" s="143"/>
      <c r="AK918" s="143"/>
      <c r="AL918" s="143"/>
      <c r="AM918" s="143"/>
    </row>
    <row r="919" spans="1:39" ht="12.75" customHeight="1" x14ac:dyDescent="0.25">
      <c r="A919" s="143"/>
      <c r="B919" s="143"/>
      <c r="C919" s="143"/>
      <c r="D919" s="143"/>
      <c r="E919" s="143"/>
      <c r="F919" s="143"/>
      <c r="G919" s="143"/>
      <c r="H919" s="143"/>
      <c r="I919" s="143"/>
      <c r="J919" s="143"/>
      <c r="K919" s="143"/>
      <c r="L919" s="143"/>
      <c r="M919" s="143"/>
      <c r="N919" s="143"/>
      <c r="O919" s="143"/>
      <c r="P919" s="143"/>
      <c r="Q919" s="143"/>
      <c r="R919" s="143"/>
      <c r="S919" s="143"/>
      <c r="T919" s="143"/>
      <c r="U919" s="143"/>
      <c r="V919" s="143"/>
      <c r="W919" s="143"/>
      <c r="X919" s="143"/>
      <c r="Y919" s="143"/>
      <c r="Z919" s="143"/>
      <c r="AA919" s="143"/>
      <c r="AB919" s="143"/>
      <c r="AC919" s="143"/>
      <c r="AD919" s="143"/>
      <c r="AE919" s="143"/>
      <c r="AF919" s="143"/>
      <c r="AG919" s="143"/>
      <c r="AH919" s="143"/>
      <c r="AI919" s="143"/>
      <c r="AJ919" s="143"/>
      <c r="AK919" s="143"/>
      <c r="AL919" s="143"/>
      <c r="AM919" s="143"/>
    </row>
    <row r="920" spans="1:39" ht="12.75" customHeight="1" x14ac:dyDescent="0.25">
      <c r="A920" s="143"/>
      <c r="B920" s="143"/>
      <c r="C920" s="143"/>
      <c r="D920" s="143"/>
      <c r="E920" s="143"/>
      <c r="F920" s="143"/>
      <c r="G920" s="143"/>
      <c r="H920" s="143"/>
      <c r="I920" s="143"/>
      <c r="J920" s="143"/>
      <c r="K920" s="143"/>
      <c r="L920" s="143"/>
      <c r="M920" s="143"/>
      <c r="N920" s="143"/>
      <c r="O920" s="143"/>
      <c r="P920" s="143"/>
      <c r="Q920" s="143"/>
      <c r="R920" s="143"/>
      <c r="S920" s="143"/>
      <c r="T920" s="143"/>
      <c r="U920" s="143"/>
      <c r="V920" s="143"/>
      <c r="W920" s="143"/>
      <c r="X920" s="143"/>
      <c r="Y920" s="143"/>
      <c r="Z920" s="143"/>
      <c r="AA920" s="143"/>
      <c r="AB920" s="143"/>
      <c r="AC920" s="143"/>
      <c r="AD920" s="143"/>
      <c r="AE920" s="143"/>
      <c r="AF920" s="143"/>
      <c r="AG920" s="143"/>
      <c r="AH920" s="143"/>
      <c r="AI920" s="143"/>
      <c r="AJ920" s="143"/>
      <c r="AK920" s="143"/>
      <c r="AL920" s="143"/>
      <c r="AM920" s="143"/>
    </row>
    <row r="921" spans="1:39" ht="12.75" customHeight="1" x14ac:dyDescent="0.25">
      <c r="A921" s="143"/>
      <c r="B921" s="143"/>
      <c r="C921" s="143"/>
      <c r="D921" s="143"/>
      <c r="E921" s="143"/>
      <c r="F921" s="143"/>
      <c r="G921" s="143"/>
      <c r="H921" s="143"/>
      <c r="I921" s="143"/>
      <c r="J921" s="143"/>
      <c r="K921" s="143"/>
      <c r="L921" s="143"/>
      <c r="M921" s="143"/>
      <c r="N921" s="143"/>
      <c r="O921" s="143"/>
      <c r="P921" s="143"/>
      <c r="Q921" s="143"/>
      <c r="R921" s="143"/>
      <c r="S921" s="143"/>
      <c r="T921" s="143"/>
      <c r="U921" s="143"/>
      <c r="V921" s="143"/>
      <c r="W921" s="143"/>
      <c r="X921" s="143"/>
      <c r="Y921" s="143"/>
      <c r="Z921" s="143"/>
      <c r="AA921" s="143"/>
      <c r="AB921" s="143"/>
      <c r="AC921" s="143"/>
      <c r="AD921" s="143"/>
      <c r="AE921" s="143"/>
      <c r="AF921" s="143"/>
      <c r="AG921" s="143"/>
      <c r="AH921" s="143"/>
      <c r="AI921" s="143"/>
      <c r="AJ921" s="143"/>
      <c r="AK921" s="143"/>
      <c r="AL921" s="143"/>
      <c r="AM921" s="143"/>
    </row>
    <row r="922" spans="1:39" ht="12.75" customHeight="1" x14ac:dyDescent="0.25">
      <c r="A922" s="143"/>
      <c r="B922" s="143"/>
      <c r="C922" s="143"/>
      <c r="D922" s="143"/>
      <c r="E922" s="143"/>
      <c r="F922" s="143"/>
      <c r="G922" s="143"/>
      <c r="H922" s="143"/>
      <c r="I922" s="143"/>
      <c r="J922" s="143"/>
      <c r="K922" s="143"/>
      <c r="L922" s="143"/>
      <c r="M922" s="143"/>
      <c r="N922" s="143"/>
      <c r="O922" s="143"/>
      <c r="P922" s="143"/>
      <c r="Q922" s="143"/>
      <c r="R922" s="143"/>
      <c r="S922" s="143"/>
      <c r="T922" s="143"/>
      <c r="U922" s="143"/>
      <c r="V922" s="143"/>
      <c r="W922" s="143"/>
      <c r="X922" s="143"/>
      <c r="Y922" s="143"/>
      <c r="Z922" s="143"/>
      <c r="AA922" s="143"/>
      <c r="AB922" s="143"/>
      <c r="AC922" s="143"/>
      <c r="AD922" s="143"/>
      <c r="AE922" s="143"/>
      <c r="AF922" s="143"/>
      <c r="AG922" s="143"/>
      <c r="AH922" s="143"/>
      <c r="AI922" s="143"/>
      <c r="AJ922" s="143"/>
      <c r="AK922" s="143"/>
      <c r="AL922" s="143"/>
      <c r="AM922" s="143"/>
    </row>
    <row r="923" spans="1:39" ht="12.75" customHeight="1" x14ac:dyDescent="0.25">
      <c r="A923" s="143"/>
      <c r="B923" s="143"/>
      <c r="C923" s="143"/>
      <c r="D923" s="143"/>
      <c r="E923" s="143"/>
      <c r="F923" s="143"/>
      <c r="G923" s="143"/>
      <c r="H923" s="143"/>
      <c r="I923" s="143"/>
      <c r="J923" s="143"/>
      <c r="K923" s="143"/>
      <c r="L923" s="143"/>
      <c r="M923" s="143"/>
      <c r="N923" s="143"/>
      <c r="O923" s="143"/>
      <c r="P923" s="143"/>
      <c r="Q923" s="143"/>
      <c r="R923" s="143"/>
      <c r="S923" s="143"/>
      <c r="T923" s="143"/>
      <c r="U923" s="143"/>
      <c r="V923" s="143"/>
      <c r="W923" s="143"/>
      <c r="X923" s="143"/>
      <c r="Y923" s="143"/>
      <c r="Z923" s="143"/>
      <c r="AA923" s="143"/>
      <c r="AB923" s="143"/>
      <c r="AC923" s="143"/>
      <c r="AD923" s="143"/>
      <c r="AE923" s="143"/>
      <c r="AF923" s="143"/>
      <c r="AG923" s="143"/>
      <c r="AH923" s="143"/>
      <c r="AI923" s="143"/>
      <c r="AJ923" s="143"/>
      <c r="AK923" s="143"/>
      <c r="AL923" s="143"/>
      <c r="AM923" s="143"/>
    </row>
    <row r="924" spans="1:39" ht="12.75" customHeight="1" x14ac:dyDescent="0.25">
      <c r="A924" s="143"/>
      <c r="B924" s="143"/>
      <c r="C924" s="143"/>
      <c r="D924" s="143"/>
      <c r="E924" s="143"/>
      <c r="F924" s="143"/>
      <c r="G924" s="143"/>
      <c r="H924" s="143"/>
      <c r="I924" s="143"/>
      <c r="J924" s="143"/>
      <c r="K924" s="143"/>
      <c r="L924" s="143"/>
      <c r="M924" s="143"/>
      <c r="N924" s="143"/>
      <c r="O924" s="143"/>
      <c r="P924" s="143"/>
      <c r="Q924" s="143"/>
      <c r="R924" s="143"/>
      <c r="S924" s="143"/>
      <c r="T924" s="143"/>
      <c r="U924" s="143"/>
      <c r="V924" s="143"/>
      <c r="W924" s="143"/>
      <c r="X924" s="143"/>
      <c r="Y924" s="143"/>
      <c r="Z924" s="143"/>
      <c r="AA924" s="143"/>
      <c r="AB924" s="143"/>
      <c r="AC924" s="143"/>
      <c r="AD924" s="143"/>
      <c r="AE924" s="143"/>
      <c r="AF924" s="143"/>
      <c r="AG924" s="143"/>
      <c r="AH924" s="143"/>
      <c r="AI924" s="143"/>
      <c r="AJ924" s="143"/>
      <c r="AK924" s="143"/>
      <c r="AL924" s="143"/>
      <c r="AM924" s="143"/>
    </row>
    <row r="925" spans="1:39" ht="12.75" customHeight="1" x14ac:dyDescent="0.25">
      <c r="A925" s="143"/>
      <c r="B925" s="143"/>
      <c r="C925" s="143"/>
      <c r="D925" s="143"/>
      <c r="E925" s="143"/>
      <c r="F925" s="143"/>
      <c r="G925" s="143"/>
      <c r="H925" s="143"/>
      <c r="I925" s="143"/>
      <c r="J925" s="143"/>
      <c r="K925" s="143"/>
      <c r="L925" s="143"/>
      <c r="M925" s="143"/>
      <c r="N925" s="143"/>
      <c r="O925" s="143"/>
      <c r="P925" s="143"/>
      <c r="Q925" s="143"/>
      <c r="R925" s="143"/>
      <c r="S925" s="143"/>
      <c r="T925" s="143"/>
      <c r="U925" s="143"/>
      <c r="V925" s="143"/>
      <c r="W925" s="143"/>
      <c r="X925" s="143"/>
      <c r="Y925" s="143"/>
      <c r="Z925" s="143"/>
      <c r="AA925" s="143"/>
      <c r="AB925" s="143"/>
      <c r="AC925" s="143"/>
      <c r="AD925" s="143"/>
      <c r="AE925" s="143"/>
      <c r="AF925" s="143"/>
      <c r="AG925" s="143"/>
      <c r="AH925" s="143"/>
      <c r="AI925" s="143"/>
      <c r="AJ925" s="143"/>
      <c r="AK925" s="143"/>
      <c r="AL925" s="143"/>
      <c r="AM925" s="143"/>
    </row>
    <row r="926" spans="1:39" ht="12.75" customHeight="1" x14ac:dyDescent="0.25">
      <c r="A926" s="143"/>
      <c r="B926" s="143"/>
      <c r="C926" s="143"/>
      <c r="D926" s="143"/>
      <c r="E926" s="143"/>
      <c r="F926" s="143"/>
      <c r="G926" s="143"/>
      <c r="H926" s="143"/>
      <c r="I926" s="143"/>
      <c r="J926" s="143"/>
      <c r="K926" s="143"/>
      <c r="L926" s="143"/>
      <c r="M926" s="143"/>
      <c r="N926" s="143"/>
      <c r="O926" s="143"/>
      <c r="P926" s="143"/>
      <c r="Q926" s="143"/>
      <c r="R926" s="143"/>
      <c r="S926" s="143"/>
      <c r="T926" s="143"/>
      <c r="U926" s="143"/>
      <c r="V926" s="143"/>
      <c r="W926" s="143"/>
      <c r="X926" s="143"/>
      <c r="Y926" s="143"/>
      <c r="Z926" s="143"/>
      <c r="AA926" s="143"/>
      <c r="AB926" s="143"/>
      <c r="AC926" s="143"/>
      <c r="AD926" s="143"/>
      <c r="AE926" s="143"/>
      <c r="AF926" s="143"/>
      <c r="AG926" s="143"/>
      <c r="AH926" s="143"/>
      <c r="AI926" s="143"/>
      <c r="AJ926" s="143"/>
      <c r="AK926" s="143"/>
      <c r="AL926" s="143"/>
      <c r="AM926" s="143"/>
    </row>
    <row r="927" spans="1:39" ht="12.75" customHeight="1" x14ac:dyDescent="0.25">
      <c r="A927" s="143"/>
      <c r="B927" s="143"/>
      <c r="C927" s="143"/>
      <c r="D927" s="143"/>
      <c r="E927" s="143"/>
      <c r="F927" s="143"/>
      <c r="G927" s="143"/>
      <c r="H927" s="143"/>
      <c r="I927" s="143"/>
      <c r="J927" s="143"/>
      <c r="K927" s="143"/>
      <c r="L927" s="143"/>
      <c r="M927" s="143"/>
      <c r="N927" s="143"/>
      <c r="O927" s="143"/>
      <c r="P927" s="143"/>
      <c r="Q927" s="143"/>
      <c r="R927" s="143"/>
      <c r="S927" s="143"/>
      <c r="T927" s="143"/>
      <c r="U927" s="143"/>
      <c r="V927" s="143"/>
      <c r="W927" s="143"/>
      <c r="X927" s="143"/>
      <c r="Y927" s="143"/>
      <c r="Z927" s="143"/>
      <c r="AA927" s="143"/>
      <c r="AB927" s="143"/>
      <c r="AC927" s="143"/>
      <c r="AD927" s="143"/>
      <c r="AE927" s="143"/>
      <c r="AF927" s="143"/>
      <c r="AG927" s="143"/>
      <c r="AH927" s="143"/>
      <c r="AI927" s="143"/>
      <c r="AJ927" s="143"/>
      <c r="AK927" s="143"/>
      <c r="AL927" s="143"/>
      <c r="AM927" s="143"/>
    </row>
    <row r="928" spans="1:39" ht="12.75" customHeight="1" x14ac:dyDescent="0.25">
      <c r="A928" s="143"/>
      <c r="B928" s="143"/>
      <c r="C928" s="143"/>
      <c r="D928" s="143"/>
      <c r="E928" s="143"/>
      <c r="F928" s="143"/>
      <c r="G928" s="143"/>
      <c r="H928" s="143"/>
      <c r="I928" s="143"/>
      <c r="J928" s="143"/>
      <c r="K928" s="143"/>
      <c r="L928" s="143"/>
      <c r="M928" s="143"/>
      <c r="N928" s="143"/>
      <c r="O928" s="143"/>
      <c r="P928" s="143"/>
      <c r="Q928" s="143"/>
      <c r="R928" s="143"/>
      <c r="S928" s="143"/>
      <c r="T928" s="143"/>
      <c r="U928" s="143"/>
      <c r="V928" s="143"/>
      <c r="W928" s="143"/>
      <c r="X928" s="143"/>
      <c r="Y928" s="143"/>
      <c r="Z928" s="143"/>
      <c r="AA928" s="143"/>
      <c r="AB928" s="143"/>
      <c r="AC928" s="143"/>
      <c r="AD928" s="143"/>
      <c r="AE928" s="143"/>
      <c r="AF928" s="143"/>
      <c r="AG928" s="143"/>
      <c r="AH928" s="143"/>
      <c r="AI928" s="143"/>
      <c r="AJ928" s="143"/>
      <c r="AK928" s="143"/>
      <c r="AL928" s="143"/>
      <c r="AM928" s="143"/>
    </row>
    <row r="929" spans="1:39" ht="12.75" customHeight="1" x14ac:dyDescent="0.25">
      <c r="A929" s="143"/>
      <c r="B929" s="143"/>
      <c r="C929" s="143"/>
      <c r="D929" s="143"/>
      <c r="E929" s="143"/>
      <c r="F929" s="143"/>
      <c r="G929" s="143"/>
      <c r="H929" s="143"/>
      <c r="I929" s="143"/>
      <c r="J929" s="143"/>
      <c r="K929" s="143"/>
      <c r="L929" s="143"/>
      <c r="M929" s="143"/>
      <c r="N929" s="143"/>
      <c r="O929" s="143"/>
      <c r="P929" s="143"/>
      <c r="Q929" s="143"/>
      <c r="R929" s="143"/>
      <c r="S929" s="143"/>
      <c r="T929" s="143"/>
      <c r="U929" s="143"/>
      <c r="V929" s="143"/>
      <c r="W929" s="143"/>
      <c r="X929" s="143"/>
      <c r="Y929" s="143"/>
      <c r="Z929" s="143"/>
      <c r="AA929" s="143"/>
      <c r="AB929" s="143"/>
      <c r="AC929" s="143"/>
      <c r="AD929" s="143"/>
      <c r="AE929" s="143"/>
      <c r="AF929" s="143"/>
      <c r="AG929" s="143"/>
      <c r="AH929" s="143"/>
      <c r="AI929" s="143"/>
      <c r="AJ929" s="143"/>
      <c r="AK929" s="143"/>
      <c r="AL929" s="143"/>
      <c r="AM929" s="143"/>
    </row>
    <row r="930" spans="1:39" ht="12.75" customHeight="1" x14ac:dyDescent="0.25">
      <c r="A930" s="143"/>
      <c r="B930" s="143"/>
      <c r="C930" s="143"/>
      <c r="D930" s="143"/>
      <c r="E930" s="143"/>
      <c r="F930" s="143"/>
      <c r="G930" s="143"/>
      <c r="H930" s="143"/>
      <c r="I930" s="143"/>
      <c r="J930" s="143"/>
      <c r="K930" s="143"/>
      <c r="L930" s="143"/>
      <c r="M930" s="143"/>
      <c r="N930" s="143"/>
      <c r="O930" s="143"/>
      <c r="P930" s="143"/>
      <c r="Q930" s="143"/>
      <c r="R930" s="143"/>
      <c r="S930" s="143"/>
      <c r="T930" s="143"/>
      <c r="U930" s="143"/>
      <c r="V930" s="143"/>
      <c r="W930" s="143"/>
      <c r="X930" s="143"/>
      <c r="Y930" s="143"/>
      <c r="Z930" s="143"/>
      <c r="AA930" s="143"/>
      <c r="AB930" s="143"/>
      <c r="AC930" s="143"/>
      <c r="AD930" s="143"/>
      <c r="AE930" s="143"/>
      <c r="AF930" s="143"/>
      <c r="AG930" s="143"/>
      <c r="AH930" s="143"/>
      <c r="AI930" s="143"/>
      <c r="AJ930" s="143"/>
      <c r="AK930" s="143"/>
      <c r="AL930" s="143"/>
      <c r="AM930" s="143"/>
    </row>
    <row r="931" spans="1:39" ht="12.75" customHeight="1" x14ac:dyDescent="0.25">
      <c r="A931" s="143"/>
      <c r="B931" s="143"/>
      <c r="C931" s="143"/>
      <c r="D931" s="143"/>
      <c r="E931" s="143"/>
      <c r="F931" s="143"/>
      <c r="G931" s="143"/>
      <c r="H931" s="143"/>
      <c r="I931" s="143"/>
      <c r="J931" s="143"/>
      <c r="K931" s="143"/>
      <c r="L931" s="143"/>
      <c r="M931" s="143"/>
      <c r="N931" s="143"/>
      <c r="O931" s="143"/>
      <c r="P931" s="143"/>
      <c r="Q931" s="143"/>
      <c r="R931" s="143"/>
      <c r="S931" s="143"/>
      <c r="T931" s="143"/>
      <c r="U931" s="143"/>
      <c r="V931" s="143"/>
      <c r="W931" s="143"/>
      <c r="X931" s="143"/>
      <c r="Y931" s="143"/>
      <c r="Z931" s="143"/>
      <c r="AA931" s="143"/>
      <c r="AB931" s="143"/>
      <c r="AC931" s="143"/>
      <c r="AD931" s="143"/>
      <c r="AE931" s="143"/>
      <c r="AF931" s="143"/>
      <c r="AG931" s="143"/>
      <c r="AH931" s="143"/>
      <c r="AI931" s="143"/>
      <c r="AJ931" s="143"/>
      <c r="AK931" s="143"/>
      <c r="AL931" s="143"/>
      <c r="AM931" s="143"/>
    </row>
    <row r="932" spans="1:39" ht="12.75" customHeight="1" x14ac:dyDescent="0.25">
      <c r="A932" s="143"/>
      <c r="B932" s="143"/>
      <c r="C932" s="143"/>
      <c r="D932" s="143"/>
      <c r="E932" s="143"/>
      <c r="F932" s="143"/>
      <c r="G932" s="143"/>
      <c r="H932" s="143"/>
      <c r="I932" s="143"/>
      <c r="J932" s="143"/>
      <c r="K932" s="143"/>
      <c r="L932" s="143"/>
      <c r="M932" s="143"/>
      <c r="N932" s="143"/>
      <c r="O932" s="143"/>
      <c r="P932" s="143"/>
      <c r="Q932" s="143"/>
      <c r="R932" s="143"/>
      <c r="S932" s="143"/>
      <c r="T932" s="143"/>
      <c r="U932" s="143"/>
      <c r="V932" s="143"/>
      <c r="W932" s="143"/>
      <c r="X932" s="143"/>
      <c r="Y932" s="143"/>
      <c r="Z932" s="143"/>
      <c r="AA932" s="143"/>
      <c r="AB932" s="143"/>
      <c r="AC932" s="143"/>
      <c r="AD932" s="143"/>
      <c r="AE932" s="143"/>
      <c r="AF932" s="143"/>
      <c r="AG932" s="143"/>
      <c r="AH932" s="143"/>
      <c r="AI932" s="143"/>
      <c r="AJ932" s="143"/>
      <c r="AK932" s="143"/>
      <c r="AL932" s="143"/>
      <c r="AM932" s="143"/>
    </row>
    <row r="933" spans="1:39" ht="12.75" customHeight="1" x14ac:dyDescent="0.25">
      <c r="A933" s="143"/>
      <c r="B933" s="143"/>
      <c r="C933" s="143"/>
      <c r="D933" s="143"/>
      <c r="E933" s="143"/>
      <c r="F933" s="143"/>
      <c r="G933" s="143"/>
      <c r="H933" s="143"/>
      <c r="I933" s="143"/>
      <c r="J933" s="143"/>
      <c r="K933" s="143"/>
      <c r="L933" s="143"/>
      <c r="M933" s="143"/>
      <c r="N933" s="143"/>
      <c r="O933" s="143"/>
      <c r="P933" s="143"/>
      <c r="Q933" s="143"/>
      <c r="R933" s="143"/>
      <c r="S933" s="143"/>
      <c r="T933" s="143"/>
      <c r="U933" s="143"/>
      <c r="V933" s="143"/>
      <c r="W933" s="143"/>
      <c r="X933" s="143"/>
      <c r="Y933" s="143"/>
      <c r="Z933" s="143"/>
      <c r="AA933" s="143"/>
      <c r="AB933" s="143"/>
      <c r="AC933" s="143"/>
      <c r="AD933" s="143"/>
      <c r="AE933" s="143"/>
      <c r="AF933" s="143"/>
      <c r="AG933" s="143"/>
      <c r="AH933" s="143"/>
      <c r="AI933" s="143"/>
      <c r="AJ933" s="143"/>
      <c r="AK933" s="143"/>
      <c r="AL933" s="143"/>
      <c r="AM933" s="143"/>
    </row>
    <row r="934" spans="1:39" ht="12.75" customHeight="1" x14ac:dyDescent="0.25">
      <c r="A934" s="143"/>
      <c r="B934" s="143"/>
      <c r="C934" s="143"/>
      <c r="D934" s="143"/>
      <c r="E934" s="143"/>
      <c r="F934" s="143"/>
      <c r="G934" s="143"/>
      <c r="H934" s="143"/>
      <c r="I934" s="143"/>
      <c r="J934" s="143"/>
      <c r="K934" s="143"/>
      <c r="L934" s="143"/>
      <c r="M934" s="143"/>
      <c r="N934" s="143"/>
      <c r="O934" s="143"/>
      <c r="P934" s="143"/>
      <c r="Q934" s="143"/>
      <c r="R934" s="143"/>
      <c r="S934" s="143"/>
      <c r="T934" s="143"/>
      <c r="U934" s="143"/>
      <c r="V934" s="143"/>
      <c r="W934" s="143"/>
      <c r="X934" s="143"/>
      <c r="Y934" s="143"/>
      <c r="Z934" s="143"/>
      <c r="AA934" s="143"/>
      <c r="AB934" s="143"/>
      <c r="AC934" s="143"/>
      <c r="AD934" s="143"/>
      <c r="AE934" s="143"/>
      <c r="AF934" s="143"/>
      <c r="AG934" s="143"/>
      <c r="AH934" s="143"/>
      <c r="AI934" s="143"/>
      <c r="AJ934" s="143"/>
      <c r="AK934" s="143"/>
      <c r="AL934" s="143"/>
      <c r="AM934" s="143"/>
    </row>
    <row r="935" spans="1:39" ht="12.75" customHeight="1" x14ac:dyDescent="0.25">
      <c r="A935" s="143"/>
      <c r="B935" s="143"/>
      <c r="C935" s="143"/>
      <c r="D935" s="143"/>
      <c r="E935" s="143"/>
      <c r="F935" s="143"/>
      <c r="G935" s="143"/>
      <c r="H935" s="143"/>
      <c r="I935" s="143"/>
      <c r="J935" s="143"/>
      <c r="K935" s="143"/>
      <c r="L935" s="143"/>
      <c r="M935" s="143"/>
      <c r="N935" s="143"/>
      <c r="O935" s="143"/>
      <c r="P935" s="143"/>
      <c r="Q935" s="143"/>
      <c r="R935" s="143"/>
      <c r="S935" s="143"/>
      <c r="T935" s="143"/>
      <c r="U935" s="143"/>
      <c r="V935" s="143"/>
      <c r="W935" s="143"/>
      <c r="X935" s="143"/>
      <c r="Y935" s="143"/>
      <c r="Z935" s="143"/>
      <c r="AA935" s="143"/>
      <c r="AB935" s="143"/>
      <c r="AC935" s="143"/>
      <c r="AD935" s="143"/>
      <c r="AE935" s="143"/>
      <c r="AF935" s="143"/>
      <c r="AG935" s="143"/>
      <c r="AH935" s="143"/>
      <c r="AI935" s="143"/>
      <c r="AJ935" s="143"/>
      <c r="AK935" s="143"/>
      <c r="AL935" s="143"/>
      <c r="AM935" s="143"/>
    </row>
    <row r="936" spans="1:39" ht="12.75" customHeight="1" x14ac:dyDescent="0.25">
      <c r="A936" s="143"/>
      <c r="B936" s="143"/>
      <c r="C936" s="143"/>
      <c r="D936" s="143"/>
      <c r="E936" s="143"/>
      <c r="F936" s="143"/>
      <c r="G936" s="143"/>
      <c r="H936" s="143"/>
      <c r="I936" s="143"/>
      <c r="J936" s="143"/>
      <c r="K936" s="143"/>
      <c r="L936" s="143"/>
      <c r="M936" s="143"/>
      <c r="N936" s="143"/>
      <c r="O936" s="143"/>
      <c r="P936" s="143"/>
      <c r="Q936" s="143"/>
      <c r="R936" s="143"/>
      <c r="S936" s="143"/>
      <c r="T936" s="143"/>
      <c r="U936" s="143"/>
      <c r="V936" s="143"/>
      <c r="W936" s="143"/>
      <c r="X936" s="143"/>
      <c r="Y936" s="143"/>
      <c r="Z936" s="143"/>
      <c r="AA936" s="143"/>
      <c r="AB936" s="143"/>
      <c r="AC936" s="143"/>
      <c r="AD936" s="143"/>
      <c r="AE936" s="143"/>
      <c r="AF936" s="143"/>
      <c r="AG936" s="143"/>
      <c r="AH936" s="143"/>
      <c r="AI936" s="143"/>
      <c r="AJ936" s="143"/>
      <c r="AK936" s="143"/>
      <c r="AL936" s="143"/>
      <c r="AM936" s="143"/>
    </row>
    <row r="937" spans="1:39" ht="12.75" customHeight="1" x14ac:dyDescent="0.25">
      <c r="A937" s="143"/>
      <c r="B937" s="143"/>
      <c r="C937" s="143"/>
      <c r="D937" s="143"/>
      <c r="E937" s="143"/>
      <c r="F937" s="143"/>
      <c r="G937" s="143"/>
      <c r="H937" s="143"/>
      <c r="I937" s="143"/>
      <c r="J937" s="143"/>
      <c r="K937" s="143"/>
      <c r="L937" s="143"/>
      <c r="M937" s="143"/>
      <c r="N937" s="143"/>
      <c r="O937" s="143"/>
      <c r="P937" s="143"/>
      <c r="Q937" s="143"/>
      <c r="R937" s="143"/>
      <c r="S937" s="143"/>
      <c r="T937" s="143"/>
      <c r="U937" s="143"/>
      <c r="V937" s="143"/>
      <c r="W937" s="143"/>
      <c r="X937" s="143"/>
      <c r="Y937" s="143"/>
      <c r="Z937" s="143"/>
      <c r="AA937" s="143"/>
      <c r="AB937" s="143"/>
      <c r="AC937" s="143"/>
      <c r="AD937" s="143"/>
      <c r="AE937" s="143"/>
      <c r="AF937" s="143"/>
      <c r="AG937" s="143"/>
      <c r="AH937" s="143"/>
      <c r="AI937" s="143"/>
      <c r="AJ937" s="143"/>
      <c r="AK937" s="143"/>
      <c r="AL937" s="143"/>
      <c r="AM937" s="143"/>
    </row>
    <row r="938" spans="1:39" ht="12.75" customHeight="1" x14ac:dyDescent="0.25">
      <c r="A938" s="143"/>
      <c r="B938" s="143"/>
      <c r="C938" s="143"/>
      <c r="D938" s="143"/>
      <c r="E938" s="143"/>
      <c r="F938" s="143"/>
      <c r="G938" s="143"/>
      <c r="H938" s="143"/>
      <c r="I938" s="143"/>
      <c r="J938" s="143"/>
      <c r="K938" s="143"/>
      <c r="L938" s="143"/>
      <c r="M938" s="143"/>
      <c r="N938" s="143"/>
      <c r="O938" s="143"/>
      <c r="P938" s="143"/>
      <c r="Q938" s="143"/>
      <c r="R938" s="143"/>
      <c r="S938" s="143"/>
      <c r="T938" s="143"/>
      <c r="U938" s="143"/>
      <c r="V938" s="143"/>
      <c r="W938" s="143"/>
      <c r="X938" s="143"/>
      <c r="Y938" s="143"/>
      <c r="Z938" s="143"/>
      <c r="AA938" s="143"/>
      <c r="AB938" s="143"/>
      <c r="AC938" s="143"/>
      <c r="AD938" s="143"/>
      <c r="AE938" s="143"/>
      <c r="AF938" s="143"/>
      <c r="AG938" s="143"/>
      <c r="AH938" s="143"/>
      <c r="AI938" s="143"/>
      <c r="AJ938" s="143"/>
      <c r="AK938" s="143"/>
      <c r="AL938" s="143"/>
      <c r="AM938" s="143"/>
    </row>
    <row r="939" spans="1:39" ht="12.75" customHeight="1" x14ac:dyDescent="0.25">
      <c r="A939" s="143"/>
      <c r="B939" s="143"/>
      <c r="C939" s="143"/>
      <c r="D939" s="143"/>
      <c r="E939" s="143"/>
      <c r="F939" s="143"/>
      <c r="G939" s="143"/>
      <c r="H939" s="143"/>
      <c r="I939" s="143"/>
      <c r="J939" s="143"/>
      <c r="K939" s="143"/>
      <c r="L939" s="143"/>
      <c r="M939" s="143"/>
      <c r="N939" s="143"/>
      <c r="O939" s="143"/>
      <c r="P939" s="143"/>
      <c r="Q939" s="143"/>
      <c r="R939" s="143"/>
      <c r="S939" s="143"/>
      <c r="T939" s="143"/>
      <c r="U939" s="143"/>
      <c r="V939" s="143"/>
      <c r="W939" s="143"/>
      <c r="X939" s="143"/>
      <c r="Y939" s="143"/>
      <c r="Z939" s="143"/>
      <c r="AA939" s="143"/>
      <c r="AB939" s="143"/>
      <c r="AC939" s="143"/>
      <c r="AD939" s="143"/>
      <c r="AE939" s="143"/>
      <c r="AF939" s="143"/>
      <c r="AG939" s="143"/>
      <c r="AH939" s="143"/>
      <c r="AI939" s="143"/>
      <c r="AJ939" s="143"/>
      <c r="AK939" s="143"/>
      <c r="AL939" s="143"/>
      <c r="AM939" s="143"/>
    </row>
    <row r="940" spans="1:39" ht="12.75" customHeight="1" x14ac:dyDescent="0.25">
      <c r="A940" s="143"/>
      <c r="B940" s="143"/>
      <c r="C940" s="143"/>
      <c r="D940" s="143"/>
      <c r="E940" s="143"/>
      <c r="F940" s="143"/>
      <c r="G940" s="143"/>
      <c r="H940" s="143"/>
      <c r="I940" s="143"/>
      <c r="J940" s="143"/>
      <c r="K940" s="143"/>
      <c r="L940" s="143"/>
      <c r="M940" s="143"/>
      <c r="N940" s="143"/>
      <c r="O940" s="143"/>
      <c r="P940" s="143"/>
      <c r="Q940" s="143"/>
      <c r="R940" s="143"/>
      <c r="S940" s="143"/>
      <c r="T940" s="143"/>
      <c r="U940" s="143"/>
      <c r="V940" s="143"/>
      <c r="W940" s="143"/>
      <c r="X940" s="143"/>
      <c r="Y940" s="143"/>
      <c r="Z940" s="143"/>
      <c r="AA940" s="143"/>
      <c r="AB940" s="143"/>
      <c r="AC940" s="143"/>
      <c r="AD940" s="143"/>
      <c r="AE940" s="143"/>
      <c r="AF940" s="143"/>
      <c r="AG940" s="143"/>
      <c r="AH940" s="143"/>
      <c r="AI940" s="143"/>
      <c r="AJ940" s="143"/>
      <c r="AK940" s="143"/>
      <c r="AL940" s="143"/>
      <c r="AM940" s="143"/>
    </row>
    <row r="941" spans="1:39" ht="12.75" customHeight="1" x14ac:dyDescent="0.25">
      <c r="A941" s="143"/>
      <c r="B941" s="143"/>
      <c r="C941" s="143"/>
      <c r="D941" s="143"/>
      <c r="E941" s="143"/>
      <c r="F941" s="143"/>
      <c r="G941" s="143"/>
      <c r="H941" s="143"/>
      <c r="I941" s="143"/>
      <c r="J941" s="143"/>
      <c r="K941" s="143"/>
      <c r="L941" s="143"/>
      <c r="M941" s="143"/>
      <c r="N941" s="143"/>
      <c r="O941" s="143"/>
      <c r="P941" s="143"/>
      <c r="Q941" s="143"/>
      <c r="R941" s="143"/>
      <c r="S941" s="143"/>
      <c r="T941" s="143"/>
      <c r="U941" s="143"/>
      <c r="V941" s="143"/>
      <c r="W941" s="143"/>
      <c r="X941" s="143"/>
      <c r="Y941" s="143"/>
      <c r="Z941" s="143"/>
      <c r="AA941" s="143"/>
      <c r="AB941" s="143"/>
      <c r="AC941" s="143"/>
      <c r="AD941" s="143"/>
      <c r="AE941" s="143"/>
      <c r="AF941" s="143"/>
      <c r="AG941" s="143"/>
      <c r="AH941" s="143"/>
      <c r="AI941" s="143"/>
      <c r="AJ941" s="143"/>
      <c r="AK941" s="143"/>
      <c r="AL941" s="143"/>
      <c r="AM941" s="143"/>
    </row>
    <row r="942" spans="1:39" ht="12.75" customHeight="1" x14ac:dyDescent="0.25">
      <c r="A942" s="143"/>
      <c r="B942" s="143"/>
      <c r="C942" s="143"/>
      <c r="D942" s="143"/>
      <c r="E942" s="143"/>
      <c r="F942" s="143"/>
      <c r="G942" s="143"/>
      <c r="H942" s="143"/>
      <c r="I942" s="143"/>
      <c r="J942" s="143"/>
      <c r="K942" s="143"/>
      <c r="L942" s="143"/>
      <c r="M942" s="143"/>
      <c r="N942" s="143"/>
      <c r="O942" s="143"/>
      <c r="P942" s="143"/>
      <c r="Q942" s="143"/>
      <c r="R942" s="143"/>
      <c r="S942" s="143"/>
      <c r="T942" s="143"/>
      <c r="U942" s="143"/>
      <c r="V942" s="143"/>
      <c r="W942" s="143"/>
      <c r="X942" s="143"/>
      <c r="Y942" s="143"/>
      <c r="Z942" s="143"/>
      <c r="AA942" s="143"/>
      <c r="AB942" s="143"/>
      <c r="AC942" s="143"/>
      <c r="AD942" s="143"/>
      <c r="AE942" s="143"/>
      <c r="AF942" s="143"/>
      <c r="AG942" s="143"/>
      <c r="AH942" s="143"/>
      <c r="AI942" s="143"/>
      <c r="AJ942" s="143"/>
      <c r="AK942" s="143"/>
      <c r="AL942" s="143"/>
      <c r="AM942" s="143"/>
    </row>
    <row r="943" spans="1:39" ht="12.75" customHeight="1" x14ac:dyDescent="0.25">
      <c r="A943" s="143"/>
      <c r="B943" s="143"/>
      <c r="C943" s="143"/>
      <c r="D943" s="143"/>
      <c r="E943" s="143"/>
      <c r="F943" s="143"/>
      <c r="G943" s="143"/>
      <c r="H943" s="143"/>
      <c r="I943" s="143"/>
      <c r="J943" s="143"/>
      <c r="K943" s="143"/>
      <c r="L943" s="143"/>
      <c r="M943" s="143"/>
      <c r="N943" s="143"/>
      <c r="O943" s="143"/>
      <c r="P943" s="143"/>
      <c r="Q943" s="143"/>
      <c r="R943" s="143"/>
      <c r="S943" s="143"/>
      <c r="T943" s="143"/>
      <c r="U943" s="143"/>
      <c r="V943" s="143"/>
      <c r="W943" s="143"/>
      <c r="X943" s="143"/>
      <c r="Y943" s="143"/>
      <c r="Z943" s="143"/>
      <c r="AA943" s="143"/>
      <c r="AB943" s="143"/>
      <c r="AC943" s="143"/>
      <c r="AD943" s="143"/>
      <c r="AE943" s="143"/>
      <c r="AF943" s="143"/>
      <c r="AG943" s="143"/>
      <c r="AH943" s="143"/>
      <c r="AI943" s="143"/>
      <c r="AJ943" s="143"/>
      <c r="AK943" s="143"/>
      <c r="AL943" s="143"/>
      <c r="AM943" s="143"/>
    </row>
    <row r="944" spans="1:39" ht="12.75" customHeight="1" x14ac:dyDescent="0.25">
      <c r="A944" s="143"/>
      <c r="B944" s="143"/>
      <c r="C944" s="143"/>
      <c r="D944" s="143"/>
      <c r="E944" s="143"/>
      <c r="F944" s="143"/>
      <c r="G944" s="143"/>
      <c r="H944" s="143"/>
      <c r="I944" s="143"/>
      <c r="J944" s="143"/>
      <c r="K944" s="143"/>
      <c r="L944" s="143"/>
      <c r="M944" s="143"/>
      <c r="N944" s="143"/>
      <c r="O944" s="143"/>
      <c r="P944" s="143"/>
      <c r="Q944" s="143"/>
      <c r="R944" s="143"/>
      <c r="S944" s="143"/>
      <c r="T944" s="143"/>
      <c r="U944" s="143"/>
      <c r="V944" s="143"/>
      <c r="W944" s="143"/>
      <c r="X944" s="143"/>
      <c r="Y944" s="143"/>
      <c r="Z944" s="143"/>
      <c r="AA944" s="143"/>
      <c r="AB944" s="143"/>
      <c r="AC944" s="143"/>
      <c r="AD944" s="143"/>
      <c r="AE944" s="143"/>
      <c r="AF944" s="143"/>
      <c r="AG944" s="143"/>
      <c r="AH944" s="143"/>
      <c r="AI944" s="143"/>
      <c r="AJ944" s="143"/>
      <c r="AK944" s="143"/>
      <c r="AL944" s="143"/>
      <c r="AM944" s="143"/>
    </row>
    <row r="945" spans="1:39" ht="12.75" customHeight="1" x14ac:dyDescent="0.25">
      <c r="A945" s="143"/>
      <c r="B945" s="143"/>
      <c r="C945" s="143"/>
      <c r="D945" s="143"/>
      <c r="E945" s="143"/>
      <c r="F945" s="143"/>
      <c r="G945" s="143"/>
      <c r="H945" s="143"/>
      <c r="I945" s="143"/>
      <c r="J945" s="143"/>
      <c r="K945" s="143"/>
      <c r="L945" s="143"/>
      <c r="M945" s="143"/>
      <c r="N945" s="143"/>
      <c r="O945" s="143"/>
      <c r="P945" s="143"/>
      <c r="Q945" s="143"/>
      <c r="R945" s="143"/>
      <c r="S945" s="143"/>
      <c r="T945" s="143"/>
      <c r="U945" s="143"/>
      <c r="V945" s="143"/>
      <c r="W945" s="143"/>
      <c r="X945" s="143"/>
      <c r="Y945" s="143"/>
      <c r="Z945" s="143"/>
      <c r="AA945" s="143"/>
      <c r="AB945" s="143"/>
      <c r="AC945" s="143"/>
      <c r="AD945" s="143"/>
      <c r="AE945" s="143"/>
      <c r="AF945" s="143"/>
      <c r="AG945" s="143"/>
      <c r="AH945" s="143"/>
      <c r="AI945" s="143"/>
      <c r="AJ945" s="143"/>
      <c r="AK945" s="143"/>
      <c r="AL945" s="143"/>
      <c r="AM945" s="143"/>
    </row>
    <row r="946" spans="1:39" ht="12.75" customHeight="1" x14ac:dyDescent="0.25">
      <c r="A946" s="143"/>
      <c r="B946" s="143"/>
      <c r="C946" s="143"/>
      <c r="D946" s="143"/>
      <c r="E946" s="143"/>
      <c r="F946" s="143"/>
      <c r="G946" s="143"/>
      <c r="H946" s="143"/>
      <c r="I946" s="143"/>
      <c r="J946" s="143"/>
      <c r="K946" s="143"/>
      <c r="L946" s="143"/>
      <c r="M946" s="143"/>
      <c r="N946" s="143"/>
      <c r="O946" s="143"/>
      <c r="P946" s="143"/>
      <c r="Q946" s="143"/>
      <c r="R946" s="143"/>
      <c r="S946" s="143"/>
      <c r="T946" s="143"/>
      <c r="U946" s="143"/>
      <c r="V946" s="143"/>
      <c r="W946" s="143"/>
      <c r="X946" s="143"/>
      <c r="Y946" s="143"/>
      <c r="Z946" s="143"/>
      <c r="AA946" s="143"/>
      <c r="AB946" s="143"/>
      <c r="AC946" s="143"/>
      <c r="AD946" s="143"/>
      <c r="AE946" s="143"/>
      <c r="AF946" s="143"/>
      <c r="AG946" s="143"/>
      <c r="AH946" s="143"/>
      <c r="AI946" s="143"/>
      <c r="AJ946" s="143"/>
      <c r="AK946" s="143"/>
      <c r="AL946" s="143"/>
      <c r="AM946" s="143"/>
    </row>
    <row r="947" spans="1:39" ht="12.75" customHeight="1" x14ac:dyDescent="0.25">
      <c r="A947" s="143"/>
      <c r="B947" s="143"/>
      <c r="C947" s="143"/>
      <c r="D947" s="143"/>
      <c r="E947" s="143"/>
      <c r="F947" s="143"/>
      <c r="G947" s="143"/>
      <c r="H947" s="143"/>
      <c r="I947" s="143"/>
      <c r="J947" s="143"/>
      <c r="K947" s="143"/>
      <c r="L947" s="143"/>
      <c r="M947" s="143"/>
      <c r="N947" s="143"/>
      <c r="O947" s="143"/>
      <c r="P947" s="143"/>
      <c r="Q947" s="143"/>
      <c r="R947" s="143"/>
      <c r="S947" s="143"/>
      <c r="T947" s="143"/>
      <c r="U947" s="143"/>
      <c r="V947" s="143"/>
      <c r="W947" s="143"/>
      <c r="X947" s="143"/>
      <c r="Y947" s="143"/>
      <c r="Z947" s="143"/>
      <c r="AA947" s="143"/>
      <c r="AB947" s="143"/>
      <c r="AC947" s="143"/>
      <c r="AD947" s="143"/>
      <c r="AE947" s="143"/>
      <c r="AF947" s="143"/>
      <c r="AG947" s="143"/>
      <c r="AH947" s="143"/>
      <c r="AI947" s="143"/>
      <c r="AJ947" s="143"/>
      <c r="AK947" s="143"/>
      <c r="AL947" s="143"/>
      <c r="AM947" s="143"/>
    </row>
    <row r="948" spans="1:39" ht="12.75" customHeight="1" x14ac:dyDescent="0.25">
      <c r="A948" s="143"/>
      <c r="B948" s="143"/>
      <c r="C948" s="143"/>
      <c r="D948" s="143"/>
      <c r="E948" s="143"/>
      <c r="F948" s="143"/>
      <c r="G948" s="143"/>
      <c r="H948" s="143"/>
      <c r="I948" s="143"/>
      <c r="J948" s="143"/>
      <c r="K948" s="143"/>
      <c r="L948" s="143"/>
      <c r="M948" s="143"/>
      <c r="N948" s="143"/>
      <c r="O948" s="143"/>
      <c r="P948" s="143"/>
      <c r="Q948" s="143"/>
      <c r="R948" s="143"/>
      <c r="S948" s="143"/>
      <c r="T948" s="143"/>
      <c r="U948" s="143"/>
      <c r="V948" s="143"/>
      <c r="W948" s="143"/>
      <c r="X948" s="143"/>
      <c r="Y948" s="143"/>
      <c r="Z948" s="143"/>
      <c r="AA948" s="143"/>
      <c r="AB948" s="143"/>
      <c r="AC948" s="143"/>
      <c r="AD948" s="143"/>
      <c r="AE948" s="143"/>
      <c r="AF948" s="143"/>
      <c r="AG948" s="143"/>
      <c r="AH948" s="143"/>
      <c r="AI948" s="143"/>
      <c r="AJ948" s="143"/>
      <c r="AK948" s="143"/>
      <c r="AL948" s="143"/>
      <c r="AM948" s="143"/>
    </row>
    <row r="949" spans="1:39" ht="12.75" customHeight="1" x14ac:dyDescent="0.25">
      <c r="A949" s="143"/>
      <c r="B949" s="143"/>
      <c r="C949" s="143"/>
      <c r="D949" s="143"/>
      <c r="E949" s="143"/>
      <c r="F949" s="143"/>
      <c r="G949" s="143"/>
      <c r="H949" s="143"/>
      <c r="I949" s="143"/>
      <c r="J949" s="143"/>
      <c r="K949" s="143"/>
      <c r="L949" s="143"/>
      <c r="M949" s="143"/>
      <c r="N949" s="143"/>
      <c r="O949" s="143"/>
      <c r="P949" s="143"/>
      <c r="Q949" s="143"/>
      <c r="R949" s="143"/>
      <c r="S949" s="143"/>
      <c r="T949" s="143"/>
      <c r="U949" s="143"/>
      <c r="V949" s="143"/>
      <c r="W949" s="143"/>
      <c r="X949" s="143"/>
      <c r="Y949" s="143"/>
      <c r="Z949" s="143"/>
      <c r="AA949" s="143"/>
      <c r="AB949" s="143"/>
      <c r="AC949" s="143"/>
      <c r="AD949" s="143"/>
      <c r="AE949" s="143"/>
      <c r="AF949" s="143"/>
      <c r="AG949" s="143"/>
      <c r="AH949" s="143"/>
      <c r="AI949" s="143"/>
      <c r="AJ949" s="143"/>
      <c r="AK949" s="143"/>
      <c r="AL949" s="143"/>
      <c r="AM949" s="143"/>
    </row>
    <row r="950" spans="1:39" ht="12.75" customHeight="1" x14ac:dyDescent="0.25">
      <c r="A950" s="143"/>
      <c r="B950" s="143"/>
      <c r="C950" s="143"/>
      <c r="D950" s="143"/>
      <c r="E950" s="143"/>
      <c r="F950" s="143"/>
      <c r="G950" s="143"/>
      <c r="H950" s="143"/>
      <c r="I950" s="143"/>
      <c r="J950" s="143"/>
      <c r="K950" s="143"/>
      <c r="L950" s="143"/>
      <c r="M950" s="143"/>
      <c r="N950" s="143"/>
      <c r="O950" s="143"/>
      <c r="P950" s="143"/>
      <c r="Q950" s="143"/>
      <c r="R950" s="143"/>
      <c r="S950" s="143"/>
      <c r="T950" s="143"/>
      <c r="U950" s="143"/>
      <c r="V950" s="143"/>
      <c r="W950" s="143"/>
      <c r="X950" s="143"/>
      <c r="Y950" s="143"/>
      <c r="Z950" s="143"/>
      <c r="AA950" s="143"/>
      <c r="AB950" s="143"/>
      <c r="AC950" s="143"/>
      <c r="AD950" s="143"/>
      <c r="AE950" s="143"/>
      <c r="AF950" s="143"/>
      <c r="AG950" s="143"/>
      <c r="AH950" s="143"/>
      <c r="AI950" s="143"/>
      <c r="AJ950" s="143"/>
      <c r="AK950" s="143"/>
      <c r="AL950" s="143"/>
      <c r="AM950" s="143"/>
    </row>
    <row r="951" spans="1:39" ht="12.75" customHeight="1" x14ac:dyDescent="0.25">
      <c r="A951" s="143"/>
      <c r="B951" s="143"/>
      <c r="C951" s="143"/>
      <c r="D951" s="143"/>
      <c r="E951" s="143"/>
      <c r="F951" s="143"/>
      <c r="G951" s="143"/>
      <c r="H951" s="143"/>
      <c r="I951" s="143"/>
      <c r="J951" s="143"/>
      <c r="K951" s="143"/>
      <c r="L951" s="143"/>
      <c r="M951" s="143"/>
      <c r="N951" s="143"/>
      <c r="O951" s="143"/>
      <c r="P951" s="143"/>
      <c r="Q951" s="143"/>
      <c r="R951" s="143"/>
      <c r="S951" s="143"/>
      <c r="T951" s="143"/>
      <c r="U951" s="143"/>
      <c r="V951" s="143"/>
      <c r="W951" s="143"/>
      <c r="X951" s="143"/>
      <c r="Y951" s="143"/>
      <c r="Z951" s="143"/>
      <c r="AA951" s="143"/>
      <c r="AB951" s="143"/>
      <c r="AC951" s="143"/>
      <c r="AD951" s="143"/>
      <c r="AE951" s="143"/>
      <c r="AF951" s="143"/>
      <c r="AG951" s="143"/>
      <c r="AH951" s="143"/>
      <c r="AI951" s="143"/>
      <c r="AJ951" s="143"/>
      <c r="AK951" s="143"/>
      <c r="AL951" s="143"/>
      <c r="AM951" s="143"/>
    </row>
    <row r="952" spans="1:39" ht="12.75" customHeight="1" x14ac:dyDescent="0.25">
      <c r="A952" s="143"/>
      <c r="B952" s="143"/>
      <c r="C952" s="143"/>
      <c r="D952" s="143"/>
      <c r="E952" s="143"/>
      <c r="F952" s="143"/>
      <c r="G952" s="143"/>
      <c r="H952" s="143"/>
      <c r="I952" s="143"/>
      <c r="J952" s="143"/>
      <c r="K952" s="143"/>
      <c r="L952" s="143"/>
      <c r="M952" s="143"/>
      <c r="N952" s="143"/>
      <c r="O952" s="143"/>
      <c r="P952" s="143"/>
      <c r="Q952" s="143"/>
      <c r="R952" s="143"/>
      <c r="S952" s="143"/>
      <c r="T952" s="143"/>
      <c r="U952" s="143"/>
      <c r="V952" s="143"/>
      <c r="W952" s="143"/>
      <c r="X952" s="143"/>
      <c r="Y952" s="143"/>
      <c r="Z952" s="143"/>
      <c r="AA952" s="143"/>
      <c r="AB952" s="143"/>
      <c r="AC952" s="143"/>
      <c r="AD952" s="143"/>
      <c r="AE952" s="143"/>
      <c r="AF952" s="143"/>
      <c r="AG952" s="143"/>
      <c r="AH952" s="143"/>
      <c r="AI952" s="143"/>
      <c r="AJ952" s="143"/>
      <c r="AK952" s="143"/>
      <c r="AL952" s="143"/>
      <c r="AM952" s="143"/>
    </row>
    <row r="953" spans="1:39" ht="12.75" customHeight="1" x14ac:dyDescent="0.25">
      <c r="A953" s="143"/>
      <c r="B953" s="143"/>
      <c r="C953" s="143"/>
      <c r="D953" s="143"/>
      <c r="E953" s="143"/>
      <c r="F953" s="143"/>
      <c r="G953" s="143"/>
      <c r="H953" s="143"/>
      <c r="I953" s="143"/>
      <c r="J953" s="143"/>
      <c r="K953" s="143"/>
      <c r="L953" s="143"/>
      <c r="M953" s="143"/>
      <c r="N953" s="143"/>
      <c r="O953" s="143"/>
      <c r="P953" s="143"/>
      <c r="Q953" s="143"/>
      <c r="R953" s="143"/>
      <c r="S953" s="143"/>
      <c r="T953" s="143"/>
      <c r="U953" s="143"/>
      <c r="V953" s="143"/>
      <c r="W953" s="143"/>
      <c r="X953" s="143"/>
      <c r="Y953" s="143"/>
      <c r="Z953" s="143"/>
      <c r="AA953" s="143"/>
      <c r="AB953" s="143"/>
      <c r="AC953" s="143"/>
      <c r="AD953" s="143"/>
      <c r="AE953" s="143"/>
      <c r="AF953" s="143"/>
      <c r="AG953" s="143"/>
      <c r="AH953" s="143"/>
      <c r="AI953" s="143"/>
      <c r="AJ953" s="143"/>
      <c r="AK953" s="143"/>
      <c r="AL953" s="143"/>
      <c r="AM953" s="143"/>
    </row>
    <row r="954" spans="1:39" ht="12.75" customHeight="1" x14ac:dyDescent="0.25">
      <c r="A954" s="143"/>
      <c r="B954" s="143"/>
      <c r="C954" s="143"/>
      <c r="D954" s="143"/>
      <c r="E954" s="143"/>
      <c r="F954" s="143"/>
      <c r="G954" s="143"/>
      <c r="H954" s="143"/>
      <c r="I954" s="143"/>
      <c r="J954" s="143"/>
      <c r="K954" s="143"/>
      <c r="L954" s="143"/>
      <c r="M954" s="143"/>
      <c r="N954" s="143"/>
      <c r="O954" s="143"/>
      <c r="P954" s="143"/>
      <c r="Q954" s="143"/>
      <c r="R954" s="143"/>
      <c r="S954" s="143"/>
      <c r="T954" s="143"/>
      <c r="U954" s="143"/>
      <c r="V954" s="143"/>
      <c r="W954" s="143"/>
      <c r="X954" s="143"/>
      <c r="Y954" s="143"/>
      <c r="Z954" s="143"/>
      <c r="AA954" s="143"/>
      <c r="AB954" s="143"/>
      <c r="AC954" s="143"/>
      <c r="AD954" s="143"/>
      <c r="AE954" s="143"/>
      <c r="AF954" s="143"/>
      <c r="AG954" s="143"/>
      <c r="AH954" s="143"/>
      <c r="AI954" s="143"/>
      <c r="AJ954" s="143"/>
      <c r="AK954" s="143"/>
      <c r="AL954" s="143"/>
      <c r="AM954" s="143"/>
    </row>
    <row r="955" spans="1:39" ht="12.75" customHeight="1" x14ac:dyDescent="0.25">
      <c r="A955" s="143"/>
      <c r="B955" s="143"/>
      <c r="C955" s="143"/>
      <c r="D955" s="143"/>
      <c r="E955" s="143"/>
      <c r="F955" s="143"/>
      <c r="G955" s="143"/>
      <c r="H955" s="143"/>
      <c r="I955" s="143"/>
      <c r="J955" s="143"/>
      <c r="K955" s="143"/>
      <c r="L955" s="143"/>
      <c r="M955" s="143"/>
      <c r="N955" s="143"/>
      <c r="O955" s="143"/>
      <c r="P955" s="143"/>
      <c r="Q955" s="143"/>
      <c r="R955" s="143"/>
      <c r="S955" s="143"/>
      <c r="T955" s="143"/>
      <c r="U955" s="143"/>
      <c r="V955" s="143"/>
      <c r="W955" s="143"/>
      <c r="X955" s="143"/>
      <c r="Y955" s="143"/>
      <c r="Z955" s="143"/>
      <c r="AA955" s="143"/>
      <c r="AB955" s="143"/>
      <c r="AC955" s="143"/>
      <c r="AD955" s="143"/>
      <c r="AE955" s="143"/>
      <c r="AF955" s="143"/>
      <c r="AG955" s="143"/>
      <c r="AH955" s="143"/>
      <c r="AI955" s="143"/>
      <c r="AJ955" s="143"/>
      <c r="AK955" s="143"/>
      <c r="AL955" s="143"/>
      <c r="AM955" s="143"/>
    </row>
    <row r="956" spans="1:39" ht="12.75" customHeight="1" x14ac:dyDescent="0.25">
      <c r="A956" s="143"/>
      <c r="B956" s="143"/>
      <c r="C956" s="143"/>
      <c r="D956" s="143"/>
      <c r="E956" s="143"/>
      <c r="F956" s="143"/>
      <c r="G956" s="143"/>
      <c r="H956" s="143"/>
      <c r="I956" s="143"/>
      <c r="J956" s="143"/>
      <c r="K956" s="143"/>
      <c r="L956" s="143"/>
      <c r="M956" s="143"/>
      <c r="N956" s="143"/>
      <c r="O956" s="143"/>
      <c r="P956" s="143"/>
      <c r="Q956" s="143"/>
      <c r="R956" s="143"/>
      <c r="S956" s="143"/>
      <c r="T956" s="143"/>
      <c r="U956" s="143"/>
      <c r="V956" s="143"/>
      <c r="W956" s="143"/>
      <c r="X956" s="143"/>
      <c r="Y956" s="143"/>
      <c r="Z956" s="143"/>
      <c r="AA956" s="143"/>
      <c r="AB956" s="143"/>
      <c r="AC956" s="143"/>
      <c r="AD956" s="143"/>
      <c r="AE956" s="143"/>
      <c r="AF956" s="143"/>
      <c r="AG956" s="143"/>
      <c r="AH956" s="143"/>
      <c r="AI956" s="143"/>
      <c r="AJ956" s="143"/>
      <c r="AK956" s="143"/>
      <c r="AL956" s="143"/>
      <c r="AM956" s="143"/>
    </row>
    <row r="957" spans="1:39" ht="12.75" customHeight="1" x14ac:dyDescent="0.25">
      <c r="A957" s="143"/>
      <c r="B957" s="143"/>
      <c r="C957" s="143"/>
      <c r="D957" s="143"/>
      <c r="E957" s="143"/>
      <c r="F957" s="143"/>
      <c r="G957" s="143"/>
      <c r="H957" s="143"/>
      <c r="I957" s="143"/>
      <c r="J957" s="143"/>
      <c r="K957" s="143"/>
      <c r="L957" s="143"/>
      <c r="M957" s="143"/>
      <c r="N957" s="143"/>
      <c r="O957" s="143"/>
      <c r="P957" s="143"/>
      <c r="Q957" s="143"/>
      <c r="R957" s="143"/>
      <c r="S957" s="143"/>
      <c r="T957" s="143"/>
      <c r="U957" s="143"/>
      <c r="V957" s="143"/>
      <c r="W957" s="143"/>
      <c r="X957" s="143"/>
      <c r="Y957" s="143"/>
      <c r="Z957" s="143"/>
      <c r="AA957" s="143"/>
      <c r="AB957" s="143"/>
      <c r="AC957" s="143"/>
      <c r="AD957" s="143"/>
      <c r="AE957" s="143"/>
      <c r="AF957" s="143"/>
      <c r="AG957" s="143"/>
      <c r="AH957" s="143"/>
      <c r="AI957" s="143"/>
      <c r="AJ957" s="143"/>
      <c r="AK957" s="143"/>
      <c r="AL957" s="143"/>
      <c r="AM957" s="143"/>
    </row>
    <row r="958" spans="1:39" ht="12.75" customHeight="1" x14ac:dyDescent="0.25">
      <c r="A958" s="143"/>
      <c r="B958" s="143"/>
      <c r="C958" s="143"/>
      <c r="D958" s="143"/>
      <c r="E958" s="143"/>
      <c r="F958" s="143"/>
      <c r="G958" s="143"/>
      <c r="H958" s="143"/>
      <c r="I958" s="143"/>
      <c r="J958" s="143"/>
      <c r="K958" s="143"/>
      <c r="L958" s="143"/>
      <c r="M958" s="143"/>
      <c r="N958" s="143"/>
      <c r="O958" s="143"/>
      <c r="P958" s="143"/>
      <c r="Q958" s="143"/>
      <c r="R958" s="143"/>
      <c r="S958" s="143"/>
      <c r="T958" s="143"/>
      <c r="U958" s="143"/>
      <c r="V958" s="143"/>
      <c r="W958" s="143"/>
      <c r="X958" s="143"/>
      <c r="Y958" s="143"/>
      <c r="Z958" s="143"/>
      <c r="AA958" s="143"/>
      <c r="AB958" s="143"/>
      <c r="AC958" s="143"/>
      <c r="AD958" s="143"/>
      <c r="AE958" s="143"/>
      <c r="AF958" s="143"/>
      <c r="AG958" s="143"/>
      <c r="AH958" s="143"/>
      <c r="AI958" s="143"/>
      <c r="AJ958" s="143"/>
      <c r="AK958" s="143"/>
      <c r="AL958" s="143"/>
      <c r="AM958" s="143"/>
    </row>
    <row r="959" spans="1:39" ht="12.75" customHeight="1" x14ac:dyDescent="0.25">
      <c r="A959" s="143"/>
      <c r="B959" s="143"/>
      <c r="C959" s="143"/>
      <c r="D959" s="143"/>
      <c r="E959" s="143"/>
      <c r="F959" s="143"/>
      <c r="G959" s="143"/>
      <c r="H959" s="143"/>
      <c r="I959" s="143"/>
      <c r="J959" s="143"/>
      <c r="K959" s="143"/>
      <c r="L959" s="143"/>
      <c r="M959" s="143"/>
      <c r="N959" s="143"/>
      <c r="O959" s="143"/>
      <c r="P959" s="143"/>
      <c r="Q959" s="143"/>
      <c r="R959" s="143"/>
      <c r="S959" s="143"/>
      <c r="T959" s="143"/>
      <c r="U959" s="143"/>
      <c r="V959" s="143"/>
      <c r="W959" s="143"/>
      <c r="X959" s="143"/>
      <c r="Y959" s="143"/>
      <c r="Z959" s="143"/>
      <c r="AA959" s="143"/>
      <c r="AB959" s="143"/>
      <c r="AC959" s="143"/>
      <c r="AD959" s="143"/>
      <c r="AE959" s="143"/>
      <c r="AF959" s="143"/>
      <c r="AG959" s="143"/>
      <c r="AH959" s="143"/>
      <c r="AI959" s="143"/>
      <c r="AJ959" s="143"/>
      <c r="AK959" s="143"/>
      <c r="AL959" s="143"/>
      <c r="AM959" s="143"/>
    </row>
    <row r="960" spans="1:39" ht="12.75" customHeight="1" x14ac:dyDescent="0.25">
      <c r="A960" s="143"/>
      <c r="B960" s="143"/>
      <c r="C960" s="143"/>
      <c r="D960" s="143"/>
      <c r="E960" s="143"/>
      <c r="F960" s="143"/>
      <c r="G960" s="143"/>
      <c r="H960" s="143"/>
      <c r="I960" s="143"/>
      <c r="J960" s="143"/>
      <c r="K960" s="143"/>
      <c r="L960" s="143"/>
      <c r="M960" s="143"/>
      <c r="N960" s="143"/>
      <c r="O960" s="143"/>
      <c r="P960" s="143"/>
      <c r="Q960" s="143"/>
      <c r="R960" s="143"/>
      <c r="S960" s="143"/>
      <c r="T960" s="143"/>
      <c r="U960" s="143"/>
      <c r="V960" s="143"/>
      <c r="W960" s="143"/>
      <c r="X960" s="143"/>
      <c r="Y960" s="143"/>
      <c r="Z960" s="143"/>
      <c r="AA960" s="143"/>
      <c r="AB960" s="143"/>
      <c r="AC960" s="143"/>
      <c r="AD960" s="143"/>
      <c r="AE960" s="143"/>
      <c r="AF960" s="143"/>
      <c r="AG960" s="143"/>
      <c r="AH960" s="143"/>
      <c r="AI960" s="143"/>
      <c r="AJ960" s="143"/>
      <c r="AK960" s="143"/>
      <c r="AL960" s="143"/>
      <c r="AM960" s="143"/>
    </row>
    <row r="961" spans="1:39" ht="12.75" customHeight="1" x14ac:dyDescent="0.25">
      <c r="A961" s="143"/>
      <c r="B961" s="143"/>
      <c r="C961" s="143"/>
      <c r="D961" s="143"/>
      <c r="E961" s="143"/>
      <c r="F961" s="143"/>
      <c r="G961" s="143"/>
      <c r="H961" s="143"/>
      <c r="I961" s="143"/>
      <c r="J961" s="143"/>
      <c r="K961" s="143"/>
      <c r="L961" s="143"/>
      <c r="M961" s="143"/>
      <c r="N961" s="143"/>
      <c r="O961" s="143"/>
      <c r="P961" s="143"/>
      <c r="Q961" s="143"/>
      <c r="R961" s="143"/>
      <c r="S961" s="143"/>
      <c r="T961" s="143"/>
      <c r="U961" s="143"/>
      <c r="V961" s="143"/>
      <c r="W961" s="143"/>
      <c r="X961" s="143"/>
      <c r="Y961" s="143"/>
      <c r="Z961" s="143"/>
      <c r="AA961" s="143"/>
      <c r="AB961" s="143"/>
      <c r="AC961" s="143"/>
      <c r="AD961" s="143"/>
      <c r="AE961" s="143"/>
      <c r="AF961" s="143"/>
      <c r="AG961" s="143"/>
      <c r="AH961" s="143"/>
      <c r="AI961" s="143"/>
      <c r="AJ961" s="143"/>
      <c r="AK961" s="143"/>
      <c r="AL961" s="143"/>
      <c r="AM961" s="143"/>
    </row>
    <row r="962" spans="1:39" ht="12.75" customHeight="1" x14ac:dyDescent="0.25">
      <c r="A962" s="143"/>
      <c r="B962" s="143"/>
      <c r="C962" s="143"/>
      <c r="D962" s="143"/>
      <c r="E962" s="143"/>
      <c r="F962" s="143"/>
      <c r="G962" s="143"/>
      <c r="H962" s="143"/>
      <c r="I962" s="143"/>
      <c r="J962" s="143"/>
      <c r="K962" s="143"/>
      <c r="L962" s="143"/>
      <c r="M962" s="143"/>
      <c r="N962" s="143"/>
      <c r="O962" s="143"/>
      <c r="P962" s="143"/>
      <c r="Q962" s="143"/>
      <c r="R962" s="143"/>
      <c r="S962" s="143"/>
      <c r="T962" s="143"/>
      <c r="U962" s="143"/>
      <c r="V962" s="143"/>
      <c r="W962" s="143"/>
      <c r="X962" s="143"/>
      <c r="Y962" s="143"/>
      <c r="Z962" s="143"/>
      <c r="AA962" s="143"/>
      <c r="AB962" s="143"/>
      <c r="AC962" s="143"/>
      <c r="AD962" s="143"/>
      <c r="AE962" s="143"/>
      <c r="AF962" s="143"/>
      <c r="AG962" s="143"/>
      <c r="AH962" s="143"/>
      <c r="AI962" s="143"/>
      <c r="AJ962" s="143"/>
      <c r="AK962" s="143"/>
      <c r="AL962" s="143"/>
      <c r="AM962" s="143"/>
    </row>
    <row r="963" spans="1:39" ht="12.75" customHeight="1" x14ac:dyDescent="0.25">
      <c r="A963" s="143"/>
      <c r="B963" s="143"/>
      <c r="C963" s="143"/>
      <c r="D963" s="143"/>
      <c r="E963" s="143"/>
      <c r="F963" s="143"/>
      <c r="G963" s="143"/>
      <c r="H963" s="143"/>
      <c r="I963" s="143"/>
      <c r="J963" s="143"/>
      <c r="K963" s="143"/>
      <c r="L963" s="143"/>
      <c r="M963" s="143"/>
      <c r="N963" s="143"/>
      <c r="O963" s="143"/>
      <c r="P963" s="143"/>
      <c r="Q963" s="143"/>
      <c r="R963" s="143"/>
      <c r="S963" s="143"/>
      <c r="T963" s="143"/>
      <c r="U963" s="143"/>
      <c r="V963" s="143"/>
      <c r="W963" s="143"/>
      <c r="X963" s="143"/>
      <c r="Y963" s="143"/>
      <c r="Z963" s="143"/>
      <c r="AA963" s="143"/>
      <c r="AB963" s="143"/>
      <c r="AC963" s="143"/>
      <c r="AD963" s="143"/>
      <c r="AE963" s="143"/>
      <c r="AF963" s="143"/>
      <c r="AG963" s="143"/>
      <c r="AH963" s="143"/>
      <c r="AI963" s="143"/>
      <c r="AJ963" s="143"/>
      <c r="AK963" s="143"/>
      <c r="AL963" s="143"/>
      <c r="AM963" s="143"/>
    </row>
    <row r="964" spans="1:39" ht="12.75" customHeight="1" x14ac:dyDescent="0.25">
      <c r="A964" s="143"/>
      <c r="B964" s="143"/>
      <c r="C964" s="143"/>
      <c r="D964" s="143"/>
      <c r="E964" s="143"/>
      <c r="F964" s="143"/>
      <c r="G964" s="143"/>
      <c r="H964" s="143"/>
      <c r="I964" s="143"/>
      <c r="J964" s="143"/>
      <c r="K964" s="143"/>
      <c r="L964" s="143"/>
      <c r="M964" s="143"/>
      <c r="N964" s="143"/>
      <c r="O964" s="143"/>
      <c r="P964" s="143"/>
      <c r="Q964" s="143"/>
      <c r="R964" s="143"/>
      <c r="S964" s="143"/>
      <c r="T964" s="143"/>
      <c r="U964" s="143"/>
      <c r="V964" s="143"/>
      <c r="W964" s="143"/>
      <c r="X964" s="143"/>
      <c r="Y964" s="143"/>
      <c r="Z964" s="143"/>
      <c r="AA964" s="143"/>
      <c r="AB964" s="143"/>
      <c r="AC964" s="143"/>
      <c r="AD964" s="143"/>
      <c r="AE964" s="143"/>
      <c r="AF964" s="143"/>
      <c r="AG964" s="143"/>
      <c r="AH964" s="143"/>
      <c r="AI964" s="143"/>
      <c r="AJ964" s="143"/>
      <c r="AK964" s="143"/>
      <c r="AL964" s="143"/>
      <c r="AM964" s="143"/>
    </row>
    <row r="965" spans="1:39" ht="12.75" customHeight="1" x14ac:dyDescent="0.25">
      <c r="A965" s="143"/>
      <c r="B965" s="143"/>
      <c r="C965" s="143"/>
      <c r="D965" s="143"/>
      <c r="E965" s="143"/>
      <c r="F965" s="143"/>
      <c r="G965" s="143"/>
      <c r="H965" s="143"/>
      <c r="I965" s="143"/>
      <c r="J965" s="143"/>
      <c r="K965" s="143"/>
      <c r="L965" s="143"/>
      <c r="M965" s="143"/>
      <c r="N965" s="143"/>
      <c r="O965" s="143"/>
      <c r="P965" s="143"/>
      <c r="Q965" s="143"/>
      <c r="R965" s="143"/>
      <c r="S965" s="143"/>
      <c r="T965" s="143"/>
      <c r="U965" s="143"/>
      <c r="V965" s="143"/>
      <c r="W965" s="143"/>
      <c r="X965" s="143"/>
      <c r="Y965" s="143"/>
      <c r="Z965" s="143"/>
      <c r="AA965" s="143"/>
      <c r="AB965" s="143"/>
      <c r="AC965" s="143"/>
      <c r="AD965" s="143"/>
      <c r="AE965" s="143"/>
      <c r="AF965" s="143"/>
      <c r="AG965" s="143"/>
      <c r="AH965" s="143"/>
      <c r="AI965" s="143"/>
      <c r="AJ965" s="143"/>
      <c r="AK965" s="143"/>
      <c r="AL965" s="143"/>
      <c r="AM965" s="143"/>
    </row>
    <row r="966" spans="1:39" ht="12.75" customHeight="1" x14ac:dyDescent="0.25">
      <c r="A966" s="143"/>
      <c r="B966" s="143"/>
      <c r="C966" s="143"/>
      <c r="D966" s="143"/>
      <c r="E966" s="143"/>
      <c r="F966" s="143"/>
      <c r="G966" s="143"/>
      <c r="H966" s="143"/>
      <c r="I966" s="143"/>
      <c r="J966" s="143"/>
      <c r="K966" s="143"/>
      <c r="L966" s="143"/>
      <c r="M966" s="143"/>
      <c r="N966" s="143"/>
      <c r="O966" s="143"/>
      <c r="P966" s="143"/>
      <c r="Q966" s="143"/>
      <c r="R966" s="143"/>
      <c r="S966" s="143"/>
      <c r="T966" s="143"/>
      <c r="U966" s="143"/>
      <c r="V966" s="143"/>
      <c r="W966" s="143"/>
      <c r="X966" s="143"/>
      <c r="Y966" s="143"/>
      <c r="Z966" s="143"/>
      <c r="AA966" s="143"/>
      <c r="AB966" s="143"/>
      <c r="AC966" s="143"/>
      <c r="AD966" s="143"/>
      <c r="AE966" s="143"/>
      <c r="AF966" s="143"/>
      <c r="AG966" s="143"/>
      <c r="AH966" s="143"/>
      <c r="AI966" s="143"/>
      <c r="AJ966" s="143"/>
      <c r="AK966" s="143"/>
      <c r="AL966" s="143"/>
      <c r="AM966" s="143"/>
    </row>
    <row r="967" spans="1:39" ht="12.75" customHeight="1" x14ac:dyDescent="0.25">
      <c r="A967" s="143"/>
      <c r="B967" s="143"/>
      <c r="C967" s="143"/>
      <c r="D967" s="143"/>
      <c r="E967" s="143"/>
      <c r="F967" s="143"/>
      <c r="G967" s="143"/>
      <c r="H967" s="143"/>
      <c r="I967" s="143"/>
      <c r="J967" s="143"/>
      <c r="K967" s="143"/>
      <c r="L967" s="143"/>
      <c r="M967" s="143"/>
      <c r="N967" s="143"/>
      <c r="O967" s="143"/>
      <c r="P967" s="143"/>
      <c r="Q967" s="143"/>
      <c r="R967" s="143"/>
      <c r="S967" s="143"/>
      <c r="T967" s="143"/>
      <c r="U967" s="143"/>
      <c r="V967" s="143"/>
      <c r="W967" s="143"/>
      <c r="X967" s="143"/>
      <c r="Y967" s="143"/>
      <c r="Z967" s="143"/>
      <c r="AA967" s="143"/>
      <c r="AB967" s="143"/>
      <c r="AC967" s="143"/>
      <c r="AD967" s="143"/>
      <c r="AE967" s="143"/>
      <c r="AF967" s="143"/>
      <c r="AG967" s="143"/>
      <c r="AH967" s="143"/>
      <c r="AI967" s="143"/>
      <c r="AJ967" s="143"/>
      <c r="AK967" s="143"/>
      <c r="AL967" s="143"/>
      <c r="AM967" s="143"/>
    </row>
    <row r="968" spans="1:39" ht="12.75" customHeight="1" x14ac:dyDescent="0.25">
      <c r="A968" s="143"/>
      <c r="B968" s="143"/>
      <c r="C968" s="143"/>
      <c r="D968" s="143"/>
      <c r="E968" s="143"/>
      <c r="F968" s="143"/>
      <c r="G968" s="143"/>
      <c r="H968" s="143"/>
      <c r="I968" s="143"/>
      <c r="J968" s="143"/>
      <c r="K968" s="143"/>
      <c r="L968" s="143"/>
      <c r="M968" s="143"/>
      <c r="N968" s="143"/>
      <c r="O968" s="143"/>
      <c r="P968" s="143"/>
      <c r="Q968" s="143"/>
      <c r="R968" s="143"/>
      <c r="S968" s="143"/>
      <c r="T968" s="143"/>
      <c r="U968" s="143"/>
      <c r="V968" s="143"/>
      <c r="W968" s="143"/>
      <c r="X968" s="143"/>
      <c r="Y968" s="143"/>
      <c r="Z968" s="143"/>
      <c r="AA968" s="143"/>
      <c r="AB968" s="143"/>
      <c r="AC968" s="143"/>
      <c r="AD968" s="143"/>
      <c r="AE968" s="143"/>
      <c r="AF968" s="143"/>
      <c r="AG968" s="143"/>
      <c r="AH968" s="143"/>
      <c r="AI968" s="143"/>
      <c r="AJ968" s="143"/>
      <c r="AK968" s="143"/>
      <c r="AL968" s="143"/>
      <c r="AM968" s="143"/>
    </row>
    <row r="969" spans="1:39" ht="12.75" customHeight="1" x14ac:dyDescent="0.25">
      <c r="A969" s="143"/>
      <c r="B969" s="143"/>
      <c r="C969" s="143"/>
      <c r="D969" s="143"/>
      <c r="E969" s="143"/>
      <c r="F969" s="143"/>
      <c r="G969" s="143"/>
      <c r="H969" s="143"/>
      <c r="I969" s="143"/>
      <c r="J969" s="143"/>
      <c r="K969" s="143"/>
      <c r="L969" s="143"/>
      <c r="M969" s="143"/>
      <c r="N969" s="143"/>
      <c r="O969" s="143"/>
      <c r="P969" s="143"/>
      <c r="Q969" s="143"/>
      <c r="R969" s="143"/>
      <c r="S969" s="143"/>
      <c r="T969" s="143"/>
      <c r="U969" s="143"/>
      <c r="V969" s="143"/>
      <c r="W969" s="143"/>
      <c r="X969" s="143"/>
      <c r="Y969" s="143"/>
      <c r="Z969" s="143"/>
      <c r="AA969" s="143"/>
      <c r="AB969" s="143"/>
      <c r="AC969" s="143"/>
      <c r="AD969" s="143"/>
      <c r="AE969" s="143"/>
      <c r="AF969" s="143"/>
      <c r="AG969" s="143"/>
      <c r="AH969" s="143"/>
      <c r="AI969" s="143"/>
      <c r="AJ969" s="143"/>
      <c r="AK969" s="143"/>
      <c r="AL969" s="143"/>
      <c r="AM969" s="143"/>
    </row>
    <row r="970" spans="1:39" ht="12.75" customHeight="1" x14ac:dyDescent="0.25">
      <c r="A970" s="143"/>
      <c r="B970" s="143"/>
      <c r="C970" s="143"/>
      <c r="D970" s="143"/>
      <c r="E970" s="143"/>
      <c r="F970" s="143"/>
      <c r="G970" s="143"/>
      <c r="H970" s="143"/>
      <c r="I970" s="143"/>
      <c r="J970" s="143"/>
      <c r="K970" s="143"/>
      <c r="L970" s="143"/>
      <c r="M970" s="143"/>
      <c r="N970" s="143"/>
      <c r="O970" s="143"/>
      <c r="P970" s="143"/>
      <c r="Q970" s="143"/>
      <c r="R970" s="143"/>
      <c r="S970" s="143"/>
      <c r="T970" s="143"/>
      <c r="U970" s="143"/>
      <c r="V970" s="143"/>
      <c r="W970" s="143"/>
      <c r="X970" s="143"/>
      <c r="Y970" s="143"/>
      <c r="Z970" s="143"/>
      <c r="AA970" s="143"/>
      <c r="AB970" s="143"/>
      <c r="AC970" s="143"/>
      <c r="AD970" s="143"/>
      <c r="AE970" s="143"/>
      <c r="AF970" s="143"/>
      <c r="AG970" s="143"/>
      <c r="AH970" s="143"/>
      <c r="AI970" s="143"/>
      <c r="AJ970" s="143"/>
      <c r="AK970" s="143"/>
      <c r="AL970" s="143"/>
      <c r="AM970" s="143"/>
    </row>
    <row r="971" spans="1:39" ht="12.75" customHeight="1" x14ac:dyDescent="0.25">
      <c r="A971" s="143"/>
      <c r="B971" s="143"/>
      <c r="C971" s="143"/>
      <c r="D971" s="143"/>
      <c r="E971" s="143"/>
      <c r="F971" s="143"/>
      <c r="G971" s="143"/>
      <c r="H971" s="143"/>
      <c r="I971" s="143"/>
      <c r="J971" s="143"/>
      <c r="K971" s="143"/>
      <c r="L971" s="143"/>
      <c r="M971" s="143"/>
      <c r="N971" s="143"/>
      <c r="O971" s="143"/>
      <c r="P971" s="143"/>
      <c r="Q971" s="143"/>
      <c r="R971" s="143"/>
      <c r="S971" s="143"/>
      <c r="T971" s="143"/>
      <c r="U971" s="143"/>
      <c r="V971" s="143"/>
      <c r="W971" s="143"/>
      <c r="X971" s="143"/>
      <c r="Y971" s="143"/>
      <c r="Z971" s="143"/>
      <c r="AA971" s="143"/>
      <c r="AB971" s="143"/>
      <c r="AC971" s="143"/>
      <c r="AD971" s="143"/>
      <c r="AE971" s="143"/>
      <c r="AF971" s="143"/>
      <c r="AG971" s="143"/>
      <c r="AH971" s="143"/>
      <c r="AI971" s="143"/>
      <c r="AJ971" s="143"/>
      <c r="AK971" s="143"/>
      <c r="AL971" s="143"/>
      <c r="AM971" s="143"/>
    </row>
    <row r="972" spans="1:39" ht="12.75" customHeight="1" x14ac:dyDescent="0.25">
      <c r="A972" s="143"/>
      <c r="B972" s="143"/>
      <c r="C972" s="143"/>
      <c r="D972" s="143"/>
      <c r="E972" s="143"/>
      <c r="F972" s="143"/>
      <c r="G972" s="143"/>
      <c r="H972" s="143"/>
      <c r="I972" s="143"/>
      <c r="J972" s="143"/>
      <c r="K972" s="143"/>
      <c r="L972" s="143"/>
      <c r="M972" s="143"/>
      <c r="N972" s="143"/>
      <c r="O972" s="143"/>
      <c r="P972" s="143"/>
      <c r="Q972" s="143"/>
      <c r="R972" s="143"/>
      <c r="S972" s="143"/>
      <c r="T972" s="143"/>
      <c r="U972" s="143"/>
      <c r="V972" s="143"/>
      <c r="W972" s="143"/>
      <c r="X972" s="143"/>
      <c r="Y972" s="143"/>
      <c r="Z972" s="143"/>
      <c r="AA972" s="143"/>
      <c r="AB972" s="143"/>
      <c r="AC972" s="143"/>
      <c r="AD972" s="143"/>
      <c r="AE972" s="143"/>
      <c r="AF972" s="143"/>
      <c r="AG972" s="143"/>
      <c r="AH972" s="143"/>
      <c r="AI972" s="143"/>
      <c r="AJ972" s="143"/>
      <c r="AK972" s="143"/>
      <c r="AL972" s="143"/>
      <c r="AM972" s="143"/>
    </row>
    <row r="973" spans="1:39" ht="12.75" customHeight="1" x14ac:dyDescent="0.25">
      <c r="A973" s="143"/>
      <c r="B973" s="143"/>
      <c r="C973" s="143"/>
      <c r="D973" s="143"/>
      <c r="E973" s="143"/>
      <c r="F973" s="143"/>
      <c r="G973" s="143"/>
      <c r="H973" s="143"/>
      <c r="I973" s="143"/>
      <c r="J973" s="143"/>
      <c r="K973" s="143"/>
      <c r="L973" s="143"/>
      <c r="M973" s="143"/>
      <c r="N973" s="143"/>
      <c r="O973" s="143"/>
      <c r="P973" s="143"/>
      <c r="Q973" s="143"/>
      <c r="R973" s="143"/>
      <c r="S973" s="143"/>
      <c r="T973" s="143"/>
      <c r="U973" s="143"/>
      <c r="V973" s="143"/>
      <c r="W973" s="143"/>
      <c r="X973" s="143"/>
      <c r="Y973" s="143"/>
      <c r="Z973" s="143"/>
      <c r="AA973" s="143"/>
      <c r="AB973" s="143"/>
      <c r="AC973" s="143"/>
      <c r="AD973" s="143"/>
      <c r="AE973" s="143"/>
      <c r="AF973" s="143"/>
      <c r="AG973" s="143"/>
      <c r="AH973" s="143"/>
      <c r="AI973" s="143"/>
      <c r="AJ973" s="143"/>
      <c r="AK973" s="143"/>
      <c r="AL973" s="143"/>
      <c r="AM973" s="143"/>
    </row>
    <row r="974" spans="1:39" ht="12.75" customHeight="1" x14ac:dyDescent="0.25">
      <c r="A974" s="143"/>
      <c r="B974" s="143"/>
      <c r="C974" s="143"/>
      <c r="D974" s="143"/>
      <c r="E974" s="143"/>
      <c r="F974" s="143"/>
      <c r="G974" s="143"/>
      <c r="H974" s="143"/>
      <c r="I974" s="143"/>
      <c r="J974" s="143"/>
      <c r="K974" s="143"/>
      <c r="L974" s="143"/>
      <c r="M974" s="143"/>
      <c r="N974" s="143"/>
      <c r="O974" s="143"/>
      <c r="P974" s="143"/>
      <c r="Q974" s="143"/>
      <c r="R974" s="143"/>
      <c r="S974" s="143"/>
      <c r="T974" s="143"/>
      <c r="U974" s="143"/>
      <c r="V974" s="143"/>
      <c r="W974" s="143"/>
      <c r="X974" s="143"/>
      <c r="Y974" s="143"/>
      <c r="Z974" s="143"/>
      <c r="AA974" s="143"/>
      <c r="AB974" s="143"/>
      <c r="AC974" s="143"/>
      <c r="AD974" s="143"/>
      <c r="AE974" s="143"/>
      <c r="AF974" s="143"/>
      <c r="AG974" s="143"/>
      <c r="AH974" s="143"/>
      <c r="AI974" s="143"/>
      <c r="AJ974" s="143"/>
      <c r="AK974" s="143"/>
      <c r="AL974" s="143"/>
      <c r="AM974" s="143"/>
    </row>
    <row r="975" spans="1:39" ht="12.75" customHeight="1" x14ac:dyDescent="0.25">
      <c r="A975" s="143"/>
      <c r="B975" s="143"/>
      <c r="C975" s="143"/>
      <c r="D975" s="143"/>
      <c r="E975" s="143"/>
      <c r="F975" s="143"/>
      <c r="G975" s="143"/>
      <c r="H975" s="143"/>
      <c r="I975" s="143"/>
      <c r="J975" s="143"/>
      <c r="K975" s="143"/>
      <c r="L975" s="143"/>
      <c r="M975" s="143"/>
      <c r="N975" s="143"/>
      <c r="O975" s="143"/>
      <c r="P975" s="143"/>
      <c r="Q975" s="143"/>
      <c r="R975" s="143"/>
      <c r="S975" s="143"/>
      <c r="T975" s="143"/>
      <c r="U975" s="143"/>
      <c r="V975" s="143"/>
      <c r="W975" s="143"/>
      <c r="X975" s="143"/>
      <c r="Y975" s="143"/>
      <c r="Z975" s="143"/>
      <c r="AA975" s="143"/>
      <c r="AB975" s="143"/>
      <c r="AC975" s="143"/>
      <c r="AD975" s="143"/>
      <c r="AE975" s="143"/>
      <c r="AF975" s="143"/>
      <c r="AG975" s="143"/>
      <c r="AH975" s="143"/>
      <c r="AI975" s="143"/>
      <c r="AJ975" s="143"/>
      <c r="AK975" s="143"/>
      <c r="AL975" s="143"/>
      <c r="AM975" s="143"/>
    </row>
    <row r="976" spans="1:39" ht="12.75" customHeight="1" x14ac:dyDescent="0.25">
      <c r="A976" s="143"/>
      <c r="B976" s="143"/>
      <c r="C976" s="143"/>
      <c r="D976" s="143"/>
      <c r="E976" s="143"/>
      <c r="F976" s="143"/>
      <c r="G976" s="143"/>
      <c r="H976" s="143"/>
      <c r="I976" s="143"/>
      <c r="J976" s="143"/>
      <c r="K976" s="143"/>
      <c r="L976" s="143"/>
      <c r="M976" s="143"/>
      <c r="N976" s="143"/>
      <c r="O976" s="143"/>
      <c r="P976" s="143"/>
      <c r="Q976" s="143"/>
      <c r="R976" s="143"/>
      <c r="S976" s="143"/>
      <c r="T976" s="143"/>
      <c r="U976" s="143"/>
      <c r="V976" s="143"/>
      <c r="W976" s="143"/>
      <c r="X976" s="143"/>
      <c r="Y976" s="143"/>
      <c r="Z976" s="143"/>
      <c r="AA976" s="143"/>
      <c r="AB976" s="143"/>
      <c r="AC976" s="143"/>
      <c r="AD976" s="143"/>
      <c r="AE976" s="143"/>
      <c r="AF976" s="143"/>
      <c r="AG976" s="143"/>
      <c r="AH976" s="143"/>
      <c r="AI976" s="143"/>
      <c r="AJ976" s="143"/>
      <c r="AK976" s="143"/>
      <c r="AL976" s="143"/>
      <c r="AM976" s="143"/>
    </row>
    <row r="977" spans="1:39" ht="12.75" customHeight="1" x14ac:dyDescent="0.25">
      <c r="A977" s="143"/>
      <c r="B977" s="143"/>
      <c r="C977" s="143"/>
      <c r="D977" s="143"/>
      <c r="E977" s="143"/>
      <c r="F977" s="143"/>
      <c r="G977" s="143"/>
      <c r="H977" s="143"/>
      <c r="I977" s="143"/>
      <c r="J977" s="143"/>
      <c r="K977" s="143"/>
      <c r="L977" s="143"/>
      <c r="M977" s="143"/>
      <c r="N977" s="143"/>
      <c r="O977" s="143"/>
      <c r="P977" s="143"/>
      <c r="Q977" s="143"/>
      <c r="R977" s="143"/>
      <c r="S977" s="143"/>
      <c r="T977" s="143"/>
      <c r="U977" s="143"/>
      <c r="V977" s="143"/>
      <c r="W977" s="143"/>
      <c r="X977" s="143"/>
      <c r="Y977" s="143"/>
      <c r="Z977" s="143"/>
      <c r="AA977" s="143"/>
      <c r="AB977" s="143"/>
      <c r="AC977" s="143"/>
      <c r="AD977" s="143"/>
      <c r="AE977" s="143"/>
      <c r="AF977" s="143"/>
      <c r="AG977" s="143"/>
      <c r="AH977" s="143"/>
      <c r="AI977" s="143"/>
      <c r="AJ977" s="143"/>
      <c r="AK977" s="143"/>
      <c r="AL977" s="143"/>
      <c r="AM977" s="143"/>
    </row>
    <row r="978" spans="1:39" ht="12.75" customHeight="1" x14ac:dyDescent="0.25">
      <c r="A978" s="143"/>
      <c r="B978" s="143"/>
      <c r="C978" s="143"/>
      <c r="D978" s="143"/>
      <c r="E978" s="143"/>
      <c r="F978" s="143"/>
      <c r="G978" s="143"/>
      <c r="H978" s="143"/>
      <c r="I978" s="143"/>
      <c r="J978" s="143"/>
      <c r="K978" s="143"/>
      <c r="L978" s="143"/>
      <c r="M978" s="143"/>
      <c r="N978" s="143"/>
      <c r="O978" s="143"/>
      <c r="P978" s="143"/>
      <c r="Q978" s="143"/>
      <c r="R978" s="143"/>
      <c r="S978" s="143"/>
      <c r="T978" s="143"/>
      <c r="U978" s="143"/>
      <c r="V978" s="143"/>
      <c r="W978" s="143"/>
      <c r="X978" s="143"/>
      <c r="Y978" s="143"/>
      <c r="Z978" s="143"/>
      <c r="AA978" s="143"/>
      <c r="AB978" s="143"/>
      <c r="AC978" s="143"/>
      <c r="AD978" s="143"/>
      <c r="AE978" s="143"/>
      <c r="AF978" s="143"/>
      <c r="AG978" s="143"/>
      <c r="AH978" s="143"/>
      <c r="AI978" s="143"/>
      <c r="AJ978" s="143"/>
      <c r="AK978" s="143"/>
      <c r="AL978" s="143"/>
      <c r="AM978" s="143"/>
    </row>
    <row r="979" spans="1:39" ht="12.75" customHeight="1" x14ac:dyDescent="0.25">
      <c r="A979" s="143"/>
      <c r="B979" s="143"/>
      <c r="C979" s="143"/>
      <c r="D979" s="143"/>
      <c r="E979" s="143"/>
      <c r="F979" s="143"/>
      <c r="G979" s="143"/>
      <c r="H979" s="143"/>
      <c r="I979" s="143"/>
      <c r="J979" s="143"/>
      <c r="K979" s="143"/>
      <c r="L979" s="143"/>
      <c r="M979" s="143"/>
      <c r="N979" s="143"/>
      <c r="O979" s="143"/>
      <c r="P979" s="143"/>
      <c r="Q979" s="143"/>
      <c r="R979" s="143"/>
      <c r="S979" s="143"/>
      <c r="T979" s="143"/>
      <c r="U979" s="143"/>
      <c r="V979" s="143"/>
      <c r="W979" s="143"/>
      <c r="X979" s="143"/>
      <c r="Y979" s="143"/>
      <c r="Z979" s="143"/>
      <c r="AA979" s="143"/>
      <c r="AB979" s="143"/>
      <c r="AC979" s="143"/>
      <c r="AD979" s="143"/>
      <c r="AE979" s="143"/>
      <c r="AF979" s="143"/>
      <c r="AG979" s="143"/>
      <c r="AH979" s="143"/>
      <c r="AI979" s="143"/>
      <c r="AJ979" s="143"/>
      <c r="AK979" s="143"/>
      <c r="AL979" s="143"/>
      <c r="AM979" s="143"/>
    </row>
    <row r="980" spans="1:39" ht="12.75" customHeight="1" x14ac:dyDescent="0.25">
      <c r="A980" s="143"/>
      <c r="B980" s="143"/>
      <c r="C980" s="143"/>
      <c r="D980" s="143"/>
      <c r="E980" s="143"/>
      <c r="F980" s="143"/>
      <c r="G980" s="143"/>
      <c r="H980" s="143"/>
      <c r="I980" s="143"/>
      <c r="J980" s="143"/>
      <c r="K980" s="143"/>
      <c r="L980" s="143"/>
      <c r="M980" s="143"/>
      <c r="N980" s="143"/>
      <c r="O980" s="143"/>
      <c r="P980" s="143"/>
      <c r="Q980" s="143"/>
      <c r="R980" s="143"/>
      <c r="S980" s="143"/>
      <c r="T980" s="143"/>
      <c r="U980" s="143"/>
      <c r="V980" s="143"/>
      <c r="W980" s="143"/>
      <c r="X980" s="143"/>
      <c r="Y980" s="143"/>
      <c r="Z980" s="143"/>
      <c r="AA980" s="143"/>
      <c r="AB980" s="143"/>
      <c r="AC980" s="143"/>
      <c r="AD980" s="143"/>
      <c r="AE980" s="143"/>
      <c r="AF980" s="143"/>
      <c r="AG980" s="143"/>
      <c r="AH980" s="143"/>
      <c r="AI980" s="143"/>
      <c r="AJ980" s="143"/>
      <c r="AK980" s="143"/>
      <c r="AL980" s="143"/>
      <c r="AM980" s="143"/>
    </row>
    <row r="981" spans="1:39" ht="12.75" customHeight="1" x14ac:dyDescent="0.25">
      <c r="A981" s="143"/>
      <c r="B981" s="143"/>
      <c r="C981" s="143"/>
      <c r="D981" s="143"/>
      <c r="E981" s="143"/>
      <c r="F981" s="143"/>
      <c r="G981" s="143"/>
      <c r="H981" s="143"/>
      <c r="I981" s="143"/>
      <c r="J981" s="143"/>
      <c r="K981" s="143"/>
      <c r="L981" s="143"/>
      <c r="M981" s="143"/>
      <c r="N981" s="143"/>
      <c r="O981" s="143"/>
      <c r="P981" s="143"/>
      <c r="Q981" s="143"/>
      <c r="R981" s="143"/>
      <c r="S981" s="143"/>
      <c r="T981" s="143"/>
      <c r="U981" s="143"/>
      <c r="V981" s="143"/>
      <c r="W981" s="143"/>
      <c r="X981" s="143"/>
      <c r="Y981" s="143"/>
      <c r="Z981" s="143"/>
      <c r="AA981" s="143"/>
      <c r="AB981" s="143"/>
      <c r="AC981" s="143"/>
      <c r="AD981" s="143"/>
      <c r="AE981" s="143"/>
      <c r="AF981" s="143"/>
      <c r="AG981" s="143"/>
      <c r="AH981" s="143"/>
      <c r="AI981" s="143"/>
      <c r="AJ981" s="143"/>
      <c r="AK981" s="143"/>
      <c r="AL981" s="143"/>
      <c r="AM981" s="143"/>
    </row>
    <row r="982" spans="1:39" ht="12.75" customHeight="1" x14ac:dyDescent="0.25">
      <c r="A982" s="143"/>
      <c r="B982" s="143"/>
      <c r="C982" s="143"/>
      <c r="D982" s="143"/>
      <c r="E982" s="143"/>
      <c r="F982" s="143"/>
      <c r="G982" s="143"/>
      <c r="H982" s="143"/>
      <c r="I982" s="143"/>
      <c r="J982" s="143"/>
      <c r="K982" s="143"/>
      <c r="L982" s="143"/>
      <c r="M982" s="143"/>
      <c r="N982" s="143"/>
      <c r="O982" s="143"/>
      <c r="P982" s="143"/>
      <c r="Q982" s="143"/>
      <c r="R982" s="143"/>
      <c r="S982" s="143"/>
      <c r="T982" s="143"/>
      <c r="U982" s="143"/>
      <c r="V982" s="143"/>
      <c r="W982" s="143"/>
      <c r="X982" s="143"/>
      <c r="Y982" s="143"/>
      <c r="Z982" s="143"/>
      <c r="AA982" s="143"/>
      <c r="AB982" s="143"/>
      <c r="AC982" s="143"/>
      <c r="AD982" s="143"/>
      <c r="AE982" s="143"/>
      <c r="AF982" s="143"/>
      <c r="AG982" s="143"/>
      <c r="AH982" s="143"/>
      <c r="AI982" s="143"/>
      <c r="AJ982" s="143"/>
      <c r="AK982" s="143"/>
      <c r="AL982" s="143"/>
      <c r="AM982" s="143"/>
    </row>
    <row r="983" spans="1:39" ht="12.75" customHeight="1" x14ac:dyDescent="0.25">
      <c r="A983" s="143"/>
      <c r="B983" s="143"/>
      <c r="C983" s="143"/>
      <c r="D983" s="143"/>
      <c r="E983" s="143"/>
      <c r="F983" s="143"/>
      <c r="G983" s="143"/>
      <c r="H983" s="143"/>
      <c r="I983" s="143"/>
      <c r="J983" s="143"/>
      <c r="K983" s="143"/>
      <c r="L983" s="143"/>
      <c r="M983" s="143"/>
      <c r="N983" s="143"/>
      <c r="O983" s="143"/>
      <c r="P983" s="143"/>
      <c r="Q983" s="143"/>
      <c r="R983" s="143"/>
      <c r="S983" s="143"/>
      <c r="T983" s="143"/>
      <c r="U983" s="143"/>
      <c r="V983" s="143"/>
      <c r="W983" s="143"/>
      <c r="X983" s="143"/>
      <c r="Y983" s="143"/>
      <c r="Z983" s="143"/>
      <c r="AA983" s="143"/>
      <c r="AB983" s="143"/>
      <c r="AC983" s="143"/>
      <c r="AD983" s="143"/>
      <c r="AE983" s="143"/>
      <c r="AF983" s="143"/>
      <c r="AG983" s="143"/>
      <c r="AH983" s="143"/>
      <c r="AI983" s="143"/>
      <c r="AJ983" s="143"/>
      <c r="AK983" s="143"/>
      <c r="AL983" s="143"/>
      <c r="AM983" s="143"/>
    </row>
    <row r="984" spans="1:39" ht="12.75" customHeight="1" x14ac:dyDescent="0.25">
      <c r="A984" s="143"/>
      <c r="B984" s="143"/>
      <c r="C984" s="143"/>
      <c r="D984" s="143"/>
      <c r="E984" s="143"/>
      <c r="F984" s="143"/>
      <c r="G984" s="143"/>
      <c r="H984" s="143"/>
      <c r="I984" s="143"/>
      <c r="J984" s="143"/>
      <c r="K984" s="143"/>
      <c r="L984" s="143"/>
      <c r="M984" s="143"/>
      <c r="N984" s="143"/>
      <c r="O984" s="143"/>
      <c r="P984" s="143"/>
      <c r="Q984" s="143"/>
      <c r="R984" s="143"/>
      <c r="S984" s="143"/>
      <c r="T984" s="143"/>
      <c r="U984" s="143"/>
      <c r="V984" s="143"/>
      <c r="W984" s="143"/>
      <c r="X984" s="143"/>
      <c r="Y984" s="143"/>
      <c r="Z984" s="143"/>
      <c r="AA984" s="143"/>
      <c r="AB984" s="143"/>
      <c r="AC984" s="143"/>
      <c r="AD984" s="143"/>
      <c r="AE984" s="143"/>
      <c r="AF984" s="143"/>
      <c r="AG984" s="143"/>
      <c r="AH984" s="143"/>
      <c r="AI984" s="143"/>
      <c r="AJ984" s="143"/>
      <c r="AK984" s="143"/>
      <c r="AL984" s="143"/>
      <c r="AM984" s="143"/>
    </row>
    <row r="985" spans="1:39" ht="12.75" customHeight="1" x14ac:dyDescent="0.25">
      <c r="A985" s="143"/>
      <c r="B985" s="143"/>
      <c r="C985" s="143"/>
      <c r="D985" s="143"/>
      <c r="E985" s="143"/>
      <c r="F985" s="143"/>
      <c r="G985" s="143"/>
      <c r="H985" s="143"/>
      <c r="I985" s="143"/>
      <c r="J985" s="143"/>
      <c r="K985" s="143"/>
      <c r="L985" s="143"/>
      <c r="M985" s="143"/>
      <c r="N985" s="143"/>
      <c r="O985" s="143"/>
      <c r="P985" s="143"/>
      <c r="Q985" s="143"/>
      <c r="R985" s="143"/>
      <c r="S985" s="143"/>
      <c r="T985" s="143"/>
      <c r="U985" s="143"/>
      <c r="V985" s="143"/>
      <c r="W985" s="143"/>
      <c r="X985" s="143"/>
      <c r="Y985" s="143"/>
      <c r="Z985" s="143"/>
      <c r="AA985" s="143"/>
      <c r="AB985" s="143"/>
      <c r="AC985" s="143"/>
      <c r="AD985" s="143"/>
      <c r="AE985" s="143"/>
      <c r="AF985" s="143"/>
      <c r="AG985" s="143"/>
      <c r="AH985" s="143"/>
      <c r="AI985" s="143"/>
      <c r="AJ985" s="143"/>
      <c r="AK985" s="143"/>
      <c r="AL985" s="143"/>
      <c r="AM985" s="143"/>
    </row>
    <row r="986" spans="1:39" ht="12.75" customHeight="1" x14ac:dyDescent="0.25">
      <c r="A986" s="143"/>
      <c r="B986" s="143"/>
      <c r="C986" s="143"/>
      <c r="D986" s="143"/>
      <c r="E986" s="143"/>
      <c r="F986" s="143"/>
      <c r="G986" s="143"/>
      <c r="H986" s="143"/>
      <c r="I986" s="143"/>
      <c r="J986" s="143"/>
      <c r="K986" s="143"/>
      <c r="L986" s="143"/>
      <c r="M986" s="143"/>
      <c r="N986" s="143"/>
      <c r="O986" s="143"/>
      <c r="P986" s="143"/>
      <c r="Q986" s="143"/>
      <c r="R986" s="143"/>
      <c r="S986" s="143"/>
      <c r="T986" s="143"/>
      <c r="U986" s="143"/>
      <c r="V986" s="143"/>
      <c r="W986" s="143"/>
      <c r="X986" s="143"/>
      <c r="Y986" s="143"/>
      <c r="Z986" s="143"/>
      <c r="AA986" s="143"/>
      <c r="AB986" s="143"/>
      <c r="AC986" s="143"/>
      <c r="AD986" s="143"/>
      <c r="AE986" s="143"/>
      <c r="AF986" s="143"/>
      <c r="AG986" s="143"/>
      <c r="AH986" s="143"/>
      <c r="AI986" s="143"/>
      <c r="AJ986" s="143"/>
      <c r="AK986" s="143"/>
      <c r="AL986" s="143"/>
      <c r="AM986" s="143"/>
    </row>
    <row r="987" spans="1:39" ht="12.75" customHeight="1" x14ac:dyDescent="0.25">
      <c r="A987" s="143"/>
      <c r="B987" s="143"/>
      <c r="C987" s="143"/>
      <c r="D987" s="143"/>
      <c r="E987" s="143"/>
      <c r="F987" s="143"/>
      <c r="G987" s="143"/>
      <c r="H987" s="143"/>
      <c r="I987" s="143"/>
      <c r="J987" s="143"/>
      <c r="K987" s="143"/>
      <c r="L987" s="143"/>
      <c r="M987" s="143"/>
      <c r="N987" s="143"/>
      <c r="O987" s="143"/>
      <c r="P987" s="143"/>
      <c r="Q987" s="143"/>
      <c r="R987" s="143"/>
      <c r="S987" s="143"/>
      <c r="T987" s="143"/>
      <c r="U987" s="143"/>
      <c r="V987" s="143"/>
      <c r="W987" s="143"/>
      <c r="X987" s="143"/>
      <c r="Y987" s="143"/>
      <c r="Z987" s="143"/>
      <c r="AA987" s="143"/>
      <c r="AB987" s="143"/>
      <c r="AC987" s="143"/>
      <c r="AD987" s="143"/>
      <c r="AE987" s="143"/>
      <c r="AF987" s="143"/>
      <c r="AG987" s="143"/>
      <c r="AH987" s="143"/>
      <c r="AI987" s="143"/>
      <c r="AJ987" s="143"/>
      <c r="AK987" s="143"/>
      <c r="AL987" s="143"/>
      <c r="AM987" s="143"/>
    </row>
    <row r="988" spans="1:39" ht="12.75" customHeight="1" x14ac:dyDescent="0.25">
      <c r="A988" s="143"/>
      <c r="B988" s="143"/>
      <c r="C988" s="143"/>
      <c r="D988" s="143"/>
      <c r="E988" s="143"/>
      <c r="F988" s="143"/>
      <c r="G988" s="143"/>
      <c r="H988" s="143"/>
      <c r="I988" s="143"/>
      <c r="J988" s="143"/>
      <c r="K988" s="143"/>
      <c r="L988" s="143"/>
      <c r="M988" s="143"/>
      <c r="N988" s="143"/>
      <c r="O988" s="143"/>
      <c r="P988" s="143"/>
      <c r="Q988" s="143"/>
      <c r="R988" s="143"/>
      <c r="S988" s="143"/>
      <c r="T988" s="143"/>
      <c r="U988" s="143"/>
      <c r="V988" s="143"/>
      <c r="W988" s="143"/>
      <c r="X988" s="143"/>
      <c r="Y988" s="143"/>
      <c r="Z988" s="143"/>
      <c r="AA988" s="143"/>
      <c r="AB988" s="143"/>
      <c r="AC988" s="143"/>
      <c r="AD988" s="143"/>
      <c r="AE988" s="143"/>
      <c r="AF988" s="143"/>
      <c r="AG988" s="143"/>
      <c r="AH988" s="143"/>
      <c r="AI988" s="143"/>
      <c r="AJ988" s="143"/>
      <c r="AK988" s="143"/>
      <c r="AL988" s="143"/>
      <c r="AM988" s="143"/>
    </row>
    <row r="989" spans="1:39" ht="12.75" customHeight="1" x14ac:dyDescent="0.25">
      <c r="A989" s="143"/>
      <c r="B989" s="143"/>
      <c r="C989" s="143"/>
      <c r="D989" s="143"/>
      <c r="E989" s="143"/>
      <c r="F989" s="143"/>
      <c r="G989" s="143"/>
      <c r="H989" s="143"/>
      <c r="I989" s="143"/>
      <c r="J989" s="143"/>
      <c r="K989" s="143"/>
      <c r="L989" s="143"/>
      <c r="M989" s="143"/>
      <c r="N989" s="143"/>
      <c r="O989" s="143"/>
      <c r="P989" s="143"/>
      <c r="Q989" s="143"/>
      <c r="R989" s="143"/>
      <c r="S989" s="143"/>
      <c r="T989" s="143"/>
      <c r="U989" s="143"/>
      <c r="V989" s="143"/>
      <c r="W989" s="143"/>
      <c r="X989" s="143"/>
      <c r="Y989" s="143"/>
      <c r="Z989" s="143"/>
      <c r="AA989" s="143"/>
      <c r="AB989" s="143"/>
      <c r="AC989" s="143"/>
      <c r="AD989" s="143"/>
      <c r="AE989" s="143"/>
      <c r="AF989" s="143"/>
      <c r="AG989" s="143"/>
      <c r="AH989" s="143"/>
      <c r="AI989" s="143"/>
      <c r="AJ989" s="143"/>
      <c r="AK989" s="143"/>
      <c r="AL989" s="143"/>
      <c r="AM989" s="143"/>
    </row>
    <row r="990" spans="1:39" ht="12.75" customHeight="1" x14ac:dyDescent="0.25">
      <c r="A990" s="143"/>
      <c r="B990" s="143"/>
      <c r="C990" s="143"/>
      <c r="D990" s="143"/>
      <c r="E990" s="143"/>
      <c r="F990" s="143"/>
      <c r="G990" s="143"/>
      <c r="H990" s="143"/>
      <c r="I990" s="143"/>
      <c r="J990" s="143"/>
      <c r="K990" s="143"/>
      <c r="L990" s="143"/>
      <c r="M990" s="143"/>
      <c r="N990" s="143"/>
      <c r="O990" s="143"/>
      <c r="P990" s="143"/>
      <c r="Q990" s="143"/>
      <c r="R990" s="143"/>
      <c r="S990" s="143"/>
      <c r="T990" s="143"/>
      <c r="U990" s="143"/>
      <c r="V990" s="143"/>
      <c r="W990" s="143"/>
      <c r="X990" s="143"/>
      <c r="Y990" s="143"/>
      <c r="Z990" s="143"/>
      <c r="AA990" s="143"/>
      <c r="AB990" s="143"/>
      <c r="AC990" s="143"/>
      <c r="AD990" s="143"/>
      <c r="AE990" s="143"/>
      <c r="AF990" s="143"/>
      <c r="AG990" s="143"/>
      <c r="AH990" s="143"/>
      <c r="AI990" s="143"/>
      <c r="AJ990" s="143"/>
      <c r="AK990" s="143"/>
      <c r="AL990" s="143"/>
      <c r="AM990" s="143"/>
    </row>
    <row r="991" spans="1:39" ht="12.75" customHeight="1" x14ac:dyDescent="0.25">
      <c r="A991" s="143"/>
      <c r="B991" s="143"/>
      <c r="C991" s="143"/>
      <c r="D991" s="143"/>
      <c r="E991" s="143"/>
      <c r="F991" s="143"/>
      <c r="G991" s="143"/>
      <c r="H991" s="143"/>
      <c r="I991" s="143"/>
      <c r="J991" s="143"/>
      <c r="K991" s="143"/>
      <c r="L991" s="143"/>
      <c r="M991" s="143"/>
      <c r="N991" s="143"/>
      <c r="O991" s="143"/>
      <c r="P991" s="143"/>
      <c r="Q991" s="143"/>
      <c r="R991" s="143"/>
      <c r="S991" s="143"/>
      <c r="T991" s="143"/>
      <c r="U991" s="143"/>
      <c r="V991" s="143"/>
      <c r="W991" s="143"/>
      <c r="X991" s="143"/>
      <c r="Y991" s="143"/>
      <c r="Z991" s="143"/>
      <c r="AA991" s="143"/>
      <c r="AB991" s="143"/>
      <c r="AC991" s="143"/>
      <c r="AD991" s="143"/>
      <c r="AE991" s="143"/>
      <c r="AF991" s="143"/>
      <c r="AG991" s="143"/>
      <c r="AH991" s="143"/>
      <c r="AI991" s="143"/>
      <c r="AJ991" s="143"/>
      <c r="AK991" s="143"/>
      <c r="AL991" s="143"/>
      <c r="AM991" s="143"/>
    </row>
    <row r="992" spans="1:39" ht="12.75" customHeight="1" x14ac:dyDescent="0.25">
      <c r="A992" s="143"/>
      <c r="B992" s="143"/>
      <c r="C992" s="143"/>
      <c r="D992" s="143"/>
      <c r="E992" s="143"/>
      <c r="F992" s="143"/>
      <c r="G992" s="143"/>
      <c r="H992" s="143"/>
      <c r="I992" s="143"/>
      <c r="J992" s="143"/>
      <c r="K992" s="143"/>
      <c r="L992" s="143"/>
      <c r="M992" s="143"/>
      <c r="N992" s="143"/>
      <c r="O992" s="143"/>
      <c r="P992" s="143"/>
      <c r="Q992" s="143"/>
      <c r="R992" s="143"/>
      <c r="S992" s="143"/>
      <c r="T992" s="143"/>
      <c r="U992" s="143"/>
      <c r="V992" s="143"/>
      <c r="W992" s="143"/>
      <c r="X992" s="143"/>
      <c r="Y992" s="143"/>
      <c r="Z992" s="143"/>
      <c r="AA992" s="143"/>
      <c r="AB992" s="143"/>
      <c r="AC992" s="143"/>
      <c r="AD992" s="143"/>
      <c r="AE992" s="143"/>
      <c r="AF992" s="143"/>
      <c r="AG992" s="143"/>
      <c r="AH992" s="143"/>
      <c r="AI992" s="143"/>
      <c r="AJ992" s="143"/>
      <c r="AK992" s="143"/>
      <c r="AL992" s="143"/>
      <c r="AM992" s="143"/>
    </row>
    <row r="993" spans="1:39" ht="12.75" customHeight="1" x14ac:dyDescent="0.25">
      <c r="A993" s="143"/>
      <c r="B993" s="143"/>
      <c r="C993" s="143"/>
      <c r="D993" s="143"/>
      <c r="E993" s="143"/>
      <c r="F993" s="143"/>
      <c r="G993" s="143"/>
      <c r="H993" s="143"/>
      <c r="I993" s="143"/>
      <c r="J993" s="143"/>
      <c r="K993" s="143"/>
      <c r="L993" s="143"/>
      <c r="M993" s="143"/>
      <c r="N993" s="143"/>
      <c r="O993" s="143"/>
      <c r="P993" s="143"/>
      <c r="Q993" s="143"/>
      <c r="R993" s="143"/>
      <c r="S993" s="143"/>
      <c r="T993" s="143"/>
      <c r="U993" s="143"/>
      <c r="V993" s="143"/>
      <c r="W993" s="143"/>
      <c r="X993" s="143"/>
      <c r="Y993" s="143"/>
      <c r="Z993" s="143"/>
      <c r="AA993" s="143"/>
      <c r="AB993" s="143"/>
      <c r="AC993" s="143"/>
      <c r="AD993" s="143"/>
      <c r="AE993" s="143"/>
      <c r="AF993" s="143"/>
      <c r="AG993" s="143"/>
      <c r="AH993" s="143"/>
      <c r="AI993" s="143"/>
      <c r="AJ993" s="143"/>
      <c r="AK993" s="143"/>
      <c r="AL993" s="143"/>
      <c r="AM993" s="143"/>
    </row>
    <row r="994" spans="1:39" ht="12.75" customHeight="1" x14ac:dyDescent="0.25">
      <c r="A994" s="143"/>
      <c r="B994" s="143"/>
      <c r="C994" s="143"/>
      <c r="D994" s="143"/>
      <c r="E994" s="143"/>
      <c r="F994" s="143"/>
      <c r="G994" s="143"/>
      <c r="H994" s="143"/>
      <c r="I994" s="143"/>
      <c r="J994" s="143"/>
      <c r="K994" s="143"/>
      <c r="L994" s="143"/>
      <c r="M994" s="143"/>
      <c r="N994" s="143"/>
      <c r="O994" s="143"/>
      <c r="P994" s="143"/>
      <c r="Q994" s="143"/>
      <c r="R994" s="143"/>
      <c r="S994" s="143"/>
      <c r="T994" s="143"/>
      <c r="U994" s="143"/>
      <c r="V994" s="143"/>
      <c r="W994" s="143"/>
      <c r="X994" s="143"/>
      <c r="Y994" s="143"/>
      <c r="Z994" s="143"/>
      <c r="AA994" s="143"/>
      <c r="AB994" s="143"/>
      <c r="AC994" s="143"/>
      <c r="AD994" s="143"/>
      <c r="AE994" s="143"/>
      <c r="AF994" s="143"/>
      <c r="AG994" s="143"/>
      <c r="AH994" s="143"/>
      <c r="AI994" s="143"/>
      <c r="AJ994" s="143"/>
      <c r="AK994" s="143"/>
      <c r="AL994" s="143"/>
      <c r="AM994" s="143"/>
    </row>
    <row r="995" spans="1:39" ht="12.75" customHeight="1" x14ac:dyDescent="0.25">
      <c r="A995" s="143"/>
      <c r="B995" s="143"/>
      <c r="C995" s="143"/>
      <c r="D995" s="143"/>
      <c r="E995" s="143"/>
      <c r="F995" s="143"/>
      <c r="G995" s="143"/>
      <c r="H995" s="143"/>
      <c r="I995" s="143"/>
      <c r="J995" s="143"/>
      <c r="K995" s="143"/>
      <c r="L995" s="143"/>
      <c r="M995" s="143"/>
      <c r="N995" s="143"/>
      <c r="O995" s="143"/>
      <c r="P995" s="143"/>
      <c r="Q995" s="143"/>
      <c r="R995" s="143"/>
      <c r="S995" s="143"/>
      <c r="T995" s="143"/>
      <c r="U995" s="143"/>
      <c r="V995" s="143"/>
      <c r="W995" s="143"/>
      <c r="X995" s="143"/>
      <c r="Y995" s="143"/>
      <c r="Z995" s="143"/>
      <c r="AA995" s="143"/>
      <c r="AB995" s="143"/>
      <c r="AC995" s="143"/>
      <c r="AD995" s="143"/>
      <c r="AE995" s="143"/>
      <c r="AF995" s="143"/>
      <c r="AG995" s="143"/>
      <c r="AH995" s="143"/>
      <c r="AI995" s="143"/>
      <c r="AJ995" s="143"/>
      <c r="AK995" s="143"/>
      <c r="AL995" s="143"/>
      <c r="AM995" s="143"/>
    </row>
    <row r="996" spans="1:39" ht="12.75" customHeight="1" x14ac:dyDescent="0.25">
      <c r="A996" s="143"/>
      <c r="B996" s="143"/>
      <c r="C996" s="143"/>
      <c r="D996" s="143"/>
      <c r="E996" s="143"/>
      <c r="F996" s="143"/>
      <c r="G996" s="143"/>
      <c r="H996" s="143"/>
      <c r="I996" s="143"/>
      <c r="J996" s="143"/>
      <c r="K996" s="143"/>
      <c r="L996" s="143"/>
      <c r="M996" s="143"/>
      <c r="N996" s="143"/>
      <c r="O996" s="143"/>
      <c r="P996" s="143"/>
      <c r="Q996" s="143"/>
      <c r="R996" s="143"/>
      <c r="S996" s="143"/>
      <c r="T996" s="143"/>
      <c r="U996" s="143"/>
      <c r="V996" s="143"/>
      <c r="W996" s="143"/>
      <c r="X996" s="143"/>
      <c r="Y996" s="143"/>
      <c r="Z996" s="143"/>
      <c r="AA996" s="143"/>
      <c r="AB996" s="143"/>
      <c r="AC996" s="143"/>
      <c r="AD996" s="143"/>
      <c r="AE996" s="143"/>
      <c r="AF996" s="143"/>
      <c r="AG996" s="143"/>
      <c r="AH996" s="143"/>
      <c r="AI996" s="143"/>
      <c r="AJ996" s="143"/>
      <c r="AK996" s="143"/>
      <c r="AL996" s="143"/>
      <c r="AM996" s="143"/>
    </row>
    <row r="997" spans="1:39" ht="12.75" customHeight="1" x14ac:dyDescent="0.25">
      <c r="A997" s="143"/>
      <c r="B997" s="143"/>
      <c r="C997" s="143"/>
      <c r="D997" s="143"/>
      <c r="E997" s="143"/>
      <c r="F997" s="143"/>
      <c r="G997" s="143"/>
      <c r="H997" s="143"/>
      <c r="I997" s="143"/>
      <c r="J997" s="143"/>
      <c r="K997" s="143"/>
      <c r="L997" s="143"/>
      <c r="M997" s="143"/>
      <c r="N997" s="143"/>
      <c r="O997" s="143"/>
      <c r="P997" s="143"/>
      <c r="Q997" s="143"/>
      <c r="R997" s="143"/>
      <c r="S997" s="143"/>
      <c r="T997" s="143"/>
      <c r="U997" s="143"/>
      <c r="V997" s="143"/>
      <c r="W997" s="143"/>
      <c r="X997" s="143"/>
      <c r="Y997" s="143"/>
      <c r="Z997" s="143"/>
      <c r="AA997" s="143"/>
      <c r="AB997" s="143"/>
      <c r="AC997" s="143"/>
      <c r="AD997" s="143"/>
      <c r="AE997" s="143"/>
      <c r="AF997" s="143"/>
      <c r="AG997" s="143"/>
      <c r="AH997" s="143"/>
      <c r="AI997" s="143"/>
      <c r="AJ997" s="143"/>
      <c r="AK997" s="143"/>
      <c r="AL997" s="143"/>
      <c r="AM997" s="143"/>
    </row>
    <row r="998" spans="1:39" ht="12.75" customHeight="1" x14ac:dyDescent="0.25">
      <c r="A998" s="143"/>
      <c r="B998" s="143"/>
      <c r="C998" s="143"/>
      <c r="D998" s="143"/>
      <c r="E998" s="143"/>
      <c r="F998" s="143"/>
      <c r="G998" s="143"/>
      <c r="H998" s="143"/>
      <c r="I998" s="143"/>
      <c r="J998" s="143"/>
      <c r="K998" s="143"/>
      <c r="L998" s="143"/>
      <c r="M998" s="143"/>
      <c r="N998" s="143"/>
      <c r="O998" s="143"/>
      <c r="P998" s="143"/>
      <c r="Q998" s="143"/>
      <c r="R998" s="143"/>
      <c r="S998" s="143"/>
      <c r="T998" s="143"/>
      <c r="U998" s="143"/>
      <c r="V998" s="143"/>
      <c r="W998" s="143"/>
      <c r="X998" s="143"/>
      <c r="Y998" s="143"/>
      <c r="Z998" s="143"/>
      <c r="AA998" s="143"/>
      <c r="AB998" s="143"/>
      <c r="AC998" s="143"/>
      <c r="AD998" s="143"/>
      <c r="AE998" s="143"/>
      <c r="AF998" s="143"/>
      <c r="AG998" s="143"/>
      <c r="AH998" s="143"/>
      <c r="AI998" s="143"/>
      <c r="AJ998" s="143"/>
      <c r="AK998" s="143"/>
      <c r="AL998" s="143"/>
      <c r="AM998" s="143"/>
    </row>
    <row r="999" spans="1:39" ht="12.75" customHeight="1" x14ac:dyDescent="0.25">
      <c r="A999" s="143"/>
      <c r="B999" s="143"/>
      <c r="C999" s="143"/>
      <c r="D999" s="143"/>
      <c r="E999" s="143"/>
      <c r="F999" s="143"/>
      <c r="G999" s="143"/>
      <c r="H999" s="143"/>
      <c r="I999" s="143"/>
      <c r="J999" s="143"/>
      <c r="K999" s="143"/>
      <c r="L999" s="143"/>
      <c r="M999" s="143"/>
      <c r="N999" s="143"/>
      <c r="O999" s="143"/>
      <c r="P999" s="143"/>
      <c r="Q999" s="143"/>
      <c r="R999" s="143"/>
      <c r="S999" s="143"/>
      <c r="T999" s="143"/>
      <c r="U999" s="143"/>
      <c r="V999" s="143"/>
      <c r="W999" s="143"/>
      <c r="X999" s="143"/>
      <c r="Y999" s="143"/>
      <c r="Z999" s="143"/>
      <c r="AA999" s="143"/>
      <c r="AB999" s="143"/>
      <c r="AC999" s="143"/>
      <c r="AD999" s="143"/>
      <c r="AE999" s="143"/>
      <c r="AF999" s="143"/>
      <c r="AG999" s="143"/>
      <c r="AH999" s="143"/>
      <c r="AI999" s="143"/>
      <c r="AJ999" s="143"/>
      <c r="AK999" s="143"/>
      <c r="AL999" s="143"/>
      <c r="AM999" s="143"/>
    </row>
    <row r="1000" spans="1:39" ht="12.75" customHeight="1" x14ac:dyDescent="0.25">
      <c r="A1000" s="143"/>
      <c r="B1000" s="143"/>
      <c r="C1000" s="143"/>
      <c r="D1000" s="143"/>
      <c r="E1000" s="143"/>
      <c r="F1000" s="143"/>
      <c r="G1000" s="143"/>
      <c r="H1000" s="143"/>
      <c r="I1000" s="143"/>
      <c r="J1000" s="143"/>
      <c r="K1000" s="143"/>
      <c r="L1000" s="143"/>
      <c r="M1000" s="143"/>
      <c r="N1000" s="143"/>
      <c r="O1000" s="143"/>
      <c r="P1000" s="143"/>
      <c r="Q1000" s="143"/>
      <c r="R1000" s="143"/>
      <c r="S1000" s="143"/>
      <c r="T1000" s="143"/>
      <c r="U1000" s="143"/>
      <c r="V1000" s="143"/>
      <c r="W1000" s="143"/>
      <c r="X1000" s="143"/>
      <c r="Y1000" s="143"/>
      <c r="Z1000" s="143"/>
      <c r="AA1000" s="143"/>
      <c r="AB1000" s="143"/>
      <c r="AC1000" s="143"/>
      <c r="AD1000" s="143"/>
      <c r="AE1000" s="143"/>
      <c r="AF1000" s="143"/>
      <c r="AG1000" s="143"/>
      <c r="AH1000" s="143"/>
      <c r="AI1000" s="143"/>
      <c r="AJ1000" s="143"/>
      <c r="AK1000" s="143"/>
      <c r="AL1000" s="143"/>
      <c r="AM1000" s="143"/>
    </row>
    <row r="1001" spans="1:39" ht="12.75" customHeight="1" x14ac:dyDescent="0.25">
      <c r="A1001" s="143"/>
      <c r="B1001" s="143"/>
      <c r="C1001" s="143"/>
      <c r="D1001" s="143"/>
      <c r="E1001" s="143"/>
      <c r="F1001" s="143"/>
      <c r="G1001" s="143"/>
      <c r="H1001" s="143"/>
      <c r="I1001" s="143"/>
      <c r="J1001" s="143"/>
      <c r="K1001" s="143"/>
      <c r="L1001" s="143"/>
      <c r="M1001" s="143"/>
      <c r="N1001" s="143"/>
      <c r="O1001" s="143"/>
      <c r="P1001" s="143"/>
      <c r="Q1001" s="143"/>
      <c r="R1001" s="143"/>
      <c r="S1001" s="143"/>
      <c r="T1001" s="143"/>
      <c r="U1001" s="143"/>
      <c r="V1001" s="143"/>
      <c r="W1001" s="143"/>
      <c r="X1001" s="143"/>
      <c r="Y1001" s="143"/>
      <c r="Z1001" s="143"/>
      <c r="AA1001" s="143"/>
      <c r="AB1001" s="143"/>
      <c r="AC1001" s="143"/>
      <c r="AD1001" s="143"/>
      <c r="AE1001" s="143"/>
      <c r="AF1001" s="143"/>
      <c r="AG1001" s="143"/>
      <c r="AH1001" s="143"/>
      <c r="AI1001" s="143"/>
      <c r="AJ1001" s="143"/>
      <c r="AK1001" s="143"/>
      <c r="AL1001" s="143"/>
      <c r="AM1001" s="143"/>
    </row>
    <row r="1002" spans="1:39" ht="12.75" customHeight="1" x14ac:dyDescent="0.25">
      <c r="A1002" s="143"/>
      <c r="B1002" s="143"/>
      <c r="C1002" s="143"/>
      <c r="D1002" s="143"/>
      <c r="E1002" s="143"/>
      <c r="F1002" s="143"/>
      <c r="G1002" s="143"/>
      <c r="H1002" s="143"/>
      <c r="I1002" s="143"/>
      <c r="J1002" s="143"/>
      <c r="K1002" s="143"/>
      <c r="L1002" s="143"/>
      <c r="M1002" s="143"/>
      <c r="N1002" s="143"/>
      <c r="O1002" s="143"/>
      <c r="P1002" s="143"/>
      <c r="Q1002" s="143"/>
      <c r="R1002" s="143"/>
      <c r="S1002" s="143"/>
      <c r="T1002" s="143"/>
      <c r="U1002" s="143"/>
      <c r="V1002" s="143"/>
      <c r="W1002" s="143"/>
      <c r="X1002" s="143"/>
      <c r="Y1002" s="143"/>
      <c r="Z1002" s="143"/>
      <c r="AA1002" s="143"/>
      <c r="AB1002" s="143"/>
      <c r="AC1002" s="143"/>
      <c r="AD1002" s="143"/>
      <c r="AE1002" s="143"/>
      <c r="AF1002" s="143"/>
      <c r="AG1002" s="143"/>
      <c r="AH1002" s="143"/>
      <c r="AI1002" s="143"/>
      <c r="AJ1002" s="143"/>
      <c r="AK1002" s="143"/>
      <c r="AL1002" s="143"/>
      <c r="AM1002" s="143"/>
    </row>
    <row r="1003" spans="1:39" ht="12.75" customHeight="1" x14ac:dyDescent="0.25">
      <c r="A1003" s="143"/>
      <c r="B1003" s="143"/>
      <c r="C1003" s="143"/>
      <c r="D1003" s="143"/>
      <c r="E1003" s="143"/>
      <c r="F1003" s="143"/>
      <c r="G1003" s="143"/>
      <c r="H1003" s="143"/>
      <c r="I1003" s="143"/>
      <c r="J1003" s="143"/>
      <c r="K1003" s="143"/>
      <c r="L1003" s="143"/>
      <c r="M1003" s="143"/>
      <c r="N1003" s="143"/>
      <c r="O1003" s="143"/>
      <c r="P1003" s="143"/>
      <c r="Q1003" s="143"/>
      <c r="R1003" s="143"/>
      <c r="S1003" s="143"/>
      <c r="T1003" s="143"/>
      <c r="U1003" s="143"/>
      <c r="V1003" s="143"/>
      <c r="W1003" s="143"/>
      <c r="X1003" s="143"/>
      <c r="Y1003" s="143"/>
      <c r="Z1003" s="143"/>
      <c r="AA1003" s="143"/>
      <c r="AB1003" s="143"/>
      <c r="AC1003" s="143"/>
      <c r="AD1003" s="143"/>
      <c r="AE1003" s="143"/>
      <c r="AF1003" s="143"/>
      <c r="AG1003" s="143"/>
      <c r="AH1003" s="143"/>
      <c r="AI1003" s="143"/>
      <c r="AJ1003" s="143"/>
      <c r="AK1003" s="143"/>
      <c r="AL1003" s="143"/>
      <c r="AM1003" s="143"/>
    </row>
    <row r="1004" spans="1:39" ht="12.75" customHeight="1" x14ac:dyDescent="0.25">
      <c r="A1004" s="143"/>
      <c r="B1004" s="143"/>
      <c r="C1004" s="143"/>
      <c r="D1004" s="143"/>
      <c r="E1004" s="143"/>
      <c r="F1004" s="143"/>
      <c r="G1004" s="143"/>
      <c r="H1004" s="143"/>
      <c r="I1004" s="143"/>
      <c r="J1004" s="143"/>
      <c r="K1004" s="143"/>
      <c r="L1004" s="143"/>
      <c r="M1004" s="143"/>
      <c r="N1004" s="143"/>
      <c r="O1004" s="143"/>
      <c r="P1004" s="143"/>
      <c r="Q1004" s="143"/>
      <c r="R1004" s="143"/>
      <c r="S1004" s="143"/>
      <c r="T1004" s="143"/>
      <c r="U1004" s="143"/>
      <c r="V1004" s="143"/>
      <c r="W1004" s="143"/>
      <c r="X1004" s="143"/>
      <c r="Y1004" s="143"/>
      <c r="Z1004" s="143"/>
      <c r="AA1004" s="143"/>
      <c r="AB1004" s="143"/>
      <c r="AC1004" s="143"/>
      <c r="AD1004" s="143"/>
      <c r="AE1004" s="143"/>
      <c r="AF1004" s="143"/>
      <c r="AG1004" s="143"/>
      <c r="AH1004" s="143"/>
      <c r="AI1004" s="143"/>
      <c r="AJ1004" s="143"/>
      <c r="AK1004" s="143"/>
      <c r="AL1004" s="143"/>
      <c r="AM1004" s="143"/>
    </row>
    <row r="1005" spans="1:39" ht="12.75" customHeight="1" x14ac:dyDescent="0.25">
      <c r="A1005" s="143"/>
      <c r="B1005" s="143"/>
      <c r="C1005" s="143"/>
      <c r="D1005" s="143"/>
      <c r="E1005" s="143"/>
      <c r="F1005" s="143"/>
      <c r="G1005" s="143"/>
      <c r="H1005" s="143"/>
      <c r="I1005" s="143"/>
      <c r="J1005" s="143"/>
      <c r="K1005" s="143"/>
      <c r="L1005" s="143"/>
      <c r="M1005" s="143"/>
      <c r="N1005" s="143"/>
      <c r="O1005" s="143"/>
      <c r="P1005" s="143"/>
      <c r="Q1005" s="143"/>
      <c r="R1005" s="143"/>
      <c r="S1005" s="143"/>
      <c r="T1005" s="143"/>
      <c r="U1005" s="143"/>
      <c r="V1005" s="143"/>
      <c r="W1005" s="143"/>
      <c r="X1005" s="143"/>
      <c r="Y1005" s="143"/>
      <c r="Z1005" s="143"/>
      <c r="AA1005" s="143"/>
      <c r="AB1005" s="143"/>
      <c r="AC1005" s="143"/>
      <c r="AD1005" s="143"/>
      <c r="AE1005" s="143"/>
      <c r="AF1005" s="143"/>
      <c r="AG1005" s="143"/>
      <c r="AH1005" s="143"/>
      <c r="AI1005" s="143"/>
      <c r="AJ1005" s="143"/>
      <c r="AK1005" s="143"/>
      <c r="AL1005" s="143"/>
      <c r="AM1005" s="143"/>
    </row>
  </sheetData>
  <mergeCells count="1">
    <mergeCell ref="O69:Q69"/>
  </mergeCells>
  <printOptions gridLines="1"/>
  <pageMargins left="0.2" right="0.2" top="0.24" bottom="0.23" header="0" footer="0"/>
  <pageSetup paperSize="5" orientation="landscape"/>
  <rowBreaks count="4" manualBreakCount="4">
    <brk id="99" man="1"/>
    <brk id="227" man="1"/>
    <brk id="165" man="1"/>
    <brk id="362" man="1"/>
  </rowBreaks>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990"/>
  <sheetViews>
    <sheetView workbookViewId="0"/>
  </sheetViews>
  <sheetFormatPr defaultColWidth="16.85546875" defaultRowHeight="15" customHeight="1" x14ac:dyDescent="0.2"/>
  <cols>
    <col min="1" max="1" width="2" customWidth="1"/>
    <col min="2" max="2" width="61.42578125" customWidth="1"/>
    <col min="3" max="3" width="13.42578125" customWidth="1"/>
    <col min="4" max="4" width="12.85546875" customWidth="1"/>
    <col min="5" max="5" width="15" customWidth="1"/>
    <col min="6" max="6" width="12.85546875" customWidth="1"/>
    <col min="7" max="7" width="13.42578125" customWidth="1"/>
    <col min="8" max="8" width="12.85546875" customWidth="1"/>
    <col min="9" max="9" width="13.42578125" customWidth="1"/>
    <col min="10" max="10" width="13.7109375" customWidth="1"/>
    <col min="11" max="12" width="14.7109375" customWidth="1"/>
    <col min="13" max="13" width="12.85546875" customWidth="1"/>
    <col min="14" max="14" width="17.140625" customWidth="1"/>
    <col min="15" max="22" width="12.85546875" customWidth="1"/>
    <col min="23" max="26" width="8.85546875" customWidth="1"/>
  </cols>
  <sheetData>
    <row r="1" spans="1:26" ht="24.75" customHeight="1" x14ac:dyDescent="0.65">
      <c r="A1" s="474"/>
      <c r="B1" s="475"/>
      <c r="C1" s="476"/>
      <c r="D1" s="476"/>
      <c r="E1" s="476"/>
      <c r="F1" s="476"/>
      <c r="G1" s="477"/>
      <c r="H1" s="476"/>
      <c r="I1" s="476"/>
      <c r="J1" s="476"/>
      <c r="K1" s="476"/>
      <c r="L1" s="476"/>
      <c r="M1" s="476"/>
      <c r="N1" s="476"/>
      <c r="O1" s="476"/>
      <c r="P1" s="476"/>
      <c r="Q1" s="476"/>
      <c r="R1" s="476"/>
      <c r="S1" s="476"/>
      <c r="T1" s="476"/>
      <c r="U1" s="476"/>
      <c r="V1" s="476"/>
      <c r="W1" s="476"/>
      <c r="X1" s="476"/>
      <c r="Y1" s="476"/>
      <c r="Z1" s="476"/>
    </row>
    <row r="2" spans="1:26" ht="18.75" customHeight="1" x14ac:dyDescent="0.65">
      <c r="A2" s="474" t="s">
        <v>650</v>
      </c>
      <c r="B2" s="478"/>
      <c r="C2" s="479"/>
      <c r="D2" s="479"/>
      <c r="E2" s="479"/>
      <c r="F2" s="476"/>
      <c r="G2" s="477"/>
      <c r="H2" s="476"/>
      <c r="I2" s="476"/>
      <c r="J2" s="476"/>
      <c r="K2" s="476"/>
      <c r="L2" s="476"/>
      <c r="M2" s="476"/>
      <c r="N2" s="476"/>
      <c r="O2" s="476"/>
      <c r="P2" s="476"/>
      <c r="Q2" s="476"/>
      <c r="R2" s="476"/>
      <c r="S2" s="476"/>
      <c r="T2" s="476"/>
      <c r="U2" s="476"/>
      <c r="V2" s="476"/>
      <c r="W2" s="476"/>
      <c r="X2" s="476"/>
      <c r="Y2" s="476"/>
      <c r="Z2" s="476"/>
    </row>
    <row r="3" spans="1:26" ht="63" customHeight="1" x14ac:dyDescent="0.3">
      <c r="A3" s="480"/>
      <c r="B3" s="481"/>
      <c r="C3" s="481"/>
      <c r="D3" s="481"/>
      <c r="E3" s="481"/>
      <c r="F3" s="481"/>
      <c r="G3" s="481"/>
      <c r="H3" s="481"/>
      <c r="I3" s="481"/>
      <c r="J3" s="481"/>
      <c r="K3" s="481"/>
      <c r="L3" s="481"/>
      <c r="M3" s="481"/>
      <c r="N3" s="481"/>
      <c r="O3" s="481"/>
      <c r="P3" s="481"/>
      <c r="Q3" s="138"/>
      <c r="R3" s="138"/>
      <c r="S3" s="138"/>
      <c r="T3" s="138"/>
      <c r="U3" s="138"/>
      <c r="V3" s="138"/>
      <c r="W3" s="138"/>
      <c r="X3" s="138"/>
      <c r="Y3" s="138"/>
      <c r="Z3" s="138"/>
    </row>
    <row r="4" spans="1:26" ht="21" customHeight="1" x14ac:dyDescent="0.3">
      <c r="A4" s="3"/>
      <c r="B4" s="3"/>
      <c r="C4" s="3"/>
      <c r="D4" s="3"/>
      <c r="E4" s="482"/>
      <c r="F4" s="483"/>
      <c r="G4" s="483"/>
      <c r="H4" s="483"/>
      <c r="I4" s="3"/>
      <c r="J4" s="3"/>
      <c r="K4" s="3"/>
      <c r="L4" s="3"/>
      <c r="M4" s="3"/>
      <c r="N4" s="3"/>
      <c r="O4" s="3"/>
      <c r="P4" s="3"/>
      <c r="Q4" s="3"/>
      <c r="R4" s="3"/>
      <c r="S4" s="3"/>
      <c r="T4" s="3"/>
      <c r="U4" s="3"/>
      <c r="V4" s="3"/>
      <c r="W4" s="3"/>
      <c r="X4" s="3"/>
      <c r="Y4" s="3"/>
      <c r="Z4" s="3"/>
    </row>
    <row r="5" spans="1:26" ht="14.25" customHeight="1" x14ac:dyDescent="0.3">
      <c r="A5" s="3"/>
      <c r="B5" s="3"/>
      <c r="C5" s="3"/>
      <c r="D5" s="3"/>
      <c r="E5" s="484" t="s">
        <v>651</v>
      </c>
      <c r="F5" s="485"/>
      <c r="G5" s="485"/>
      <c r="H5" s="486"/>
      <c r="I5" s="3"/>
      <c r="J5" s="3"/>
      <c r="K5" s="3"/>
      <c r="L5" s="3"/>
      <c r="M5" s="3"/>
      <c r="N5" s="3"/>
      <c r="O5" s="3"/>
      <c r="P5" s="3"/>
      <c r="Q5" s="3"/>
      <c r="R5" s="3"/>
      <c r="S5" s="3"/>
      <c r="T5" s="3"/>
      <c r="U5" s="3"/>
      <c r="V5" s="3"/>
      <c r="W5" s="3"/>
      <c r="X5" s="3"/>
      <c r="Y5" s="3"/>
      <c r="Z5" s="3"/>
    </row>
    <row r="6" spans="1:26" ht="11.25" customHeight="1" x14ac:dyDescent="0.3">
      <c r="A6" s="3"/>
      <c r="B6" s="3"/>
      <c r="C6" s="3"/>
      <c r="D6" s="3"/>
      <c r="E6" s="487"/>
      <c r="F6" s="3"/>
      <c r="G6" s="3"/>
      <c r="H6" s="3"/>
      <c r="I6" s="3"/>
      <c r="J6" s="3"/>
      <c r="K6" s="3"/>
      <c r="L6" s="3"/>
      <c r="M6" s="3"/>
      <c r="N6" s="3"/>
      <c r="O6" s="3"/>
      <c r="P6" s="3"/>
      <c r="Q6" s="3"/>
      <c r="R6" s="3"/>
      <c r="S6" s="3"/>
      <c r="T6" s="3"/>
      <c r="U6" s="3"/>
      <c r="V6" s="3"/>
      <c r="W6" s="3"/>
      <c r="X6" s="3"/>
      <c r="Y6" s="3"/>
      <c r="Z6" s="3"/>
    </row>
    <row r="7" spans="1:26" ht="11.25" customHeight="1" x14ac:dyDescent="0.3">
      <c r="A7" s="3"/>
      <c r="B7" s="488"/>
      <c r="C7" s="489">
        <v>2001</v>
      </c>
      <c r="D7" s="489">
        <v>2002</v>
      </c>
      <c r="E7" s="489">
        <v>2003</v>
      </c>
      <c r="F7" s="489">
        <v>2004</v>
      </c>
      <c r="G7" s="489">
        <v>2005</v>
      </c>
      <c r="H7" s="489">
        <v>2006</v>
      </c>
      <c r="I7" s="489">
        <v>2007</v>
      </c>
      <c r="J7" s="489">
        <v>2008</v>
      </c>
      <c r="K7" s="490">
        <v>2009</v>
      </c>
      <c r="L7" s="490">
        <v>2010</v>
      </c>
      <c r="M7" s="490">
        <v>2011</v>
      </c>
      <c r="N7" s="490">
        <v>2012</v>
      </c>
      <c r="O7" s="490">
        <v>2013</v>
      </c>
      <c r="P7" s="490">
        <v>2014</v>
      </c>
      <c r="Q7" s="490">
        <v>2015</v>
      </c>
      <c r="R7" s="490">
        <v>2016</v>
      </c>
      <c r="S7" s="490">
        <v>2017</v>
      </c>
      <c r="T7" s="490">
        <v>2018</v>
      </c>
      <c r="U7" s="490">
        <v>2019</v>
      </c>
      <c r="V7" s="491">
        <v>2020</v>
      </c>
      <c r="W7" s="3"/>
      <c r="X7" s="3"/>
      <c r="Y7" s="3"/>
      <c r="Z7" s="3"/>
    </row>
    <row r="8" spans="1:26" ht="11.25" customHeight="1" x14ac:dyDescent="0.2">
      <c r="A8" s="3"/>
      <c r="B8" s="492"/>
      <c r="C8" s="493"/>
      <c r="D8" s="493"/>
      <c r="E8" s="493"/>
      <c r="F8" s="493"/>
      <c r="G8" s="493"/>
      <c r="H8" s="493"/>
      <c r="I8" s="493"/>
      <c r="J8" s="493"/>
      <c r="K8" s="493"/>
      <c r="L8" s="493"/>
      <c r="M8" s="493"/>
      <c r="N8" s="493"/>
      <c r="O8" s="493"/>
      <c r="P8" s="493"/>
      <c r="Q8" s="493"/>
      <c r="R8" s="493"/>
      <c r="S8" s="493"/>
      <c r="T8" s="493"/>
      <c r="U8" s="493"/>
      <c r="V8" s="494"/>
      <c r="W8" s="3"/>
      <c r="X8" s="3"/>
      <c r="Y8" s="3"/>
      <c r="Z8" s="3"/>
    </row>
    <row r="9" spans="1:26" ht="11.25" customHeight="1" x14ac:dyDescent="0.3">
      <c r="A9" s="3"/>
      <c r="B9" s="495" t="s">
        <v>652</v>
      </c>
      <c r="C9" s="496">
        <v>11135140</v>
      </c>
      <c r="D9" s="496">
        <v>11364983</v>
      </c>
      <c r="E9" s="496">
        <v>11852129</v>
      </c>
      <c r="F9" s="496">
        <v>11608446</v>
      </c>
      <c r="G9" s="496">
        <v>11745248.199999999</v>
      </c>
      <c r="H9" s="496">
        <v>11687602.6</v>
      </c>
      <c r="I9" s="496">
        <v>11937518</v>
      </c>
      <c r="J9" s="496">
        <v>11098391</v>
      </c>
      <c r="K9" s="496">
        <v>9846698</v>
      </c>
      <c r="L9" s="496">
        <v>9885858</v>
      </c>
      <c r="M9" s="496">
        <v>9003261</v>
      </c>
      <c r="N9" s="496">
        <v>6981310</v>
      </c>
      <c r="O9" s="496">
        <v>6815969</v>
      </c>
      <c r="P9" s="496">
        <v>7450504</v>
      </c>
      <c r="Q9" s="496">
        <v>6046224</v>
      </c>
      <c r="R9" s="496">
        <v>5882475</v>
      </c>
      <c r="S9" s="496">
        <v>3674712</v>
      </c>
      <c r="T9" s="496">
        <v>4382000</v>
      </c>
      <c r="U9" s="496">
        <v>2555807</v>
      </c>
      <c r="V9" s="497">
        <v>1528458</v>
      </c>
      <c r="W9" s="3"/>
      <c r="X9" s="3"/>
      <c r="Y9" s="3"/>
      <c r="Z9" s="3"/>
    </row>
    <row r="10" spans="1:26" ht="11.25" customHeight="1" x14ac:dyDescent="0.3">
      <c r="A10" s="3"/>
      <c r="B10" s="495" t="s">
        <v>653</v>
      </c>
      <c r="C10" s="496">
        <v>5514960</v>
      </c>
      <c r="D10" s="496">
        <v>4108104</v>
      </c>
      <c r="E10" s="496">
        <v>6164252</v>
      </c>
      <c r="F10" s="496">
        <v>5672819.25</v>
      </c>
      <c r="G10" s="496">
        <v>6574936.7400000002</v>
      </c>
      <c r="H10" s="496">
        <v>1050222.03</v>
      </c>
      <c r="I10" s="496">
        <v>1790746</v>
      </c>
      <c r="J10" s="496">
        <v>791418</v>
      </c>
      <c r="K10" s="496">
        <v>624050</v>
      </c>
      <c r="L10" s="496">
        <v>658767</v>
      </c>
      <c r="M10" s="496">
        <v>438683</v>
      </c>
      <c r="N10" s="496">
        <v>408743</v>
      </c>
      <c r="O10" s="496">
        <v>544171</v>
      </c>
      <c r="P10" s="496">
        <v>1104782</v>
      </c>
      <c r="Q10" s="496">
        <v>483501</v>
      </c>
      <c r="R10" s="496">
        <v>353249</v>
      </c>
      <c r="S10" s="496">
        <v>242907</v>
      </c>
      <c r="T10" s="496">
        <v>548545</v>
      </c>
      <c r="U10" s="496">
        <v>172862</v>
      </c>
      <c r="V10" s="497">
        <v>177001</v>
      </c>
      <c r="W10" s="3"/>
      <c r="X10" s="3"/>
      <c r="Y10" s="3"/>
      <c r="Z10" s="3"/>
    </row>
    <row r="11" spans="1:26" ht="11.25" customHeight="1" x14ac:dyDescent="0.3">
      <c r="A11" s="3"/>
      <c r="B11" s="495" t="s">
        <v>654</v>
      </c>
      <c r="C11" s="496">
        <v>17985486</v>
      </c>
      <c r="D11" s="496">
        <v>22627073</v>
      </c>
      <c r="E11" s="496">
        <v>11162538</v>
      </c>
      <c r="F11" s="496">
        <v>9994238.0399999991</v>
      </c>
      <c r="G11" s="496">
        <v>18619350</v>
      </c>
      <c r="H11" s="496">
        <v>16620796.5</v>
      </c>
      <c r="I11" s="496">
        <v>21481869</v>
      </c>
      <c r="J11" s="496">
        <v>17563616</v>
      </c>
      <c r="K11" s="496">
        <v>15742992</v>
      </c>
      <c r="L11" s="496">
        <v>28629884</v>
      </c>
      <c r="M11" s="496">
        <v>21840074</v>
      </c>
      <c r="N11" s="496">
        <v>51188571</v>
      </c>
      <c r="O11" s="496">
        <v>27549022</v>
      </c>
      <c r="P11" s="496">
        <v>24337768</v>
      </c>
      <c r="Q11" s="496">
        <v>44642499</v>
      </c>
      <c r="R11" s="496">
        <v>53485752</v>
      </c>
      <c r="S11" s="496">
        <v>55972798</v>
      </c>
      <c r="T11" s="496">
        <v>105436753</v>
      </c>
      <c r="U11" s="496">
        <v>105316439</v>
      </c>
      <c r="V11" s="497">
        <v>103248942</v>
      </c>
      <c r="W11" s="3"/>
      <c r="X11" s="3"/>
      <c r="Y11" s="3"/>
      <c r="Z11" s="3"/>
    </row>
    <row r="12" spans="1:26" ht="11.25" customHeight="1" x14ac:dyDescent="0.3">
      <c r="A12" s="3"/>
      <c r="B12" s="498" t="s">
        <v>655</v>
      </c>
      <c r="C12" s="499">
        <v>7537</v>
      </c>
      <c r="D12" s="499">
        <v>9278</v>
      </c>
      <c r="E12" s="499">
        <v>6717</v>
      </c>
      <c r="F12" s="499">
        <v>5127.03</v>
      </c>
      <c r="G12" s="499">
        <v>4266.24</v>
      </c>
      <c r="H12" s="499">
        <v>4141.3100000000004</v>
      </c>
      <c r="I12" s="499">
        <v>4703.42</v>
      </c>
      <c r="J12" s="499">
        <v>4194.0200000000004</v>
      </c>
      <c r="K12" s="499">
        <v>3340</v>
      </c>
      <c r="L12" s="499">
        <v>2663</v>
      </c>
      <c r="M12" s="499">
        <v>1921</v>
      </c>
      <c r="N12" s="499">
        <v>1395</v>
      </c>
      <c r="O12" s="499">
        <v>0</v>
      </c>
      <c r="P12" s="499"/>
      <c r="Q12" s="499"/>
      <c r="R12" s="499"/>
      <c r="S12" s="499"/>
      <c r="T12" s="500"/>
      <c r="U12" s="500"/>
      <c r="V12" s="501"/>
      <c r="W12" s="3"/>
      <c r="X12" s="3"/>
      <c r="Y12" s="3"/>
      <c r="Z12" s="3"/>
    </row>
    <row r="13" spans="1:26" ht="11.25" customHeight="1" x14ac:dyDescent="0.2">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6" ht="11.25" customHeight="1" x14ac:dyDescent="0.2">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6" ht="11.25" customHeight="1" x14ac:dyDescent="0.3">
      <c r="A15" s="3"/>
      <c r="B15" s="3"/>
      <c r="C15" s="3"/>
      <c r="D15" s="3"/>
      <c r="E15" s="502" t="s">
        <v>656</v>
      </c>
      <c r="F15" s="503"/>
      <c r="G15" s="504"/>
      <c r="H15" s="505"/>
      <c r="I15" s="3"/>
      <c r="J15" s="3"/>
      <c r="K15" s="3"/>
      <c r="L15" s="3"/>
      <c r="M15" s="3"/>
      <c r="N15" s="3"/>
      <c r="O15" s="3"/>
      <c r="P15" s="3"/>
      <c r="Q15" s="3"/>
      <c r="R15" s="3"/>
      <c r="S15" s="3"/>
      <c r="T15" s="3"/>
      <c r="U15" s="3"/>
      <c r="V15" s="3"/>
      <c r="W15" s="3"/>
      <c r="X15" s="3"/>
      <c r="Y15" s="3"/>
      <c r="Z15" s="3"/>
    </row>
    <row r="16" spans="1:26" ht="11.2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1.25" customHeight="1" x14ac:dyDescent="0.3">
      <c r="A17" s="3"/>
      <c r="B17" s="506"/>
      <c r="C17" s="489">
        <v>2001</v>
      </c>
      <c r="D17" s="489">
        <v>2002</v>
      </c>
      <c r="E17" s="489">
        <v>2003</v>
      </c>
      <c r="F17" s="489">
        <v>2004</v>
      </c>
      <c r="G17" s="489">
        <v>2005</v>
      </c>
      <c r="H17" s="489">
        <v>2006</v>
      </c>
      <c r="I17" s="489">
        <v>2007</v>
      </c>
      <c r="J17" s="489">
        <v>2008</v>
      </c>
      <c r="K17" s="489">
        <v>2009</v>
      </c>
      <c r="L17" s="489">
        <v>2010</v>
      </c>
      <c r="M17" s="489">
        <v>2011</v>
      </c>
      <c r="N17" s="489">
        <v>2012</v>
      </c>
      <c r="O17" s="489">
        <v>2013</v>
      </c>
      <c r="P17" s="489">
        <v>2014</v>
      </c>
      <c r="Q17" s="489">
        <v>2015</v>
      </c>
      <c r="R17" s="489">
        <v>2016</v>
      </c>
      <c r="S17" s="507">
        <v>2017</v>
      </c>
      <c r="T17" s="489">
        <v>2018</v>
      </c>
      <c r="U17" s="489">
        <v>2019</v>
      </c>
      <c r="V17" s="508">
        <v>2020</v>
      </c>
      <c r="W17" s="3"/>
      <c r="X17" s="3"/>
      <c r="Y17" s="3"/>
      <c r="Z17" s="3"/>
    </row>
    <row r="18" spans="1:26" ht="11.25" customHeight="1" x14ac:dyDescent="0.3">
      <c r="A18" s="3"/>
      <c r="B18" s="509" t="s">
        <v>187</v>
      </c>
      <c r="C18" s="496">
        <v>28379409</v>
      </c>
      <c r="D18" s="496">
        <v>28712053</v>
      </c>
      <c r="E18" s="496">
        <v>29939086</v>
      </c>
      <c r="F18" s="496">
        <v>29195458</v>
      </c>
      <c r="G18" s="496">
        <v>29302792</v>
      </c>
      <c r="H18" s="496">
        <v>29408022</v>
      </c>
      <c r="I18" s="496">
        <v>29699186</v>
      </c>
      <c r="J18" s="496">
        <v>27218239</v>
      </c>
      <c r="K18" s="510">
        <v>24162345</v>
      </c>
      <c r="L18" s="510">
        <v>23668204</v>
      </c>
      <c r="M18" s="510">
        <v>21186919</v>
      </c>
      <c r="N18" s="510">
        <v>16184773</v>
      </c>
      <c r="O18" s="510">
        <v>15538469</v>
      </c>
      <c r="P18" s="510">
        <v>17603291</v>
      </c>
      <c r="Q18" s="510">
        <v>13925604</v>
      </c>
      <c r="R18" s="510">
        <v>13826213</v>
      </c>
      <c r="S18" s="511">
        <v>8514009</v>
      </c>
      <c r="T18" s="496">
        <v>10066924</v>
      </c>
      <c r="U18" s="496">
        <v>5721573</v>
      </c>
      <c r="V18" s="512">
        <v>3359560</v>
      </c>
      <c r="W18" s="3"/>
      <c r="X18" s="3"/>
      <c r="Y18" s="3"/>
      <c r="Z18" s="3"/>
    </row>
    <row r="19" spans="1:26" ht="11.25" customHeight="1" x14ac:dyDescent="0.3">
      <c r="A19" s="3"/>
      <c r="B19" s="509" t="s">
        <v>657</v>
      </c>
      <c r="C19" s="496">
        <v>3021639</v>
      </c>
      <c r="D19" s="496">
        <v>2282432</v>
      </c>
      <c r="E19" s="496">
        <v>3572183</v>
      </c>
      <c r="F19" s="496">
        <v>3296842</v>
      </c>
      <c r="G19" s="496">
        <v>3805569</v>
      </c>
      <c r="H19" s="496">
        <v>580726</v>
      </c>
      <c r="I19" s="496">
        <v>984831</v>
      </c>
      <c r="J19" s="496">
        <v>405840</v>
      </c>
      <c r="K19" s="510">
        <v>329901</v>
      </c>
      <c r="L19" s="510">
        <v>322438</v>
      </c>
      <c r="M19" s="510">
        <v>219804</v>
      </c>
      <c r="N19" s="510">
        <v>137305</v>
      </c>
      <c r="O19" s="510">
        <v>189553</v>
      </c>
      <c r="P19" s="510">
        <v>463456</v>
      </c>
      <c r="Q19" s="510">
        <v>232348</v>
      </c>
      <c r="R19" s="510">
        <v>160550</v>
      </c>
      <c r="S19" s="511">
        <v>102181</v>
      </c>
      <c r="T19" s="496">
        <v>260015</v>
      </c>
      <c r="U19" s="496">
        <v>67269</v>
      </c>
      <c r="V19" s="512">
        <v>70379</v>
      </c>
      <c r="W19" s="3"/>
      <c r="X19" s="3"/>
      <c r="Y19" s="3"/>
      <c r="Z19" s="3"/>
    </row>
    <row r="20" spans="1:26" ht="11.25" customHeight="1" x14ac:dyDescent="0.3">
      <c r="A20" s="3"/>
      <c r="B20" s="509" t="s">
        <v>436</v>
      </c>
      <c r="C20" s="496">
        <v>1760812</v>
      </c>
      <c r="D20" s="496">
        <v>2214431</v>
      </c>
      <c r="E20" s="496">
        <v>1195642</v>
      </c>
      <c r="F20" s="496">
        <v>1183301</v>
      </c>
      <c r="G20" s="496">
        <v>1886986</v>
      </c>
      <c r="H20" s="496">
        <v>1770206</v>
      </c>
      <c r="I20" s="496">
        <v>2240927</v>
      </c>
      <c r="J20" s="496">
        <v>1848147</v>
      </c>
      <c r="K20" s="510">
        <v>1767844</v>
      </c>
      <c r="L20" s="510">
        <v>2896978</v>
      </c>
      <c r="M20" s="510">
        <v>2236976</v>
      </c>
      <c r="N20" s="510">
        <v>4944895</v>
      </c>
      <c r="O20" s="510">
        <v>2887589</v>
      </c>
      <c r="P20" s="510">
        <v>2505890</v>
      </c>
      <c r="Q20" s="510">
        <v>4555345</v>
      </c>
      <c r="R20" s="510">
        <v>5423046</v>
      </c>
      <c r="S20" s="511">
        <v>6729174</v>
      </c>
      <c r="T20" s="496">
        <v>13849673</v>
      </c>
      <c r="U20" s="496">
        <v>14605261</v>
      </c>
      <c r="V20" s="512">
        <v>14091778</v>
      </c>
      <c r="W20" s="3"/>
      <c r="X20" s="3"/>
      <c r="Y20" s="3"/>
      <c r="Z20" s="3"/>
    </row>
    <row r="21" spans="1:26" ht="11.25" customHeight="1" x14ac:dyDescent="0.3">
      <c r="A21" s="3"/>
      <c r="B21" s="509" t="s">
        <v>658</v>
      </c>
      <c r="C21" s="496">
        <v>439980</v>
      </c>
      <c r="D21" s="496">
        <v>504513</v>
      </c>
      <c r="E21" s="496">
        <v>325355</v>
      </c>
      <c r="F21" s="496">
        <v>411565</v>
      </c>
      <c r="G21" s="496">
        <v>342466</v>
      </c>
      <c r="H21" s="496">
        <v>332444</v>
      </c>
      <c r="I21" s="496">
        <v>377560</v>
      </c>
      <c r="J21" s="496">
        <v>337823</v>
      </c>
      <c r="K21" s="510">
        <v>269182</v>
      </c>
      <c r="L21" s="510">
        <v>214727</v>
      </c>
      <c r="M21" s="510">
        <v>154641</v>
      </c>
      <c r="N21" s="510">
        <v>112314</v>
      </c>
      <c r="O21" s="513">
        <v>0</v>
      </c>
      <c r="P21" s="513">
        <v>0</v>
      </c>
      <c r="Q21" s="513">
        <v>0</v>
      </c>
      <c r="R21" s="513">
        <v>0</v>
      </c>
      <c r="S21" s="511">
        <v>0</v>
      </c>
      <c r="T21" s="496"/>
      <c r="U21" s="496"/>
      <c r="V21" s="512"/>
      <c r="W21" s="3"/>
      <c r="X21" s="3"/>
      <c r="Y21" s="3"/>
      <c r="Z21" s="3"/>
    </row>
    <row r="22" spans="1:26" ht="11.25" customHeight="1" x14ac:dyDescent="0.3">
      <c r="A22" s="3"/>
      <c r="B22" s="509" t="s">
        <v>659</v>
      </c>
      <c r="C22" s="496">
        <v>13656267</v>
      </c>
      <c r="D22" s="496">
        <v>12128005</v>
      </c>
      <c r="E22" s="496">
        <v>13690713</v>
      </c>
      <c r="F22" s="496">
        <v>14580260</v>
      </c>
      <c r="G22" s="496">
        <v>14703221</v>
      </c>
      <c r="H22" s="496">
        <v>13830411</v>
      </c>
      <c r="I22" s="496">
        <v>14353192</v>
      </c>
      <c r="J22" s="496">
        <v>14678695</v>
      </c>
      <c r="K22" s="510">
        <v>14550119</v>
      </c>
      <c r="L22" s="510">
        <v>13993948</v>
      </c>
      <c r="M22" s="510">
        <v>14397437</v>
      </c>
      <c r="N22" s="510">
        <v>13579266</v>
      </c>
      <c r="O22" s="510">
        <v>14264305</v>
      </c>
      <c r="P22" s="510">
        <v>14343334</v>
      </c>
      <c r="Q22" s="510">
        <v>14643325</v>
      </c>
      <c r="R22" s="510">
        <v>14760177</v>
      </c>
      <c r="S22" s="511">
        <v>15106988</v>
      </c>
      <c r="T22" s="496">
        <v>14987931</v>
      </c>
      <c r="U22" s="496">
        <v>15012922</v>
      </c>
      <c r="V22" s="512">
        <v>15080557</v>
      </c>
      <c r="W22" s="3"/>
      <c r="X22" s="3"/>
      <c r="Y22" s="3"/>
      <c r="Z22" s="3"/>
    </row>
    <row r="23" spans="1:26" ht="11.25" customHeight="1" x14ac:dyDescent="0.3">
      <c r="A23" s="3"/>
      <c r="B23" s="509" t="s">
        <v>660</v>
      </c>
      <c r="C23" s="496">
        <v>1183518</v>
      </c>
      <c r="D23" s="496">
        <v>1660989</v>
      </c>
      <c r="E23" s="496">
        <v>2646984</v>
      </c>
      <c r="F23" s="496">
        <v>2507521</v>
      </c>
      <c r="G23" s="496">
        <v>1703639</v>
      </c>
      <c r="H23" s="496">
        <v>2104275</v>
      </c>
      <c r="I23" s="496">
        <v>1652216</v>
      </c>
      <c r="J23" s="496">
        <v>1974078</v>
      </c>
      <c r="K23" s="510">
        <v>1888769</v>
      </c>
      <c r="L23" s="510">
        <v>1667397</v>
      </c>
      <c r="M23" s="510">
        <v>2540908</v>
      </c>
      <c r="N23" s="510">
        <v>1656539</v>
      </c>
      <c r="O23" s="510">
        <v>1727020</v>
      </c>
      <c r="P23" s="510">
        <v>1615523</v>
      </c>
      <c r="Q23" s="510">
        <v>1623190</v>
      </c>
      <c r="R23" s="510">
        <v>1392187</v>
      </c>
      <c r="S23" s="511">
        <v>1965459</v>
      </c>
      <c r="T23" s="496">
        <v>2830886</v>
      </c>
      <c r="U23" s="496">
        <v>2188051</v>
      </c>
      <c r="V23" s="512">
        <v>1696803</v>
      </c>
      <c r="W23" s="3"/>
      <c r="X23" s="3"/>
      <c r="Y23" s="3"/>
      <c r="Z23" s="3"/>
    </row>
    <row r="24" spans="1:26" ht="11.25" customHeight="1" x14ac:dyDescent="0.3">
      <c r="A24" s="3"/>
      <c r="B24" s="514" t="s">
        <v>661</v>
      </c>
      <c r="C24" s="496"/>
      <c r="D24" s="496"/>
      <c r="E24" s="496"/>
      <c r="F24" s="496"/>
      <c r="G24" s="496"/>
      <c r="H24" s="496"/>
      <c r="I24" s="496"/>
      <c r="J24" s="496"/>
      <c r="K24" s="510"/>
      <c r="L24" s="510">
        <v>1494</v>
      </c>
      <c r="M24" s="510">
        <v>319254</v>
      </c>
      <c r="N24" s="510">
        <v>321687</v>
      </c>
      <c r="O24" s="510">
        <v>321670</v>
      </c>
      <c r="P24" s="510">
        <v>323612</v>
      </c>
      <c r="Q24" s="510">
        <v>434595</v>
      </c>
      <c r="R24" s="510">
        <v>527114</v>
      </c>
      <c r="S24" s="511">
        <v>561349</v>
      </c>
      <c r="T24" s="496">
        <v>569984</v>
      </c>
      <c r="U24" s="496">
        <v>520269</v>
      </c>
      <c r="V24" s="512">
        <v>545676</v>
      </c>
      <c r="W24" s="3"/>
      <c r="X24" s="3"/>
      <c r="Y24" s="3"/>
      <c r="Z24" s="3"/>
    </row>
    <row r="25" spans="1:26" ht="11.25" customHeight="1" x14ac:dyDescent="0.3">
      <c r="A25" s="3"/>
      <c r="B25" s="514" t="s">
        <v>662</v>
      </c>
      <c r="C25" s="496"/>
      <c r="D25" s="496"/>
      <c r="E25" s="496"/>
      <c r="F25" s="496"/>
      <c r="G25" s="496"/>
      <c r="H25" s="496"/>
      <c r="I25" s="496"/>
      <c r="J25" s="496"/>
      <c r="K25" s="510"/>
      <c r="L25" s="510">
        <v>80</v>
      </c>
      <c r="M25" s="510">
        <v>2070</v>
      </c>
      <c r="N25" s="510">
        <v>22473</v>
      </c>
      <c r="O25" s="510">
        <v>63485</v>
      </c>
      <c r="P25" s="510">
        <v>98118</v>
      </c>
      <c r="Q25" s="510">
        <v>118801</v>
      </c>
      <c r="R25" s="510">
        <v>208657</v>
      </c>
      <c r="S25" s="511">
        <v>267090</v>
      </c>
      <c r="T25" s="496">
        <v>396720</v>
      </c>
      <c r="U25" s="496">
        <v>494311</v>
      </c>
      <c r="V25" s="512">
        <v>527235</v>
      </c>
      <c r="W25" s="3"/>
      <c r="X25" s="3"/>
      <c r="Y25" s="3"/>
      <c r="Z25" s="3"/>
    </row>
    <row r="26" spans="1:26" ht="11.25" customHeight="1" x14ac:dyDescent="0.3">
      <c r="A26" s="3"/>
      <c r="B26" s="509" t="s">
        <v>663</v>
      </c>
      <c r="C26" s="496">
        <v>11939</v>
      </c>
      <c r="D26" s="496">
        <v>182904</v>
      </c>
      <c r="E26" s="496">
        <v>225240</v>
      </c>
      <c r="F26" s="496">
        <v>192384</v>
      </c>
      <c r="G26" s="496">
        <v>205985</v>
      </c>
      <c r="H26" s="496">
        <v>218066</v>
      </c>
      <c r="I26" s="496">
        <v>203097</v>
      </c>
      <c r="J26" s="496">
        <v>197704</v>
      </c>
      <c r="K26" s="510">
        <v>175058</v>
      </c>
      <c r="L26" s="510">
        <v>164688</v>
      </c>
      <c r="M26" s="510">
        <v>167437</v>
      </c>
      <c r="N26" s="510">
        <v>158953</v>
      </c>
      <c r="O26" s="510">
        <v>142789</v>
      </c>
      <c r="P26" s="510">
        <v>150426</v>
      </c>
      <c r="Q26" s="510">
        <v>111162</v>
      </c>
      <c r="R26" s="510">
        <v>123653</v>
      </c>
      <c r="S26" s="511">
        <v>120338</v>
      </c>
      <c r="T26" s="496">
        <v>104043</v>
      </c>
      <c r="U26" s="496">
        <v>60124</v>
      </c>
      <c r="V26" s="512">
        <v>10304</v>
      </c>
      <c r="W26" s="3"/>
      <c r="X26" s="3"/>
      <c r="Y26" s="3"/>
      <c r="Z26" s="3"/>
    </row>
    <row r="27" spans="1:26" ht="11.25" customHeight="1" x14ac:dyDescent="0.3">
      <c r="A27" s="3"/>
      <c r="B27" s="509" t="s">
        <v>664</v>
      </c>
      <c r="C27" s="496">
        <v>361076</v>
      </c>
      <c r="D27" s="496">
        <v>338727</v>
      </c>
      <c r="E27" s="496">
        <v>370811</v>
      </c>
      <c r="F27" s="496">
        <v>396824</v>
      </c>
      <c r="G27" s="496">
        <v>417380</v>
      </c>
      <c r="H27" s="496">
        <v>408095</v>
      </c>
      <c r="I27" s="496">
        <v>400364</v>
      </c>
      <c r="J27" s="496">
        <v>414781</v>
      </c>
      <c r="K27" s="510">
        <v>375721</v>
      </c>
      <c r="L27" s="510">
        <v>407402</v>
      </c>
      <c r="M27" s="510">
        <v>420114</v>
      </c>
      <c r="N27" s="510">
        <v>395039</v>
      </c>
      <c r="O27" s="510">
        <v>413220</v>
      </c>
      <c r="P27" s="510">
        <v>416719</v>
      </c>
      <c r="Q27" s="510">
        <v>403239</v>
      </c>
      <c r="R27" s="510">
        <v>422029</v>
      </c>
      <c r="S27" s="511">
        <v>415940</v>
      </c>
      <c r="T27" s="496">
        <v>417346</v>
      </c>
      <c r="U27" s="496">
        <v>330379</v>
      </c>
      <c r="V27" s="512">
        <v>327069</v>
      </c>
      <c r="W27" s="3"/>
      <c r="X27" s="3"/>
      <c r="Y27" s="3"/>
      <c r="Z27" s="3"/>
    </row>
    <row r="28" spans="1:26" ht="11.25" customHeight="1" x14ac:dyDescent="0.3">
      <c r="A28" s="3"/>
      <c r="B28" s="509" t="s">
        <v>665</v>
      </c>
      <c r="C28" s="496">
        <v>247700</v>
      </c>
      <c r="D28" s="496">
        <v>255034</v>
      </c>
      <c r="E28" s="496">
        <v>278224</v>
      </c>
      <c r="F28" s="496">
        <v>288616</v>
      </c>
      <c r="G28" s="496">
        <v>293561</v>
      </c>
      <c r="H28" s="496">
        <v>304635</v>
      </c>
      <c r="I28" s="496">
        <v>286550</v>
      </c>
      <c r="J28" s="496">
        <v>285645</v>
      </c>
      <c r="K28" s="510">
        <v>255893</v>
      </c>
      <c r="L28" s="510">
        <v>269907</v>
      </c>
      <c r="M28" s="510">
        <v>267727</v>
      </c>
      <c r="N28" s="510">
        <v>296499</v>
      </c>
      <c r="O28" s="510">
        <v>302712</v>
      </c>
      <c r="P28" s="510">
        <v>313284</v>
      </c>
      <c r="Q28" s="510">
        <v>317935</v>
      </c>
      <c r="R28" s="510">
        <v>323060</v>
      </c>
      <c r="S28" s="511">
        <v>321712</v>
      </c>
      <c r="T28" s="496">
        <v>326127</v>
      </c>
      <c r="U28" s="496">
        <v>325436</v>
      </c>
      <c r="V28" s="512">
        <v>319843</v>
      </c>
      <c r="W28" s="3"/>
      <c r="X28" s="3"/>
      <c r="Y28" s="3"/>
      <c r="Z28" s="3"/>
    </row>
    <row r="29" spans="1:26" ht="17.25" customHeight="1" x14ac:dyDescent="0.3">
      <c r="A29" s="3"/>
      <c r="B29" s="515" t="s">
        <v>86</v>
      </c>
      <c r="C29" s="516">
        <v>49062340</v>
      </c>
      <c r="D29" s="516">
        <v>48279088</v>
      </c>
      <c r="E29" s="516">
        <v>52244237</v>
      </c>
      <c r="F29" s="516">
        <v>52052770</v>
      </c>
      <c r="G29" s="516">
        <v>52661600</v>
      </c>
      <c r="H29" s="516">
        <v>48956880</v>
      </c>
      <c r="I29" s="516">
        <v>50197924</v>
      </c>
      <c r="J29" s="516">
        <v>47360953</v>
      </c>
      <c r="K29" s="516">
        <f>SUM(K18:K28)</f>
        <v>43774832</v>
      </c>
      <c r="L29" s="516">
        <v>43607266</v>
      </c>
      <c r="M29" s="517">
        <f t="shared" ref="M29:V29" si="0">SUM(M18:M28)</f>
        <v>41913287</v>
      </c>
      <c r="N29" s="517">
        <f t="shared" si="0"/>
        <v>37809743</v>
      </c>
      <c r="O29" s="517">
        <f t="shared" si="0"/>
        <v>35850812</v>
      </c>
      <c r="P29" s="517">
        <f t="shared" si="0"/>
        <v>37833653</v>
      </c>
      <c r="Q29" s="517">
        <f t="shared" si="0"/>
        <v>36365544</v>
      </c>
      <c r="R29" s="517">
        <f t="shared" si="0"/>
        <v>37166686</v>
      </c>
      <c r="S29" s="518">
        <f t="shared" si="0"/>
        <v>34104240</v>
      </c>
      <c r="T29" s="516">
        <f t="shared" si="0"/>
        <v>43809649</v>
      </c>
      <c r="U29" s="516">
        <f t="shared" si="0"/>
        <v>39325595</v>
      </c>
      <c r="V29" s="519">
        <f t="shared" si="0"/>
        <v>36029204</v>
      </c>
      <c r="W29" s="3"/>
      <c r="X29" s="3"/>
      <c r="Y29" s="3"/>
      <c r="Z29" s="3"/>
    </row>
    <row r="30" spans="1:26" ht="11.2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9.5" customHeight="1" x14ac:dyDescent="0.3">
      <c r="A31" s="3"/>
      <c r="B31" s="3"/>
      <c r="C31" s="3"/>
      <c r="D31" s="3"/>
      <c r="E31" s="520" t="s">
        <v>666</v>
      </c>
      <c r="F31" s="521"/>
      <c r="G31" s="521"/>
      <c r="H31" s="521"/>
      <c r="I31" s="521"/>
      <c r="J31" s="522"/>
      <c r="K31" s="523"/>
      <c r="L31" s="3"/>
      <c r="M31" s="3"/>
      <c r="N31" s="3"/>
      <c r="O31" s="3"/>
      <c r="P31" s="3"/>
      <c r="Q31" s="3"/>
      <c r="R31" s="3"/>
      <c r="S31" s="3"/>
      <c r="T31" s="3"/>
      <c r="U31" s="3"/>
      <c r="V31" s="3"/>
      <c r="W31" s="3"/>
      <c r="X31" s="3"/>
      <c r="Y31" s="3"/>
      <c r="Z31" s="3"/>
    </row>
    <row r="32" spans="1:26" ht="11.2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1.25" customHeight="1" x14ac:dyDescent="0.3">
      <c r="A33" s="3"/>
      <c r="B33" s="488"/>
      <c r="C33" s="489">
        <v>2001</v>
      </c>
      <c r="D33" s="489">
        <v>2002</v>
      </c>
      <c r="E33" s="489">
        <v>2003</v>
      </c>
      <c r="F33" s="489">
        <v>2004</v>
      </c>
      <c r="G33" s="489">
        <v>2005</v>
      </c>
      <c r="H33" s="489">
        <v>2006</v>
      </c>
      <c r="I33" s="489">
        <v>2007</v>
      </c>
      <c r="J33" s="489">
        <v>2008</v>
      </c>
      <c r="K33" s="489">
        <v>2009</v>
      </c>
      <c r="L33" s="489">
        <v>2010</v>
      </c>
      <c r="M33" s="489">
        <v>2011</v>
      </c>
      <c r="N33" s="489">
        <v>2012</v>
      </c>
      <c r="O33" s="489">
        <v>2013</v>
      </c>
      <c r="P33" s="489">
        <v>2014</v>
      </c>
      <c r="Q33" s="489">
        <v>2015</v>
      </c>
      <c r="R33" s="489">
        <v>2016</v>
      </c>
      <c r="S33" s="489">
        <v>2017</v>
      </c>
      <c r="T33" s="489">
        <v>2018</v>
      </c>
      <c r="U33" s="489">
        <v>2019</v>
      </c>
      <c r="V33" s="524">
        <v>2020</v>
      </c>
      <c r="W33" s="3"/>
      <c r="X33" s="3"/>
      <c r="Y33" s="3"/>
      <c r="Z33" s="3"/>
    </row>
    <row r="34" spans="1:26" ht="18" customHeight="1" x14ac:dyDescent="0.3">
      <c r="A34" s="3"/>
      <c r="B34" s="525" t="s">
        <v>667</v>
      </c>
      <c r="C34" s="526">
        <f t="shared" ref="C34:V34" si="1">C29*6.25%</f>
        <v>3066396.25</v>
      </c>
      <c r="D34" s="526">
        <f t="shared" si="1"/>
        <v>3017443</v>
      </c>
      <c r="E34" s="526">
        <f t="shared" si="1"/>
        <v>3265264.8125</v>
      </c>
      <c r="F34" s="526">
        <f t="shared" si="1"/>
        <v>3253298.125</v>
      </c>
      <c r="G34" s="526">
        <f t="shared" si="1"/>
        <v>3291350</v>
      </c>
      <c r="H34" s="526">
        <f t="shared" si="1"/>
        <v>3059805</v>
      </c>
      <c r="I34" s="526">
        <f t="shared" si="1"/>
        <v>3137370.25</v>
      </c>
      <c r="J34" s="526">
        <f t="shared" si="1"/>
        <v>2960059.5625</v>
      </c>
      <c r="K34" s="527">
        <f t="shared" si="1"/>
        <v>2735927</v>
      </c>
      <c r="L34" s="527">
        <f t="shared" si="1"/>
        <v>2725454.125</v>
      </c>
      <c r="M34" s="526">
        <f t="shared" si="1"/>
        <v>2619580.4375</v>
      </c>
      <c r="N34" s="526">
        <f t="shared" si="1"/>
        <v>2363108.9375</v>
      </c>
      <c r="O34" s="526">
        <f t="shared" si="1"/>
        <v>2240675.75</v>
      </c>
      <c r="P34" s="526">
        <f t="shared" si="1"/>
        <v>2364603.3125</v>
      </c>
      <c r="Q34" s="526">
        <f t="shared" si="1"/>
        <v>2272846.5</v>
      </c>
      <c r="R34" s="526">
        <f t="shared" si="1"/>
        <v>2322917.875</v>
      </c>
      <c r="S34" s="526">
        <f t="shared" si="1"/>
        <v>2131515</v>
      </c>
      <c r="T34" s="526">
        <f t="shared" si="1"/>
        <v>2738103.0625</v>
      </c>
      <c r="U34" s="526">
        <f t="shared" si="1"/>
        <v>2457849.6875</v>
      </c>
      <c r="V34" s="528">
        <f t="shared" si="1"/>
        <v>2251825.25</v>
      </c>
      <c r="W34" s="3"/>
      <c r="X34" s="3"/>
      <c r="Y34" s="3"/>
      <c r="Z34" s="3"/>
    </row>
    <row r="35" spans="1:26" ht="11.2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1.2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8.75" customHeight="1" x14ac:dyDescent="0.3">
      <c r="A37" s="3"/>
      <c r="B37" s="3"/>
      <c r="C37" s="3"/>
      <c r="D37" s="3"/>
      <c r="E37" s="529" t="s">
        <v>668</v>
      </c>
      <c r="F37" s="530"/>
      <c r="G37" s="530"/>
      <c r="H37" s="530"/>
      <c r="I37" s="530"/>
      <c r="J37" s="530"/>
      <c r="K37" s="531"/>
      <c r="L37" s="532"/>
      <c r="M37" s="533"/>
      <c r="N37" s="3"/>
      <c r="O37" s="3"/>
      <c r="P37" s="3"/>
      <c r="Q37" s="3"/>
      <c r="R37" s="3"/>
      <c r="S37" s="3"/>
      <c r="T37" s="3"/>
      <c r="U37" s="3"/>
      <c r="V37" s="3"/>
      <c r="W37" s="3"/>
      <c r="X37" s="3"/>
      <c r="Y37" s="3"/>
      <c r="Z37" s="3"/>
    </row>
    <row r="38" spans="1:26" ht="11.2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1.25" customHeight="1" x14ac:dyDescent="0.3">
      <c r="A39" s="3"/>
      <c r="B39" s="488"/>
      <c r="C39" s="489">
        <v>2001</v>
      </c>
      <c r="D39" s="489">
        <v>2002</v>
      </c>
      <c r="E39" s="489">
        <v>2003</v>
      </c>
      <c r="F39" s="489">
        <v>2004</v>
      </c>
      <c r="G39" s="489">
        <v>2005</v>
      </c>
      <c r="H39" s="489">
        <v>2006</v>
      </c>
      <c r="I39" s="489">
        <v>2007</v>
      </c>
      <c r="J39" s="489">
        <v>2008</v>
      </c>
      <c r="K39" s="489">
        <v>2009</v>
      </c>
      <c r="L39" s="489">
        <v>2010</v>
      </c>
      <c r="M39" s="489">
        <v>2011</v>
      </c>
      <c r="N39" s="489">
        <v>2012</v>
      </c>
      <c r="O39" s="489">
        <v>2013</v>
      </c>
      <c r="P39" s="489">
        <v>2014</v>
      </c>
      <c r="Q39" s="489">
        <v>2015</v>
      </c>
      <c r="R39" s="489">
        <v>2016</v>
      </c>
      <c r="S39" s="489">
        <v>2017</v>
      </c>
      <c r="T39" s="489">
        <v>2018</v>
      </c>
      <c r="U39" s="489">
        <v>2019</v>
      </c>
      <c r="V39" s="524">
        <v>2020</v>
      </c>
      <c r="W39" s="3"/>
      <c r="X39" s="3"/>
      <c r="Y39" s="3"/>
      <c r="Z39" s="3"/>
    </row>
    <row r="40" spans="1:26" ht="11.25" customHeight="1" x14ac:dyDescent="0.3">
      <c r="A40" s="3"/>
      <c r="B40" s="534" t="s">
        <v>669</v>
      </c>
      <c r="C40" s="535">
        <f t="shared" ref="C40:V40" si="2">C29-C34</f>
        <v>45995943.75</v>
      </c>
      <c r="D40" s="535">
        <f t="shared" si="2"/>
        <v>45261645</v>
      </c>
      <c r="E40" s="535">
        <f t="shared" si="2"/>
        <v>48978972.1875</v>
      </c>
      <c r="F40" s="535">
        <f t="shared" si="2"/>
        <v>48799471.875</v>
      </c>
      <c r="G40" s="535">
        <f t="shared" si="2"/>
        <v>49370250</v>
      </c>
      <c r="H40" s="535">
        <f t="shared" si="2"/>
        <v>45897075</v>
      </c>
      <c r="I40" s="535">
        <f t="shared" si="2"/>
        <v>47060553.75</v>
      </c>
      <c r="J40" s="535">
        <f t="shared" si="2"/>
        <v>44400893.4375</v>
      </c>
      <c r="K40" s="535">
        <f t="shared" si="2"/>
        <v>41038905</v>
      </c>
      <c r="L40" s="535">
        <f t="shared" si="2"/>
        <v>40881811.875</v>
      </c>
      <c r="M40" s="535">
        <f t="shared" si="2"/>
        <v>39293706.5625</v>
      </c>
      <c r="N40" s="535">
        <f t="shared" si="2"/>
        <v>35446634.0625</v>
      </c>
      <c r="O40" s="535">
        <f t="shared" si="2"/>
        <v>33610136.25</v>
      </c>
      <c r="P40" s="535">
        <f t="shared" si="2"/>
        <v>35469049.6875</v>
      </c>
      <c r="Q40" s="535">
        <f t="shared" si="2"/>
        <v>34092697.5</v>
      </c>
      <c r="R40" s="535">
        <f t="shared" si="2"/>
        <v>34843768.125</v>
      </c>
      <c r="S40" s="535">
        <f t="shared" si="2"/>
        <v>31972725</v>
      </c>
      <c r="T40" s="535">
        <f t="shared" si="2"/>
        <v>41071545.9375</v>
      </c>
      <c r="U40" s="535">
        <f t="shared" si="2"/>
        <v>36867745.3125</v>
      </c>
      <c r="V40" s="536">
        <f t="shared" si="2"/>
        <v>33777378.75</v>
      </c>
      <c r="W40" s="3"/>
      <c r="X40" s="3"/>
      <c r="Y40" s="3"/>
      <c r="Z40" s="3"/>
    </row>
    <row r="41" spans="1:26" ht="11.2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1.2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6.5" customHeight="1" x14ac:dyDescent="0.3">
      <c r="A43" s="3"/>
      <c r="B43" s="3"/>
      <c r="C43" s="3"/>
      <c r="D43" s="3"/>
      <c r="E43" s="537" t="s">
        <v>670</v>
      </c>
      <c r="F43" s="538"/>
      <c r="G43" s="538"/>
      <c r="H43" s="539"/>
      <c r="I43" s="3"/>
      <c r="J43" s="3"/>
      <c r="K43" s="3"/>
      <c r="L43" s="3"/>
      <c r="M43" s="3"/>
      <c r="N43" s="3"/>
      <c r="O43" s="3"/>
      <c r="P43" s="3"/>
      <c r="Q43" s="3"/>
      <c r="R43" s="3"/>
      <c r="S43" s="3"/>
      <c r="T43" s="3"/>
      <c r="U43" s="3"/>
      <c r="V43" s="3"/>
      <c r="W43" s="3"/>
      <c r="X43" s="3"/>
      <c r="Y43" s="3"/>
      <c r="Z43" s="3"/>
    </row>
    <row r="44" spans="1:26" ht="11.2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1.25" customHeight="1" x14ac:dyDescent="0.3">
      <c r="A45" s="3"/>
      <c r="B45" s="488"/>
      <c r="C45" s="489">
        <v>2001</v>
      </c>
      <c r="D45" s="489">
        <v>2002</v>
      </c>
      <c r="E45" s="489">
        <v>2003</v>
      </c>
      <c r="F45" s="489">
        <v>2004</v>
      </c>
      <c r="G45" s="489">
        <v>2005</v>
      </c>
      <c r="H45" s="489">
        <v>2006</v>
      </c>
      <c r="I45" s="489">
        <v>2007</v>
      </c>
      <c r="J45" s="489">
        <v>2008</v>
      </c>
      <c r="K45" s="489">
        <v>2009</v>
      </c>
      <c r="L45" s="489">
        <v>2010</v>
      </c>
      <c r="M45" s="489">
        <v>2011</v>
      </c>
      <c r="N45" s="489">
        <v>2012</v>
      </c>
      <c r="O45" s="489">
        <v>2013</v>
      </c>
      <c r="P45" s="489">
        <v>2014</v>
      </c>
      <c r="Q45" s="489">
        <v>2015</v>
      </c>
      <c r="R45" s="489">
        <v>2016</v>
      </c>
      <c r="S45" s="507">
        <v>2017</v>
      </c>
      <c r="T45" s="489">
        <v>2018</v>
      </c>
      <c r="U45" s="489">
        <v>2019</v>
      </c>
      <c r="V45" s="508">
        <v>2020</v>
      </c>
      <c r="W45" s="3"/>
      <c r="X45" s="3"/>
      <c r="Y45" s="3"/>
      <c r="Z45" s="3"/>
    </row>
    <row r="46" spans="1:26" ht="11.25" customHeight="1" x14ac:dyDescent="0.3">
      <c r="A46" s="3"/>
      <c r="B46" s="492" t="s">
        <v>671</v>
      </c>
      <c r="C46" s="510">
        <v>24294096</v>
      </c>
      <c r="D46" s="510">
        <v>25489053</v>
      </c>
      <c r="E46" s="510">
        <v>26671274</v>
      </c>
      <c r="F46" s="510">
        <v>27951978</v>
      </c>
      <c r="G46" s="510">
        <v>28439645</v>
      </c>
      <c r="H46" s="510">
        <v>26905386</v>
      </c>
      <c r="I46" s="496">
        <v>28194802</v>
      </c>
      <c r="J46" s="496">
        <v>27144255</v>
      </c>
      <c r="K46" s="510">
        <v>26944566</v>
      </c>
      <c r="L46" s="510">
        <v>28934074</v>
      </c>
      <c r="M46" s="510">
        <v>27295675</v>
      </c>
      <c r="N46" s="510">
        <v>26678158</v>
      </c>
      <c r="O46" s="510">
        <v>27448367</v>
      </c>
      <c r="P46" s="510">
        <v>27487633</v>
      </c>
      <c r="Q46" s="510">
        <v>27403336</v>
      </c>
      <c r="R46" s="510">
        <v>27316871</v>
      </c>
      <c r="S46" s="511">
        <v>26058000</v>
      </c>
      <c r="T46" s="496">
        <v>28138474</v>
      </c>
      <c r="U46" s="496">
        <v>27533693</v>
      </c>
      <c r="V46" s="512">
        <v>27306375</v>
      </c>
      <c r="W46" s="3"/>
      <c r="X46" s="3"/>
      <c r="Y46" s="3"/>
      <c r="Z46" s="3"/>
    </row>
    <row r="47" spans="1:26" ht="11.25" customHeight="1" x14ac:dyDescent="0.3">
      <c r="A47" s="3"/>
      <c r="B47" s="492" t="s">
        <v>672</v>
      </c>
      <c r="C47" s="510">
        <v>26243614</v>
      </c>
      <c r="D47" s="510">
        <v>21044289</v>
      </c>
      <c r="E47" s="510">
        <v>16950347</v>
      </c>
      <c r="F47" s="510">
        <v>17264135</v>
      </c>
      <c r="G47" s="510">
        <v>17931771</v>
      </c>
      <c r="H47" s="510">
        <v>29729030</v>
      </c>
      <c r="I47" s="496">
        <v>30691159</v>
      </c>
      <c r="J47" s="496">
        <v>30002993</v>
      </c>
      <c r="K47" s="510">
        <v>29806001</v>
      </c>
      <c r="L47" s="510">
        <v>30771317</v>
      </c>
      <c r="M47" s="510">
        <v>30749605</v>
      </c>
      <c r="N47" s="510">
        <v>30107526</v>
      </c>
      <c r="O47" s="510">
        <v>29966199</v>
      </c>
      <c r="P47" s="510">
        <v>29804342</v>
      </c>
      <c r="Q47" s="510">
        <v>29959115</v>
      </c>
      <c r="R47" s="510">
        <v>29675993</v>
      </c>
      <c r="S47" s="511">
        <v>28840000</v>
      </c>
      <c r="T47" s="496">
        <v>29547518</v>
      </c>
      <c r="U47" s="496">
        <v>28893335</v>
      </c>
      <c r="V47" s="512">
        <v>26451864</v>
      </c>
      <c r="W47" s="3"/>
      <c r="X47" s="3"/>
      <c r="Y47" s="3"/>
      <c r="Z47" s="3"/>
    </row>
    <row r="48" spans="1:26" ht="11.25" customHeight="1" x14ac:dyDescent="0.3">
      <c r="A48" s="3"/>
      <c r="B48" s="492" t="s">
        <v>673</v>
      </c>
      <c r="C48" s="510">
        <v>10176724</v>
      </c>
      <c r="D48" s="510">
        <v>20874507</v>
      </c>
      <c r="E48" s="510">
        <v>27175526</v>
      </c>
      <c r="F48" s="510">
        <v>21194572</v>
      </c>
      <c r="G48" s="510">
        <v>21516638</v>
      </c>
      <c r="H48" s="510">
        <v>6057030</v>
      </c>
      <c r="I48" s="496">
        <v>5980358</v>
      </c>
      <c r="J48" s="496">
        <v>5649943</v>
      </c>
      <c r="K48" s="510">
        <v>5285833</v>
      </c>
      <c r="L48" s="510">
        <v>5083115</v>
      </c>
      <c r="M48" s="510">
        <v>5007386</v>
      </c>
      <c r="N48" s="510">
        <v>4499827</v>
      </c>
      <c r="O48" s="510">
        <v>3943942</v>
      </c>
      <c r="P48" s="510">
        <v>3847954</v>
      </c>
      <c r="Q48" s="510">
        <v>3883315</v>
      </c>
      <c r="R48" s="510">
        <v>3821476</v>
      </c>
      <c r="S48" s="511">
        <v>3743000</v>
      </c>
      <c r="T48" s="496">
        <v>3870188</v>
      </c>
      <c r="U48" s="496">
        <v>3718412</v>
      </c>
      <c r="V48" s="512">
        <v>3381895</v>
      </c>
      <c r="W48" s="3"/>
      <c r="X48" s="3"/>
      <c r="Y48" s="3"/>
      <c r="Z48" s="3"/>
    </row>
    <row r="49" spans="1:26" ht="11.25" customHeight="1" x14ac:dyDescent="0.3">
      <c r="A49" s="3"/>
      <c r="B49" s="492" t="s">
        <v>674</v>
      </c>
      <c r="C49" s="510">
        <v>0</v>
      </c>
      <c r="D49" s="510">
        <v>0</v>
      </c>
      <c r="E49" s="510">
        <v>461436</v>
      </c>
      <c r="F49" s="510">
        <v>481015</v>
      </c>
      <c r="G49" s="510">
        <v>477331</v>
      </c>
      <c r="H49" s="510">
        <v>481697</v>
      </c>
      <c r="I49" s="496">
        <v>524341</v>
      </c>
      <c r="J49" s="496">
        <v>528586</v>
      </c>
      <c r="K49" s="510">
        <v>552743</v>
      </c>
      <c r="L49" s="510">
        <v>546992</v>
      </c>
      <c r="M49" s="510">
        <v>547045</v>
      </c>
      <c r="N49" s="510">
        <v>528041</v>
      </c>
      <c r="O49" s="510">
        <v>540970</v>
      </c>
      <c r="P49" s="510">
        <v>543940</v>
      </c>
      <c r="Q49" s="510">
        <v>535953</v>
      </c>
      <c r="R49" s="510">
        <v>539571</v>
      </c>
      <c r="S49" s="511">
        <v>529000</v>
      </c>
      <c r="T49" s="496">
        <v>530275</v>
      </c>
      <c r="U49" s="496">
        <v>575218</v>
      </c>
      <c r="V49" s="512">
        <v>488906</v>
      </c>
      <c r="W49" s="3"/>
      <c r="X49" s="3"/>
      <c r="Y49" s="3"/>
      <c r="Z49" s="3"/>
    </row>
    <row r="50" spans="1:26" ht="11.25" customHeight="1" x14ac:dyDescent="0.3">
      <c r="A50" s="3"/>
      <c r="B50" s="492" t="s">
        <v>675</v>
      </c>
      <c r="C50" s="510">
        <v>925586</v>
      </c>
      <c r="D50" s="510">
        <v>972057</v>
      </c>
      <c r="E50" s="513">
        <v>0</v>
      </c>
      <c r="F50" s="513">
        <v>0</v>
      </c>
      <c r="G50" s="513">
        <v>0</v>
      </c>
      <c r="H50" s="513">
        <v>0</v>
      </c>
      <c r="I50" s="513">
        <v>0</v>
      </c>
      <c r="J50" s="513">
        <v>0</v>
      </c>
      <c r="K50" s="513">
        <v>0</v>
      </c>
      <c r="L50" s="513">
        <v>0</v>
      </c>
      <c r="M50" s="513">
        <v>0</v>
      </c>
      <c r="N50" s="513">
        <v>0</v>
      </c>
      <c r="O50" s="513">
        <v>0</v>
      </c>
      <c r="P50" s="513">
        <v>0</v>
      </c>
      <c r="Q50" s="540">
        <v>0</v>
      </c>
      <c r="R50" s="540">
        <v>0</v>
      </c>
      <c r="S50" s="541">
        <v>0</v>
      </c>
      <c r="T50" s="496">
        <v>0</v>
      </c>
      <c r="U50" s="496">
        <v>0</v>
      </c>
      <c r="V50" s="512">
        <v>0</v>
      </c>
      <c r="W50" s="3"/>
      <c r="X50" s="3"/>
      <c r="Y50" s="3"/>
      <c r="Z50" s="3"/>
    </row>
    <row r="51" spans="1:26" ht="11.25" customHeight="1" x14ac:dyDescent="0.3">
      <c r="A51" s="3"/>
      <c r="B51" s="542" t="s">
        <v>676</v>
      </c>
      <c r="C51" s="543">
        <f t="shared" ref="C51:L51" si="3">SUM(C46:C50)</f>
        <v>61640020</v>
      </c>
      <c r="D51" s="543">
        <f t="shared" si="3"/>
        <v>68379906</v>
      </c>
      <c r="E51" s="543">
        <f t="shared" si="3"/>
        <v>71258583</v>
      </c>
      <c r="F51" s="543">
        <f t="shared" si="3"/>
        <v>66891700</v>
      </c>
      <c r="G51" s="543">
        <f t="shared" si="3"/>
        <v>68365385</v>
      </c>
      <c r="H51" s="543">
        <f t="shared" si="3"/>
        <v>63173143</v>
      </c>
      <c r="I51" s="544">
        <f t="shared" si="3"/>
        <v>65390660</v>
      </c>
      <c r="J51" s="544">
        <f t="shared" si="3"/>
        <v>63325777</v>
      </c>
      <c r="K51" s="543">
        <f t="shared" si="3"/>
        <v>62589143</v>
      </c>
      <c r="L51" s="543">
        <f t="shared" si="3"/>
        <v>65335498</v>
      </c>
      <c r="M51" s="543">
        <v>63599711</v>
      </c>
      <c r="N51" s="543">
        <v>61813552</v>
      </c>
      <c r="O51" s="543">
        <v>61899478</v>
      </c>
      <c r="P51" s="543">
        <v>61683869</v>
      </c>
      <c r="Q51" s="543">
        <v>61781719</v>
      </c>
      <c r="R51" s="543">
        <v>61353911</v>
      </c>
      <c r="S51" s="545">
        <v>59175000</v>
      </c>
      <c r="T51" s="544">
        <v>62086455</v>
      </c>
      <c r="U51" s="544">
        <v>60720658</v>
      </c>
      <c r="V51" s="546">
        <v>57629040</v>
      </c>
      <c r="W51" s="3"/>
      <c r="X51" s="3"/>
      <c r="Y51" s="3"/>
      <c r="Z51" s="3"/>
    </row>
    <row r="52" spans="1:26" ht="11.25" customHeight="1" x14ac:dyDescent="0.3">
      <c r="A52" s="3"/>
      <c r="B52" s="547" t="s">
        <v>677</v>
      </c>
      <c r="C52" s="548">
        <f t="shared" ref="C52:V52" si="4">C51*1.0625</f>
        <v>65492521.25</v>
      </c>
      <c r="D52" s="548">
        <f t="shared" si="4"/>
        <v>72653650.125</v>
      </c>
      <c r="E52" s="548">
        <f t="shared" si="4"/>
        <v>75712244.4375</v>
      </c>
      <c r="F52" s="548">
        <f t="shared" si="4"/>
        <v>71072431.25</v>
      </c>
      <c r="G52" s="548">
        <f t="shared" si="4"/>
        <v>72638221.5625</v>
      </c>
      <c r="H52" s="548">
        <f t="shared" si="4"/>
        <v>67121464.4375</v>
      </c>
      <c r="I52" s="548">
        <f t="shared" si="4"/>
        <v>69477576.25</v>
      </c>
      <c r="J52" s="548">
        <f t="shared" si="4"/>
        <v>67283638.0625</v>
      </c>
      <c r="K52" s="548">
        <f t="shared" si="4"/>
        <v>66500964.4375</v>
      </c>
      <c r="L52" s="548">
        <f t="shared" si="4"/>
        <v>69418966.625</v>
      </c>
      <c r="M52" s="548">
        <f t="shared" si="4"/>
        <v>67574692.9375</v>
      </c>
      <c r="N52" s="548">
        <f t="shared" si="4"/>
        <v>65676899</v>
      </c>
      <c r="O52" s="548">
        <f t="shared" si="4"/>
        <v>65768195.375</v>
      </c>
      <c r="P52" s="548">
        <f t="shared" si="4"/>
        <v>65539110.8125</v>
      </c>
      <c r="Q52" s="548">
        <f t="shared" si="4"/>
        <v>65643076.4375</v>
      </c>
      <c r="R52" s="548">
        <f t="shared" si="4"/>
        <v>65188530.4375</v>
      </c>
      <c r="S52" s="549">
        <f t="shared" si="4"/>
        <v>62873437.5</v>
      </c>
      <c r="T52" s="550">
        <f t="shared" si="4"/>
        <v>65966858.4375</v>
      </c>
      <c r="U52" s="550">
        <f t="shared" si="4"/>
        <v>64515699.125</v>
      </c>
      <c r="V52" s="551">
        <f t="shared" si="4"/>
        <v>61230855</v>
      </c>
      <c r="W52" s="3"/>
      <c r="X52" s="3"/>
      <c r="Y52" s="3"/>
      <c r="Z52" s="3"/>
    </row>
    <row r="53" spans="1:26" ht="11.2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20.25" customHeight="1" x14ac:dyDescent="0.3">
      <c r="A55" s="3"/>
      <c r="B55" s="3"/>
      <c r="C55" s="3"/>
      <c r="D55" s="3"/>
      <c r="E55" s="2937" t="s">
        <v>678</v>
      </c>
      <c r="F55" s="2938"/>
      <c r="G55" s="2938"/>
      <c r="H55" s="2938"/>
      <c r="I55" s="2939"/>
      <c r="J55" s="533"/>
      <c r="K55" s="3"/>
      <c r="L55" s="3"/>
      <c r="M55" s="3"/>
      <c r="N55" s="3"/>
      <c r="O55" s="3"/>
      <c r="P55" s="3"/>
      <c r="Q55" s="3"/>
      <c r="R55" s="3"/>
      <c r="S55" s="3"/>
      <c r="T55" s="3"/>
      <c r="U55" s="3"/>
      <c r="V55" s="3"/>
      <c r="W55" s="3"/>
      <c r="X55" s="3"/>
      <c r="Y55" s="3"/>
      <c r="Z55" s="3"/>
    </row>
    <row r="56" spans="1:26" ht="11.2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1.2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1.25" customHeight="1" x14ac:dyDescent="0.3">
      <c r="A58" s="3"/>
      <c r="B58" s="552"/>
      <c r="C58" s="489">
        <v>2001</v>
      </c>
      <c r="D58" s="489">
        <v>2002</v>
      </c>
      <c r="E58" s="489">
        <v>2003</v>
      </c>
      <c r="F58" s="489">
        <v>2004</v>
      </c>
      <c r="G58" s="489">
        <v>2005</v>
      </c>
      <c r="H58" s="489">
        <v>2006</v>
      </c>
      <c r="I58" s="489">
        <v>2007</v>
      </c>
      <c r="J58" s="489">
        <v>2008</v>
      </c>
      <c r="K58" s="489">
        <v>2009</v>
      </c>
      <c r="L58" s="489">
        <v>2010</v>
      </c>
      <c r="M58" s="489">
        <v>2011</v>
      </c>
      <c r="N58" s="489">
        <v>2012</v>
      </c>
      <c r="O58" s="489">
        <v>2013</v>
      </c>
      <c r="P58" s="489">
        <v>2014</v>
      </c>
      <c r="Q58" s="489">
        <v>2015</v>
      </c>
      <c r="R58" s="489">
        <v>2016</v>
      </c>
      <c r="S58" s="507">
        <v>2017</v>
      </c>
      <c r="T58" s="489">
        <v>2018</v>
      </c>
      <c r="U58" s="489">
        <v>2019</v>
      </c>
      <c r="V58" s="508">
        <v>2020</v>
      </c>
      <c r="W58" s="3"/>
      <c r="X58" s="3"/>
      <c r="Y58" s="3"/>
      <c r="Z58" s="3"/>
    </row>
    <row r="59" spans="1:26" ht="17.25" customHeight="1" x14ac:dyDescent="0.3">
      <c r="A59" s="3"/>
      <c r="B59" s="553" t="s">
        <v>679</v>
      </c>
      <c r="C59" s="554">
        <f t="shared" ref="C59:V59" si="5">C52-C29</f>
        <v>16430181.25</v>
      </c>
      <c r="D59" s="554">
        <f t="shared" si="5"/>
        <v>24374562.125</v>
      </c>
      <c r="E59" s="554">
        <f t="shared" si="5"/>
        <v>23468007.4375</v>
      </c>
      <c r="F59" s="554">
        <f t="shared" si="5"/>
        <v>19019661.25</v>
      </c>
      <c r="G59" s="554">
        <f t="shared" si="5"/>
        <v>19976621.5625</v>
      </c>
      <c r="H59" s="554">
        <f t="shared" si="5"/>
        <v>18164584.4375</v>
      </c>
      <c r="I59" s="554">
        <f t="shared" si="5"/>
        <v>19279652.25</v>
      </c>
      <c r="J59" s="554">
        <f t="shared" si="5"/>
        <v>19922685.0625</v>
      </c>
      <c r="K59" s="554">
        <f t="shared" si="5"/>
        <v>22726132.4375</v>
      </c>
      <c r="L59" s="554">
        <f t="shared" si="5"/>
        <v>25811700.625</v>
      </c>
      <c r="M59" s="554">
        <f t="shared" si="5"/>
        <v>25661405.9375</v>
      </c>
      <c r="N59" s="554">
        <f t="shared" si="5"/>
        <v>27867156</v>
      </c>
      <c r="O59" s="554">
        <f t="shared" si="5"/>
        <v>29917383.375</v>
      </c>
      <c r="P59" s="554">
        <f t="shared" si="5"/>
        <v>27705457.8125</v>
      </c>
      <c r="Q59" s="554">
        <f t="shared" si="5"/>
        <v>29277532.4375</v>
      </c>
      <c r="R59" s="554">
        <f t="shared" si="5"/>
        <v>28021844.4375</v>
      </c>
      <c r="S59" s="555">
        <f t="shared" si="5"/>
        <v>28769197.5</v>
      </c>
      <c r="T59" s="554">
        <f t="shared" si="5"/>
        <v>22157209.4375</v>
      </c>
      <c r="U59" s="554">
        <f t="shared" si="5"/>
        <v>25190104.125</v>
      </c>
      <c r="V59" s="556">
        <f t="shared" si="5"/>
        <v>25201651</v>
      </c>
      <c r="W59" s="3"/>
      <c r="X59" s="3"/>
      <c r="Y59" s="3"/>
      <c r="Z59" s="3"/>
    </row>
    <row r="60" spans="1:26" ht="11.2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1.25" customHeight="1" x14ac:dyDescent="0.2">
      <c r="A61" s="3"/>
      <c r="B61" s="3"/>
      <c r="C61" s="3"/>
      <c r="D61" s="3"/>
      <c r="E61" s="3"/>
      <c r="F61" s="3"/>
      <c r="G61" s="3"/>
      <c r="H61" s="3"/>
      <c r="I61" s="3"/>
      <c r="J61" s="3"/>
      <c r="K61" s="3"/>
      <c r="L61" s="3"/>
      <c r="M61" s="3"/>
      <c r="N61" s="3"/>
      <c r="O61" s="3"/>
      <c r="P61" s="3"/>
      <c r="Q61" s="3"/>
      <c r="R61" s="557"/>
      <c r="S61" s="3"/>
      <c r="T61" s="3"/>
      <c r="U61" s="3"/>
      <c r="V61" s="3"/>
      <c r="W61" s="3"/>
      <c r="X61" s="3"/>
      <c r="Y61" s="3"/>
      <c r="Z61" s="3"/>
    </row>
    <row r="62" spans="1:26" ht="18" customHeight="1" x14ac:dyDescent="0.3">
      <c r="A62" s="3"/>
      <c r="B62" s="3"/>
      <c r="C62" s="3"/>
      <c r="D62" s="3"/>
      <c r="E62" s="558" t="s">
        <v>680</v>
      </c>
      <c r="F62" s="559"/>
      <c r="G62" s="559"/>
      <c r="H62" s="560"/>
      <c r="I62" s="3"/>
      <c r="J62" s="3"/>
      <c r="K62" s="3"/>
      <c r="L62" s="3"/>
      <c r="M62" s="3"/>
      <c r="N62" s="3"/>
      <c r="O62" s="3"/>
      <c r="P62" s="3"/>
      <c r="Q62" s="3"/>
      <c r="R62" s="3"/>
      <c r="S62" s="3"/>
      <c r="T62" s="3"/>
      <c r="U62" s="3"/>
      <c r="V62" s="3"/>
      <c r="W62" s="3"/>
      <c r="X62" s="3"/>
      <c r="Y62" s="3"/>
      <c r="Z62" s="3"/>
    </row>
    <row r="63" spans="1:26" ht="11.25" customHeight="1" x14ac:dyDescent="0.3">
      <c r="A63" s="3"/>
      <c r="B63" s="3"/>
      <c r="C63" s="3"/>
      <c r="D63" s="3"/>
      <c r="E63" s="487"/>
      <c r="F63" s="3"/>
      <c r="G63" s="3"/>
      <c r="H63" s="3"/>
      <c r="I63" s="3"/>
      <c r="J63" s="3"/>
      <c r="K63" s="3"/>
      <c r="L63" s="3"/>
      <c r="M63" s="3"/>
      <c r="N63" s="3"/>
      <c r="O63" s="3"/>
      <c r="P63" s="3"/>
      <c r="Q63" s="3"/>
      <c r="R63" s="557"/>
      <c r="S63" s="3"/>
      <c r="T63" s="3"/>
      <c r="U63" s="3"/>
      <c r="V63" s="3"/>
      <c r="W63" s="3"/>
      <c r="X63" s="3"/>
      <c r="Y63" s="3"/>
      <c r="Z63" s="3"/>
    </row>
    <row r="64" spans="1:26" ht="11.25" customHeight="1" x14ac:dyDescent="0.3">
      <c r="A64" s="3"/>
      <c r="B64" s="561" t="s">
        <v>681</v>
      </c>
      <c r="C64" s="562"/>
      <c r="D64" s="3"/>
      <c r="E64" s="487"/>
      <c r="F64" s="3"/>
      <c r="G64" s="3"/>
      <c r="H64" s="3"/>
      <c r="I64" s="563" t="s">
        <v>682</v>
      </c>
      <c r="J64" s="3"/>
      <c r="K64" s="3"/>
      <c r="L64" s="3"/>
      <c r="M64" s="3"/>
      <c r="N64" s="3"/>
      <c r="O64" s="3"/>
      <c r="P64" s="3"/>
      <c r="Q64" s="3"/>
      <c r="R64" s="564"/>
      <c r="S64" s="3"/>
      <c r="T64" s="3"/>
      <c r="U64" s="3"/>
      <c r="V64" s="3"/>
      <c r="W64" s="3"/>
      <c r="X64" s="3"/>
      <c r="Y64" s="3"/>
      <c r="Z64" s="3"/>
    </row>
    <row r="65" spans="1:26" ht="11.25" customHeight="1" x14ac:dyDescent="0.3">
      <c r="A65" s="3"/>
      <c r="B65" s="565" t="s">
        <v>683</v>
      </c>
      <c r="C65" s="566"/>
      <c r="D65" s="3"/>
      <c r="E65" s="487"/>
      <c r="F65" s="3"/>
      <c r="G65" s="3"/>
      <c r="H65" s="3"/>
      <c r="I65" s="565" t="s">
        <v>517</v>
      </c>
      <c r="J65" s="3"/>
      <c r="K65" s="3"/>
      <c r="L65" s="3"/>
      <c r="M65" s="3"/>
      <c r="N65" s="3"/>
      <c r="O65" s="3"/>
      <c r="P65" s="3"/>
      <c r="Q65" s="3"/>
      <c r="R65" s="3"/>
      <c r="S65" s="3"/>
      <c r="T65" s="3"/>
      <c r="U65" s="3"/>
      <c r="V65" s="3"/>
      <c r="W65" s="3"/>
      <c r="X65" s="3"/>
      <c r="Y65" s="3"/>
      <c r="Z65" s="3"/>
    </row>
    <row r="66" spans="1:26" ht="11.25" customHeight="1" x14ac:dyDescent="0.3">
      <c r="A66" s="3"/>
      <c r="B66" s="567">
        <v>791.15</v>
      </c>
      <c r="C66" s="568">
        <v>948</v>
      </c>
      <c r="D66" s="3"/>
      <c r="E66" s="487"/>
      <c r="F66" s="3"/>
      <c r="G66" s="3"/>
      <c r="H66" s="3"/>
      <c r="I66" s="569">
        <f>(B66*V59)/2000</f>
        <v>9969143.0943249986</v>
      </c>
      <c r="J66" s="3"/>
      <c r="K66" s="3"/>
      <c r="L66" s="3"/>
      <c r="M66" s="3"/>
      <c r="N66" s="3"/>
      <c r="O66" s="3"/>
      <c r="P66" s="3"/>
      <c r="Q66" s="3"/>
      <c r="R66" s="3"/>
      <c r="S66" s="3"/>
      <c r="T66" s="3"/>
      <c r="U66" s="3"/>
      <c r="V66" s="3"/>
      <c r="W66" s="3"/>
      <c r="X66" s="3"/>
      <c r="Y66" s="3"/>
      <c r="Z66" s="3"/>
    </row>
    <row r="67" spans="1:26" ht="11.25" customHeight="1" x14ac:dyDescent="0.2">
      <c r="A67" s="3"/>
      <c r="B67" s="570"/>
      <c r="C67" s="3"/>
      <c r="D67" s="3"/>
      <c r="E67" s="3"/>
      <c r="F67" s="3"/>
      <c r="G67" s="3"/>
      <c r="H67" s="3"/>
      <c r="I67" s="3"/>
      <c r="J67" s="3"/>
      <c r="K67" s="3"/>
      <c r="L67" s="3"/>
      <c r="M67" s="3"/>
      <c r="N67" s="3"/>
      <c r="O67" s="3"/>
      <c r="P67" s="3"/>
      <c r="Q67" s="3"/>
      <c r="R67" s="3"/>
      <c r="S67" s="3"/>
      <c r="T67" s="3"/>
      <c r="U67" s="3"/>
      <c r="V67" s="3"/>
      <c r="W67" s="3"/>
      <c r="X67" s="3"/>
      <c r="Y67" s="3"/>
      <c r="Z67" s="3"/>
    </row>
    <row r="68" spans="1:26" ht="11.25" customHeight="1" x14ac:dyDescent="0.3">
      <c r="A68" s="3"/>
      <c r="B68" s="571" t="s">
        <v>170</v>
      </c>
      <c r="C68" s="572" t="s">
        <v>187</v>
      </c>
      <c r="D68" s="572" t="s">
        <v>659</v>
      </c>
      <c r="E68" s="572" t="s">
        <v>436</v>
      </c>
      <c r="F68" s="572" t="s">
        <v>684</v>
      </c>
      <c r="G68" s="572" t="s">
        <v>685</v>
      </c>
      <c r="H68" s="572" t="s">
        <v>686</v>
      </c>
      <c r="I68" s="572" t="s">
        <v>661</v>
      </c>
      <c r="J68" s="572" t="s">
        <v>687</v>
      </c>
      <c r="K68" s="572" t="s">
        <v>688</v>
      </c>
      <c r="L68" s="572" t="s">
        <v>689</v>
      </c>
      <c r="M68" s="572" t="s">
        <v>690</v>
      </c>
      <c r="N68" s="573" t="s">
        <v>691</v>
      </c>
      <c r="O68" s="3"/>
      <c r="P68" s="3"/>
      <c r="Q68" s="3"/>
      <c r="R68" s="3"/>
      <c r="S68" s="3"/>
      <c r="T68" s="3"/>
      <c r="U68" s="3"/>
      <c r="V68" s="3"/>
      <c r="W68" s="3"/>
      <c r="X68" s="3"/>
      <c r="Y68" s="3"/>
      <c r="Z68" s="3"/>
    </row>
    <row r="69" spans="1:26" ht="11.25" customHeight="1" x14ac:dyDescent="0.3">
      <c r="A69" s="3"/>
      <c r="B69" s="574"/>
      <c r="C69" s="575"/>
      <c r="D69" s="575"/>
      <c r="E69" s="575"/>
      <c r="F69" s="575"/>
      <c r="G69" s="575"/>
      <c r="H69" s="575"/>
      <c r="I69" s="575"/>
      <c r="J69" s="575"/>
      <c r="K69" s="575"/>
      <c r="L69" s="575"/>
      <c r="M69" s="575"/>
      <c r="N69" s="576"/>
      <c r="O69" s="3"/>
      <c r="P69" s="3"/>
      <c r="Q69" s="3"/>
      <c r="R69" s="3"/>
      <c r="S69" s="3"/>
      <c r="T69" s="3"/>
      <c r="U69" s="3"/>
      <c r="V69" s="3"/>
      <c r="W69" s="3"/>
      <c r="X69" s="3"/>
      <c r="Y69" s="3"/>
      <c r="Z69" s="3"/>
    </row>
    <row r="70" spans="1:26" ht="11.25" customHeight="1" x14ac:dyDescent="0.3">
      <c r="A70" s="3"/>
      <c r="B70" s="577" t="s">
        <v>692</v>
      </c>
      <c r="C70" s="578">
        <v>19.440000000000001</v>
      </c>
      <c r="D70" s="578">
        <v>34.49</v>
      </c>
      <c r="E70" s="578">
        <v>39.840000000000003</v>
      </c>
      <c r="F70" s="578">
        <v>0.16</v>
      </c>
      <c r="G70" s="578">
        <v>1.29</v>
      </c>
      <c r="H70" s="578">
        <v>0.52</v>
      </c>
      <c r="I70" s="578">
        <v>3.3</v>
      </c>
      <c r="J70" s="578">
        <v>0.3</v>
      </c>
      <c r="K70" s="579">
        <v>2.0000000000000001E-4</v>
      </c>
      <c r="L70" s="579">
        <v>0.48</v>
      </c>
      <c r="M70" s="579">
        <v>0.15</v>
      </c>
      <c r="N70" s="580">
        <f>SUM(C70:M70)</f>
        <v>99.97020000000002</v>
      </c>
      <c r="O70" s="3"/>
      <c r="P70" s="3"/>
      <c r="Q70" s="3"/>
      <c r="R70" s="3"/>
      <c r="S70" s="3"/>
      <c r="T70" s="3"/>
      <c r="U70" s="3"/>
      <c r="V70" s="3"/>
      <c r="W70" s="3"/>
      <c r="X70" s="3"/>
      <c r="Y70" s="3"/>
      <c r="Z70" s="3"/>
    </row>
    <row r="71" spans="1:26" ht="11.25" customHeight="1" x14ac:dyDescent="0.3">
      <c r="A71" s="3"/>
      <c r="B71" s="574"/>
      <c r="C71" s="575"/>
      <c r="D71" s="575"/>
      <c r="E71" s="575"/>
      <c r="F71" s="575"/>
      <c r="G71" s="575"/>
      <c r="H71" s="575"/>
      <c r="I71" s="575"/>
      <c r="J71" s="575"/>
      <c r="K71" s="575"/>
      <c r="L71" s="575"/>
      <c r="M71" s="575"/>
      <c r="N71" s="576"/>
      <c r="O71" s="3"/>
      <c r="P71" s="3"/>
      <c r="Q71" s="3"/>
      <c r="R71" s="3"/>
      <c r="S71" s="3"/>
      <c r="T71" s="3"/>
      <c r="U71" s="3"/>
      <c r="V71" s="3"/>
      <c r="W71" s="3"/>
      <c r="X71" s="3"/>
      <c r="Y71" s="3"/>
      <c r="Z71" s="3"/>
    </row>
    <row r="72" spans="1:26" ht="11.25" customHeight="1" x14ac:dyDescent="0.3">
      <c r="A72" s="3"/>
      <c r="B72" s="574" t="s">
        <v>693</v>
      </c>
      <c r="C72" s="581">
        <f t="shared" ref="C72:N72" si="6">(C70/100)*$V$59</f>
        <v>4899200.9544000002</v>
      </c>
      <c r="D72" s="581">
        <f t="shared" si="6"/>
        <v>8692049.4299000017</v>
      </c>
      <c r="E72" s="581">
        <f t="shared" si="6"/>
        <v>10040337.758400001</v>
      </c>
      <c r="F72" s="581">
        <f t="shared" si="6"/>
        <v>40322.641600000003</v>
      </c>
      <c r="G72" s="581">
        <f t="shared" si="6"/>
        <v>325101.29790000001</v>
      </c>
      <c r="H72" s="581">
        <f t="shared" si="6"/>
        <v>131048.58519999999</v>
      </c>
      <c r="I72" s="581">
        <f t="shared" si="6"/>
        <v>831654.48300000001</v>
      </c>
      <c r="J72" s="581">
        <f t="shared" si="6"/>
        <v>75604.953000000009</v>
      </c>
      <c r="K72" s="581">
        <f t="shared" si="6"/>
        <v>50.403301999999996</v>
      </c>
      <c r="L72" s="581">
        <f t="shared" si="6"/>
        <v>120967.92479999999</v>
      </c>
      <c r="M72" s="581">
        <f t="shared" si="6"/>
        <v>37802.476500000004</v>
      </c>
      <c r="N72" s="582">
        <f t="shared" si="6"/>
        <v>25194140.908002004</v>
      </c>
      <c r="O72" s="3"/>
      <c r="P72" s="3"/>
      <c r="Q72" s="3"/>
      <c r="R72" s="3"/>
      <c r="S72" s="3"/>
      <c r="T72" s="3"/>
      <c r="U72" s="3"/>
      <c r="V72" s="3"/>
      <c r="W72" s="3"/>
      <c r="X72" s="3"/>
      <c r="Y72" s="3"/>
      <c r="Z72" s="3"/>
    </row>
    <row r="73" spans="1:26" ht="11.25" customHeight="1" x14ac:dyDescent="0.3">
      <c r="A73" s="3"/>
      <c r="B73" s="583"/>
      <c r="C73" s="584"/>
      <c r="D73" s="584"/>
      <c r="E73" s="584"/>
      <c r="F73" s="584"/>
      <c r="G73" s="584"/>
      <c r="H73" s="584"/>
      <c r="I73" s="584"/>
      <c r="J73" s="584"/>
      <c r="K73" s="584"/>
      <c r="L73" s="584"/>
      <c r="M73" s="584"/>
      <c r="N73" s="585"/>
      <c r="O73" s="3"/>
      <c r="P73" s="3"/>
      <c r="Q73" s="3"/>
      <c r="R73" s="3"/>
      <c r="S73" s="3"/>
      <c r="T73" s="3"/>
      <c r="U73" s="3"/>
      <c r="V73" s="3"/>
      <c r="W73" s="3"/>
      <c r="X73" s="3"/>
      <c r="Y73" s="3"/>
      <c r="Z73" s="3"/>
    </row>
    <row r="74" spans="1:26" ht="15.75" customHeight="1" x14ac:dyDescent="0.25">
      <c r="A74" s="3"/>
      <c r="B74" s="443" t="s">
        <v>694</v>
      </c>
      <c r="C74" s="586">
        <v>0.9718</v>
      </c>
      <c r="D74" s="587"/>
      <c r="E74" s="588">
        <v>0.40239999999999998</v>
      </c>
      <c r="F74" s="588">
        <v>1.218</v>
      </c>
      <c r="G74" s="587"/>
      <c r="H74" s="588">
        <v>1.0732999999999999</v>
      </c>
      <c r="I74" s="587"/>
      <c r="J74" s="586">
        <v>0.1953</v>
      </c>
      <c r="K74" s="587"/>
      <c r="L74" s="587"/>
      <c r="M74" s="587"/>
      <c r="N74" s="589"/>
      <c r="O74" s="3"/>
      <c r="P74" s="3"/>
      <c r="Q74" s="3"/>
      <c r="R74" s="3"/>
      <c r="S74" s="3"/>
      <c r="T74" s="3"/>
      <c r="U74" s="3"/>
      <c r="V74" s="3"/>
      <c r="W74" s="3"/>
      <c r="X74" s="3"/>
      <c r="Y74" s="3"/>
      <c r="Z74" s="3"/>
    </row>
    <row r="75" spans="1:26" ht="11.25" customHeight="1" x14ac:dyDescent="0.25">
      <c r="A75" s="3"/>
      <c r="B75" s="443"/>
      <c r="C75" s="590"/>
      <c r="D75" s="590"/>
      <c r="E75" s="590"/>
      <c r="F75" s="590"/>
      <c r="G75" s="590"/>
      <c r="H75" s="590"/>
      <c r="I75" s="590"/>
      <c r="J75" s="590"/>
      <c r="K75" s="590"/>
      <c r="L75" s="590"/>
      <c r="M75" s="590"/>
      <c r="N75" s="589"/>
      <c r="O75" s="3"/>
      <c r="P75" s="3"/>
      <c r="Q75" s="3"/>
      <c r="R75" s="3"/>
      <c r="S75" s="3"/>
      <c r="T75" s="3"/>
      <c r="U75" s="3"/>
      <c r="V75" s="3"/>
      <c r="W75" s="3"/>
      <c r="X75" s="3"/>
      <c r="Y75" s="3"/>
      <c r="Z75" s="3"/>
    </row>
    <row r="76" spans="1:26" ht="15" customHeight="1" x14ac:dyDescent="0.3">
      <c r="A76" s="3"/>
      <c r="B76" s="443" t="s">
        <v>695</v>
      </c>
      <c r="C76" s="591">
        <f>C72*C74</f>
        <v>4761043.4874859201</v>
      </c>
      <c r="D76" s="587"/>
      <c r="E76" s="591">
        <f t="shared" ref="E76:F76" si="7">E72*E74</f>
        <v>4040231.9139801599</v>
      </c>
      <c r="F76" s="591">
        <f t="shared" si="7"/>
        <v>49112.977468800003</v>
      </c>
      <c r="G76" s="587"/>
      <c r="H76" s="591">
        <f>H72*H74</f>
        <v>140654.44649515997</v>
      </c>
      <c r="I76" s="587"/>
      <c r="J76" s="591">
        <f>J72*J74</f>
        <v>14765.647320900001</v>
      </c>
      <c r="K76" s="587"/>
      <c r="L76" s="587"/>
      <c r="M76" s="587"/>
      <c r="N76" s="592">
        <f>SUM(C76:M76)</f>
        <v>9005808.4727509394</v>
      </c>
      <c r="O76" s="3"/>
      <c r="P76" s="3"/>
      <c r="Q76" s="3"/>
      <c r="R76" s="3"/>
      <c r="S76" s="3"/>
      <c r="T76" s="3"/>
      <c r="U76" s="3"/>
      <c r="V76" s="3"/>
      <c r="W76" s="3"/>
      <c r="X76" s="3"/>
      <c r="Y76" s="3"/>
      <c r="Z76" s="3"/>
    </row>
    <row r="77" spans="1:26" ht="11.25" customHeight="1" x14ac:dyDescent="0.25">
      <c r="A77" s="3"/>
      <c r="B77" s="443"/>
      <c r="C77" s="590"/>
      <c r="D77" s="590"/>
      <c r="E77" s="590"/>
      <c r="F77" s="590"/>
      <c r="G77" s="590"/>
      <c r="H77" s="590"/>
      <c r="I77" s="590"/>
      <c r="J77" s="590"/>
      <c r="K77" s="590"/>
      <c r="L77" s="590"/>
      <c r="M77" s="590"/>
      <c r="N77" s="589"/>
      <c r="O77" s="3"/>
      <c r="P77" s="3"/>
      <c r="Q77" s="3"/>
      <c r="R77" s="3"/>
      <c r="S77" s="3"/>
      <c r="T77" s="3"/>
      <c r="U77" s="3"/>
      <c r="V77" s="3"/>
      <c r="W77" s="3"/>
      <c r="X77" s="3"/>
      <c r="Y77" s="3"/>
      <c r="Z77" s="3"/>
    </row>
    <row r="78" spans="1:26" ht="16.5" customHeight="1" x14ac:dyDescent="0.3">
      <c r="A78" s="3"/>
      <c r="B78" s="443" t="s">
        <v>696</v>
      </c>
      <c r="C78" s="593">
        <f>C76/1000000</f>
        <v>4.76104348748592</v>
      </c>
      <c r="D78" s="587"/>
      <c r="E78" s="593">
        <f t="shared" ref="E78:F78" si="8">E76/1000000</f>
        <v>4.0402319139801603</v>
      </c>
      <c r="F78" s="593">
        <f t="shared" si="8"/>
        <v>4.9112977468800001E-2</v>
      </c>
      <c r="G78" s="587"/>
      <c r="H78" s="593">
        <f>H76/1000000</f>
        <v>0.14065444649515996</v>
      </c>
      <c r="I78" s="587"/>
      <c r="J78" s="593">
        <f>J76/1000000</f>
        <v>1.4765647320900001E-2</v>
      </c>
      <c r="K78" s="587"/>
      <c r="L78" s="587"/>
      <c r="M78" s="587"/>
      <c r="N78" s="594">
        <f>SUM(C78:M78)</f>
        <v>9.0058084727509407</v>
      </c>
      <c r="O78" s="3"/>
      <c r="P78" s="3"/>
      <c r="Q78" s="3"/>
      <c r="R78" s="3"/>
      <c r="S78" s="3"/>
      <c r="T78" s="3"/>
      <c r="U78" s="3"/>
      <c r="V78" s="3"/>
      <c r="W78" s="3"/>
      <c r="X78" s="3"/>
      <c r="Y78" s="3"/>
      <c r="Z78" s="3"/>
    </row>
    <row r="79" spans="1:26" ht="16.5" customHeight="1" x14ac:dyDescent="0.25">
      <c r="A79" s="3"/>
      <c r="B79" s="143"/>
      <c r="C79" s="595"/>
      <c r="D79" s="596"/>
      <c r="E79" s="597"/>
      <c r="F79" s="597"/>
      <c r="G79" s="596"/>
      <c r="H79" s="597"/>
      <c r="I79" s="596"/>
      <c r="J79" s="597"/>
      <c r="K79" s="596"/>
      <c r="L79" s="596"/>
      <c r="M79" s="596"/>
      <c r="N79" s="598"/>
      <c r="O79" s="3"/>
      <c r="P79" s="3"/>
      <c r="Q79" s="3"/>
      <c r="R79" s="3"/>
      <c r="S79" s="3"/>
      <c r="T79" s="3"/>
      <c r="U79" s="3"/>
      <c r="V79" s="3"/>
      <c r="W79" s="3"/>
      <c r="X79" s="3"/>
      <c r="Y79" s="3"/>
      <c r="Z79" s="3"/>
    </row>
    <row r="80" spans="1:26" ht="16.5" customHeight="1" x14ac:dyDescent="0.35">
      <c r="A80" s="3"/>
      <c r="B80" s="3"/>
      <c r="C80" s="3"/>
      <c r="D80" s="3"/>
      <c r="E80" s="2940" t="s">
        <v>697</v>
      </c>
      <c r="F80" s="2941"/>
      <c r="G80" s="2941"/>
      <c r="H80" s="2941"/>
      <c r="I80" s="2941"/>
      <c r="J80" s="2941"/>
      <c r="K80" s="3"/>
      <c r="L80" s="3"/>
      <c r="M80" s="3"/>
      <c r="N80" s="3"/>
      <c r="O80" s="3"/>
      <c r="P80" s="3"/>
      <c r="Q80" s="3"/>
      <c r="R80" s="3"/>
      <c r="S80" s="3"/>
      <c r="T80" s="3"/>
      <c r="U80" s="3"/>
      <c r="V80" s="3"/>
      <c r="W80" s="3"/>
      <c r="X80" s="3"/>
      <c r="Y80" s="3"/>
      <c r="Z80" s="3"/>
    </row>
    <row r="81" spans="1:26" ht="11.2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1.25" customHeight="1" x14ac:dyDescent="0.3">
      <c r="A82" s="3"/>
      <c r="B82" s="599"/>
      <c r="C82" s="600">
        <v>2001</v>
      </c>
      <c r="D82" s="600">
        <v>2002</v>
      </c>
      <c r="E82" s="600">
        <v>2003</v>
      </c>
      <c r="F82" s="600">
        <v>2004</v>
      </c>
      <c r="G82" s="600">
        <v>2005</v>
      </c>
      <c r="H82" s="600">
        <v>2006</v>
      </c>
      <c r="I82" s="600">
        <v>2007</v>
      </c>
      <c r="J82" s="600">
        <v>2008</v>
      </c>
      <c r="K82" s="600">
        <v>2009</v>
      </c>
      <c r="L82" s="600">
        <v>2010</v>
      </c>
      <c r="M82" s="600">
        <v>2011</v>
      </c>
      <c r="N82" s="600">
        <v>2012</v>
      </c>
      <c r="O82" s="600">
        <v>2013</v>
      </c>
      <c r="P82" s="600">
        <v>2014</v>
      </c>
      <c r="Q82" s="600">
        <v>2015</v>
      </c>
      <c r="R82" s="600">
        <v>2016</v>
      </c>
      <c r="S82" s="601">
        <v>2017</v>
      </c>
      <c r="T82" s="600">
        <v>2018</v>
      </c>
      <c r="U82" s="600">
        <v>2019</v>
      </c>
      <c r="V82" s="601">
        <v>2020</v>
      </c>
      <c r="W82" s="3"/>
      <c r="X82" s="3"/>
      <c r="Y82" s="3"/>
      <c r="Z82" s="3"/>
    </row>
    <row r="83" spans="1:26" ht="11.25" customHeight="1" x14ac:dyDescent="0.3">
      <c r="A83" s="3"/>
      <c r="B83" s="602" t="s">
        <v>698</v>
      </c>
      <c r="C83" s="603">
        <f t="shared" ref="C83:R83" si="9">(C59*$B$66/2204.62)/1000000</f>
        <v>5.8961353412095967</v>
      </c>
      <c r="D83" s="603">
        <f t="shared" si="9"/>
        <v>8.7470561027268854</v>
      </c>
      <c r="E83" s="603">
        <f t="shared" si="9"/>
        <v>8.4217298601020243</v>
      </c>
      <c r="F83" s="603">
        <f t="shared" si="9"/>
        <v>6.8253962124708574</v>
      </c>
      <c r="G83" s="603">
        <f t="shared" si="9"/>
        <v>7.1688110192105112</v>
      </c>
      <c r="H83" s="603">
        <f t="shared" si="9"/>
        <v>6.5185433216282744</v>
      </c>
      <c r="I83" s="603">
        <f t="shared" si="9"/>
        <v>6.9186965906085858</v>
      </c>
      <c r="J83" s="603">
        <f t="shared" si="9"/>
        <v>7.1494553651862338</v>
      </c>
      <c r="K83" s="603">
        <f t="shared" si="9"/>
        <v>8.1555005751232059</v>
      </c>
      <c r="L83" s="603">
        <f t="shared" si="9"/>
        <v>9.2627876683821935</v>
      </c>
      <c r="M83" s="603">
        <f t="shared" si="9"/>
        <v>9.2088529122720129</v>
      </c>
      <c r="N83" s="603">
        <f t="shared" si="9"/>
        <v>10.000408446535003</v>
      </c>
      <c r="O83" s="603">
        <f t="shared" si="9"/>
        <v>10.736153104449405</v>
      </c>
      <c r="P83" s="603">
        <f t="shared" si="9"/>
        <v>9.9423814300692968</v>
      </c>
      <c r="Q83" s="603">
        <f t="shared" si="9"/>
        <v>10.506536177630668</v>
      </c>
      <c r="R83" s="603">
        <f t="shared" si="9"/>
        <v>10.055919943903314</v>
      </c>
      <c r="S83" s="604">
        <f>(S59*$C$66/2204.62)/1000000</f>
        <v>12.37092978835355</v>
      </c>
      <c r="T83" s="603">
        <f t="shared" ref="T83:V83" si="10">(T59*$B$66/2204.62)/1000000</f>
        <v>7.9513368501048358</v>
      </c>
      <c r="U83" s="603">
        <f t="shared" si="10"/>
        <v>9.0397215295578146</v>
      </c>
      <c r="V83" s="604">
        <f t="shared" si="10"/>
        <v>9.0438652414701846</v>
      </c>
      <c r="W83" s="3"/>
      <c r="X83" s="3"/>
      <c r="Y83" s="3"/>
      <c r="Z83" s="3"/>
    </row>
    <row r="84" spans="1:26" ht="11.25" customHeight="1" x14ac:dyDescent="0.2">
      <c r="A84" s="3"/>
      <c r="B84" s="3"/>
      <c r="C84" s="3"/>
      <c r="D84" s="3"/>
      <c r="E84" s="3"/>
      <c r="F84" s="3"/>
      <c r="G84" s="3"/>
      <c r="H84" s="3"/>
      <c r="I84" s="3"/>
      <c r="J84" s="3"/>
      <c r="K84" s="3"/>
      <c r="L84" s="3"/>
      <c r="M84" s="3"/>
      <c r="N84" s="3"/>
      <c r="O84" s="3"/>
      <c r="P84" s="3"/>
      <c r="Q84" s="3"/>
      <c r="R84" s="605"/>
      <c r="S84" s="3"/>
      <c r="T84" s="3"/>
      <c r="U84" s="3"/>
      <c r="V84" s="3"/>
      <c r="W84" s="3"/>
      <c r="X84" s="3"/>
      <c r="Y84" s="3"/>
      <c r="Z84" s="3"/>
    </row>
    <row r="85" spans="1:26" ht="11.2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1.2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1.2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1.2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1.2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1.2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1.2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1.2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1.2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1.2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1.2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1.2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1.2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1.2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1.2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1.2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1.2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1.2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1.2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1.2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1.2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1.2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1.2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1.2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1.2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1.2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1.2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1.2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1.2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1.2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1.2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1.2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1.2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1.2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1.2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1.2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1.2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1.2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1.2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1.2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1.2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1.2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1.2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1.2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1.2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1.2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1.2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1.2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1.2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1.2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1.2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1.2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1.2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1.2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1.2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1.2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1.2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1.2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1.2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1.2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1.2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1.2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1.2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1.2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1.2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1.2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1.2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1.2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1.2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1.2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1.2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1.2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1.2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1.2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1.2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1.2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1.2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1.2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1.2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1.2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1.2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1.2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1.2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1.2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1.2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1.2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1.2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1.2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1.2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1.2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1.2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1.2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1.2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1.2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1.2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1.2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1.2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1.2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1.2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1.2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1.2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1.2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1.2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1.2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1.2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1.2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1.2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1.2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1.2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1.2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1.2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1.2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1.2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1.2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1.2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1.2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1.2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1.2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1.2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1.2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1.2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1.2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1.2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1.2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1.2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1.2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1.2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1.2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1.2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1.2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1.2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1.2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1.2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1.2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1.2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1.2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1.2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1.2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1.2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1.2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1.2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1.2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1.2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1.2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1.2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1.2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1.2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1.2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1.2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1.2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1.2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1.2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1.2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1.2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1.2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1.2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1.2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1.2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1.2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1.2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1.2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1.2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1.2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1.2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1.2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1.2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1.2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1.2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1.2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1.2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1.2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1.2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1.2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1.2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1.2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1.2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1.2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1.2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sheetData>
  <mergeCells count="2">
    <mergeCell ref="E55:I55"/>
    <mergeCell ref="E80:J80"/>
  </mergeCells>
  <printOptions gridLines="1"/>
  <pageMargins left="0.16" right="0.17" top="0.75" bottom="0.75" header="0" footer="0"/>
  <pageSetup orientation="landscape"/>
  <colBreaks count="1" manualBreakCount="1">
    <brk id="14" man="1"/>
  </colBreaks>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N1001"/>
  <sheetViews>
    <sheetView workbookViewId="0"/>
  </sheetViews>
  <sheetFormatPr defaultColWidth="16.85546875" defaultRowHeight="15" customHeight="1" x14ac:dyDescent="0.2"/>
  <cols>
    <col min="1" max="1" width="4.28515625" customWidth="1"/>
    <col min="2" max="2" width="15.42578125" customWidth="1"/>
    <col min="4" max="4" width="23.42578125" customWidth="1"/>
    <col min="5" max="6" width="17.85546875" customWidth="1"/>
    <col min="7" max="7" width="15.140625" customWidth="1"/>
    <col min="8" max="9" width="8.85546875" customWidth="1"/>
    <col min="10" max="10" width="10.140625" bestFit="1" customWidth="1"/>
    <col min="11" max="11" width="13.85546875" bestFit="1" customWidth="1"/>
    <col min="12" max="26" width="8.85546875" customWidth="1"/>
  </cols>
  <sheetData>
    <row r="1" spans="1:40" ht="15" customHeight="1" x14ac:dyDescent="0.2">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row>
    <row r="2" spans="1:40" ht="33" customHeight="1" x14ac:dyDescent="0.55000000000000004">
      <c r="B2" s="329" t="s">
        <v>2077</v>
      </c>
      <c r="F2" s="327"/>
      <c r="G2" s="607"/>
      <c r="H2" s="327"/>
    </row>
    <row r="3" spans="1:40" ht="123.75" customHeight="1" x14ac:dyDescent="0.2"/>
    <row r="4" spans="1:40" ht="22.5" customHeight="1" x14ac:dyDescent="0.45">
      <c r="B4" s="608" t="s">
        <v>699</v>
      </c>
      <c r="C4" s="609"/>
      <c r="D4" s="608"/>
      <c r="E4" s="329">
        <v>2020</v>
      </c>
      <c r="F4" s="327"/>
      <c r="G4" s="327"/>
      <c r="H4" s="327"/>
      <c r="I4" s="327"/>
      <c r="J4" s="327"/>
      <c r="K4" s="327"/>
      <c r="L4" s="327"/>
      <c r="M4" s="327"/>
    </row>
    <row r="5" spans="1:40" ht="11.25" customHeight="1" x14ac:dyDescent="0.3">
      <c r="B5" s="376"/>
      <c r="C5" s="327"/>
      <c r="D5" s="354"/>
      <c r="E5" s="376"/>
      <c r="F5" s="327"/>
      <c r="G5" s="327"/>
      <c r="H5" s="327"/>
      <c r="I5" s="327"/>
      <c r="J5" s="327"/>
      <c r="K5" s="327"/>
      <c r="L5" s="327"/>
      <c r="M5" s="327"/>
    </row>
    <row r="6" spans="1:40" ht="11.25" customHeight="1" x14ac:dyDescent="0.35">
      <c r="B6" s="610"/>
      <c r="C6" s="611" t="s">
        <v>512</v>
      </c>
      <c r="D6" s="611" t="s">
        <v>700</v>
      </c>
      <c r="E6" s="611" t="s">
        <v>701</v>
      </c>
      <c r="F6" s="611" t="s">
        <v>529</v>
      </c>
      <c r="G6" s="612" t="s">
        <v>529</v>
      </c>
      <c r="H6" s="327"/>
      <c r="I6" s="327"/>
      <c r="J6" s="2933" t="s">
        <v>1</v>
      </c>
      <c r="K6" s="2934"/>
      <c r="L6" s="327"/>
      <c r="M6" s="387"/>
    </row>
    <row r="7" spans="1:40" ht="11.25" customHeight="1" x14ac:dyDescent="0.35">
      <c r="B7" s="613" t="s">
        <v>170</v>
      </c>
      <c r="C7" s="614" t="s">
        <v>531</v>
      </c>
      <c r="D7" s="614" t="s">
        <v>702</v>
      </c>
      <c r="E7" s="614" t="s">
        <v>703</v>
      </c>
      <c r="F7" s="614" t="s">
        <v>704</v>
      </c>
      <c r="G7" s="615" t="s">
        <v>705</v>
      </c>
      <c r="H7" s="387"/>
      <c r="I7" s="327"/>
      <c r="J7" s="2641"/>
      <c r="K7" s="2641" t="str">
        <f>Summary!E3</f>
        <v>AR5 100-yr GWP</v>
      </c>
      <c r="L7" s="327"/>
      <c r="M7" s="387"/>
    </row>
    <row r="8" spans="1:40" ht="11.25" customHeight="1" x14ac:dyDescent="0.3">
      <c r="B8" s="616" t="s">
        <v>187</v>
      </c>
      <c r="C8" s="617">
        <v>0</v>
      </c>
      <c r="D8" s="618">
        <v>56.79</v>
      </c>
      <c r="E8" s="619">
        <v>1</v>
      </c>
      <c r="F8" s="620">
        <f t="shared" ref="F8:F12" si="0">C8*1000*D8*E8/2000</f>
        <v>0</v>
      </c>
      <c r="G8" s="621">
        <f t="shared" ref="G8:G12" si="1">F8*(44/12)*0.907441/1000000</f>
        <v>0</v>
      </c>
      <c r="H8" s="622"/>
      <c r="I8" s="327"/>
      <c r="J8" s="2641" t="s">
        <v>521</v>
      </c>
      <c r="K8" s="2642">
        <f>Summary!E4</f>
        <v>1</v>
      </c>
      <c r="L8" s="622"/>
      <c r="M8" s="623"/>
    </row>
    <row r="9" spans="1:40" ht="11.25" customHeight="1" x14ac:dyDescent="0.3">
      <c r="B9" s="624" t="s">
        <v>522</v>
      </c>
      <c r="C9" s="625">
        <v>10732</v>
      </c>
      <c r="D9" s="626">
        <v>44.47</v>
      </c>
      <c r="E9" s="627">
        <v>1</v>
      </c>
      <c r="F9" s="628">
        <f t="shared" si="0"/>
        <v>238626.02</v>
      </c>
      <c r="G9" s="629">
        <f t="shared" si="1"/>
        <v>0.79397645878767331</v>
      </c>
      <c r="H9" s="622"/>
      <c r="I9" s="327"/>
      <c r="J9" s="2641" t="s">
        <v>523</v>
      </c>
      <c r="K9" s="2642">
        <f>Summary!E5</f>
        <v>28</v>
      </c>
      <c r="L9" s="622"/>
      <c r="M9" s="623"/>
    </row>
    <row r="10" spans="1:40" ht="11.25" customHeight="1" x14ac:dyDescent="0.3">
      <c r="B10" s="624" t="s">
        <v>591</v>
      </c>
      <c r="C10" s="625">
        <v>168</v>
      </c>
      <c r="D10" s="626">
        <v>44.01</v>
      </c>
      <c r="E10" s="627">
        <v>1</v>
      </c>
      <c r="F10" s="628">
        <f t="shared" si="0"/>
        <v>3696.84</v>
      </c>
      <c r="G10" s="629">
        <f t="shared" si="1"/>
        <v>1.230043535028E-2</v>
      </c>
      <c r="H10" s="622"/>
      <c r="I10" s="327"/>
      <c r="J10" s="2641" t="s">
        <v>525</v>
      </c>
      <c r="K10" s="2642">
        <f>Summary!E6</f>
        <v>265</v>
      </c>
      <c r="L10" s="622"/>
      <c r="M10" s="623"/>
    </row>
    <row r="11" spans="1:40" ht="11.25" customHeight="1" x14ac:dyDescent="0.3">
      <c r="B11" s="624" t="s">
        <v>706</v>
      </c>
      <c r="C11" s="625">
        <v>7274</v>
      </c>
      <c r="D11" s="626">
        <v>37.110283550140529</v>
      </c>
      <c r="E11" s="627">
        <v>1</v>
      </c>
      <c r="F11" s="628">
        <f t="shared" si="0"/>
        <v>134970.10127186112</v>
      </c>
      <c r="G11" s="629">
        <f t="shared" si="1"/>
        <v>0.44908381345020937</v>
      </c>
      <c r="H11" s="622"/>
      <c r="I11" s="327"/>
      <c r="J11" s="2641" t="s">
        <v>526</v>
      </c>
      <c r="K11" s="2643">
        <f>Summary!E7</f>
        <v>23500</v>
      </c>
      <c r="L11" s="622"/>
      <c r="M11" s="623"/>
    </row>
    <row r="12" spans="1:40" ht="11.25" customHeight="1" x14ac:dyDescent="0.3">
      <c r="B12" s="630" t="s">
        <v>436</v>
      </c>
      <c r="C12" s="631">
        <v>80418</v>
      </c>
      <c r="D12" s="632">
        <v>31.9</v>
      </c>
      <c r="E12" s="633">
        <v>1</v>
      </c>
      <c r="F12" s="634">
        <f t="shared" si="0"/>
        <v>1282667.1000000001</v>
      </c>
      <c r="G12" s="635">
        <f t="shared" si="1"/>
        <v>4.2677972916007008</v>
      </c>
      <c r="H12" s="622"/>
      <c r="I12" s="327"/>
      <c r="L12" s="622"/>
      <c r="M12" s="623"/>
    </row>
    <row r="13" spans="1:40" ht="11.25" customHeight="1" x14ac:dyDescent="0.2">
      <c r="B13" s="636"/>
      <c r="C13" s="637"/>
      <c r="D13" s="637"/>
      <c r="E13" s="638"/>
      <c r="F13" s="639" t="s">
        <v>86</v>
      </c>
      <c r="G13" s="640">
        <f>SUM(G8:G12)</f>
        <v>5.5231579991888635</v>
      </c>
      <c r="H13" s="327"/>
      <c r="I13" s="327"/>
      <c r="J13" s="327"/>
      <c r="K13" s="327"/>
      <c r="L13" s="327"/>
      <c r="M13" s="327"/>
    </row>
    <row r="14" spans="1:40" ht="11.25" customHeight="1" x14ac:dyDescent="0.2"/>
    <row r="15" spans="1:40" ht="24.75" customHeight="1" x14ac:dyDescent="0.45">
      <c r="B15" s="608" t="s">
        <v>707</v>
      </c>
      <c r="C15" s="609"/>
      <c r="D15" s="641"/>
      <c r="E15" s="329">
        <v>2020</v>
      </c>
      <c r="F15" s="327"/>
      <c r="G15" s="327"/>
      <c r="H15" s="327"/>
      <c r="I15" s="327"/>
      <c r="J15" s="327"/>
      <c r="K15" s="327"/>
      <c r="L15" s="327"/>
      <c r="M15" s="327"/>
    </row>
    <row r="16" spans="1:40" ht="11.25" customHeight="1" x14ac:dyDescent="0.3">
      <c r="B16" s="376"/>
      <c r="C16" s="327"/>
      <c r="D16" s="354"/>
      <c r="E16" s="376"/>
      <c r="F16" s="327"/>
      <c r="G16" s="327"/>
      <c r="H16" s="327"/>
      <c r="I16" s="327"/>
      <c r="J16" s="327"/>
      <c r="K16" s="327"/>
      <c r="L16" s="327"/>
      <c r="M16" s="327"/>
    </row>
    <row r="17" spans="2:13" ht="11.25" customHeight="1" x14ac:dyDescent="0.35">
      <c r="B17" s="610"/>
      <c r="C17" s="611" t="s">
        <v>512</v>
      </c>
      <c r="D17" s="611" t="s">
        <v>700</v>
      </c>
      <c r="E17" s="611" t="s">
        <v>529</v>
      </c>
      <c r="F17" s="611" t="s">
        <v>530</v>
      </c>
      <c r="G17" s="612" t="s">
        <v>529</v>
      </c>
      <c r="H17" s="387"/>
      <c r="I17" s="327"/>
      <c r="J17" s="327"/>
      <c r="K17" s="387"/>
      <c r="L17" s="327"/>
      <c r="M17" s="387"/>
    </row>
    <row r="18" spans="2:13" ht="11.25" customHeight="1" x14ac:dyDescent="0.35">
      <c r="B18" s="613" t="s">
        <v>170</v>
      </c>
      <c r="C18" s="614" t="s">
        <v>531</v>
      </c>
      <c r="D18" s="614" t="s">
        <v>708</v>
      </c>
      <c r="E18" s="614" t="s">
        <v>709</v>
      </c>
      <c r="F18" s="614"/>
      <c r="G18" s="615" t="s">
        <v>710</v>
      </c>
      <c r="H18" s="387"/>
      <c r="I18" s="327"/>
      <c r="J18" s="387"/>
      <c r="K18" s="387"/>
      <c r="L18" s="327"/>
      <c r="M18" s="387"/>
    </row>
    <row r="19" spans="2:13" ht="11.25" customHeight="1" x14ac:dyDescent="0.3">
      <c r="B19" s="642" t="s">
        <v>187</v>
      </c>
      <c r="C19" s="643">
        <v>0</v>
      </c>
      <c r="D19" s="644">
        <v>1.5034545899835E-3</v>
      </c>
      <c r="E19" s="645">
        <f t="shared" ref="E19:E24" si="2">C19*D19</f>
        <v>0</v>
      </c>
      <c r="F19" s="646">
        <f>K10</f>
        <v>265</v>
      </c>
      <c r="G19" s="647">
        <f t="shared" ref="G19:G24" si="3">E19*F19/1000000</f>
        <v>0</v>
      </c>
      <c r="H19" s="648"/>
      <c r="I19" s="327"/>
      <c r="J19" s="622"/>
      <c r="K19" s="649"/>
      <c r="L19" s="622"/>
      <c r="M19" s="649"/>
    </row>
    <row r="20" spans="2:13" ht="11.25" customHeight="1" x14ac:dyDescent="0.3">
      <c r="B20" s="624" t="s">
        <v>522</v>
      </c>
      <c r="C20" s="625">
        <f t="shared" ref="C20:C23" si="4">C9</f>
        <v>10732</v>
      </c>
      <c r="D20" s="650">
        <v>6.0138183599339984E-4</v>
      </c>
      <c r="E20" s="651">
        <f t="shared" si="2"/>
        <v>6.4540298638811668</v>
      </c>
      <c r="F20" s="652">
        <f>K10</f>
        <v>265</v>
      </c>
      <c r="G20" s="653">
        <f t="shared" si="3"/>
        <v>1.7103179139285091E-3</v>
      </c>
      <c r="H20" s="648"/>
      <c r="I20" s="327"/>
      <c r="J20" s="622"/>
      <c r="K20" s="649"/>
      <c r="L20" s="622"/>
      <c r="M20" s="649"/>
    </row>
    <row r="21" spans="2:13" ht="11.25" customHeight="1" x14ac:dyDescent="0.3">
      <c r="B21" s="624" t="s">
        <v>591</v>
      </c>
      <c r="C21" s="625">
        <f t="shared" si="4"/>
        <v>168</v>
      </c>
      <c r="D21" s="650">
        <v>6.0138183599339984E-4</v>
      </c>
      <c r="E21" s="651">
        <f t="shared" si="2"/>
        <v>0.10103214844689118</v>
      </c>
      <c r="F21" s="652">
        <f>K10</f>
        <v>265</v>
      </c>
      <c r="G21" s="653">
        <f t="shared" si="3"/>
        <v>2.6773519338426162E-5</v>
      </c>
      <c r="H21" s="648"/>
      <c r="I21" s="327"/>
      <c r="J21" s="622"/>
      <c r="K21" s="649"/>
      <c r="L21" s="622"/>
      <c r="M21" s="649"/>
    </row>
    <row r="22" spans="2:13" ht="11.25" customHeight="1" x14ac:dyDescent="0.3">
      <c r="B22" s="624" t="s">
        <v>706</v>
      </c>
      <c r="C22" s="625">
        <f t="shared" si="4"/>
        <v>7274</v>
      </c>
      <c r="D22" s="650">
        <v>6.0138183599339984E-4</v>
      </c>
      <c r="E22" s="651">
        <f t="shared" si="2"/>
        <v>4.3744514750159906</v>
      </c>
      <c r="F22" s="652">
        <f>K10</f>
        <v>265</v>
      </c>
      <c r="G22" s="653">
        <f t="shared" si="3"/>
        <v>1.1592296408792374E-3</v>
      </c>
      <c r="H22" s="648"/>
      <c r="I22" s="327"/>
      <c r="J22" s="622"/>
      <c r="K22" s="649"/>
      <c r="L22" s="622"/>
      <c r="M22" s="649"/>
    </row>
    <row r="23" spans="2:13" ht="11.25" customHeight="1" x14ac:dyDescent="0.3">
      <c r="B23" s="624" t="s">
        <v>436</v>
      </c>
      <c r="C23" s="625">
        <f t="shared" si="4"/>
        <v>80418</v>
      </c>
      <c r="D23" s="650">
        <v>9.4955026735800017E-5</v>
      </c>
      <c r="E23" s="651">
        <f t="shared" si="2"/>
        <v>7.6360933400395661</v>
      </c>
      <c r="F23" s="652">
        <f>K10</f>
        <v>265</v>
      </c>
      <c r="G23" s="653">
        <f t="shared" si="3"/>
        <v>2.0235647351104849E-3</v>
      </c>
      <c r="H23" s="648"/>
      <c r="I23" s="327"/>
      <c r="J23" s="622"/>
      <c r="K23" s="649"/>
      <c r="L23" s="622"/>
      <c r="M23" s="649"/>
    </row>
    <row r="24" spans="2:13" ht="11.25" customHeight="1" x14ac:dyDescent="0.3">
      <c r="B24" s="630" t="s">
        <v>690</v>
      </c>
      <c r="C24" s="631">
        <v>4596</v>
      </c>
      <c r="D24" s="654">
        <v>3.7982010694320003E-3</v>
      </c>
      <c r="E24" s="655">
        <f t="shared" si="2"/>
        <v>17.456532115109471</v>
      </c>
      <c r="F24" s="656">
        <f>K10</f>
        <v>265</v>
      </c>
      <c r="G24" s="657">
        <f t="shared" si="3"/>
        <v>4.6259810105040095E-3</v>
      </c>
      <c r="H24" s="648"/>
      <c r="I24" s="327"/>
      <c r="J24" s="622"/>
      <c r="K24" s="649"/>
      <c r="L24" s="622"/>
      <c r="M24" s="649"/>
    </row>
    <row r="25" spans="2:13" ht="11.25" customHeight="1" x14ac:dyDescent="0.25">
      <c r="B25" s="636"/>
      <c r="C25" s="637"/>
      <c r="D25" s="637"/>
      <c r="E25" s="637"/>
      <c r="F25" s="639" t="s">
        <v>86</v>
      </c>
      <c r="G25" s="658">
        <f>SUM(G19:G24)</f>
        <v>9.5458668197606657E-3</v>
      </c>
      <c r="H25" s="327"/>
      <c r="I25" s="387"/>
      <c r="J25" s="622"/>
      <c r="K25" s="659"/>
      <c r="L25" s="622"/>
      <c r="M25" s="660"/>
    </row>
    <row r="26" spans="2:13" ht="11.25" customHeight="1" x14ac:dyDescent="0.2">
      <c r="H26" s="327"/>
      <c r="I26" s="327"/>
      <c r="J26" s="327"/>
      <c r="K26" s="327"/>
      <c r="L26" s="327"/>
      <c r="M26" s="327"/>
    </row>
    <row r="27" spans="2:13" ht="11.25" customHeight="1" x14ac:dyDescent="0.2">
      <c r="H27" s="327"/>
      <c r="I27" s="327"/>
      <c r="J27" s="327"/>
      <c r="K27" s="327"/>
      <c r="L27" s="327"/>
      <c r="M27" s="327"/>
    </row>
    <row r="28" spans="2:13" ht="22.5" customHeight="1" x14ac:dyDescent="0.45">
      <c r="B28" s="608" t="s">
        <v>711</v>
      </c>
      <c r="C28" s="609"/>
      <c r="D28" s="641"/>
      <c r="E28" s="329">
        <v>2020</v>
      </c>
      <c r="F28" s="327"/>
      <c r="G28" s="327"/>
      <c r="H28" s="327"/>
      <c r="I28" s="327"/>
      <c r="J28" s="327"/>
      <c r="K28" s="327"/>
      <c r="L28" s="327"/>
      <c r="M28" s="327"/>
    </row>
    <row r="29" spans="2:13" ht="11.25" customHeight="1" x14ac:dyDescent="0.3">
      <c r="B29" s="376"/>
      <c r="C29" s="327"/>
      <c r="D29" s="354"/>
      <c r="E29" s="376"/>
      <c r="F29" s="327"/>
      <c r="G29" s="327"/>
      <c r="H29" s="327"/>
      <c r="I29" s="327"/>
      <c r="J29" s="327"/>
      <c r="K29" s="327"/>
      <c r="L29" s="327"/>
      <c r="M29" s="327"/>
    </row>
    <row r="30" spans="2:13" ht="11.25" customHeight="1" x14ac:dyDescent="0.35">
      <c r="B30" s="610"/>
      <c r="C30" s="611" t="s">
        <v>512</v>
      </c>
      <c r="D30" s="611" t="s">
        <v>700</v>
      </c>
      <c r="E30" s="611" t="s">
        <v>529</v>
      </c>
      <c r="F30" s="611" t="s">
        <v>530</v>
      </c>
      <c r="G30" s="612" t="s">
        <v>529</v>
      </c>
      <c r="H30" s="387"/>
      <c r="I30" s="327"/>
      <c r="J30" s="327"/>
      <c r="K30" s="387"/>
      <c r="L30" s="327"/>
      <c r="M30" s="327"/>
    </row>
    <row r="31" spans="2:13" ht="11.25" customHeight="1" x14ac:dyDescent="0.35">
      <c r="B31" s="613" t="s">
        <v>170</v>
      </c>
      <c r="C31" s="614" t="s">
        <v>531</v>
      </c>
      <c r="D31" s="614" t="s">
        <v>712</v>
      </c>
      <c r="E31" s="614" t="s">
        <v>713</v>
      </c>
      <c r="F31" s="614"/>
      <c r="G31" s="615" t="s">
        <v>714</v>
      </c>
      <c r="H31" s="387"/>
      <c r="I31" s="327"/>
      <c r="J31" s="387"/>
      <c r="K31" s="387"/>
      <c r="L31" s="327"/>
      <c r="M31" s="327"/>
    </row>
    <row r="32" spans="2:13" ht="11.25" customHeight="1" x14ac:dyDescent="0.3">
      <c r="B32" s="616" t="s">
        <v>187</v>
      </c>
      <c r="C32" s="617">
        <f t="shared" ref="C32:C36" si="5">C8</f>
        <v>0</v>
      </c>
      <c r="D32" s="661">
        <v>0.3006909179967</v>
      </c>
      <c r="E32" s="662">
        <f t="shared" ref="E32:E37" si="6">C32*D32</f>
        <v>0</v>
      </c>
      <c r="F32" s="646">
        <f>K9</f>
        <v>28</v>
      </c>
      <c r="G32" s="663">
        <f t="shared" ref="G32:G37" si="7">E32*F32/1000000</f>
        <v>0</v>
      </c>
      <c r="H32" s="648"/>
      <c r="I32" s="327"/>
      <c r="J32" s="622"/>
      <c r="K32" s="623"/>
      <c r="L32" s="622"/>
      <c r="M32" s="649"/>
    </row>
    <row r="33" spans="1:13" ht="11.25" customHeight="1" x14ac:dyDescent="0.3">
      <c r="B33" s="624" t="s">
        <v>522</v>
      </c>
      <c r="C33" s="625">
        <f t="shared" si="5"/>
        <v>10732</v>
      </c>
      <c r="D33" s="650">
        <v>1.0023030599889999E-2</v>
      </c>
      <c r="E33" s="664">
        <f t="shared" si="6"/>
        <v>107.56716439801947</v>
      </c>
      <c r="F33" s="652">
        <f>K9</f>
        <v>28</v>
      </c>
      <c r="G33" s="665">
        <f t="shared" si="7"/>
        <v>3.0118806031445454E-3</v>
      </c>
      <c r="H33" s="648"/>
      <c r="I33" s="327"/>
      <c r="J33" s="622"/>
      <c r="K33" s="623"/>
      <c r="L33" s="622"/>
      <c r="M33" s="649"/>
    </row>
    <row r="34" spans="1:13" ht="11.25" customHeight="1" x14ac:dyDescent="0.3">
      <c r="B34" s="624" t="s">
        <v>591</v>
      </c>
      <c r="C34" s="625">
        <f t="shared" si="5"/>
        <v>168</v>
      </c>
      <c r="D34" s="650">
        <v>1.0023030599889999E-2</v>
      </c>
      <c r="E34" s="664">
        <f t="shared" si="6"/>
        <v>1.6838691407815198</v>
      </c>
      <c r="F34" s="652">
        <f>K9</f>
        <v>28</v>
      </c>
      <c r="G34" s="665">
        <f t="shared" si="7"/>
        <v>4.7148335941882558E-5</v>
      </c>
      <c r="H34" s="648"/>
      <c r="I34" s="327"/>
      <c r="J34" s="622"/>
      <c r="K34" s="623"/>
      <c r="L34" s="622"/>
      <c r="M34" s="649"/>
    </row>
    <row r="35" spans="1:13" ht="11.25" customHeight="1" x14ac:dyDescent="0.3">
      <c r="B35" s="624" t="s">
        <v>706</v>
      </c>
      <c r="C35" s="625">
        <f t="shared" si="5"/>
        <v>7274</v>
      </c>
      <c r="D35" s="650">
        <v>1.0023030599889999E-2</v>
      </c>
      <c r="E35" s="664">
        <f t="shared" si="6"/>
        <v>72.907524583599852</v>
      </c>
      <c r="F35" s="652">
        <f>K9</f>
        <v>28</v>
      </c>
      <c r="G35" s="665">
        <f t="shared" si="7"/>
        <v>2.0414106883407958E-3</v>
      </c>
      <c r="H35" s="648"/>
      <c r="I35" s="327"/>
      <c r="J35" s="622"/>
      <c r="K35" s="623"/>
      <c r="L35" s="622"/>
      <c r="M35" s="649"/>
    </row>
    <row r="36" spans="1:13" ht="11.25" customHeight="1" x14ac:dyDescent="0.3">
      <c r="B36" s="624" t="s">
        <v>436</v>
      </c>
      <c r="C36" s="625">
        <f t="shared" si="5"/>
        <v>80418</v>
      </c>
      <c r="D36" s="650">
        <v>4.7477513367900001E-3</v>
      </c>
      <c r="E36" s="664">
        <f t="shared" si="6"/>
        <v>381.8046670019782</v>
      </c>
      <c r="F36" s="652">
        <f>K9</f>
        <v>28</v>
      </c>
      <c r="G36" s="665">
        <f t="shared" si="7"/>
        <v>1.0690530676055391E-2</v>
      </c>
      <c r="H36" s="648"/>
      <c r="I36" s="327"/>
      <c r="J36" s="622"/>
      <c r="K36" s="623"/>
      <c r="L36" s="622"/>
      <c r="M36" s="649"/>
    </row>
    <row r="37" spans="1:13" ht="11.25" customHeight="1" x14ac:dyDescent="0.3">
      <c r="B37" s="630" t="s">
        <v>690</v>
      </c>
      <c r="C37" s="631">
        <f>C24</f>
        <v>4596</v>
      </c>
      <c r="D37" s="654">
        <v>0.28486508020740003</v>
      </c>
      <c r="E37" s="666">
        <f t="shared" si="6"/>
        <v>1309.2399086332105</v>
      </c>
      <c r="F37" s="656">
        <f>K9</f>
        <v>28</v>
      </c>
      <c r="G37" s="667">
        <f t="shared" si="7"/>
        <v>3.6658717441729896E-2</v>
      </c>
      <c r="H37" s="648"/>
      <c r="I37" s="327"/>
      <c r="J37" s="622"/>
      <c r="K37" s="623"/>
      <c r="L37" s="622"/>
      <c r="M37" s="649"/>
    </row>
    <row r="38" spans="1:13" ht="11.25" customHeight="1" x14ac:dyDescent="0.35">
      <c r="B38" s="636"/>
      <c r="C38" s="637"/>
      <c r="D38" s="637"/>
      <c r="E38" s="637"/>
      <c r="F38" s="668" t="s">
        <v>86</v>
      </c>
      <c r="G38" s="669">
        <f>SUM(G32:G37)</f>
        <v>5.2449687745212512E-2</v>
      </c>
      <c r="H38" s="327"/>
      <c r="I38" s="327"/>
      <c r="J38" s="622"/>
      <c r="K38" s="659"/>
      <c r="L38" s="327"/>
      <c r="M38" s="660"/>
    </row>
    <row r="39" spans="1:13" ht="11.25" customHeight="1" x14ac:dyDescent="0.2"/>
    <row r="40" spans="1:13" ht="11.25" customHeight="1" x14ac:dyDescent="0.2"/>
    <row r="41" spans="1:13" ht="11.25" customHeight="1" x14ac:dyDescent="0.2"/>
    <row r="42" spans="1:13" ht="24" customHeight="1" x14ac:dyDescent="0.45">
      <c r="B42" s="670" t="s">
        <v>715</v>
      </c>
      <c r="C42" s="671"/>
      <c r="D42" s="672"/>
      <c r="E42" s="670"/>
      <c r="F42" s="327"/>
      <c r="G42" s="327"/>
    </row>
    <row r="43" spans="1:13" ht="11.25" customHeight="1" x14ac:dyDescent="0.3">
      <c r="B43" s="376"/>
      <c r="C43" s="327"/>
      <c r="D43" s="354"/>
      <c r="E43" s="376"/>
      <c r="F43" s="327"/>
      <c r="G43" s="327"/>
    </row>
    <row r="44" spans="1:13" ht="11.25" customHeight="1" x14ac:dyDescent="0.25">
      <c r="B44" s="673"/>
      <c r="C44" s="674" t="s">
        <v>529</v>
      </c>
      <c r="D44" s="674" t="s">
        <v>529</v>
      </c>
      <c r="E44" s="674" t="s">
        <v>529</v>
      </c>
      <c r="F44" s="674" t="s">
        <v>529</v>
      </c>
      <c r="G44" s="387"/>
    </row>
    <row r="45" spans="1:13" ht="11.25" customHeight="1" x14ac:dyDescent="0.25">
      <c r="B45" s="675"/>
      <c r="C45" s="676" t="s">
        <v>716</v>
      </c>
      <c r="D45" s="676" t="s">
        <v>717</v>
      </c>
      <c r="E45" s="676" t="s">
        <v>718</v>
      </c>
      <c r="F45" s="676" t="s">
        <v>86</v>
      </c>
      <c r="G45" s="387"/>
    </row>
    <row r="46" spans="1:13" ht="20.25" customHeight="1" x14ac:dyDescent="0.35">
      <c r="B46" s="613" t="s">
        <v>170</v>
      </c>
      <c r="C46" s="677" t="s">
        <v>719</v>
      </c>
      <c r="D46" s="677" t="s">
        <v>720</v>
      </c>
      <c r="E46" s="677" t="s">
        <v>721</v>
      </c>
      <c r="F46" s="677" t="s">
        <v>722</v>
      </c>
      <c r="G46" s="387"/>
    </row>
    <row r="47" spans="1:13" ht="11.25" customHeight="1" x14ac:dyDescent="0.3">
      <c r="A47" s="1" t="s">
        <v>187</v>
      </c>
      <c r="B47" s="616" t="s">
        <v>187</v>
      </c>
      <c r="C47" s="678">
        <f t="shared" ref="C47:C51" si="8">G8</f>
        <v>0</v>
      </c>
      <c r="D47" s="679">
        <f t="shared" ref="D47:D52" si="9">G19</f>
        <v>0</v>
      </c>
      <c r="E47" s="679">
        <f t="shared" ref="E47:E52" si="10">G32</f>
        <v>0</v>
      </c>
      <c r="F47" s="679">
        <f t="shared" ref="F47:F52" si="11">C47+D47+E47</f>
        <v>0</v>
      </c>
      <c r="G47" s="680"/>
    </row>
    <row r="48" spans="1:13" ht="11.25" customHeight="1" x14ac:dyDescent="0.3">
      <c r="A48" s="1" t="s">
        <v>657</v>
      </c>
      <c r="B48" s="624" t="s">
        <v>522</v>
      </c>
      <c r="C48" s="681">
        <f t="shared" si="8"/>
        <v>0.79397645878767331</v>
      </c>
      <c r="D48" s="682">
        <f t="shared" si="9"/>
        <v>1.7103179139285091E-3</v>
      </c>
      <c r="E48" s="682">
        <f t="shared" si="10"/>
        <v>3.0118806031445454E-3</v>
      </c>
      <c r="F48" s="682">
        <f t="shared" si="11"/>
        <v>0.79869865730474632</v>
      </c>
      <c r="G48" s="680"/>
    </row>
    <row r="49" spans="1:7" ht="11.25" customHeight="1" x14ac:dyDescent="0.3">
      <c r="A49" s="1" t="s">
        <v>657</v>
      </c>
      <c r="B49" s="624" t="s">
        <v>591</v>
      </c>
      <c r="C49" s="681">
        <f t="shared" si="8"/>
        <v>1.230043535028E-2</v>
      </c>
      <c r="D49" s="682">
        <f t="shared" si="9"/>
        <v>2.6773519338426162E-5</v>
      </c>
      <c r="E49" s="682">
        <f t="shared" si="10"/>
        <v>4.7148335941882558E-5</v>
      </c>
      <c r="F49" s="682">
        <f t="shared" si="11"/>
        <v>1.2374357205560307E-2</v>
      </c>
      <c r="G49" s="680"/>
    </row>
    <row r="50" spans="1:7" ht="11.25" customHeight="1" x14ac:dyDescent="0.3">
      <c r="A50" s="1" t="s">
        <v>723</v>
      </c>
      <c r="B50" s="624" t="s">
        <v>706</v>
      </c>
      <c r="C50" s="681">
        <f t="shared" si="8"/>
        <v>0.44908381345020937</v>
      </c>
      <c r="D50" s="682">
        <f t="shared" si="9"/>
        <v>1.1592296408792374E-3</v>
      </c>
      <c r="E50" s="682">
        <f t="shared" si="10"/>
        <v>2.0414106883407958E-3</v>
      </c>
      <c r="F50" s="682">
        <f t="shared" si="11"/>
        <v>0.45228445377942939</v>
      </c>
      <c r="G50" s="680"/>
    </row>
    <row r="51" spans="1:7" ht="11.25" customHeight="1" x14ac:dyDescent="0.3">
      <c r="A51" s="1" t="s">
        <v>723</v>
      </c>
      <c r="B51" s="624" t="s">
        <v>436</v>
      </c>
      <c r="C51" s="681">
        <f t="shared" si="8"/>
        <v>4.2677972916007008</v>
      </c>
      <c r="D51" s="682">
        <f t="shared" si="9"/>
        <v>2.0235647351104849E-3</v>
      </c>
      <c r="E51" s="682">
        <f t="shared" si="10"/>
        <v>1.0690530676055391E-2</v>
      </c>
      <c r="F51" s="682">
        <f t="shared" si="11"/>
        <v>4.2805113870118667</v>
      </c>
      <c r="G51" s="680"/>
    </row>
    <row r="52" spans="1:7" ht="11.25" customHeight="1" x14ac:dyDescent="0.3">
      <c r="A52" s="1" t="s">
        <v>690</v>
      </c>
      <c r="B52" s="630" t="s">
        <v>690</v>
      </c>
      <c r="C52" s="683">
        <v>0</v>
      </c>
      <c r="D52" s="684">
        <f t="shared" si="9"/>
        <v>4.6259810105040095E-3</v>
      </c>
      <c r="E52" s="684">
        <f t="shared" si="10"/>
        <v>3.6658717441729896E-2</v>
      </c>
      <c r="F52" s="684">
        <f t="shared" si="11"/>
        <v>4.1284698452233905E-2</v>
      </c>
      <c r="G52" s="680"/>
    </row>
    <row r="53" spans="1:7" ht="11.25" customHeight="1" x14ac:dyDescent="0.2">
      <c r="B53" s="636"/>
      <c r="C53" s="637"/>
      <c r="D53" s="637"/>
      <c r="E53" s="685" t="s">
        <v>86</v>
      </c>
      <c r="F53" s="686">
        <f>SUM(F47:F52)</f>
        <v>5.5851535537538366</v>
      </c>
      <c r="G53" s="687"/>
    </row>
    <row r="54" spans="1:7" ht="11.25" customHeight="1" x14ac:dyDescent="0.2"/>
    <row r="55" spans="1:7" ht="11.25" customHeight="1" x14ac:dyDescent="0.2"/>
    <row r="56" spans="1:7" ht="11.25" customHeight="1" x14ac:dyDescent="0.2"/>
    <row r="57" spans="1:7" ht="11.25" customHeight="1" x14ac:dyDescent="0.2"/>
    <row r="58" spans="1:7" ht="11.25" customHeight="1" x14ac:dyDescent="0.2"/>
    <row r="59" spans="1:7" ht="11.25" customHeight="1" x14ac:dyDescent="0.2"/>
    <row r="60" spans="1:7" ht="11.25" customHeight="1" x14ac:dyDescent="0.2"/>
    <row r="61" spans="1:7" ht="11.25" customHeight="1" x14ac:dyDescent="0.2"/>
    <row r="62" spans="1:7" ht="11.25" customHeight="1" x14ac:dyDescent="0.2"/>
    <row r="63" spans="1:7" ht="11.25" customHeight="1" x14ac:dyDescent="0.2"/>
    <row r="64" spans="1:7"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row r="1001" ht="11.25" customHeight="1" x14ac:dyDescent="0.2"/>
  </sheetData>
  <mergeCells count="1">
    <mergeCell ref="J6:K6"/>
  </mergeCells>
  <pageMargins left="0.75" right="0.75" top="1" bottom="1" header="0" footer="0"/>
  <pageSetup orientation="portrait"/>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1001"/>
  <sheetViews>
    <sheetView workbookViewId="0"/>
  </sheetViews>
  <sheetFormatPr defaultColWidth="16.85546875" defaultRowHeight="15" customHeight="1" x14ac:dyDescent="0.2"/>
  <cols>
    <col min="1" max="1" width="4.28515625" customWidth="1"/>
    <col min="2" max="2" width="23.140625" customWidth="1"/>
    <col min="3" max="3" width="19.7109375" customWidth="1"/>
    <col min="4" max="4" width="23.140625" customWidth="1"/>
    <col min="5" max="5" width="18.7109375" customWidth="1"/>
    <col min="6" max="6" width="18.42578125" customWidth="1"/>
    <col min="7" max="7" width="17.85546875" customWidth="1"/>
    <col min="8" max="9" width="8.85546875" customWidth="1"/>
    <col min="10" max="10" width="10.140625" bestFit="1" customWidth="1"/>
    <col min="11" max="11" width="13.85546875" bestFit="1" customWidth="1"/>
    <col min="12" max="26" width="8.85546875" customWidth="1"/>
  </cols>
  <sheetData>
    <row r="1" spans="1:39" ht="15" customHeight="1" x14ac:dyDescent="0.2">
      <c r="A1" s="140"/>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row>
    <row r="2" spans="1:39" ht="31.5" customHeight="1" x14ac:dyDescent="0.45">
      <c r="B2" s="2636" t="s">
        <v>2076</v>
      </c>
      <c r="H2" s="327"/>
      <c r="I2" s="327"/>
      <c r="J2" s="327"/>
      <c r="K2" s="327"/>
      <c r="L2" s="327"/>
      <c r="M2" s="327"/>
      <c r="N2" s="327"/>
      <c r="O2" s="327"/>
      <c r="P2" s="327"/>
      <c r="Q2" s="327"/>
      <c r="R2" s="327"/>
      <c r="S2" s="327"/>
      <c r="T2" s="327"/>
      <c r="U2" s="327"/>
      <c r="V2" s="327"/>
      <c r="W2" s="327"/>
      <c r="X2" s="327"/>
      <c r="Y2" s="327"/>
      <c r="Z2" s="327"/>
    </row>
    <row r="3" spans="1:39" ht="66.75" customHeight="1" x14ac:dyDescent="0.2"/>
    <row r="4" spans="1:39" ht="11.25" customHeight="1" x14ac:dyDescent="0.2"/>
    <row r="5" spans="1:39" ht="20.25" customHeight="1" x14ac:dyDescent="0.45">
      <c r="B5" s="688" t="s">
        <v>724</v>
      </c>
      <c r="C5" s="689"/>
      <c r="D5" s="690"/>
      <c r="E5" s="691">
        <v>2020</v>
      </c>
      <c r="F5" s="692"/>
      <c r="G5" s="693"/>
      <c r="H5" s="327"/>
      <c r="I5" s="327"/>
      <c r="J5" s="327"/>
      <c r="K5" s="327"/>
      <c r="L5" s="327"/>
      <c r="M5" s="327"/>
    </row>
    <row r="6" spans="1:39" ht="11.25" customHeight="1" x14ac:dyDescent="0.25">
      <c r="B6" s="675"/>
      <c r="C6" s="327"/>
      <c r="D6" s="327"/>
      <c r="E6" s="327"/>
      <c r="F6" s="327"/>
      <c r="G6" s="694"/>
      <c r="H6" s="327"/>
      <c r="I6" s="327"/>
      <c r="J6" s="2933" t="s">
        <v>1</v>
      </c>
      <c r="K6" s="2934"/>
      <c r="L6" s="327"/>
      <c r="M6" s="387"/>
    </row>
    <row r="7" spans="1:39" ht="11.25" customHeight="1" x14ac:dyDescent="0.35">
      <c r="B7" s="695"/>
      <c r="C7" s="696" t="s">
        <v>512</v>
      </c>
      <c r="D7" s="696" t="s">
        <v>700</v>
      </c>
      <c r="E7" s="697" t="s">
        <v>701</v>
      </c>
      <c r="F7" s="698" t="s">
        <v>529</v>
      </c>
      <c r="G7" s="699" t="s">
        <v>529</v>
      </c>
      <c r="H7" s="327"/>
      <c r="I7" s="327"/>
      <c r="J7" s="2641"/>
      <c r="K7" s="2641" t="str">
        <f>Summary!E3</f>
        <v>AR5 100-yr GWP</v>
      </c>
      <c r="L7" s="327"/>
      <c r="M7" s="387"/>
      <c r="N7" s="327"/>
    </row>
    <row r="8" spans="1:39" ht="11.25" customHeight="1" x14ac:dyDescent="0.35">
      <c r="B8" s="613" t="s">
        <v>170</v>
      </c>
      <c r="C8" s="614" t="s">
        <v>531</v>
      </c>
      <c r="D8" s="614" t="s">
        <v>702</v>
      </c>
      <c r="E8" s="700" t="s">
        <v>703</v>
      </c>
      <c r="F8" s="701" t="s">
        <v>704</v>
      </c>
      <c r="G8" s="702" t="s">
        <v>725</v>
      </c>
      <c r="H8" s="387"/>
      <c r="I8" s="327"/>
      <c r="J8" s="2641" t="s">
        <v>521</v>
      </c>
      <c r="K8" s="2642">
        <f>Summary!E4</f>
        <v>1</v>
      </c>
      <c r="L8" s="327"/>
      <c r="M8" s="387"/>
      <c r="N8" s="327"/>
    </row>
    <row r="9" spans="1:39" ht="11.25" customHeight="1" x14ac:dyDescent="0.3">
      <c r="B9" s="642" t="s">
        <v>187</v>
      </c>
      <c r="C9" s="617">
        <v>0</v>
      </c>
      <c r="D9" s="626">
        <v>56.792727272727269</v>
      </c>
      <c r="E9" s="619">
        <v>1</v>
      </c>
      <c r="F9" s="703">
        <f t="shared" ref="F9:F15" si="0">C9*1000*D9*E9/2000</f>
        <v>0</v>
      </c>
      <c r="G9" s="704">
        <f t="shared" ref="G9:G15" si="1">F9*(44/12)*0.907441/1000000</f>
        <v>0</v>
      </c>
      <c r="H9" s="622"/>
      <c r="I9" s="327"/>
      <c r="J9" s="2641" t="s">
        <v>523</v>
      </c>
      <c r="K9" s="2642">
        <f>Summary!E5</f>
        <v>28</v>
      </c>
      <c r="L9" s="622"/>
      <c r="M9" s="623"/>
      <c r="N9" s="327"/>
    </row>
    <row r="10" spans="1:39" ht="11.25" customHeight="1" x14ac:dyDescent="0.3">
      <c r="B10" s="624" t="s">
        <v>522</v>
      </c>
      <c r="C10" s="625">
        <v>6899</v>
      </c>
      <c r="D10" s="626">
        <v>44.47</v>
      </c>
      <c r="E10" s="627">
        <v>1</v>
      </c>
      <c r="F10" s="628">
        <f t="shared" si="0"/>
        <v>153399.26500000001</v>
      </c>
      <c r="G10" s="705">
        <f t="shared" si="1"/>
        <v>0.51040286891317166</v>
      </c>
      <c r="H10" s="622"/>
      <c r="I10" s="327"/>
      <c r="J10" s="2641" t="s">
        <v>525</v>
      </c>
      <c r="K10" s="2642">
        <f>Summary!E6</f>
        <v>265</v>
      </c>
      <c r="L10" s="622"/>
      <c r="M10" s="623"/>
      <c r="N10" s="327"/>
    </row>
    <row r="11" spans="1:39" ht="11.25" customHeight="1" x14ac:dyDescent="0.3">
      <c r="B11" s="624" t="s">
        <v>591</v>
      </c>
      <c r="C11" s="625">
        <v>68</v>
      </c>
      <c r="D11" s="626">
        <v>44.01</v>
      </c>
      <c r="E11" s="627">
        <v>1</v>
      </c>
      <c r="F11" s="628">
        <f t="shared" si="0"/>
        <v>1496.34</v>
      </c>
      <c r="G11" s="705">
        <f t="shared" si="1"/>
        <v>4.9787476417800002E-3</v>
      </c>
      <c r="H11" s="622"/>
      <c r="I11" s="327"/>
      <c r="J11" s="2641" t="s">
        <v>526</v>
      </c>
      <c r="K11" s="2643">
        <f>Summary!E7</f>
        <v>23500</v>
      </c>
      <c r="L11" s="622"/>
      <c r="M11" s="623"/>
      <c r="N11" s="327"/>
    </row>
    <row r="12" spans="1:39" ht="11.25" customHeight="1" x14ac:dyDescent="0.3">
      <c r="B12" s="624" t="s">
        <v>706</v>
      </c>
      <c r="C12" s="625">
        <v>2724</v>
      </c>
      <c r="D12" s="626">
        <v>37.110283550140529</v>
      </c>
      <c r="E12" s="627">
        <v>1</v>
      </c>
      <c r="F12" s="628">
        <f t="shared" si="0"/>
        <v>50544.206195291401</v>
      </c>
      <c r="G12" s="705">
        <f t="shared" si="1"/>
        <v>0.16817491171822521</v>
      </c>
      <c r="H12" s="622"/>
      <c r="I12" s="327"/>
      <c r="L12" s="622"/>
      <c r="M12" s="623"/>
      <c r="N12" s="327"/>
    </row>
    <row r="13" spans="1:39" ht="11.25" customHeight="1" x14ac:dyDescent="0.3">
      <c r="B13" s="624" t="s">
        <v>726</v>
      </c>
      <c r="C13" s="625">
        <v>8320</v>
      </c>
      <c r="D13" s="626">
        <v>42.900741155457617</v>
      </c>
      <c r="E13" s="627">
        <v>1</v>
      </c>
      <c r="F13" s="628">
        <f t="shared" si="0"/>
        <v>178467.08320670368</v>
      </c>
      <c r="G13" s="705">
        <f t="shared" si="1"/>
        <v>0.59381061099130616</v>
      </c>
      <c r="H13" s="622"/>
      <c r="I13" s="327"/>
      <c r="J13" s="622"/>
      <c r="K13" s="623"/>
      <c r="L13" s="622"/>
      <c r="M13" s="623"/>
      <c r="N13" s="327"/>
    </row>
    <row r="14" spans="1:39" ht="11.25" customHeight="1" x14ac:dyDescent="0.3">
      <c r="B14" s="624" t="s">
        <v>524</v>
      </c>
      <c r="C14" s="625">
        <v>0</v>
      </c>
      <c r="D14" s="626">
        <v>45.11</v>
      </c>
      <c r="E14" s="627">
        <v>1</v>
      </c>
      <c r="F14" s="628">
        <f t="shared" si="0"/>
        <v>0</v>
      </c>
      <c r="G14" s="705">
        <f t="shared" si="1"/>
        <v>0</v>
      </c>
      <c r="H14" s="622"/>
      <c r="I14" s="327"/>
      <c r="J14" s="622"/>
      <c r="K14" s="623"/>
      <c r="L14" s="622"/>
      <c r="M14" s="623"/>
      <c r="N14" s="327"/>
    </row>
    <row r="15" spans="1:39" ht="11.25" customHeight="1" x14ac:dyDescent="0.3">
      <c r="B15" s="630" t="s">
        <v>436</v>
      </c>
      <c r="C15" s="706">
        <v>72873</v>
      </c>
      <c r="D15" s="626">
        <v>31.9</v>
      </c>
      <c r="E15" s="707">
        <v>1</v>
      </c>
      <c r="F15" s="708">
        <f t="shared" si="0"/>
        <v>1162324.3500000001</v>
      </c>
      <c r="G15" s="709">
        <f t="shared" si="1"/>
        <v>3.8673828251239502</v>
      </c>
      <c r="H15" s="622"/>
      <c r="I15" s="327"/>
      <c r="J15" s="622"/>
      <c r="K15" s="623"/>
      <c r="L15" s="622"/>
      <c r="M15" s="623"/>
      <c r="N15" s="327"/>
    </row>
    <row r="16" spans="1:39" ht="11.25" customHeight="1" x14ac:dyDescent="0.35">
      <c r="B16" s="710"/>
      <c r="C16" s="711"/>
      <c r="D16" s="711"/>
      <c r="E16" s="711"/>
      <c r="F16" s="712" t="s">
        <v>86</v>
      </c>
      <c r="G16" s="713">
        <f>SUM(G9:G15)</f>
        <v>5.1447499643884331</v>
      </c>
      <c r="H16" s="327"/>
      <c r="I16" s="327"/>
      <c r="J16" s="327"/>
      <c r="K16" s="327"/>
      <c r="L16" s="327"/>
      <c r="M16" s="327"/>
      <c r="N16" s="327"/>
    </row>
    <row r="17" spans="2:13" ht="11.25" customHeight="1" x14ac:dyDescent="0.2"/>
    <row r="18" spans="2:13" ht="11.25" customHeight="1" x14ac:dyDescent="0.2"/>
    <row r="19" spans="2:13" ht="19.5" customHeight="1" x14ac:dyDescent="0.45">
      <c r="B19" s="688" t="s">
        <v>727</v>
      </c>
      <c r="C19" s="689"/>
      <c r="D19" s="689"/>
      <c r="E19" s="691">
        <v>2020</v>
      </c>
      <c r="F19" s="692"/>
      <c r="G19" s="693"/>
      <c r="H19" s="327"/>
      <c r="I19" s="327"/>
      <c r="J19" s="327"/>
      <c r="K19" s="327"/>
      <c r="L19" s="327"/>
      <c r="M19" s="327"/>
    </row>
    <row r="20" spans="2:13" ht="11.25" customHeight="1" x14ac:dyDescent="0.25">
      <c r="B20" s="675"/>
      <c r="C20" s="327"/>
      <c r="D20" s="327"/>
      <c r="E20" s="327"/>
      <c r="F20" s="327"/>
      <c r="G20" s="694"/>
      <c r="H20" s="327"/>
      <c r="I20" s="327"/>
      <c r="J20" s="327"/>
      <c r="K20" s="327"/>
      <c r="L20" s="327"/>
      <c r="M20" s="387"/>
    </row>
    <row r="21" spans="2:13" ht="11.25" customHeight="1" x14ac:dyDescent="0.35">
      <c r="B21" s="695"/>
      <c r="C21" s="696" t="s">
        <v>512</v>
      </c>
      <c r="D21" s="696" t="s">
        <v>700</v>
      </c>
      <c r="E21" s="696" t="s">
        <v>538</v>
      </c>
      <c r="F21" s="696" t="s">
        <v>530</v>
      </c>
      <c r="G21" s="714" t="s">
        <v>529</v>
      </c>
      <c r="H21" s="327"/>
      <c r="J21" s="327"/>
      <c r="K21" s="387"/>
      <c r="L21" s="327"/>
      <c r="M21" s="387"/>
    </row>
    <row r="22" spans="2:13" ht="11.25" customHeight="1" x14ac:dyDescent="0.35">
      <c r="B22" s="613" t="s">
        <v>170</v>
      </c>
      <c r="C22" s="614" t="s">
        <v>531</v>
      </c>
      <c r="D22" s="614" t="s">
        <v>728</v>
      </c>
      <c r="E22" s="614" t="s">
        <v>729</v>
      </c>
      <c r="F22" s="614"/>
      <c r="G22" s="615" t="s">
        <v>714</v>
      </c>
      <c r="H22" s="387"/>
      <c r="J22" s="327"/>
      <c r="K22" s="387"/>
      <c r="L22" s="327"/>
      <c r="M22" s="387"/>
    </row>
    <row r="23" spans="2:13" ht="11.25" customHeight="1" x14ac:dyDescent="0.3">
      <c r="B23" s="642" t="s">
        <v>187</v>
      </c>
      <c r="C23" s="617">
        <v>0</v>
      </c>
      <c r="D23" s="661">
        <v>1.5034545899835E-3</v>
      </c>
      <c r="E23" s="715">
        <f t="shared" ref="E23:E30" si="2">C23*D23</f>
        <v>0</v>
      </c>
      <c r="F23" s="646">
        <f>K10</f>
        <v>265</v>
      </c>
      <c r="G23" s="704">
        <f t="shared" ref="G23:G30" si="3">E23*F23/1000000</f>
        <v>0</v>
      </c>
      <c r="H23" s="716"/>
      <c r="J23" s="622"/>
      <c r="K23" s="623"/>
      <c r="L23" s="622"/>
      <c r="M23" s="649"/>
    </row>
    <row r="24" spans="2:13" ht="11.25" customHeight="1" x14ac:dyDescent="0.3">
      <c r="B24" s="624" t="s">
        <v>522</v>
      </c>
      <c r="C24" s="625">
        <f t="shared" ref="C24:C27" si="4">C10</f>
        <v>6899</v>
      </c>
      <c r="D24" s="650">
        <v>6.0138183599339984E-4</v>
      </c>
      <c r="E24" s="664">
        <f t="shared" si="2"/>
        <v>4.1489332865184654</v>
      </c>
      <c r="F24" s="652">
        <f>K10</f>
        <v>265</v>
      </c>
      <c r="G24" s="705">
        <f t="shared" si="3"/>
        <v>1.0994673209273934E-3</v>
      </c>
      <c r="H24" s="716"/>
      <c r="J24" s="622"/>
      <c r="K24" s="623"/>
      <c r="L24" s="622"/>
      <c r="M24" s="649"/>
    </row>
    <row r="25" spans="2:13" ht="11.25" customHeight="1" x14ac:dyDescent="0.3">
      <c r="B25" s="624" t="s">
        <v>591</v>
      </c>
      <c r="C25" s="625">
        <f t="shared" si="4"/>
        <v>68</v>
      </c>
      <c r="D25" s="650">
        <v>6.0138183599339984E-4</v>
      </c>
      <c r="E25" s="664">
        <f t="shared" si="2"/>
        <v>4.0893964847551187E-2</v>
      </c>
      <c r="F25" s="652">
        <f>K10</f>
        <v>265</v>
      </c>
      <c r="G25" s="705">
        <f t="shared" si="3"/>
        <v>1.0836900684601064E-5</v>
      </c>
      <c r="H25" s="716"/>
      <c r="J25" s="622"/>
      <c r="K25" s="623"/>
      <c r="L25" s="622"/>
      <c r="M25" s="649"/>
    </row>
    <row r="26" spans="2:13" ht="11.25" customHeight="1" x14ac:dyDescent="0.3">
      <c r="B26" s="624" t="s">
        <v>706</v>
      </c>
      <c r="C26" s="625">
        <f t="shared" si="4"/>
        <v>2724</v>
      </c>
      <c r="D26" s="650">
        <v>6.0138183599339984E-4</v>
      </c>
      <c r="E26" s="664">
        <f t="shared" si="2"/>
        <v>1.6381641212460212</v>
      </c>
      <c r="F26" s="652">
        <f>K10</f>
        <v>265</v>
      </c>
      <c r="G26" s="705">
        <f t="shared" si="3"/>
        <v>4.3411349213019561E-4</v>
      </c>
      <c r="H26" s="716"/>
      <c r="J26" s="622"/>
      <c r="K26" s="623"/>
      <c r="L26" s="622"/>
      <c r="M26" s="649"/>
    </row>
    <row r="27" spans="2:13" ht="11.25" customHeight="1" x14ac:dyDescent="0.3">
      <c r="B27" s="624" t="s">
        <v>726</v>
      </c>
      <c r="C27" s="625">
        <f t="shared" si="4"/>
        <v>8320</v>
      </c>
      <c r="D27" s="650">
        <v>6.0138183599339984E-4</v>
      </c>
      <c r="E27" s="664">
        <f t="shared" si="2"/>
        <v>5.0034968754650864</v>
      </c>
      <c r="F27" s="652">
        <f>K10</f>
        <v>265</v>
      </c>
      <c r="G27" s="705">
        <f t="shared" si="3"/>
        <v>1.3259266719982479E-3</v>
      </c>
      <c r="H27" s="716"/>
      <c r="J27" s="622"/>
      <c r="K27" s="623"/>
      <c r="L27" s="622"/>
      <c r="M27" s="649"/>
    </row>
    <row r="28" spans="2:13" ht="11.25" customHeight="1" x14ac:dyDescent="0.3">
      <c r="B28" s="624" t="s">
        <v>524</v>
      </c>
      <c r="C28" s="625">
        <v>0</v>
      </c>
      <c r="D28" s="650">
        <v>6.0138183599339984E-4</v>
      </c>
      <c r="E28" s="664">
        <f t="shared" si="2"/>
        <v>0</v>
      </c>
      <c r="F28" s="652">
        <f>K10</f>
        <v>265</v>
      </c>
      <c r="G28" s="705">
        <f t="shared" si="3"/>
        <v>0</v>
      </c>
      <c r="H28" s="716"/>
      <c r="J28" s="622"/>
      <c r="K28" s="623"/>
      <c r="L28" s="622"/>
      <c r="M28" s="649"/>
    </row>
    <row r="29" spans="2:13" ht="11.25" customHeight="1" x14ac:dyDescent="0.3">
      <c r="B29" s="624" t="s">
        <v>436</v>
      </c>
      <c r="C29" s="625">
        <f>C15</f>
        <v>72873</v>
      </c>
      <c r="D29" s="650">
        <v>9.4955026735800017E-5</v>
      </c>
      <c r="E29" s="664">
        <f t="shared" si="2"/>
        <v>6.9196576633179543</v>
      </c>
      <c r="F29" s="652">
        <f>K10</f>
        <v>265</v>
      </c>
      <c r="G29" s="705">
        <f t="shared" si="3"/>
        <v>1.8337092807792579E-3</v>
      </c>
      <c r="H29" s="716"/>
      <c r="J29" s="622"/>
      <c r="K29" s="623"/>
      <c r="L29" s="622"/>
      <c r="M29" s="649"/>
    </row>
    <row r="30" spans="2:13" ht="11.25" customHeight="1" x14ac:dyDescent="0.3">
      <c r="B30" s="624" t="s">
        <v>690</v>
      </c>
      <c r="C30" s="625">
        <v>1393</v>
      </c>
      <c r="D30" s="650">
        <v>3.7982010694320003E-3</v>
      </c>
      <c r="E30" s="664">
        <f t="shared" si="2"/>
        <v>5.2908940897187762</v>
      </c>
      <c r="F30" s="652">
        <f>K10</f>
        <v>265</v>
      </c>
      <c r="G30" s="705">
        <f t="shared" si="3"/>
        <v>1.4020869337754756E-3</v>
      </c>
      <c r="H30" s="716"/>
      <c r="J30" s="622"/>
      <c r="K30" s="623"/>
      <c r="L30" s="622"/>
      <c r="M30" s="649"/>
    </row>
    <row r="31" spans="2:13" ht="11.25" customHeight="1" x14ac:dyDescent="0.35">
      <c r="B31" s="636"/>
      <c r="C31" s="717"/>
      <c r="D31" s="637"/>
      <c r="E31" s="637"/>
      <c r="F31" s="718" t="s">
        <v>86</v>
      </c>
      <c r="G31" s="719">
        <f>SUM(G23:G30)</f>
        <v>6.1061406002951716E-3</v>
      </c>
      <c r="H31" s="327"/>
      <c r="J31" s="622"/>
      <c r="K31" s="659"/>
      <c r="L31" s="622"/>
      <c r="M31" s="660"/>
    </row>
    <row r="32" spans="2:13" ht="11.25" customHeight="1" x14ac:dyDescent="0.2">
      <c r="J32" s="327"/>
      <c r="K32" s="327"/>
      <c r="L32" s="327"/>
      <c r="M32" s="327"/>
    </row>
    <row r="33" spans="2:13" ht="11.25" customHeight="1" x14ac:dyDescent="0.2"/>
    <row r="34" spans="2:13" ht="21" customHeight="1" x14ac:dyDescent="0.45">
      <c r="B34" s="688" t="s">
        <v>730</v>
      </c>
      <c r="C34" s="689"/>
      <c r="D34" s="689"/>
      <c r="E34" s="691">
        <v>2020</v>
      </c>
      <c r="F34" s="692"/>
      <c r="G34" s="693"/>
      <c r="H34" s="327"/>
      <c r="I34" s="327"/>
      <c r="J34" s="327"/>
      <c r="K34" s="327"/>
      <c r="L34" s="327"/>
      <c r="M34" s="327"/>
    </row>
    <row r="35" spans="2:13" ht="11.25" customHeight="1" x14ac:dyDescent="0.25">
      <c r="B35" s="675"/>
      <c r="C35" s="327"/>
      <c r="D35" s="327"/>
      <c r="E35" s="327"/>
      <c r="F35" s="327"/>
      <c r="G35" s="694"/>
      <c r="H35" s="327"/>
      <c r="I35" s="327"/>
      <c r="J35" s="327"/>
      <c r="K35" s="327"/>
      <c r="L35" s="327"/>
      <c r="M35" s="387"/>
    </row>
    <row r="36" spans="2:13" ht="11.25" customHeight="1" x14ac:dyDescent="0.35">
      <c r="B36" s="720"/>
      <c r="C36" s="721" t="s">
        <v>512</v>
      </c>
      <c r="D36" s="721" t="s">
        <v>700</v>
      </c>
      <c r="E36" s="721" t="s">
        <v>529</v>
      </c>
      <c r="F36" s="721" t="s">
        <v>530</v>
      </c>
      <c r="G36" s="722" t="s">
        <v>529</v>
      </c>
      <c r="H36" s="327"/>
      <c r="I36" s="327"/>
      <c r="J36" s="327"/>
      <c r="K36" s="387"/>
      <c r="L36" s="327"/>
      <c r="M36" s="327"/>
    </row>
    <row r="37" spans="2:13" ht="11.25" customHeight="1" x14ac:dyDescent="0.35">
      <c r="B37" s="723" t="s">
        <v>170</v>
      </c>
      <c r="C37" s="724" t="s">
        <v>531</v>
      </c>
      <c r="D37" s="724" t="s">
        <v>731</v>
      </c>
      <c r="E37" s="724" t="s">
        <v>732</v>
      </c>
      <c r="F37" s="724"/>
      <c r="G37" s="725" t="s">
        <v>733</v>
      </c>
      <c r="H37" s="387"/>
      <c r="I37" s="327"/>
      <c r="J37" s="327"/>
      <c r="K37" s="387"/>
      <c r="L37" s="327"/>
      <c r="M37" s="327"/>
    </row>
    <row r="38" spans="2:13" ht="11.25" customHeight="1" x14ac:dyDescent="0.3">
      <c r="B38" s="642" t="s">
        <v>187</v>
      </c>
      <c r="C38" s="617">
        <v>0</v>
      </c>
      <c r="D38" s="661">
        <v>1.0023030599889999E-2</v>
      </c>
      <c r="E38" s="726">
        <f t="shared" ref="E38:E45" si="5">C38*D38</f>
        <v>0</v>
      </c>
      <c r="F38" s="646">
        <f>K9</f>
        <v>28</v>
      </c>
      <c r="G38" s="727">
        <f t="shared" ref="G38:G45" si="6">E38*F38/1000000</f>
        <v>0</v>
      </c>
      <c r="H38" s="716"/>
      <c r="I38" s="327"/>
      <c r="J38" s="622"/>
      <c r="K38" s="623"/>
      <c r="L38" s="622"/>
      <c r="M38" s="649"/>
    </row>
    <row r="39" spans="2:13" ht="11.25" customHeight="1" x14ac:dyDescent="0.3">
      <c r="B39" s="624" t="s">
        <v>522</v>
      </c>
      <c r="C39" s="625">
        <f t="shared" ref="C39:C42" si="7">C10</f>
        <v>6899</v>
      </c>
      <c r="D39" s="650">
        <v>1.0023030599889999E-2</v>
      </c>
      <c r="E39" s="728">
        <f t="shared" si="5"/>
        <v>69.148888108641103</v>
      </c>
      <c r="F39" s="652">
        <f>K9</f>
        <v>28</v>
      </c>
      <c r="G39" s="729">
        <f t="shared" si="6"/>
        <v>1.9361688670419509E-3</v>
      </c>
      <c r="H39" s="716"/>
      <c r="I39" s="327"/>
      <c r="J39" s="622"/>
      <c r="K39" s="623"/>
      <c r="L39" s="622"/>
      <c r="M39" s="649"/>
    </row>
    <row r="40" spans="2:13" ht="11.25" customHeight="1" x14ac:dyDescent="0.3">
      <c r="B40" s="624" t="s">
        <v>591</v>
      </c>
      <c r="C40" s="625">
        <f t="shared" si="7"/>
        <v>68</v>
      </c>
      <c r="D40" s="650">
        <v>1.0023030599889999E-2</v>
      </c>
      <c r="E40" s="728">
        <f t="shared" si="5"/>
        <v>0.6815660807925199</v>
      </c>
      <c r="F40" s="652">
        <f>K9</f>
        <v>28</v>
      </c>
      <c r="G40" s="729">
        <f t="shared" si="6"/>
        <v>1.908385026219056E-5</v>
      </c>
      <c r="H40" s="716"/>
      <c r="I40" s="327"/>
      <c r="J40" s="622"/>
      <c r="K40" s="623"/>
      <c r="L40" s="622"/>
      <c r="M40" s="649"/>
    </row>
    <row r="41" spans="2:13" ht="11.25" customHeight="1" x14ac:dyDescent="0.3">
      <c r="B41" s="624" t="s">
        <v>706</v>
      </c>
      <c r="C41" s="625">
        <f t="shared" si="7"/>
        <v>2724</v>
      </c>
      <c r="D41" s="650">
        <v>1.0023030599889999E-2</v>
      </c>
      <c r="E41" s="728">
        <f t="shared" si="5"/>
        <v>27.302735354100356</v>
      </c>
      <c r="F41" s="652">
        <f>K9</f>
        <v>28</v>
      </c>
      <c r="G41" s="729">
        <f t="shared" si="6"/>
        <v>7.6447658991480997E-4</v>
      </c>
      <c r="H41" s="716"/>
      <c r="I41" s="327"/>
      <c r="J41" s="622"/>
      <c r="K41" s="623"/>
      <c r="L41" s="622"/>
      <c r="M41" s="649"/>
    </row>
    <row r="42" spans="2:13" ht="11.25" customHeight="1" x14ac:dyDescent="0.3">
      <c r="B42" s="624" t="s">
        <v>726</v>
      </c>
      <c r="C42" s="625">
        <f t="shared" si="7"/>
        <v>8320</v>
      </c>
      <c r="D42" s="650">
        <v>1.0023030599889999E-2</v>
      </c>
      <c r="E42" s="728">
        <f t="shared" si="5"/>
        <v>83.391614591084789</v>
      </c>
      <c r="F42" s="652">
        <f>K9</f>
        <v>28</v>
      </c>
      <c r="G42" s="729">
        <f t="shared" si="6"/>
        <v>2.3349652085503741E-3</v>
      </c>
      <c r="H42" s="716"/>
      <c r="I42" s="327"/>
      <c r="J42" s="622"/>
      <c r="K42" s="623"/>
      <c r="L42" s="622"/>
      <c r="M42" s="649"/>
    </row>
    <row r="43" spans="2:13" ht="11.25" customHeight="1" x14ac:dyDescent="0.3">
      <c r="B43" s="624" t="s">
        <v>524</v>
      </c>
      <c r="C43" s="625">
        <v>0</v>
      </c>
      <c r="D43" s="650">
        <v>1.0023030599889999E-2</v>
      </c>
      <c r="E43" s="728">
        <f t="shared" si="5"/>
        <v>0</v>
      </c>
      <c r="F43" s="652">
        <f>K9</f>
        <v>28</v>
      </c>
      <c r="G43" s="729">
        <f t="shared" si="6"/>
        <v>0</v>
      </c>
      <c r="H43" s="716"/>
      <c r="I43" s="327"/>
      <c r="J43" s="622"/>
      <c r="K43" s="623"/>
      <c r="L43" s="622"/>
      <c r="M43" s="649"/>
    </row>
    <row r="44" spans="2:13" ht="11.25" customHeight="1" x14ac:dyDescent="0.3">
      <c r="B44" s="624" t="s">
        <v>436</v>
      </c>
      <c r="C44" s="625">
        <f>C15</f>
        <v>72873</v>
      </c>
      <c r="D44" s="650">
        <v>4.7477513367900001E-3</v>
      </c>
      <c r="E44" s="728">
        <f t="shared" si="5"/>
        <v>345.9828831658977</v>
      </c>
      <c r="F44" s="652">
        <f>K9</f>
        <v>28</v>
      </c>
      <c r="G44" s="729">
        <f t="shared" si="6"/>
        <v>9.6875207286451354E-3</v>
      </c>
      <c r="H44" s="716"/>
      <c r="I44" s="327"/>
      <c r="J44" s="622"/>
      <c r="K44" s="623"/>
      <c r="L44" s="622"/>
      <c r="M44" s="649"/>
    </row>
    <row r="45" spans="2:13" ht="11.25" customHeight="1" x14ac:dyDescent="0.3">
      <c r="B45" s="624" t="s">
        <v>690</v>
      </c>
      <c r="C45" s="625">
        <f>C30</f>
        <v>1393</v>
      </c>
      <c r="D45" s="650">
        <v>0.28486508020740003</v>
      </c>
      <c r="E45" s="728">
        <f t="shared" si="5"/>
        <v>396.81705672890826</v>
      </c>
      <c r="F45" s="730">
        <f>K9</f>
        <v>28</v>
      </c>
      <c r="G45" s="731">
        <f t="shared" si="6"/>
        <v>1.1110877588409432E-2</v>
      </c>
      <c r="H45" s="716"/>
      <c r="I45" s="327"/>
      <c r="J45" s="622"/>
      <c r="K45" s="623"/>
      <c r="L45" s="622"/>
      <c r="M45" s="649"/>
    </row>
    <row r="46" spans="2:13" ht="11.25" customHeight="1" x14ac:dyDescent="0.35">
      <c r="B46" s="636"/>
      <c r="C46" s="637"/>
      <c r="D46" s="637"/>
      <c r="E46" s="637"/>
      <c r="F46" s="732" t="s">
        <v>86</v>
      </c>
      <c r="G46" s="733">
        <f>SUM(G38:G45)</f>
        <v>2.5853092832823894E-2</v>
      </c>
      <c r="H46" s="327"/>
      <c r="I46" s="327"/>
      <c r="J46" s="622"/>
      <c r="K46" s="659"/>
      <c r="L46" s="622"/>
      <c r="M46" s="660"/>
    </row>
    <row r="47" spans="2:13" ht="11.25" customHeight="1" x14ac:dyDescent="0.2"/>
    <row r="48" spans="2:13" ht="11.25" customHeight="1" x14ac:dyDescent="0.2"/>
    <row r="49" spans="1:7" ht="21" customHeight="1" x14ac:dyDescent="0.45">
      <c r="B49" s="734" t="s">
        <v>734</v>
      </c>
      <c r="C49" s="735"/>
      <c r="D49" s="735"/>
      <c r="E49" s="736"/>
    </row>
    <row r="50" spans="1:7" ht="11.25" customHeight="1" x14ac:dyDescent="0.2"/>
    <row r="51" spans="1:7" ht="11.25" customHeight="1" x14ac:dyDescent="0.2"/>
    <row r="52" spans="1:7" ht="11.25" customHeight="1" x14ac:dyDescent="0.25">
      <c r="B52" s="737"/>
      <c r="C52" s="738"/>
      <c r="D52" s="739" t="s">
        <v>735</v>
      </c>
      <c r="E52" s="739" t="s">
        <v>736</v>
      </c>
      <c r="F52" s="739" t="s">
        <v>737</v>
      </c>
      <c r="G52" s="674" t="s">
        <v>639</v>
      </c>
    </row>
    <row r="53" spans="1:7" ht="11.25" customHeight="1" x14ac:dyDescent="0.35">
      <c r="B53" s="740"/>
      <c r="C53" s="741" t="s">
        <v>512</v>
      </c>
      <c r="D53" s="742" t="s">
        <v>529</v>
      </c>
      <c r="E53" s="742" t="s">
        <v>529</v>
      </c>
      <c r="F53" s="742" t="s">
        <v>529</v>
      </c>
      <c r="G53" s="743" t="s">
        <v>529</v>
      </c>
    </row>
    <row r="54" spans="1:7" ht="11.25" customHeight="1" x14ac:dyDescent="0.35">
      <c r="B54" s="744" t="s">
        <v>170</v>
      </c>
      <c r="C54" s="745" t="s">
        <v>531</v>
      </c>
      <c r="D54" s="614" t="s">
        <v>738</v>
      </c>
      <c r="E54" s="614" t="s">
        <v>739</v>
      </c>
      <c r="F54" s="614" t="s">
        <v>740</v>
      </c>
      <c r="G54" s="615" t="s">
        <v>741</v>
      </c>
    </row>
    <row r="55" spans="1:7" ht="11.25" customHeight="1" x14ac:dyDescent="0.3">
      <c r="A55" s="1" t="s">
        <v>187</v>
      </c>
      <c r="B55" s="746" t="s">
        <v>187</v>
      </c>
      <c r="C55" s="617">
        <v>0</v>
      </c>
      <c r="D55" s="747">
        <f t="shared" ref="D55:D61" si="8">G9</f>
        <v>0</v>
      </c>
      <c r="E55" s="748">
        <f t="shared" ref="E55:E62" si="9">G38</f>
        <v>0</v>
      </c>
      <c r="F55" s="749">
        <f t="shared" ref="F55:F62" si="10">G23</f>
        <v>0</v>
      </c>
      <c r="G55" s="750">
        <f t="shared" ref="G55:G62" si="11">D55+E55+F55</f>
        <v>0</v>
      </c>
    </row>
    <row r="56" spans="1:7" ht="11.25" customHeight="1" x14ac:dyDescent="0.3">
      <c r="A56" s="1" t="s">
        <v>657</v>
      </c>
      <c r="B56" s="751" t="s">
        <v>522</v>
      </c>
      <c r="C56" s="625">
        <v>7969</v>
      </c>
      <c r="D56" s="752">
        <f t="shared" si="8"/>
        <v>0.51040286891317166</v>
      </c>
      <c r="E56" s="753">
        <f t="shared" si="9"/>
        <v>1.9361688670419509E-3</v>
      </c>
      <c r="F56" s="754">
        <f t="shared" si="10"/>
        <v>1.0994673209273934E-3</v>
      </c>
      <c r="G56" s="705">
        <f t="shared" si="11"/>
        <v>0.51343850510114097</v>
      </c>
    </row>
    <row r="57" spans="1:7" ht="11.25" customHeight="1" x14ac:dyDescent="0.3">
      <c r="A57" s="1" t="s">
        <v>657</v>
      </c>
      <c r="B57" s="751" t="s">
        <v>591</v>
      </c>
      <c r="C57" s="625">
        <v>67</v>
      </c>
      <c r="D57" s="752">
        <f t="shared" si="8"/>
        <v>4.9787476417800002E-3</v>
      </c>
      <c r="E57" s="753">
        <f t="shared" si="9"/>
        <v>1.908385026219056E-5</v>
      </c>
      <c r="F57" s="754">
        <f t="shared" si="10"/>
        <v>1.0836900684601064E-5</v>
      </c>
      <c r="G57" s="705">
        <f t="shared" si="11"/>
        <v>5.008668392726792E-3</v>
      </c>
    </row>
    <row r="58" spans="1:7" ht="11.25" customHeight="1" x14ac:dyDescent="0.3">
      <c r="A58" s="1" t="s">
        <v>723</v>
      </c>
      <c r="B58" s="751" t="s">
        <v>706</v>
      </c>
      <c r="C58" s="625">
        <v>3469</v>
      </c>
      <c r="D58" s="752">
        <f t="shared" si="8"/>
        <v>0.16817491171822521</v>
      </c>
      <c r="E58" s="753">
        <f t="shared" si="9"/>
        <v>7.6447658991480997E-4</v>
      </c>
      <c r="F58" s="754">
        <f t="shared" si="10"/>
        <v>4.3411349213019561E-4</v>
      </c>
      <c r="G58" s="705">
        <f t="shared" si="11"/>
        <v>0.16937350180027019</v>
      </c>
    </row>
    <row r="59" spans="1:7" ht="11.25" customHeight="1" x14ac:dyDescent="0.3">
      <c r="A59" s="1" t="s">
        <v>657</v>
      </c>
      <c r="B59" s="751" t="s">
        <v>726</v>
      </c>
      <c r="C59" s="625">
        <v>8270</v>
      </c>
      <c r="D59" s="752">
        <f t="shared" si="8"/>
        <v>0.59381061099130616</v>
      </c>
      <c r="E59" s="753">
        <f t="shared" si="9"/>
        <v>2.3349652085503741E-3</v>
      </c>
      <c r="F59" s="754">
        <f t="shared" si="10"/>
        <v>1.3259266719982479E-3</v>
      </c>
      <c r="G59" s="705">
        <f t="shared" si="11"/>
        <v>0.5974715028718548</v>
      </c>
    </row>
    <row r="60" spans="1:7" ht="11.25" customHeight="1" x14ac:dyDescent="0.3">
      <c r="A60" s="1" t="s">
        <v>657</v>
      </c>
      <c r="B60" s="751" t="s">
        <v>524</v>
      </c>
      <c r="C60" s="625">
        <v>0</v>
      </c>
      <c r="D60" s="752">
        <f t="shared" si="8"/>
        <v>0</v>
      </c>
      <c r="E60" s="753">
        <f t="shared" si="9"/>
        <v>0</v>
      </c>
      <c r="F60" s="754">
        <f t="shared" si="10"/>
        <v>0</v>
      </c>
      <c r="G60" s="705">
        <f t="shared" si="11"/>
        <v>0</v>
      </c>
    </row>
    <row r="61" spans="1:7" ht="11.25" customHeight="1" x14ac:dyDescent="0.3">
      <c r="A61" s="1" t="s">
        <v>723</v>
      </c>
      <c r="B61" s="751" t="s">
        <v>436</v>
      </c>
      <c r="C61" s="625">
        <v>79809</v>
      </c>
      <c r="D61" s="752">
        <f t="shared" si="8"/>
        <v>3.8673828251239502</v>
      </c>
      <c r="E61" s="753">
        <f t="shared" si="9"/>
        <v>9.6875207286451354E-3</v>
      </c>
      <c r="F61" s="754">
        <f t="shared" si="10"/>
        <v>1.8337092807792579E-3</v>
      </c>
      <c r="G61" s="705">
        <f t="shared" si="11"/>
        <v>3.8789040551333747</v>
      </c>
    </row>
    <row r="62" spans="1:7" ht="11.25" customHeight="1" x14ac:dyDescent="0.3">
      <c r="A62" s="1" t="s">
        <v>690</v>
      </c>
      <c r="B62" s="751" t="s">
        <v>690</v>
      </c>
      <c r="C62" s="625">
        <v>1378</v>
      </c>
      <c r="D62" s="755">
        <v>0</v>
      </c>
      <c r="E62" s="753">
        <f t="shared" si="9"/>
        <v>1.1110877588409432E-2</v>
      </c>
      <c r="F62" s="754">
        <f t="shared" si="10"/>
        <v>1.4020869337754756E-3</v>
      </c>
      <c r="G62" s="756">
        <f t="shared" si="11"/>
        <v>1.2512964522184908E-2</v>
      </c>
    </row>
    <row r="63" spans="1:7" ht="11.25" customHeight="1" x14ac:dyDescent="0.35">
      <c r="B63" s="757"/>
      <c r="C63" s="758"/>
      <c r="D63" s="758"/>
      <c r="E63" s="758"/>
      <c r="F63" s="759" t="s">
        <v>86</v>
      </c>
      <c r="G63" s="760">
        <f>SUM(G55:G62)</f>
        <v>5.1767091978215527</v>
      </c>
    </row>
    <row r="64" spans="1:7"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row r="1001" ht="11.25" customHeight="1" x14ac:dyDescent="0.2"/>
  </sheetData>
  <mergeCells count="1">
    <mergeCell ref="J6:K6"/>
  </mergeCells>
  <pageMargins left="0.17" right="0.3" top="1" bottom="1" header="0" footer="0"/>
  <pageSetup orientation="portrait"/>
  <colBreaks count="1" manualBreakCount="1">
    <brk id="7" man="1"/>
  </colBreaks>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998"/>
  <sheetViews>
    <sheetView workbookViewId="0"/>
  </sheetViews>
  <sheetFormatPr defaultColWidth="16.85546875" defaultRowHeight="15" customHeight="1" x14ac:dyDescent="0.2"/>
  <cols>
    <col min="1" max="1" width="5" customWidth="1"/>
    <col min="2" max="2" width="39" customWidth="1"/>
    <col min="3" max="3" width="13.28515625" customWidth="1"/>
    <col min="4" max="4" width="15.7109375" customWidth="1"/>
    <col min="5" max="5" width="13.7109375" customWidth="1"/>
    <col min="6" max="6" width="22" customWidth="1"/>
    <col min="7" max="7" width="17.85546875" customWidth="1"/>
    <col min="8" max="8" width="20.28515625" customWidth="1"/>
    <col min="9" max="9" width="15.140625" customWidth="1"/>
    <col min="10" max="10" width="19.28515625" customWidth="1"/>
    <col min="11" max="11" width="17.140625" customWidth="1"/>
    <col min="12" max="17" width="9.28515625" customWidth="1"/>
    <col min="18" max="26" width="8.85546875" customWidth="1"/>
  </cols>
  <sheetData>
    <row r="1" spans="1:26" ht="36" customHeight="1" x14ac:dyDescent="0.5">
      <c r="A1" s="376" t="s">
        <v>742</v>
      </c>
      <c r="B1" s="329"/>
      <c r="C1" s="761"/>
      <c r="D1" s="761"/>
      <c r="E1" s="140"/>
      <c r="F1" s="140"/>
      <c r="G1" s="762"/>
      <c r="H1" s="140"/>
      <c r="I1" s="140"/>
      <c r="J1" s="140"/>
      <c r="K1" s="140"/>
      <c r="L1" s="140"/>
      <c r="M1" s="140"/>
      <c r="N1" s="140"/>
      <c r="O1" s="140"/>
      <c r="P1" s="140"/>
      <c r="Q1" s="140"/>
      <c r="R1" s="140"/>
      <c r="S1" s="140"/>
      <c r="T1" s="140"/>
      <c r="U1" s="140"/>
      <c r="V1" s="140"/>
      <c r="W1" s="140"/>
      <c r="X1" s="140"/>
      <c r="Y1" s="140"/>
      <c r="Z1" s="140"/>
    </row>
    <row r="2" spans="1:26" ht="80.25" customHeight="1" x14ac:dyDescent="0.2">
      <c r="A2" s="2942"/>
      <c r="B2" s="2943"/>
      <c r="C2" s="2943"/>
      <c r="D2" s="2943"/>
      <c r="E2" s="2943"/>
      <c r="F2" s="2943"/>
      <c r="G2" s="2943"/>
      <c r="H2" s="2943"/>
      <c r="I2" s="2943"/>
      <c r="J2" s="2943"/>
      <c r="K2" s="2943"/>
      <c r="L2" s="140"/>
      <c r="M2" s="140"/>
      <c r="N2" s="140"/>
      <c r="O2" s="140"/>
      <c r="P2" s="140"/>
      <c r="Q2" s="140"/>
      <c r="R2" s="140"/>
      <c r="S2" s="140"/>
      <c r="T2" s="140"/>
      <c r="U2" s="140"/>
      <c r="V2" s="140"/>
      <c r="W2" s="140"/>
      <c r="X2" s="140"/>
      <c r="Y2" s="140"/>
      <c r="Z2" s="140"/>
    </row>
    <row r="3" spans="1:26" ht="11.25" customHeight="1" x14ac:dyDescent="0.2">
      <c r="A3" s="327"/>
      <c r="B3" s="327"/>
      <c r="C3" s="327"/>
      <c r="D3" s="327"/>
      <c r="E3" s="327"/>
      <c r="F3" s="327"/>
      <c r="G3" s="327"/>
      <c r="H3" s="327"/>
      <c r="I3" s="327"/>
      <c r="J3" s="327"/>
      <c r="K3" s="327"/>
      <c r="L3" s="327"/>
      <c r="M3" s="327"/>
      <c r="N3" s="327"/>
      <c r="O3" s="327"/>
      <c r="P3" s="327"/>
      <c r="Q3" s="327"/>
      <c r="R3" s="327"/>
      <c r="S3" s="327"/>
      <c r="T3" s="327"/>
      <c r="U3" s="327"/>
      <c r="V3" s="327"/>
      <c r="W3" s="327"/>
      <c r="X3" s="327"/>
      <c r="Y3" s="327"/>
      <c r="Z3" s="327"/>
    </row>
    <row r="4" spans="1:26" ht="19.5" customHeight="1" x14ac:dyDescent="0.35">
      <c r="A4" s="327"/>
      <c r="B4" s="763" t="s">
        <v>743</v>
      </c>
      <c r="C4" s="764"/>
      <c r="D4" s="764"/>
      <c r="E4" s="765">
        <v>2020</v>
      </c>
      <c r="F4" s="140"/>
      <c r="G4" s="140"/>
      <c r="H4" s="140"/>
      <c r="I4" s="140"/>
      <c r="J4" s="140"/>
      <c r="K4" s="140"/>
      <c r="L4" s="140"/>
      <c r="M4" s="140"/>
      <c r="N4" s="140"/>
      <c r="O4" s="140"/>
      <c r="P4" s="140"/>
      <c r="Q4" s="327"/>
      <c r="R4" s="327"/>
      <c r="S4" s="327"/>
      <c r="T4" s="327"/>
      <c r="U4" s="327"/>
      <c r="V4" s="327"/>
      <c r="W4" s="327"/>
      <c r="X4" s="327"/>
      <c r="Y4" s="327"/>
      <c r="Z4" s="327"/>
    </row>
    <row r="5" spans="1:26" ht="11.25" customHeight="1" x14ac:dyDescent="0.35">
      <c r="A5" s="327"/>
      <c r="B5" s="766"/>
      <c r="C5" s="767" t="s">
        <v>744</v>
      </c>
      <c r="D5" s="767" t="s">
        <v>745</v>
      </c>
      <c r="E5" s="767" t="s">
        <v>746</v>
      </c>
      <c r="F5" s="768"/>
      <c r="G5" s="767" t="s">
        <v>747</v>
      </c>
      <c r="H5" s="768"/>
      <c r="I5" s="768"/>
      <c r="J5" s="768"/>
      <c r="K5" s="769"/>
      <c r="L5" s="140"/>
      <c r="M5" s="140"/>
      <c r="N5" s="140"/>
      <c r="O5" s="140"/>
      <c r="P5" s="140"/>
      <c r="Q5" s="327"/>
      <c r="R5" s="327"/>
      <c r="S5" s="327"/>
      <c r="T5" s="327"/>
      <c r="U5" s="327"/>
      <c r="V5" s="327"/>
      <c r="W5" s="327"/>
      <c r="X5" s="327"/>
      <c r="Y5" s="327"/>
      <c r="Z5" s="327"/>
    </row>
    <row r="6" spans="1:26" ht="11.25" customHeight="1" x14ac:dyDescent="0.35">
      <c r="A6" s="327"/>
      <c r="B6" s="770"/>
      <c r="C6" s="771" t="s">
        <v>512</v>
      </c>
      <c r="D6" s="771" t="s">
        <v>748</v>
      </c>
      <c r="E6" s="771" t="s">
        <v>512</v>
      </c>
      <c r="F6" s="772"/>
      <c r="G6" s="771" t="s">
        <v>512</v>
      </c>
      <c r="H6" s="771" t="s">
        <v>700</v>
      </c>
      <c r="I6" s="771" t="s">
        <v>701</v>
      </c>
      <c r="J6" s="773" t="s">
        <v>529</v>
      </c>
      <c r="K6" s="774" t="s">
        <v>529</v>
      </c>
      <c r="L6" s="140"/>
      <c r="M6" s="327"/>
      <c r="N6" s="140"/>
      <c r="O6" s="775"/>
      <c r="P6" s="140"/>
      <c r="Q6" s="327"/>
      <c r="R6" s="327"/>
      <c r="S6" s="327"/>
      <c r="T6" s="327"/>
      <c r="U6" s="327"/>
      <c r="V6" s="327"/>
      <c r="W6" s="327"/>
      <c r="X6" s="327"/>
      <c r="Y6" s="327"/>
      <c r="Z6" s="327"/>
    </row>
    <row r="7" spans="1:26" ht="11.25" customHeight="1" x14ac:dyDescent="0.35">
      <c r="A7" s="327"/>
      <c r="B7" s="776" t="s">
        <v>170</v>
      </c>
      <c r="C7" s="777" t="s">
        <v>531</v>
      </c>
      <c r="D7" s="777" t="s">
        <v>749</v>
      </c>
      <c r="E7" s="777" t="s">
        <v>531</v>
      </c>
      <c r="F7" s="777" t="s">
        <v>750</v>
      </c>
      <c r="G7" s="777" t="s">
        <v>531</v>
      </c>
      <c r="H7" s="777" t="s">
        <v>702</v>
      </c>
      <c r="I7" s="777" t="s">
        <v>703</v>
      </c>
      <c r="J7" s="777" t="s">
        <v>704</v>
      </c>
      <c r="K7" s="778" t="s">
        <v>751</v>
      </c>
      <c r="L7" s="779"/>
      <c r="M7" s="327"/>
      <c r="N7" s="140"/>
      <c r="O7" s="779"/>
      <c r="P7" s="140"/>
      <c r="Q7" s="327"/>
      <c r="R7" s="327"/>
      <c r="S7" s="327"/>
      <c r="T7" s="327"/>
      <c r="U7" s="327"/>
      <c r="V7" s="327"/>
      <c r="W7" s="327"/>
      <c r="X7" s="327"/>
      <c r="Y7" s="327"/>
      <c r="Z7" s="327"/>
    </row>
    <row r="8" spans="1:26" ht="11.25" customHeight="1" x14ac:dyDescent="0.3">
      <c r="A8" s="327"/>
      <c r="B8" s="780" t="s">
        <v>752</v>
      </c>
      <c r="C8" s="781">
        <v>0</v>
      </c>
      <c r="D8" s="782"/>
      <c r="E8" s="783">
        <v>0</v>
      </c>
      <c r="F8" s="784">
        <v>0.1</v>
      </c>
      <c r="G8" s="783">
        <f t="shared" ref="G8:G29" si="0">C8-(E8*F8)</f>
        <v>0</v>
      </c>
      <c r="H8" s="785">
        <v>56.195454545454538</v>
      </c>
      <c r="I8" s="786">
        <v>1</v>
      </c>
      <c r="J8" s="787">
        <f t="shared" ref="J8:J10" si="1">(G8*1000*H8*I8)/2000</f>
        <v>0</v>
      </c>
      <c r="K8" s="788">
        <f>J8*(44/12)*0.90718/1000000</f>
        <v>0</v>
      </c>
      <c r="L8" s="789"/>
      <c r="M8" s="327"/>
      <c r="N8" s="790"/>
      <c r="O8" s="791"/>
      <c r="P8" s="790"/>
      <c r="Q8" s="327"/>
      <c r="R8" s="327"/>
      <c r="S8" s="327"/>
      <c r="T8" s="327"/>
      <c r="U8" s="327"/>
      <c r="V8" s="327"/>
      <c r="W8" s="327"/>
      <c r="X8" s="327"/>
      <c r="Y8" s="327"/>
      <c r="Z8" s="327"/>
    </row>
    <row r="9" spans="1:26" ht="11.25" customHeight="1" x14ac:dyDescent="0.3">
      <c r="A9" s="327"/>
      <c r="B9" s="792" t="s">
        <v>753</v>
      </c>
      <c r="C9" s="793">
        <v>9033</v>
      </c>
      <c r="D9" s="794">
        <v>1.6386862395834579E-2</v>
      </c>
      <c r="E9" s="795">
        <f t="shared" ref="E9:E10" si="2">C9*D9</f>
        <v>148.02252802157375</v>
      </c>
      <c r="F9" s="796">
        <v>0</v>
      </c>
      <c r="G9" s="795">
        <f t="shared" si="0"/>
        <v>9033</v>
      </c>
      <c r="H9" s="797">
        <v>56.852727272727272</v>
      </c>
      <c r="I9" s="798">
        <v>1</v>
      </c>
      <c r="J9" s="799">
        <f t="shared" si="1"/>
        <v>256775.34272727271</v>
      </c>
      <c r="K9" s="800">
        <f t="shared" ref="K9:K29" si="3">J9*(44/12)*0.907441/1000000</f>
        <v>0.8543644038591901</v>
      </c>
      <c r="L9" s="789"/>
      <c r="M9" s="327"/>
      <c r="N9" s="790"/>
      <c r="O9" s="791"/>
      <c r="P9" s="790"/>
      <c r="Q9" s="327"/>
      <c r="R9" s="327"/>
      <c r="S9" s="327"/>
      <c r="T9" s="327"/>
      <c r="U9" s="327"/>
      <c r="V9" s="327"/>
      <c r="W9" s="327"/>
      <c r="X9" s="327"/>
      <c r="Y9" s="327"/>
      <c r="Z9" s="327"/>
    </row>
    <row r="10" spans="1:26" ht="11.25" customHeight="1" x14ac:dyDescent="0.3">
      <c r="A10" s="327"/>
      <c r="B10" s="792" t="s">
        <v>754</v>
      </c>
      <c r="C10" s="793">
        <v>11723</v>
      </c>
      <c r="D10" s="794">
        <v>1</v>
      </c>
      <c r="E10" s="795">
        <f t="shared" si="2"/>
        <v>11723</v>
      </c>
      <c r="F10" s="796">
        <v>1</v>
      </c>
      <c r="G10" s="795">
        <f t="shared" si="0"/>
        <v>0</v>
      </c>
      <c r="H10" s="797">
        <v>45.31</v>
      </c>
      <c r="I10" s="798">
        <v>1</v>
      </c>
      <c r="J10" s="799">
        <f t="shared" si="1"/>
        <v>0</v>
      </c>
      <c r="K10" s="800">
        <f t="shared" si="3"/>
        <v>0</v>
      </c>
      <c r="L10" s="789"/>
      <c r="M10" s="327"/>
      <c r="N10" s="790"/>
      <c r="O10" s="791"/>
      <c r="P10" s="790"/>
      <c r="Q10" s="327"/>
      <c r="R10" s="327"/>
      <c r="S10" s="327"/>
      <c r="T10" s="327"/>
      <c r="U10" s="327"/>
      <c r="V10" s="327"/>
      <c r="W10" s="327"/>
      <c r="X10" s="327"/>
      <c r="Y10" s="327"/>
      <c r="Z10" s="327"/>
    </row>
    <row r="11" spans="1:26" ht="13.5" customHeight="1" x14ac:dyDescent="0.3">
      <c r="A11" s="327"/>
      <c r="B11" s="801" t="s">
        <v>755</v>
      </c>
      <c r="C11" s="802">
        <v>0</v>
      </c>
      <c r="D11" s="782"/>
      <c r="E11" s="795">
        <v>0</v>
      </c>
      <c r="F11" s="796">
        <v>0</v>
      </c>
      <c r="G11" s="795">
        <f t="shared" si="0"/>
        <v>0</v>
      </c>
      <c r="H11" s="797">
        <v>41.57</v>
      </c>
      <c r="I11" s="798">
        <v>1</v>
      </c>
      <c r="J11" s="799">
        <f t="shared" ref="J11:J12" si="4">G11*H11*I11/2000</f>
        <v>0</v>
      </c>
      <c r="K11" s="803">
        <f t="shared" si="3"/>
        <v>0</v>
      </c>
      <c r="L11" s="789"/>
      <c r="M11" s="327"/>
      <c r="N11" s="790"/>
      <c r="O11" s="791"/>
      <c r="P11" s="790"/>
      <c r="Q11" s="327"/>
      <c r="R11" s="327"/>
      <c r="S11" s="327"/>
      <c r="T11" s="327"/>
      <c r="U11" s="327"/>
      <c r="V11" s="327"/>
      <c r="W11" s="327"/>
      <c r="X11" s="327"/>
      <c r="Y11" s="327"/>
      <c r="Z11" s="327"/>
    </row>
    <row r="12" spans="1:26" ht="11.25" customHeight="1" x14ac:dyDescent="0.3">
      <c r="A12" s="327"/>
      <c r="B12" s="801" t="s">
        <v>756</v>
      </c>
      <c r="C12" s="802">
        <v>0</v>
      </c>
      <c r="D12" s="782"/>
      <c r="E12" s="795">
        <v>0</v>
      </c>
      <c r="F12" s="796">
        <v>0</v>
      </c>
      <c r="G12" s="795">
        <f t="shared" si="0"/>
        <v>0</v>
      </c>
      <c r="H12" s="804">
        <v>44.77366188659483</v>
      </c>
      <c r="I12" s="798">
        <v>1</v>
      </c>
      <c r="J12" s="799">
        <f t="shared" si="4"/>
        <v>0</v>
      </c>
      <c r="K12" s="803">
        <f t="shared" si="3"/>
        <v>0</v>
      </c>
      <c r="L12" s="789"/>
      <c r="M12" s="327"/>
      <c r="N12" s="790"/>
      <c r="O12" s="791"/>
      <c r="P12" s="790"/>
      <c r="Q12" s="327"/>
      <c r="R12" s="327"/>
      <c r="S12" s="327"/>
      <c r="T12" s="327"/>
      <c r="U12" s="327"/>
      <c r="V12" s="327"/>
      <c r="W12" s="327"/>
      <c r="X12" s="327"/>
      <c r="Y12" s="327"/>
      <c r="Z12" s="327"/>
    </row>
    <row r="13" spans="1:26" ht="11.25" customHeight="1" x14ac:dyDescent="0.3">
      <c r="A13" s="327"/>
      <c r="B13" s="792" t="s">
        <v>522</v>
      </c>
      <c r="C13" s="793">
        <v>5396</v>
      </c>
      <c r="D13" s="794">
        <v>5.9993813799243175E-3</v>
      </c>
      <c r="E13" s="795">
        <f>C13*D13</f>
        <v>32.372661926071615</v>
      </c>
      <c r="F13" s="796">
        <v>0.5</v>
      </c>
      <c r="G13" s="795">
        <f t="shared" si="0"/>
        <v>5379.8136690369638</v>
      </c>
      <c r="H13" s="797">
        <v>44.47</v>
      </c>
      <c r="I13" s="798">
        <v>1</v>
      </c>
      <c r="J13" s="799">
        <f t="shared" ref="J13:J19" si="5">(G13*1000*H13*I13)/2000</f>
        <v>119620.15693103689</v>
      </c>
      <c r="K13" s="800">
        <f t="shared" si="3"/>
        <v>0.39801019436074253</v>
      </c>
      <c r="L13" s="789"/>
      <c r="M13" s="327"/>
      <c r="N13" s="790"/>
      <c r="O13" s="791"/>
      <c r="P13" s="790"/>
      <c r="Q13" s="327"/>
      <c r="R13" s="327"/>
      <c r="S13" s="327"/>
      <c r="T13" s="327"/>
      <c r="U13" s="327"/>
      <c r="V13" s="327"/>
      <c r="W13" s="327"/>
      <c r="X13" s="327"/>
      <c r="Y13" s="327"/>
      <c r="Z13" s="327"/>
    </row>
    <row r="14" spans="1:26" ht="14.25" customHeight="1" x14ac:dyDescent="0.3">
      <c r="A14" s="327"/>
      <c r="B14" s="801" t="s">
        <v>757</v>
      </c>
      <c r="C14" s="805">
        <v>0</v>
      </c>
      <c r="D14" s="782"/>
      <c r="E14" s="795"/>
      <c r="F14" s="796">
        <v>0.61918625610433442</v>
      </c>
      <c r="G14" s="795">
        <f t="shared" si="0"/>
        <v>0</v>
      </c>
      <c r="H14" s="797">
        <v>40.86</v>
      </c>
      <c r="I14" s="798">
        <v>1</v>
      </c>
      <c r="J14" s="799">
        <f t="shared" si="5"/>
        <v>0</v>
      </c>
      <c r="K14" s="803">
        <f t="shared" si="3"/>
        <v>0</v>
      </c>
      <c r="L14" s="789"/>
      <c r="M14" s="327"/>
      <c r="N14" s="790"/>
      <c r="O14" s="791"/>
      <c r="P14" s="790"/>
      <c r="Q14" s="327"/>
      <c r="R14" s="327"/>
      <c r="S14" s="327"/>
      <c r="T14" s="327"/>
      <c r="U14" s="327"/>
      <c r="V14" s="327"/>
      <c r="W14" s="327"/>
      <c r="X14" s="327"/>
      <c r="Y14" s="327"/>
      <c r="Z14" s="327"/>
    </row>
    <row r="15" spans="1:26" ht="21" customHeight="1" x14ac:dyDescent="0.3">
      <c r="A15" s="327"/>
      <c r="B15" s="801" t="s">
        <v>758</v>
      </c>
      <c r="C15" s="805">
        <v>0</v>
      </c>
      <c r="D15" s="782"/>
      <c r="E15" s="795"/>
      <c r="F15" s="796">
        <v>0.61918625610433442</v>
      </c>
      <c r="G15" s="795">
        <f t="shared" si="0"/>
        <v>0</v>
      </c>
      <c r="H15" s="797">
        <v>44.43</v>
      </c>
      <c r="I15" s="798">
        <v>1</v>
      </c>
      <c r="J15" s="799">
        <f t="shared" si="5"/>
        <v>0</v>
      </c>
      <c r="K15" s="803">
        <f t="shared" si="3"/>
        <v>0</v>
      </c>
      <c r="L15" s="789"/>
      <c r="M15" s="327"/>
      <c r="N15" s="790"/>
      <c r="O15" s="791"/>
      <c r="P15" s="790"/>
      <c r="Q15" s="327"/>
      <c r="R15" s="327"/>
      <c r="S15" s="327"/>
      <c r="T15" s="327"/>
      <c r="U15" s="327"/>
      <c r="V15" s="327"/>
      <c r="W15" s="327"/>
      <c r="X15" s="327"/>
      <c r="Y15" s="327"/>
      <c r="Z15" s="327"/>
    </row>
    <row r="16" spans="1:26" ht="11.25" customHeight="1" x14ac:dyDescent="0.3">
      <c r="A16" s="327"/>
      <c r="B16" s="792" t="s">
        <v>591</v>
      </c>
      <c r="C16" s="793">
        <v>5</v>
      </c>
      <c r="D16" s="794">
        <v>1</v>
      </c>
      <c r="E16" s="795">
        <f t="shared" ref="E16:E19" si="6">C16*D16</f>
        <v>5</v>
      </c>
      <c r="F16" s="796">
        <v>0</v>
      </c>
      <c r="G16" s="795">
        <f t="shared" si="0"/>
        <v>5</v>
      </c>
      <c r="H16" s="797">
        <v>43.97</v>
      </c>
      <c r="I16" s="798">
        <v>1</v>
      </c>
      <c r="J16" s="799">
        <f t="shared" si="5"/>
        <v>109.925</v>
      </c>
      <c r="K16" s="800">
        <f t="shared" si="3"/>
        <v>3.6575165705833329E-4</v>
      </c>
      <c r="L16" s="789"/>
      <c r="M16" s="327"/>
      <c r="N16" s="790"/>
      <c r="O16" s="791"/>
      <c r="P16" s="790"/>
      <c r="Q16" s="327"/>
      <c r="R16" s="327"/>
      <c r="S16" s="327"/>
      <c r="T16" s="327"/>
      <c r="U16" s="327"/>
      <c r="V16" s="327"/>
      <c r="W16" s="327"/>
      <c r="X16" s="327"/>
      <c r="Y16" s="327"/>
      <c r="Z16" s="327"/>
    </row>
    <row r="17" spans="1:26" ht="11.25" customHeight="1" x14ac:dyDescent="0.3">
      <c r="A17" s="327"/>
      <c r="B17" s="792" t="s">
        <v>706</v>
      </c>
      <c r="C17" s="793">
        <v>2046</v>
      </c>
      <c r="D17" s="794">
        <v>0.82377689762912898</v>
      </c>
      <c r="E17" s="795">
        <f t="shared" si="6"/>
        <v>1685.4475325491978</v>
      </c>
      <c r="F17" s="796">
        <v>0.61918625610433442</v>
      </c>
      <c r="G17" s="795">
        <f t="shared" si="0"/>
        <v>1002.3940524605739</v>
      </c>
      <c r="H17" s="804">
        <v>37.11</v>
      </c>
      <c r="I17" s="798">
        <v>1</v>
      </c>
      <c r="J17" s="799">
        <f t="shared" si="5"/>
        <v>18599.421643405949</v>
      </c>
      <c r="K17" s="800">
        <f t="shared" si="3"/>
        <v>6.1885551843551094E-2</v>
      </c>
      <c r="L17" s="789"/>
      <c r="M17" s="327"/>
      <c r="N17" s="790"/>
      <c r="O17" s="791"/>
      <c r="P17" s="790"/>
      <c r="Q17" s="327"/>
      <c r="R17" s="327"/>
      <c r="S17" s="327"/>
      <c r="T17" s="327"/>
      <c r="U17" s="327"/>
      <c r="V17" s="327"/>
      <c r="W17" s="327"/>
      <c r="X17" s="327"/>
      <c r="Y17" s="327"/>
      <c r="Z17" s="327"/>
    </row>
    <row r="18" spans="1:26" ht="11.25" customHeight="1" x14ac:dyDescent="0.3">
      <c r="A18" s="327"/>
      <c r="B18" s="792" t="s">
        <v>759</v>
      </c>
      <c r="C18" s="793">
        <v>909</v>
      </c>
      <c r="D18" s="794">
        <v>1</v>
      </c>
      <c r="E18" s="795">
        <f t="shared" si="6"/>
        <v>909</v>
      </c>
      <c r="F18" s="796">
        <v>9.2393732597307904E-2</v>
      </c>
      <c r="G18" s="795">
        <f t="shared" si="0"/>
        <v>825.01409706904712</v>
      </c>
      <c r="H18" s="797">
        <v>43.53</v>
      </c>
      <c r="I18" s="798">
        <v>1</v>
      </c>
      <c r="J18" s="799">
        <f t="shared" si="5"/>
        <v>17956.431822707815</v>
      </c>
      <c r="K18" s="800">
        <f t="shared" si="3"/>
        <v>5.9746142315309281E-2</v>
      </c>
      <c r="L18" s="789"/>
      <c r="M18" s="327"/>
      <c r="N18" s="790"/>
      <c r="O18" s="791"/>
      <c r="P18" s="790"/>
      <c r="Q18" s="327"/>
      <c r="R18" s="327"/>
      <c r="S18" s="327"/>
      <c r="T18" s="327"/>
      <c r="U18" s="327"/>
      <c r="V18" s="327"/>
      <c r="W18" s="327"/>
      <c r="X18" s="327"/>
      <c r="Y18" s="327"/>
      <c r="Z18" s="327"/>
    </row>
    <row r="19" spans="1:26" ht="11.25" customHeight="1" x14ac:dyDescent="0.3">
      <c r="A19" s="327"/>
      <c r="B19" s="792" t="s">
        <v>726</v>
      </c>
      <c r="C19" s="793">
        <v>2722</v>
      </c>
      <c r="D19" s="794">
        <v>1</v>
      </c>
      <c r="E19" s="795">
        <f t="shared" si="6"/>
        <v>2722</v>
      </c>
      <c r="F19" s="796">
        <v>0</v>
      </c>
      <c r="G19" s="795">
        <f t="shared" si="0"/>
        <v>2722</v>
      </c>
      <c r="H19" s="804">
        <v>42.900741155457617</v>
      </c>
      <c r="I19" s="798">
        <v>1</v>
      </c>
      <c r="J19" s="799">
        <f t="shared" si="5"/>
        <v>58387.908712577817</v>
      </c>
      <c r="K19" s="800">
        <f t="shared" si="3"/>
        <v>0.19427313499018453</v>
      </c>
      <c r="L19" s="789"/>
      <c r="M19" s="327"/>
      <c r="N19" s="790"/>
      <c r="O19" s="791"/>
      <c r="P19" s="790"/>
      <c r="Q19" s="327"/>
      <c r="R19" s="327"/>
      <c r="S19" s="327"/>
      <c r="T19" s="327"/>
      <c r="U19" s="327"/>
      <c r="V19" s="327"/>
      <c r="W19" s="327"/>
      <c r="X19" s="327"/>
      <c r="Y19" s="327"/>
      <c r="Z19" s="327"/>
    </row>
    <row r="20" spans="1:26" ht="16.5" customHeight="1" x14ac:dyDescent="0.3">
      <c r="A20" s="327"/>
      <c r="B20" s="801" t="s">
        <v>760</v>
      </c>
      <c r="C20" s="802">
        <v>0</v>
      </c>
      <c r="D20" s="782"/>
      <c r="E20" s="795">
        <v>0</v>
      </c>
      <c r="F20" s="796">
        <v>0</v>
      </c>
      <c r="G20" s="795">
        <f t="shared" si="0"/>
        <v>0</v>
      </c>
      <c r="H20" s="804">
        <v>42.900741155457617</v>
      </c>
      <c r="I20" s="798">
        <v>1</v>
      </c>
      <c r="J20" s="799">
        <f>G20*H20*I20/2000</f>
        <v>0</v>
      </c>
      <c r="K20" s="803">
        <f t="shared" si="3"/>
        <v>0</v>
      </c>
      <c r="L20" s="789"/>
      <c r="M20" s="327"/>
      <c r="N20" s="790"/>
      <c r="O20" s="791"/>
      <c r="P20" s="790"/>
      <c r="Q20" s="327"/>
      <c r="R20" s="327"/>
      <c r="S20" s="327"/>
      <c r="T20" s="327"/>
      <c r="U20" s="327"/>
      <c r="V20" s="327"/>
      <c r="W20" s="327"/>
      <c r="X20" s="327"/>
      <c r="Y20" s="327"/>
      <c r="Z20" s="327"/>
    </row>
    <row r="21" spans="1:26" ht="11.25" customHeight="1" x14ac:dyDescent="0.3">
      <c r="A21" s="327"/>
      <c r="B21" s="792" t="s">
        <v>761</v>
      </c>
      <c r="C21" s="793">
        <v>153</v>
      </c>
      <c r="D21" s="794">
        <v>1</v>
      </c>
      <c r="E21" s="795">
        <f>C21*D21</f>
        <v>153</v>
      </c>
      <c r="F21" s="796">
        <v>0</v>
      </c>
      <c r="G21" s="795">
        <f t="shared" si="0"/>
        <v>153</v>
      </c>
      <c r="H21" s="804">
        <v>44.77366188659483</v>
      </c>
      <c r="I21" s="798">
        <v>1</v>
      </c>
      <c r="J21" s="799">
        <f>(G21*1000*H21*I21)/2000</f>
        <v>3425.1851343245044</v>
      </c>
      <c r="K21" s="800">
        <f t="shared" si="3"/>
        <v>1.1396562552747397E-2</v>
      </c>
      <c r="L21" s="789"/>
      <c r="M21" s="327"/>
      <c r="N21" s="790"/>
      <c r="O21" s="791"/>
      <c r="P21" s="790"/>
      <c r="Q21" s="327"/>
      <c r="R21" s="327"/>
      <c r="S21" s="327"/>
      <c r="T21" s="327"/>
      <c r="U21" s="327"/>
      <c r="V21" s="327"/>
      <c r="W21" s="327"/>
      <c r="X21" s="327"/>
      <c r="Y21" s="327"/>
      <c r="Z21" s="327"/>
    </row>
    <row r="22" spans="1:26" ht="11.25" customHeight="1" x14ac:dyDescent="0.3">
      <c r="A22" s="327"/>
      <c r="B22" s="792" t="s">
        <v>762</v>
      </c>
      <c r="C22" s="802">
        <v>0</v>
      </c>
      <c r="D22" s="782"/>
      <c r="E22" s="795">
        <v>0</v>
      </c>
      <c r="F22" s="796">
        <v>0.3</v>
      </c>
      <c r="G22" s="795">
        <f t="shared" si="0"/>
        <v>0</v>
      </c>
      <c r="H22" s="797">
        <v>61.34</v>
      </c>
      <c r="I22" s="798">
        <v>1</v>
      </c>
      <c r="J22" s="799">
        <f>G22*H22*I22/2000</f>
        <v>0</v>
      </c>
      <c r="K22" s="803">
        <f t="shared" si="3"/>
        <v>0</v>
      </c>
      <c r="L22" s="789"/>
      <c r="M22" s="327"/>
      <c r="N22" s="790"/>
      <c r="O22" s="791"/>
      <c r="P22" s="790"/>
      <c r="Q22" s="327"/>
      <c r="R22" s="327"/>
      <c r="S22" s="327"/>
      <c r="T22" s="327"/>
      <c r="U22" s="327"/>
      <c r="V22" s="327"/>
      <c r="W22" s="327"/>
      <c r="X22" s="327"/>
      <c r="Y22" s="327"/>
      <c r="Z22" s="327"/>
    </row>
    <row r="23" spans="1:26" ht="11.25" customHeight="1" x14ac:dyDescent="0.3">
      <c r="A23" s="327"/>
      <c r="B23" s="792" t="s">
        <v>763</v>
      </c>
      <c r="C23" s="806"/>
      <c r="D23" s="782"/>
      <c r="E23" s="795"/>
      <c r="F23" s="796">
        <v>0.61918625610433442</v>
      </c>
      <c r="G23" s="795">
        <f t="shared" si="0"/>
        <v>0</v>
      </c>
      <c r="H23" s="797">
        <v>42.06</v>
      </c>
      <c r="I23" s="798">
        <v>1</v>
      </c>
      <c r="J23" s="799">
        <f t="shared" ref="J23:J24" si="7">(G23*1000*H23*I23)/2000</f>
        <v>0</v>
      </c>
      <c r="K23" s="803">
        <f t="shared" si="3"/>
        <v>0</v>
      </c>
      <c r="L23" s="789"/>
      <c r="M23" s="327"/>
      <c r="N23" s="790"/>
      <c r="O23" s="791"/>
      <c r="P23" s="790"/>
      <c r="Q23" s="327"/>
      <c r="R23" s="327"/>
      <c r="S23" s="327"/>
      <c r="T23" s="327"/>
      <c r="U23" s="327"/>
      <c r="V23" s="327"/>
      <c r="W23" s="327"/>
      <c r="X23" s="327"/>
      <c r="Y23" s="327"/>
      <c r="Z23" s="327"/>
    </row>
    <row r="24" spans="1:26" ht="11.25" customHeight="1" x14ac:dyDescent="0.3">
      <c r="A24" s="327"/>
      <c r="B24" s="792" t="s">
        <v>524</v>
      </c>
      <c r="C24" s="807">
        <v>0</v>
      </c>
      <c r="D24" s="794">
        <v>1</v>
      </c>
      <c r="E24" s="795">
        <f>C24*D24</f>
        <v>0</v>
      </c>
      <c r="F24" s="796">
        <v>0.5</v>
      </c>
      <c r="G24" s="795">
        <f t="shared" si="0"/>
        <v>0</v>
      </c>
      <c r="H24" s="797">
        <v>45.15</v>
      </c>
      <c r="I24" s="798">
        <v>1</v>
      </c>
      <c r="J24" s="799">
        <f t="shared" si="7"/>
        <v>0</v>
      </c>
      <c r="K24" s="800">
        <f t="shared" si="3"/>
        <v>0</v>
      </c>
      <c r="L24" s="789"/>
      <c r="M24" s="327"/>
      <c r="N24" s="790"/>
      <c r="O24" s="791"/>
      <c r="P24" s="790"/>
      <c r="Q24" s="327"/>
      <c r="R24" s="327"/>
      <c r="S24" s="327"/>
      <c r="T24" s="327"/>
      <c r="U24" s="327"/>
      <c r="V24" s="327"/>
      <c r="W24" s="327"/>
      <c r="X24" s="327"/>
      <c r="Y24" s="327"/>
      <c r="Z24" s="327"/>
    </row>
    <row r="25" spans="1:26" ht="11.25" customHeight="1" x14ac:dyDescent="0.3">
      <c r="A25" s="327"/>
      <c r="B25" s="792" t="s">
        <v>764</v>
      </c>
      <c r="C25" s="802">
        <v>0</v>
      </c>
      <c r="D25" s="782"/>
      <c r="E25" s="795">
        <v>0</v>
      </c>
      <c r="F25" s="796">
        <v>0.7</v>
      </c>
      <c r="G25" s="795">
        <f t="shared" si="0"/>
        <v>0</v>
      </c>
      <c r="H25" s="797">
        <v>40.11</v>
      </c>
      <c r="I25" s="798">
        <v>1</v>
      </c>
      <c r="J25" s="799">
        <f>G25*H25*I25/2000</f>
        <v>0</v>
      </c>
      <c r="K25" s="803">
        <f t="shared" si="3"/>
        <v>0</v>
      </c>
      <c r="L25" s="789"/>
      <c r="M25" s="327"/>
      <c r="N25" s="790"/>
      <c r="O25" s="791"/>
      <c r="P25" s="790"/>
      <c r="Q25" s="327"/>
      <c r="R25" s="327"/>
      <c r="S25" s="327"/>
      <c r="T25" s="327"/>
      <c r="U25" s="327"/>
      <c r="V25" s="327"/>
      <c r="W25" s="327"/>
      <c r="X25" s="327"/>
      <c r="Y25" s="327"/>
      <c r="Z25" s="327"/>
    </row>
    <row r="26" spans="1:26" ht="11.25" customHeight="1" x14ac:dyDescent="0.3">
      <c r="A26" s="327"/>
      <c r="B26" s="792" t="s">
        <v>765</v>
      </c>
      <c r="C26" s="793">
        <v>2770</v>
      </c>
      <c r="D26" s="794">
        <v>0.94768328836537974</v>
      </c>
      <c r="E26" s="795">
        <f>C26*D26</f>
        <v>2625.0827087721018</v>
      </c>
      <c r="F26" s="796">
        <v>0</v>
      </c>
      <c r="G26" s="795">
        <f t="shared" si="0"/>
        <v>2770</v>
      </c>
      <c r="H26" s="797">
        <v>43.51</v>
      </c>
      <c r="I26" s="798">
        <v>1</v>
      </c>
      <c r="J26" s="799">
        <f>(G26*1000*H26*I26)/2000</f>
        <v>60261.35</v>
      </c>
      <c r="K26" s="800">
        <f t="shared" si="3"/>
        <v>0.20050660558628333</v>
      </c>
      <c r="L26" s="789"/>
      <c r="M26" s="327"/>
      <c r="N26" s="790"/>
      <c r="O26" s="791"/>
      <c r="P26" s="790"/>
      <c r="Q26" s="327"/>
      <c r="R26" s="327"/>
      <c r="S26" s="327"/>
      <c r="T26" s="327"/>
      <c r="U26" s="327"/>
      <c r="V26" s="327"/>
      <c r="W26" s="327"/>
      <c r="X26" s="327"/>
      <c r="Y26" s="327"/>
      <c r="Z26" s="327"/>
    </row>
    <row r="27" spans="1:26" ht="11.25" customHeight="1" x14ac:dyDescent="0.3">
      <c r="A27" s="327"/>
      <c r="B27" s="792" t="s">
        <v>766</v>
      </c>
      <c r="C27" s="802">
        <v>0</v>
      </c>
      <c r="D27" s="782"/>
      <c r="E27" s="795">
        <v>0</v>
      </c>
      <c r="F27" s="796">
        <v>0</v>
      </c>
      <c r="G27" s="795">
        <f t="shared" si="0"/>
        <v>0</v>
      </c>
      <c r="H27" s="804">
        <v>44.77366188659483</v>
      </c>
      <c r="I27" s="798">
        <v>1</v>
      </c>
      <c r="J27" s="799">
        <f>G27*H27*I27/2000</f>
        <v>0</v>
      </c>
      <c r="K27" s="803">
        <f t="shared" si="3"/>
        <v>0</v>
      </c>
      <c r="L27" s="789"/>
      <c r="M27" s="327"/>
      <c r="N27" s="790"/>
      <c r="O27" s="791"/>
      <c r="P27" s="790"/>
      <c r="Q27" s="327"/>
      <c r="R27" s="327"/>
      <c r="S27" s="327"/>
      <c r="T27" s="327"/>
      <c r="U27" s="327"/>
      <c r="V27" s="327"/>
      <c r="W27" s="327"/>
      <c r="X27" s="327"/>
      <c r="Y27" s="327"/>
      <c r="Z27" s="327"/>
    </row>
    <row r="28" spans="1:26" ht="11.25" customHeight="1" x14ac:dyDescent="0.3">
      <c r="A28" s="327"/>
      <c r="B28" s="792" t="s">
        <v>767</v>
      </c>
      <c r="C28" s="793">
        <v>51</v>
      </c>
      <c r="D28" s="794">
        <v>1</v>
      </c>
      <c r="E28" s="795">
        <f t="shared" ref="E28:E29" si="8">C28*D28</f>
        <v>51</v>
      </c>
      <c r="F28" s="796">
        <v>0.57999999999999996</v>
      </c>
      <c r="G28" s="795">
        <f t="shared" si="0"/>
        <v>21.42</v>
      </c>
      <c r="H28" s="797">
        <v>43.64</v>
      </c>
      <c r="I28" s="798">
        <v>1</v>
      </c>
      <c r="J28" s="799">
        <f t="shared" ref="J28:J29" si="9">(G28*1000*H28*I28)/2000</f>
        <v>467.38440000000003</v>
      </c>
      <c r="K28" s="800">
        <f t="shared" si="3"/>
        <v>1.5551204801748002E-3</v>
      </c>
      <c r="L28" s="789"/>
      <c r="M28" s="327"/>
      <c r="N28" s="790"/>
      <c r="O28" s="791"/>
      <c r="P28" s="790"/>
      <c r="Q28" s="327"/>
      <c r="R28" s="327"/>
      <c r="S28" s="327"/>
      <c r="T28" s="327"/>
      <c r="U28" s="327"/>
      <c r="V28" s="327"/>
      <c r="W28" s="327"/>
      <c r="X28" s="327"/>
      <c r="Y28" s="327"/>
      <c r="Z28" s="327"/>
    </row>
    <row r="29" spans="1:26" ht="11.25" customHeight="1" x14ac:dyDescent="0.3">
      <c r="A29" s="327"/>
      <c r="B29" s="792" t="s">
        <v>436</v>
      </c>
      <c r="C29" s="793">
        <v>17763</v>
      </c>
      <c r="D29" s="794">
        <v>3.1036474108728018E-2</v>
      </c>
      <c r="E29" s="795">
        <f t="shared" si="8"/>
        <v>551.3008895933358</v>
      </c>
      <c r="F29" s="796">
        <v>0.61918625610433442</v>
      </c>
      <c r="G29" s="795">
        <f t="shared" si="0"/>
        <v>17421.642066185712</v>
      </c>
      <c r="H29" s="797">
        <v>31.9</v>
      </c>
      <c r="I29" s="798">
        <v>1</v>
      </c>
      <c r="J29" s="799">
        <f t="shared" si="9"/>
        <v>277875.19095566211</v>
      </c>
      <c r="K29" s="800">
        <f t="shared" si="3"/>
        <v>0.92456958423865554</v>
      </c>
      <c r="L29" s="789"/>
      <c r="M29" s="327"/>
      <c r="N29" s="790"/>
      <c r="O29" s="791"/>
      <c r="P29" s="790"/>
      <c r="Q29" s="327"/>
      <c r="R29" s="327"/>
      <c r="S29" s="327"/>
      <c r="T29" s="327"/>
      <c r="U29" s="327"/>
      <c r="V29" s="327"/>
      <c r="W29" s="327"/>
      <c r="X29" s="327"/>
      <c r="Y29" s="327"/>
      <c r="Z29" s="327"/>
    </row>
    <row r="30" spans="1:26" ht="11.25" customHeight="1" x14ac:dyDescent="0.3">
      <c r="A30" s="327"/>
      <c r="B30" s="624" t="s">
        <v>690</v>
      </c>
      <c r="C30" s="808"/>
      <c r="D30" s="782"/>
      <c r="E30" s="806"/>
      <c r="F30" s="796"/>
      <c r="G30" s="809"/>
      <c r="H30" s="797"/>
      <c r="I30" s="810"/>
      <c r="J30" s="811"/>
      <c r="K30" s="812"/>
      <c r="L30" s="789"/>
      <c r="M30" s="327"/>
      <c r="N30" s="790"/>
      <c r="O30" s="791"/>
      <c r="P30" s="790"/>
      <c r="Q30" s="327"/>
      <c r="R30" s="327"/>
      <c r="S30" s="327"/>
      <c r="T30" s="327"/>
      <c r="U30" s="327"/>
      <c r="V30" s="327"/>
      <c r="W30" s="327"/>
      <c r="X30" s="327"/>
      <c r="Y30" s="327"/>
      <c r="Z30" s="327"/>
    </row>
    <row r="31" spans="1:26" ht="11.25" customHeight="1" x14ac:dyDescent="0.2">
      <c r="A31" s="327"/>
      <c r="B31" s="813"/>
      <c r="C31" s="814"/>
      <c r="D31" s="815"/>
      <c r="E31" s="814"/>
      <c r="F31" s="814"/>
      <c r="G31" s="814"/>
      <c r="H31" s="814"/>
      <c r="I31" s="816" t="s">
        <v>86</v>
      </c>
      <c r="J31" s="817">
        <f t="shared" ref="J31:K31" si="10">SUM(J8:J29)</f>
        <v>813478.29732698784</v>
      </c>
      <c r="K31" s="818">
        <f t="shared" si="10"/>
        <v>2.7066730518838966</v>
      </c>
      <c r="L31" s="140"/>
      <c r="M31" s="140"/>
      <c r="N31" s="140"/>
      <c r="O31" s="140"/>
      <c r="P31" s="140"/>
      <c r="Q31" s="327"/>
      <c r="R31" s="327"/>
      <c r="S31" s="327"/>
      <c r="T31" s="327"/>
      <c r="U31" s="327"/>
      <c r="V31" s="327"/>
      <c r="W31" s="327"/>
      <c r="X31" s="327"/>
      <c r="Y31" s="327"/>
      <c r="Z31" s="327"/>
    </row>
    <row r="32" spans="1:26" ht="11.25" customHeight="1" x14ac:dyDescent="0.2">
      <c r="A32" s="327"/>
      <c r="B32" s="819"/>
      <c r="C32" s="820"/>
      <c r="D32" s="821"/>
      <c r="E32" s="820"/>
      <c r="F32" s="820"/>
      <c r="G32" s="820"/>
      <c r="H32" s="820"/>
      <c r="I32" s="821"/>
      <c r="J32" s="821"/>
      <c r="K32" s="822"/>
      <c r="L32" s="327"/>
      <c r="M32" s="327"/>
      <c r="N32" s="327"/>
      <c r="O32" s="327"/>
      <c r="P32" s="327"/>
      <c r="Q32" s="327"/>
      <c r="R32" s="327"/>
      <c r="S32" s="327"/>
      <c r="T32" s="327"/>
      <c r="U32" s="327"/>
      <c r="V32" s="327"/>
      <c r="W32" s="327"/>
      <c r="X32" s="327"/>
      <c r="Y32" s="327"/>
      <c r="Z32" s="327"/>
    </row>
    <row r="33" spans="1:26" ht="11.25" customHeight="1" x14ac:dyDescent="0.2">
      <c r="A33" s="327"/>
      <c r="B33" s="327"/>
      <c r="C33" s="327"/>
      <c r="D33" s="327"/>
      <c r="E33" s="327"/>
      <c r="F33" s="327"/>
      <c r="G33" s="327"/>
      <c r="H33" s="327"/>
      <c r="I33" s="327"/>
      <c r="J33" s="327"/>
      <c r="K33" s="327"/>
      <c r="L33" s="327"/>
      <c r="M33" s="327"/>
      <c r="N33" s="327"/>
      <c r="O33" s="327"/>
      <c r="P33" s="327"/>
      <c r="Q33" s="327"/>
      <c r="R33" s="327"/>
      <c r="S33" s="327"/>
      <c r="T33" s="327"/>
      <c r="U33" s="327"/>
      <c r="V33" s="327"/>
      <c r="W33" s="327"/>
      <c r="X33" s="327"/>
      <c r="Y33" s="327"/>
      <c r="Z33" s="327"/>
    </row>
    <row r="34" spans="1:26" ht="11.25" customHeight="1" x14ac:dyDescent="0.2">
      <c r="A34" s="327"/>
      <c r="B34" s="327"/>
      <c r="C34" s="327"/>
      <c r="D34" s="327"/>
      <c r="E34" s="327"/>
      <c r="F34" s="327"/>
      <c r="G34" s="327"/>
      <c r="H34" s="327"/>
      <c r="I34" s="327"/>
      <c r="J34" s="327"/>
      <c r="K34" s="327"/>
      <c r="L34" s="327"/>
      <c r="M34" s="327"/>
      <c r="N34" s="327"/>
      <c r="O34" s="327"/>
      <c r="P34" s="327"/>
      <c r="Q34" s="327"/>
      <c r="R34" s="327"/>
      <c r="S34" s="327"/>
      <c r="T34" s="327"/>
      <c r="U34" s="327"/>
      <c r="V34" s="327"/>
      <c r="W34" s="327"/>
      <c r="X34" s="327"/>
      <c r="Y34" s="327"/>
      <c r="Z34" s="327"/>
    </row>
    <row r="35" spans="1:26" ht="18.75" customHeight="1" x14ac:dyDescent="0.35">
      <c r="A35" s="327"/>
      <c r="B35" s="823" t="s">
        <v>768</v>
      </c>
      <c r="C35" s="764"/>
      <c r="D35" s="764"/>
      <c r="E35" s="765">
        <v>2020</v>
      </c>
      <c r="F35" s="140"/>
      <c r="G35" s="140"/>
      <c r="H35" s="140"/>
      <c r="I35" s="140"/>
      <c r="J35" s="140"/>
      <c r="K35" s="140"/>
      <c r="L35" s="140"/>
      <c r="M35" s="140"/>
      <c r="N35" s="140"/>
      <c r="O35" s="327"/>
      <c r="P35" s="327"/>
      <c r="Q35" s="327"/>
      <c r="R35" s="327"/>
      <c r="S35" s="327"/>
      <c r="T35" s="327"/>
      <c r="U35" s="327"/>
      <c r="V35" s="327"/>
      <c r="W35" s="327"/>
      <c r="X35" s="327"/>
      <c r="Y35" s="327"/>
      <c r="Z35" s="327"/>
    </row>
    <row r="36" spans="1:26" ht="11.25" customHeight="1" x14ac:dyDescent="0.35">
      <c r="A36" s="327"/>
      <c r="B36" s="824"/>
      <c r="C36" s="767" t="s">
        <v>744</v>
      </c>
      <c r="D36" s="767" t="s">
        <v>745</v>
      </c>
      <c r="E36" s="767" t="s">
        <v>746</v>
      </c>
      <c r="F36" s="768"/>
      <c r="G36" s="768"/>
      <c r="H36" s="768"/>
      <c r="I36" s="769"/>
      <c r="J36" s="140"/>
      <c r="K36" s="140"/>
      <c r="L36" s="140"/>
      <c r="M36" s="140"/>
      <c r="N36" s="140"/>
      <c r="O36" s="327"/>
      <c r="P36" s="327"/>
      <c r="Q36" s="327"/>
      <c r="R36" s="327"/>
      <c r="S36" s="327"/>
      <c r="T36" s="327"/>
      <c r="U36" s="327"/>
      <c r="V36" s="327"/>
      <c r="W36" s="327"/>
      <c r="X36" s="327"/>
      <c r="Y36" s="327"/>
      <c r="Z36" s="327"/>
    </row>
    <row r="37" spans="1:26" ht="11.25" customHeight="1" x14ac:dyDescent="0.35">
      <c r="A37" s="327"/>
      <c r="B37" s="825"/>
      <c r="C37" s="771" t="s">
        <v>512</v>
      </c>
      <c r="D37" s="771" t="s">
        <v>748</v>
      </c>
      <c r="E37" s="771" t="s">
        <v>512</v>
      </c>
      <c r="F37" s="773" t="s">
        <v>700</v>
      </c>
      <c r="G37" s="773" t="s">
        <v>538</v>
      </c>
      <c r="H37" s="771" t="s">
        <v>530</v>
      </c>
      <c r="I37" s="774" t="s">
        <v>529</v>
      </c>
      <c r="J37" s="140"/>
      <c r="K37" s="775"/>
      <c r="L37" s="140"/>
      <c r="M37" s="775"/>
      <c r="N37" s="140"/>
      <c r="O37" s="327"/>
      <c r="P37" s="327"/>
      <c r="Q37" s="327"/>
      <c r="R37" s="327"/>
      <c r="S37" s="327"/>
      <c r="T37" s="327"/>
      <c r="U37" s="327"/>
      <c r="V37" s="327"/>
      <c r="W37" s="327"/>
      <c r="X37" s="327"/>
      <c r="Y37" s="327"/>
      <c r="Z37" s="327"/>
    </row>
    <row r="38" spans="1:26" ht="11.25" customHeight="1" x14ac:dyDescent="0.35">
      <c r="A38" s="327"/>
      <c r="B38" s="826" t="s">
        <v>170</v>
      </c>
      <c r="C38" s="777" t="s">
        <v>531</v>
      </c>
      <c r="D38" s="777" t="s">
        <v>749</v>
      </c>
      <c r="E38" s="777" t="s">
        <v>531</v>
      </c>
      <c r="F38" s="827" t="s">
        <v>769</v>
      </c>
      <c r="G38" s="827" t="s">
        <v>770</v>
      </c>
      <c r="H38" s="777"/>
      <c r="I38" s="778" t="s">
        <v>771</v>
      </c>
      <c r="J38" s="140"/>
      <c r="K38" s="2933" t="s">
        <v>1</v>
      </c>
      <c r="L38" s="2934"/>
      <c r="M38" s="775"/>
      <c r="N38" s="140"/>
      <c r="O38" s="327"/>
      <c r="P38" s="327"/>
      <c r="Q38" s="327"/>
      <c r="R38" s="327"/>
      <c r="S38" s="327"/>
      <c r="T38" s="327"/>
      <c r="U38" s="327"/>
      <c r="V38" s="327"/>
      <c r="W38" s="327"/>
      <c r="X38" s="327"/>
      <c r="Y38" s="327"/>
      <c r="Z38" s="327"/>
    </row>
    <row r="39" spans="1:26" ht="11.25" customHeight="1" x14ac:dyDescent="0.3">
      <c r="A39" s="327"/>
      <c r="B39" s="780" t="s">
        <v>752</v>
      </c>
      <c r="C39" s="781">
        <v>0</v>
      </c>
      <c r="D39" s="782"/>
      <c r="E39" s="828">
        <v>0</v>
      </c>
      <c r="F39" s="829">
        <v>1.5034545899835E-3</v>
      </c>
      <c r="G39" s="830">
        <f t="shared" ref="G39:G60" si="11">(C39-E39)*F39</f>
        <v>0</v>
      </c>
      <c r="H39" s="831">
        <f>L42</f>
        <v>265</v>
      </c>
      <c r="I39" s="832">
        <f t="shared" ref="I39:I61" si="12">G39*H39/1000000</f>
        <v>0</v>
      </c>
      <c r="J39" s="790"/>
      <c r="K39" s="2641"/>
      <c r="L39" s="2642" t="str">
        <f>Summary!E3</f>
        <v>AR5 100-yr GWP</v>
      </c>
      <c r="M39" s="791"/>
      <c r="N39" s="140"/>
      <c r="O39" s="327"/>
      <c r="P39" s="327"/>
      <c r="Q39" s="327"/>
      <c r="R39" s="327"/>
      <c r="S39" s="327"/>
      <c r="T39" s="327"/>
      <c r="U39" s="327"/>
      <c r="V39" s="327"/>
      <c r="W39" s="327"/>
      <c r="X39" s="327"/>
      <c r="Y39" s="327"/>
      <c r="Z39" s="327"/>
    </row>
    <row r="40" spans="1:26" ht="11.25" customHeight="1" x14ac:dyDescent="0.3">
      <c r="A40" s="327"/>
      <c r="B40" s="792" t="s">
        <v>753</v>
      </c>
      <c r="C40" s="793">
        <f t="shared" ref="C40:C41" si="13">C9</f>
        <v>9033</v>
      </c>
      <c r="D40" s="794">
        <v>1.6386862395834579E-2</v>
      </c>
      <c r="E40" s="833">
        <f t="shared" ref="E40:E41" si="14">C40*D40</f>
        <v>148.02252802157375</v>
      </c>
      <c r="F40" s="834">
        <v>1.5034545899835E-3</v>
      </c>
      <c r="G40" s="835">
        <f t="shared" si="11"/>
        <v>13.358160162145957</v>
      </c>
      <c r="H40" s="806">
        <f>L42</f>
        <v>265</v>
      </c>
      <c r="I40" s="836">
        <f t="shared" si="12"/>
        <v>3.5399124429686783E-3</v>
      </c>
      <c r="J40" s="790"/>
      <c r="K40" s="2641" t="s">
        <v>521</v>
      </c>
      <c r="L40" s="2642">
        <f>Summary!E4</f>
        <v>1</v>
      </c>
      <c r="M40" s="791"/>
      <c r="N40" s="140"/>
      <c r="O40" s="327"/>
      <c r="P40" s="327"/>
      <c r="Q40" s="327"/>
      <c r="R40" s="327"/>
      <c r="S40" s="327"/>
      <c r="T40" s="327"/>
      <c r="U40" s="327"/>
      <c r="V40" s="327"/>
      <c r="W40" s="327"/>
      <c r="X40" s="327"/>
      <c r="Y40" s="327"/>
      <c r="Z40" s="327"/>
    </row>
    <row r="41" spans="1:26" ht="11.25" customHeight="1" x14ac:dyDescent="0.3">
      <c r="A41" s="327"/>
      <c r="B41" s="792" t="s">
        <v>754</v>
      </c>
      <c r="C41" s="793">
        <f t="shared" si="13"/>
        <v>11723</v>
      </c>
      <c r="D41" s="794">
        <v>1</v>
      </c>
      <c r="E41" s="833">
        <f t="shared" si="14"/>
        <v>11723</v>
      </c>
      <c r="F41" s="834">
        <v>6.0138183599339984E-4</v>
      </c>
      <c r="G41" s="835">
        <f t="shared" si="11"/>
        <v>0</v>
      </c>
      <c r="H41" s="806">
        <f>L42</f>
        <v>265</v>
      </c>
      <c r="I41" s="836">
        <f t="shared" si="12"/>
        <v>0</v>
      </c>
      <c r="J41" s="790"/>
      <c r="K41" s="2641" t="s">
        <v>523</v>
      </c>
      <c r="L41" s="2642">
        <f>Summary!E5</f>
        <v>28</v>
      </c>
      <c r="M41" s="791"/>
      <c r="N41" s="140"/>
      <c r="O41" s="327"/>
      <c r="P41" s="327"/>
      <c r="Q41" s="327"/>
      <c r="R41" s="327"/>
      <c r="S41" s="327"/>
      <c r="T41" s="327"/>
      <c r="U41" s="327"/>
      <c r="V41" s="327"/>
      <c r="W41" s="327"/>
      <c r="X41" s="327"/>
      <c r="Y41" s="327"/>
      <c r="Z41" s="327"/>
    </row>
    <row r="42" spans="1:26" ht="11.25" customHeight="1" x14ac:dyDescent="0.3">
      <c r="A42" s="327"/>
      <c r="B42" s="801" t="s">
        <v>755</v>
      </c>
      <c r="C42" s="802">
        <v>0</v>
      </c>
      <c r="D42" s="782"/>
      <c r="E42" s="833">
        <v>0</v>
      </c>
      <c r="F42" s="834">
        <v>6.0138183599339984E-4</v>
      </c>
      <c r="G42" s="835">
        <f t="shared" si="11"/>
        <v>0</v>
      </c>
      <c r="H42" s="806">
        <f>L42</f>
        <v>265</v>
      </c>
      <c r="I42" s="836">
        <f t="shared" si="12"/>
        <v>0</v>
      </c>
      <c r="J42" s="790"/>
      <c r="K42" s="2641" t="s">
        <v>525</v>
      </c>
      <c r="L42" s="2642">
        <f>Summary!E6</f>
        <v>265</v>
      </c>
      <c r="M42" s="791"/>
      <c r="N42" s="140"/>
      <c r="O42" s="327"/>
      <c r="P42" s="327"/>
      <c r="Q42" s="327"/>
      <c r="R42" s="327"/>
      <c r="S42" s="327"/>
      <c r="T42" s="327"/>
      <c r="U42" s="327"/>
      <c r="V42" s="327"/>
      <c r="W42" s="327"/>
      <c r="X42" s="327"/>
      <c r="Y42" s="327"/>
      <c r="Z42" s="327"/>
    </row>
    <row r="43" spans="1:26" ht="11.25" customHeight="1" x14ac:dyDescent="0.3">
      <c r="A43" s="327"/>
      <c r="B43" s="801" t="s">
        <v>756</v>
      </c>
      <c r="C43" s="802">
        <v>0</v>
      </c>
      <c r="D43" s="782"/>
      <c r="E43" s="833">
        <v>0</v>
      </c>
      <c r="F43" s="834">
        <v>6.0138183599339984E-4</v>
      </c>
      <c r="G43" s="835">
        <f t="shared" si="11"/>
        <v>0</v>
      </c>
      <c r="H43" s="806">
        <f>L42</f>
        <v>265</v>
      </c>
      <c r="I43" s="836">
        <f t="shared" si="12"/>
        <v>0</v>
      </c>
      <c r="J43" s="790"/>
      <c r="K43" s="2641" t="s">
        <v>526</v>
      </c>
      <c r="L43" s="2643">
        <f>Summary!E7</f>
        <v>23500</v>
      </c>
      <c r="M43" s="791"/>
      <c r="N43" s="140"/>
      <c r="O43" s="327"/>
      <c r="P43" s="327"/>
      <c r="Q43" s="327"/>
      <c r="R43" s="327"/>
      <c r="S43" s="327"/>
      <c r="T43" s="327"/>
      <c r="U43" s="327"/>
      <c r="V43" s="327"/>
      <c r="W43" s="327"/>
      <c r="X43" s="327"/>
      <c r="Y43" s="327"/>
      <c r="Z43" s="327"/>
    </row>
    <row r="44" spans="1:26" ht="11.25" customHeight="1" x14ac:dyDescent="0.3">
      <c r="A44" s="327"/>
      <c r="B44" s="792" t="s">
        <v>522</v>
      </c>
      <c r="C44" s="793">
        <f>C13</f>
        <v>5396</v>
      </c>
      <c r="D44" s="794">
        <v>5.9993813799243175E-3</v>
      </c>
      <c r="E44" s="833">
        <f>C44*D44</f>
        <v>32.372661926071615</v>
      </c>
      <c r="F44" s="834">
        <v>6.0138183599339984E-4</v>
      </c>
      <c r="G44" s="835">
        <f t="shared" si="11"/>
        <v>3.2255880561552912</v>
      </c>
      <c r="H44" s="806">
        <f>L42</f>
        <v>265</v>
      </c>
      <c r="I44" s="836">
        <f t="shared" si="12"/>
        <v>8.5478083488115214E-4</v>
      </c>
      <c r="J44" s="790"/>
      <c r="M44" s="791"/>
      <c r="N44" s="140"/>
      <c r="O44" s="327"/>
      <c r="P44" s="327"/>
      <c r="Q44" s="327"/>
      <c r="R44" s="327"/>
      <c r="S44" s="327"/>
      <c r="T44" s="327"/>
      <c r="U44" s="327"/>
      <c r="V44" s="327"/>
      <c r="W44" s="327"/>
      <c r="X44" s="327"/>
      <c r="Y44" s="327"/>
      <c r="Z44" s="327"/>
    </row>
    <row r="45" spans="1:26" ht="11.25" customHeight="1" x14ac:dyDescent="0.3">
      <c r="A45" s="327"/>
      <c r="B45" s="801" t="s">
        <v>757</v>
      </c>
      <c r="C45" s="805">
        <v>0</v>
      </c>
      <c r="D45" s="782"/>
      <c r="E45" s="833"/>
      <c r="F45" s="834">
        <v>6.0138183599339984E-4</v>
      </c>
      <c r="G45" s="835">
        <f t="shared" si="11"/>
        <v>0</v>
      </c>
      <c r="H45" s="806">
        <f>L42</f>
        <v>265</v>
      </c>
      <c r="I45" s="836">
        <f t="shared" si="12"/>
        <v>0</v>
      </c>
      <c r="J45" s="790"/>
      <c r="K45" s="791"/>
      <c r="L45" s="790"/>
      <c r="M45" s="791"/>
      <c r="N45" s="140"/>
      <c r="O45" s="327"/>
      <c r="P45" s="327"/>
      <c r="Q45" s="327"/>
      <c r="R45" s="327"/>
      <c r="S45" s="327"/>
      <c r="T45" s="327"/>
      <c r="U45" s="327"/>
      <c r="V45" s="327"/>
      <c r="W45" s="327"/>
      <c r="X45" s="327"/>
      <c r="Y45" s="327"/>
      <c r="Z45" s="327"/>
    </row>
    <row r="46" spans="1:26" ht="15.75" customHeight="1" x14ac:dyDescent="0.3">
      <c r="A46" s="327"/>
      <c r="B46" s="801" t="s">
        <v>758</v>
      </c>
      <c r="C46" s="805">
        <v>0</v>
      </c>
      <c r="D46" s="782"/>
      <c r="E46" s="833"/>
      <c r="F46" s="834">
        <v>6.0138183599339984E-4</v>
      </c>
      <c r="G46" s="835">
        <f t="shared" si="11"/>
        <v>0</v>
      </c>
      <c r="H46" s="806">
        <f>L42</f>
        <v>265</v>
      </c>
      <c r="I46" s="836">
        <f t="shared" si="12"/>
        <v>0</v>
      </c>
      <c r="J46" s="790"/>
      <c r="K46" s="791"/>
      <c r="L46" s="790"/>
      <c r="M46" s="791"/>
      <c r="N46" s="140"/>
      <c r="O46" s="327"/>
      <c r="P46" s="327"/>
      <c r="Q46" s="327"/>
      <c r="R46" s="327"/>
      <c r="S46" s="327"/>
      <c r="T46" s="327"/>
      <c r="U46" s="327"/>
      <c r="V46" s="327"/>
      <c r="W46" s="327"/>
      <c r="X46" s="327"/>
      <c r="Y46" s="327"/>
      <c r="Z46" s="327"/>
    </row>
    <row r="47" spans="1:26" ht="11.25" customHeight="1" x14ac:dyDescent="0.3">
      <c r="A47" s="327"/>
      <c r="B47" s="792" t="s">
        <v>591</v>
      </c>
      <c r="C47" s="793">
        <f t="shared" ref="C47:C50" si="15">C16</f>
        <v>5</v>
      </c>
      <c r="D47" s="794">
        <v>1</v>
      </c>
      <c r="E47" s="833">
        <f t="shared" ref="E47:E50" si="16">C47*D47</f>
        <v>5</v>
      </c>
      <c r="F47" s="834">
        <v>6.0138183599339984E-4</v>
      </c>
      <c r="G47" s="835">
        <f t="shared" si="11"/>
        <v>0</v>
      </c>
      <c r="H47" s="806">
        <f>L42</f>
        <v>265</v>
      </c>
      <c r="I47" s="836">
        <f t="shared" si="12"/>
        <v>0</v>
      </c>
      <c r="J47" s="790"/>
      <c r="K47" s="791"/>
      <c r="L47" s="790"/>
      <c r="M47" s="791"/>
      <c r="N47" s="140"/>
      <c r="O47" s="327"/>
      <c r="P47" s="327"/>
      <c r="Q47" s="327"/>
      <c r="R47" s="327"/>
      <c r="S47" s="327"/>
      <c r="T47" s="327"/>
      <c r="U47" s="327"/>
      <c r="V47" s="327"/>
      <c r="W47" s="327"/>
      <c r="X47" s="327"/>
      <c r="Y47" s="327"/>
      <c r="Z47" s="327"/>
    </row>
    <row r="48" spans="1:26" ht="11.25" customHeight="1" x14ac:dyDescent="0.3">
      <c r="A48" s="327"/>
      <c r="B48" s="792" t="s">
        <v>706</v>
      </c>
      <c r="C48" s="793">
        <f t="shared" si="15"/>
        <v>2046</v>
      </c>
      <c r="D48" s="794">
        <v>0.82377689762912898</v>
      </c>
      <c r="E48" s="833">
        <f t="shared" si="16"/>
        <v>1685.4475325491978</v>
      </c>
      <c r="F48" s="834">
        <v>6.0138183599339984E-4</v>
      </c>
      <c r="G48" s="835">
        <f t="shared" si="11"/>
        <v>0.21682970484751393</v>
      </c>
      <c r="H48" s="806">
        <f>L42</f>
        <v>265</v>
      </c>
      <c r="I48" s="836">
        <f t="shared" si="12"/>
        <v>5.7459871784591192E-5</v>
      </c>
      <c r="J48" s="790"/>
      <c r="K48" s="791"/>
      <c r="L48" s="790"/>
      <c r="M48" s="791"/>
      <c r="N48" s="140"/>
      <c r="O48" s="327"/>
      <c r="P48" s="327"/>
      <c r="Q48" s="327"/>
      <c r="R48" s="327"/>
      <c r="S48" s="327"/>
      <c r="T48" s="327"/>
      <c r="U48" s="327"/>
      <c r="V48" s="327"/>
      <c r="W48" s="327"/>
      <c r="X48" s="327"/>
      <c r="Y48" s="327"/>
      <c r="Z48" s="327"/>
    </row>
    <row r="49" spans="1:26" ht="11.25" customHeight="1" x14ac:dyDescent="0.3">
      <c r="A49" s="327"/>
      <c r="B49" s="792" t="s">
        <v>759</v>
      </c>
      <c r="C49" s="793">
        <f t="shared" si="15"/>
        <v>909</v>
      </c>
      <c r="D49" s="794">
        <v>1</v>
      </c>
      <c r="E49" s="833">
        <f t="shared" si="16"/>
        <v>909</v>
      </c>
      <c r="F49" s="834">
        <v>6.0138183599339984E-4</v>
      </c>
      <c r="G49" s="835">
        <f t="shared" si="11"/>
        <v>0</v>
      </c>
      <c r="H49" s="806">
        <f>L42</f>
        <v>265</v>
      </c>
      <c r="I49" s="836">
        <f t="shared" si="12"/>
        <v>0</v>
      </c>
      <c r="J49" s="790"/>
      <c r="K49" s="791"/>
      <c r="L49" s="790"/>
      <c r="M49" s="791"/>
      <c r="N49" s="140"/>
      <c r="O49" s="327"/>
      <c r="P49" s="327"/>
      <c r="Q49" s="327"/>
      <c r="R49" s="327"/>
      <c r="S49" s="327"/>
      <c r="T49" s="327"/>
      <c r="U49" s="327"/>
      <c r="V49" s="327"/>
      <c r="W49" s="327"/>
      <c r="X49" s="327"/>
      <c r="Y49" s="327"/>
      <c r="Z49" s="327"/>
    </row>
    <row r="50" spans="1:26" ht="11.25" customHeight="1" x14ac:dyDescent="0.3">
      <c r="A50" s="327"/>
      <c r="B50" s="792" t="s">
        <v>726</v>
      </c>
      <c r="C50" s="793">
        <f t="shared" si="15"/>
        <v>2722</v>
      </c>
      <c r="D50" s="794">
        <v>1</v>
      </c>
      <c r="E50" s="833">
        <f t="shared" si="16"/>
        <v>2722</v>
      </c>
      <c r="F50" s="834">
        <v>6.0138183599339984E-4</v>
      </c>
      <c r="G50" s="835">
        <f t="shared" si="11"/>
        <v>0</v>
      </c>
      <c r="H50" s="806">
        <f>L42</f>
        <v>265</v>
      </c>
      <c r="I50" s="836">
        <f t="shared" si="12"/>
        <v>0</v>
      </c>
      <c r="J50" s="790"/>
      <c r="K50" s="791"/>
      <c r="L50" s="790"/>
      <c r="M50" s="791"/>
      <c r="N50" s="140"/>
      <c r="O50" s="327"/>
      <c r="P50" s="327"/>
      <c r="Q50" s="327"/>
      <c r="R50" s="327"/>
      <c r="S50" s="327"/>
      <c r="T50" s="327"/>
      <c r="U50" s="327"/>
      <c r="V50" s="327"/>
      <c r="W50" s="327"/>
      <c r="X50" s="327"/>
      <c r="Y50" s="327"/>
      <c r="Z50" s="327"/>
    </row>
    <row r="51" spans="1:26" ht="11.25" customHeight="1" x14ac:dyDescent="0.3">
      <c r="A51" s="327"/>
      <c r="B51" s="801" t="s">
        <v>760</v>
      </c>
      <c r="C51" s="802">
        <v>0</v>
      </c>
      <c r="D51" s="782"/>
      <c r="E51" s="833">
        <v>0</v>
      </c>
      <c r="F51" s="834">
        <v>6.0138183599339984E-4</v>
      </c>
      <c r="G51" s="835">
        <f t="shared" si="11"/>
        <v>0</v>
      </c>
      <c r="H51" s="806">
        <f>L42</f>
        <v>265</v>
      </c>
      <c r="I51" s="836">
        <f t="shared" si="12"/>
        <v>0</v>
      </c>
      <c r="J51" s="790"/>
      <c r="K51" s="791"/>
      <c r="L51" s="790"/>
      <c r="M51" s="791"/>
      <c r="N51" s="140"/>
      <c r="O51" s="327"/>
      <c r="P51" s="327"/>
      <c r="Q51" s="327"/>
      <c r="R51" s="327"/>
      <c r="S51" s="327"/>
      <c r="T51" s="327"/>
      <c r="U51" s="327"/>
      <c r="V51" s="327"/>
      <c r="W51" s="327"/>
      <c r="X51" s="327"/>
      <c r="Y51" s="327"/>
      <c r="Z51" s="327"/>
    </row>
    <row r="52" spans="1:26" ht="11.25" customHeight="1" x14ac:dyDescent="0.3">
      <c r="A52" s="327"/>
      <c r="B52" s="792" t="s">
        <v>761</v>
      </c>
      <c r="C52" s="793">
        <f>C21</f>
        <v>153</v>
      </c>
      <c r="D52" s="794">
        <v>1</v>
      </c>
      <c r="E52" s="833">
        <f>C52*D52</f>
        <v>153</v>
      </c>
      <c r="F52" s="834">
        <v>6.0138183599339984E-4</v>
      </c>
      <c r="G52" s="835">
        <f t="shared" si="11"/>
        <v>0</v>
      </c>
      <c r="H52" s="806">
        <f>L42</f>
        <v>265</v>
      </c>
      <c r="I52" s="836">
        <f t="shared" si="12"/>
        <v>0</v>
      </c>
      <c r="J52" s="790"/>
      <c r="K52" s="791"/>
      <c r="L52" s="790"/>
      <c r="M52" s="791"/>
      <c r="N52" s="140"/>
      <c r="O52" s="327"/>
      <c r="P52" s="327"/>
      <c r="Q52" s="327"/>
      <c r="R52" s="327"/>
      <c r="S52" s="327"/>
      <c r="T52" s="327"/>
      <c r="U52" s="327"/>
      <c r="V52" s="327"/>
      <c r="W52" s="327"/>
      <c r="X52" s="327"/>
      <c r="Y52" s="327"/>
      <c r="Z52" s="327"/>
    </row>
    <row r="53" spans="1:26" ht="11.25" customHeight="1" x14ac:dyDescent="0.3">
      <c r="A53" s="327"/>
      <c r="B53" s="792" t="s">
        <v>762</v>
      </c>
      <c r="C53" s="802">
        <v>0</v>
      </c>
      <c r="D53" s="782"/>
      <c r="E53" s="833">
        <v>0</v>
      </c>
      <c r="F53" s="834">
        <v>6.0138183599339984E-4</v>
      </c>
      <c r="G53" s="835">
        <f t="shared" si="11"/>
        <v>0</v>
      </c>
      <c r="H53" s="806">
        <f>L42</f>
        <v>265</v>
      </c>
      <c r="I53" s="836">
        <f t="shared" si="12"/>
        <v>0</v>
      </c>
      <c r="J53" s="790"/>
      <c r="K53" s="791"/>
      <c r="L53" s="790"/>
      <c r="M53" s="791"/>
      <c r="N53" s="140"/>
      <c r="O53" s="327"/>
      <c r="P53" s="327"/>
      <c r="Q53" s="327"/>
      <c r="R53" s="327"/>
      <c r="S53" s="327"/>
      <c r="T53" s="327"/>
      <c r="U53" s="327"/>
      <c r="V53" s="327"/>
      <c r="W53" s="327"/>
      <c r="X53" s="327"/>
      <c r="Y53" s="327"/>
      <c r="Z53" s="327"/>
    </row>
    <row r="54" spans="1:26" ht="11.25" customHeight="1" x14ac:dyDescent="0.3">
      <c r="A54" s="327"/>
      <c r="B54" s="792" t="s">
        <v>763</v>
      </c>
      <c r="C54" s="806"/>
      <c r="D54" s="782"/>
      <c r="E54" s="833"/>
      <c r="F54" s="834">
        <v>6.0138183599339984E-4</v>
      </c>
      <c r="G54" s="835">
        <f t="shared" si="11"/>
        <v>0</v>
      </c>
      <c r="H54" s="806">
        <f>L42</f>
        <v>265</v>
      </c>
      <c r="I54" s="836">
        <f t="shared" si="12"/>
        <v>0</v>
      </c>
      <c r="J54" s="790"/>
      <c r="K54" s="791"/>
      <c r="L54" s="790"/>
      <c r="M54" s="791"/>
      <c r="N54" s="140"/>
      <c r="O54" s="327"/>
      <c r="P54" s="327"/>
      <c r="Q54" s="327"/>
      <c r="R54" s="327"/>
      <c r="S54" s="327"/>
      <c r="T54" s="327"/>
      <c r="U54" s="327"/>
      <c r="V54" s="327"/>
      <c r="W54" s="327"/>
      <c r="X54" s="327"/>
      <c r="Y54" s="327"/>
      <c r="Z54" s="327"/>
    </row>
    <row r="55" spans="1:26" ht="11.25" customHeight="1" x14ac:dyDescent="0.3">
      <c r="A55" s="327"/>
      <c r="B55" s="792" t="s">
        <v>524</v>
      </c>
      <c r="C55" s="807">
        <f>C24</f>
        <v>0</v>
      </c>
      <c r="D55" s="794">
        <v>1</v>
      </c>
      <c r="E55" s="833">
        <f>C55*D55</f>
        <v>0</v>
      </c>
      <c r="F55" s="834">
        <v>6.0138183599339984E-4</v>
      </c>
      <c r="G55" s="835">
        <f t="shared" si="11"/>
        <v>0</v>
      </c>
      <c r="H55" s="806">
        <f>L42</f>
        <v>265</v>
      </c>
      <c r="I55" s="836">
        <f t="shared" si="12"/>
        <v>0</v>
      </c>
      <c r="J55" s="790"/>
      <c r="K55" s="791"/>
      <c r="L55" s="790"/>
      <c r="M55" s="791"/>
      <c r="N55" s="140"/>
      <c r="O55" s="327"/>
      <c r="P55" s="327"/>
      <c r="Q55" s="327"/>
      <c r="R55" s="327"/>
      <c r="S55" s="327"/>
      <c r="T55" s="327"/>
      <c r="U55" s="327"/>
      <c r="V55" s="327"/>
      <c r="W55" s="327"/>
      <c r="X55" s="327"/>
      <c r="Y55" s="327"/>
      <c r="Z55" s="327"/>
    </row>
    <row r="56" spans="1:26" ht="11.25" customHeight="1" x14ac:dyDescent="0.3">
      <c r="A56" s="327"/>
      <c r="B56" s="792" t="s">
        <v>764</v>
      </c>
      <c r="C56" s="802">
        <v>0</v>
      </c>
      <c r="D56" s="782"/>
      <c r="E56" s="833">
        <v>0</v>
      </c>
      <c r="F56" s="834">
        <v>6.0138183599339984E-4</v>
      </c>
      <c r="G56" s="835">
        <f t="shared" si="11"/>
        <v>0</v>
      </c>
      <c r="H56" s="806">
        <f>L42</f>
        <v>265</v>
      </c>
      <c r="I56" s="836">
        <f t="shared" si="12"/>
        <v>0</v>
      </c>
      <c r="J56" s="790"/>
      <c r="K56" s="791"/>
      <c r="L56" s="790"/>
      <c r="M56" s="791"/>
      <c r="N56" s="140"/>
      <c r="O56" s="327"/>
      <c r="P56" s="327"/>
      <c r="Q56" s="327"/>
      <c r="R56" s="327"/>
      <c r="S56" s="327"/>
      <c r="T56" s="327"/>
      <c r="U56" s="327"/>
      <c r="V56" s="327"/>
      <c r="W56" s="327"/>
      <c r="X56" s="327"/>
      <c r="Y56" s="327"/>
      <c r="Z56" s="327"/>
    </row>
    <row r="57" spans="1:26" ht="11.25" customHeight="1" x14ac:dyDescent="0.3">
      <c r="A57" s="327"/>
      <c r="B57" s="792" t="s">
        <v>765</v>
      </c>
      <c r="C57" s="793">
        <f>C26</f>
        <v>2770</v>
      </c>
      <c r="D57" s="794">
        <v>0.94768328836537974</v>
      </c>
      <c r="E57" s="833">
        <f>C57*D57</f>
        <v>2625.0827087721018</v>
      </c>
      <c r="F57" s="834">
        <v>6.0138183599339984E-4</v>
      </c>
      <c r="G57" s="835">
        <f t="shared" si="11"/>
        <v>8.7150626665823641E-2</v>
      </c>
      <c r="H57" s="806">
        <f>L42</f>
        <v>265</v>
      </c>
      <c r="I57" s="836">
        <f t="shared" si="12"/>
        <v>2.3094916066443265E-5</v>
      </c>
      <c r="J57" s="790"/>
      <c r="K57" s="791"/>
      <c r="L57" s="790"/>
      <c r="M57" s="791"/>
      <c r="N57" s="140"/>
      <c r="O57" s="327"/>
      <c r="P57" s="327"/>
      <c r="Q57" s="327"/>
      <c r="R57" s="327"/>
      <c r="S57" s="327"/>
      <c r="T57" s="327"/>
      <c r="U57" s="327"/>
      <c r="V57" s="327"/>
      <c r="W57" s="327"/>
      <c r="X57" s="327"/>
      <c r="Y57" s="327"/>
      <c r="Z57" s="327"/>
    </row>
    <row r="58" spans="1:26" ht="11.25" customHeight="1" x14ac:dyDescent="0.3">
      <c r="A58" s="327"/>
      <c r="B58" s="792" t="s">
        <v>766</v>
      </c>
      <c r="C58" s="802">
        <v>0</v>
      </c>
      <c r="D58" s="782"/>
      <c r="E58" s="833">
        <v>0</v>
      </c>
      <c r="F58" s="834">
        <v>6.0138183599339984E-4</v>
      </c>
      <c r="G58" s="835">
        <f t="shared" si="11"/>
        <v>0</v>
      </c>
      <c r="H58" s="806">
        <f>L42</f>
        <v>265</v>
      </c>
      <c r="I58" s="836">
        <f t="shared" si="12"/>
        <v>0</v>
      </c>
      <c r="J58" s="790"/>
      <c r="K58" s="791"/>
      <c r="L58" s="790"/>
      <c r="M58" s="791"/>
      <c r="N58" s="140"/>
      <c r="O58" s="327"/>
      <c r="P58" s="327"/>
      <c r="Q58" s="327"/>
      <c r="R58" s="327"/>
      <c r="S58" s="327"/>
      <c r="T58" s="327"/>
      <c r="U58" s="327"/>
      <c r="V58" s="327"/>
      <c r="W58" s="327"/>
      <c r="X58" s="327"/>
      <c r="Y58" s="327"/>
      <c r="Z58" s="327"/>
    </row>
    <row r="59" spans="1:26" ht="11.25" customHeight="1" x14ac:dyDescent="0.3">
      <c r="A59" s="327"/>
      <c r="B59" s="792" t="s">
        <v>767</v>
      </c>
      <c r="C59" s="793">
        <f t="shared" ref="C59:C60" si="17">C28</f>
        <v>51</v>
      </c>
      <c r="D59" s="794">
        <v>1</v>
      </c>
      <c r="E59" s="833">
        <f t="shared" ref="E59:E60" si="18">C59*D59</f>
        <v>51</v>
      </c>
      <c r="F59" s="834">
        <v>6.0138183599339984E-4</v>
      </c>
      <c r="G59" s="835">
        <f t="shared" si="11"/>
        <v>0</v>
      </c>
      <c r="H59" s="806">
        <f>L42</f>
        <v>265</v>
      </c>
      <c r="I59" s="836">
        <f t="shared" si="12"/>
        <v>0</v>
      </c>
      <c r="J59" s="790"/>
      <c r="K59" s="791"/>
      <c r="L59" s="790"/>
      <c r="M59" s="791"/>
      <c r="N59" s="140"/>
      <c r="O59" s="327"/>
      <c r="P59" s="327"/>
      <c r="Q59" s="327"/>
      <c r="R59" s="327"/>
      <c r="S59" s="327"/>
      <c r="T59" s="327"/>
      <c r="U59" s="327"/>
      <c r="V59" s="327"/>
      <c r="W59" s="327"/>
      <c r="X59" s="327"/>
      <c r="Y59" s="327"/>
      <c r="Z59" s="327"/>
    </row>
    <row r="60" spans="1:26" ht="11.25" customHeight="1" x14ac:dyDescent="0.3">
      <c r="A60" s="327"/>
      <c r="B60" s="792" t="s">
        <v>436</v>
      </c>
      <c r="C60" s="793">
        <f t="shared" si="17"/>
        <v>17763</v>
      </c>
      <c r="D60" s="794">
        <v>3.1036474108728018E-2</v>
      </c>
      <c r="E60" s="833">
        <f t="shared" si="18"/>
        <v>551.3008895933358</v>
      </c>
      <c r="F60" s="834">
        <v>9.4955026735800017E-5</v>
      </c>
      <c r="G60" s="835">
        <f t="shared" si="11"/>
        <v>1.6343373491972104</v>
      </c>
      <c r="H60" s="806">
        <f>L42</f>
        <v>265</v>
      </c>
      <c r="I60" s="836">
        <f t="shared" si="12"/>
        <v>4.3309939753726075E-4</v>
      </c>
      <c r="J60" s="790"/>
      <c r="K60" s="791"/>
      <c r="L60" s="790"/>
      <c r="M60" s="791"/>
      <c r="N60" s="140"/>
      <c r="O60" s="327"/>
      <c r="P60" s="327"/>
      <c r="Q60" s="327"/>
      <c r="R60" s="327"/>
      <c r="S60" s="327"/>
      <c r="T60" s="327"/>
      <c r="U60" s="327"/>
      <c r="V60" s="327"/>
      <c r="W60" s="327"/>
      <c r="X60" s="327"/>
      <c r="Y60" s="327"/>
      <c r="Z60" s="327"/>
    </row>
    <row r="61" spans="1:26" ht="11.25" customHeight="1" x14ac:dyDescent="0.3">
      <c r="A61" s="327"/>
      <c r="B61" s="624" t="s">
        <v>690</v>
      </c>
      <c r="C61" s="806">
        <v>303</v>
      </c>
      <c r="D61" s="782"/>
      <c r="E61" s="809" t="s">
        <v>772</v>
      </c>
      <c r="F61" s="834">
        <v>3.7982010694320003E-3</v>
      </c>
      <c r="G61" s="835">
        <f>C61*F61</f>
        <v>1.150854924037896</v>
      </c>
      <c r="H61" s="806">
        <f>L42</f>
        <v>265</v>
      </c>
      <c r="I61" s="836">
        <f t="shared" si="12"/>
        <v>3.0497655487004243E-4</v>
      </c>
      <c r="J61" s="790"/>
      <c r="K61" s="791"/>
      <c r="L61" s="790"/>
      <c r="M61" s="791"/>
      <c r="N61" s="140"/>
      <c r="O61" s="327"/>
      <c r="P61" s="327"/>
      <c r="Q61" s="327"/>
      <c r="R61" s="327"/>
      <c r="S61" s="327"/>
      <c r="T61" s="327"/>
      <c r="U61" s="327"/>
      <c r="V61" s="327"/>
      <c r="W61" s="327"/>
      <c r="X61" s="327"/>
      <c r="Y61" s="327"/>
      <c r="Z61" s="327"/>
    </row>
    <row r="62" spans="1:26" ht="11.25" customHeight="1" x14ac:dyDescent="0.35">
      <c r="A62" s="327"/>
      <c r="B62" s="837"/>
      <c r="C62" s="814"/>
      <c r="D62" s="814"/>
      <c r="E62" s="814"/>
      <c r="F62" s="814"/>
      <c r="G62" s="814"/>
      <c r="H62" s="838" t="s">
        <v>86</v>
      </c>
      <c r="I62" s="839">
        <f>SUM(I39:I61)</f>
        <v>5.2133240181081687E-3</v>
      </c>
      <c r="J62" s="622"/>
      <c r="K62" s="840"/>
      <c r="L62" s="622"/>
      <c r="M62" s="840"/>
      <c r="N62" s="140"/>
      <c r="O62" s="327"/>
      <c r="P62" s="327"/>
      <c r="Q62" s="327"/>
      <c r="R62" s="327"/>
      <c r="S62" s="327"/>
      <c r="T62" s="327"/>
      <c r="U62" s="327"/>
      <c r="V62" s="327"/>
      <c r="W62" s="327"/>
      <c r="X62" s="327"/>
      <c r="Y62" s="327"/>
      <c r="Z62" s="327"/>
    </row>
    <row r="63" spans="1:26" ht="11.25" customHeight="1" x14ac:dyDescent="0.2">
      <c r="A63" s="327"/>
      <c r="B63" s="819"/>
      <c r="C63" s="820"/>
      <c r="D63" s="820"/>
      <c r="E63" s="820"/>
      <c r="F63" s="820"/>
      <c r="G63" s="820"/>
      <c r="H63" s="820"/>
      <c r="I63" s="841"/>
      <c r="J63" s="327"/>
      <c r="K63" s="327"/>
      <c r="L63" s="327"/>
      <c r="M63" s="327"/>
      <c r="N63" s="327"/>
      <c r="O63" s="327"/>
      <c r="P63" s="327"/>
      <c r="Q63" s="327"/>
      <c r="R63" s="327"/>
      <c r="S63" s="327"/>
      <c r="T63" s="327"/>
      <c r="U63" s="327"/>
      <c r="V63" s="327"/>
      <c r="W63" s="327"/>
      <c r="X63" s="327"/>
      <c r="Y63" s="327"/>
      <c r="Z63" s="327"/>
    </row>
    <row r="64" spans="1:26" ht="11.25" customHeight="1" x14ac:dyDescent="0.2">
      <c r="A64" s="327"/>
      <c r="B64" s="327"/>
      <c r="C64" s="327"/>
      <c r="D64" s="327"/>
      <c r="E64" s="327"/>
      <c r="F64" s="327"/>
      <c r="G64" s="327"/>
      <c r="H64" s="327"/>
      <c r="I64" s="327"/>
      <c r="J64" s="327"/>
      <c r="K64" s="327"/>
      <c r="L64" s="327"/>
      <c r="M64" s="327"/>
      <c r="N64" s="327"/>
      <c r="O64" s="327"/>
      <c r="P64" s="327"/>
      <c r="Q64" s="327"/>
      <c r="R64" s="327"/>
      <c r="S64" s="327"/>
      <c r="T64" s="327"/>
      <c r="U64" s="327"/>
      <c r="V64" s="327"/>
      <c r="W64" s="327"/>
      <c r="X64" s="327"/>
      <c r="Y64" s="327"/>
      <c r="Z64" s="327"/>
    </row>
    <row r="65" spans="1:26" ht="11.25" customHeight="1" x14ac:dyDescent="0.2">
      <c r="A65" s="327"/>
      <c r="B65" s="327"/>
      <c r="C65" s="327"/>
      <c r="D65" s="327"/>
      <c r="E65" s="327"/>
      <c r="F65" s="327"/>
      <c r="G65" s="327"/>
      <c r="H65" s="327"/>
      <c r="I65" s="327"/>
      <c r="J65" s="327"/>
      <c r="K65" s="327"/>
      <c r="L65" s="327"/>
      <c r="M65" s="327"/>
      <c r="N65" s="327"/>
      <c r="O65" s="327"/>
      <c r="P65" s="327"/>
      <c r="Q65" s="327"/>
      <c r="R65" s="327"/>
      <c r="S65" s="327"/>
      <c r="T65" s="327"/>
      <c r="U65" s="327"/>
      <c r="V65" s="327"/>
      <c r="W65" s="327"/>
      <c r="X65" s="327"/>
      <c r="Y65" s="327"/>
      <c r="Z65" s="327"/>
    </row>
    <row r="66" spans="1:26" ht="17.25" customHeight="1" x14ac:dyDescent="0.35">
      <c r="A66" s="327"/>
      <c r="B66" s="763" t="s">
        <v>773</v>
      </c>
      <c r="C66" s="764"/>
      <c r="D66" s="764"/>
      <c r="E66" s="765">
        <v>2020</v>
      </c>
      <c r="F66" s="140"/>
      <c r="G66" s="140"/>
      <c r="H66" s="140"/>
      <c r="I66" s="140"/>
      <c r="J66" s="140"/>
      <c r="K66" s="140"/>
      <c r="L66" s="140"/>
      <c r="M66" s="140"/>
      <c r="N66" s="140"/>
      <c r="O66" s="327"/>
      <c r="P66" s="327"/>
      <c r="Q66" s="327"/>
      <c r="R66" s="327"/>
      <c r="S66" s="327"/>
      <c r="T66" s="327"/>
      <c r="U66" s="327"/>
      <c r="V66" s="327"/>
      <c r="W66" s="327"/>
      <c r="X66" s="327"/>
      <c r="Y66" s="327"/>
      <c r="Z66" s="327"/>
    </row>
    <row r="67" spans="1:26" ht="11.25" customHeight="1" x14ac:dyDescent="0.35">
      <c r="A67" s="327"/>
      <c r="B67" s="766"/>
      <c r="C67" s="767" t="s">
        <v>744</v>
      </c>
      <c r="D67" s="767" t="s">
        <v>745</v>
      </c>
      <c r="E67" s="767" t="s">
        <v>746</v>
      </c>
      <c r="F67" s="768"/>
      <c r="G67" s="768"/>
      <c r="H67" s="768"/>
      <c r="I67" s="769"/>
      <c r="J67" s="140"/>
      <c r="K67" s="140"/>
      <c r="L67" s="140"/>
      <c r="M67" s="140"/>
      <c r="N67" s="140"/>
      <c r="O67" s="327"/>
      <c r="P67" s="327"/>
      <c r="Q67" s="327"/>
      <c r="R67" s="327"/>
      <c r="S67" s="327"/>
      <c r="T67" s="327"/>
      <c r="U67" s="327"/>
      <c r="V67" s="327"/>
      <c r="W67" s="327"/>
      <c r="X67" s="327"/>
      <c r="Y67" s="327"/>
      <c r="Z67" s="327"/>
    </row>
    <row r="68" spans="1:26" ht="11.25" customHeight="1" x14ac:dyDescent="0.35">
      <c r="A68" s="327"/>
      <c r="B68" s="770"/>
      <c r="C68" s="771" t="s">
        <v>512</v>
      </c>
      <c r="D68" s="771" t="s">
        <v>748</v>
      </c>
      <c r="E68" s="771" t="s">
        <v>512</v>
      </c>
      <c r="F68" s="773" t="s">
        <v>700</v>
      </c>
      <c r="G68" s="773" t="s">
        <v>529</v>
      </c>
      <c r="H68" s="771" t="s">
        <v>530</v>
      </c>
      <c r="I68" s="774" t="s">
        <v>529</v>
      </c>
      <c r="J68" s="140"/>
      <c r="K68" s="775"/>
      <c r="L68" s="140"/>
      <c r="M68" s="775"/>
      <c r="N68" s="140"/>
      <c r="O68" s="327"/>
      <c r="P68" s="327"/>
      <c r="Q68" s="327"/>
      <c r="R68" s="327"/>
      <c r="S68" s="327"/>
      <c r="T68" s="327"/>
      <c r="U68" s="327"/>
      <c r="V68" s="327"/>
      <c r="W68" s="327"/>
      <c r="X68" s="327"/>
      <c r="Y68" s="327"/>
      <c r="Z68" s="327"/>
    </row>
    <row r="69" spans="1:26" ht="11.25" customHeight="1" x14ac:dyDescent="0.35">
      <c r="A69" s="327"/>
      <c r="B69" s="776" t="s">
        <v>170</v>
      </c>
      <c r="C69" s="777" t="s">
        <v>531</v>
      </c>
      <c r="D69" s="777" t="s">
        <v>749</v>
      </c>
      <c r="E69" s="777" t="s">
        <v>531</v>
      </c>
      <c r="F69" s="827" t="s">
        <v>712</v>
      </c>
      <c r="G69" s="827" t="s">
        <v>774</v>
      </c>
      <c r="H69" s="777"/>
      <c r="I69" s="778" t="s">
        <v>714</v>
      </c>
      <c r="J69" s="140"/>
      <c r="K69" s="779"/>
      <c r="L69" s="140"/>
      <c r="M69" s="775"/>
      <c r="N69" s="140"/>
      <c r="O69" s="327"/>
      <c r="P69" s="327"/>
      <c r="Q69" s="327"/>
      <c r="R69" s="327"/>
      <c r="S69" s="327"/>
      <c r="T69" s="327"/>
      <c r="U69" s="327"/>
      <c r="V69" s="327"/>
      <c r="W69" s="327"/>
      <c r="X69" s="327"/>
      <c r="Y69" s="327"/>
      <c r="Z69" s="327"/>
    </row>
    <row r="70" spans="1:26" ht="11.25" customHeight="1" x14ac:dyDescent="0.3">
      <c r="A70" s="327"/>
      <c r="B70" s="842" t="s">
        <v>752</v>
      </c>
      <c r="C70" s="802">
        <v>0</v>
      </c>
      <c r="D70" s="782"/>
      <c r="E70" s="843">
        <v>0</v>
      </c>
      <c r="F70" s="844">
        <v>1.0023030599889999E-2</v>
      </c>
      <c r="G70" s="845">
        <f t="shared" ref="G70:G91" si="19">(C70-E70)*F70</f>
        <v>0</v>
      </c>
      <c r="H70" s="846">
        <f>L41</f>
        <v>28</v>
      </c>
      <c r="I70" s="847">
        <f t="shared" ref="I70:I92" si="20">G70*H70/1000000</f>
        <v>0</v>
      </c>
      <c r="J70" s="790"/>
      <c r="K70" s="791"/>
      <c r="L70" s="790"/>
      <c r="M70" s="791"/>
      <c r="N70" s="140"/>
      <c r="O70" s="327"/>
      <c r="P70" s="327"/>
      <c r="Q70" s="327"/>
      <c r="R70" s="327"/>
      <c r="S70" s="327"/>
      <c r="T70" s="327"/>
      <c r="U70" s="327"/>
      <c r="V70" s="327"/>
      <c r="W70" s="327"/>
      <c r="X70" s="327"/>
      <c r="Y70" s="327"/>
      <c r="Z70" s="327"/>
    </row>
    <row r="71" spans="1:26" ht="11.25" customHeight="1" x14ac:dyDescent="0.3">
      <c r="A71" s="327"/>
      <c r="B71" s="848" t="s">
        <v>753</v>
      </c>
      <c r="C71" s="793">
        <f t="shared" ref="C71:C72" si="21">C40</f>
        <v>9033</v>
      </c>
      <c r="D71" s="794">
        <v>1.6386862395834579E-2</v>
      </c>
      <c r="E71" s="849">
        <f t="shared" ref="E71:E72" si="22">C71*D71</f>
        <v>148.02252802157375</v>
      </c>
      <c r="F71" s="834">
        <v>1.0023030599889999E-2</v>
      </c>
      <c r="G71" s="850">
        <f t="shared" si="19"/>
        <v>89.054401080973051</v>
      </c>
      <c r="H71" s="806">
        <f>L41</f>
        <v>28</v>
      </c>
      <c r="I71" s="665">
        <f t="shared" si="20"/>
        <v>2.4935232302672455E-3</v>
      </c>
      <c r="J71" s="790"/>
      <c r="K71" s="791"/>
      <c r="L71" s="790"/>
      <c r="M71" s="791"/>
      <c r="N71" s="140"/>
      <c r="O71" s="327"/>
      <c r="P71" s="327"/>
      <c r="Q71" s="327"/>
      <c r="R71" s="327"/>
      <c r="S71" s="327"/>
      <c r="T71" s="327"/>
      <c r="U71" s="327"/>
      <c r="V71" s="327"/>
      <c r="W71" s="327"/>
      <c r="X71" s="327"/>
      <c r="Y71" s="327"/>
      <c r="Z71" s="327"/>
    </row>
    <row r="72" spans="1:26" ht="11.25" customHeight="1" x14ac:dyDescent="0.3">
      <c r="A72" s="327"/>
      <c r="B72" s="848" t="s">
        <v>754</v>
      </c>
      <c r="C72" s="793">
        <f t="shared" si="21"/>
        <v>11723</v>
      </c>
      <c r="D72" s="794">
        <v>1</v>
      </c>
      <c r="E72" s="849">
        <f t="shared" si="22"/>
        <v>11723</v>
      </c>
      <c r="F72" s="834">
        <v>3.006909179967E-3</v>
      </c>
      <c r="G72" s="850">
        <f t="shared" si="19"/>
        <v>0</v>
      </c>
      <c r="H72" s="806">
        <f>L41</f>
        <v>28</v>
      </c>
      <c r="I72" s="665">
        <f t="shared" si="20"/>
        <v>0</v>
      </c>
      <c r="J72" s="790"/>
      <c r="K72" s="791"/>
      <c r="L72" s="790"/>
      <c r="M72" s="791"/>
      <c r="N72" s="140"/>
      <c r="O72" s="327"/>
      <c r="P72" s="327"/>
      <c r="Q72" s="327"/>
      <c r="R72" s="327"/>
      <c r="S72" s="327"/>
      <c r="T72" s="327"/>
      <c r="U72" s="327"/>
      <c r="V72" s="327"/>
      <c r="W72" s="327"/>
      <c r="X72" s="327"/>
      <c r="Y72" s="327"/>
      <c r="Z72" s="327"/>
    </row>
    <row r="73" spans="1:26" ht="15.75" customHeight="1" x14ac:dyDescent="0.3">
      <c r="A73" s="327"/>
      <c r="B73" s="851" t="s">
        <v>755</v>
      </c>
      <c r="C73" s="802">
        <v>0</v>
      </c>
      <c r="D73" s="782"/>
      <c r="E73" s="849">
        <v>0</v>
      </c>
      <c r="F73" s="834">
        <v>3.006909179967E-3</v>
      </c>
      <c r="G73" s="850">
        <f t="shared" si="19"/>
        <v>0</v>
      </c>
      <c r="H73" s="806">
        <f>L41</f>
        <v>28</v>
      </c>
      <c r="I73" s="852">
        <f t="shared" si="20"/>
        <v>0</v>
      </c>
      <c r="J73" s="790"/>
      <c r="K73" s="791"/>
      <c r="L73" s="790"/>
      <c r="M73" s="791"/>
      <c r="N73" s="140"/>
      <c r="O73" s="327"/>
      <c r="P73" s="327"/>
      <c r="Q73" s="327"/>
      <c r="R73" s="327"/>
      <c r="S73" s="327"/>
      <c r="T73" s="327"/>
      <c r="U73" s="327"/>
      <c r="V73" s="327"/>
      <c r="W73" s="327"/>
      <c r="X73" s="327"/>
      <c r="Y73" s="327"/>
      <c r="Z73" s="327"/>
    </row>
    <row r="74" spans="1:26" ht="11.25" customHeight="1" x14ac:dyDescent="0.3">
      <c r="A74" s="327"/>
      <c r="B74" s="851" t="s">
        <v>756</v>
      </c>
      <c r="C74" s="802">
        <v>0</v>
      </c>
      <c r="D74" s="782"/>
      <c r="E74" s="849">
        <v>0</v>
      </c>
      <c r="F74" s="834">
        <v>3.006909179967E-3</v>
      </c>
      <c r="G74" s="850">
        <f t="shared" si="19"/>
        <v>0</v>
      </c>
      <c r="H74" s="806">
        <f>L41</f>
        <v>28</v>
      </c>
      <c r="I74" s="852">
        <f t="shared" si="20"/>
        <v>0</v>
      </c>
      <c r="J74" s="790"/>
      <c r="K74" s="791"/>
      <c r="L74" s="790"/>
      <c r="M74" s="791"/>
      <c r="N74" s="140"/>
      <c r="O74" s="327"/>
      <c r="P74" s="327"/>
      <c r="Q74" s="327"/>
      <c r="R74" s="327"/>
      <c r="S74" s="327"/>
      <c r="T74" s="327"/>
      <c r="U74" s="327"/>
      <c r="V74" s="327"/>
      <c r="W74" s="327"/>
      <c r="X74" s="327"/>
      <c r="Y74" s="327"/>
      <c r="Z74" s="327"/>
    </row>
    <row r="75" spans="1:26" ht="11.25" customHeight="1" x14ac:dyDescent="0.3">
      <c r="A75" s="327"/>
      <c r="B75" s="848" t="s">
        <v>522</v>
      </c>
      <c r="C75" s="793">
        <f>C44</f>
        <v>5396</v>
      </c>
      <c r="D75" s="794">
        <v>5.9993813799243175E-3</v>
      </c>
      <c r="E75" s="849">
        <f>C75*D75</f>
        <v>32.372661926071615</v>
      </c>
      <c r="F75" s="834">
        <v>3.006909179967E-3</v>
      </c>
      <c r="G75" s="850">
        <f t="shared" si="19"/>
        <v>16.12794028077646</v>
      </c>
      <c r="H75" s="806">
        <f>L41</f>
        <v>28</v>
      </c>
      <c r="I75" s="665">
        <f t="shared" si="20"/>
        <v>4.5158232786174092E-4</v>
      </c>
      <c r="J75" s="790"/>
      <c r="K75" s="791"/>
      <c r="L75" s="790"/>
      <c r="M75" s="791"/>
      <c r="N75" s="140"/>
      <c r="O75" s="327"/>
      <c r="P75" s="327"/>
      <c r="Q75" s="327"/>
      <c r="R75" s="327"/>
      <c r="S75" s="327"/>
      <c r="T75" s="327"/>
      <c r="U75" s="327"/>
      <c r="V75" s="327"/>
      <c r="W75" s="327"/>
      <c r="X75" s="327"/>
      <c r="Y75" s="327"/>
      <c r="Z75" s="327"/>
    </row>
    <row r="76" spans="1:26" ht="12.75" customHeight="1" x14ac:dyDescent="0.3">
      <c r="A76" s="327"/>
      <c r="B76" s="851" t="s">
        <v>757</v>
      </c>
      <c r="C76" s="805">
        <v>0</v>
      </c>
      <c r="D76" s="782"/>
      <c r="E76" s="849"/>
      <c r="F76" s="834">
        <v>3.006909179967E-3</v>
      </c>
      <c r="G76" s="850">
        <f t="shared" si="19"/>
        <v>0</v>
      </c>
      <c r="H76" s="806">
        <f>L41</f>
        <v>28</v>
      </c>
      <c r="I76" s="852">
        <f t="shared" si="20"/>
        <v>0</v>
      </c>
      <c r="J76" s="790"/>
      <c r="K76" s="791"/>
      <c r="L76" s="790"/>
      <c r="M76" s="791"/>
      <c r="N76" s="140"/>
      <c r="O76" s="327"/>
      <c r="P76" s="327"/>
      <c r="Q76" s="327"/>
      <c r="R76" s="327"/>
      <c r="S76" s="327"/>
      <c r="T76" s="327"/>
      <c r="U76" s="327"/>
      <c r="V76" s="327"/>
      <c r="W76" s="327"/>
      <c r="X76" s="327"/>
      <c r="Y76" s="327"/>
      <c r="Z76" s="327"/>
    </row>
    <row r="77" spans="1:26" ht="14.25" customHeight="1" x14ac:dyDescent="0.3">
      <c r="A77" s="327"/>
      <c r="B77" s="851" t="s">
        <v>758</v>
      </c>
      <c r="C77" s="805">
        <v>0</v>
      </c>
      <c r="D77" s="782"/>
      <c r="E77" s="849"/>
      <c r="F77" s="834">
        <v>3.006909179967E-3</v>
      </c>
      <c r="G77" s="850">
        <f t="shared" si="19"/>
        <v>0</v>
      </c>
      <c r="H77" s="806">
        <f>L41</f>
        <v>28</v>
      </c>
      <c r="I77" s="852">
        <f t="shared" si="20"/>
        <v>0</v>
      </c>
      <c r="J77" s="790"/>
      <c r="K77" s="791"/>
      <c r="L77" s="790"/>
      <c r="M77" s="791"/>
      <c r="N77" s="140"/>
      <c r="O77" s="327"/>
      <c r="P77" s="327"/>
      <c r="Q77" s="327"/>
      <c r="R77" s="327"/>
      <c r="S77" s="327"/>
      <c r="T77" s="327"/>
      <c r="U77" s="327"/>
      <c r="V77" s="327"/>
      <c r="W77" s="327"/>
      <c r="X77" s="327"/>
      <c r="Y77" s="327"/>
      <c r="Z77" s="327"/>
    </row>
    <row r="78" spans="1:26" ht="11.25" customHeight="1" x14ac:dyDescent="0.3">
      <c r="A78" s="327"/>
      <c r="B78" s="848" t="s">
        <v>591</v>
      </c>
      <c r="C78" s="793">
        <f t="shared" ref="C78:C81" si="23">C47</f>
        <v>5</v>
      </c>
      <c r="D78" s="794">
        <v>1</v>
      </c>
      <c r="E78" s="849">
        <f t="shared" ref="E78:E81" si="24">C78*D78</f>
        <v>5</v>
      </c>
      <c r="F78" s="834">
        <v>3.006909179967E-3</v>
      </c>
      <c r="G78" s="850">
        <f t="shared" si="19"/>
        <v>0</v>
      </c>
      <c r="H78" s="806">
        <f>L41</f>
        <v>28</v>
      </c>
      <c r="I78" s="665">
        <f t="shared" si="20"/>
        <v>0</v>
      </c>
      <c r="J78" s="790"/>
      <c r="K78" s="791"/>
      <c r="L78" s="790"/>
      <c r="M78" s="791"/>
      <c r="N78" s="140"/>
      <c r="O78" s="327"/>
      <c r="P78" s="327"/>
      <c r="Q78" s="327"/>
      <c r="R78" s="327"/>
      <c r="S78" s="327"/>
      <c r="T78" s="327"/>
      <c r="U78" s="327"/>
      <c r="V78" s="327"/>
      <c r="W78" s="327"/>
      <c r="X78" s="327"/>
      <c r="Y78" s="327"/>
      <c r="Z78" s="327"/>
    </row>
    <row r="79" spans="1:26" ht="11.25" customHeight="1" x14ac:dyDescent="0.3">
      <c r="A79" s="327"/>
      <c r="B79" s="848" t="s">
        <v>706</v>
      </c>
      <c r="C79" s="793">
        <f t="shared" si="23"/>
        <v>2046</v>
      </c>
      <c r="D79" s="794">
        <v>0.82377689762912898</v>
      </c>
      <c r="E79" s="849">
        <f t="shared" si="24"/>
        <v>1685.4475325491978</v>
      </c>
      <c r="F79" s="834">
        <v>3.006909179967E-3</v>
      </c>
      <c r="G79" s="850">
        <f t="shared" si="19"/>
        <v>1.0841485242375699</v>
      </c>
      <c r="H79" s="806">
        <f>L41</f>
        <v>28</v>
      </c>
      <c r="I79" s="665">
        <f t="shared" si="20"/>
        <v>3.035615867865196E-5</v>
      </c>
      <c r="J79" s="790"/>
      <c r="K79" s="791"/>
      <c r="L79" s="790"/>
      <c r="M79" s="791"/>
      <c r="N79" s="140"/>
      <c r="O79" s="327"/>
      <c r="P79" s="327"/>
      <c r="Q79" s="327"/>
      <c r="R79" s="327"/>
      <c r="S79" s="327"/>
      <c r="T79" s="327"/>
      <c r="U79" s="327"/>
      <c r="V79" s="327"/>
      <c r="W79" s="327"/>
      <c r="X79" s="327"/>
      <c r="Y79" s="327"/>
      <c r="Z79" s="327"/>
    </row>
    <row r="80" spans="1:26" ht="11.25" customHeight="1" x14ac:dyDescent="0.3">
      <c r="A80" s="327"/>
      <c r="B80" s="848" t="s">
        <v>759</v>
      </c>
      <c r="C80" s="793">
        <f t="shared" si="23"/>
        <v>909</v>
      </c>
      <c r="D80" s="794">
        <v>1</v>
      </c>
      <c r="E80" s="849">
        <f t="shared" si="24"/>
        <v>909</v>
      </c>
      <c r="F80" s="834">
        <v>3.006909179967E-3</v>
      </c>
      <c r="G80" s="850">
        <f t="shared" si="19"/>
        <v>0</v>
      </c>
      <c r="H80" s="806">
        <f>L41</f>
        <v>28</v>
      </c>
      <c r="I80" s="665">
        <f t="shared" si="20"/>
        <v>0</v>
      </c>
      <c r="J80" s="790"/>
      <c r="K80" s="791"/>
      <c r="L80" s="790"/>
      <c r="M80" s="791"/>
      <c r="N80" s="140"/>
      <c r="O80" s="327"/>
      <c r="P80" s="327"/>
      <c r="Q80" s="327"/>
      <c r="R80" s="327"/>
      <c r="S80" s="327"/>
      <c r="T80" s="327"/>
      <c r="U80" s="327"/>
      <c r="V80" s="327"/>
      <c r="W80" s="327"/>
      <c r="X80" s="327"/>
      <c r="Y80" s="327"/>
      <c r="Z80" s="327"/>
    </row>
    <row r="81" spans="1:26" ht="11.25" customHeight="1" x14ac:dyDescent="0.3">
      <c r="A81" s="327"/>
      <c r="B81" s="848" t="s">
        <v>726</v>
      </c>
      <c r="C81" s="793">
        <f t="shared" si="23"/>
        <v>2722</v>
      </c>
      <c r="D81" s="794">
        <v>1</v>
      </c>
      <c r="E81" s="849">
        <f t="shared" si="24"/>
        <v>2722</v>
      </c>
      <c r="F81" s="834">
        <v>3.006909179967E-3</v>
      </c>
      <c r="G81" s="850">
        <f t="shared" si="19"/>
        <v>0</v>
      </c>
      <c r="H81" s="806">
        <f>L41</f>
        <v>28</v>
      </c>
      <c r="I81" s="665">
        <f t="shared" si="20"/>
        <v>0</v>
      </c>
      <c r="J81" s="790"/>
      <c r="K81" s="791"/>
      <c r="L81" s="790"/>
      <c r="M81" s="791"/>
      <c r="N81" s="140"/>
      <c r="O81" s="327"/>
      <c r="P81" s="327"/>
      <c r="Q81" s="327"/>
      <c r="R81" s="327"/>
      <c r="S81" s="327"/>
      <c r="T81" s="327"/>
      <c r="U81" s="327"/>
      <c r="V81" s="327"/>
      <c r="W81" s="327"/>
      <c r="X81" s="327"/>
      <c r="Y81" s="327"/>
      <c r="Z81" s="327"/>
    </row>
    <row r="82" spans="1:26" ht="16.5" customHeight="1" x14ac:dyDescent="0.3">
      <c r="A82" s="327"/>
      <c r="B82" s="851" t="s">
        <v>760</v>
      </c>
      <c r="C82" s="802">
        <v>0</v>
      </c>
      <c r="D82" s="782"/>
      <c r="E82" s="849">
        <v>0</v>
      </c>
      <c r="F82" s="834">
        <v>3.006909179967E-3</v>
      </c>
      <c r="G82" s="850">
        <f t="shared" si="19"/>
        <v>0</v>
      </c>
      <c r="H82" s="806">
        <f>L41</f>
        <v>28</v>
      </c>
      <c r="I82" s="852">
        <f t="shared" si="20"/>
        <v>0</v>
      </c>
      <c r="J82" s="790"/>
      <c r="K82" s="791"/>
      <c r="L82" s="790"/>
      <c r="M82" s="791"/>
      <c r="N82" s="140"/>
      <c r="O82" s="327"/>
      <c r="P82" s="327"/>
      <c r="Q82" s="327"/>
      <c r="R82" s="327"/>
      <c r="S82" s="327"/>
      <c r="T82" s="327"/>
      <c r="U82" s="327"/>
      <c r="V82" s="327"/>
      <c r="W82" s="327"/>
      <c r="X82" s="327"/>
      <c r="Y82" s="327"/>
      <c r="Z82" s="327"/>
    </row>
    <row r="83" spans="1:26" ht="11.25" customHeight="1" x14ac:dyDescent="0.3">
      <c r="A83" s="327"/>
      <c r="B83" s="848" t="s">
        <v>761</v>
      </c>
      <c r="C83" s="793">
        <f>C52</f>
        <v>153</v>
      </c>
      <c r="D83" s="794">
        <v>1</v>
      </c>
      <c r="E83" s="849">
        <f>C83*D83</f>
        <v>153</v>
      </c>
      <c r="F83" s="834">
        <v>3.006909179967E-3</v>
      </c>
      <c r="G83" s="850">
        <f t="shared" si="19"/>
        <v>0</v>
      </c>
      <c r="H83" s="806">
        <f>L41</f>
        <v>28</v>
      </c>
      <c r="I83" s="665">
        <f t="shared" si="20"/>
        <v>0</v>
      </c>
      <c r="J83" s="790"/>
      <c r="K83" s="791"/>
      <c r="L83" s="790"/>
      <c r="M83" s="791"/>
      <c r="N83" s="140"/>
      <c r="O83" s="327"/>
      <c r="P83" s="327"/>
      <c r="Q83" s="327"/>
      <c r="R83" s="327"/>
      <c r="S83" s="327"/>
      <c r="T83" s="327"/>
      <c r="U83" s="327"/>
      <c r="V83" s="327"/>
      <c r="W83" s="327"/>
      <c r="X83" s="327"/>
      <c r="Y83" s="327"/>
      <c r="Z83" s="327"/>
    </row>
    <row r="84" spans="1:26" ht="11.25" customHeight="1" x14ac:dyDescent="0.3">
      <c r="A84" s="327"/>
      <c r="B84" s="848" t="s">
        <v>762</v>
      </c>
      <c r="C84" s="802">
        <v>0</v>
      </c>
      <c r="D84" s="782"/>
      <c r="E84" s="849">
        <v>0</v>
      </c>
      <c r="F84" s="834">
        <v>3.006909179967E-3</v>
      </c>
      <c r="G84" s="850">
        <f t="shared" si="19"/>
        <v>0</v>
      </c>
      <c r="H84" s="806">
        <f>L41</f>
        <v>28</v>
      </c>
      <c r="I84" s="852">
        <f t="shared" si="20"/>
        <v>0</v>
      </c>
      <c r="J84" s="790"/>
      <c r="K84" s="791"/>
      <c r="L84" s="790"/>
      <c r="M84" s="791"/>
      <c r="N84" s="140"/>
      <c r="O84" s="327"/>
      <c r="P84" s="327"/>
      <c r="Q84" s="327"/>
      <c r="R84" s="327"/>
      <c r="S84" s="327"/>
      <c r="T84" s="327"/>
      <c r="U84" s="327"/>
      <c r="V84" s="327"/>
      <c r="W84" s="327"/>
      <c r="X84" s="327"/>
      <c r="Y84" s="327"/>
      <c r="Z84" s="327"/>
    </row>
    <row r="85" spans="1:26" ht="11.25" customHeight="1" x14ac:dyDescent="0.3">
      <c r="A85" s="327"/>
      <c r="B85" s="848" t="s">
        <v>763</v>
      </c>
      <c r="C85" s="806"/>
      <c r="D85" s="782"/>
      <c r="E85" s="849"/>
      <c r="F85" s="834">
        <v>3.006909179967E-3</v>
      </c>
      <c r="G85" s="850">
        <f t="shared" si="19"/>
        <v>0</v>
      </c>
      <c r="H85" s="806">
        <f>L41</f>
        <v>28</v>
      </c>
      <c r="I85" s="852">
        <f t="shared" si="20"/>
        <v>0</v>
      </c>
      <c r="J85" s="790"/>
      <c r="K85" s="791"/>
      <c r="L85" s="790"/>
      <c r="M85" s="791"/>
      <c r="N85" s="140"/>
      <c r="O85" s="327"/>
      <c r="P85" s="327"/>
      <c r="Q85" s="327"/>
      <c r="R85" s="327"/>
      <c r="S85" s="327"/>
      <c r="T85" s="327"/>
      <c r="U85" s="327"/>
      <c r="V85" s="327"/>
      <c r="W85" s="327"/>
      <c r="X85" s="327"/>
      <c r="Y85" s="327"/>
      <c r="Z85" s="327"/>
    </row>
    <row r="86" spans="1:26" ht="11.25" customHeight="1" x14ac:dyDescent="0.3">
      <c r="A86" s="327"/>
      <c r="B86" s="848" t="s">
        <v>524</v>
      </c>
      <c r="C86" s="807">
        <f>C55</f>
        <v>0</v>
      </c>
      <c r="D86" s="794">
        <v>1</v>
      </c>
      <c r="E86" s="849">
        <f>C86*D86</f>
        <v>0</v>
      </c>
      <c r="F86" s="834">
        <v>3.006909179967E-3</v>
      </c>
      <c r="G86" s="850">
        <f t="shared" si="19"/>
        <v>0</v>
      </c>
      <c r="H86" s="806">
        <f>L41</f>
        <v>28</v>
      </c>
      <c r="I86" s="665">
        <f t="shared" si="20"/>
        <v>0</v>
      </c>
      <c r="J86" s="790"/>
      <c r="K86" s="791"/>
      <c r="L86" s="790"/>
      <c r="M86" s="791"/>
      <c r="N86" s="140"/>
      <c r="O86" s="327"/>
      <c r="P86" s="327"/>
      <c r="Q86" s="327"/>
      <c r="R86" s="327"/>
      <c r="S86" s="327"/>
      <c r="T86" s="327"/>
      <c r="U86" s="327"/>
      <c r="V86" s="327"/>
      <c r="W86" s="327"/>
      <c r="X86" s="327"/>
      <c r="Y86" s="327"/>
      <c r="Z86" s="327"/>
    </row>
    <row r="87" spans="1:26" ht="11.25" customHeight="1" x14ac:dyDescent="0.3">
      <c r="A87" s="327"/>
      <c r="B87" s="848" t="s">
        <v>764</v>
      </c>
      <c r="C87" s="802">
        <v>0</v>
      </c>
      <c r="D87" s="782"/>
      <c r="E87" s="849">
        <v>0</v>
      </c>
      <c r="F87" s="834">
        <v>3.006909179967E-3</v>
      </c>
      <c r="G87" s="850">
        <f t="shared" si="19"/>
        <v>0</v>
      </c>
      <c r="H87" s="806">
        <f>L41</f>
        <v>28</v>
      </c>
      <c r="I87" s="852">
        <f t="shared" si="20"/>
        <v>0</v>
      </c>
      <c r="J87" s="790"/>
      <c r="K87" s="791"/>
      <c r="L87" s="790"/>
      <c r="M87" s="791"/>
      <c r="N87" s="140"/>
      <c r="O87" s="327"/>
      <c r="P87" s="327"/>
      <c r="Q87" s="327"/>
      <c r="R87" s="327"/>
      <c r="S87" s="327"/>
      <c r="T87" s="327"/>
      <c r="U87" s="327"/>
      <c r="V87" s="327"/>
      <c r="W87" s="327"/>
      <c r="X87" s="327"/>
      <c r="Y87" s="327"/>
      <c r="Z87" s="327"/>
    </row>
    <row r="88" spans="1:26" ht="11.25" customHeight="1" x14ac:dyDescent="0.3">
      <c r="A88" s="327"/>
      <c r="B88" s="848" t="s">
        <v>765</v>
      </c>
      <c r="C88" s="793">
        <f>C57</f>
        <v>2770</v>
      </c>
      <c r="D88" s="794">
        <v>0.94768328836537974</v>
      </c>
      <c r="E88" s="849">
        <f>C88*D88</f>
        <v>2625.0827087721018</v>
      </c>
      <c r="F88" s="834">
        <v>3.006909179967E-3</v>
      </c>
      <c r="G88" s="850">
        <f t="shared" si="19"/>
        <v>0.4357531333291183</v>
      </c>
      <c r="H88" s="806">
        <f>L41</f>
        <v>28</v>
      </c>
      <c r="I88" s="665">
        <f t="shared" si="20"/>
        <v>1.2201087733215313E-5</v>
      </c>
      <c r="J88" s="790"/>
      <c r="K88" s="791"/>
      <c r="L88" s="790"/>
      <c r="M88" s="791"/>
      <c r="N88" s="140"/>
      <c r="O88" s="327"/>
      <c r="P88" s="327"/>
      <c r="Q88" s="327"/>
      <c r="R88" s="327"/>
      <c r="S88" s="327"/>
      <c r="T88" s="327"/>
      <c r="U88" s="327"/>
      <c r="V88" s="327"/>
      <c r="W88" s="327"/>
      <c r="X88" s="327"/>
      <c r="Y88" s="327"/>
      <c r="Z88" s="327"/>
    </row>
    <row r="89" spans="1:26" ht="11.25" customHeight="1" x14ac:dyDescent="0.3">
      <c r="A89" s="327"/>
      <c r="B89" s="848" t="s">
        <v>766</v>
      </c>
      <c r="C89" s="802">
        <v>0</v>
      </c>
      <c r="D89" s="782"/>
      <c r="E89" s="849">
        <v>0</v>
      </c>
      <c r="F89" s="834">
        <v>3.006909179967E-3</v>
      </c>
      <c r="G89" s="850">
        <f t="shared" si="19"/>
        <v>0</v>
      </c>
      <c r="H89" s="806">
        <f>L41</f>
        <v>28</v>
      </c>
      <c r="I89" s="852">
        <f t="shared" si="20"/>
        <v>0</v>
      </c>
      <c r="J89" s="790"/>
      <c r="K89" s="791"/>
      <c r="L89" s="790"/>
      <c r="M89" s="791"/>
      <c r="N89" s="140"/>
      <c r="O89" s="327"/>
      <c r="P89" s="327"/>
      <c r="Q89" s="327"/>
      <c r="R89" s="327"/>
      <c r="S89" s="327"/>
      <c r="T89" s="327"/>
      <c r="U89" s="327"/>
      <c r="V89" s="327"/>
      <c r="W89" s="327"/>
      <c r="X89" s="327"/>
      <c r="Y89" s="327"/>
      <c r="Z89" s="327"/>
    </row>
    <row r="90" spans="1:26" ht="11.25" customHeight="1" x14ac:dyDescent="0.3">
      <c r="A90" s="327"/>
      <c r="B90" s="848" t="s">
        <v>767</v>
      </c>
      <c r="C90" s="793">
        <f t="shared" ref="C90:C92" si="25">C59</f>
        <v>51</v>
      </c>
      <c r="D90" s="794">
        <v>1</v>
      </c>
      <c r="E90" s="849">
        <f t="shared" ref="E90:E91" si="26">C90*D90</f>
        <v>51</v>
      </c>
      <c r="F90" s="834">
        <v>3.006909179967E-3</v>
      </c>
      <c r="G90" s="850">
        <f t="shared" si="19"/>
        <v>0</v>
      </c>
      <c r="H90" s="806">
        <f>L41</f>
        <v>28</v>
      </c>
      <c r="I90" s="665">
        <f t="shared" si="20"/>
        <v>0</v>
      </c>
      <c r="J90" s="790"/>
      <c r="K90" s="791"/>
      <c r="L90" s="790"/>
      <c r="M90" s="791"/>
      <c r="N90" s="140"/>
      <c r="O90" s="327"/>
      <c r="P90" s="327"/>
      <c r="Q90" s="327"/>
      <c r="R90" s="327"/>
      <c r="S90" s="327"/>
      <c r="T90" s="327"/>
      <c r="U90" s="327"/>
      <c r="V90" s="327"/>
      <c r="W90" s="327"/>
      <c r="X90" s="327"/>
      <c r="Y90" s="327"/>
      <c r="Z90" s="327"/>
    </row>
    <row r="91" spans="1:26" ht="11.25" customHeight="1" x14ac:dyDescent="0.3">
      <c r="A91" s="327"/>
      <c r="B91" s="848" t="s">
        <v>436</v>
      </c>
      <c r="C91" s="793">
        <f t="shared" si="25"/>
        <v>17763</v>
      </c>
      <c r="D91" s="794">
        <v>3.1036474108728018E-2</v>
      </c>
      <c r="E91" s="849">
        <f t="shared" si="26"/>
        <v>551.3008895933358</v>
      </c>
      <c r="F91" s="834">
        <v>9.4955026735800007E-4</v>
      </c>
      <c r="G91" s="850">
        <f t="shared" si="19"/>
        <v>16.343373491972102</v>
      </c>
      <c r="H91" s="806">
        <f>L41</f>
        <v>28</v>
      </c>
      <c r="I91" s="665">
        <f t="shared" si="20"/>
        <v>4.5761445777521884E-4</v>
      </c>
      <c r="J91" s="790"/>
      <c r="K91" s="791"/>
      <c r="L91" s="790"/>
      <c r="M91" s="791"/>
      <c r="N91" s="140"/>
      <c r="O91" s="327"/>
      <c r="P91" s="327"/>
      <c r="Q91" s="327"/>
      <c r="R91" s="327"/>
      <c r="S91" s="327"/>
      <c r="T91" s="327"/>
      <c r="U91" s="327"/>
      <c r="V91" s="327"/>
      <c r="W91" s="327"/>
      <c r="X91" s="327"/>
      <c r="Y91" s="327"/>
      <c r="Z91" s="327"/>
    </row>
    <row r="92" spans="1:26" ht="11.25" customHeight="1" x14ac:dyDescent="0.3">
      <c r="A92" s="327"/>
      <c r="B92" s="751" t="s">
        <v>690</v>
      </c>
      <c r="C92" s="806">
        <f t="shared" si="25"/>
        <v>303</v>
      </c>
      <c r="D92" s="782"/>
      <c r="E92" s="853" t="s">
        <v>772</v>
      </c>
      <c r="F92" s="834">
        <v>2.8486508020740004E-2</v>
      </c>
      <c r="G92" s="850">
        <f>C92*F92</f>
        <v>8.6314119302842212</v>
      </c>
      <c r="H92" s="806">
        <f>L41</f>
        <v>28</v>
      </c>
      <c r="I92" s="665">
        <f t="shared" si="20"/>
        <v>2.4167953404795819E-4</v>
      </c>
      <c r="J92" s="790"/>
      <c r="K92" s="791"/>
      <c r="L92" s="790"/>
      <c r="M92" s="791"/>
      <c r="N92" s="140"/>
      <c r="O92" s="327"/>
      <c r="P92" s="327"/>
      <c r="Q92" s="327"/>
      <c r="R92" s="327"/>
      <c r="S92" s="327"/>
      <c r="T92" s="327"/>
      <c r="U92" s="327"/>
      <c r="V92" s="327"/>
      <c r="W92" s="327"/>
      <c r="X92" s="327"/>
      <c r="Y92" s="327"/>
      <c r="Z92" s="327"/>
    </row>
    <row r="93" spans="1:26" ht="11.25" customHeight="1" x14ac:dyDescent="0.35">
      <c r="A93" s="327"/>
      <c r="B93" s="854"/>
      <c r="C93" s="814"/>
      <c r="D93" s="855"/>
      <c r="E93" s="855"/>
      <c r="F93" s="855"/>
      <c r="G93" s="855"/>
      <c r="H93" s="856" t="s">
        <v>86</v>
      </c>
      <c r="I93" s="857">
        <f>SUM(I70:I92)</f>
        <v>3.6869567963640306E-3</v>
      </c>
      <c r="J93" s="622"/>
      <c r="K93" s="840"/>
      <c r="L93" s="622"/>
      <c r="M93" s="840"/>
      <c r="N93" s="140"/>
      <c r="O93" s="327"/>
      <c r="P93" s="327"/>
      <c r="Q93" s="327"/>
      <c r="R93" s="327"/>
      <c r="S93" s="327"/>
      <c r="T93" s="327"/>
      <c r="U93" s="327"/>
      <c r="V93" s="327"/>
      <c r="W93" s="327"/>
      <c r="X93" s="327"/>
      <c r="Y93" s="327"/>
      <c r="Z93" s="327"/>
    </row>
    <row r="94" spans="1:26" ht="11.25" customHeight="1" x14ac:dyDescent="0.2">
      <c r="A94" s="327"/>
      <c r="B94" s="858"/>
      <c r="C94" s="859"/>
      <c r="D94" s="859"/>
      <c r="E94" s="859"/>
      <c r="F94" s="859"/>
      <c r="G94" s="859"/>
      <c r="H94" s="859"/>
      <c r="I94" s="860"/>
      <c r="J94" s="140"/>
      <c r="K94" s="140"/>
      <c r="L94" s="140"/>
      <c r="M94" s="140"/>
      <c r="N94" s="140"/>
      <c r="O94" s="327"/>
      <c r="P94" s="327"/>
      <c r="Q94" s="327"/>
      <c r="R94" s="327"/>
      <c r="S94" s="327"/>
      <c r="T94" s="327"/>
      <c r="U94" s="327"/>
      <c r="V94" s="327"/>
      <c r="W94" s="327"/>
      <c r="X94" s="327"/>
      <c r="Y94" s="327"/>
      <c r="Z94" s="327"/>
    </row>
    <row r="95" spans="1:26" ht="11.25" customHeight="1" x14ac:dyDescent="0.2">
      <c r="A95" s="327"/>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row>
    <row r="96" spans="1:26" ht="11.25" customHeight="1" x14ac:dyDescent="0.2">
      <c r="A96" s="327"/>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row>
    <row r="97" spans="1:26" ht="18.75" customHeight="1" x14ac:dyDescent="0.35">
      <c r="A97" s="327"/>
      <c r="B97" s="861" t="s">
        <v>775</v>
      </c>
      <c r="C97" s="862"/>
      <c r="D97" s="862"/>
      <c r="E97" s="863">
        <v>2020</v>
      </c>
      <c r="F97" s="140"/>
      <c r="G97" s="140"/>
      <c r="H97" s="140"/>
      <c r="I97" s="140"/>
      <c r="J97" s="327"/>
      <c r="K97" s="327"/>
      <c r="L97" s="327"/>
      <c r="M97" s="327"/>
      <c r="N97" s="327"/>
      <c r="O97" s="327"/>
      <c r="P97" s="327"/>
      <c r="Q97" s="327"/>
      <c r="R97" s="327"/>
      <c r="S97" s="327"/>
      <c r="T97" s="327"/>
      <c r="U97" s="327"/>
      <c r="V97" s="327"/>
      <c r="W97" s="327"/>
      <c r="X97" s="327"/>
      <c r="Y97" s="327"/>
      <c r="Z97" s="327"/>
    </row>
    <row r="98" spans="1:26" ht="19.5" customHeight="1" x14ac:dyDescent="0.35">
      <c r="A98" s="327"/>
      <c r="B98" s="864"/>
      <c r="C98" s="865" t="s">
        <v>744</v>
      </c>
      <c r="D98" s="767" t="s">
        <v>745</v>
      </c>
      <c r="E98" s="865" t="s">
        <v>746</v>
      </c>
      <c r="F98" s="866" t="s">
        <v>776</v>
      </c>
      <c r="G98" s="866" t="s">
        <v>777</v>
      </c>
      <c r="H98" s="866" t="s">
        <v>778</v>
      </c>
      <c r="I98" s="867" t="s">
        <v>639</v>
      </c>
      <c r="J98" s="327"/>
      <c r="K98" s="327"/>
      <c r="L98" s="327"/>
      <c r="M98" s="327"/>
      <c r="N98" s="327"/>
      <c r="O98" s="327"/>
      <c r="P98" s="327"/>
      <c r="Q98" s="327"/>
      <c r="R98" s="327"/>
      <c r="S98" s="327"/>
      <c r="T98" s="327"/>
      <c r="U98" s="327"/>
      <c r="V98" s="327"/>
      <c r="W98" s="327"/>
      <c r="X98" s="327"/>
      <c r="Y98" s="327"/>
      <c r="Z98" s="327"/>
    </row>
    <row r="99" spans="1:26" ht="18.75" customHeight="1" x14ac:dyDescent="0.35">
      <c r="A99" s="327"/>
      <c r="B99" s="868"/>
      <c r="C99" s="869" t="s">
        <v>512</v>
      </c>
      <c r="D99" s="771" t="s">
        <v>748</v>
      </c>
      <c r="E99" s="869" t="s">
        <v>512</v>
      </c>
      <c r="F99" s="838" t="s">
        <v>529</v>
      </c>
      <c r="G99" s="838" t="s">
        <v>529</v>
      </c>
      <c r="H99" s="838" t="s">
        <v>529</v>
      </c>
      <c r="I99" s="870" t="s">
        <v>529</v>
      </c>
      <c r="J99" s="327"/>
      <c r="K99" s="327"/>
      <c r="L99" s="327"/>
      <c r="M99" s="327"/>
      <c r="N99" s="327"/>
      <c r="O99" s="327"/>
      <c r="P99" s="327"/>
      <c r="Q99" s="327"/>
      <c r="R99" s="327"/>
      <c r="S99" s="327"/>
      <c r="T99" s="327"/>
      <c r="U99" s="327"/>
      <c r="V99" s="327"/>
      <c r="W99" s="327"/>
      <c r="X99" s="327"/>
      <c r="Y99" s="327"/>
      <c r="Z99" s="327"/>
    </row>
    <row r="100" spans="1:26" ht="16.5" customHeight="1" x14ac:dyDescent="0.35">
      <c r="A100" s="327"/>
      <c r="B100" s="871" t="s">
        <v>170</v>
      </c>
      <c r="C100" s="869" t="s">
        <v>531</v>
      </c>
      <c r="D100" s="777" t="s">
        <v>749</v>
      </c>
      <c r="E100" s="869" t="s">
        <v>531</v>
      </c>
      <c r="F100" s="838" t="s">
        <v>779</v>
      </c>
      <c r="G100" s="838" t="s">
        <v>780</v>
      </c>
      <c r="H100" s="838" t="s">
        <v>781</v>
      </c>
      <c r="I100" s="870" t="s">
        <v>782</v>
      </c>
      <c r="J100" s="327"/>
      <c r="K100" s="327"/>
      <c r="L100" s="327"/>
      <c r="M100" s="327"/>
      <c r="N100" s="327"/>
      <c r="O100" s="327"/>
      <c r="P100" s="327"/>
      <c r="Q100" s="327"/>
      <c r="R100" s="327"/>
      <c r="S100" s="327"/>
      <c r="T100" s="327"/>
      <c r="U100" s="327"/>
      <c r="V100" s="327"/>
      <c r="W100" s="327"/>
      <c r="X100" s="327"/>
      <c r="Y100" s="327"/>
      <c r="Z100" s="327"/>
    </row>
    <row r="101" spans="1:26" ht="11.25" customHeight="1" x14ac:dyDescent="0.3">
      <c r="B101" s="792" t="s">
        <v>752</v>
      </c>
      <c r="C101" s="802">
        <v>0</v>
      </c>
      <c r="D101" s="782"/>
      <c r="E101" s="872">
        <v>0</v>
      </c>
      <c r="F101" s="873">
        <f t="shared" ref="F101:F123" si="27">K8</f>
        <v>0</v>
      </c>
      <c r="G101" s="873">
        <f t="shared" ref="G101:G123" si="28">I70</f>
        <v>0</v>
      </c>
      <c r="H101" s="874">
        <f t="shared" ref="H101:H123" si="29">I39</f>
        <v>0</v>
      </c>
      <c r="I101" s="803">
        <f t="shared" ref="I101:I124" si="30">SUM(F101:H101)</f>
        <v>0</v>
      </c>
      <c r="J101" s="327"/>
      <c r="K101" s="327"/>
      <c r="L101" s="327"/>
      <c r="M101" s="327"/>
      <c r="N101" s="327"/>
      <c r="O101" s="327"/>
      <c r="P101" s="327"/>
      <c r="Q101" s="327"/>
      <c r="R101" s="327"/>
      <c r="S101" s="327"/>
      <c r="T101" s="327"/>
      <c r="U101" s="327"/>
      <c r="V101" s="327"/>
      <c r="W101" s="327"/>
      <c r="X101" s="327"/>
      <c r="Y101" s="327"/>
      <c r="Z101" s="327"/>
    </row>
    <row r="102" spans="1:26" ht="11.25" customHeight="1" x14ac:dyDescent="0.3">
      <c r="A102" s="1" t="s">
        <v>187</v>
      </c>
      <c r="B102" s="792" t="s">
        <v>753</v>
      </c>
      <c r="C102" s="793">
        <f t="shared" ref="C102:C103" si="31">C71</f>
        <v>9033</v>
      </c>
      <c r="D102" s="794">
        <v>1.6386862395834579E-2</v>
      </c>
      <c r="E102" s="872">
        <f t="shared" ref="E102:E103" si="32">C102*D102</f>
        <v>148.02252802157375</v>
      </c>
      <c r="F102" s="873">
        <f t="shared" si="27"/>
        <v>0.8543644038591901</v>
      </c>
      <c r="G102" s="873">
        <f t="shared" si="28"/>
        <v>2.4935232302672455E-3</v>
      </c>
      <c r="H102" s="874">
        <f t="shared" si="29"/>
        <v>3.5399124429686783E-3</v>
      </c>
      <c r="I102" s="803">
        <f t="shared" si="30"/>
        <v>0.86039783953242599</v>
      </c>
      <c r="J102" s="327"/>
      <c r="K102" s="327"/>
      <c r="L102" s="327"/>
      <c r="M102" s="327"/>
      <c r="N102" s="327"/>
      <c r="O102" s="327"/>
      <c r="P102" s="327"/>
      <c r="Q102" s="327"/>
      <c r="R102" s="327"/>
      <c r="S102" s="327"/>
      <c r="T102" s="327"/>
      <c r="U102" s="327"/>
      <c r="V102" s="327"/>
      <c r="W102" s="327"/>
      <c r="X102" s="327"/>
      <c r="Y102" s="327"/>
      <c r="Z102" s="327"/>
    </row>
    <row r="103" spans="1:26" ht="11.25" customHeight="1" x14ac:dyDescent="0.3">
      <c r="A103" s="327"/>
      <c r="B103" s="792" t="s">
        <v>754</v>
      </c>
      <c r="C103" s="793">
        <f t="shared" si="31"/>
        <v>11723</v>
      </c>
      <c r="D103" s="794">
        <v>1</v>
      </c>
      <c r="E103" s="872">
        <f t="shared" si="32"/>
        <v>11723</v>
      </c>
      <c r="F103" s="873">
        <f t="shared" si="27"/>
        <v>0</v>
      </c>
      <c r="G103" s="873">
        <f t="shared" si="28"/>
        <v>0</v>
      </c>
      <c r="H103" s="874">
        <f t="shared" si="29"/>
        <v>0</v>
      </c>
      <c r="I103" s="803">
        <f t="shared" si="30"/>
        <v>0</v>
      </c>
      <c r="J103" s="327"/>
      <c r="K103" s="327"/>
      <c r="L103" s="327"/>
      <c r="M103" s="327"/>
      <c r="N103" s="327"/>
      <c r="O103" s="327"/>
      <c r="P103" s="327"/>
      <c r="Q103" s="327"/>
      <c r="R103" s="327"/>
      <c r="S103" s="327"/>
      <c r="T103" s="327"/>
      <c r="U103" s="327"/>
      <c r="V103" s="327"/>
      <c r="W103" s="327"/>
      <c r="X103" s="327"/>
      <c r="Y103" s="327"/>
      <c r="Z103" s="327"/>
    </row>
    <row r="104" spans="1:26" ht="11.25" customHeight="1" x14ac:dyDescent="0.3">
      <c r="A104" s="327"/>
      <c r="B104" s="801" t="s">
        <v>755</v>
      </c>
      <c r="C104" s="806">
        <v>0</v>
      </c>
      <c r="D104" s="782"/>
      <c r="E104" s="872">
        <v>0</v>
      </c>
      <c r="F104" s="873">
        <f t="shared" si="27"/>
        <v>0</v>
      </c>
      <c r="G104" s="873">
        <f t="shared" si="28"/>
        <v>0</v>
      </c>
      <c r="H104" s="874">
        <f t="shared" si="29"/>
        <v>0</v>
      </c>
      <c r="I104" s="803">
        <f t="shared" si="30"/>
        <v>0</v>
      </c>
      <c r="J104" s="327"/>
      <c r="K104" s="327"/>
      <c r="L104" s="327"/>
      <c r="M104" s="327"/>
      <c r="N104" s="327"/>
      <c r="O104" s="327"/>
      <c r="P104" s="327"/>
      <c r="Q104" s="327"/>
      <c r="R104" s="327"/>
      <c r="S104" s="327"/>
      <c r="T104" s="327"/>
      <c r="U104" s="327"/>
      <c r="V104" s="327"/>
      <c r="W104" s="327"/>
      <c r="X104" s="327"/>
      <c r="Y104" s="327"/>
      <c r="Z104" s="327"/>
    </row>
    <row r="105" spans="1:26" ht="11.25" customHeight="1" x14ac:dyDescent="0.3">
      <c r="A105" s="327"/>
      <c r="B105" s="801" t="s">
        <v>756</v>
      </c>
      <c r="C105" s="806">
        <v>0</v>
      </c>
      <c r="D105" s="782"/>
      <c r="E105" s="872">
        <v>0</v>
      </c>
      <c r="F105" s="873">
        <f t="shared" si="27"/>
        <v>0</v>
      </c>
      <c r="G105" s="873">
        <f t="shared" si="28"/>
        <v>0</v>
      </c>
      <c r="H105" s="874">
        <f t="shared" si="29"/>
        <v>0</v>
      </c>
      <c r="I105" s="803">
        <f t="shared" si="30"/>
        <v>0</v>
      </c>
      <c r="J105" s="327"/>
      <c r="K105" s="327"/>
      <c r="L105" s="327"/>
      <c r="M105" s="327"/>
      <c r="N105" s="327"/>
      <c r="O105" s="327"/>
      <c r="P105" s="327"/>
      <c r="Q105" s="327"/>
      <c r="R105" s="327"/>
      <c r="S105" s="327"/>
      <c r="T105" s="327"/>
      <c r="U105" s="327"/>
      <c r="V105" s="327"/>
      <c r="W105" s="327"/>
      <c r="X105" s="327"/>
      <c r="Y105" s="327"/>
      <c r="Z105" s="327"/>
    </row>
    <row r="106" spans="1:26" ht="11.25" customHeight="1" x14ac:dyDescent="0.3">
      <c r="A106" s="1" t="s">
        <v>657</v>
      </c>
      <c r="B106" s="792" t="s">
        <v>522</v>
      </c>
      <c r="C106" s="793">
        <f>C75</f>
        <v>5396</v>
      </c>
      <c r="D106" s="794">
        <v>5.9993813799243175E-3</v>
      </c>
      <c r="E106" s="872">
        <f>C106*D106</f>
        <v>32.372661926071615</v>
      </c>
      <c r="F106" s="873">
        <f t="shared" si="27"/>
        <v>0.39801019436074253</v>
      </c>
      <c r="G106" s="873">
        <f t="shared" si="28"/>
        <v>4.5158232786174092E-4</v>
      </c>
      <c r="H106" s="874">
        <f t="shared" si="29"/>
        <v>8.5478083488115214E-4</v>
      </c>
      <c r="I106" s="803">
        <f t="shared" si="30"/>
        <v>0.39931655752348544</v>
      </c>
      <c r="J106" s="327"/>
      <c r="K106" s="327"/>
      <c r="L106" s="327"/>
      <c r="M106" s="327"/>
      <c r="N106" s="327"/>
      <c r="O106" s="327"/>
      <c r="P106" s="327"/>
      <c r="Q106" s="327"/>
      <c r="R106" s="327"/>
      <c r="S106" s="327"/>
      <c r="T106" s="327"/>
      <c r="U106" s="327"/>
      <c r="V106" s="327"/>
      <c r="W106" s="327"/>
      <c r="X106" s="327"/>
      <c r="Y106" s="327"/>
      <c r="Z106" s="327"/>
    </row>
    <row r="107" spans="1:26" ht="11.25" customHeight="1" x14ac:dyDescent="0.3">
      <c r="A107" s="1" t="s">
        <v>657</v>
      </c>
      <c r="B107" s="801" t="s">
        <v>757</v>
      </c>
      <c r="C107" s="808">
        <v>0</v>
      </c>
      <c r="D107" s="782"/>
      <c r="E107" s="872"/>
      <c r="F107" s="873">
        <f t="shared" si="27"/>
        <v>0</v>
      </c>
      <c r="G107" s="873">
        <f t="shared" si="28"/>
        <v>0</v>
      </c>
      <c r="H107" s="874">
        <f t="shared" si="29"/>
        <v>0</v>
      </c>
      <c r="I107" s="803">
        <f t="shared" si="30"/>
        <v>0</v>
      </c>
      <c r="J107" s="327"/>
      <c r="K107" s="327"/>
      <c r="L107" s="327"/>
      <c r="M107" s="327"/>
      <c r="N107" s="327"/>
      <c r="O107" s="327"/>
      <c r="P107" s="327"/>
      <c r="Q107" s="327"/>
      <c r="R107" s="327"/>
      <c r="S107" s="327"/>
      <c r="T107" s="327"/>
      <c r="U107" s="327"/>
      <c r="V107" s="327"/>
      <c r="W107" s="327"/>
      <c r="X107" s="327"/>
      <c r="Y107" s="327"/>
      <c r="Z107" s="327"/>
    </row>
    <row r="108" spans="1:26" ht="14.25" customHeight="1" x14ac:dyDescent="0.3">
      <c r="A108" s="1" t="s">
        <v>657</v>
      </c>
      <c r="B108" s="801" t="s">
        <v>758</v>
      </c>
      <c r="C108" s="808">
        <v>0</v>
      </c>
      <c r="D108" s="782"/>
      <c r="E108" s="872"/>
      <c r="F108" s="873">
        <f t="shared" si="27"/>
        <v>0</v>
      </c>
      <c r="G108" s="873">
        <f t="shared" si="28"/>
        <v>0</v>
      </c>
      <c r="H108" s="874">
        <f t="shared" si="29"/>
        <v>0</v>
      </c>
      <c r="I108" s="803">
        <f t="shared" si="30"/>
        <v>0</v>
      </c>
      <c r="J108" s="327"/>
      <c r="K108" s="327"/>
      <c r="L108" s="327"/>
      <c r="M108" s="327"/>
      <c r="N108" s="327"/>
      <c r="O108" s="327"/>
      <c r="P108" s="327"/>
      <c r="Q108" s="327"/>
      <c r="R108" s="327"/>
      <c r="S108" s="327"/>
      <c r="T108" s="327"/>
      <c r="U108" s="327"/>
      <c r="V108" s="327"/>
      <c r="W108" s="327"/>
      <c r="X108" s="327"/>
      <c r="Y108" s="327"/>
      <c r="Z108" s="327"/>
    </row>
    <row r="109" spans="1:26" ht="11.25" customHeight="1" x14ac:dyDescent="0.3">
      <c r="A109" s="1" t="s">
        <v>657</v>
      </c>
      <c r="B109" s="792" t="s">
        <v>591</v>
      </c>
      <c r="C109" s="793">
        <f t="shared" ref="C109:C112" si="33">C78</f>
        <v>5</v>
      </c>
      <c r="D109" s="794">
        <v>1</v>
      </c>
      <c r="E109" s="872">
        <f t="shared" ref="E109:E112" si="34">C109*D109</f>
        <v>5</v>
      </c>
      <c r="F109" s="873">
        <f t="shared" si="27"/>
        <v>3.6575165705833329E-4</v>
      </c>
      <c r="G109" s="873">
        <f t="shared" si="28"/>
        <v>0</v>
      </c>
      <c r="H109" s="874">
        <f t="shared" si="29"/>
        <v>0</v>
      </c>
      <c r="I109" s="803">
        <f t="shared" si="30"/>
        <v>3.6575165705833329E-4</v>
      </c>
      <c r="J109" s="327"/>
      <c r="K109" s="327"/>
      <c r="L109" s="327"/>
      <c r="M109" s="327"/>
      <c r="N109" s="327"/>
      <c r="O109" s="327"/>
      <c r="P109" s="327"/>
      <c r="Q109" s="327"/>
      <c r="R109" s="327"/>
      <c r="S109" s="327"/>
      <c r="T109" s="327"/>
      <c r="U109" s="327"/>
      <c r="V109" s="327"/>
      <c r="W109" s="327"/>
      <c r="X109" s="327"/>
      <c r="Y109" s="327"/>
      <c r="Z109" s="327"/>
    </row>
    <row r="110" spans="1:26" ht="11.25" customHeight="1" x14ac:dyDescent="0.3">
      <c r="A110" s="1" t="s">
        <v>723</v>
      </c>
      <c r="B110" s="792" t="s">
        <v>706</v>
      </c>
      <c r="C110" s="793">
        <f t="shared" si="33"/>
        <v>2046</v>
      </c>
      <c r="D110" s="794">
        <v>0.82377689762912898</v>
      </c>
      <c r="E110" s="872">
        <f t="shared" si="34"/>
        <v>1685.4475325491978</v>
      </c>
      <c r="F110" s="873">
        <f t="shared" si="27"/>
        <v>6.1885551843551094E-2</v>
      </c>
      <c r="G110" s="873">
        <f t="shared" si="28"/>
        <v>3.035615867865196E-5</v>
      </c>
      <c r="H110" s="874">
        <f t="shared" si="29"/>
        <v>5.7459871784591192E-5</v>
      </c>
      <c r="I110" s="803">
        <f t="shared" si="30"/>
        <v>6.1973367874014335E-2</v>
      </c>
      <c r="J110" s="327"/>
      <c r="K110" s="327"/>
      <c r="L110" s="327"/>
      <c r="M110" s="327"/>
      <c r="N110" s="327"/>
      <c r="O110" s="327"/>
      <c r="P110" s="327"/>
      <c r="Q110" s="327"/>
      <c r="R110" s="327"/>
      <c r="S110" s="327"/>
      <c r="T110" s="327"/>
      <c r="U110" s="327"/>
      <c r="V110" s="327"/>
      <c r="W110" s="327"/>
      <c r="X110" s="327"/>
      <c r="Y110" s="327"/>
      <c r="Z110" s="327"/>
    </row>
    <row r="111" spans="1:26" ht="11.25" customHeight="1" x14ac:dyDescent="0.3">
      <c r="A111" s="1" t="s">
        <v>657</v>
      </c>
      <c r="B111" s="792" t="s">
        <v>759</v>
      </c>
      <c r="C111" s="793">
        <f t="shared" si="33"/>
        <v>909</v>
      </c>
      <c r="D111" s="794">
        <v>1</v>
      </c>
      <c r="E111" s="872">
        <f t="shared" si="34"/>
        <v>909</v>
      </c>
      <c r="F111" s="873">
        <f t="shared" si="27"/>
        <v>5.9746142315309281E-2</v>
      </c>
      <c r="G111" s="873">
        <f t="shared" si="28"/>
        <v>0</v>
      </c>
      <c r="H111" s="874">
        <f t="shared" si="29"/>
        <v>0</v>
      </c>
      <c r="I111" s="803">
        <f t="shared" si="30"/>
        <v>5.9746142315309281E-2</v>
      </c>
      <c r="J111" s="327"/>
      <c r="K111" s="327"/>
      <c r="L111" s="327"/>
      <c r="M111" s="327"/>
      <c r="N111" s="327"/>
      <c r="O111" s="327"/>
      <c r="P111" s="327"/>
      <c r="Q111" s="327"/>
      <c r="R111" s="327"/>
      <c r="S111" s="327"/>
      <c r="T111" s="327"/>
      <c r="U111" s="327"/>
      <c r="V111" s="327"/>
      <c r="W111" s="327"/>
      <c r="X111" s="327"/>
      <c r="Y111" s="327"/>
      <c r="Z111" s="327"/>
    </row>
    <row r="112" spans="1:26" ht="11.25" customHeight="1" x14ac:dyDescent="0.3">
      <c r="A112" s="1" t="s">
        <v>657</v>
      </c>
      <c r="B112" s="792" t="s">
        <v>726</v>
      </c>
      <c r="C112" s="793">
        <f t="shared" si="33"/>
        <v>2722</v>
      </c>
      <c r="D112" s="794">
        <v>1</v>
      </c>
      <c r="E112" s="872">
        <f t="shared" si="34"/>
        <v>2722</v>
      </c>
      <c r="F112" s="873">
        <f t="shared" si="27"/>
        <v>0.19427313499018453</v>
      </c>
      <c r="G112" s="873">
        <f t="shared" si="28"/>
        <v>0</v>
      </c>
      <c r="H112" s="874">
        <f t="shared" si="29"/>
        <v>0</v>
      </c>
      <c r="I112" s="803">
        <f t="shared" si="30"/>
        <v>0.19427313499018453</v>
      </c>
      <c r="J112" s="327"/>
      <c r="K112" s="327"/>
      <c r="L112" s="327"/>
      <c r="M112" s="327"/>
      <c r="N112" s="327"/>
      <c r="O112" s="327"/>
      <c r="P112" s="327"/>
      <c r="Q112" s="327"/>
      <c r="R112" s="327"/>
      <c r="S112" s="327"/>
      <c r="T112" s="327"/>
      <c r="U112" s="327"/>
      <c r="V112" s="327"/>
      <c r="W112" s="327"/>
      <c r="X112" s="327"/>
      <c r="Y112" s="327"/>
      <c r="Z112" s="327"/>
    </row>
    <row r="113" spans="1:26" ht="11.25" customHeight="1" x14ac:dyDescent="0.3">
      <c r="A113" s="327"/>
      <c r="B113" s="801" t="s">
        <v>760</v>
      </c>
      <c r="C113" s="806">
        <v>0</v>
      </c>
      <c r="D113" s="782"/>
      <c r="E113" s="872">
        <v>0</v>
      </c>
      <c r="F113" s="873">
        <f t="shared" si="27"/>
        <v>0</v>
      </c>
      <c r="G113" s="873">
        <f t="shared" si="28"/>
        <v>0</v>
      </c>
      <c r="H113" s="874">
        <f t="shared" si="29"/>
        <v>0</v>
      </c>
      <c r="I113" s="803">
        <f t="shared" si="30"/>
        <v>0</v>
      </c>
      <c r="J113" s="327"/>
      <c r="K113" s="327"/>
      <c r="L113" s="327"/>
      <c r="M113" s="327"/>
      <c r="N113" s="327"/>
      <c r="O113" s="327"/>
      <c r="P113" s="327"/>
      <c r="Q113" s="327"/>
      <c r="R113" s="327"/>
      <c r="S113" s="327"/>
      <c r="T113" s="327"/>
      <c r="U113" s="327"/>
      <c r="V113" s="327"/>
      <c r="W113" s="327"/>
      <c r="X113" s="327"/>
      <c r="Y113" s="327"/>
      <c r="Z113" s="327"/>
    </row>
    <row r="114" spans="1:26" ht="11.25" customHeight="1" x14ac:dyDescent="0.3">
      <c r="A114" s="1" t="s">
        <v>657</v>
      </c>
      <c r="B114" s="792" t="s">
        <v>761</v>
      </c>
      <c r="C114" s="793">
        <f>C83</f>
        <v>153</v>
      </c>
      <c r="D114" s="794">
        <v>1</v>
      </c>
      <c r="E114" s="872">
        <f>C114*D114</f>
        <v>153</v>
      </c>
      <c r="F114" s="873">
        <f t="shared" si="27"/>
        <v>1.1396562552747397E-2</v>
      </c>
      <c r="G114" s="873">
        <f t="shared" si="28"/>
        <v>0</v>
      </c>
      <c r="H114" s="874">
        <f t="shared" si="29"/>
        <v>0</v>
      </c>
      <c r="I114" s="803">
        <f t="shared" si="30"/>
        <v>1.1396562552747397E-2</v>
      </c>
      <c r="J114" s="327"/>
      <c r="K114" s="327"/>
      <c r="L114" s="327"/>
      <c r="M114" s="327"/>
      <c r="N114" s="327"/>
      <c r="O114" s="327"/>
      <c r="P114" s="327"/>
      <c r="Q114" s="327"/>
      <c r="R114" s="327"/>
      <c r="S114" s="327"/>
      <c r="T114" s="327"/>
      <c r="U114" s="327"/>
      <c r="V114" s="327"/>
      <c r="W114" s="327"/>
      <c r="X114" s="327"/>
      <c r="Y114" s="327"/>
      <c r="Z114" s="327"/>
    </row>
    <row r="115" spans="1:26" ht="11.25" customHeight="1" x14ac:dyDescent="0.3">
      <c r="A115" s="327"/>
      <c r="B115" s="792" t="s">
        <v>762</v>
      </c>
      <c r="C115" s="806">
        <v>0</v>
      </c>
      <c r="D115" s="782"/>
      <c r="E115" s="872">
        <v>0</v>
      </c>
      <c r="F115" s="873">
        <f t="shared" si="27"/>
        <v>0</v>
      </c>
      <c r="G115" s="873">
        <f t="shared" si="28"/>
        <v>0</v>
      </c>
      <c r="H115" s="874">
        <f t="shared" si="29"/>
        <v>0</v>
      </c>
      <c r="I115" s="803">
        <f t="shared" si="30"/>
        <v>0</v>
      </c>
      <c r="J115" s="327"/>
      <c r="K115" s="327"/>
      <c r="L115" s="327"/>
      <c r="M115" s="327"/>
      <c r="N115" s="327"/>
      <c r="O115" s="327"/>
      <c r="P115" s="327"/>
      <c r="Q115" s="327"/>
      <c r="R115" s="327"/>
      <c r="S115" s="327"/>
      <c r="T115" s="327"/>
      <c r="U115" s="327"/>
      <c r="V115" s="327"/>
      <c r="W115" s="327"/>
      <c r="X115" s="327"/>
      <c r="Y115" s="327"/>
      <c r="Z115" s="327"/>
    </row>
    <row r="116" spans="1:26" ht="11.25" customHeight="1" x14ac:dyDescent="0.3">
      <c r="A116" s="1" t="s">
        <v>657</v>
      </c>
      <c r="B116" s="792" t="s">
        <v>763</v>
      </c>
      <c r="C116" s="806"/>
      <c r="D116" s="782"/>
      <c r="E116" s="872">
        <v>122.04430006839266</v>
      </c>
      <c r="F116" s="873">
        <f t="shared" si="27"/>
        <v>0</v>
      </c>
      <c r="G116" s="873">
        <f t="shared" si="28"/>
        <v>0</v>
      </c>
      <c r="H116" s="874">
        <f t="shared" si="29"/>
        <v>0</v>
      </c>
      <c r="I116" s="803">
        <f t="shared" si="30"/>
        <v>0</v>
      </c>
      <c r="J116" s="327"/>
      <c r="K116" s="327"/>
      <c r="L116" s="327"/>
      <c r="M116" s="327"/>
      <c r="N116" s="327"/>
      <c r="O116" s="327"/>
      <c r="P116" s="327"/>
      <c r="Q116" s="327"/>
      <c r="R116" s="327"/>
      <c r="S116" s="327"/>
      <c r="T116" s="327"/>
      <c r="U116" s="327"/>
      <c r="V116" s="327"/>
      <c r="W116" s="327"/>
      <c r="X116" s="327"/>
      <c r="Y116" s="327"/>
      <c r="Z116" s="327"/>
    </row>
    <row r="117" spans="1:26" ht="11.25" customHeight="1" x14ac:dyDescent="0.3">
      <c r="A117" s="1" t="s">
        <v>657</v>
      </c>
      <c r="B117" s="792" t="s">
        <v>524</v>
      </c>
      <c r="C117" s="807">
        <f>C86</f>
        <v>0</v>
      </c>
      <c r="D117" s="794">
        <v>1</v>
      </c>
      <c r="E117" s="872">
        <f>C117*D117</f>
        <v>0</v>
      </c>
      <c r="F117" s="873">
        <f t="shared" si="27"/>
        <v>0</v>
      </c>
      <c r="G117" s="873">
        <f t="shared" si="28"/>
        <v>0</v>
      </c>
      <c r="H117" s="874">
        <f t="shared" si="29"/>
        <v>0</v>
      </c>
      <c r="I117" s="803">
        <f t="shared" si="30"/>
        <v>0</v>
      </c>
      <c r="J117" s="327"/>
      <c r="K117" s="327"/>
      <c r="L117" s="327"/>
      <c r="M117" s="327"/>
      <c r="N117" s="327"/>
      <c r="O117" s="327"/>
      <c r="P117" s="327"/>
      <c r="Q117" s="327"/>
      <c r="R117" s="327"/>
      <c r="S117" s="327"/>
      <c r="T117" s="327"/>
      <c r="U117" s="327"/>
      <c r="V117" s="327"/>
      <c r="W117" s="327"/>
      <c r="X117" s="327"/>
      <c r="Y117" s="327"/>
      <c r="Z117" s="327"/>
    </row>
    <row r="118" spans="1:26" ht="11.25" customHeight="1" x14ac:dyDescent="0.3">
      <c r="A118" s="327"/>
      <c r="B118" s="792" t="s">
        <v>764</v>
      </c>
      <c r="C118" s="806">
        <v>0</v>
      </c>
      <c r="D118" s="782"/>
      <c r="E118" s="872">
        <v>0</v>
      </c>
      <c r="F118" s="873">
        <f t="shared" si="27"/>
        <v>0</v>
      </c>
      <c r="G118" s="873">
        <f t="shared" si="28"/>
        <v>0</v>
      </c>
      <c r="H118" s="874">
        <f t="shared" si="29"/>
        <v>0</v>
      </c>
      <c r="I118" s="803">
        <f t="shared" si="30"/>
        <v>0</v>
      </c>
      <c r="J118" s="327"/>
      <c r="K118" s="327"/>
      <c r="L118" s="327"/>
      <c r="M118" s="327"/>
      <c r="N118" s="327"/>
      <c r="O118" s="327"/>
      <c r="P118" s="327"/>
      <c r="Q118" s="327"/>
      <c r="R118" s="327"/>
      <c r="S118" s="327"/>
      <c r="T118" s="327"/>
      <c r="U118" s="327"/>
      <c r="V118" s="327"/>
      <c r="W118" s="327"/>
      <c r="X118" s="327"/>
      <c r="Y118" s="327"/>
      <c r="Z118" s="327"/>
    </row>
    <row r="119" spans="1:26" ht="11.25" customHeight="1" x14ac:dyDescent="0.3">
      <c r="A119" s="1" t="s">
        <v>657</v>
      </c>
      <c r="B119" s="792" t="s">
        <v>765</v>
      </c>
      <c r="C119" s="793">
        <f>C88</f>
        <v>2770</v>
      </c>
      <c r="D119" s="794">
        <v>0.94768328836537974</v>
      </c>
      <c r="E119" s="872">
        <f>C119*D119</f>
        <v>2625.0827087721018</v>
      </c>
      <c r="F119" s="873">
        <f t="shared" si="27"/>
        <v>0.20050660558628333</v>
      </c>
      <c r="G119" s="873">
        <f t="shared" si="28"/>
        <v>1.2201087733215313E-5</v>
      </c>
      <c r="H119" s="874">
        <f t="shared" si="29"/>
        <v>2.3094916066443265E-5</v>
      </c>
      <c r="I119" s="803">
        <f t="shared" si="30"/>
        <v>0.200541901590083</v>
      </c>
      <c r="J119" s="327"/>
      <c r="K119" s="327"/>
      <c r="L119" s="327"/>
      <c r="M119" s="327"/>
      <c r="N119" s="327"/>
      <c r="O119" s="327"/>
      <c r="P119" s="327"/>
      <c r="Q119" s="327"/>
      <c r="R119" s="327"/>
      <c r="S119" s="327"/>
      <c r="T119" s="327"/>
      <c r="U119" s="327"/>
      <c r="V119" s="327"/>
      <c r="W119" s="327"/>
      <c r="X119" s="327"/>
      <c r="Y119" s="327"/>
      <c r="Z119" s="327"/>
    </row>
    <row r="120" spans="1:26" ht="11.25" customHeight="1" x14ac:dyDescent="0.3">
      <c r="A120" s="327"/>
      <c r="B120" s="792" t="s">
        <v>766</v>
      </c>
      <c r="C120" s="806">
        <v>0</v>
      </c>
      <c r="D120" s="782"/>
      <c r="E120" s="872">
        <v>0</v>
      </c>
      <c r="F120" s="873">
        <f t="shared" si="27"/>
        <v>0</v>
      </c>
      <c r="G120" s="873">
        <f t="shared" si="28"/>
        <v>0</v>
      </c>
      <c r="H120" s="874">
        <f t="shared" si="29"/>
        <v>0</v>
      </c>
      <c r="I120" s="803">
        <f t="shared" si="30"/>
        <v>0</v>
      </c>
      <c r="J120" s="327"/>
      <c r="K120" s="327"/>
      <c r="L120" s="327"/>
      <c r="M120" s="327"/>
      <c r="N120" s="327"/>
      <c r="O120" s="327"/>
      <c r="P120" s="327"/>
      <c r="Q120" s="327"/>
      <c r="R120" s="327"/>
      <c r="S120" s="327"/>
      <c r="T120" s="327"/>
      <c r="U120" s="327"/>
      <c r="V120" s="327"/>
      <c r="W120" s="327"/>
      <c r="X120" s="327"/>
      <c r="Y120" s="327"/>
      <c r="Z120" s="327"/>
    </row>
    <row r="121" spans="1:26" ht="11.25" customHeight="1" x14ac:dyDescent="0.3">
      <c r="A121" s="1" t="s">
        <v>657</v>
      </c>
      <c r="B121" s="792" t="s">
        <v>767</v>
      </c>
      <c r="C121" s="793">
        <f t="shared" ref="C121:C123" si="35">C90</f>
        <v>51</v>
      </c>
      <c r="D121" s="794">
        <v>1</v>
      </c>
      <c r="E121" s="872">
        <f t="shared" ref="E121:E122" si="36">C121*D121</f>
        <v>51</v>
      </c>
      <c r="F121" s="873">
        <f t="shared" si="27"/>
        <v>1.5551204801748002E-3</v>
      </c>
      <c r="G121" s="873">
        <f t="shared" si="28"/>
        <v>0</v>
      </c>
      <c r="H121" s="874">
        <f t="shared" si="29"/>
        <v>0</v>
      </c>
      <c r="I121" s="803">
        <f t="shared" si="30"/>
        <v>1.5551204801748002E-3</v>
      </c>
      <c r="J121" s="327"/>
      <c r="K121" s="327"/>
      <c r="L121" s="327"/>
      <c r="M121" s="327"/>
      <c r="N121" s="327"/>
      <c r="O121" s="327"/>
      <c r="P121" s="327"/>
      <c r="Q121" s="327"/>
      <c r="R121" s="327"/>
      <c r="S121" s="327"/>
      <c r="T121" s="327"/>
      <c r="U121" s="327"/>
      <c r="V121" s="327"/>
      <c r="W121" s="327"/>
      <c r="X121" s="327"/>
      <c r="Y121" s="327"/>
      <c r="Z121" s="327"/>
    </row>
    <row r="122" spans="1:26" ht="11.25" customHeight="1" x14ac:dyDescent="0.3">
      <c r="A122" s="1" t="s">
        <v>723</v>
      </c>
      <c r="B122" s="792" t="s">
        <v>436</v>
      </c>
      <c r="C122" s="793">
        <f t="shared" si="35"/>
        <v>17763</v>
      </c>
      <c r="D122" s="794">
        <v>3.1036474108728018E-2</v>
      </c>
      <c r="E122" s="872">
        <f t="shared" si="36"/>
        <v>551.3008895933358</v>
      </c>
      <c r="F122" s="873">
        <f t="shared" si="27"/>
        <v>0.92456958423865554</v>
      </c>
      <c r="G122" s="873">
        <f t="shared" si="28"/>
        <v>4.5761445777521884E-4</v>
      </c>
      <c r="H122" s="874">
        <f t="shared" si="29"/>
        <v>4.3309939753726075E-4</v>
      </c>
      <c r="I122" s="803">
        <f t="shared" si="30"/>
        <v>0.92546029809396801</v>
      </c>
      <c r="J122" s="327"/>
      <c r="K122" s="327"/>
      <c r="L122" s="327"/>
      <c r="M122" s="327"/>
      <c r="N122" s="327"/>
      <c r="O122" s="327"/>
      <c r="P122" s="327"/>
      <c r="Q122" s="327"/>
      <c r="R122" s="327"/>
      <c r="S122" s="327"/>
      <c r="T122" s="327"/>
      <c r="U122" s="327"/>
      <c r="V122" s="327"/>
      <c r="W122" s="327"/>
      <c r="X122" s="327"/>
      <c r="Y122" s="327"/>
      <c r="Z122" s="327"/>
    </row>
    <row r="123" spans="1:26" ht="11.25" customHeight="1" x14ac:dyDescent="0.3">
      <c r="A123" s="1" t="s">
        <v>690</v>
      </c>
      <c r="B123" s="624" t="s">
        <v>690</v>
      </c>
      <c r="C123" s="806">
        <f t="shared" si="35"/>
        <v>303</v>
      </c>
      <c r="D123" s="782"/>
      <c r="E123" s="853" t="s">
        <v>772</v>
      </c>
      <c r="F123" s="873">
        <f t="shared" si="27"/>
        <v>0</v>
      </c>
      <c r="G123" s="873">
        <f t="shared" si="28"/>
        <v>2.4167953404795819E-4</v>
      </c>
      <c r="H123" s="874">
        <f t="shared" si="29"/>
        <v>3.0497655487004243E-4</v>
      </c>
      <c r="I123" s="803">
        <f t="shared" si="30"/>
        <v>5.4665608891800064E-4</v>
      </c>
      <c r="J123" s="327"/>
      <c r="K123" s="327"/>
      <c r="L123" s="327"/>
      <c r="M123" s="327"/>
      <c r="N123" s="327"/>
      <c r="O123" s="327"/>
      <c r="P123" s="327"/>
      <c r="Q123" s="327"/>
      <c r="R123" s="327"/>
      <c r="S123" s="327"/>
      <c r="T123" s="327"/>
      <c r="U123" s="327"/>
      <c r="V123" s="327"/>
      <c r="W123" s="327"/>
      <c r="X123" s="327"/>
      <c r="Y123" s="327"/>
      <c r="Z123" s="327"/>
    </row>
    <row r="124" spans="1:26" ht="11.25" customHeight="1" x14ac:dyDescent="0.2">
      <c r="A124" s="327"/>
      <c r="B124" s="875"/>
      <c r="C124" s="876"/>
      <c r="D124" s="876"/>
      <c r="E124" s="876"/>
      <c r="F124" s="877">
        <f t="shared" ref="F124:H124" si="37">SUM(F101:F123)</f>
        <v>2.7066730518838966</v>
      </c>
      <c r="G124" s="878">
        <f t="shared" si="37"/>
        <v>3.6869567963640306E-3</v>
      </c>
      <c r="H124" s="879">
        <f t="shared" si="37"/>
        <v>5.2133240181081687E-3</v>
      </c>
      <c r="I124" s="880">
        <f t="shared" si="30"/>
        <v>2.7155733326983689</v>
      </c>
      <c r="J124" s="327"/>
      <c r="K124" s="327"/>
      <c r="L124" s="327"/>
      <c r="M124" s="327"/>
      <c r="N124" s="327"/>
      <c r="O124" s="327"/>
      <c r="P124" s="327"/>
      <c r="Q124" s="327"/>
      <c r="R124" s="327"/>
      <c r="S124" s="327"/>
      <c r="T124" s="327"/>
      <c r="U124" s="327"/>
      <c r="V124" s="327"/>
      <c r="W124" s="327"/>
      <c r="X124" s="327"/>
      <c r="Y124" s="327"/>
      <c r="Z124" s="327"/>
    </row>
    <row r="125" spans="1:26" ht="11.25" customHeight="1" x14ac:dyDescent="0.2">
      <c r="A125" s="327"/>
      <c r="B125" s="327"/>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row>
    <row r="126" spans="1:26" ht="11.25" customHeight="1" x14ac:dyDescent="0.2">
      <c r="A126" s="327"/>
      <c r="B126" s="327"/>
      <c r="C126" s="327"/>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row>
    <row r="127" spans="1:26" ht="11.25" customHeight="1" x14ac:dyDescent="0.2">
      <c r="A127" s="327"/>
      <c r="B127" s="327"/>
      <c r="C127" s="327"/>
      <c r="D127" s="327"/>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row>
    <row r="128" spans="1:26" ht="11.25" customHeight="1" x14ac:dyDescent="0.2">
      <c r="A128" s="327"/>
      <c r="B128" s="327"/>
      <c r="C128" s="327"/>
      <c r="D128" s="327"/>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row>
    <row r="129" spans="1:26" ht="11.25" customHeight="1" x14ac:dyDescent="0.2">
      <c r="A129" s="327"/>
      <c r="B129" s="327"/>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row>
    <row r="130" spans="1:26" ht="11.25" customHeight="1" x14ac:dyDescent="0.2">
      <c r="A130" s="327"/>
      <c r="B130" s="327"/>
      <c r="C130" s="327"/>
      <c r="D130" s="327"/>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row>
    <row r="131" spans="1:26" ht="11.25" customHeight="1" x14ac:dyDescent="0.2">
      <c r="A131" s="327"/>
      <c r="B131" s="327"/>
      <c r="C131" s="327"/>
      <c r="D131" s="327"/>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row>
    <row r="132" spans="1:26" ht="11.25" customHeight="1" x14ac:dyDescent="0.2">
      <c r="A132" s="327"/>
      <c r="B132" s="327"/>
      <c r="C132" s="327"/>
      <c r="D132" s="327"/>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row>
    <row r="133" spans="1:26" ht="11.25" customHeight="1" x14ac:dyDescent="0.2">
      <c r="A133" s="327"/>
      <c r="B133" s="327"/>
      <c r="C133" s="327"/>
      <c r="D133" s="327"/>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row>
    <row r="134" spans="1:26" ht="11.25" customHeight="1" x14ac:dyDescent="0.2">
      <c r="A134" s="327"/>
      <c r="B134" s="327"/>
      <c r="C134" s="327"/>
      <c r="D134" s="327"/>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row>
    <row r="135" spans="1:26" ht="11.25" customHeight="1" x14ac:dyDescent="0.2">
      <c r="A135" s="327"/>
      <c r="B135" s="327"/>
      <c r="C135" s="327"/>
      <c r="D135" s="327"/>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row>
    <row r="136" spans="1:26" ht="11.25" customHeight="1" x14ac:dyDescent="0.2">
      <c r="A136" s="327"/>
      <c r="B136" s="327"/>
      <c r="C136" s="327"/>
      <c r="D136" s="327"/>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row>
    <row r="137" spans="1:26" ht="11.25" customHeight="1" x14ac:dyDescent="0.2">
      <c r="A137" s="327"/>
      <c r="B137" s="327"/>
      <c r="C137" s="327"/>
      <c r="D137" s="327"/>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row>
    <row r="138" spans="1:26" ht="11.25" customHeight="1" x14ac:dyDescent="0.2">
      <c r="A138" s="327"/>
      <c r="B138" s="327"/>
      <c r="C138" s="327"/>
      <c r="D138" s="327"/>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row>
    <row r="139" spans="1:26" ht="11.25" customHeight="1" x14ac:dyDescent="0.2">
      <c r="A139" s="327"/>
      <c r="B139" s="327"/>
      <c r="C139" s="327"/>
      <c r="D139" s="327"/>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row>
    <row r="140" spans="1:26" ht="11.25" customHeight="1" x14ac:dyDescent="0.2">
      <c r="A140" s="327"/>
      <c r="B140" s="327"/>
      <c r="C140" s="327"/>
      <c r="D140" s="327"/>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row>
    <row r="141" spans="1:26" ht="11.25" customHeight="1" x14ac:dyDescent="0.2">
      <c r="A141" s="327"/>
      <c r="B141" s="327"/>
      <c r="C141" s="327"/>
      <c r="D141" s="327"/>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row>
    <row r="142" spans="1:26" ht="11.25" customHeight="1" x14ac:dyDescent="0.2">
      <c r="A142" s="327"/>
      <c r="B142" s="327"/>
      <c r="C142" s="327"/>
      <c r="D142" s="327"/>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row>
    <row r="143" spans="1:26" ht="11.25" customHeight="1" x14ac:dyDescent="0.2">
      <c r="A143" s="327"/>
      <c r="B143" s="327"/>
      <c r="C143" s="327"/>
      <c r="D143" s="327"/>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row>
    <row r="144" spans="1:26" ht="11.25" customHeight="1" x14ac:dyDescent="0.2">
      <c r="A144" s="327"/>
      <c r="B144" s="327"/>
      <c r="C144" s="327"/>
      <c r="D144" s="327"/>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row>
    <row r="145" spans="1:26" ht="11.25" customHeight="1" x14ac:dyDescent="0.2">
      <c r="A145" s="327"/>
      <c r="B145" s="327"/>
      <c r="C145" s="327"/>
      <c r="D145" s="327"/>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row>
    <row r="146" spans="1:26" ht="11.25" customHeight="1" x14ac:dyDescent="0.2">
      <c r="A146" s="327"/>
      <c r="B146" s="327"/>
      <c r="C146" s="327"/>
      <c r="D146" s="327"/>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row>
    <row r="147" spans="1:26" ht="11.25" customHeight="1" x14ac:dyDescent="0.2">
      <c r="A147" s="327"/>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row>
    <row r="148" spans="1:26" ht="11.25" customHeight="1" x14ac:dyDescent="0.2">
      <c r="A148" s="327"/>
      <c r="B148" s="327"/>
      <c r="C148" s="327"/>
      <c r="D148" s="327"/>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row>
    <row r="149" spans="1:26" ht="11.25" customHeight="1" x14ac:dyDescent="0.2">
      <c r="A149" s="327"/>
      <c r="B149" s="327"/>
      <c r="C149" s="327"/>
      <c r="D149" s="327"/>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row>
    <row r="150" spans="1:26" ht="11.25" customHeight="1" x14ac:dyDescent="0.2">
      <c r="A150" s="327"/>
      <c r="B150" s="327"/>
      <c r="C150" s="327"/>
      <c r="D150" s="327"/>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row>
    <row r="151" spans="1:26" ht="11.25" customHeight="1" x14ac:dyDescent="0.2">
      <c r="A151" s="327"/>
      <c r="B151" s="327"/>
      <c r="C151" s="327"/>
      <c r="D151" s="327"/>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row>
    <row r="152" spans="1:26" ht="11.25" customHeight="1" x14ac:dyDescent="0.2">
      <c r="A152" s="327"/>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row>
    <row r="153" spans="1:26" ht="11.25" customHeight="1" x14ac:dyDescent="0.2">
      <c r="A153" s="327"/>
      <c r="B153" s="327"/>
      <c r="C153" s="327"/>
      <c r="D153" s="327"/>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row>
    <row r="154" spans="1:26" ht="11.25" customHeight="1" x14ac:dyDescent="0.2">
      <c r="A154" s="327"/>
      <c r="B154" s="327"/>
      <c r="C154" s="327"/>
      <c r="D154" s="327"/>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row>
    <row r="155" spans="1:26" ht="11.25" customHeight="1" x14ac:dyDescent="0.2">
      <c r="A155" s="327"/>
      <c r="B155" s="327"/>
      <c r="C155" s="327"/>
      <c r="D155" s="327"/>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row>
    <row r="156" spans="1:26" ht="11.25" customHeight="1" x14ac:dyDescent="0.2">
      <c r="A156" s="327"/>
      <c r="B156" s="327"/>
      <c r="C156" s="327"/>
      <c r="D156" s="327"/>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row>
    <row r="157" spans="1:26" ht="11.25" customHeight="1" x14ac:dyDescent="0.2">
      <c r="A157" s="327"/>
      <c r="B157" s="327"/>
      <c r="C157" s="327"/>
      <c r="D157" s="327"/>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row>
    <row r="158" spans="1:26" ht="11.25" customHeight="1" x14ac:dyDescent="0.2">
      <c r="A158" s="327"/>
      <c r="B158" s="327"/>
      <c r="C158" s="327"/>
      <c r="D158" s="327"/>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row>
    <row r="159" spans="1:26" ht="11.25" customHeight="1" x14ac:dyDescent="0.2">
      <c r="A159" s="327"/>
      <c r="B159" s="327"/>
      <c r="C159" s="327"/>
      <c r="D159" s="327"/>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row>
    <row r="160" spans="1:26" ht="11.25" customHeight="1" x14ac:dyDescent="0.2">
      <c r="A160" s="327"/>
      <c r="B160" s="327"/>
      <c r="C160" s="327"/>
      <c r="D160" s="327"/>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row>
    <row r="161" spans="1:26" ht="11.25" customHeight="1" x14ac:dyDescent="0.2">
      <c r="A161" s="327"/>
      <c r="B161" s="327"/>
      <c r="C161" s="327"/>
      <c r="D161" s="327"/>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row>
    <row r="162" spans="1:26" ht="11.25" customHeight="1" x14ac:dyDescent="0.2">
      <c r="A162" s="327"/>
      <c r="B162" s="327"/>
      <c r="C162" s="327"/>
      <c r="D162" s="327"/>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row>
    <row r="163" spans="1:26" ht="11.25" customHeight="1" x14ac:dyDescent="0.2">
      <c r="A163" s="327"/>
      <c r="B163" s="327"/>
      <c r="C163" s="327"/>
      <c r="D163" s="327"/>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row>
    <row r="164" spans="1:26" ht="11.25" customHeight="1" x14ac:dyDescent="0.2">
      <c r="A164" s="327"/>
      <c r="B164" s="327"/>
      <c r="C164" s="327"/>
      <c r="D164" s="327"/>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row>
    <row r="165" spans="1:26" ht="11.25" customHeight="1" x14ac:dyDescent="0.2">
      <c r="A165" s="327"/>
      <c r="B165" s="327"/>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row>
    <row r="166" spans="1:26" ht="11.25" customHeight="1" x14ac:dyDescent="0.2">
      <c r="A166" s="327"/>
      <c r="B166" s="327"/>
      <c r="C166" s="327"/>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row>
    <row r="167" spans="1:26" ht="11.25" customHeight="1" x14ac:dyDescent="0.2">
      <c r="A167" s="327"/>
      <c r="B167" s="327"/>
      <c r="C167" s="327"/>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row>
    <row r="168" spans="1:26" ht="11.25" customHeight="1" x14ac:dyDescent="0.2">
      <c r="A168" s="327"/>
      <c r="B168" s="327"/>
      <c r="C168" s="327"/>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row>
    <row r="169" spans="1:26" ht="11.25" customHeight="1" x14ac:dyDescent="0.2">
      <c r="A169" s="327"/>
      <c r="B169" s="327"/>
      <c r="C169" s="327"/>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row>
    <row r="170" spans="1:26" ht="11.25" customHeight="1" x14ac:dyDescent="0.2">
      <c r="A170" s="327"/>
      <c r="B170" s="327"/>
      <c r="C170" s="327"/>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row>
    <row r="171" spans="1:26" ht="11.25" customHeight="1" x14ac:dyDescent="0.2">
      <c r="A171" s="327"/>
      <c r="B171" s="327"/>
      <c r="C171" s="32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row>
    <row r="172" spans="1:26" ht="11.25" customHeight="1" x14ac:dyDescent="0.2">
      <c r="A172" s="327"/>
      <c r="B172" s="327"/>
      <c r="C172" s="32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row>
    <row r="173" spans="1:26" ht="11.25" customHeight="1" x14ac:dyDescent="0.2">
      <c r="A173" s="327"/>
      <c r="B173" s="327"/>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row>
    <row r="174" spans="1:26" ht="11.25" customHeight="1" x14ac:dyDescent="0.2">
      <c r="A174" s="327"/>
      <c r="B174" s="327"/>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row>
    <row r="175" spans="1:26" ht="11.25" customHeight="1" x14ac:dyDescent="0.2">
      <c r="A175" s="327"/>
      <c r="B175" s="327"/>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row>
    <row r="176" spans="1:26" ht="11.25" customHeight="1" x14ac:dyDescent="0.2">
      <c r="A176" s="327"/>
      <c r="B176" s="327"/>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row>
    <row r="177" spans="1:26" ht="11.25" customHeight="1" x14ac:dyDescent="0.2">
      <c r="A177" s="327"/>
      <c r="B177" s="327"/>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row>
    <row r="178" spans="1:26" ht="11.25" customHeight="1" x14ac:dyDescent="0.2">
      <c r="A178" s="327"/>
      <c r="B178" s="327"/>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row>
    <row r="179" spans="1:26" ht="11.25" customHeight="1" x14ac:dyDescent="0.2">
      <c r="A179" s="327"/>
      <c r="B179" s="327"/>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row>
    <row r="180" spans="1:26" ht="11.25" customHeight="1" x14ac:dyDescent="0.2">
      <c r="A180" s="327"/>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row>
    <row r="181" spans="1:26" ht="11.25" customHeight="1" x14ac:dyDescent="0.2">
      <c r="A181" s="327"/>
      <c r="B181" s="327"/>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row>
    <row r="182" spans="1:26" ht="11.25" customHeight="1" x14ac:dyDescent="0.2">
      <c r="A182" s="327"/>
      <c r="B182" s="327"/>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row>
    <row r="183" spans="1:26" ht="11.25" customHeight="1" x14ac:dyDescent="0.2">
      <c r="A183" s="327"/>
      <c r="B183" s="327"/>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row>
    <row r="184" spans="1:26" ht="11.25" customHeight="1" x14ac:dyDescent="0.2">
      <c r="A184" s="327"/>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row>
    <row r="185" spans="1:26" ht="11.25" customHeight="1" x14ac:dyDescent="0.2">
      <c r="A185" s="327"/>
      <c r="B185" s="327"/>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row>
    <row r="186" spans="1:26" ht="11.25" customHeight="1" x14ac:dyDescent="0.2">
      <c r="A186" s="327"/>
      <c r="B186" s="327"/>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row>
    <row r="187" spans="1:26" ht="11.25" customHeight="1" x14ac:dyDescent="0.2">
      <c r="A187" s="327"/>
      <c r="B187" s="327"/>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row>
    <row r="188" spans="1:26" ht="11.25" customHeight="1" x14ac:dyDescent="0.2">
      <c r="A188" s="327"/>
      <c r="B188" s="327"/>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row>
    <row r="189" spans="1:26" ht="11.25" customHeight="1" x14ac:dyDescent="0.2">
      <c r="A189" s="327"/>
      <c r="B189" s="327"/>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row>
    <row r="190" spans="1:26" ht="11.25" customHeight="1" x14ac:dyDescent="0.2">
      <c r="A190" s="327"/>
      <c r="B190" s="327"/>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row>
    <row r="191" spans="1:26" ht="11.25" customHeight="1" x14ac:dyDescent="0.2">
      <c r="A191" s="327"/>
      <c r="B191" s="327"/>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row>
    <row r="192" spans="1:26" ht="11.25" customHeight="1" x14ac:dyDescent="0.2">
      <c r="A192" s="327"/>
      <c r="B192" s="327"/>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row>
    <row r="193" spans="1:26" ht="11.25" customHeight="1" x14ac:dyDescent="0.2">
      <c r="A193" s="327"/>
      <c r="B193" s="327"/>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row>
    <row r="194" spans="1:26" ht="11.25" customHeight="1" x14ac:dyDescent="0.2">
      <c r="A194" s="327"/>
      <c r="B194" s="327"/>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row>
    <row r="195" spans="1:26" ht="11.25" customHeight="1" x14ac:dyDescent="0.2">
      <c r="A195" s="327"/>
      <c r="B195" s="327"/>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row>
    <row r="196" spans="1:26" ht="11.25" customHeight="1" x14ac:dyDescent="0.2">
      <c r="A196" s="327"/>
      <c r="B196" s="327"/>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row>
    <row r="197" spans="1:26" ht="11.25" customHeight="1" x14ac:dyDescent="0.2">
      <c r="A197" s="327"/>
      <c r="B197" s="327"/>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row>
    <row r="198" spans="1:26" ht="11.25" customHeight="1" x14ac:dyDescent="0.2">
      <c r="A198" s="327"/>
      <c r="B198" s="327"/>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row>
    <row r="199" spans="1:26" ht="11.25" customHeight="1" x14ac:dyDescent="0.2">
      <c r="A199" s="327"/>
      <c r="B199" s="327"/>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row>
    <row r="200" spans="1:26" ht="11.25" customHeight="1" x14ac:dyDescent="0.2">
      <c r="A200" s="327"/>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row>
    <row r="201" spans="1:26" ht="11.25" customHeight="1" x14ac:dyDescent="0.2">
      <c r="A201" s="327"/>
      <c r="B201" s="327"/>
      <c r="C201" s="327"/>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row>
    <row r="202" spans="1:26" ht="11.25" customHeight="1" x14ac:dyDescent="0.2">
      <c r="A202" s="327"/>
      <c r="B202" s="327"/>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row>
    <row r="203" spans="1:26" ht="11.25" customHeight="1" x14ac:dyDescent="0.2">
      <c r="A203" s="327"/>
      <c r="B203" s="327"/>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row>
    <row r="204" spans="1:26" ht="11.25" customHeight="1" x14ac:dyDescent="0.2">
      <c r="A204" s="327"/>
      <c r="B204" s="327"/>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row>
    <row r="205" spans="1:26" ht="11.25" customHeight="1" x14ac:dyDescent="0.2">
      <c r="A205" s="327"/>
      <c r="B205" s="327"/>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row>
    <row r="206" spans="1:26" ht="11.25" customHeight="1" x14ac:dyDescent="0.2">
      <c r="A206" s="327"/>
      <c r="B206" s="327"/>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row>
    <row r="207" spans="1:26" ht="11.25" customHeight="1" x14ac:dyDescent="0.2">
      <c r="A207" s="327"/>
      <c r="B207" s="327"/>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row>
    <row r="208" spans="1:26" ht="11.25" customHeight="1" x14ac:dyDescent="0.2">
      <c r="A208" s="327"/>
      <c r="B208" s="327"/>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row>
    <row r="209" spans="1:26" ht="11.25" customHeight="1" x14ac:dyDescent="0.2">
      <c r="A209" s="327"/>
      <c r="B209" s="327"/>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row>
    <row r="210" spans="1:26" ht="11.25" customHeight="1" x14ac:dyDescent="0.2">
      <c r="A210" s="327"/>
      <c r="B210" s="327"/>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row>
    <row r="211" spans="1:26" ht="11.25" customHeight="1" x14ac:dyDescent="0.2">
      <c r="A211" s="327"/>
      <c r="B211" s="327"/>
      <c r="C211" s="327"/>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row>
    <row r="212" spans="1:26" ht="11.25" customHeight="1" x14ac:dyDescent="0.2">
      <c r="A212" s="327"/>
      <c r="B212" s="327"/>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row>
    <row r="213" spans="1:26" ht="11.25" customHeight="1" x14ac:dyDescent="0.2">
      <c r="A213" s="327"/>
      <c r="B213" s="327"/>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row>
    <row r="214" spans="1:26" ht="11.25" customHeight="1" x14ac:dyDescent="0.2">
      <c r="A214" s="327"/>
      <c r="B214" s="327"/>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row>
    <row r="215" spans="1:26" ht="11.25" customHeight="1" x14ac:dyDescent="0.2">
      <c r="A215" s="327"/>
      <c r="B215" s="327"/>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row>
    <row r="216" spans="1:26" ht="11.25" customHeight="1" x14ac:dyDescent="0.2">
      <c r="A216" s="327"/>
      <c r="B216" s="327"/>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row>
    <row r="217" spans="1:26" ht="11.25" customHeight="1" x14ac:dyDescent="0.2">
      <c r="A217" s="327"/>
      <c r="B217" s="327"/>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row>
    <row r="218" spans="1:26" ht="11.25" customHeight="1" x14ac:dyDescent="0.2">
      <c r="A218" s="327"/>
      <c r="B218" s="327"/>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row>
    <row r="219" spans="1:26" ht="11.25" customHeight="1" x14ac:dyDescent="0.2">
      <c r="A219" s="327"/>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row>
    <row r="220" spans="1:26" ht="11.25" customHeight="1" x14ac:dyDescent="0.2">
      <c r="A220" s="327"/>
      <c r="B220" s="327"/>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row>
    <row r="221" spans="1:26" ht="11.25" customHeight="1" x14ac:dyDescent="0.2">
      <c r="A221" s="327"/>
      <c r="B221" s="327"/>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row>
    <row r="222" spans="1:26" ht="11.25" customHeight="1" x14ac:dyDescent="0.2">
      <c r="A222" s="327"/>
      <c r="B222" s="327"/>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row>
    <row r="223" spans="1:26" ht="11.25" customHeight="1" x14ac:dyDescent="0.2">
      <c r="A223" s="327"/>
      <c r="B223" s="327"/>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row>
    <row r="224" spans="1:26" ht="11.25" customHeight="1" x14ac:dyDescent="0.2">
      <c r="A224" s="327"/>
      <c r="B224" s="327"/>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row>
    <row r="225" spans="1:26" ht="11.25" customHeight="1" x14ac:dyDescent="0.2">
      <c r="A225" s="327"/>
      <c r="B225" s="327"/>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row>
    <row r="226" spans="1:26" ht="11.25" customHeight="1" x14ac:dyDescent="0.2">
      <c r="A226" s="327"/>
      <c r="B226" s="327"/>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row>
    <row r="227" spans="1:26" ht="11.25" customHeight="1" x14ac:dyDescent="0.2">
      <c r="A227" s="327"/>
      <c r="B227" s="327"/>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row>
    <row r="228" spans="1:26" ht="11.25" customHeight="1" x14ac:dyDescent="0.2">
      <c r="A228" s="327"/>
      <c r="B228" s="327"/>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row>
    <row r="229" spans="1:26" ht="11.25" customHeight="1" x14ac:dyDescent="0.2">
      <c r="A229" s="327"/>
      <c r="B229" s="327"/>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row>
    <row r="230" spans="1:26" ht="11.25" customHeight="1" x14ac:dyDescent="0.2">
      <c r="A230" s="327"/>
      <c r="B230" s="327"/>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row>
    <row r="231" spans="1:26" ht="11.25" customHeight="1" x14ac:dyDescent="0.2">
      <c r="A231" s="327"/>
      <c r="B231" s="327"/>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row>
    <row r="232" spans="1:26" ht="11.25" customHeight="1" x14ac:dyDescent="0.2">
      <c r="A232" s="327"/>
      <c r="B232" s="327"/>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row>
    <row r="233" spans="1:26" ht="11.25" customHeight="1" x14ac:dyDescent="0.2">
      <c r="A233" s="327"/>
      <c r="B233" s="327"/>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row>
    <row r="234" spans="1:26" ht="11.25" customHeight="1" x14ac:dyDescent="0.2">
      <c r="A234" s="327"/>
      <c r="B234" s="327"/>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row>
    <row r="235" spans="1:26" ht="11.25" customHeight="1" x14ac:dyDescent="0.2">
      <c r="A235" s="327"/>
      <c r="B235" s="327"/>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row>
    <row r="236" spans="1:26" ht="11.25" customHeight="1" x14ac:dyDescent="0.2">
      <c r="A236" s="327"/>
      <c r="B236" s="327"/>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row>
    <row r="237" spans="1:26" ht="11.25" customHeight="1" x14ac:dyDescent="0.2">
      <c r="A237" s="327"/>
      <c r="B237" s="327"/>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row>
    <row r="238" spans="1:26" ht="11.25" customHeight="1" x14ac:dyDescent="0.2">
      <c r="A238" s="327"/>
      <c r="B238" s="327"/>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row>
    <row r="239" spans="1:26" ht="11.25" customHeight="1" x14ac:dyDescent="0.2">
      <c r="A239" s="327"/>
      <c r="B239" s="327"/>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row>
    <row r="240" spans="1:26" ht="11.25" customHeight="1" x14ac:dyDescent="0.2">
      <c r="A240" s="327"/>
      <c r="B240" s="327"/>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row>
    <row r="241" spans="1:26" ht="11.25" customHeight="1" x14ac:dyDescent="0.2">
      <c r="A241" s="327"/>
      <c r="B241" s="327"/>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row>
    <row r="242" spans="1:26" ht="11.25" customHeight="1" x14ac:dyDescent="0.2">
      <c r="A242" s="327"/>
      <c r="B242" s="327"/>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row>
    <row r="243" spans="1:26" ht="11.25" customHeight="1" x14ac:dyDescent="0.2">
      <c r="A243" s="327"/>
      <c r="B243" s="327"/>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row>
    <row r="244" spans="1:26" ht="11.25" customHeight="1" x14ac:dyDescent="0.2">
      <c r="A244" s="327"/>
      <c r="B244" s="327"/>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row>
    <row r="245" spans="1:26" ht="11.25" customHeight="1" x14ac:dyDescent="0.2">
      <c r="A245" s="327"/>
      <c r="B245" s="327"/>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row>
    <row r="246" spans="1:26" ht="11.25" customHeight="1" x14ac:dyDescent="0.2">
      <c r="A246" s="327"/>
      <c r="B246" s="327"/>
      <c r="C246" s="327"/>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row>
    <row r="247" spans="1:26" ht="11.25" customHeight="1" x14ac:dyDescent="0.2">
      <c r="A247" s="327"/>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row>
    <row r="248" spans="1:26" ht="11.25" customHeight="1" x14ac:dyDescent="0.2">
      <c r="A248" s="327"/>
      <c r="B248" s="327"/>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row>
    <row r="249" spans="1:26" ht="11.25" customHeight="1" x14ac:dyDescent="0.2">
      <c r="A249" s="327"/>
      <c r="B249" s="327"/>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row>
    <row r="250" spans="1:26" ht="11.25" customHeight="1" x14ac:dyDescent="0.2">
      <c r="A250" s="327"/>
      <c r="B250" s="327"/>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row>
    <row r="251" spans="1:26" ht="11.25" customHeight="1" x14ac:dyDescent="0.2">
      <c r="A251" s="327"/>
      <c r="B251" s="327"/>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row>
    <row r="252" spans="1:26" ht="11.25" customHeight="1" x14ac:dyDescent="0.2">
      <c r="A252" s="327"/>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row>
    <row r="253" spans="1:26" ht="11.25" customHeight="1" x14ac:dyDescent="0.2">
      <c r="A253" s="327"/>
      <c r="B253" s="327"/>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row>
    <row r="254" spans="1:26" ht="11.25" customHeight="1" x14ac:dyDescent="0.2">
      <c r="A254" s="327"/>
      <c r="B254" s="327"/>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row>
    <row r="255" spans="1:26" ht="11.25" customHeight="1" x14ac:dyDescent="0.2">
      <c r="A255" s="327"/>
      <c r="B255" s="327"/>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row>
    <row r="256" spans="1:26" ht="11.25" customHeight="1" x14ac:dyDescent="0.2">
      <c r="A256" s="327"/>
      <c r="B256" s="327"/>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row>
    <row r="257" spans="1:26" ht="11.25" customHeight="1" x14ac:dyDescent="0.2">
      <c r="A257" s="327"/>
      <c r="B257" s="327"/>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row>
    <row r="258" spans="1:26" ht="11.25" customHeight="1" x14ac:dyDescent="0.2">
      <c r="A258" s="327"/>
      <c r="B258" s="327"/>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row>
    <row r="259" spans="1:26" ht="11.25" customHeight="1" x14ac:dyDescent="0.2">
      <c r="A259" s="327"/>
      <c r="B259" s="327"/>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row>
    <row r="260" spans="1:26" ht="11.25" customHeight="1" x14ac:dyDescent="0.2">
      <c r="A260" s="327"/>
      <c r="B260" s="327"/>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row>
    <row r="261" spans="1:26" ht="11.25" customHeight="1" x14ac:dyDescent="0.2">
      <c r="A261" s="327"/>
      <c r="B261" s="327"/>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row>
    <row r="262" spans="1:26" ht="11.25" customHeight="1" x14ac:dyDescent="0.2">
      <c r="A262" s="327"/>
      <c r="B262" s="327"/>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row>
    <row r="263" spans="1:26" ht="11.25" customHeight="1" x14ac:dyDescent="0.2">
      <c r="A263" s="327"/>
      <c r="B263" s="327"/>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row>
    <row r="264" spans="1:26" ht="11.25" customHeight="1" x14ac:dyDescent="0.2">
      <c r="A264" s="327"/>
      <c r="B264" s="327"/>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row>
    <row r="265" spans="1:26" ht="11.25" customHeight="1" x14ac:dyDescent="0.2">
      <c r="A265" s="327"/>
      <c r="B265" s="327"/>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row>
    <row r="266" spans="1:26" ht="11.25" customHeight="1" x14ac:dyDescent="0.2">
      <c r="A266" s="327"/>
      <c r="B266" s="327"/>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row>
    <row r="267" spans="1:26" ht="11.25" customHeight="1" x14ac:dyDescent="0.2">
      <c r="A267" s="327"/>
      <c r="B267" s="327"/>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row>
    <row r="268" spans="1:26" ht="11.25" customHeight="1" x14ac:dyDescent="0.2">
      <c r="A268" s="327"/>
      <c r="B268" s="327"/>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row>
    <row r="269" spans="1:26" ht="11.25" customHeight="1" x14ac:dyDescent="0.2">
      <c r="A269" s="327"/>
      <c r="B269" s="327"/>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row>
    <row r="270" spans="1:26" ht="11.25" customHeight="1" x14ac:dyDescent="0.2">
      <c r="A270" s="327"/>
      <c r="B270" s="327"/>
      <c r="C270" s="327"/>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row>
    <row r="271" spans="1:26" ht="11.25" customHeight="1" x14ac:dyDescent="0.2">
      <c r="A271" s="327"/>
      <c r="B271" s="327"/>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row>
    <row r="272" spans="1:26" ht="11.25" customHeight="1" x14ac:dyDescent="0.2">
      <c r="A272" s="327"/>
      <c r="B272" s="327"/>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row>
    <row r="273" spans="1:26" ht="11.25" customHeight="1" x14ac:dyDescent="0.2">
      <c r="A273" s="327"/>
      <c r="B273" s="327"/>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row>
    <row r="274" spans="1:26" ht="11.25" customHeight="1" x14ac:dyDescent="0.2">
      <c r="A274" s="327"/>
      <c r="B274" s="327"/>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row>
    <row r="275" spans="1:26" ht="11.25" customHeight="1" x14ac:dyDescent="0.2">
      <c r="A275" s="327"/>
      <c r="B275" s="327"/>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row>
    <row r="276" spans="1:26" ht="11.25" customHeight="1" x14ac:dyDescent="0.2">
      <c r="A276" s="327"/>
      <c r="B276" s="327"/>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row>
    <row r="277" spans="1:26" ht="11.25" customHeight="1" x14ac:dyDescent="0.2">
      <c r="A277" s="327"/>
      <c r="B277" s="327"/>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row>
    <row r="278" spans="1:26" ht="11.25" customHeight="1" x14ac:dyDescent="0.2">
      <c r="A278" s="327"/>
      <c r="B278" s="327"/>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row>
    <row r="279" spans="1:26" ht="11.25" customHeight="1" x14ac:dyDescent="0.2">
      <c r="A279" s="327"/>
      <c r="B279" s="327"/>
      <c r="C279" s="327"/>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row>
    <row r="280" spans="1:26" ht="11.25" customHeight="1" x14ac:dyDescent="0.2">
      <c r="A280" s="327"/>
      <c r="B280" s="327"/>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row>
    <row r="281" spans="1:26" ht="11.25" customHeight="1" x14ac:dyDescent="0.2">
      <c r="A281" s="327"/>
      <c r="B281" s="327"/>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row>
    <row r="282" spans="1:26" ht="11.25" customHeight="1" x14ac:dyDescent="0.2">
      <c r="A282" s="327"/>
      <c r="B282" s="327"/>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row>
    <row r="283" spans="1:26" ht="11.25" customHeight="1" x14ac:dyDescent="0.2">
      <c r="A283" s="327"/>
      <c r="B283" s="327"/>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row>
    <row r="284" spans="1:26" ht="11.25" customHeight="1" x14ac:dyDescent="0.2">
      <c r="A284" s="327"/>
      <c r="B284" s="327"/>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row>
    <row r="285" spans="1:26" ht="11.25" customHeight="1" x14ac:dyDescent="0.2">
      <c r="A285" s="327"/>
      <c r="B285" s="327"/>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row>
    <row r="286" spans="1:26" ht="11.25" customHeight="1" x14ac:dyDescent="0.2">
      <c r="A286" s="327"/>
      <c r="B286" s="327"/>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row>
    <row r="287" spans="1:26" ht="11.25" customHeight="1" x14ac:dyDescent="0.2">
      <c r="A287" s="327"/>
      <c r="B287" s="327"/>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row>
    <row r="288" spans="1:26" ht="11.25" customHeight="1" x14ac:dyDescent="0.2">
      <c r="A288" s="327"/>
      <c r="B288" s="327"/>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row>
    <row r="289" spans="1:26" ht="11.25" customHeight="1" x14ac:dyDescent="0.2">
      <c r="A289" s="327"/>
      <c r="B289" s="327"/>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row>
    <row r="290" spans="1:26" ht="11.25" customHeight="1" x14ac:dyDescent="0.2">
      <c r="A290" s="327"/>
      <c r="B290" s="327"/>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row>
    <row r="291" spans="1:26" ht="11.25" customHeight="1" x14ac:dyDescent="0.2">
      <c r="A291" s="327"/>
      <c r="B291" s="327"/>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row>
    <row r="292" spans="1:26" ht="11.25" customHeight="1" x14ac:dyDescent="0.2">
      <c r="A292" s="327"/>
      <c r="B292" s="327"/>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row>
    <row r="293" spans="1:26" ht="11.25" customHeight="1" x14ac:dyDescent="0.2">
      <c r="A293" s="327"/>
      <c r="B293" s="327"/>
      <c r="C293" s="327"/>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row>
    <row r="294" spans="1:26" ht="11.25" customHeight="1" x14ac:dyDescent="0.2">
      <c r="A294" s="327"/>
      <c r="B294" s="327"/>
      <c r="C294" s="327"/>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row>
    <row r="295" spans="1:26" ht="11.25" customHeight="1" x14ac:dyDescent="0.2">
      <c r="A295" s="327"/>
      <c r="B295" s="327"/>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row>
    <row r="296" spans="1:26" ht="11.25" customHeight="1" x14ac:dyDescent="0.2">
      <c r="A296" s="327"/>
      <c r="B296" s="327"/>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row>
    <row r="297" spans="1:26" ht="11.25" customHeight="1" x14ac:dyDescent="0.2">
      <c r="A297" s="327"/>
      <c r="B297" s="327"/>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row>
    <row r="298" spans="1:26" ht="11.25" customHeight="1" x14ac:dyDescent="0.2">
      <c r="A298" s="327"/>
      <c r="B298" s="327"/>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row>
    <row r="299" spans="1:26" ht="11.25" customHeight="1" x14ac:dyDescent="0.2">
      <c r="A299" s="327"/>
      <c r="B299" s="327"/>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row>
    <row r="300" spans="1:26" ht="11.25" customHeight="1" x14ac:dyDescent="0.2">
      <c r="A300" s="327"/>
      <c r="B300" s="327"/>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row>
    <row r="301" spans="1:26" ht="11.25" customHeight="1" x14ac:dyDescent="0.2">
      <c r="A301" s="327"/>
      <c r="B301" s="327"/>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row>
    <row r="302" spans="1:26" ht="11.25" customHeight="1" x14ac:dyDescent="0.2">
      <c r="A302" s="327"/>
      <c r="B302" s="327"/>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row>
    <row r="303" spans="1:26" ht="11.25" customHeight="1" x14ac:dyDescent="0.2">
      <c r="A303" s="327"/>
      <c r="B303" s="327"/>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row>
    <row r="304" spans="1:26" ht="11.25" customHeight="1" x14ac:dyDescent="0.2">
      <c r="A304" s="327"/>
      <c r="B304" s="327"/>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row>
    <row r="305" spans="1:26" ht="11.25" customHeight="1" x14ac:dyDescent="0.2">
      <c r="A305" s="327"/>
      <c r="B305" s="327"/>
      <c r="C305" s="327"/>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row>
    <row r="306" spans="1:26" ht="11.25" customHeight="1" x14ac:dyDescent="0.2">
      <c r="A306" s="327"/>
      <c r="B306" s="327"/>
      <c r="C306" s="327"/>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row>
    <row r="307" spans="1:26" ht="11.25" customHeight="1" x14ac:dyDescent="0.2">
      <c r="A307" s="327"/>
      <c r="B307" s="327"/>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row>
    <row r="308" spans="1:26" ht="11.25" customHeight="1" x14ac:dyDescent="0.2">
      <c r="A308" s="327"/>
      <c r="B308" s="327"/>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row>
    <row r="309" spans="1:26" ht="11.25" customHeight="1" x14ac:dyDescent="0.2">
      <c r="A309" s="327"/>
      <c r="B309" s="327"/>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row>
    <row r="310" spans="1:26" ht="11.25" customHeight="1" x14ac:dyDescent="0.2">
      <c r="A310" s="327"/>
      <c r="B310" s="327"/>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row>
    <row r="311" spans="1:26" ht="11.25" customHeight="1" x14ac:dyDescent="0.2">
      <c r="A311" s="327"/>
      <c r="B311" s="327"/>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row>
    <row r="312" spans="1:26" ht="11.25" customHeight="1" x14ac:dyDescent="0.2">
      <c r="A312" s="327"/>
      <c r="B312" s="327"/>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row>
    <row r="313" spans="1:26" ht="11.25" customHeight="1" x14ac:dyDescent="0.2">
      <c r="A313" s="327"/>
      <c r="B313" s="327"/>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row>
    <row r="314" spans="1:26" ht="11.25" customHeight="1" x14ac:dyDescent="0.2">
      <c r="A314" s="327"/>
      <c r="B314" s="327"/>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row>
    <row r="315" spans="1:26" ht="11.25" customHeight="1" x14ac:dyDescent="0.2">
      <c r="A315" s="327"/>
      <c r="B315" s="327"/>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row>
    <row r="316" spans="1:26" ht="11.25" customHeight="1" x14ac:dyDescent="0.2">
      <c r="A316" s="327"/>
      <c r="B316" s="327"/>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row>
    <row r="317" spans="1:26" ht="11.25" customHeight="1" x14ac:dyDescent="0.2">
      <c r="A317" s="327"/>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row>
    <row r="318" spans="1:26" ht="11.25" customHeight="1" x14ac:dyDescent="0.2">
      <c r="A318" s="327"/>
      <c r="B318" s="327"/>
      <c r="C318" s="327"/>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row>
    <row r="319" spans="1:26" ht="11.25" customHeight="1" x14ac:dyDescent="0.2">
      <c r="A319" s="327"/>
      <c r="B319" s="327"/>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row>
    <row r="320" spans="1:26" ht="11.25" customHeight="1" x14ac:dyDescent="0.2">
      <c r="A320" s="327"/>
      <c r="B320" s="327"/>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row>
    <row r="321" spans="1:26" ht="11.25" customHeight="1" x14ac:dyDescent="0.2">
      <c r="A321" s="327"/>
      <c r="B321" s="327"/>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row>
    <row r="322" spans="1:26" ht="11.25" customHeight="1" x14ac:dyDescent="0.2">
      <c r="A322" s="327"/>
      <c r="B322" s="327"/>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row>
    <row r="323" spans="1:26" ht="11.25" customHeight="1" x14ac:dyDescent="0.2">
      <c r="A323" s="327"/>
      <c r="B323" s="327"/>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row>
    <row r="324" spans="1:26" ht="11.25" customHeight="1" x14ac:dyDescent="0.2">
      <c r="A324" s="327"/>
      <c r="B324" s="327"/>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row>
    <row r="325" spans="1:26" ht="11.25" customHeight="1" x14ac:dyDescent="0.2">
      <c r="A325" s="327"/>
      <c r="B325" s="327"/>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row>
    <row r="326" spans="1:26" ht="11.25" customHeight="1" x14ac:dyDescent="0.2">
      <c r="A326" s="327"/>
      <c r="B326" s="327"/>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row>
    <row r="327" spans="1:26" ht="11.25" customHeight="1" x14ac:dyDescent="0.2">
      <c r="A327" s="327"/>
      <c r="B327" s="327"/>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row>
    <row r="328" spans="1:26" ht="11.25" customHeight="1" x14ac:dyDescent="0.2">
      <c r="A328" s="327"/>
      <c r="B328" s="327"/>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row>
    <row r="329" spans="1:26" ht="11.25" customHeight="1" x14ac:dyDescent="0.2">
      <c r="A329" s="327"/>
      <c r="B329" s="327"/>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row>
    <row r="330" spans="1:26" ht="11.25" customHeight="1" x14ac:dyDescent="0.2">
      <c r="A330" s="327"/>
      <c r="B330" s="327"/>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row>
    <row r="331" spans="1:26" ht="11.25" customHeight="1" x14ac:dyDescent="0.2">
      <c r="A331" s="327"/>
      <c r="B331" s="327"/>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row>
    <row r="332" spans="1:26" ht="11.25" customHeight="1" x14ac:dyDescent="0.2">
      <c r="A332" s="327"/>
      <c r="B332" s="327"/>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row>
    <row r="333" spans="1:26" ht="11.25" customHeight="1" x14ac:dyDescent="0.2">
      <c r="A333" s="327"/>
      <c r="B333" s="327"/>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row>
    <row r="334" spans="1:26" ht="11.25" customHeight="1" x14ac:dyDescent="0.2">
      <c r="A334" s="327"/>
      <c r="B334" s="327"/>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row>
    <row r="335" spans="1:26" ht="11.25" customHeight="1" x14ac:dyDescent="0.2">
      <c r="A335" s="327"/>
      <c r="B335" s="327"/>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row>
    <row r="336" spans="1:26" ht="11.25" customHeight="1" x14ac:dyDescent="0.2">
      <c r="A336" s="327"/>
      <c r="B336" s="327"/>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row>
    <row r="337" spans="1:26" ht="11.25" customHeight="1" x14ac:dyDescent="0.2">
      <c r="A337" s="327"/>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row>
    <row r="338" spans="1:26" ht="11.25" customHeight="1" x14ac:dyDescent="0.2">
      <c r="A338" s="327"/>
      <c r="B338" s="327"/>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row>
    <row r="339" spans="1:26" ht="11.25" customHeight="1" x14ac:dyDescent="0.2">
      <c r="A339" s="327"/>
      <c r="B339" s="327"/>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row>
    <row r="340" spans="1:26" ht="11.25" customHeight="1" x14ac:dyDescent="0.2">
      <c r="A340" s="327"/>
      <c r="B340" s="327"/>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row>
    <row r="341" spans="1:26" ht="11.25" customHeight="1" x14ac:dyDescent="0.2">
      <c r="A341" s="327"/>
      <c r="B341" s="327"/>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row>
    <row r="342" spans="1:26" ht="11.25" customHeight="1" x14ac:dyDescent="0.2">
      <c r="A342" s="327"/>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row>
    <row r="343" spans="1:26" ht="11.25" customHeight="1" x14ac:dyDescent="0.2">
      <c r="A343" s="327"/>
      <c r="B343" s="327"/>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row>
    <row r="344" spans="1:26" ht="11.25" customHeight="1" x14ac:dyDescent="0.2">
      <c r="A344" s="327"/>
      <c r="B344" s="327"/>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row>
    <row r="345" spans="1:26" ht="11.25" customHeight="1" x14ac:dyDescent="0.2">
      <c r="A345" s="327"/>
      <c r="B345" s="327"/>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row>
    <row r="346" spans="1:26" ht="11.25" customHeight="1" x14ac:dyDescent="0.2">
      <c r="A346" s="327"/>
      <c r="B346" s="327"/>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row>
    <row r="347" spans="1:26" ht="11.25" customHeight="1" x14ac:dyDescent="0.2">
      <c r="A347" s="327"/>
      <c r="B347" s="327"/>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row>
    <row r="348" spans="1:26" ht="11.25" customHeight="1" x14ac:dyDescent="0.2">
      <c r="A348" s="327"/>
      <c r="B348" s="327"/>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row>
    <row r="349" spans="1:26" ht="11.25" customHeight="1" x14ac:dyDescent="0.2">
      <c r="A349" s="327"/>
      <c r="B349" s="327"/>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row>
    <row r="350" spans="1:26" ht="11.25" customHeight="1" x14ac:dyDescent="0.2">
      <c r="A350" s="327"/>
      <c r="B350" s="327"/>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row>
    <row r="351" spans="1:26" ht="11.25" customHeight="1" x14ac:dyDescent="0.2">
      <c r="A351" s="327"/>
      <c r="B351" s="327"/>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row>
    <row r="352" spans="1:26" ht="11.25" customHeight="1" x14ac:dyDescent="0.2">
      <c r="A352" s="327"/>
      <c r="B352" s="327"/>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row>
    <row r="353" spans="1:26" ht="11.25" customHeight="1" x14ac:dyDescent="0.2">
      <c r="A353" s="327"/>
      <c r="B353" s="327"/>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row>
    <row r="354" spans="1:26" ht="11.25" customHeight="1" x14ac:dyDescent="0.2">
      <c r="A354" s="327"/>
      <c r="B354" s="327"/>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row>
    <row r="355" spans="1:26" ht="11.25" customHeight="1" x14ac:dyDescent="0.2">
      <c r="A355" s="327"/>
      <c r="B355" s="327"/>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row>
    <row r="356" spans="1:26" ht="11.25" customHeight="1" x14ac:dyDescent="0.2">
      <c r="A356" s="327"/>
      <c r="B356" s="327"/>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row>
    <row r="357" spans="1:26" ht="11.25" customHeight="1" x14ac:dyDescent="0.2">
      <c r="A357" s="327"/>
      <c r="B357" s="327"/>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row>
    <row r="358" spans="1:26" ht="11.25" customHeight="1" x14ac:dyDescent="0.2">
      <c r="A358" s="327"/>
      <c r="B358" s="327"/>
      <c r="C358" s="327"/>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row>
    <row r="359" spans="1:26" ht="11.25" customHeight="1" x14ac:dyDescent="0.2">
      <c r="A359" s="327"/>
      <c r="B359" s="327"/>
      <c r="C359" s="327"/>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row>
    <row r="360" spans="1:26" ht="11.25" customHeight="1" x14ac:dyDescent="0.2">
      <c r="A360" s="327"/>
      <c r="B360" s="327"/>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row>
    <row r="361" spans="1:26" ht="11.25" customHeight="1" x14ac:dyDescent="0.2">
      <c r="A361" s="327"/>
      <c r="B361" s="327"/>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row>
    <row r="362" spans="1:26" ht="11.25" customHeight="1" x14ac:dyDescent="0.2">
      <c r="A362" s="327"/>
      <c r="B362" s="327"/>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row>
    <row r="363" spans="1:26" ht="11.25" customHeight="1" x14ac:dyDescent="0.2">
      <c r="A363" s="327"/>
      <c r="B363" s="327"/>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row>
    <row r="364" spans="1:26" ht="11.25" customHeight="1" x14ac:dyDescent="0.2">
      <c r="A364" s="327"/>
      <c r="B364" s="327"/>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row>
    <row r="365" spans="1:26" ht="11.25" customHeight="1" x14ac:dyDescent="0.2">
      <c r="A365" s="327"/>
      <c r="B365" s="327"/>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row>
    <row r="366" spans="1:26" ht="11.25" customHeight="1" x14ac:dyDescent="0.2">
      <c r="A366" s="327"/>
      <c r="B366" s="327"/>
      <c r="C366" s="327"/>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row>
    <row r="367" spans="1:26" ht="11.25" customHeight="1" x14ac:dyDescent="0.2">
      <c r="A367" s="327"/>
      <c r="B367" s="327"/>
      <c r="C367" s="327"/>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row>
    <row r="368" spans="1:26" ht="11.25" customHeight="1" x14ac:dyDescent="0.2">
      <c r="A368" s="327"/>
      <c r="B368" s="327"/>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row>
    <row r="369" spans="1:26" ht="11.25" customHeight="1" x14ac:dyDescent="0.2">
      <c r="A369" s="327"/>
      <c r="B369" s="327"/>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row>
    <row r="370" spans="1:26" ht="11.25" customHeight="1" x14ac:dyDescent="0.2">
      <c r="A370" s="327"/>
      <c r="B370" s="327"/>
      <c r="C370" s="327"/>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row>
    <row r="371" spans="1:26" ht="11.25" customHeight="1" x14ac:dyDescent="0.2">
      <c r="A371" s="327"/>
      <c r="B371" s="327"/>
      <c r="C371" s="327"/>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row>
    <row r="372" spans="1:26" ht="11.25" customHeight="1" x14ac:dyDescent="0.2">
      <c r="A372" s="327"/>
      <c r="B372" s="327"/>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row>
    <row r="373" spans="1:26" ht="11.25" customHeight="1" x14ac:dyDescent="0.2">
      <c r="A373" s="327"/>
      <c r="B373" s="327"/>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row>
    <row r="374" spans="1:26" ht="11.25" customHeight="1" x14ac:dyDescent="0.2">
      <c r="A374" s="327"/>
      <c r="B374" s="327"/>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row>
    <row r="375" spans="1:26" ht="11.25" customHeight="1" x14ac:dyDescent="0.2">
      <c r="A375" s="327"/>
      <c r="B375" s="327"/>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row>
    <row r="376" spans="1:26" ht="11.25" customHeight="1" x14ac:dyDescent="0.2">
      <c r="A376" s="327"/>
      <c r="B376" s="327"/>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row>
    <row r="377" spans="1:26" ht="11.25" customHeight="1" x14ac:dyDescent="0.2">
      <c r="A377" s="327"/>
      <c r="B377" s="327"/>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row>
    <row r="378" spans="1:26" ht="11.25" customHeight="1" x14ac:dyDescent="0.2">
      <c r="A378" s="327"/>
      <c r="B378" s="327"/>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row>
    <row r="379" spans="1:26" ht="11.25" customHeight="1" x14ac:dyDescent="0.2">
      <c r="A379" s="327"/>
      <c r="B379" s="327"/>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row>
    <row r="380" spans="1:26" ht="11.25" customHeight="1" x14ac:dyDescent="0.2">
      <c r="A380" s="327"/>
      <c r="B380" s="327"/>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row>
    <row r="381" spans="1:26" ht="11.25" customHeight="1" x14ac:dyDescent="0.2">
      <c r="A381" s="327"/>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row>
    <row r="382" spans="1:26" ht="11.25" customHeight="1" x14ac:dyDescent="0.2">
      <c r="A382" s="327"/>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row>
    <row r="383" spans="1:26" ht="11.25" customHeight="1" x14ac:dyDescent="0.2">
      <c r="A383" s="327"/>
      <c r="B383" s="327"/>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row>
    <row r="384" spans="1:26" ht="11.25" customHeight="1" x14ac:dyDescent="0.2">
      <c r="A384" s="327"/>
      <c r="B384" s="327"/>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row>
    <row r="385" spans="1:26" ht="11.25" customHeight="1" x14ac:dyDescent="0.2">
      <c r="A385" s="327"/>
      <c r="B385" s="327"/>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row>
    <row r="386" spans="1:26" ht="11.25" customHeight="1" x14ac:dyDescent="0.2">
      <c r="A386" s="327"/>
      <c r="B386" s="327"/>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row>
    <row r="387" spans="1:26" ht="11.25" customHeight="1" x14ac:dyDescent="0.2">
      <c r="A387" s="327"/>
      <c r="B387" s="327"/>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row>
    <row r="388" spans="1:26" ht="11.25" customHeight="1" x14ac:dyDescent="0.2">
      <c r="A388" s="327"/>
      <c r="B388" s="327"/>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row>
    <row r="389" spans="1:26" ht="11.25" customHeight="1" x14ac:dyDescent="0.2">
      <c r="A389" s="327"/>
      <c r="B389" s="327"/>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row>
    <row r="390" spans="1:26" ht="11.25" customHeight="1" x14ac:dyDescent="0.2">
      <c r="A390" s="327"/>
      <c r="B390" s="327"/>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row>
    <row r="391" spans="1:26" ht="11.25" customHeight="1" x14ac:dyDescent="0.2">
      <c r="A391" s="327"/>
      <c r="B391" s="327"/>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row>
    <row r="392" spans="1:26" ht="11.25" customHeight="1" x14ac:dyDescent="0.2">
      <c r="A392" s="327"/>
      <c r="B392" s="327"/>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row>
    <row r="393" spans="1:26" ht="11.25" customHeight="1" x14ac:dyDescent="0.2">
      <c r="A393" s="327"/>
      <c r="B393" s="327"/>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row>
    <row r="394" spans="1:26" ht="11.25" customHeight="1" x14ac:dyDescent="0.2">
      <c r="A394" s="327"/>
      <c r="B394" s="327"/>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row>
    <row r="395" spans="1:26" ht="11.25" customHeight="1" x14ac:dyDescent="0.2">
      <c r="A395" s="327"/>
      <c r="B395" s="327"/>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row>
    <row r="396" spans="1:26" ht="11.25" customHeight="1" x14ac:dyDescent="0.2">
      <c r="A396" s="327"/>
      <c r="B396" s="327"/>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row>
    <row r="397" spans="1:26" ht="11.25" customHeight="1" x14ac:dyDescent="0.2">
      <c r="A397" s="327"/>
      <c r="B397" s="327"/>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row>
    <row r="398" spans="1:26" ht="11.25" customHeight="1" x14ac:dyDescent="0.2">
      <c r="A398" s="327"/>
      <c r="B398" s="327"/>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row>
    <row r="399" spans="1:26" ht="11.25" customHeight="1" x14ac:dyDescent="0.2">
      <c r="A399" s="327"/>
      <c r="B399" s="327"/>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row>
    <row r="400" spans="1:26" ht="11.25" customHeight="1" x14ac:dyDescent="0.2">
      <c r="A400" s="327"/>
      <c r="B400" s="327"/>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row>
    <row r="401" spans="1:26" ht="11.25" customHeight="1" x14ac:dyDescent="0.2">
      <c r="A401" s="327"/>
      <c r="B401" s="327"/>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row>
    <row r="402" spans="1:26" ht="11.25" customHeight="1" x14ac:dyDescent="0.2">
      <c r="A402" s="327"/>
      <c r="B402" s="327"/>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row>
    <row r="403" spans="1:26" ht="11.25" customHeight="1" x14ac:dyDescent="0.2">
      <c r="A403" s="327"/>
      <c r="B403" s="327"/>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row>
    <row r="404" spans="1:26" ht="11.25" customHeight="1" x14ac:dyDescent="0.2">
      <c r="A404" s="327"/>
      <c r="B404" s="327"/>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row>
    <row r="405" spans="1:26" ht="11.25" customHeight="1" x14ac:dyDescent="0.2">
      <c r="A405" s="327"/>
      <c r="B405" s="327"/>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row>
    <row r="406" spans="1:26" ht="11.25" customHeight="1" x14ac:dyDescent="0.2">
      <c r="A406" s="327"/>
      <c r="B406" s="327"/>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row>
    <row r="407" spans="1:26" ht="11.25" customHeight="1" x14ac:dyDescent="0.2">
      <c r="A407" s="327"/>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row>
    <row r="408" spans="1:26" ht="11.25" customHeight="1" x14ac:dyDescent="0.2">
      <c r="A408" s="327"/>
      <c r="B408" s="327"/>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row>
    <row r="409" spans="1:26" ht="11.25" customHeight="1" x14ac:dyDescent="0.2">
      <c r="A409" s="327"/>
      <c r="B409" s="327"/>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row>
    <row r="410" spans="1:26" ht="11.25" customHeight="1" x14ac:dyDescent="0.2">
      <c r="A410" s="327"/>
      <c r="B410" s="327"/>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row>
    <row r="411" spans="1:26" ht="11.25" customHeight="1" x14ac:dyDescent="0.2">
      <c r="A411" s="327"/>
      <c r="B411" s="327"/>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row>
    <row r="412" spans="1:26" ht="11.25" customHeight="1" x14ac:dyDescent="0.2">
      <c r="A412" s="327"/>
      <c r="B412" s="327"/>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row>
    <row r="413" spans="1:26" ht="11.25" customHeight="1" x14ac:dyDescent="0.2">
      <c r="A413" s="327"/>
      <c r="B413" s="327"/>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row>
    <row r="414" spans="1:26" ht="11.25" customHeight="1" x14ac:dyDescent="0.2">
      <c r="A414" s="327"/>
      <c r="B414" s="327"/>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row>
    <row r="415" spans="1:26" ht="11.25" customHeight="1" x14ac:dyDescent="0.2">
      <c r="A415" s="327"/>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row>
    <row r="416" spans="1:26" ht="11.25" customHeight="1" x14ac:dyDescent="0.2">
      <c r="A416" s="327"/>
      <c r="B416" s="327"/>
      <c r="C416" s="327"/>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row>
    <row r="417" spans="1:26" ht="11.25" customHeight="1" x14ac:dyDescent="0.2">
      <c r="A417" s="327"/>
      <c r="B417" s="327"/>
      <c r="C417" s="327"/>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row>
    <row r="418" spans="1:26" ht="11.25" customHeight="1" x14ac:dyDescent="0.2">
      <c r="A418" s="327"/>
      <c r="B418" s="327"/>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row>
    <row r="419" spans="1:26" ht="11.25" customHeight="1" x14ac:dyDescent="0.2">
      <c r="A419" s="327"/>
      <c r="B419" s="327"/>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row>
    <row r="420" spans="1:26" ht="11.25" customHeight="1" x14ac:dyDescent="0.2">
      <c r="A420" s="327"/>
      <c r="B420" s="327"/>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row>
    <row r="421" spans="1:26" ht="11.25" customHeight="1" x14ac:dyDescent="0.2">
      <c r="A421" s="327"/>
      <c r="B421" s="327"/>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row>
    <row r="422" spans="1:26" ht="11.25" customHeight="1" x14ac:dyDescent="0.2">
      <c r="A422" s="327"/>
      <c r="B422" s="327"/>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row>
    <row r="423" spans="1:26" ht="11.25" customHeight="1" x14ac:dyDescent="0.2">
      <c r="A423" s="327"/>
      <c r="B423" s="327"/>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row>
    <row r="424" spans="1:26" ht="11.25" customHeight="1" x14ac:dyDescent="0.2">
      <c r="A424" s="327"/>
      <c r="B424" s="327"/>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row>
    <row r="425" spans="1:26" ht="11.25" customHeight="1" x14ac:dyDescent="0.2">
      <c r="A425" s="327"/>
      <c r="B425" s="327"/>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row>
    <row r="426" spans="1:26" ht="11.25" customHeight="1" x14ac:dyDescent="0.2">
      <c r="A426" s="327"/>
      <c r="B426" s="327"/>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row>
    <row r="427" spans="1:26" ht="11.25" customHeight="1" x14ac:dyDescent="0.2">
      <c r="A427" s="327"/>
      <c r="B427" s="327"/>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row>
    <row r="428" spans="1:26" ht="11.25" customHeight="1" x14ac:dyDescent="0.2">
      <c r="A428" s="327"/>
      <c r="B428" s="327"/>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row>
    <row r="429" spans="1:26" ht="11.25" customHeight="1" x14ac:dyDescent="0.2">
      <c r="A429" s="327"/>
      <c r="B429" s="327"/>
      <c r="C429" s="327"/>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row>
    <row r="430" spans="1:26" ht="11.25" customHeight="1" x14ac:dyDescent="0.2">
      <c r="A430" s="327"/>
      <c r="B430" s="327"/>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row>
    <row r="431" spans="1:26" ht="11.25" customHeight="1" x14ac:dyDescent="0.2">
      <c r="A431" s="327"/>
      <c r="B431" s="327"/>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row>
    <row r="432" spans="1:26" ht="11.25" customHeight="1" x14ac:dyDescent="0.2">
      <c r="A432" s="327"/>
      <c r="B432" s="327"/>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row>
    <row r="433" spans="1:26" ht="11.25" customHeight="1" x14ac:dyDescent="0.2">
      <c r="A433" s="327"/>
      <c r="B433" s="327"/>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row>
    <row r="434" spans="1:26" ht="11.25" customHeight="1" x14ac:dyDescent="0.2">
      <c r="A434" s="327"/>
      <c r="B434" s="327"/>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row>
    <row r="435" spans="1:26" ht="11.25" customHeight="1" x14ac:dyDescent="0.2">
      <c r="A435" s="327"/>
      <c r="B435" s="327"/>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row>
    <row r="436" spans="1:26" ht="11.25" customHeight="1" x14ac:dyDescent="0.2">
      <c r="A436" s="327"/>
      <c r="B436" s="327"/>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row>
    <row r="437" spans="1:26" ht="11.25" customHeight="1" x14ac:dyDescent="0.2">
      <c r="A437" s="327"/>
      <c r="B437" s="327"/>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row>
    <row r="438" spans="1:26" ht="11.25" customHeight="1" x14ac:dyDescent="0.2">
      <c r="A438" s="327"/>
      <c r="B438" s="327"/>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row>
    <row r="439" spans="1:26" ht="11.25" customHeight="1" x14ac:dyDescent="0.2">
      <c r="A439" s="327"/>
      <c r="B439" s="327"/>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row>
    <row r="440" spans="1:26" ht="11.25" customHeight="1" x14ac:dyDescent="0.2">
      <c r="A440" s="327"/>
      <c r="B440" s="327"/>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row>
    <row r="441" spans="1:26" ht="11.25" customHeight="1" x14ac:dyDescent="0.2">
      <c r="A441" s="327"/>
      <c r="B441" s="327"/>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row>
    <row r="442" spans="1:26" ht="11.25" customHeight="1" x14ac:dyDescent="0.2">
      <c r="A442" s="327"/>
      <c r="B442" s="327"/>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row>
    <row r="443" spans="1:26" ht="11.25" customHeight="1" x14ac:dyDescent="0.2">
      <c r="A443" s="327"/>
      <c r="B443" s="327"/>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row>
    <row r="444" spans="1:26" ht="11.25" customHeight="1" x14ac:dyDescent="0.2">
      <c r="A444" s="327"/>
      <c r="B444" s="327"/>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row>
    <row r="445" spans="1:26" ht="11.25" customHeight="1" x14ac:dyDescent="0.2">
      <c r="A445" s="327"/>
      <c r="B445" s="327"/>
      <c r="C445" s="327"/>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row>
    <row r="446" spans="1:26" ht="11.25" customHeight="1" x14ac:dyDescent="0.2">
      <c r="A446" s="327"/>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row>
    <row r="447" spans="1:26" ht="11.25" customHeight="1" x14ac:dyDescent="0.2">
      <c r="A447" s="327"/>
      <c r="B447" s="327"/>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row>
    <row r="448" spans="1:26" ht="11.25" customHeight="1" x14ac:dyDescent="0.2">
      <c r="A448" s="327"/>
      <c r="B448" s="327"/>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row>
    <row r="449" spans="1:26" ht="11.25" customHeight="1" x14ac:dyDescent="0.2">
      <c r="A449" s="327"/>
      <c r="B449" s="327"/>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row>
    <row r="450" spans="1:26" ht="11.25" customHeight="1" x14ac:dyDescent="0.2">
      <c r="A450" s="327"/>
      <c r="B450" s="327"/>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row>
    <row r="451" spans="1:26" ht="11.25" customHeight="1" x14ac:dyDescent="0.2">
      <c r="A451" s="327"/>
      <c r="B451" s="327"/>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row>
    <row r="452" spans="1:26" ht="11.25" customHeight="1" x14ac:dyDescent="0.2">
      <c r="A452" s="327"/>
      <c r="B452" s="327"/>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row>
    <row r="453" spans="1:26" ht="11.25" customHeight="1" x14ac:dyDescent="0.2">
      <c r="A453" s="327"/>
      <c r="B453" s="327"/>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row>
    <row r="454" spans="1:26" ht="11.25" customHeight="1" x14ac:dyDescent="0.2">
      <c r="A454" s="327"/>
      <c r="B454" s="327"/>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row>
    <row r="455" spans="1:26" ht="11.25" customHeight="1" x14ac:dyDescent="0.2">
      <c r="A455" s="327"/>
      <c r="B455" s="327"/>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row>
    <row r="456" spans="1:26" ht="11.25" customHeight="1" x14ac:dyDescent="0.2">
      <c r="A456" s="327"/>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row>
    <row r="457" spans="1:26" ht="11.25" customHeight="1" x14ac:dyDescent="0.2">
      <c r="A457" s="327"/>
      <c r="B457" s="327"/>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row>
    <row r="458" spans="1:26" ht="11.25" customHeight="1" x14ac:dyDescent="0.2">
      <c r="A458" s="327"/>
      <c r="B458" s="327"/>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row>
    <row r="459" spans="1:26" ht="11.25" customHeight="1" x14ac:dyDescent="0.2">
      <c r="A459" s="327"/>
      <c r="B459" s="327"/>
      <c r="C459" s="327"/>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row>
    <row r="460" spans="1:26" ht="11.25" customHeight="1" x14ac:dyDescent="0.2">
      <c r="A460" s="327"/>
      <c r="B460" s="327"/>
      <c r="C460" s="327"/>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row>
    <row r="461" spans="1:26" ht="11.25" customHeight="1" x14ac:dyDescent="0.2">
      <c r="A461" s="327"/>
      <c r="B461" s="327"/>
      <c r="C461" s="327"/>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row>
    <row r="462" spans="1:26" ht="11.25" customHeight="1" x14ac:dyDescent="0.2">
      <c r="A462" s="327"/>
      <c r="B462" s="327"/>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row>
    <row r="463" spans="1:26" ht="11.25" customHeight="1" x14ac:dyDescent="0.2">
      <c r="A463" s="327"/>
      <c r="B463" s="327"/>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row>
    <row r="464" spans="1:26" ht="11.25" customHeight="1" x14ac:dyDescent="0.2">
      <c r="A464" s="327"/>
      <c r="B464" s="327"/>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row>
    <row r="465" spans="1:26" ht="11.25" customHeight="1" x14ac:dyDescent="0.2">
      <c r="A465" s="327"/>
      <c r="B465" s="327"/>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row>
    <row r="466" spans="1:26" ht="11.25" customHeight="1" x14ac:dyDescent="0.2">
      <c r="A466" s="327"/>
      <c r="B466" s="327"/>
      <c r="C466" s="327"/>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row>
    <row r="467" spans="1:26" ht="11.25" customHeight="1" x14ac:dyDescent="0.2">
      <c r="A467" s="327"/>
      <c r="B467" s="327"/>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row>
    <row r="468" spans="1:26" ht="11.25" customHeight="1" x14ac:dyDescent="0.2">
      <c r="A468" s="327"/>
      <c r="B468" s="327"/>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row>
    <row r="469" spans="1:26" ht="11.25" customHeight="1" x14ac:dyDescent="0.2">
      <c r="A469" s="327"/>
      <c r="B469" s="327"/>
      <c r="C469" s="327"/>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row>
    <row r="470" spans="1:26" ht="11.25" customHeight="1" x14ac:dyDescent="0.2">
      <c r="A470" s="327"/>
      <c r="B470" s="327"/>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row>
    <row r="471" spans="1:26" ht="11.25" customHeight="1" x14ac:dyDescent="0.2">
      <c r="A471" s="327"/>
      <c r="B471" s="327"/>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row>
    <row r="472" spans="1:26" ht="11.25" customHeight="1" x14ac:dyDescent="0.2">
      <c r="A472" s="327"/>
      <c r="B472" s="327"/>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row>
    <row r="473" spans="1:26" ht="11.25" customHeight="1" x14ac:dyDescent="0.2">
      <c r="A473" s="327"/>
      <c r="B473" s="327"/>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row>
    <row r="474" spans="1:26" ht="11.25" customHeight="1" x14ac:dyDescent="0.2">
      <c r="A474" s="327"/>
      <c r="B474" s="327"/>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row>
    <row r="475" spans="1:26" ht="11.25" customHeight="1" x14ac:dyDescent="0.2">
      <c r="A475" s="327"/>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row>
    <row r="476" spans="1:26" ht="11.25" customHeight="1" x14ac:dyDescent="0.2">
      <c r="A476" s="327"/>
      <c r="B476" s="327"/>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row>
    <row r="477" spans="1:26" ht="11.25" customHeight="1" x14ac:dyDescent="0.2">
      <c r="A477" s="327"/>
      <c r="B477" s="327"/>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row>
    <row r="478" spans="1:26" ht="11.25" customHeight="1" x14ac:dyDescent="0.2">
      <c r="A478" s="327"/>
      <c r="B478" s="327"/>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row>
    <row r="479" spans="1:26" ht="11.25" customHeight="1" x14ac:dyDescent="0.2">
      <c r="A479" s="327"/>
      <c r="B479" s="327"/>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row>
    <row r="480" spans="1:26" ht="11.25" customHeight="1" x14ac:dyDescent="0.2">
      <c r="A480" s="327"/>
      <c r="B480" s="327"/>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row>
    <row r="481" spans="1:26" ht="11.25" customHeight="1" x14ac:dyDescent="0.2">
      <c r="A481" s="327"/>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row>
    <row r="482" spans="1:26" ht="11.25" customHeight="1" x14ac:dyDescent="0.2">
      <c r="A482" s="327"/>
      <c r="B482" s="327"/>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row>
    <row r="483" spans="1:26" ht="11.25" customHeight="1" x14ac:dyDescent="0.2">
      <c r="A483" s="327"/>
      <c r="B483" s="327"/>
      <c r="C483" s="327"/>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row>
    <row r="484" spans="1:26" ht="11.25" customHeight="1" x14ac:dyDescent="0.2">
      <c r="A484" s="327"/>
      <c r="B484" s="327"/>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row>
    <row r="485" spans="1:26" ht="11.25" customHeight="1" x14ac:dyDescent="0.2">
      <c r="A485" s="327"/>
      <c r="B485" s="327"/>
      <c r="C485" s="327"/>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row>
    <row r="486" spans="1:26" ht="11.25" customHeight="1" x14ac:dyDescent="0.2">
      <c r="A486" s="327"/>
      <c r="B486" s="327"/>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row>
    <row r="487" spans="1:26" ht="11.25" customHeight="1" x14ac:dyDescent="0.2">
      <c r="A487" s="327"/>
      <c r="B487" s="327"/>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row>
    <row r="488" spans="1:26" ht="11.25" customHeight="1" x14ac:dyDescent="0.2">
      <c r="A488" s="327"/>
      <c r="B488" s="327"/>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row>
    <row r="489" spans="1:26" ht="11.25" customHeight="1" x14ac:dyDescent="0.2">
      <c r="A489" s="327"/>
      <c r="B489" s="327"/>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row>
    <row r="490" spans="1:26" ht="11.25" customHeight="1" x14ac:dyDescent="0.2">
      <c r="A490" s="327"/>
      <c r="B490" s="327"/>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row>
    <row r="491" spans="1:26" ht="11.25" customHeight="1" x14ac:dyDescent="0.2">
      <c r="A491" s="327"/>
      <c r="B491" s="327"/>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row>
    <row r="492" spans="1:26" ht="11.25" customHeight="1" x14ac:dyDescent="0.2">
      <c r="A492" s="327"/>
      <c r="B492" s="327"/>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row>
    <row r="493" spans="1:26" ht="11.25" customHeight="1" x14ac:dyDescent="0.2">
      <c r="A493" s="327"/>
      <c r="B493" s="327"/>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row>
    <row r="494" spans="1:26" ht="11.25" customHeight="1" x14ac:dyDescent="0.2">
      <c r="A494" s="327"/>
      <c r="B494" s="327"/>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row>
    <row r="495" spans="1:26" ht="11.25" customHeight="1" x14ac:dyDescent="0.2">
      <c r="A495" s="327"/>
      <c r="B495" s="327"/>
      <c r="C495" s="327"/>
      <c r="D495" s="327"/>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row>
    <row r="496" spans="1:26" ht="11.25" customHeight="1" x14ac:dyDescent="0.2">
      <c r="A496" s="327"/>
      <c r="B496" s="327"/>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row>
    <row r="497" spans="1:26" ht="11.25" customHeight="1" x14ac:dyDescent="0.2">
      <c r="A497" s="327"/>
      <c r="B497" s="327"/>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row>
    <row r="498" spans="1:26" ht="11.25" customHeight="1" x14ac:dyDescent="0.2">
      <c r="A498" s="327"/>
      <c r="B498" s="327"/>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row>
    <row r="499" spans="1:26" ht="11.25" customHeight="1" x14ac:dyDescent="0.2">
      <c r="A499" s="327"/>
      <c r="B499" s="327"/>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row>
    <row r="500" spans="1:26" ht="11.25" customHeight="1" x14ac:dyDescent="0.2">
      <c r="A500" s="327"/>
      <c r="B500" s="327"/>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row>
    <row r="501" spans="1:26" ht="11.25" customHeight="1" x14ac:dyDescent="0.2">
      <c r="A501" s="327"/>
      <c r="B501" s="327"/>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row>
    <row r="502" spans="1:26" ht="11.25" customHeight="1" x14ac:dyDescent="0.2">
      <c r="A502" s="327"/>
      <c r="B502" s="327"/>
      <c r="C502" s="327"/>
      <c r="D502" s="327"/>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row>
    <row r="503" spans="1:26" ht="11.25" customHeight="1" x14ac:dyDescent="0.2">
      <c r="A503" s="327"/>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row>
    <row r="504" spans="1:26" ht="11.25" customHeight="1" x14ac:dyDescent="0.2">
      <c r="A504" s="327"/>
      <c r="B504" s="327"/>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row>
    <row r="505" spans="1:26" ht="11.25" customHeight="1" x14ac:dyDescent="0.2">
      <c r="A505" s="327"/>
      <c r="B505" s="327"/>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row>
    <row r="506" spans="1:26" ht="11.25" customHeight="1" x14ac:dyDescent="0.2">
      <c r="A506" s="327"/>
      <c r="B506" s="327"/>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row>
    <row r="507" spans="1:26" ht="11.25" customHeight="1" x14ac:dyDescent="0.2">
      <c r="A507" s="327"/>
      <c r="B507" s="327"/>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row>
    <row r="508" spans="1:26" ht="11.25" customHeight="1" x14ac:dyDescent="0.2">
      <c r="A508" s="327"/>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row>
    <row r="509" spans="1:26" ht="11.25" customHeight="1" x14ac:dyDescent="0.2">
      <c r="A509" s="327"/>
      <c r="B509" s="327"/>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row>
    <row r="510" spans="1:26" ht="11.25" customHeight="1" x14ac:dyDescent="0.2">
      <c r="A510" s="327"/>
      <c r="B510" s="327"/>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row>
    <row r="511" spans="1:26" ht="11.25" customHeight="1" x14ac:dyDescent="0.2">
      <c r="A511" s="327"/>
      <c r="B511" s="327"/>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row>
    <row r="512" spans="1:26" ht="11.25" customHeight="1" x14ac:dyDescent="0.2">
      <c r="A512" s="327"/>
      <c r="B512" s="327"/>
      <c r="C512" s="327"/>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row>
    <row r="513" spans="1:26" ht="11.25" customHeight="1" x14ac:dyDescent="0.2">
      <c r="A513" s="327"/>
      <c r="B513" s="327"/>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row>
    <row r="514" spans="1:26" ht="11.25" customHeight="1" x14ac:dyDescent="0.2">
      <c r="A514" s="327"/>
      <c r="B514" s="327"/>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row>
    <row r="515" spans="1:26" ht="11.25" customHeight="1" x14ac:dyDescent="0.2">
      <c r="A515" s="327"/>
      <c r="B515" s="327"/>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row>
    <row r="516" spans="1:26" ht="11.25" customHeight="1" x14ac:dyDescent="0.2">
      <c r="A516" s="327"/>
      <c r="B516" s="327"/>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row>
    <row r="517" spans="1:26" ht="11.25" customHeight="1" x14ac:dyDescent="0.2">
      <c r="A517" s="327"/>
      <c r="B517" s="327"/>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row>
    <row r="518" spans="1:26" ht="11.25" customHeight="1" x14ac:dyDescent="0.2">
      <c r="A518" s="327"/>
      <c r="B518" s="327"/>
      <c r="C518" s="327"/>
      <c r="D518" s="327"/>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row>
    <row r="519" spans="1:26" ht="11.25" customHeight="1" x14ac:dyDescent="0.2">
      <c r="A519" s="327"/>
      <c r="B519" s="327"/>
      <c r="C519" s="327"/>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row>
    <row r="520" spans="1:26" ht="11.25" customHeight="1" x14ac:dyDescent="0.2">
      <c r="A520" s="327"/>
      <c r="B520" s="327"/>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row>
    <row r="521" spans="1:26" ht="11.25" customHeight="1" x14ac:dyDescent="0.2">
      <c r="A521" s="327"/>
      <c r="B521" s="327"/>
      <c r="C521" s="327"/>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row>
    <row r="522" spans="1:26" ht="11.25" customHeight="1" x14ac:dyDescent="0.2">
      <c r="A522" s="327"/>
      <c r="B522" s="327"/>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row>
    <row r="523" spans="1:26" ht="11.25" customHeight="1" x14ac:dyDescent="0.2">
      <c r="A523" s="327"/>
      <c r="B523" s="327"/>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row>
    <row r="524" spans="1:26" ht="11.25" customHeight="1" x14ac:dyDescent="0.2">
      <c r="A524" s="327"/>
      <c r="B524" s="327"/>
      <c r="C524" s="327"/>
      <c r="D524" s="327"/>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row>
    <row r="525" spans="1:26" ht="11.25" customHeight="1" x14ac:dyDescent="0.2">
      <c r="A525" s="327"/>
      <c r="B525" s="327"/>
      <c r="C525" s="327"/>
      <c r="D525" s="327"/>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row>
    <row r="526" spans="1:26" ht="11.25" customHeight="1" x14ac:dyDescent="0.2">
      <c r="A526" s="327"/>
      <c r="B526" s="327"/>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row>
    <row r="527" spans="1:26" ht="11.25" customHeight="1" x14ac:dyDescent="0.2">
      <c r="A527" s="327"/>
      <c r="B527" s="327"/>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row>
    <row r="528" spans="1:26" ht="11.25" customHeight="1" x14ac:dyDescent="0.2">
      <c r="A528" s="327"/>
      <c r="B528" s="327"/>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row>
    <row r="529" spans="1:26" ht="11.25" customHeight="1" x14ac:dyDescent="0.2">
      <c r="A529" s="327"/>
      <c r="B529" s="327"/>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row>
    <row r="530" spans="1:26" ht="11.25" customHeight="1" x14ac:dyDescent="0.2">
      <c r="A530" s="327"/>
      <c r="B530" s="327"/>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row>
    <row r="531" spans="1:26" ht="11.25" customHeight="1" x14ac:dyDescent="0.2">
      <c r="A531" s="327"/>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row>
    <row r="532" spans="1:26" ht="11.25" customHeight="1" x14ac:dyDescent="0.2">
      <c r="A532" s="327"/>
      <c r="B532" s="327"/>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row>
    <row r="533" spans="1:26" ht="11.25" customHeight="1" x14ac:dyDescent="0.2">
      <c r="A533" s="327"/>
      <c r="B533" s="327"/>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row>
    <row r="534" spans="1:26" ht="11.25" customHeight="1" x14ac:dyDescent="0.2">
      <c r="A534" s="327"/>
      <c r="B534" s="327"/>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row>
    <row r="535" spans="1:26" ht="11.25" customHeight="1" x14ac:dyDescent="0.2">
      <c r="A535" s="327"/>
      <c r="B535" s="327"/>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row>
    <row r="536" spans="1:26" ht="11.25" customHeight="1" x14ac:dyDescent="0.2">
      <c r="A536" s="327"/>
      <c r="B536" s="327"/>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row>
    <row r="537" spans="1:26" ht="11.25" customHeight="1" x14ac:dyDescent="0.2">
      <c r="A537" s="327"/>
      <c r="B537" s="327"/>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row>
    <row r="538" spans="1:26" ht="11.25" customHeight="1" x14ac:dyDescent="0.2">
      <c r="A538" s="327"/>
      <c r="B538" s="327"/>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row>
    <row r="539" spans="1:26" ht="11.25" customHeight="1" x14ac:dyDescent="0.2">
      <c r="A539" s="327"/>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row>
    <row r="540" spans="1:26" ht="11.25" customHeight="1" x14ac:dyDescent="0.2">
      <c r="A540" s="327"/>
      <c r="B540" s="327"/>
      <c r="C540" s="327"/>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row>
    <row r="541" spans="1:26" ht="11.25" customHeight="1" x14ac:dyDescent="0.2">
      <c r="A541" s="327"/>
      <c r="B541" s="327"/>
      <c r="C541" s="327"/>
      <c r="D541" s="327"/>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row>
    <row r="542" spans="1:26" ht="11.25" customHeight="1" x14ac:dyDescent="0.2">
      <c r="A542" s="327"/>
      <c r="B542" s="327"/>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row>
    <row r="543" spans="1:26" ht="11.25" customHeight="1" x14ac:dyDescent="0.2">
      <c r="A543" s="327"/>
      <c r="B543" s="327"/>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row>
    <row r="544" spans="1:26" ht="11.25" customHeight="1" x14ac:dyDescent="0.2">
      <c r="A544" s="327"/>
      <c r="B544" s="327"/>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row>
    <row r="545" spans="1:26" ht="11.25" customHeight="1" x14ac:dyDescent="0.2">
      <c r="A545" s="327"/>
      <c r="B545" s="327"/>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row>
    <row r="546" spans="1:26" ht="11.25" customHeight="1" x14ac:dyDescent="0.2">
      <c r="A546" s="327"/>
      <c r="B546" s="327"/>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row>
    <row r="547" spans="1:26" ht="11.25" customHeight="1" x14ac:dyDescent="0.2">
      <c r="A547" s="327"/>
      <c r="B547" s="327"/>
      <c r="C547" s="327"/>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row>
    <row r="548" spans="1:26" ht="11.25" customHeight="1" x14ac:dyDescent="0.2">
      <c r="A548" s="327"/>
      <c r="B548" s="327"/>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row>
    <row r="549" spans="1:26" ht="11.25" customHeight="1" x14ac:dyDescent="0.2">
      <c r="A549" s="327"/>
      <c r="B549" s="327"/>
      <c r="C549" s="327"/>
      <c r="D549" s="327"/>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row>
    <row r="550" spans="1:26" ht="11.25" customHeight="1" x14ac:dyDescent="0.2">
      <c r="A550" s="327"/>
      <c r="B550" s="327"/>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row>
    <row r="551" spans="1:26" ht="11.25" customHeight="1" x14ac:dyDescent="0.2">
      <c r="A551" s="327"/>
      <c r="B551" s="327"/>
      <c r="C551" s="327"/>
      <c r="D551" s="327"/>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row>
    <row r="552" spans="1:26" ht="11.25" customHeight="1" x14ac:dyDescent="0.2">
      <c r="A552" s="327"/>
      <c r="B552" s="327"/>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row>
    <row r="553" spans="1:26" ht="11.25" customHeight="1" x14ac:dyDescent="0.2">
      <c r="A553" s="327"/>
      <c r="B553" s="327"/>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row>
    <row r="554" spans="1:26" ht="11.25" customHeight="1" x14ac:dyDescent="0.2">
      <c r="A554" s="327"/>
      <c r="B554" s="327"/>
      <c r="C554" s="327"/>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row>
    <row r="555" spans="1:26" ht="11.25" customHeight="1" x14ac:dyDescent="0.2">
      <c r="A555" s="327"/>
      <c r="B555" s="327"/>
      <c r="C555" s="327"/>
      <c r="D555" s="327"/>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row>
    <row r="556" spans="1:26" ht="11.25" customHeight="1" x14ac:dyDescent="0.2">
      <c r="A556" s="327"/>
      <c r="B556" s="327"/>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row>
    <row r="557" spans="1:26" ht="11.25" customHeight="1" x14ac:dyDescent="0.2">
      <c r="A557" s="327"/>
      <c r="B557" s="327"/>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row>
    <row r="558" spans="1:26" ht="11.25" customHeight="1" x14ac:dyDescent="0.2">
      <c r="A558" s="327"/>
      <c r="B558" s="327"/>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row>
    <row r="559" spans="1:26" ht="11.25" customHeight="1" x14ac:dyDescent="0.2">
      <c r="A559" s="327"/>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row>
    <row r="560" spans="1:26" ht="11.25" customHeight="1" x14ac:dyDescent="0.2">
      <c r="A560" s="327"/>
      <c r="B560" s="327"/>
      <c r="C560" s="327"/>
      <c r="D560" s="327"/>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row>
    <row r="561" spans="1:26" ht="11.25" customHeight="1" x14ac:dyDescent="0.2">
      <c r="A561" s="327"/>
      <c r="B561" s="327"/>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row>
    <row r="562" spans="1:26" ht="11.25" customHeight="1" x14ac:dyDescent="0.2">
      <c r="A562" s="327"/>
      <c r="B562" s="327"/>
      <c r="C562" s="327"/>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row>
    <row r="563" spans="1:26" ht="11.25" customHeight="1" x14ac:dyDescent="0.2">
      <c r="A563" s="327"/>
      <c r="B563" s="327"/>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row>
    <row r="564" spans="1:26" ht="11.25" customHeight="1" x14ac:dyDescent="0.2">
      <c r="A564" s="327"/>
      <c r="B564" s="327"/>
      <c r="C564" s="327"/>
      <c r="D564" s="327"/>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row>
    <row r="565" spans="1:26" ht="11.25" customHeight="1" x14ac:dyDescent="0.2">
      <c r="A565" s="327"/>
      <c r="B565" s="327"/>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row>
    <row r="566" spans="1:26" ht="11.25" customHeight="1" x14ac:dyDescent="0.2">
      <c r="A566" s="327"/>
      <c r="B566" s="327"/>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row>
    <row r="567" spans="1:26" ht="11.25" customHeight="1" x14ac:dyDescent="0.2">
      <c r="A567" s="327"/>
      <c r="B567" s="327"/>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row>
    <row r="568" spans="1:26" ht="11.25" customHeight="1" x14ac:dyDescent="0.2">
      <c r="A568" s="327"/>
      <c r="B568" s="327"/>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row>
    <row r="569" spans="1:26" ht="11.25" customHeight="1" x14ac:dyDescent="0.2">
      <c r="A569" s="327"/>
      <c r="B569" s="327"/>
      <c r="C569" s="327"/>
      <c r="D569" s="327"/>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row>
    <row r="570" spans="1:26" ht="11.25" customHeight="1" x14ac:dyDescent="0.2">
      <c r="A570" s="327"/>
      <c r="B570" s="327"/>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row>
    <row r="571" spans="1:26" ht="11.25" customHeight="1" x14ac:dyDescent="0.2">
      <c r="A571" s="327"/>
      <c r="B571" s="327"/>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row>
    <row r="572" spans="1:26" ht="11.25" customHeight="1" x14ac:dyDescent="0.2">
      <c r="A572" s="327"/>
      <c r="B572" s="327"/>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row>
    <row r="573" spans="1:26" ht="11.25" customHeight="1" x14ac:dyDescent="0.2">
      <c r="A573" s="327"/>
      <c r="B573" s="327"/>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row>
    <row r="574" spans="1:26" ht="11.25" customHeight="1" x14ac:dyDescent="0.2">
      <c r="A574" s="327"/>
      <c r="B574" s="327"/>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row>
    <row r="575" spans="1:26" ht="11.25" customHeight="1" x14ac:dyDescent="0.2">
      <c r="A575" s="327"/>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row>
    <row r="576" spans="1:26" ht="11.25" customHeight="1" x14ac:dyDescent="0.2">
      <c r="A576" s="327"/>
      <c r="B576" s="327"/>
      <c r="C576" s="327"/>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row>
    <row r="577" spans="1:26" ht="11.25" customHeight="1" x14ac:dyDescent="0.2">
      <c r="A577" s="327"/>
      <c r="B577" s="327"/>
      <c r="C577" s="327"/>
      <c r="D577" s="327"/>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row>
    <row r="578" spans="1:26" ht="11.25" customHeight="1" x14ac:dyDescent="0.2">
      <c r="A578" s="327"/>
      <c r="B578" s="327"/>
      <c r="C578" s="327"/>
      <c r="D578" s="327"/>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row>
    <row r="579" spans="1:26" ht="11.25" customHeight="1" x14ac:dyDescent="0.2">
      <c r="A579" s="327"/>
      <c r="B579" s="327"/>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row>
    <row r="580" spans="1:26" ht="11.25" customHeight="1" x14ac:dyDescent="0.2">
      <c r="A580" s="327"/>
      <c r="B580" s="327"/>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row>
    <row r="581" spans="1:26" ht="11.25" customHeight="1" x14ac:dyDescent="0.2">
      <c r="A581" s="327"/>
      <c r="B581" s="327"/>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row>
    <row r="582" spans="1:26" ht="11.25" customHeight="1" x14ac:dyDescent="0.2">
      <c r="A582" s="327"/>
      <c r="B582" s="327"/>
      <c r="C582" s="327"/>
      <c r="D582" s="327"/>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row>
    <row r="583" spans="1:26" ht="11.25" customHeight="1" x14ac:dyDescent="0.2">
      <c r="A583" s="327"/>
      <c r="B583" s="327"/>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row>
    <row r="584" spans="1:26" ht="11.25" customHeight="1" x14ac:dyDescent="0.2">
      <c r="A584" s="327"/>
      <c r="B584" s="327"/>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row>
    <row r="585" spans="1:26" ht="11.25" customHeight="1" x14ac:dyDescent="0.2">
      <c r="A585" s="327"/>
      <c r="B585" s="327"/>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row>
    <row r="586" spans="1:26" ht="11.25" customHeight="1" x14ac:dyDescent="0.2">
      <c r="A586" s="327"/>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row>
    <row r="587" spans="1:26" ht="11.25" customHeight="1" x14ac:dyDescent="0.2">
      <c r="A587" s="327"/>
      <c r="B587" s="327"/>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row>
    <row r="588" spans="1:26" ht="11.25" customHeight="1" x14ac:dyDescent="0.2">
      <c r="A588" s="327"/>
      <c r="B588" s="327"/>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row>
    <row r="589" spans="1:26" ht="11.25" customHeight="1" x14ac:dyDescent="0.2">
      <c r="A589" s="327"/>
      <c r="B589" s="327"/>
      <c r="C589" s="327"/>
      <c r="D589" s="327"/>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row>
    <row r="590" spans="1:26" ht="11.25" customHeight="1" x14ac:dyDescent="0.2">
      <c r="A590" s="327"/>
      <c r="B590" s="327"/>
      <c r="C590" s="327"/>
      <c r="D590" s="327"/>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row>
    <row r="591" spans="1:26" ht="11.25" customHeight="1" x14ac:dyDescent="0.2">
      <c r="A591" s="327"/>
      <c r="B591" s="327"/>
      <c r="C591" s="327"/>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row>
    <row r="592" spans="1:26" ht="11.25" customHeight="1" x14ac:dyDescent="0.2">
      <c r="A592" s="327"/>
      <c r="B592" s="327"/>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row>
    <row r="593" spans="1:26" ht="11.25" customHeight="1" x14ac:dyDescent="0.2">
      <c r="A593" s="327"/>
      <c r="B593" s="327"/>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row>
    <row r="594" spans="1:26" ht="11.25" customHeight="1" x14ac:dyDescent="0.2">
      <c r="A594" s="327"/>
      <c r="B594" s="327"/>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row>
    <row r="595" spans="1:26" ht="11.25" customHeight="1" x14ac:dyDescent="0.2">
      <c r="A595" s="327"/>
      <c r="B595" s="327"/>
      <c r="C595" s="327"/>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row>
    <row r="596" spans="1:26" ht="11.25" customHeight="1" x14ac:dyDescent="0.2">
      <c r="A596" s="327"/>
      <c r="B596" s="327"/>
      <c r="C596" s="327"/>
      <c r="D596" s="327"/>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row>
    <row r="597" spans="1:26" ht="11.25" customHeight="1" x14ac:dyDescent="0.2">
      <c r="A597" s="327"/>
      <c r="B597" s="327"/>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row>
    <row r="598" spans="1:26" ht="11.25" customHeight="1" x14ac:dyDescent="0.2">
      <c r="A598" s="327"/>
      <c r="B598" s="327"/>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row>
    <row r="599" spans="1:26" ht="11.25" customHeight="1" x14ac:dyDescent="0.2">
      <c r="A599" s="327"/>
      <c r="B599" s="327"/>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row>
    <row r="600" spans="1:26" ht="11.25" customHeight="1" x14ac:dyDescent="0.2">
      <c r="A600" s="327"/>
      <c r="B600" s="327"/>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row>
    <row r="601" spans="1:26" ht="11.25" customHeight="1" x14ac:dyDescent="0.2">
      <c r="A601" s="327"/>
      <c r="B601" s="327"/>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row>
    <row r="602" spans="1:26" ht="11.25" customHeight="1" x14ac:dyDescent="0.2">
      <c r="A602" s="327"/>
      <c r="B602" s="327"/>
      <c r="C602" s="327"/>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row>
    <row r="603" spans="1:26" ht="11.25" customHeight="1" x14ac:dyDescent="0.2">
      <c r="A603" s="327"/>
      <c r="B603" s="327"/>
      <c r="C603" s="327"/>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row>
    <row r="604" spans="1:26" ht="11.25" customHeight="1" x14ac:dyDescent="0.2">
      <c r="A604" s="327"/>
      <c r="B604" s="327"/>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row>
    <row r="605" spans="1:26" ht="11.25" customHeight="1" x14ac:dyDescent="0.2">
      <c r="A605" s="327"/>
      <c r="B605" s="327"/>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row>
    <row r="606" spans="1:26" ht="11.25" customHeight="1" x14ac:dyDescent="0.2">
      <c r="A606" s="327"/>
      <c r="B606" s="327"/>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row>
    <row r="607" spans="1:26" ht="11.25" customHeight="1" x14ac:dyDescent="0.2">
      <c r="A607" s="327"/>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row>
    <row r="608" spans="1:26" ht="11.25" customHeight="1" x14ac:dyDescent="0.2">
      <c r="A608" s="327"/>
      <c r="B608" s="327"/>
      <c r="C608" s="327"/>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row>
    <row r="609" spans="1:26" ht="11.25" customHeight="1" x14ac:dyDescent="0.2">
      <c r="A609" s="327"/>
      <c r="B609" s="327"/>
      <c r="C609" s="327"/>
      <c r="D609" s="327"/>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row>
    <row r="610" spans="1:26" ht="11.25" customHeight="1" x14ac:dyDescent="0.2">
      <c r="A610" s="327"/>
      <c r="B610" s="327"/>
      <c r="C610" s="327"/>
      <c r="D610" s="327"/>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row>
    <row r="611" spans="1:26" ht="11.25" customHeight="1" x14ac:dyDescent="0.2">
      <c r="A611" s="327"/>
      <c r="B611" s="327"/>
      <c r="C611" s="327"/>
      <c r="D611" s="327"/>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row>
    <row r="612" spans="1:26" ht="11.25" customHeight="1" x14ac:dyDescent="0.2">
      <c r="A612" s="327"/>
      <c r="B612" s="327"/>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row>
    <row r="613" spans="1:26" ht="11.25" customHeight="1" x14ac:dyDescent="0.2">
      <c r="A613" s="327"/>
      <c r="B613" s="327"/>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row>
    <row r="614" spans="1:26" ht="11.25" customHeight="1" x14ac:dyDescent="0.2">
      <c r="A614" s="327"/>
      <c r="B614" s="327"/>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row>
    <row r="615" spans="1:26" ht="11.25" customHeight="1" x14ac:dyDescent="0.2">
      <c r="A615" s="327"/>
      <c r="B615" s="327"/>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row>
    <row r="616" spans="1:26" ht="11.25" customHeight="1" x14ac:dyDescent="0.2">
      <c r="A616" s="327"/>
      <c r="B616" s="327"/>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row>
    <row r="617" spans="1:26" ht="11.25" customHeight="1" x14ac:dyDescent="0.2">
      <c r="A617" s="327"/>
      <c r="B617" s="327"/>
      <c r="C617" s="327"/>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row>
    <row r="618" spans="1:26" ht="11.25" customHeight="1" x14ac:dyDescent="0.2">
      <c r="A618" s="327"/>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row>
    <row r="619" spans="1:26" ht="11.25" customHeight="1" x14ac:dyDescent="0.2">
      <c r="A619" s="327"/>
      <c r="B619" s="327"/>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row>
    <row r="620" spans="1:26" ht="11.25" customHeight="1" x14ac:dyDescent="0.2">
      <c r="A620" s="327"/>
      <c r="B620" s="327"/>
      <c r="C620" s="327"/>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row>
    <row r="621" spans="1:26" ht="11.25" customHeight="1" x14ac:dyDescent="0.2">
      <c r="A621" s="327"/>
      <c r="B621" s="327"/>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row>
    <row r="622" spans="1:26" ht="11.25" customHeight="1" x14ac:dyDescent="0.2">
      <c r="A622" s="327"/>
      <c r="B622" s="327"/>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row>
    <row r="623" spans="1:26" ht="11.25" customHeight="1" x14ac:dyDescent="0.2">
      <c r="A623" s="327"/>
      <c r="B623" s="327"/>
      <c r="C623" s="327"/>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row>
    <row r="624" spans="1:26" ht="11.25" customHeight="1" x14ac:dyDescent="0.2">
      <c r="A624" s="327"/>
      <c r="B624" s="327"/>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row>
    <row r="625" spans="1:26" ht="11.25" customHeight="1" x14ac:dyDescent="0.2">
      <c r="A625" s="327"/>
      <c r="B625" s="327"/>
      <c r="C625" s="327"/>
      <c r="D625" s="327"/>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row>
    <row r="626" spans="1:26" ht="11.25" customHeight="1" x14ac:dyDescent="0.2">
      <c r="A626" s="327"/>
      <c r="B626" s="327"/>
      <c r="C626" s="327"/>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row>
    <row r="627" spans="1:26" ht="11.25" customHeight="1" x14ac:dyDescent="0.2">
      <c r="A627" s="327"/>
      <c r="B627" s="327"/>
      <c r="C627" s="327"/>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row>
    <row r="628" spans="1:26" ht="11.25" customHeight="1" x14ac:dyDescent="0.2">
      <c r="A628" s="327"/>
      <c r="B628" s="327"/>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row>
    <row r="629" spans="1:26" ht="11.25" customHeight="1" x14ac:dyDescent="0.2">
      <c r="A629" s="327"/>
      <c r="B629" s="327"/>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row>
    <row r="630" spans="1:26" ht="11.25" customHeight="1" x14ac:dyDescent="0.2">
      <c r="A630" s="327"/>
      <c r="B630" s="327"/>
      <c r="C630" s="327"/>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row>
    <row r="631" spans="1:26" ht="11.25" customHeight="1" x14ac:dyDescent="0.2">
      <c r="A631" s="327"/>
      <c r="B631" s="327"/>
      <c r="C631" s="327"/>
      <c r="D631" s="327"/>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row>
    <row r="632" spans="1:26" ht="11.25" customHeight="1" x14ac:dyDescent="0.2">
      <c r="A632" s="327"/>
      <c r="B632" s="327"/>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row>
    <row r="633" spans="1:26" ht="11.25" customHeight="1" x14ac:dyDescent="0.2">
      <c r="A633" s="327"/>
      <c r="B633" s="327"/>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row>
    <row r="634" spans="1:26" ht="11.25" customHeight="1" x14ac:dyDescent="0.2">
      <c r="A634" s="327"/>
      <c r="B634" s="327"/>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row>
    <row r="635" spans="1:26" ht="11.25" customHeight="1" x14ac:dyDescent="0.2">
      <c r="A635" s="327"/>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row>
    <row r="636" spans="1:26" ht="11.25" customHeight="1" x14ac:dyDescent="0.2">
      <c r="A636" s="327"/>
      <c r="B636" s="327"/>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row>
    <row r="637" spans="1:26" ht="11.25" customHeight="1" x14ac:dyDescent="0.2">
      <c r="A637" s="327"/>
      <c r="B637" s="327"/>
      <c r="C637" s="327"/>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row>
    <row r="638" spans="1:26" ht="11.25" customHeight="1" x14ac:dyDescent="0.2">
      <c r="A638" s="327"/>
      <c r="B638" s="327"/>
      <c r="C638" s="327"/>
      <c r="D638" s="327"/>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row>
    <row r="639" spans="1:26" ht="11.25" customHeight="1" x14ac:dyDescent="0.2">
      <c r="A639" s="327"/>
      <c r="B639" s="327"/>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row>
    <row r="640" spans="1:26" ht="11.25" customHeight="1" x14ac:dyDescent="0.2">
      <c r="A640" s="327"/>
      <c r="B640" s="327"/>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row>
    <row r="641" spans="1:26" ht="11.25" customHeight="1" x14ac:dyDescent="0.2">
      <c r="A641" s="327"/>
      <c r="B641" s="327"/>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row>
    <row r="642" spans="1:26" ht="11.25" customHeight="1" x14ac:dyDescent="0.2">
      <c r="A642" s="327"/>
      <c r="B642" s="327"/>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row>
    <row r="643" spans="1:26" ht="11.25" customHeight="1" x14ac:dyDescent="0.2">
      <c r="A643" s="327"/>
      <c r="B643" s="327"/>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row>
    <row r="644" spans="1:26" ht="11.25" customHeight="1" x14ac:dyDescent="0.2">
      <c r="A644" s="327"/>
      <c r="B644" s="327"/>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row>
    <row r="645" spans="1:26" ht="11.25" customHeight="1" x14ac:dyDescent="0.2">
      <c r="A645" s="327"/>
      <c r="B645" s="327"/>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row>
    <row r="646" spans="1:26" ht="11.25" customHeight="1" x14ac:dyDescent="0.2">
      <c r="A646" s="327"/>
      <c r="B646" s="327"/>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row>
    <row r="647" spans="1:26" ht="11.25" customHeight="1" x14ac:dyDescent="0.2">
      <c r="A647" s="327"/>
      <c r="B647" s="327"/>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row>
    <row r="648" spans="1:26" ht="11.25" customHeight="1" x14ac:dyDescent="0.2">
      <c r="A648" s="327"/>
      <c r="B648" s="327"/>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row>
    <row r="649" spans="1:26" ht="11.25" customHeight="1" x14ac:dyDescent="0.2">
      <c r="A649" s="327"/>
      <c r="B649" s="327"/>
      <c r="C649" s="327"/>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row>
    <row r="650" spans="1:26" ht="11.25" customHeight="1" x14ac:dyDescent="0.2">
      <c r="A650" s="327"/>
      <c r="B650" s="327"/>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row>
    <row r="651" spans="1:26" ht="11.25" customHeight="1" x14ac:dyDescent="0.2">
      <c r="A651" s="327"/>
      <c r="B651" s="327"/>
      <c r="C651" s="327"/>
      <c r="D651" s="327"/>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row>
    <row r="652" spans="1:26" ht="11.25" customHeight="1" x14ac:dyDescent="0.2">
      <c r="A652" s="327"/>
      <c r="B652" s="327"/>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row>
    <row r="653" spans="1:26" ht="11.25" customHeight="1" x14ac:dyDescent="0.2">
      <c r="A653" s="327"/>
      <c r="B653" s="327"/>
      <c r="C653" s="327"/>
      <c r="D653" s="327"/>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row>
    <row r="654" spans="1:26" ht="11.25" customHeight="1" x14ac:dyDescent="0.2">
      <c r="A654" s="327"/>
      <c r="B654" s="327"/>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row>
    <row r="655" spans="1:26" ht="11.25" customHeight="1" x14ac:dyDescent="0.2">
      <c r="A655" s="327"/>
      <c r="B655" s="327"/>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row>
    <row r="656" spans="1:26" ht="11.25" customHeight="1" x14ac:dyDescent="0.2">
      <c r="A656" s="327"/>
      <c r="B656" s="327"/>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row>
    <row r="657" spans="1:26" ht="11.25" customHeight="1" x14ac:dyDescent="0.2">
      <c r="A657" s="327"/>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row>
    <row r="658" spans="1:26" ht="11.25" customHeight="1" x14ac:dyDescent="0.2">
      <c r="A658" s="327"/>
      <c r="B658" s="327"/>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row>
    <row r="659" spans="1:26" ht="11.25" customHeight="1" x14ac:dyDescent="0.2">
      <c r="A659" s="327"/>
      <c r="B659" s="327"/>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row>
    <row r="660" spans="1:26" ht="11.25" customHeight="1" x14ac:dyDescent="0.2">
      <c r="A660" s="327"/>
      <c r="B660" s="327"/>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row>
    <row r="661" spans="1:26" ht="11.25" customHeight="1" x14ac:dyDescent="0.2">
      <c r="A661" s="327"/>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row>
    <row r="662" spans="1:26" ht="11.25" customHeight="1" x14ac:dyDescent="0.2">
      <c r="A662" s="327"/>
      <c r="B662" s="327"/>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row>
    <row r="663" spans="1:26" ht="11.25" customHeight="1" x14ac:dyDescent="0.2">
      <c r="A663" s="327"/>
      <c r="B663" s="327"/>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row>
    <row r="664" spans="1:26" ht="11.25" customHeight="1" x14ac:dyDescent="0.2">
      <c r="A664" s="327"/>
      <c r="B664" s="327"/>
      <c r="C664" s="327"/>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row>
    <row r="665" spans="1:26" ht="11.25" customHeight="1" x14ac:dyDescent="0.2">
      <c r="A665" s="327"/>
      <c r="B665" s="327"/>
      <c r="C665" s="327"/>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row>
    <row r="666" spans="1:26" ht="11.25" customHeight="1" x14ac:dyDescent="0.2">
      <c r="A666" s="327"/>
      <c r="B666" s="327"/>
      <c r="C666" s="327"/>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row>
    <row r="667" spans="1:26" ht="11.25" customHeight="1" x14ac:dyDescent="0.2">
      <c r="A667" s="327"/>
      <c r="B667" s="327"/>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row>
    <row r="668" spans="1:26" ht="11.25" customHeight="1" x14ac:dyDescent="0.2">
      <c r="A668" s="327"/>
      <c r="B668" s="327"/>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row>
    <row r="669" spans="1:26" ht="11.25" customHeight="1" x14ac:dyDescent="0.2">
      <c r="A669" s="327"/>
      <c r="B669" s="327"/>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row>
    <row r="670" spans="1:26" ht="11.25" customHeight="1" x14ac:dyDescent="0.2">
      <c r="A670" s="327"/>
      <c r="B670" s="327"/>
      <c r="C670" s="327"/>
      <c r="D670" s="327"/>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row>
    <row r="671" spans="1:26" ht="11.25" customHeight="1" x14ac:dyDescent="0.2">
      <c r="A671" s="327"/>
      <c r="B671" s="327"/>
      <c r="C671" s="327"/>
      <c r="D671" s="327"/>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row>
    <row r="672" spans="1:26" ht="11.25" customHeight="1" x14ac:dyDescent="0.2">
      <c r="A672" s="327"/>
      <c r="B672" s="327"/>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row>
    <row r="673" spans="1:26" ht="11.25" customHeight="1" x14ac:dyDescent="0.2">
      <c r="A673" s="327"/>
      <c r="B673" s="327"/>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row>
    <row r="674" spans="1:26" ht="11.25" customHeight="1" x14ac:dyDescent="0.2">
      <c r="A674" s="327"/>
      <c r="B674" s="327"/>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row>
    <row r="675" spans="1:26" ht="11.25" customHeight="1" x14ac:dyDescent="0.2">
      <c r="A675" s="327"/>
      <c r="B675" s="327"/>
      <c r="C675" s="327"/>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row>
    <row r="676" spans="1:26" ht="11.25" customHeight="1" x14ac:dyDescent="0.2">
      <c r="A676" s="327"/>
      <c r="B676" s="327"/>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row>
    <row r="677" spans="1:26" ht="11.25" customHeight="1" x14ac:dyDescent="0.2">
      <c r="A677" s="327"/>
      <c r="B677" s="327"/>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row>
    <row r="678" spans="1:26" ht="11.25" customHeight="1" x14ac:dyDescent="0.2">
      <c r="A678" s="327"/>
      <c r="B678" s="327"/>
      <c r="C678" s="327"/>
      <c r="D678" s="327"/>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row>
    <row r="679" spans="1:26" ht="11.25" customHeight="1" x14ac:dyDescent="0.2">
      <c r="A679" s="327"/>
      <c r="B679" s="327"/>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row>
    <row r="680" spans="1:26" ht="11.25" customHeight="1" x14ac:dyDescent="0.2">
      <c r="A680" s="327"/>
      <c r="B680" s="327"/>
      <c r="C680" s="327"/>
      <c r="D680" s="327"/>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row>
    <row r="681" spans="1:26" ht="11.25" customHeight="1" x14ac:dyDescent="0.2">
      <c r="A681" s="327"/>
      <c r="B681" s="327"/>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row>
    <row r="682" spans="1:26" ht="11.25" customHeight="1" x14ac:dyDescent="0.2">
      <c r="A682" s="327"/>
      <c r="B682" s="327"/>
      <c r="C682" s="327"/>
      <c r="D682" s="327"/>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row>
    <row r="683" spans="1:26" ht="11.25" customHeight="1" x14ac:dyDescent="0.2">
      <c r="A683" s="327"/>
      <c r="B683" s="327"/>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row>
    <row r="684" spans="1:26" ht="11.25" customHeight="1" x14ac:dyDescent="0.2">
      <c r="A684" s="327"/>
      <c r="B684" s="327"/>
      <c r="C684" s="327"/>
      <c r="D684" s="327"/>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row>
    <row r="685" spans="1:26" ht="11.25" customHeight="1" x14ac:dyDescent="0.2">
      <c r="A685" s="327"/>
      <c r="B685" s="327"/>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row>
    <row r="686" spans="1:26" ht="11.25" customHeight="1" x14ac:dyDescent="0.2">
      <c r="A686" s="327"/>
      <c r="B686" s="327"/>
      <c r="C686" s="327"/>
      <c r="D686" s="327"/>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row>
    <row r="687" spans="1:26" ht="11.25" customHeight="1" x14ac:dyDescent="0.2">
      <c r="A687" s="327"/>
      <c r="B687" s="327"/>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row>
    <row r="688" spans="1:26" ht="11.25" customHeight="1" x14ac:dyDescent="0.2">
      <c r="A688" s="327"/>
      <c r="B688" s="327"/>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row>
    <row r="689" spans="1:26" ht="11.25" customHeight="1" x14ac:dyDescent="0.2">
      <c r="A689" s="327"/>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row>
    <row r="690" spans="1:26" ht="11.25" customHeight="1" x14ac:dyDescent="0.2">
      <c r="A690" s="327"/>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row>
    <row r="691" spans="1:26" ht="11.25" customHeight="1" x14ac:dyDescent="0.2">
      <c r="A691" s="327"/>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row>
    <row r="692" spans="1:26" ht="11.25" customHeight="1" x14ac:dyDescent="0.2">
      <c r="A692" s="327"/>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row>
    <row r="693" spans="1:26" ht="11.25" customHeight="1" x14ac:dyDescent="0.2">
      <c r="A693" s="327"/>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row>
    <row r="694" spans="1:26" ht="11.25" customHeight="1" x14ac:dyDescent="0.2">
      <c r="A694" s="327"/>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row>
    <row r="695" spans="1:26" ht="11.25" customHeight="1" x14ac:dyDescent="0.2">
      <c r="A695" s="327"/>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row>
    <row r="696" spans="1:26" ht="11.25" customHeight="1" x14ac:dyDescent="0.2">
      <c r="A696" s="327"/>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row>
    <row r="697" spans="1:26" ht="11.25" customHeight="1" x14ac:dyDescent="0.2">
      <c r="A697" s="327"/>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row>
    <row r="698" spans="1:26" ht="11.25" customHeight="1" x14ac:dyDescent="0.2">
      <c r="A698" s="327"/>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row>
    <row r="699" spans="1:26" ht="11.25" customHeight="1" x14ac:dyDescent="0.2">
      <c r="A699" s="327"/>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row>
    <row r="700" spans="1:26" ht="11.25" customHeight="1" x14ac:dyDescent="0.2">
      <c r="A700" s="327"/>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row>
    <row r="701" spans="1:26" ht="11.25" customHeight="1" x14ac:dyDescent="0.2">
      <c r="A701" s="327"/>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row>
    <row r="702" spans="1:26" ht="11.25" customHeight="1" x14ac:dyDescent="0.2">
      <c r="A702" s="327"/>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row>
    <row r="703" spans="1:26" ht="11.25" customHeight="1" x14ac:dyDescent="0.2">
      <c r="A703" s="327"/>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row>
    <row r="704" spans="1:26" ht="11.25" customHeight="1" x14ac:dyDescent="0.2">
      <c r="A704" s="327"/>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row>
    <row r="705" spans="1:26" ht="11.25" customHeight="1" x14ac:dyDescent="0.2">
      <c r="A705" s="327"/>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row>
    <row r="706" spans="1:26" ht="11.25" customHeight="1" x14ac:dyDescent="0.2">
      <c r="A706" s="327"/>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row>
    <row r="707" spans="1:26" ht="11.25" customHeight="1" x14ac:dyDescent="0.2">
      <c r="A707" s="327"/>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row>
    <row r="708" spans="1:26" ht="11.25" customHeight="1" x14ac:dyDescent="0.2">
      <c r="A708" s="327"/>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row>
    <row r="709" spans="1:26" ht="11.25" customHeight="1" x14ac:dyDescent="0.2">
      <c r="A709" s="327"/>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row>
    <row r="710" spans="1:26" ht="11.25" customHeight="1" x14ac:dyDescent="0.2">
      <c r="A710" s="327"/>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row>
    <row r="711" spans="1:26" ht="11.25" customHeight="1" x14ac:dyDescent="0.2">
      <c r="A711" s="327"/>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row>
    <row r="712" spans="1:26" ht="11.25" customHeight="1" x14ac:dyDescent="0.2">
      <c r="A712" s="327"/>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row>
    <row r="713" spans="1:26" ht="11.25" customHeight="1" x14ac:dyDescent="0.2">
      <c r="A713" s="327"/>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row>
    <row r="714" spans="1:26" ht="11.25" customHeight="1" x14ac:dyDescent="0.2">
      <c r="A714" s="327"/>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row>
    <row r="715" spans="1:26" ht="11.25" customHeight="1" x14ac:dyDescent="0.2">
      <c r="A715" s="327"/>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row>
    <row r="716" spans="1:26" ht="11.25" customHeight="1" x14ac:dyDescent="0.2">
      <c r="A716" s="327"/>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row>
    <row r="717" spans="1:26" ht="11.25" customHeight="1" x14ac:dyDescent="0.2">
      <c r="A717" s="327"/>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row>
    <row r="718" spans="1:26" ht="11.25" customHeight="1" x14ac:dyDescent="0.2">
      <c r="A718" s="327"/>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row>
    <row r="719" spans="1:26" ht="11.25" customHeight="1" x14ac:dyDescent="0.2">
      <c r="A719" s="327"/>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row>
    <row r="720" spans="1:26" ht="11.25" customHeight="1" x14ac:dyDescent="0.2">
      <c r="A720" s="327"/>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row>
    <row r="721" spans="1:26" ht="11.25" customHeight="1" x14ac:dyDescent="0.2">
      <c r="A721" s="327"/>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row>
    <row r="722" spans="1:26" ht="11.25" customHeight="1" x14ac:dyDescent="0.2">
      <c r="A722" s="327"/>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row>
    <row r="723" spans="1:26" ht="11.25" customHeight="1" x14ac:dyDescent="0.2">
      <c r="A723" s="327"/>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row>
    <row r="724" spans="1:26" ht="11.25" customHeight="1" x14ac:dyDescent="0.2">
      <c r="A724" s="327"/>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row>
    <row r="725" spans="1:26" ht="11.25" customHeight="1" x14ac:dyDescent="0.2">
      <c r="A725" s="327"/>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row>
    <row r="726" spans="1:26" ht="11.25" customHeight="1" x14ac:dyDescent="0.2">
      <c r="A726" s="327"/>
      <c r="B726" s="327"/>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row>
    <row r="727" spans="1:26" ht="11.25" customHeight="1" x14ac:dyDescent="0.2">
      <c r="A727" s="327"/>
      <c r="B727" s="327"/>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row>
    <row r="728" spans="1:26" ht="11.25" customHeight="1" x14ac:dyDescent="0.2">
      <c r="A728" s="327"/>
      <c r="B728" s="327"/>
      <c r="C728" s="327"/>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row>
    <row r="729" spans="1:26" ht="11.25" customHeight="1" x14ac:dyDescent="0.2">
      <c r="A729" s="327"/>
      <c r="B729" s="327"/>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row>
    <row r="730" spans="1:26" ht="11.25" customHeight="1" x14ac:dyDescent="0.2">
      <c r="A730" s="327"/>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row>
    <row r="731" spans="1:26" ht="11.25" customHeight="1" x14ac:dyDescent="0.2">
      <c r="A731" s="327"/>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row>
    <row r="732" spans="1:26" ht="11.25" customHeight="1" x14ac:dyDescent="0.2">
      <c r="A732" s="327"/>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row>
    <row r="733" spans="1:26" ht="11.25" customHeight="1" x14ac:dyDescent="0.2">
      <c r="A733" s="327"/>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row>
    <row r="734" spans="1:26" ht="11.25" customHeight="1" x14ac:dyDescent="0.2">
      <c r="A734" s="327"/>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row>
    <row r="735" spans="1:26" ht="11.25" customHeight="1" x14ac:dyDescent="0.2">
      <c r="A735" s="327"/>
      <c r="B735" s="327"/>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row>
    <row r="736" spans="1:26" ht="11.25" customHeight="1" x14ac:dyDescent="0.2">
      <c r="A736" s="327"/>
      <c r="B736" s="327"/>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row>
    <row r="737" spans="1:26" ht="11.25" customHeight="1" x14ac:dyDescent="0.2">
      <c r="A737" s="327"/>
      <c r="B737" s="327"/>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row>
    <row r="738" spans="1:26" ht="11.25" customHeight="1" x14ac:dyDescent="0.2">
      <c r="A738" s="327"/>
      <c r="B738" s="327"/>
      <c r="C738" s="327"/>
      <c r="D738" s="327"/>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row>
    <row r="739" spans="1:26" ht="11.25" customHeight="1" x14ac:dyDescent="0.2">
      <c r="A739" s="327"/>
      <c r="B739" s="327"/>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row>
    <row r="740" spans="1:26" ht="11.25" customHeight="1" x14ac:dyDescent="0.2">
      <c r="A740" s="327"/>
      <c r="B740" s="327"/>
      <c r="C740" s="327"/>
      <c r="D740" s="327"/>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row>
    <row r="741" spans="1:26" ht="11.25" customHeight="1" x14ac:dyDescent="0.2">
      <c r="A741" s="327"/>
      <c r="B741" s="327"/>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row>
    <row r="742" spans="1:26" ht="11.25" customHeight="1" x14ac:dyDescent="0.2">
      <c r="A742" s="327"/>
      <c r="B742" s="327"/>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row>
    <row r="743" spans="1:26" ht="11.25" customHeight="1" x14ac:dyDescent="0.2">
      <c r="A743" s="327"/>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row>
    <row r="744" spans="1:26" ht="11.25" customHeight="1" x14ac:dyDescent="0.2">
      <c r="A744" s="327"/>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row>
    <row r="745" spans="1:26" ht="11.25" customHeight="1" x14ac:dyDescent="0.2">
      <c r="A745" s="327"/>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row>
    <row r="746" spans="1:26" ht="11.25" customHeight="1" x14ac:dyDescent="0.2">
      <c r="A746" s="327"/>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row>
    <row r="747" spans="1:26" ht="11.25" customHeight="1" x14ac:dyDescent="0.2">
      <c r="A747" s="327"/>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row>
    <row r="748" spans="1:26" ht="11.25" customHeight="1" x14ac:dyDescent="0.2">
      <c r="A748" s="327"/>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row>
    <row r="749" spans="1:26" ht="11.25" customHeight="1" x14ac:dyDescent="0.2">
      <c r="A749" s="327"/>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row>
    <row r="750" spans="1:26" ht="11.25" customHeight="1" x14ac:dyDescent="0.2">
      <c r="A750" s="327"/>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row>
    <row r="751" spans="1:26" ht="11.25" customHeight="1" x14ac:dyDescent="0.2">
      <c r="A751" s="327"/>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row>
    <row r="752" spans="1:26" ht="11.25" customHeight="1" x14ac:dyDescent="0.2">
      <c r="A752" s="327"/>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row>
    <row r="753" spans="1:26" ht="11.25" customHeight="1" x14ac:dyDescent="0.2">
      <c r="A753" s="327"/>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row>
    <row r="754" spans="1:26" ht="11.25" customHeight="1" x14ac:dyDescent="0.2">
      <c r="A754" s="327"/>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row>
    <row r="755" spans="1:26" ht="11.25" customHeight="1" x14ac:dyDescent="0.2">
      <c r="A755" s="327"/>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row>
    <row r="756" spans="1:26" ht="11.25" customHeight="1" x14ac:dyDescent="0.2">
      <c r="A756" s="327"/>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row>
    <row r="757" spans="1:26" ht="11.25" customHeight="1" x14ac:dyDescent="0.2">
      <c r="A757" s="327"/>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row>
    <row r="758" spans="1:26" ht="11.25" customHeight="1" x14ac:dyDescent="0.2">
      <c r="A758" s="327"/>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row>
    <row r="759" spans="1:26" ht="11.25" customHeight="1" x14ac:dyDescent="0.2">
      <c r="A759" s="327"/>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row>
    <row r="760" spans="1:26" ht="11.25" customHeight="1" x14ac:dyDescent="0.2">
      <c r="A760" s="327"/>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row>
    <row r="761" spans="1:26" ht="11.25" customHeight="1" x14ac:dyDescent="0.2">
      <c r="A761" s="327"/>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row>
    <row r="762" spans="1:26" ht="11.25" customHeight="1" x14ac:dyDescent="0.2">
      <c r="A762" s="327"/>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row>
    <row r="763" spans="1:26" ht="11.25" customHeight="1" x14ac:dyDescent="0.2">
      <c r="A763" s="327"/>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row>
    <row r="764" spans="1:26" ht="11.25" customHeight="1" x14ac:dyDescent="0.2">
      <c r="A764" s="327"/>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row>
    <row r="765" spans="1:26" ht="11.25" customHeight="1" x14ac:dyDescent="0.2">
      <c r="A765" s="327"/>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row>
    <row r="766" spans="1:26" ht="11.25" customHeight="1" x14ac:dyDescent="0.2">
      <c r="A766" s="327"/>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row>
    <row r="767" spans="1:26" ht="11.25" customHeight="1" x14ac:dyDescent="0.2">
      <c r="A767" s="327"/>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row>
    <row r="768" spans="1:26" ht="11.25" customHeight="1" x14ac:dyDescent="0.2">
      <c r="A768" s="327"/>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row>
    <row r="769" spans="1:26" ht="11.25" customHeight="1" x14ac:dyDescent="0.2">
      <c r="A769" s="327"/>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row>
    <row r="770" spans="1:26" ht="11.25" customHeight="1" x14ac:dyDescent="0.2">
      <c r="A770" s="327"/>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row>
    <row r="771" spans="1:26" ht="11.25" customHeight="1" x14ac:dyDescent="0.2">
      <c r="A771" s="327"/>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row>
    <row r="772" spans="1:26" ht="11.25" customHeight="1" x14ac:dyDescent="0.2">
      <c r="A772" s="327"/>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row>
    <row r="773" spans="1:26" ht="11.25" customHeight="1" x14ac:dyDescent="0.2">
      <c r="A773" s="327"/>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row>
    <row r="774" spans="1:26" ht="11.25" customHeight="1" x14ac:dyDescent="0.2">
      <c r="A774" s="327"/>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row>
    <row r="775" spans="1:26" ht="11.25" customHeight="1" x14ac:dyDescent="0.2">
      <c r="A775" s="327"/>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row>
    <row r="776" spans="1:26" ht="11.25" customHeight="1" x14ac:dyDescent="0.2">
      <c r="A776" s="327"/>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row>
    <row r="777" spans="1:26" ht="11.25" customHeight="1" x14ac:dyDescent="0.2">
      <c r="A777" s="327"/>
      <c r="B777" s="327"/>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row>
    <row r="778" spans="1:26" ht="11.25" customHeight="1" x14ac:dyDescent="0.2">
      <c r="A778" s="327"/>
      <c r="B778" s="327"/>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row>
    <row r="779" spans="1:26" ht="11.25" customHeight="1" x14ac:dyDescent="0.2">
      <c r="A779" s="327"/>
      <c r="B779" s="327"/>
      <c r="C779" s="327"/>
      <c r="D779" s="327"/>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row>
    <row r="780" spans="1:26" ht="11.25" customHeight="1" x14ac:dyDescent="0.2">
      <c r="A780" s="327"/>
      <c r="B780" s="327"/>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row>
    <row r="781" spans="1:26" ht="11.25" customHeight="1" x14ac:dyDescent="0.2">
      <c r="A781" s="327"/>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row>
    <row r="782" spans="1:26" ht="11.25" customHeight="1" x14ac:dyDescent="0.2">
      <c r="A782" s="327"/>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row>
    <row r="783" spans="1:26" ht="11.25" customHeight="1" x14ac:dyDescent="0.2">
      <c r="A783" s="327"/>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row>
    <row r="784" spans="1:26" ht="11.25" customHeight="1" x14ac:dyDescent="0.2">
      <c r="A784" s="327"/>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row>
    <row r="785" spans="1:26" ht="11.25" customHeight="1" x14ac:dyDescent="0.2">
      <c r="A785" s="327"/>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row>
    <row r="786" spans="1:26" ht="11.25" customHeight="1" x14ac:dyDescent="0.2">
      <c r="A786" s="327"/>
      <c r="B786" s="327"/>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row>
    <row r="787" spans="1:26" ht="11.25" customHeight="1" x14ac:dyDescent="0.2">
      <c r="A787" s="327"/>
      <c r="B787" s="327"/>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row>
    <row r="788" spans="1:26" ht="11.25" customHeight="1" x14ac:dyDescent="0.2">
      <c r="A788" s="327"/>
      <c r="B788" s="327"/>
      <c r="C788" s="327"/>
      <c r="D788" s="327"/>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row>
    <row r="789" spans="1:26" ht="11.25" customHeight="1" x14ac:dyDescent="0.2">
      <c r="A789" s="327"/>
      <c r="B789" s="327"/>
      <c r="C789" s="327"/>
      <c r="D789" s="327"/>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row>
    <row r="790" spans="1:26" ht="11.25" customHeight="1" x14ac:dyDescent="0.2">
      <c r="A790" s="327"/>
      <c r="B790" s="327"/>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row>
    <row r="791" spans="1:26" ht="11.25" customHeight="1" x14ac:dyDescent="0.2">
      <c r="A791" s="327"/>
      <c r="B791" s="327"/>
      <c r="C791" s="327"/>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row>
    <row r="792" spans="1:26" ht="11.25" customHeight="1" x14ac:dyDescent="0.2">
      <c r="A792" s="327"/>
      <c r="B792" s="327"/>
      <c r="C792" s="327"/>
      <c r="D792" s="327"/>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row>
    <row r="793" spans="1:26" ht="11.25" customHeight="1" x14ac:dyDescent="0.2">
      <c r="A793" s="327"/>
      <c r="B793" s="327"/>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row>
    <row r="794" spans="1:26" ht="11.25" customHeight="1" x14ac:dyDescent="0.2">
      <c r="A794" s="327"/>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row>
    <row r="795" spans="1:26" ht="11.25" customHeight="1" x14ac:dyDescent="0.2">
      <c r="A795" s="327"/>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row>
    <row r="796" spans="1:26" ht="11.25" customHeight="1" x14ac:dyDescent="0.2">
      <c r="A796" s="327"/>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row>
    <row r="797" spans="1:26" ht="11.25" customHeight="1" x14ac:dyDescent="0.2">
      <c r="A797" s="327"/>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row>
    <row r="798" spans="1:26" ht="11.25" customHeight="1" x14ac:dyDescent="0.2">
      <c r="A798" s="327"/>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row>
    <row r="799" spans="1:26" ht="11.25" customHeight="1" x14ac:dyDescent="0.2">
      <c r="A799" s="327"/>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row>
    <row r="800" spans="1:26" ht="11.25" customHeight="1" x14ac:dyDescent="0.2">
      <c r="A800" s="327"/>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row>
    <row r="801" spans="1:26" ht="11.25" customHeight="1" x14ac:dyDescent="0.2">
      <c r="A801" s="327"/>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row>
    <row r="802" spans="1:26" ht="11.25" customHeight="1" x14ac:dyDescent="0.2">
      <c r="A802" s="327"/>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row>
    <row r="803" spans="1:26" ht="11.25" customHeight="1" x14ac:dyDescent="0.2">
      <c r="A803" s="327"/>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row>
    <row r="804" spans="1:26" ht="11.25" customHeight="1" x14ac:dyDescent="0.2">
      <c r="A804" s="327"/>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row>
    <row r="805" spans="1:26" ht="11.25" customHeight="1" x14ac:dyDescent="0.2">
      <c r="A805" s="327"/>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row>
    <row r="806" spans="1:26" ht="11.25" customHeight="1" x14ac:dyDescent="0.2">
      <c r="A806" s="327"/>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row>
    <row r="807" spans="1:26" ht="11.25" customHeight="1" x14ac:dyDescent="0.2">
      <c r="A807" s="327"/>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row>
    <row r="808" spans="1:26" ht="11.25" customHeight="1" x14ac:dyDescent="0.2">
      <c r="A808" s="327"/>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row>
    <row r="809" spans="1:26" ht="11.25" customHeight="1" x14ac:dyDescent="0.2">
      <c r="A809" s="327"/>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row>
    <row r="810" spans="1:26" ht="11.25" customHeight="1" x14ac:dyDescent="0.2">
      <c r="A810" s="327"/>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row>
    <row r="811" spans="1:26" ht="11.25" customHeight="1" x14ac:dyDescent="0.2">
      <c r="A811" s="327"/>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row>
    <row r="812" spans="1:26" ht="11.25" customHeight="1" x14ac:dyDescent="0.2">
      <c r="A812" s="327"/>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row>
    <row r="813" spans="1:26" ht="11.25" customHeight="1" x14ac:dyDescent="0.2">
      <c r="A813" s="327"/>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row>
    <row r="814" spans="1:26" ht="11.25" customHeight="1" x14ac:dyDescent="0.2">
      <c r="A814" s="327"/>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row>
    <row r="815" spans="1:26" ht="11.25" customHeight="1" x14ac:dyDescent="0.2">
      <c r="A815" s="327"/>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row>
    <row r="816" spans="1:26" ht="11.25" customHeight="1" x14ac:dyDescent="0.2">
      <c r="A816" s="327"/>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row>
    <row r="817" spans="1:26" ht="11.25" customHeight="1" x14ac:dyDescent="0.2">
      <c r="A817" s="327"/>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row>
    <row r="818" spans="1:26" ht="11.25" customHeight="1" x14ac:dyDescent="0.2">
      <c r="A818" s="327"/>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row>
    <row r="819" spans="1:26" ht="11.25" customHeight="1" x14ac:dyDescent="0.2">
      <c r="A819" s="327"/>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row>
    <row r="820" spans="1:26" ht="11.25" customHeight="1" x14ac:dyDescent="0.2">
      <c r="A820" s="327"/>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row>
    <row r="821" spans="1:26" ht="11.25" customHeight="1" x14ac:dyDescent="0.2">
      <c r="A821" s="327"/>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row>
    <row r="822" spans="1:26" ht="11.25" customHeight="1" x14ac:dyDescent="0.2">
      <c r="A822" s="327"/>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row>
    <row r="823" spans="1:26" ht="11.25" customHeight="1" x14ac:dyDescent="0.2">
      <c r="A823" s="327"/>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row>
    <row r="824" spans="1:26" ht="11.25" customHeight="1" x14ac:dyDescent="0.2">
      <c r="A824" s="327"/>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row>
    <row r="825" spans="1:26" ht="11.25" customHeight="1" x14ac:dyDescent="0.2">
      <c r="A825" s="327"/>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row>
    <row r="826" spans="1:26" ht="11.25" customHeight="1" x14ac:dyDescent="0.2">
      <c r="A826" s="327"/>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row>
    <row r="827" spans="1:26" ht="11.25" customHeight="1" x14ac:dyDescent="0.2">
      <c r="A827" s="327"/>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row>
    <row r="828" spans="1:26" ht="11.25" customHeight="1" x14ac:dyDescent="0.2">
      <c r="A828" s="327"/>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row>
    <row r="829" spans="1:26" ht="11.25" customHeight="1" x14ac:dyDescent="0.2">
      <c r="A829" s="327"/>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row>
    <row r="830" spans="1:26" ht="11.25" customHeight="1" x14ac:dyDescent="0.2">
      <c r="A830" s="327"/>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row>
    <row r="831" spans="1:26" ht="11.25" customHeight="1" x14ac:dyDescent="0.2">
      <c r="A831" s="327"/>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row>
    <row r="832" spans="1:26" ht="11.25" customHeight="1" x14ac:dyDescent="0.2">
      <c r="A832" s="327"/>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row>
    <row r="833" spans="1:26" ht="11.25" customHeight="1" x14ac:dyDescent="0.2">
      <c r="A833" s="327"/>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row>
    <row r="834" spans="1:26" ht="11.25" customHeight="1" x14ac:dyDescent="0.2">
      <c r="A834" s="327"/>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row>
    <row r="835" spans="1:26" ht="11.25" customHeight="1" x14ac:dyDescent="0.2">
      <c r="A835" s="327"/>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row>
    <row r="836" spans="1:26" ht="11.25" customHeight="1" x14ac:dyDescent="0.2">
      <c r="A836" s="327"/>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row>
    <row r="837" spans="1:26" ht="11.25" customHeight="1" x14ac:dyDescent="0.2">
      <c r="A837" s="327"/>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row>
    <row r="838" spans="1:26" ht="11.25" customHeight="1" x14ac:dyDescent="0.2">
      <c r="A838" s="327"/>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row>
    <row r="839" spans="1:26" ht="11.25" customHeight="1" x14ac:dyDescent="0.2">
      <c r="A839" s="327"/>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row>
    <row r="840" spans="1:26" ht="11.25" customHeight="1" x14ac:dyDescent="0.2">
      <c r="A840" s="327"/>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row>
    <row r="841" spans="1:26" ht="11.25" customHeight="1" x14ac:dyDescent="0.2">
      <c r="A841" s="327"/>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row>
    <row r="842" spans="1:26" ht="11.25" customHeight="1" x14ac:dyDescent="0.2">
      <c r="A842" s="327"/>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row>
    <row r="843" spans="1:26" ht="11.25" customHeight="1" x14ac:dyDescent="0.2">
      <c r="A843" s="327"/>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row>
    <row r="844" spans="1:26" ht="11.25" customHeight="1" x14ac:dyDescent="0.2">
      <c r="A844" s="327"/>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row>
    <row r="845" spans="1:26" ht="11.25" customHeight="1" x14ac:dyDescent="0.2">
      <c r="A845" s="327"/>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row>
    <row r="846" spans="1:26" ht="11.25" customHeight="1" x14ac:dyDescent="0.2">
      <c r="A846" s="327"/>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row>
    <row r="847" spans="1:26" ht="11.25" customHeight="1" x14ac:dyDescent="0.2">
      <c r="A847" s="327"/>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row>
    <row r="848" spans="1:26" ht="11.25" customHeight="1" x14ac:dyDescent="0.2">
      <c r="A848" s="327"/>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row>
    <row r="849" spans="1:26" ht="11.25" customHeight="1" x14ac:dyDescent="0.2">
      <c r="A849" s="327"/>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row>
    <row r="850" spans="1:26" ht="11.25" customHeight="1" x14ac:dyDescent="0.2">
      <c r="A850" s="327"/>
      <c r="B850" s="327"/>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row>
    <row r="851" spans="1:26" ht="11.25" customHeight="1" x14ac:dyDescent="0.2">
      <c r="A851" s="327"/>
      <c r="B851" s="327"/>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row>
    <row r="852" spans="1:26" ht="11.25" customHeight="1" x14ac:dyDescent="0.2">
      <c r="A852" s="327"/>
      <c r="B852" s="327"/>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row>
    <row r="853" spans="1:26" ht="11.25" customHeight="1" x14ac:dyDescent="0.2">
      <c r="A853" s="327"/>
      <c r="B853" s="327"/>
      <c r="C853" s="327"/>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row>
    <row r="854" spans="1:26" ht="11.25" customHeight="1" x14ac:dyDescent="0.2">
      <c r="A854" s="327"/>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row>
    <row r="855" spans="1:26" ht="11.25" customHeight="1" x14ac:dyDescent="0.2">
      <c r="A855" s="327"/>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row>
    <row r="856" spans="1:26" ht="11.25" customHeight="1" x14ac:dyDescent="0.2">
      <c r="A856" s="327"/>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row>
    <row r="857" spans="1:26" ht="11.25" customHeight="1" x14ac:dyDescent="0.2">
      <c r="A857" s="327"/>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row>
    <row r="858" spans="1:26" ht="11.25" customHeight="1" x14ac:dyDescent="0.2">
      <c r="A858" s="327"/>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row>
    <row r="859" spans="1:26" ht="11.25" customHeight="1" x14ac:dyDescent="0.2">
      <c r="A859" s="327"/>
      <c r="B859" s="327"/>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row>
    <row r="860" spans="1:26" ht="11.25" customHeight="1" x14ac:dyDescent="0.2">
      <c r="A860" s="327"/>
      <c r="B860" s="327"/>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row>
    <row r="861" spans="1:26" ht="11.25" customHeight="1" x14ac:dyDescent="0.2">
      <c r="A861" s="327"/>
      <c r="B861" s="327"/>
      <c r="C861" s="327"/>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row>
    <row r="862" spans="1:26" ht="11.25" customHeight="1" x14ac:dyDescent="0.2">
      <c r="A862" s="327"/>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row>
    <row r="863" spans="1:26" ht="11.25" customHeight="1" x14ac:dyDescent="0.2">
      <c r="A863" s="327"/>
      <c r="B863" s="327"/>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row>
    <row r="864" spans="1:26" ht="11.25" customHeight="1" x14ac:dyDescent="0.2">
      <c r="A864" s="327"/>
      <c r="B864" s="327"/>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row>
    <row r="865" spans="1:26" ht="11.25" customHeight="1" x14ac:dyDescent="0.2">
      <c r="A865" s="327"/>
      <c r="B865" s="327"/>
      <c r="C865" s="327"/>
      <c r="D865" s="327"/>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row>
    <row r="866" spans="1:26" ht="11.25" customHeight="1" x14ac:dyDescent="0.2">
      <c r="A866" s="327"/>
      <c r="B866" s="327"/>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row>
    <row r="867" spans="1:26" ht="11.25" customHeight="1" x14ac:dyDescent="0.2">
      <c r="A867" s="327"/>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row>
    <row r="868" spans="1:26" ht="11.25" customHeight="1" x14ac:dyDescent="0.2">
      <c r="A868" s="327"/>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row>
    <row r="869" spans="1:26" ht="11.25" customHeight="1" x14ac:dyDescent="0.2">
      <c r="A869" s="327"/>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row>
    <row r="870" spans="1:26" ht="11.25" customHeight="1" x14ac:dyDescent="0.2">
      <c r="A870" s="327"/>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row>
    <row r="871" spans="1:26" ht="11.25" customHeight="1" x14ac:dyDescent="0.2">
      <c r="A871" s="327"/>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row>
    <row r="872" spans="1:26" ht="11.25" customHeight="1" x14ac:dyDescent="0.2">
      <c r="A872" s="327"/>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row>
    <row r="873" spans="1:26" ht="11.25" customHeight="1" x14ac:dyDescent="0.2">
      <c r="A873" s="327"/>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row>
    <row r="874" spans="1:26" ht="11.25" customHeight="1" x14ac:dyDescent="0.2">
      <c r="A874" s="327"/>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row>
    <row r="875" spans="1:26" ht="11.25" customHeight="1" x14ac:dyDescent="0.2">
      <c r="A875" s="327"/>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row>
    <row r="876" spans="1:26" ht="11.25" customHeight="1" x14ac:dyDescent="0.2">
      <c r="A876" s="327"/>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row>
    <row r="877" spans="1:26" ht="11.25" customHeight="1" x14ac:dyDescent="0.2">
      <c r="A877" s="327"/>
      <c r="B877" s="327"/>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row>
    <row r="878" spans="1:26" ht="11.25" customHeight="1" x14ac:dyDescent="0.2">
      <c r="A878" s="327"/>
      <c r="B878" s="327"/>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row>
    <row r="879" spans="1:26" ht="11.25" customHeight="1" x14ac:dyDescent="0.2">
      <c r="A879" s="327"/>
      <c r="B879" s="327"/>
      <c r="C879" s="327"/>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row>
    <row r="880" spans="1:26" ht="11.25" customHeight="1" x14ac:dyDescent="0.2">
      <c r="A880" s="327"/>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row>
    <row r="881" spans="1:26" ht="11.25" customHeight="1" x14ac:dyDescent="0.2">
      <c r="A881" s="327"/>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row>
    <row r="882" spans="1:26" ht="11.25" customHeight="1" x14ac:dyDescent="0.2">
      <c r="A882" s="327"/>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row>
    <row r="883" spans="1:26" ht="11.25" customHeight="1" x14ac:dyDescent="0.2">
      <c r="A883" s="327"/>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row>
    <row r="884" spans="1:26" ht="11.25" customHeight="1" x14ac:dyDescent="0.2">
      <c r="A884" s="327"/>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row>
    <row r="885" spans="1:26" ht="11.25" customHeight="1" x14ac:dyDescent="0.2">
      <c r="A885" s="327"/>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row>
    <row r="886" spans="1:26" ht="11.25" customHeight="1" x14ac:dyDescent="0.2">
      <c r="A886" s="327"/>
      <c r="B886" s="327"/>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row>
    <row r="887" spans="1:26" ht="11.25" customHeight="1" x14ac:dyDescent="0.2">
      <c r="A887" s="327"/>
      <c r="B887" s="327"/>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row>
    <row r="888" spans="1:26" ht="11.25" customHeight="1" x14ac:dyDescent="0.2">
      <c r="A888" s="327"/>
      <c r="B888" s="327"/>
      <c r="C888" s="327"/>
      <c r="D888" s="327"/>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row>
    <row r="889" spans="1:26" ht="11.25" customHeight="1" x14ac:dyDescent="0.2">
      <c r="A889" s="327"/>
      <c r="B889" s="327"/>
      <c r="C889" s="327"/>
      <c r="D889" s="327"/>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row>
    <row r="890" spans="1:26" ht="11.25" customHeight="1" x14ac:dyDescent="0.2">
      <c r="A890" s="327"/>
      <c r="B890" s="327"/>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row>
    <row r="891" spans="1:26" ht="11.25" customHeight="1" x14ac:dyDescent="0.2">
      <c r="A891" s="327"/>
      <c r="B891" s="327"/>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row>
    <row r="892" spans="1:26" ht="11.25" customHeight="1" x14ac:dyDescent="0.2">
      <c r="A892" s="327"/>
      <c r="B892" s="327"/>
      <c r="C892" s="327"/>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row>
    <row r="893" spans="1:26" ht="11.25" customHeight="1" x14ac:dyDescent="0.2">
      <c r="A893" s="327"/>
      <c r="B893" s="327"/>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row>
    <row r="894" spans="1:26" ht="11.25" customHeight="1" x14ac:dyDescent="0.2">
      <c r="A894" s="327"/>
      <c r="B894" s="327"/>
      <c r="C894" s="327"/>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row>
    <row r="895" spans="1:26" ht="11.25" customHeight="1" x14ac:dyDescent="0.2">
      <c r="A895" s="327"/>
      <c r="B895" s="327"/>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327"/>
    </row>
    <row r="896" spans="1:26" ht="11.25" customHeight="1" x14ac:dyDescent="0.2">
      <c r="A896" s="327"/>
      <c r="B896" s="327"/>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327"/>
    </row>
    <row r="897" spans="1:26" ht="11.25" customHeight="1" x14ac:dyDescent="0.2">
      <c r="A897" s="327"/>
      <c r="B897" s="327"/>
      <c r="C897" s="327"/>
      <c r="D897" s="327"/>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327"/>
    </row>
    <row r="898" spans="1:26" ht="11.25" customHeight="1" x14ac:dyDescent="0.2">
      <c r="A898" s="327"/>
      <c r="B898" s="327"/>
      <c r="C898" s="327"/>
      <c r="D898" s="327"/>
      <c r="E898" s="327"/>
      <c r="F898" s="327"/>
      <c r="G898" s="327"/>
      <c r="H898" s="327"/>
      <c r="I898" s="327"/>
      <c r="J898" s="327"/>
      <c r="K898" s="327"/>
      <c r="L898" s="327"/>
      <c r="M898" s="327"/>
      <c r="N898" s="327"/>
      <c r="O898" s="327"/>
      <c r="P898" s="327"/>
      <c r="Q898" s="327"/>
      <c r="R898" s="327"/>
      <c r="S898" s="327"/>
      <c r="T898" s="327"/>
      <c r="U898" s="327"/>
      <c r="V898" s="327"/>
      <c r="W898" s="327"/>
      <c r="X898" s="327"/>
      <c r="Y898" s="327"/>
      <c r="Z898" s="327"/>
    </row>
    <row r="899" spans="1:26" ht="11.25" customHeight="1" x14ac:dyDescent="0.2">
      <c r="A899" s="327"/>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row>
    <row r="900" spans="1:26" ht="11.25" customHeight="1" x14ac:dyDescent="0.2">
      <c r="A900" s="327"/>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row>
    <row r="901" spans="1:26" ht="11.25" customHeight="1" x14ac:dyDescent="0.2">
      <c r="A901" s="327"/>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row>
    <row r="902" spans="1:26" ht="11.25" customHeight="1" x14ac:dyDescent="0.2">
      <c r="A902" s="327"/>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row>
    <row r="903" spans="1:26" ht="11.25" customHeight="1" x14ac:dyDescent="0.2">
      <c r="A903" s="327"/>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row>
    <row r="904" spans="1:26" ht="11.25" customHeight="1" x14ac:dyDescent="0.2">
      <c r="A904" s="327"/>
      <c r="B904" s="327"/>
      <c r="C904" s="327"/>
      <c r="D904" s="327"/>
      <c r="E904" s="327"/>
      <c r="F904" s="327"/>
      <c r="G904" s="327"/>
      <c r="H904" s="327"/>
      <c r="I904" s="327"/>
      <c r="J904" s="327"/>
      <c r="K904" s="327"/>
      <c r="L904" s="327"/>
      <c r="M904" s="327"/>
      <c r="N904" s="327"/>
      <c r="O904" s="327"/>
      <c r="P904" s="327"/>
      <c r="Q904" s="327"/>
      <c r="R904" s="327"/>
      <c r="S904" s="327"/>
      <c r="T904" s="327"/>
      <c r="U904" s="327"/>
      <c r="V904" s="327"/>
      <c r="W904" s="327"/>
      <c r="X904" s="327"/>
      <c r="Y904" s="327"/>
      <c r="Z904" s="327"/>
    </row>
    <row r="905" spans="1:26" ht="11.25" customHeight="1" x14ac:dyDescent="0.2">
      <c r="A905" s="327"/>
      <c r="B905" s="327"/>
      <c r="C905" s="327"/>
      <c r="D905" s="327"/>
      <c r="E905" s="327"/>
      <c r="F905" s="327"/>
      <c r="G905" s="327"/>
      <c r="H905" s="327"/>
      <c r="I905" s="327"/>
      <c r="J905" s="327"/>
      <c r="K905" s="327"/>
      <c r="L905" s="327"/>
      <c r="M905" s="327"/>
      <c r="N905" s="327"/>
      <c r="O905" s="327"/>
      <c r="P905" s="327"/>
      <c r="Q905" s="327"/>
      <c r="R905" s="327"/>
      <c r="S905" s="327"/>
      <c r="T905" s="327"/>
      <c r="U905" s="327"/>
      <c r="V905" s="327"/>
      <c r="W905" s="327"/>
      <c r="X905" s="327"/>
      <c r="Y905" s="327"/>
      <c r="Z905" s="327"/>
    </row>
    <row r="906" spans="1:26" ht="11.25" customHeight="1" x14ac:dyDescent="0.2">
      <c r="A906" s="327"/>
      <c r="B906" s="327"/>
      <c r="C906" s="327"/>
      <c r="D906" s="327"/>
      <c r="E906" s="327"/>
      <c r="F906" s="327"/>
      <c r="G906" s="327"/>
      <c r="H906" s="327"/>
      <c r="I906" s="327"/>
      <c r="J906" s="327"/>
      <c r="K906" s="327"/>
      <c r="L906" s="327"/>
      <c r="M906" s="327"/>
      <c r="N906" s="327"/>
      <c r="O906" s="327"/>
      <c r="P906" s="327"/>
      <c r="Q906" s="327"/>
      <c r="R906" s="327"/>
      <c r="S906" s="327"/>
      <c r="T906" s="327"/>
      <c r="U906" s="327"/>
      <c r="V906" s="327"/>
      <c r="W906" s="327"/>
      <c r="X906" s="327"/>
      <c r="Y906" s="327"/>
      <c r="Z906" s="327"/>
    </row>
    <row r="907" spans="1:26" ht="11.25" customHeight="1" x14ac:dyDescent="0.2">
      <c r="A907" s="327"/>
      <c r="B907" s="327"/>
      <c r="C907" s="327"/>
      <c r="D907" s="327"/>
      <c r="E907" s="327"/>
      <c r="F907" s="327"/>
      <c r="G907" s="327"/>
      <c r="H907" s="327"/>
      <c r="I907" s="327"/>
      <c r="J907" s="327"/>
      <c r="K907" s="327"/>
      <c r="L907" s="327"/>
      <c r="M907" s="327"/>
      <c r="N907" s="327"/>
      <c r="O907" s="327"/>
      <c r="P907" s="327"/>
      <c r="Q907" s="327"/>
      <c r="R907" s="327"/>
      <c r="S907" s="327"/>
      <c r="T907" s="327"/>
      <c r="U907" s="327"/>
      <c r="V907" s="327"/>
      <c r="W907" s="327"/>
      <c r="X907" s="327"/>
      <c r="Y907" s="327"/>
      <c r="Z907" s="327"/>
    </row>
    <row r="908" spans="1:26" ht="11.25" customHeight="1" x14ac:dyDescent="0.2">
      <c r="A908" s="327"/>
      <c r="B908" s="327"/>
      <c r="C908" s="327"/>
      <c r="D908" s="327"/>
      <c r="E908" s="327"/>
      <c r="F908" s="327"/>
      <c r="G908" s="327"/>
      <c r="H908" s="327"/>
      <c r="I908" s="327"/>
      <c r="J908" s="327"/>
      <c r="K908" s="327"/>
      <c r="L908" s="327"/>
      <c r="M908" s="327"/>
      <c r="N908" s="327"/>
      <c r="O908" s="327"/>
      <c r="P908" s="327"/>
      <c r="Q908" s="327"/>
      <c r="R908" s="327"/>
      <c r="S908" s="327"/>
      <c r="T908" s="327"/>
      <c r="U908" s="327"/>
      <c r="V908" s="327"/>
      <c r="W908" s="327"/>
      <c r="X908" s="327"/>
      <c r="Y908" s="327"/>
      <c r="Z908" s="327"/>
    </row>
    <row r="909" spans="1:26" ht="11.25" customHeight="1" x14ac:dyDescent="0.2">
      <c r="A909" s="327"/>
      <c r="B909" s="327"/>
      <c r="C909" s="327"/>
      <c r="D909" s="327"/>
      <c r="E909" s="327"/>
      <c r="F909" s="327"/>
      <c r="G909" s="327"/>
      <c r="H909" s="327"/>
      <c r="I909" s="327"/>
      <c r="J909" s="327"/>
      <c r="K909" s="327"/>
      <c r="L909" s="327"/>
      <c r="M909" s="327"/>
      <c r="N909" s="327"/>
      <c r="O909" s="327"/>
      <c r="P909" s="327"/>
      <c r="Q909" s="327"/>
      <c r="R909" s="327"/>
      <c r="S909" s="327"/>
      <c r="T909" s="327"/>
      <c r="U909" s="327"/>
      <c r="V909" s="327"/>
      <c r="W909" s="327"/>
      <c r="X909" s="327"/>
      <c r="Y909" s="327"/>
      <c r="Z909" s="327"/>
    </row>
    <row r="910" spans="1:26" ht="11.25" customHeight="1" x14ac:dyDescent="0.2">
      <c r="A910" s="327"/>
      <c r="B910" s="327"/>
      <c r="C910" s="327"/>
      <c r="D910" s="327"/>
      <c r="E910" s="327"/>
      <c r="F910" s="327"/>
      <c r="G910" s="327"/>
      <c r="H910" s="327"/>
      <c r="I910" s="327"/>
      <c r="J910" s="327"/>
      <c r="K910" s="327"/>
      <c r="L910" s="327"/>
      <c r="M910" s="327"/>
      <c r="N910" s="327"/>
      <c r="O910" s="327"/>
      <c r="P910" s="327"/>
      <c r="Q910" s="327"/>
      <c r="R910" s="327"/>
      <c r="S910" s="327"/>
      <c r="T910" s="327"/>
      <c r="U910" s="327"/>
      <c r="V910" s="327"/>
      <c r="W910" s="327"/>
      <c r="X910" s="327"/>
      <c r="Y910" s="327"/>
      <c r="Z910" s="327"/>
    </row>
    <row r="911" spans="1:26" ht="11.25" customHeight="1" x14ac:dyDescent="0.2">
      <c r="A911" s="327"/>
      <c r="B911" s="327"/>
      <c r="C911" s="327"/>
      <c r="D911" s="327"/>
      <c r="E911" s="327"/>
      <c r="F911" s="327"/>
      <c r="G911" s="327"/>
      <c r="H911" s="327"/>
      <c r="I911" s="327"/>
      <c r="J911" s="327"/>
      <c r="K911" s="327"/>
      <c r="L911" s="327"/>
      <c r="M911" s="327"/>
      <c r="N911" s="327"/>
      <c r="O911" s="327"/>
      <c r="P911" s="327"/>
      <c r="Q911" s="327"/>
      <c r="R911" s="327"/>
      <c r="S911" s="327"/>
      <c r="T911" s="327"/>
      <c r="U911" s="327"/>
      <c r="V911" s="327"/>
      <c r="W911" s="327"/>
      <c r="X911" s="327"/>
      <c r="Y911" s="327"/>
      <c r="Z911" s="327"/>
    </row>
    <row r="912" spans="1:26" ht="11.25" customHeight="1" x14ac:dyDescent="0.2">
      <c r="A912" s="327"/>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row>
    <row r="913" spans="1:26" ht="11.25" customHeight="1" x14ac:dyDescent="0.2">
      <c r="A913" s="327"/>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row>
    <row r="914" spans="1:26" ht="11.25" customHeight="1" x14ac:dyDescent="0.2">
      <c r="A914" s="327"/>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row>
    <row r="915" spans="1:26" ht="11.25" customHeight="1" x14ac:dyDescent="0.2">
      <c r="A915" s="327"/>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row>
    <row r="916" spans="1:26" ht="11.25" customHeight="1" x14ac:dyDescent="0.2">
      <c r="A916" s="327"/>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row>
    <row r="917" spans="1:26" ht="11.25" customHeight="1" x14ac:dyDescent="0.2">
      <c r="A917" s="327"/>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row>
    <row r="918" spans="1:26" ht="11.25" customHeight="1" x14ac:dyDescent="0.2">
      <c r="A918" s="327"/>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row>
    <row r="919" spans="1:26" ht="11.25" customHeight="1" x14ac:dyDescent="0.2">
      <c r="A919" s="327"/>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row>
    <row r="920" spans="1:26" ht="11.25" customHeight="1" x14ac:dyDescent="0.2">
      <c r="A920" s="327"/>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row>
    <row r="921" spans="1:26" ht="11.25" customHeight="1" x14ac:dyDescent="0.2">
      <c r="A921" s="327"/>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row>
    <row r="922" spans="1:26" ht="11.25" customHeight="1" x14ac:dyDescent="0.2">
      <c r="A922" s="327"/>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row>
    <row r="923" spans="1:26" ht="11.25" customHeight="1" x14ac:dyDescent="0.2">
      <c r="A923" s="327"/>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row>
    <row r="924" spans="1:26" ht="11.25" customHeight="1" x14ac:dyDescent="0.2">
      <c r="A924" s="327"/>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row>
    <row r="925" spans="1:26" ht="11.25" customHeight="1" x14ac:dyDescent="0.2">
      <c r="A925" s="327"/>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row>
    <row r="926" spans="1:26" ht="11.25" customHeight="1" x14ac:dyDescent="0.2">
      <c r="A926" s="327"/>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row>
    <row r="927" spans="1:26" ht="11.25" customHeight="1" x14ac:dyDescent="0.2">
      <c r="A927" s="327"/>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row>
    <row r="928" spans="1:26" ht="11.25" customHeight="1" x14ac:dyDescent="0.2">
      <c r="A928" s="327"/>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row>
    <row r="929" spans="1:26" ht="11.25" customHeight="1" x14ac:dyDescent="0.2">
      <c r="A929" s="327"/>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row>
    <row r="930" spans="1:26" ht="11.25" customHeight="1" x14ac:dyDescent="0.2">
      <c r="A930" s="327"/>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row>
    <row r="931" spans="1:26" ht="11.25" customHeight="1" x14ac:dyDescent="0.2">
      <c r="A931" s="327"/>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row>
    <row r="932" spans="1:26" ht="11.25" customHeight="1" x14ac:dyDescent="0.2">
      <c r="A932" s="327"/>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row>
    <row r="933" spans="1:26" ht="11.25" customHeight="1" x14ac:dyDescent="0.2">
      <c r="A933" s="327"/>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row>
    <row r="934" spans="1:26" ht="11.25" customHeight="1" x14ac:dyDescent="0.2">
      <c r="A934" s="327"/>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row>
    <row r="935" spans="1:26" ht="11.25" customHeight="1" x14ac:dyDescent="0.2">
      <c r="A935" s="327"/>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row>
    <row r="936" spans="1:26" ht="11.25" customHeight="1" x14ac:dyDescent="0.2">
      <c r="A936" s="327"/>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row>
    <row r="937" spans="1:26" ht="11.25" customHeight="1" x14ac:dyDescent="0.2">
      <c r="A937" s="327"/>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row>
    <row r="938" spans="1:26" ht="11.25" customHeight="1" x14ac:dyDescent="0.2">
      <c r="A938" s="327"/>
      <c r="B938" s="327"/>
      <c r="C938" s="327"/>
      <c r="D938" s="327"/>
      <c r="E938" s="327"/>
      <c r="F938" s="327"/>
      <c r="G938" s="327"/>
      <c r="H938" s="327"/>
      <c r="I938" s="327"/>
      <c r="J938" s="327"/>
      <c r="K938" s="327"/>
      <c r="L938" s="327"/>
      <c r="M938" s="327"/>
      <c r="N938" s="327"/>
      <c r="O938" s="327"/>
      <c r="P938" s="327"/>
      <c r="Q938" s="327"/>
      <c r="R938" s="327"/>
      <c r="S938" s="327"/>
      <c r="T938" s="327"/>
      <c r="U938" s="327"/>
      <c r="V938" s="327"/>
      <c r="W938" s="327"/>
      <c r="X938" s="327"/>
      <c r="Y938" s="327"/>
      <c r="Z938" s="327"/>
    </row>
    <row r="939" spans="1:26" ht="11.25" customHeight="1" x14ac:dyDescent="0.2">
      <c r="A939" s="327"/>
      <c r="B939" s="327"/>
      <c r="C939" s="327"/>
      <c r="D939" s="327"/>
      <c r="E939" s="327"/>
      <c r="F939" s="327"/>
      <c r="G939" s="327"/>
      <c r="H939" s="327"/>
      <c r="I939" s="327"/>
      <c r="J939" s="327"/>
      <c r="K939" s="327"/>
      <c r="L939" s="327"/>
      <c r="M939" s="327"/>
      <c r="N939" s="327"/>
      <c r="O939" s="327"/>
      <c r="P939" s="327"/>
      <c r="Q939" s="327"/>
      <c r="R939" s="327"/>
      <c r="S939" s="327"/>
      <c r="T939" s="327"/>
      <c r="U939" s="327"/>
      <c r="V939" s="327"/>
      <c r="W939" s="327"/>
      <c r="X939" s="327"/>
      <c r="Y939" s="327"/>
      <c r="Z939" s="327"/>
    </row>
    <row r="940" spans="1:26" ht="11.25" customHeight="1" x14ac:dyDescent="0.2">
      <c r="A940" s="327"/>
      <c r="B940" s="327"/>
      <c r="C940" s="327"/>
      <c r="D940" s="327"/>
      <c r="E940" s="327"/>
      <c r="F940" s="327"/>
      <c r="G940" s="327"/>
      <c r="H940" s="327"/>
      <c r="I940" s="327"/>
      <c r="J940" s="327"/>
      <c r="K940" s="327"/>
      <c r="L940" s="327"/>
      <c r="M940" s="327"/>
      <c r="N940" s="327"/>
      <c r="O940" s="327"/>
      <c r="P940" s="327"/>
      <c r="Q940" s="327"/>
      <c r="R940" s="327"/>
      <c r="S940" s="327"/>
      <c r="T940" s="327"/>
      <c r="U940" s="327"/>
      <c r="V940" s="327"/>
      <c r="W940" s="327"/>
      <c r="X940" s="327"/>
      <c r="Y940" s="327"/>
      <c r="Z940" s="327"/>
    </row>
    <row r="941" spans="1:26" ht="11.25" customHeight="1" x14ac:dyDescent="0.2">
      <c r="A941" s="327"/>
      <c r="B941" s="327"/>
      <c r="C941" s="327"/>
      <c r="D941" s="327"/>
      <c r="E941" s="327"/>
      <c r="F941" s="327"/>
      <c r="G941" s="327"/>
      <c r="H941" s="327"/>
      <c r="I941" s="327"/>
      <c r="J941" s="327"/>
      <c r="K941" s="327"/>
      <c r="L941" s="327"/>
      <c r="M941" s="327"/>
      <c r="N941" s="327"/>
      <c r="O941" s="327"/>
      <c r="P941" s="327"/>
      <c r="Q941" s="327"/>
      <c r="R941" s="327"/>
      <c r="S941" s="327"/>
      <c r="T941" s="327"/>
      <c r="U941" s="327"/>
      <c r="V941" s="327"/>
      <c r="W941" s="327"/>
      <c r="X941" s="327"/>
      <c r="Y941" s="327"/>
      <c r="Z941" s="327"/>
    </row>
    <row r="942" spans="1:26" ht="11.25" customHeight="1" x14ac:dyDescent="0.2">
      <c r="A942" s="327"/>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row>
    <row r="943" spans="1:26" ht="11.25" customHeight="1" x14ac:dyDescent="0.2">
      <c r="A943" s="327"/>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row>
    <row r="944" spans="1:26" ht="11.25" customHeight="1" x14ac:dyDescent="0.2">
      <c r="A944" s="327"/>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row>
    <row r="945" spans="1:26" ht="11.25" customHeight="1" x14ac:dyDescent="0.2">
      <c r="A945" s="327"/>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row>
    <row r="946" spans="1:26" ht="11.25" customHeight="1" x14ac:dyDescent="0.2">
      <c r="A946" s="327"/>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row>
    <row r="947" spans="1:26" ht="11.25" customHeight="1" x14ac:dyDescent="0.2">
      <c r="A947" s="327"/>
      <c r="B947" s="327"/>
      <c r="C947" s="327"/>
      <c r="D947" s="327"/>
      <c r="E947" s="327"/>
      <c r="F947" s="327"/>
      <c r="G947" s="327"/>
      <c r="H947" s="327"/>
      <c r="I947" s="327"/>
      <c r="J947" s="327"/>
      <c r="K947" s="327"/>
      <c r="L947" s="327"/>
      <c r="M947" s="327"/>
      <c r="N947" s="327"/>
      <c r="O947" s="327"/>
      <c r="P947" s="327"/>
      <c r="Q947" s="327"/>
      <c r="R947" s="327"/>
      <c r="S947" s="327"/>
      <c r="T947" s="327"/>
      <c r="U947" s="327"/>
      <c r="V947" s="327"/>
      <c r="W947" s="327"/>
      <c r="X947" s="327"/>
      <c r="Y947" s="327"/>
      <c r="Z947" s="327"/>
    </row>
    <row r="948" spans="1:26" ht="11.25" customHeight="1" x14ac:dyDescent="0.2">
      <c r="A948" s="327"/>
      <c r="B948" s="327"/>
      <c r="C948" s="327"/>
      <c r="D948" s="327"/>
      <c r="E948" s="327"/>
      <c r="F948" s="327"/>
      <c r="G948" s="327"/>
      <c r="H948" s="327"/>
      <c r="I948" s="327"/>
      <c r="J948" s="327"/>
      <c r="K948" s="327"/>
      <c r="L948" s="327"/>
      <c r="M948" s="327"/>
      <c r="N948" s="327"/>
      <c r="O948" s="327"/>
      <c r="P948" s="327"/>
      <c r="Q948" s="327"/>
      <c r="R948" s="327"/>
      <c r="S948" s="327"/>
      <c r="T948" s="327"/>
      <c r="U948" s="327"/>
      <c r="V948" s="327"/>
      <c r="W948" s="327"/>
      <c r="X948" s="327"/>
      <c r="Y948" s="327"/>
      <c r="Z948" s="327"/>
    </row>
    <row r="949" spans="1:26" ht="11.25" customHeight="1" x14ac:dyDescent="0.2">
      <c r="A949" s="327"/>
      <c r="B949" s="327"/>
      <c r="C949" s="327"/>
      <c r="D949" s="327"/>
      <c r="E949" s="327"/>
      <c r="F949" s="327"/>
      <c r="G949" s="327"/>
      <c r="H949" s="327"/>
      <c r="I949" s="327"/>
      <c r="J949" s="327"/>
      <c r="K949" s="327"/>
      <c r="L949" s="327"/>
      <c r="M949" s="327"/>
      <c r="N949" s="327"/>
      <c r="O949" s="327"/>
      <c r="P949" s="327"/>
      <c r="Q949" s="327"/>
      <c r="R949" s="327"/>
      <c r="S949" s="327"/>
      <c r="T949" s="327"/>
      <c r="U949" s="327"/>
      <c r="V949" s="327"/>
      <c r="W949" s="327"/>
      <c r="X949" s="327"/>
      <c r="Y949" s="327"/>
      <c r="Z949" s="327"/>
    </row>
    <row r="950" spans="1:26" ht="11.25" customHeight="1" x14ac:dyDescent="0.2">
      <c r="A950" s="327"/>
      <c r="B950" s="327"/>
      <c r="C950" s="327"/>
      <c r="D950" s="327"/>
      <c r="E950" s="327"/>
      <c r="F950" s="327"/>
      <c r="G950" s="327"/>
      <c r="H950" s="327"/>
      <c r="I950" s="327"/>
      <c r="J950" s="327"/>
      <c r="K950" s="327"/>
      <c r="L950" s="327"/>
      <c r="M950" s="327"/>
      <c r="N950" s="327"/>
      <c r="O950" s="327"/>
      <c r="P950" s="327"/>
      <c r="Q950" s="327"/>
      <c r="R950" s="327"/>
      <c r="S950" s="327"/>
      <c r="T950" s="327"/>
      <c r="U950" s="327"/>
      <c r="V950" s="327"/>
      <c r="W950" s="327"/>
      <c r="X950" s="327"/>
      <c r="Y950" s="327"/>
      <c r="Z950" s="327"/>
    </row>
    <row r="951" spans="1:26" ht="11.25" customHeight="1" x14ac:dyDescent="0.2">
      <c r="A951" s="327"/>
      <c r="B951" s="327"/>
      <c r="C951" s="327"/>
      <c r="D951" s="327"/>
      <c r="E951" s="327"/>
      <c r="F951" s="327"/>
      <c r="G951" s="327"/>
      <c r="H951" s="327"/>
      <c r="I951" s="327"/>
      <c r="J951" s="327"/>
      <c r="K951" s="327"/>
      <c r="L951" s="327"/>
      <c r="M951" s="327"/>
      <c r="N951" s="327"/>
      <c r="O951" s="327"/>
      <c r="P951" s="327"/>
      <c r="Q951" s="327"/>
      <c r="R951" s="327"/>
      <c r="S951" s="327"/>
      <c r="T951" s="327"/>
      <c r="U951" s="327"/>
      <c r="V951" s="327"/>
      <c r="W951" s="327"/>
      <c r="X951" s="327"/>
      <c r="Y951" s="327"/>
      <c r="Z951" s="327"/>
    </row>
    <row r="952" spans="1:26" ht="11.25" customHeight="1" x14ac:dyDescent="0.2">
      <c r="A952" s="327"/>
      <c r="B952" s="327"/>
      <c r="C952" s="327"/>
      <c r="D952" s="327"/>
      <c r="E952" s="327"/>
      <c r="F952" s="327"/>
      <c r="G952" s="327"/>
      <c r="H952" s="327"/>
      <c r="I952" s="327"/>
      <c r="J952" s="327"/>
      <c r="K952" s="327"/>
      <c r="L952" s="327"/>
      <c r="M952" s="327"/>
      <c r="N952" s="327"/>
      <c r="O952" s="327"/>
      <c r="P952" s="327"/>
      <c r="Q952" s="327"/>
      <c r="R952" s="327"/>
      <c r="S952" s="327"/>
      <c r="T952" s="327"/>
      <c r="U952" s="327"/>
      <c r="V952" s="327"/>
      <c r="W952" s="327"/>
      <c r="X952" s="327"/>
      <c r="Y952" s="327"/>
      <c r="Z952" s="327"/>
    </row>
    <row r="953" spans="1:26" ht="11.25" customHeight="1" x14ac:dyDescent="0.2">
      <c r="A953" s="327"/>
      <c r="B953" s="327"/>
      <c r="C953" s="327"/>
      <c r="D953" s="327"/>
      <c r="E953" s="327"/>
      <c r="F953" s="327"/>
      <c r="G953" s="327"/>
      <c r="H953" s="327"/>
      <c r="I953" s="327"/>
      <c r="J953" s="327"/>
      <c r="K953" s="327"/>
      <c r="L953" s="327"/>
      <c r="M953" s="327"/>
      <c r="N953" s="327"/>
      <c r="O953" s="327"/>
      <c r="P953" s="327"/>
      <c r="Q953" s="327"/>
      <c r="R953" s="327"/>
      <c r="S953" s="327"/>
      <c r="T953" s="327"/>
      <c r="U953" s="327"/>
      <c r="V953" s="327"/>
      <c r="W953" s="327"/>
      <c r="X953" s="327"/>
      <c r="Y953" s="327"/>
      <c r="Z953" s="327"/>
    </row>
    <row r="954" spans="1:26" ht="11.25" customHeight="1" x14ac:dyDescent="0.2">
      <c r="A954" s="327"/>
      <c r="B954" s="327"/>
      <c r="C954" s="327"/>
      <c r="D954" s="327"/>
      <c r="E954" s="327"/>
      <c r="F954" s="327"/>
      <c r="G954" s="327"/>
      <c r="H954" s="327"/>
      <c r="I954" s="327"/>
      <c r="J954" s="327"/>
      <c r="K954" s="327"/>
      <c r="L954" s="327"/>
      <c r="M954" s="327"/>
      <c r="N954" s="327"/>
      <c r="O954" s="327"/>
      <c r="P954" s="327"/>
      <c r="Q954" s="327"/>
      <c r="R954" s="327"/>
      <c r="S954" s="327"/>
      <c r="T954" s="327"/>
      <c r="U954" s="327"/>
      <c r="V954" s="327"/>
      <c r="W954" s="327"/>
      <c r="X954" s="327"/>
      <c r="Y954" s="327"/>
      <c r="Z954" s="327"/>
    </row>
    <row r="955" spans="1:26" ht="11.25" customHeight="1" x14ac:dyDescent="0.2">
      <c r="A955" s="327"/>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row>
    <row r="956" spans="1:26" ht="11.25" customHeight="1" x14ac:dyDescent="0.2">
      <c r="A956" s="327"/>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row>
    <row r="957" spans="1:26" ht="11.25" customHeight="1" x14ac:dyDescent="0.2">
      <c r="A957" s="327"/>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row>
    <row r="958" spans="1:26" ht="11.25" customHeight="1" x14ac:dyDescent="0.2">
      <c r="A958" s="327"/>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row>
    <row r="959" spans="1:26" ht="11.25" customHeight="1" x14ac:dyDescent="0.2">
      <c r="A959" s="327"/>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row>
    <row r="960" spans="1:26" ht="11.25" customHeight="1" x14ac:dyDescent="0.2">
      <c r="A960" s="327"/>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row>
    <row r="961" spans="1:26" ht="11.25" customHeight="1" x14ac:dyDescent="0.2">
      <c r="A961" s="327"/>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row>
    <row r="962" spans="1:26" ht="11.25" customHeight="1" x14ac:dyDescent="0.2">
      <c r="A962" s="327"/>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row>
    <row r="963" spans="1:26" ht="11.25" customHeight="1" x14ac:dyDescent="0.2">
      <c r="A963" s="327"/>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row>
    <row r="964" spans="1:26" ht="11.25" customHeight="1" x14ac:dyDescent="0.2">
      <c r="A964" s="327"/>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row>
    <row r="965" spans="1:26" ht="11.25" customHeight="1" x14ac:dyDescent="0.2">
      <c r="A965" s="327"/>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row>
    <row r="966" spans="1:26" ht="11.25" customHeight="1" x14ac:dyDescent="0.2">
      <c r="A966" s="327"/>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row>
    <row r="967" spans="1:26" ht="11.25" customHeight="1" x14ac:dyDescent="0.2">
      <c r="A967" s="327"/>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row>
    <row r="968" spans="1:26" ht="11.25" customHeight="1" x14ac:dyDescent="0.2">
      <c r="A968" s="327"/>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row>
    <row r="969" spans="1:26" ht="11.25" customHeight="1" x14ac:dyDescent="0.2">
      <c r="A969" s="327"/>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row>
    <row r="970" spans="1:26" ht="11.25" customHeight="1" x14ac:dyDescent="0.2">
      <c r="A970" s="327"/>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row>
    <row r="971" spans="1:26" ht="11.25" customHeight="1" x14ac:dyDescent="0.2">
      <c r="A971" s="327"/>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row>
    <row r="972" spans="1:26" ht="11.25" customHeight="1" x14ac:dyDescent="0.2">
      <c r="A972" s="327"/>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row>
    <row r="973" spans="1:26" ht="11.25" customHeight="1" x14ac:dyDescent="0.2">
      <c r="A973" s="327"/>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row>
    <row r="974" spans="1:26" ht="11.25" customHeight="1" x14ac:dyDescent="0.2">
      <c r="A974" s="327"/>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row>
    <row r="975" spans="1:26" ht="11.25" customHeight="1" x14ac:dyDescent="0.2">
      <c r="A975" s="327"/>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row>
    <row r="976" spans="1:26" ht="11.25" customHeight="1" x14ac:dyDescent="0.2">
      <c r="A976" s="327"/>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row>
    <row r="977" spans="1:26" ht="11.25" customHeight="1" x14ac:dyDescent="0.2">
      <c r="A977" s="327"/>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row>
    <row r="978" spans="1:26" ht="11.25" customHeight="1" x14ac:dyDescent="0.2">
      <c r="A978" s="327"/>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row>
    <row r="979" spans="1:26" ht="11.25" customHeight="1" x14ac:dyDescent="0.2">
      <c r="A979" s="327"/>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row>
    <row r="980" spans="1:26" ht="11.25" customHeight="1" x14ac:dyDescent="0.2">
      <c r="A980" s="327"/>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row>
    <row r="981" spans="1:26" ht="11.25" customHeight="1" x14ac:dyDescent="0.2">
      <c r="A981" s="327"/>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row>
    <row r="982" spans="1:26" ht="11.25" customHeight="1" x14ac:dyDescent="0.2">
      <c r="A982" s="327"/>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row>
    <row r="983" spans="1:26" ht="11.25" customHeight="1" x14ac:dyDescent="0.2">
      <c r="A983" s="327"/>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row>
    <row r="984" spans="1:26" ht="11.25" customHeight="1" x14ac:dyDescent="0.2">
      <c r="A984" s="327"/>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row>
    <row r="985" spans="1:26" ht="11.25" customHeight="1" x14ac:dyDescent="0.2">
      <c r="A985" s="327"/>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row>
    <row r="986" spans="1:26" ht="11.25" customHeight="1" x14ac:dyDescent="0.2">
      <c r="A986" s="327"/>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row>
    <row r="987" spans="1:26" ht="11.25" customHeight="1" x14ac:dyDescent="0.2">
      <c r="A987" s="327"/>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row>
    <row r="988" spans="1:26" ht="11.25" customHeight="1" x14ac:dyDescent="0.2">
      <c r="A988" s="327"/>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row>
    <row r="989" spans="1:26" ht="11.25" customHeight="1" x14ac:dyDescent="0.2">
      <c r="A989" s="327"/>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row>
    <row r="990" spans="1:26" ht="11.25" customHeight="1" x14ac:dyDescent="0.2">
      <c r="A990" s="327"/>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row>
    <row r="991" spans="1:26" ht="11.25" customHeight="1" x14ac:dyDescent="0.2">
      <c r="A991" s="327"/>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row>
    <row r="992" spans="1:26" ht="11.25" customHeight="1" x14ac:dyDescent="0.2">
      <c r="A992" s="327"/>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row>
    <row r="993" spans="1:26" ht="11.25" customHeight="1" x14ac:dyDescent="0.2">
      <c r="A993" s="327"/>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row>
    <row r="994" spans="1:26" ht="11.25" customHeight="1" x14ac:dyDescent="0.2">
      <c r="A994" s="327"/>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row>
    <row r="995" spans="1:26" ht="11.25" customHeight="1" x14ac:dyDescent="0.2">
      <c r="A995" s="327"/>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row>
    <row r="996" spans="1:26" ht="11.25" customHeight="1" x14ac:dyDescent="0.2">
      <c r="A996" s="327"/>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row>
    <row r="997" spans="1:26" ht="11.25" customHeight="1" x14ac:dyDescent="0.2">
      <c r="A997" s="327"/>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row>
    <row r="998" spans="1:26" ht="11.25" customHeight="1" x14ac:dyDescent="0.2">
      <c r="A998" s="327"/>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row>
  </sheetData>
  <mergeCells count="2">
    <mergeCell ref="A2:K2"/>
    <mergeCell ref="K38:L38"/>
  </mergeCells>
  <printOptions gridLines="1"/>
  <pageMargins left="0.16" right="0.16" top="0.28000000000000003" bottom="0.2" header="0" footer="0"/>
  <pageSetup orientation="landscape"/>
  <colBreaks count="1" manualBreakCount="1">
    <brk id="11" man="1"/>
  </colBreaks>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866"/>
  <sheetViews>
    <sheetView workbookViewId="0"/>
  </sheetViews>
  <sheetFormatPr defaultColWidth="16.85546875" defaultRowHeight="15" customHeight="1" x14ac:dyDescent="0.2"/>
  <cols>
    <col min="1" max="1" width="4.28515625" style="2672" customWidth="1"/>
    <col min="2" max="2" width="27.7109375" style="2672" customWidth="1"/>
    <col min="3" max="3" width="17.7109375" style="2672" customWidth="1"/>
    <col min="4" max="4" width="18" style="2672" customWidth="1"/>
    <col min="5" max="6" width="18.42578125" style="2672" bestFit="1" customWidth="1"/>
    <col min="7" max="7" width="15.42578125" style="2672" customWidth="1"/>
    <col min="8" max="8" width="19.42578125" style="2672" customWidth="1"/>
    <col min="9" max="9" width="19.7109375" style="2672" customWidth="1"/>
    <col min="10" max="10" width="17.42578125" style="2672" bestFit="1" customWidth="1"/>
    <col min="11" max="11" width="20.28515625" style="2672" customWidth="1"/>
    <col min="12" max="12" width="24.85546875" style="2672" customWidth="1"/>
    <col min="13" max="13" width="21.85546875" style="2672" customWidth="1"/>
    <col min="14" max="14" width="13.7109375" style="2672" customWidth="1"/>
    <col min="15" max="16" width="14.85546875" style="2672" bestFit="1" customWidth="1"/>
    <col min="17" max="17" width="3" style="2672" customWidth="1"/>
    <col min="18" max="18" width="14" style="2672" customWidth="1"/>
    <col min="19" max="19" width="15.7109375" style="2672" customWidth="1"/>
    <col min="20" max="20" width="18.42578125" style="2672" bestFit="1" customWidth="1"/>
    <col min="21" max="21" width="17.42578125" style="2672" bestFit="1" customWidth="1"/>
    <col min="22" max="16384" width="16.85546875" style="2672"/>
  </cols>
  <sheetData>
    <row r="1" spans="1:24" ht="37.5" customHeight="1" x14ac:dyDescent="0.65">
      <c r="A1" s="2668" t="s">
        <v>783</v>
      </c>
      <c r="B1" s="2669"/>
      <c r="C1" s="2670"/>
      <c r="D1" s="2670"/>
      <c r="E1" s="2671"/>
      <c r="F1" s="2670"/>
    </row>
    <row r="2" spans="1:24" ht="37.5" customHeight="1" x14ac:dyDescent="0.65">
      <c r="A2" s="2668"/>
      <c r="B2" s="2668"/>
      <c r="E2" s="2673"/>
    </row>
    <row r="3" spans="1:24" ht="37.5" customHeight="1" x14ac:dyDescent="0.65">
      <c r="A3" s="2668"/>
      <c r="B3" s="2668"/>
      <c r="E3" s="2673"/>
    </row>
    <row r="4" spans="1:24" ht="37.5" customHeight="1" x14ac:dyDescent="0.65">
      <c r="A4" s="2668"/>
      <c r="B4" s="2668"/>
      <c r="E4" s="2673"/>
    </row>
    <row r="5" spans="1:24" ht="11.25" customHeight="1" x14ac:dyDescent="0.2">
      <c r="A5" s="2674"/>
      <c r="B5" s="2674"/>
      <c r="C5" s="2674"/>
      <c r="D5" s="2674"/>
      <c r="E5" s="2674"/>
      <c r="F5" s="2674"/>
      <c r="G5" s="2674"/>
      <c r="H5" s="2674"/>
      <c r="I5" s="2674"/>
      <c r="J5" s="2700"/>
      <c r="K5" s="2701"/>
      <c r="L5" s="2701"/>
      <c r="M5" s="2701"/>
      <c r="N5" s="2701"/>
      <c r="R5" s="2674"/>
      <c r="S5" s="2674"/>
      <c r="T5" s="2674"/>
      <c r="U5" s="2674"/>
    </row>
    <row r="6" spans="1:24" ht="18" x14ac:dyDescent="0.35">
      <c r="A6" s="2674"/>
      <c r="B6" s="2716" t="s">
        <v>2080</v>
      </c>
      <c r="C6" s="2674"/>
      <c r="D6" s="2674"/>
      <c r="E6" s="2674"/>
      <c r="F6" s="2674"/>
      <c r="G6" s="2674"/>
      <c r="H6" s="2674"/>
      <c r="I6" s="2674"/>
      <c r="J6" s="2674"/>
      <c r="K6" s="2674"/>
      <c r="L6" s="2674"/>
      <c r="M6" s="2674"/>
      <c r="N6" s="2674"/>
      <c r="O6" s="2674"/>
      <c r="P6" s="2674"/>
      <c r="Q6" s="2674"/>
      <c r="R6" s="2674"/>
      <c r="S6" s="2674"/>
      <c r="T6" s="2674"/>
      <c r="U6" s="2674"/>
    </row>
    <row r="7" spans="1:24" ht="15.75" customHeight="1" x14ac:dyDescent="0.3">
      <c r="A7" s="2674"/>
      <c r="B7" s="2960" t="s">
        <v>821</v>
      </c>
      <c r="C7" s="2961"/>
      <c r="D7" s="2961"/>
      <c r="E7" s="2961"/>
      <c r="F7" s="2961"/>
      <c r="G7" s="2961"/>
      <c r="H7" s="2961"/>
      <c r="I7" s="2961"/>
      <c r="J7" s="2961"/>
      <c r="K7" s="2961"/>
      <c r="L7" s="2961"/>
      <c r="M7" s="2961"/>
      <c r="N7" s="2961"/>
      <c r="O7" s="2961"/>
      <c r="P7" s="2961"/>
      <c r="Q7" s="2961"/>
      <c r="R7" s="2961"/>
      <c r="S7" s="2961"/>
      <c r="T7" s="2961"/>
      <c r="U7" s="2961"/>
      <c r="W7" s="2944" t="s">
        <v>1</v>
      </c>
      <c r="X7" s="2945"/>
    </row>
    <row r="8" spans="1:24" ht="20.25" customHeight="1" x14ac:dyDescent="0.3">
      <c r="A8" s="2674"/>
      <c r="B8" s="2962" t="s">
        <v>822</v>
      </c>
      <c r="C8" s="2963"/>
      <c r="D8" s="2963"/>
      <c r="E8" s="2963"/>
      <c r="F8" s="2963"/>
      <c r="G8" s="2963"/>
      <c r="H8" s="2963"/>
      <c r="I8" s="2963"/>
      <c r="J8" s="2963"/>
      <c r="K8" s="2963"/>
      <c r="L8" s="2963"/>
      <c r="M8" s="2963"/>
      <c r="N8" s="2963"/>
      <c r="O8" s="2963"/>
      <c r="P8" s="2963"/>
      <c r="Q8" s="2963"/>
      <c r="R8" s="2963"/>
      <c r="S8" s="2963"/>
      <c r="T8" s="2963"/>
      <c r="U8" s="2964"/>
      <c r="W8" s="2677"/>
      <c r="X8" s="2678" t="str">
        <f>Summary!E3</f>
        <v>AR5 100-yr GWP</v>
      </c>
    </row>
    <row r="9" spans="1:24" s="2704" customFormat="1" ht="14.4" x14ac:dyDescent="0.3">
      <c r="A9" s="2702"/>
      <c r="B9" s="2705"/>
      <c r="C9" s="2949" t="s">
        <v>593</v>
      </c>
      <c r="D9" s="2950"/>
      <c r="E9" s="2950"/>
      <c r="F9" s="2951"/>
      <c r="G9" s="2703"/>
      <c r="H9" s="2949" t="s">
        <v>224</v>
      </c>
      <c r="I9" s="2950"/>
      <c r="J9" s="2950"/>
      <c r="K9" s="2951"/>
      <c r="L9" s="2703"/>
      <c r="M9" s="2965" t="s">
        <v>787</v>
      </c>
      <c r="N9" s="2950"/>
      <c r="O9" s="2950"/>
      <c r="P9" s="2951"/>
      <c r="Q9" s="2703"/>
      <c r="R9" s="2949" t="s">
        <v>823</v>
      </c>
      <c r="S9" s="2950"/>
      <c r="T9" s="2950"/>
      <c r="U9" s="2951"/>
      <c r="W9" s="2677" t="s">
        <v>521</v>
      </c>
      <c r="X9" s="2678">
        <f>Summary!E4</f>
        <v>1</v>
      </c>
    </row>
    <row r="10" spans="1:24" s="2704" customFormat="1" ht="11.25" customHeight="1" x14ac:dyDescent="0.3">
      <c r="A10" s="2702"/>
      <c r="B10" s="2689" t="s">
        <v>786</v>
      </c>
      <c r="C10" s="2689" t="s">
        <v>5</v>
      </c>
      <c r="D10" s="2689" t="s">
        <v>6</v>
      </c>
      <c r="E10" s="2689" t="s">
        <v>4</v>
      </c>
      <c r="F10" s="2709" t="s">
        <v>824</v>
      </c>
      <c r="G10" s="2703"/>
      <c r="H10" s="2689" t="s">
        <v>5</v>
      </c>
      <c r="I10" s="2689" t="s">
        <v>6</v>
      </c>
      <c r="J10" s="2689" t="s">
        <v>4</v>
      </c>
      <c r="K10" s="2709" t="s">
        <v>824</v>
      </c>
      <c r="L10" s="2703"/>
      <c r="M10" s="2689" t="s">
        <v>5</v>
      </c>
      <c r="N10" s="2689" t="s">
        <v>6</v>
      </c>
      <c r="O10" s="2689" t="s">
        <v>4</v>
      </c>
      <c r="P10" s="2709" t="s">
        <v>824</v>
      </c>
      <c r="Q10" s="2703"/>
      <c r="R10" s="2689" t="s">
        <v>5</v>
      </c>
      <c r="S10" s="2689" t="s">
        <v>6</v>
      </c>
      <c r="T10" s="2689" t="s">
        <v>4</v>
      </c>
      <c r="U10" s="2709" t="s">
        <v>824</v>
      </c>
      <c r="W10" s="2677" t="s">
        <v>523</v>
      </c>
      <c r="X10" s="2678">
        <f>Summary!E5</f>
        <v>28</v>
      </c>
    </row>
    <row r="11" spans="1:24" ht="11.25" customHeight="1" x14ac:dyDescent="0.2">
      <c r="A11" s="2674"/>
      <c r="B11" s="2693">
        <v>24001</v>
      </c>
      <c r="C11" s="2694">
        <v>15208626</v>
      </c>
      <c r="D11" s="2694">
        <v>5288085</v>
      </c>
      <c r="E11" s="2694">
        <v>256792945446</v>
      </c>
      <c r="F11" s="2710">
        <v>258744250222</v>
      </c>
      <c r="G11" s="2692"/>
      <c r="H11" s="2694">
        <v>1937158</v>
      </c>
      <c r="I11" s="2694">
        <v>165846</v>
      </c>
      <c r="J11" s="2694">
        <v>87104270260</v>
      </c>
      <c r="K11" s="2710">
        <v>87200864488</v>
      </c>
      <c r="L11" s="2692"/>
      <c r="M11" s="2694">
        <v>5102645</v>
      </c>
      <c r="N11" s="2694">
        <v>71289</v>
      </c>
      <c r="O11" s="2694">
        <v>681733493</v>
      </c>
      <c r="P11" s="2710">
        <v>828881963</v>
      </c>
      <c r="Q11" s="2692"/>
      <c r="R11" s="2694">
        <v>38343</v>
      </c>
      <c r="S11" s="2694">
        <v>6293</v>
      </c>
      <c r="T11" s="2694">
        <v>486045121</v>
      </c>
      <c r="U11" s="2710">
        <v>488866464</v>
      </c>
      <c r="W11" s="2677" t="s">
        <v>525</v>
      </c>
      <c r="X11" s="2678">
        <f>Summary!E6</f>
        <v>265</v>
      </c>
    </row>
    <row r="12" spans="1:24" ht="11.25" customHeight="1" x14ac:dyDescent="0.2">
      <c r="A12" s="2674"/>
      <c r="B12" s="2693">
        <v>24003</v>
      </c>
      <c r="C12" s="2694">
        <v>91359732</v>
      </c>
      <c r="D12" s="2694">
        <v>39806268</v>
      </c>
      <c r="E12" s="2694">
        <v>1889131816636</v>
      </c>
      <c r="F12" s="2710">
        <v>1903249085923</v>
      </c>
      <c r="G12" s="2692"/>
      <c r="H12" s="2694">
        <v>12608900</v>
      </c>
      <c r="I12" s="2694">
        <v>1279098</v>
      </c>
      <c r="J12" s="2694">
        <v>564291903844</v>
      </c>
      <c r="K12" s="2710">
        <v>564980057731</v>
      </c>
      <c r="L12" s="2692"/>
      <c r="M12" s="2694">
        <v>54326803</v>
      </c>
      <c r="N12" s="2694">
        <v>632698</v>
      </c>
      <c r="O12" s="2694">
        <v>6056819797</v>
      </c>
      <c r="P12" s="2710">
        <v>7585839899</v>
      </c>
      <c r="Q12" s="2692"/>
      <c r="R12" s="2694">
        <v>280480</v>
      </c>
      <c r="S12" s="2694">
        <v>57930</v>
      </c>
      <c r="T12" s="2694">
        <v>3552407018</v>
      </c>
      <c r="U12" s="2710">
        <v>3576590294</v>
      </c>
      <c r="W12" s="2677" t="s">
        <v>526</v>
      </c>
      <c r="X12" s="2679">
        <f>Summary!E7</f>
        <v>23500</v>
      </c>
    </row>
    <row r="13" spans="1:24" ht="11.25" customHeight="1" x14ac:dyDescent="0.2">
      <c r="A13" s="2674"/>
      <c r="B13" s="2693">
        <v>24005</v>
      </c>
      <c r="C13" s="2694">
        <v>116202345</v>
      </c>
      <c r="D13" s="2694">
        <v>50182547</v>
      </c>
      <c r="E13" s="2694">
        <v>2562826709289</v>
      </c>
      <c r="F13" s="2710">
        <v>2581395394047</v>
      </c>
      <c r="G13" s="2692"/>
      <c r="H13" s="2694">
        <v>18829394</v>
      </c>
      <c r="I13" s="2694">
        <v>1841646</v>
      </c>
      <c r="J13" s="2694">
        <v>855087048754</v>
      </c>
      <c r="K13" s="2710">
        <v>856093607464</v>
      </c>
      <c r="L13" s="2692"/>
      <c r="M13" s="2694">
        <v>63549680</v>
      </c>
      <c r="N13" s="2694">
        <v>860266</v>
      </c>
      <c r="O13" s="2694">
        <v>7416374879</v>
      </c>
      <c r="P13" s="2710">
        <v>9240781072</v>
      </c>
      <c r="Q13" s="2692"/>
      <c r="R13" s="2694">
        <v>364535</v>
      </c>
      <c r="S13" s="2694">
        <v>73245</v>
      </c>
      <c r="T13" s="2694">
        <v>4772897059</v>
      </c>
      <c r="U13" s="2710">
        <v>4803715975</v>
      </c>
    </row>
    <row r="14" spans="1:24" ht="11.25" customHeight="1" x14ac:dyDescent="0.2">
      <c r="A14" s="2674"/>
      <c r="B14" s="2693">
        <v>24009</v>
      </c>
      <c r="C14" s="2694">
        <v>14580764</v>
      </c>
      <c r="D14" s="2694">
        <v>6333226</v>
      </c>
      <c r="E14" s="2694">
        <v>237336087742</v>
      </c>
      <c r="F14" s="2710">
        <v>239583201957</v>
      </c>
      <c r="G14" s="2692"/>
      <c r="H14" s="2694">
        <v>1346833</v>
      </c>
      <c r="I14" s="2694">
        <v>141903</v>
      </c>
      <c r="J14" s="2694">
        <v>54734454356</v>
      </c>
      <c r="K14" s="2710">
        <v>54809376661</v>
      </c>
      <c r="L14" s="2692"/>
      <c r="M14" s="2694">
        <v>5023402</v>
      </c>
      <c r="N14" s="2694">
        <v>55050</v>
      </c>
      <c r="O14" s="2694">
        <v>512759047</v>
      </c>
      <c r="P14" s="2710">
        <v>653113157</v>
      </c>
      <c r="Q14" s="2692"/>
      <c r="R14" s="2694">
        <v>39703</v>
      </c>
      <c r="S14" s="2694">
        <v>8508</v>
      </c>
      <c r="T14" s="2694">
        <v>447197957</v>
      </c>
      <c r="U14" s="2710">
        <v>450712853</v>
      </c>
    </row>
    <row r="15" spans="1:24" ht="11.25" customHeight="1" x14ac:dyDescent="0.2">
      <c r="A15" s="2674"/>
      <c r="B15" s="2693">
        <v>24011</v>
      </c>
      <c r="C15" s="2694">
        <v>8517754</v>
      </c>
      <c r="D15" s="2694">
        <v>3387422</v>
      </c>
      <c r="E15" s="2694">
        <v>125670686798</v>
      </c>
      <c r="F15" s="2710">
        <v>126890398488</v>
      </c>
      <c r="G15" s="2692"/>
      <c r="H15" s="2694">
        <v>986480</v>
      </c>
      <c r="I15" s="2694">
        <v>105850</v>
      </c>
      <c r="J15" s="2694">
        <v>45623017513</v>
      </c>
      <c r="K15" s="2710">
        <v>45678503122</v>
      </c>
      <c r="L15" s="2692"/>
      <c r="M15" s="2694">
        <v>2824322</v>
      </c>
      <c r="N15" s="2694">
        <v>41253</v>
      </c>
      <c r="O15" s="2694">
        <v>331621478</v>
      </c>
      <c r="P15" s="2710">
        <v>413602937</v>
      </c>
      <c r="Q15" s="2692"/>
      <c r="R15" s="2694">
        <v>20937</v>
      </c>
      <c r="S15" s="2694">
        <v>3898</v>
      </c>
      <c r="T15" s="2694">
        <v>226937643</v>
      </c>
      <c r="U15" s="2710">
        <v>228615584</v>
      </c>
    </row>
    <row r="16" spans="1:24" ht="11.25" customHeight="1" x14ac:dyDescent="0.2">
      <c r="A16" s="2674"/>
      <c r="B16" s="2693">
        <v>24013</v>
      </c>
      <c r="C16" s="2694">
        <v>28793976</v>
      </c>
      <c r="D16" s="2694">
        <v>12386706</v>
      </c>
      <c r="E16" s="2694">
        <v>427843048138</v>
      </c>
      <c r="F16" s="2710">
        <v>432245115779</v>
      </c>
      <c r="G16" s="2692"/>
      <c r="H16" s="2694">
        <v>2806476</v>
      </c>
      <c r="I16" s="2694">
        <v>288307</v>
      </c>
      <c r="J16" s="2694">
        <v>114274470635</v>
      </c>
      <c r="K16" s="2710">
        <v>114428621965</v>
      </c>
      <c r="L16" s="2692"/>
      <c r="M16" s="2694">
        <v>12271387</v>
      </c>
      <c r="N16" s="2694">
        <v>125518</v>
      </c>
      <c r="O16" s="2694">
        <v>1270422469</v>
      </c>
      <c r="P16" s="2710">
        <v>1610614478</v>
      </c>
      <c r="Q16" s="2692"/>
      <c r="R16" s="2694">
        <v>81423</v>
      </c>
      <c r="S16" s="2694">
        <v>17280</v>
      </c>
      <c r="T16" s="2694">
        <v>844921492</v>
      </c>
      <c r="U16" s="2710">
        <v>852079792</v>
      </c>
    </row>
    <row r="17" spans="1:21" ht="11.25" customHeight="1" x14ac:dyDescent="0.2">
      <c r="A17" s="2674"/>
      <c r="B17" s="2693">
        <v>24015</v>
      </c>
      <c r="C17" s="2694">
        <v>19541694</v>
      </c>
      <c r="D17" s="2694">
        <v>7537415</v>
      </c>
      <c r="E17" s="2694">
        <v>375327636824</v>
      </c>
      <c r="F17" s="2710">
        <v>378056224931</v>
      </c>
      <c r="G17" s="2692"/>
      <c r="H17" s="2694">
        <v>5188488</v>
      </c>
      <c r="I17" s="2694">
        <v>482988</v>
      </c>
      <c r="J17" s="2694">
        <v>237825255035</v>
      </c>
      <c r="K17" s="2710">
        <v>238095056376</v>
      </c>
      <c r="L17" s="2692"/>
      <c r="M17" s="2694">
        <v>15287230</v>
      </c>
      <c r="N17" s="2694">
        <v>221109</v>
      </c>
      <c r="O17" s="2694">
        <v>1866566821</v>
      </c>
      <c r="P17" s="2710">
        <v>2309659329</v>
      </c>
      <c r="Q17" s="2692"/>
      <c r="R17" s="2694">
        <v>51668</v>
      </c>
      <c r="S17" s="2694">
        <v>9503</v>
      </c>
      <c r="T17" s="2694">
        <v>703573461</v>
      </c>
      <c r="U17" s="2710">
        <v>707680309</v>
      </c>
    </row>
    <row r="18" spans="1:21" ht="11.25" customHeight="1" x14ac:dyDescent="0.2">
      <c r="A18" s="2674"/>
      <c r="B18" s="2693">
        <v>24017</v>
      </c>
      <c r="C18" s="2694">
        <v>23915189</v>
      </c>
      <c r="D18" s="2694">
        <v>10496528</v>
      </c>
      <c r="E18" s="2694">
        <v>404002788108</v>
      </c>
      <c r="F18" s="2710">
        <v>407721093650</v>
      </c>
      <c r="G18" s="2692"/>
      <c r="H18" s="2694">
        <v>2281659</v>
      </c>
      <c r="I18" s="2694">
        <v>238221</v>
      </c>
      <c r="J18" s="2694">
        <v>95340650703</v>
      </c>
      <c r="K18" s="2710">
        <v>95466912968</v>
      </c>
      <c r="L18" s="2692"/>
      <c r="M18" s="2694">
        <v>9631206</v>
      </c>
      <c r="N18" s="2694">
        <v>98132</v>
      </c>
      <c r="O18" s="2694">
        <v>947383640</v>
      </c>
      <c r="P18" s="2710">
        <v>1214270369</v>
      </c>
      <c r="Q18" s="2692"/>
      <c r="R18" s="2694">
        <v>65484</v>
      </c>
      <c r="S18" s="2694">
        <v>13843</v>
      </c>
      <c r="T18" s="2694">
        <v>715594028</v>
      </c>
      <c r="U18" s="2710">
        <v>721335119</v>
      </c>
    </row>
    <row r="19" spans="1:21" ht="11.25" customHeight="1" x14ac:dyDescent="0.2">
      <c r="A19" s="2674"/>
      <c r="B19" s="2693">
        <v>24019</v>
      </c>
      <c r="C19" s="2694">
        <v>7195582</v>
      </c>
      <c r="D19" s="2694">
        <v>2721544</v>
      </c>
      <c r="E19" s="2694">
        <v>109824587460</v>
      </c>
      <c r="F19" s="2710">
        <v>110813221629</v>
      </c>
      <c r="G19" s="2692"/>
      <c r="H19" s="2694">
        <v>751486</v>
      </c>
      <c r="I19" s="2694">
        <v>78142</v>
      </c>
      <c r="J19" s="2694">
        <v>33075710733</v>
      </c>
      <c r="K19" s="2710">
        <v>33117162994</v>
      </c>
      <c r="L19" s="2692"/>
      <c r="M19" s="2694">
        <v>2644689</v>
      </c>
      <c r="N19" s="2694">
        <v>34937</v>
      </c>
      <c r="O19" s="2694">
        <v>310315455</v>
      </c>
      <c r="P19" s="2710">
        <v>385982537</v>
      </c>
      <c r="Q19" s="2692"/>
      <c r="R19" s="2694">
        <v>16776</v>
      </c>
      <c r="S19" s="2694">
        <v>2994</v>
      </c>
      <c r="T19" s="2694">
        <v>191849098</v>
      </c>
      <c r="U19" s="2710">
        <v>193155249</v>
      </c>
    </row>
    <row r="20" spans="1:21" ht="11.25" customHeight="1" x14ac:dyDescent="0.2">
      <c r="A20" s="2674"/>
      <c r="B20" s="2693">
        <v>24021</v>
      </c>
      <c r="C20" s="2694">
        <v>46754081</v>
      </c>
      <c r="D20" s="2694">
        <v>18537680</v>
      </c>
      <c r="E20" s="2694">
        <v>994527812571</v>
      </c>
      <c r="F20" s="2710">
        <v>1001205553418</v>
      </c>
      <c r="G20" s="2692"/>
      <c r="H20" s="2694">
        <v>6665678</v>
      </c>
      <c r="I20" s="2694">
        <v>657146</v>
      </c>
      <c r="J20" s="2694">
        <v>307112544095</v>
      </c>
      <c r="K20" s="2710">
        <v>307470136719</v>
      </c>
      <c r="L20" s="2692"/>
      <c r="M20" s="2694">
        <v>23049831</v>
      </c>
      <c r="N20" s="2694">
        <v>280329</v>
      </c>
      <c r="O20" s="2694">
        <v>2580367895</v>
      </c>
      <c r="P20" s="2710">
        <v>3232643769</v>
      </c>
      <c r="Q20" s="2692"/>
      <c r="R20" s="2694">
        <v>135112</v>
      </c>
      <c r="S20" s="2694">
        <v>25704</v>
      </c>
      <c r="T20" s="2694">
        <v>1907130427</v>
      </c>
      <c r="U20" s="2710">
        <v>1918124527</v>
      </c>
    </row>
    <row r="21" spans="1:21" ht="11.25" customHeight="1" x14ac:dyDescent="0.2">
      <c r="A21" s="2674"/>
      <c r="B21" s="2693">
        <v>24023</v>
      </c>
      <c r="C21" s="2694">
        <v>7922278</v>
      </c>
      <c r="D21" s="2694">
        <v>2586237</v>
      </c>
      <c r="E21" s="2694">
        <v>156061208722</v>
      </c>
      <c r="F21" s="2710">
        <v>157027419442</v>
      </c>
      <c r="G21" s="2692"/>
      <c r="H21" s="2694">
        <v>1859923</v>
      </c>
      <c r="I21" s="2694">
        <v>142832</v>
      </c>
      <c r="J21" s="2694">
        <v>78902211969</v>
      </c>
      <c r="K21" s="2710">
        <v>78990281344</v>
      </c>
      <c r="L21" s="2692"/>
      <c r="M21" s="2694">
        <v>4815129</v>
      </c>
      <c r="N21" s="2694">
        <v>69467</v>
      </c>
      <c r="O21" s="2694">
        <v>670514652</v>
      </c>
      <c r="P21" s="2710">
        <v>810025687</v>
      </c>
      <c r="Q21" s="2692"/>
      <c r="R21" s="2694">
        <v>25609</v>
      </c>
      <c r="S21" s="2694">
        <v>3617</v>
      </c>
      <c r="T21" s="2694">
        <v>340357814</v>
      </c>
      <c r="U21" s="2710">
        <v>342067509</v>
      </c>
    </row>
    <row r="22" spans="1:21" ht="11.25" customHeight="1" x14ac:dyDescent="0.2">
      <c r="A22" s="2674"/>
      <c r="B22" s="2693">
        <v>24025</v>
      </c>
      <c r="C22" s="2694">
        <v>39026983</v>
      </c>
      <c r="D22" s="2694">
        <v>16790967</v>
      </c>
      <c r="E22" s="2694">
        <v>796733216570</v>
      </c>
      <c r="F22" s="2710">
        <v>802700455008</v>
      </c>
      <c r="G22" s="2692"/>
      <c r="H22" s="2694">
        <v>5700308</v>
      </c>
      <c r="I22" s="2694">
        <v>548579</v>
      </c>
      <c r="J22" s="2694">
        <v>250399324048</v>
      </c>
      <c r="K22" s="2710">
        <v>250701133469</v>
      </c>
      <c r="L22" s="2692"/>
      <c r="M22" s="2694">
        <v>22877798</v>
      </c>
      <c r="N22" s="2694">
        <v>259038</v>
      </c>
      <c r="O22" s="2694">
        <v>2519425246</v>
      </c>
      <c r="P22" s="2710">
        <v>3161112986</v>
      </c>
      <c r="Q22" s="2692"/>
      <c r="R22" s="2694">
        <v>120727</v>
      </c>
      <c r="S22" s="2694">
        <v>24703</v>
      </c>
      <c r="T22" s="2694">
        <v>1535821295</v>
      </c>
      <c r="U22" s="2710">
        <v>1546161688</v>
      </c>
    </row>
    <row r="23" spans="1:21" ht="11.25" customHeight="1" x14ac:dyDescent="0.2">
      <c r="A23" s="2674"/>
      <c r="B23" s="2693">
        <v>24027</v>
      </c>
      <c r="C23" s="2694">
        <v>46099157</v>
      </c>
      <c r="D23" s="2694">
        <v>19338884</v>
      </c>
      <c r="E23" s="2694">
        <v>1271423508957</v>
      </c>
      <c r="F23" s="2710">
        <v>1278324216884</v>
      </c>
      <c r="G23" s="2692"/>
      <c r="H23" s="2694">
        <v>9411756</v>
      </c>
      <c r="I23" s="2694">
        <v>882677</v>
      </c>
      <c r="J23" s="2694">
        <v>434562519884</v>
      </c>
      <c r="K23" s="2710">
        <v>435054423580</v>
      </c>
      <c r="L23" s="2692"/>
      <c r="M23" s="2694">
        <v>33311119</v>
      </c>
      <c r="N23" s="2694">
        <v>436149</v>
      </c>
      <c r="O23" s="2694">
        <v>3993564961</v>
      </c>
      <c r="P23" s="2710">
        <v>4945466559</v>
      </c>
      <c r="Q23" s="2692"/>
      <c r="R23" s="2694">
        <v>158879</v>
      </c>
      <c r="S23" s="2694">
        <v>30226</v>
      </c>
      <c r="T23" s="2694">
        <v>2448695807</v>
      </c>
      <c r="U23" s="2710">
        <v>2461622576</v>
      </c>
    </row>
    <row r="24" spans="1:21" ht="11.25" customHeight="1" x14ac:dyDescent="0.2">
      <c r="A24" s="2674"/>
      <c r="B24" s="2693">
        <v>24029</v>
      </c>
      <c r="C24" s="2694">
        <v>4431300</v>
      </c>
      <c r="D24" s="2694">
        <v>1657291</v>
      </c>
      <c r="E24" s="2694">
        <v>61368832122</v>
      </c>
      <c r="F24" s="2710">
        <v>61972080310</v>
      </c>
      <c r="G24" s="2692"/>
      <c r="H24" s="2694">
        <v>695415</v>
      </c>
      <c r="I24" s="2694">
        <v>71302</v>
      </c>
      <c r="J24" s="2694">
        <v>31481485139</v>
      </c>
      <c r="K24" s="2710">
        <v>31519660468</v>
      </c>
      <c r="L24" s="2692"/>
      <c r="M24" s="2694">
        <v>1889756</v>
      </c>
      <c r="N24" s="2694">
        <v>29086</v>
      </c>
      <c r="O24" s="2694">
        <v>229576438</v>
      </c>
      <c r="P24" s="2710">
        <v>284872604</v>
      </c>
      <c r="Q24" s="2692"/>
      <c r="R24" s="2694">
        <v>11070</v>
      </c>
      <c r="S24" s="2694">
        <v>1923</v>
      </c>
      <c r="T24" s="2694">
        <v>112278958</v>
      </c>
      <c r="U24" s="2710">
        <v>113125037</v>
      </c>
    </row>
    <row r="25" spans="1:21" ht="11.25" customHeight="1" x14ac:dyDescent="0.2">
      <c r="A25" s="2674"/>
      <c r="B25" s="2693">
        <v>24031</v>
      </c>
      <c r="C25" s="2694">
        <v>109193322</v>
      </c>
      <c r="D25" s="2694">
        <v>51199512</v>
      </c>
      <c r="E25" s="2694">
        <v>2394223618620</v>
      </c>
      <c r="F25" s="2710">
        <v>2412176493064</v>
      </c>
      <c r="G25" s="2692"/>
      <c r="H25" s="2694">
        <v>15418556</v>
      </c>
      <c r="I25" s="2694">
        <v>1546977</v>
      </c>
      <c r="J25" s="2694">
        <v>648865120951</v>
      </c>
      <c r="K25" s="2710">
        <v>649698807284</v>
      </c>
      <c r="L25" s="2692"/>
      <c r="M25" s="2694">
        <v>69662417</v>
      </c>
      <c r="N25" s="2694">
        <v>733705</v>
      </c>
      <c r="O25" s="2694">
        <v>7230032964</v>
      </c>
      <c r="P25" s="2710">
        <v>9167546855</v>
      </c>
      <c r="Q25" s="2692"/>
      <c r="R25" s="2694">
        <v>366456</v>
      </c>
      <c r="S25" s="2694">
        <v>77659</v>
      </c>
      <c r="T25" s="2694">
        <v>4399007079</v>
      </c>
      <c r="U25" s="2710">
        <v>4431191600</v>
      </c>
    </row>
    <row r="26" spans="1:21" ht="11.25" customHeight="1" x14ac:dyDescent="0.2">
      <c r="A26" s="2674"/>
      <c r="B26" s="2693">
        <v>24033</v>
      </c>
      <c r="C26" s="2694">
        <v>129415446</v>
      </c>
      <c r="D26" s="2694">
        <v>53091374</v>
      </c>
      <c r="E26" s="2694">
        <v>2918934069290</v>
      </c>
      <c r="F26" s="2710">
        <v>2937950305785</v>
      </c>
      <c r="G26" s="2692"/>
      <c r="H26" s="2694">
        <v>18684854</v>
      </c>
      <c r="I26" s="2694">
        <v>1896219</v>
      </c>
      <c r="J26" s="2694">
        <v>812975866446</v>
      </c>
      <c r="K26" s="2710">
        <v>813993815540</v>
      </c>
      <c r="L26" s="2692"/>
      <c r="M26" s="2694">
        <v>100238644</v>
      </c>
      <c r="N26" s="2694">
        <v>937651</v>
      </c>
      <c r="O26" s="2694">
        <v>9933734553</v>
      </c>
      <c r="P26" s="2710">
        <v>12686472163</v>
      </c>
      <c r="Q26" s="2692"/>
      <c r="R26" s="2694">
        <v>370530</v>
      </c>
      <c r="S26" s="2694">
        <v>70400</v>
      </c>
      <c r="T26" s="2694">
        <v>5011288736</v>
      </c>
      <c r="U26" s="2710">
        <v>5041411056</v>
      </c>
    </row>
    <row r="27" spans="1:21" ht="11.25" customHeight="1" x14ac:dyDescent="0.2">
      <c r="A27" s="2674"/>
      <c r="B27" s="2693">
        <v>24035</v>
      </c>
      <c r="C27" s="2694">
        <v>12402447</v>
      </c>
      <c r="D27" s="2694">
        <v>4698307</v>
      </c>
      <c r="E27" s="2694">
        <v>272208501017</v>
      </c>
      <c r="F27" s="2710">
        <v>273914822133</v>
      </c>
      <c r="G27" s="2692"/>
      <c r="H27" s="2694">
        <v>3641235</v>
      </c>
      <c r="I27" s="2694">
        <v>367049</v>
      </c>
      <c r="J27" s="2694">
        <v>174433279951</v>
      </c>
      <c r="K27" s="2710">
        <v>174630807358</v>
      </c>
      <c r="L27" s="2692"/>
      <c r="M27" s="2694">
        <v>10082824</v>
      </c>
      <c r="N27" s="2694">
        <v>165676</v>
      </c>
      <c r="O27" s="2694">
        <v>1291489434</v>
      </c>
      <c r="P27" s="2710">
        <v>1589648160</v>
      </c>
      <c r="Q27" s="2692"/>
      <c r="R27" s="2694">
        <v>32799</v>
      </c>
      <c r="S27" s="2694">
        <v>5888</v>
      </c>
      <c r="T27" s="2694">
        <v>525698226</v>
      </c>
      <c r="U27" s="2710">
        <v>528262070</v>
      </c>
    </row>
    <row r="28" spans="1:21" ht="11.25" customHeight="1" x14ac:dyDescent="0.2">
      <c r="A28" s="2674"/>
      <c r="B28" s="2693">
        <v>24037</v>
      </c>
      <c r="C28" s="2694">
        <v>19030342</v>
      </c>
      <c r="D28" s="2694">
        <v>7895987</v>
      </c>
      <c r="E28" s="2694">
        <v>292324294707</v>
      </c>
      <c r="F28" s="2710">
        <v>295147201405</v>
      </c>
      <c r="G28" s="2692"/>
      <c r="H28" s="2694">
        <v>1948717</v>
      </c>
      <c r="I28" s="2694">
        <v>208886</v>
      </c>
      <c r="J28" s="2694">
        <v>83398113370</v>
      </c>
      <c r="K28" s="2710">
        <v>83507609399</v>
      </c>
      <c r="L28" s="2692"/>
      <c r="M28" s="2694">
        <v>5405798</v>
      </c>
      <c r="N28" s="2694">
        <v>75874</v>
      </c>
      <c r="O28" s="2694">
        <v>603444403</v>
      </c>
      <c r="P28" s="2710">
        <v>759438589</v>
      </c>
      <c r="Q28" s="2692"/>
      <c r="R28" s="2694">
        <v>50814</v>
      </c>
      <c r="S28" s="2694">
        <v>9928</v>
      </c>
      <c r="T28" s="2694">
        <v>534694971</v>
      </c>
      <c r="U28" s="2710">
        <v>538907333</v>
      </c>
    </row>
    <row r="29" spans="1:21" ht="11.25" customHeight="1" x14ac:dyDescent="0.2">
      <c r="A29" s="2674"/>
      <c r="B29" s="2693">
        <v>24039</v>
      </c>
      <c r="C29" s="2694">
        <v>5160630</v>
      </c>
      <c r="D29" s="2694">
        <v>1905191</v>
      </c>
      <c r="E29" s="2694">
        <v>85298819077</v>
      </c>
      <c r="F29" s="2710">
        <v>85993942468</v>
      </c>
      <c r="G29" s="2692"/>
      <c r="H29" s="2694">
        <v>513774</v>
      </c>
      <c r="I29" s="2694">
        <v>55608</v>
      </c>
      <c r="J29" s="2694">
        <v>24935160299</v>
      </c>
      <c r="K29" s="2710">
        <v>24964173502</v>
      </c>
      <c r="L29" s="2692"/>
      <c r="M29" s="2694">
        <v>1929629</v>
      </c>
      <c r="N29" s="2694">
        <v>23802</v>
      </c>
      <c r="O29" s="2694">
        <v>223576666</v>
      </c>
      <c r="P29" s="2710">
        <v>278281952</v>
      </c>
      <c r="Q29" s="2692"/>
      <c r="R29" s="2694">
        <v>11895</v>
      </c>
      <c r="S29" s="2694">
        <v>2034</v>
      </c>
      <c r="T29" s="2694">
        <v>150413956</v>
      </c>
      <c r="U29" s="2710">
        <v>151313713</v>
      </c>
    </row>
    <row r="30" spans="1:21" ht="11.25" customHeight="1" x14ac:dyDescent="0.2">
      <c r="A30" s="2674"/>
      <c r="B30" s="2693">
        <v>24041</v>
      </c>
      <c r="C30" s="2694">
        <v>9953875</v>
      </c>
      <c r="D30" s="2694">
        <v>3534594</v>
      </c>
      <c r="E30" s="2694">
        <v>197950249623</v>
      </c>
      <c r="F30" s="2710">
        <v>199249246561</v>
      </c>
      <c r="G30" s="2692"/>
      <c r="H30" s="2694">
        <v>1249777</v>
      </c>
      <c r="I30" s="2694">
        <v>137532</v>
      </c>
      <c r="J30" s="2694">
        <v>59256237754</v>
      </c>
      <c r="K30" s="2710">
        <v>59327464810</v>
      </c>
      <c r="L30" s="2692"/>
      <c r="M30" s="2694">
        <v>3774355</v>
      </c>
      <c r="N30" s="2694">
        <v>53207</v>
      </c>
      <c r="O30" s="2694">
        <v>444847918</v>
      </c>
      <c r="P30" s="2710">
        <v>553832860</v>
      </c>
      <c r="Q30" s="2692"/>
      <c r="R30" s="2694">
        <v>26627</v>
      </c>
      <c r="S30" s="2694">
        <v>4462</v>
      </c>
      <c r="T30" s="2694">
        <v>381609341</v>
      </c>
      <c r="U30" s="2710">
        <v>383595986</v>
      </c>
    </row>
    <row r="31" spans="1:21" ht="11.25" customHeight="1" x14ac:dyDescent="0.2">
      <c r="A31" s="2674"/>
      <c r="B31" s="2693">
        <v>24043</v>
      </c>
      <c r="C31" s="2694">
        <v>34048391</v>
      </c>
      <c r="D31" s="2694">
        <v>12304480</v>
      </c>
      <c r="E31" s="2694">
        <v>612524345137</v>
      </c>
      <c r="F31" s="2710">
        <v>617031777356</v>
      </c>
      <c r="G31" s="2692"/>
      <c r="H31" s="2694">
        <v>8793612</v>
      </c>
      <c r="I31" s="2694">
        <v>741058</v>
      </c>
      <c r="J31" s="2694">
        <v>418097813243</v>
      </c>
      <c r="K31" s="2710">
        <v>418533051973</v>
      </c>
      <c r="L31" s="2692"/>
      <c r="M31" s="2694">
        <v>22632397</v>
      </c>
      <c r="N31" s="2694">
        <v>357176</v>
      </c>
      <c r="O31" s="2694">
        <v>3091960978</v>
      </c>
      <c r="P31" s="2710">
        <v>3756838193</v>
      </c>
      <c r="Q31" s="2692"/>
      <c r="R31" s="2694">
        <v>77932</v>
      </c>
      <c r="S31" s="2694">
        <v>13609</v>
      </c>
      <c r="T31" s="2694">
        <v>1070527053</v>
      </c>
      <c r="U31" s="2710">
        <v>1076504850</v>
      </c>
    </row>
    <row r="32" spans="1:21" ht="11.25" customHeight="1" x14ac:dyDescent="0.2">
      <c r="A32" s="2674"/>
      <c r="B32" s="2693">
        <v>24045</v>
      </c>
      <c r="C32" s="2694">
        <v>19197809</v>
      </c>
      <c r="D32" s="2694">
        <v>7337549</v>
      </c>
      <c r="E32" s="2694">
        <v>317837413847</v>
      </c>
      <c r="F32" s="2710">
        <v>320497912386</v>
      </c>
      <c r="G32" s="2692"/>
      <c r="H32" s="2694">
        <v>1690763</v>
      </c>
      <c r="I32" s="2694">
        <v>178740</v>
      </c>
      <c r="J32" s="2694">
        <v>71677828573</v>
      </c>
      <c r="K32" s="2710">
        <v>71772021895</v>
      </c>
      <c r="L32" s="2692"/>
      <c r="M32" s="2694">
        <v>6614812</v>
      </c>
      <c r="N32" s="2694">
        <v>70470</v>
      </c>
      <c r="O32" s="2694">
        <v>663725719</v>
      </c>
      <c r="P32" s="2710">
        <v>847941504</v>
      </c>
      <c r="Q32" s="2692"/>
      <c r="R32" s="2694">
        <v>50549</v>
      </c>
      <c r="S32" s="2694">
        <v>9074</v>
      </c>
      <c r="T32" s="2694">
        <v>585011113</v>
      </c>
      <c r="U32" s="2710">
        <v>588962633</v>
      </c>
    </row>
    <row r="33" spans="1:21" ht="11.25" customHeight="1" x14ac:dyDescent="0.2">
      <c r="A33" s="2674"/>
      <c r="B33" s="2693">
        <v>24047</v>
      </c>
      <c r="C33" s="2694">
        <v>14157966</v>
      </c>
      <c r="D33" s="2694">
        <v>5059655</v>
      </c>
      <c r="E33" s="2694">
        <v>275317928003</v>
      </c>
      <c r="F33" s="2710">
        <v>277175242324</v>
      </c>
      <c r="G33" s="2692"/>
      <c r="H33" s="2694">
        <v>1604108</v>
      </c>
      <c r="I33" s="2694">
        <v>174738</v>
      </c>
      <c r="J33" s="2694">
        <v>74005469129</v>
      </c>
      <c r="K33" s="2710">
        <v>74096408266</v>
      </c>
      <c r="L33" s="2692"/>
      <c r="M33" s="2694">
        <v>7228451</v>
      </c>
      <c r="N33" s="2694">
        <v>78423</v>
      </c>
      <c r="O33" s="2694">
        <v>737530409</v>
      </c>
      <c r="P33" s="2710">
        <v>939257617</v>
      </c>
      <c r="Q33" s="2692"/>
      <c r="R33" s="2694">
        <v>38161</v>
      </c>
      <c r="S33" s="2694">
        <v>6491</v>
      </c>
      <c r="T33" s="2694">
        <v>538998036</v>
      </c>
      <c r="U33" s="2710">
        <v>541874021</v>
      </c>
    </row>
    <row r="34" spans="1:21" ht="11.25" customHeight="1" x14ac:dyDescent="0.2">
      <c r="A34" s="2674"/>
      <c r="B34" s="2693">
        <v>24510</v>
      </c>
      <c r="C34" s="2694">
        <v>49770497</v>
      </c>
      <c r="D34" s="2694">
        <v>20426082</v>
      </c>
      <c r="E34" s="2694">
        <v>1133437725425</v>
      </c>
      <c r="F34" s="2710">
        <v>1140753611126</v>
      </c>
      <c r="G34" s="2692"/>
      <c r="H34" s="2694">
        <v>8309709</v>
      </c>
      <c r="I34" s="2694">
        <v>804885</v>
      </c>
      <c r="J34" s="2694">
        <v>328735300798</v>
      </c>
      <c r="K34" s="2710">
        <v>329176600617</v>
      </c>
      <c r="L34" s="2692"/>
      <c r="M34" s="2694">
        <v>54387727</v>
      </c>
      <c r="N34" s="2694">
        <v>548480</v>
      </c>
      <c r="O34" s="2694">
        <v>4986220314</v>
      </c>
      <c r="P34" s="2710">
        <v>6491645926</v>
      </c>
      <c r="Q34" s="2692"/>
      <c r="R34" s="2694">
        <v>145128</v>
      </c>
      <c r="S34" s="2694">
        <v>27578</v>
      </c>
      <c r="T34" s="2694">
        <v>1913676963</v>
      </c>
      <c r="U34" s="2710">
        <v>1925476406</v>
      </c>
    </row>
    <row r="35" spans="1:21" ht="11.25" customHeight="1" x14ac:dyDescent="0.2">
      <c r="A35" s="2674"/>
      <c r="B35" s="2695" t="s">
        <v>825</v>
      </c>
      <c r="C35" s="2696">
        <v>871880186</v>
      </c>
      <c r="D35" s="2696">
        <v>364503532</v>
      </c>
      <c r="E35" s="2696">
        <v>18168927850127</v>
      </c>
      <c r="F35" s="2711">
        <v>18299818266298</v>
      </c>
      <c r="G35" s="2697"/>
      <c r="H35" s="2696">
        <v>132925060</v>
      </c>
      <c r="I35" s="2696">
        <v>13036227</v>
      </c>
      <c r="J35" s="2696">
        <v>5886195057481</v>
      </c>
      <c r="K35" s="2711">
        <v>5893306559994</v>
      </c>
      <c r="L35" s="2697"/>
      <c r="M35" s="2696">
        <v>538562053</v>
      </c>
      <c r="N35" s="2696">
        <v>6258783</v>
      </c>
      <c r="O35" s="2696">
        <v>58594009631</v>
      </c>
      <c r="P35" s="2711">
        <v>73747771167</v>
      </c>
      <c r="Q35" s="2697"/>
      <c r="R35" s="2696">
        <v>2581639</v>
      </c>
      <c r="S35" s="2696">
        <v>506791</v>
      </c>
      <c r="T35" s="2696">
        <v>33396632650</v>
      </c>
      <c r="U35" s="2711">
        <v>33611352644</v>
      </c>
    </row>
    <row r="36" spans="1:21" ht="11.25" customHeight="1" x14ac:dyDescent="0.2">
      <c r="A36" s="2674"/>
      <c r="B36" s="2692"/>
      <c r="C36" s="2692"/>
      <c r="D36" s="2692"/>
      <c r="E36" s="2692"/>
      <c r="F36" s="2692"/>
      <c r="G36" s="2692"/>
      <c r="H36" s="2692"/>
      <c r="I36" s="2692"/>
      <c r="J36" s="2692"/>
      <c r="K36" s="2692"/>
      <c r="L36" s="2692"/>
      <c r="M36" s="2692"/>
      <c r="N36" s="2692"/>
      <c r="O36" s="2692"/>
      <c r="P36" s="2692"/>
      <c r="Q36" s="2692"/>
      <c r="R36" s="2692"/>
      <c r="S36" s="2692"/>
      <c r="T36" s="2692"/>
      <c r="U36" s="2692"/>
    </row>
    <row r="37" spans="1:21" ht="17.399999999999999" x14ac:dyDescent="0.35">
      <c r="A37" s="2674"/>
      <c r="B37" s="2952" t="s">
        <v>2079</v>
      </c>
      <c r="C37" s="2953"/>
      <c r="D37" s="2953"/>
      <c r="E37" s="2953"/>
      <c r="F37" s="2953"/>
      <c r="G37" s="2953"/>
      <c r="H37" s="2953"/>
      <c r="I37" s="2953"/>
      <c r="J37" s="2953"/>
      <c r="K37" s="2953"/>
      <c r="L37" s="2953"/>
      <c r="M37" s="2953"/>
      <c r="N37" s="2953"/>
      <c r="O37" s="2953"/>
      <c r="P37" s="2953"/>
      <c r="Q37" s="2953"/>
      <c r="R37" s="2953"/>
      <c r="S37" s="2953"/>
      <c r="T37" s="2953"/>
      <c r="U37" s="2954"/>
    </row>
    <row r="38" spans="1:21" s="2704" customFormat="1" ht="14.4" x14ac:dyDescent="0.3">
      <c r="A38" s="2702"/>
      <c r="B38" s="2714" t="s">
        <v>86</v>
      </c>
      <c r="C38" s="2712">
        <f t="shared" ref="C38:F38" si="0">C35/1000000000000</f>
        <v>8.7188018600000002E-4</v>
      </c>
      <c r="D38" s="2712">
        <f t="shared" si="0"/>
        <v>3.6450353200000001E-4</v>
      </c>
      <c r="E38" s="2712">
        <f t="shared" si="0"/>
        <v>18.168927850127002</v>
      </c>
      <c r="F38" s="2715">
        <f t="shared" si="0"/>
        <v>18.299818266298001</v>
      </c>
      <c r="G38" s="2713"/>
      <c r="H38" s="2712">
        <f t="shared" ref="H38:K38" si="1">H35/1000000000000</f>
        <v>1.3292506E-4</v>
      </c>
      <c r="I38" s="2712">
        <f t="shared" si="1"/>
        <v>1.3036226999999999E-5</v>
      </c>
      <c r="J38" s="2712">
        <f t="shared" si="1"/>
        <v>5.8861950574810002</v>
      </c>
      <c r="K38" s="2715">
        <f t="shared" si="1"/>
        <v>5.8933065599940004</v>
      </c>
      <c r="L38" s="2713"/>
      <c r="M38" s="2712">
        <f t="shared" ref="M38:P38" si="2">M35/1000000000000</f>
        <v>5.3856205300000003E-4</v>
      </c>
      <c r="N38" s="2712">
        <f t="shared" si="2"/>
        <v>6.2587830000000003E-6</v>
      </c>
      <c r="O38" s="2712">
        <f t="shared" si="2"/>
        <v>5.8594009630999998E-2</v>
      </c>
      <c r="P38" s="2715">
        <f t="shared" si="2"/>
        <v>7.3747771167000001E-2</v>
      </c>
      <c r="Q38" s="2713"/>
      <c r="R38" s="2712">
        <f t="shared" ref="R38:U38" si="3">R35/1000000000000</f>
        <v>2.581639E-6</v>
      </c>
      <c r="S38" s="2712">
        <f t="shared" si="3"/>
        <v>5.0679100000000003E-7</v>
      </c>
      <c r="T38" s="2712">
        <f t="shared" si="3"/>
        <v>3.3396632650000001E-2</v>
      </c>
      <c r="U38" s="2715">
        <f t="shared" si="3"/>
        <v>3.3611352644000003E-2</v>
      </c>
    </row>
    <row r="39" spans="1:21" ht="11.25" customHeight="1" x14ac:dyDescent="0.2">
      <c r="A39" s="2674"/>
      <c r="B39" s="2698"/>
      <c r="C39" s="2692"/>
      <c r="D39" s="2692"/>
      <c r="E39" s="2692"/>
      <c r="F39" s="2692"/>
      <c r="G39" s="2674"/>
      <c r="H39" s="2674"/>
      <c r="I39" s="2674"/>
      <c r="J39" s="2674"/>
      <c r="K39" s="2674"/>
      <c r="L39" s="2674"/>
      <c r="M39" s="2674"/>
      <c r="N39" s="2674"/>
      <c r="O39" s="2674"/>
      <c r="P39" s="2674"/>
      <c r="Q39" s="2674"/>
      <c r="R39" s="2674"/>
      <c r="S39" s="2674"/>
      <c r="T39" s="2674"/>
      <c r="U39" s="2692"/>
    </row>
    <row r="40" spans="1:21" ht="17.399999999999999" x14ac:dyDescent="0.35">
      <c r="A40" s="2674"/>
      <c r="B40" s="2955" t="s">
        <v>2078</v>
      </c>
      <c r="C40" s="2953"/>
      <c r="D40" s="2953"/>
      <c r="E40" s="2953"/>
      <c r="F40" s="2953"/>
      <c r="G40" s="2953"/>
      <c r="H40" s="2953"/>
      <c r="I40" s="2953"/>
      <c r="J40" s="2953"/>
      <c r="K40" s="2953"/>
      <c r="L40" s="2953"/>
      <c r="M40" s="2953"/>
      <c r="N40" s="2953"/>
      <c r="O40" s="2953"/>
      <c r="P40" s="2953"/>
      <c r="Q40" s="2953"/>
      <c r="R40" s="2953"/>
      <c r="S40" s="2953"/>
      <c r="T40" s="2953"/>
      <c r="U40" s="2954"/>
    </row>
    <row r="41" spans="1:21" ht="11.25" customHeight="1" x14ac:dyDescent="0.2">
      <c r="A41" s="2674"/>
      <c r="B41" s="2698"/>
      <c r="C41" s="2692"/>
      <c r="D41" s="2692"/>
      <c r="E41" s="2692"/>
      <c r="F41" s="2692"/>
      <c r="G41" s="2674"/>
      <c r="H41" s="2692"/>
      <c r="I41" s="2692"/>
      <c r="J41" s="2692"/>
      <c r="K41" s="2692"/>
      <c r="L41" s="2674"/>
      <c r="M41" s="2692"/>
      <c r="N41" s="2692"/>
      <c r="O41" s="2692"/>
      <c r="P41" s="2692"/>
      <c r="Q41" s="2674"/>
      <c r="R41" s="2692"/>
      <c r="S41" s="2692"/>
      <c r="T41" s="2692"/>
      <c r="U41" s="2692"/>
    </row>
    <row r="42" spans="1:21" s="2704" customFormat="1" ht="15.75" customHeight="1" x14ac:dyDescent="0.3">
      <c r="A42" s="2702"/>
      <c r="B42" s="2706" t="s">
        <v>86</v>
      </c>
      <c r="C42" s="2707">
        <f>C38*$X$10</f>
        <v>2.4412645207999999E-2</v>
      </c>
      <c r="D42" s="2707">
        <f>D38*$X$11</f>
        <v>9.6593435980000003E-2</v>
      </c>
      <c r="E42" s="2707">
        <f>E38*$X$9</f>
        <v>18.168927850127002</v>
      </c>
      <c r="F42" s="2707">
        <f>C42+D42+E42</f>
        <v>18.289933931315002</v>
      </c>
      <c r="G42" s="2708"/>
      <c r="H42" s="2707">
        <f>H38*$X$10</f>
        <v>3.72190168E-3</v>
      </c>
      <c r="I42" s="2707">
        <f>I38*$X$11</f>
        <v>3.4546001549999998E-3</v>
      </c>
      <c r="J42" s="2707">
        <f>J38*$X$9</f>
        <v>5.8861950574810002</v>
      </c>
      <c r="K42" s="2707">
        <f>H42+I42+J42</f>
        <v>5.8933715593159999</v>
      </c>
      <c r="L42" s="2708"/>
      <c r="M42" s="2707">
        <f>M38*$X$10</f>
        <v>1.5079737484000001E-2</v>
      </c>
      <c r="N42" s="2707">
        <f>N38*$X$11</f>
        <v>1.658577495E-3</v>
      </c>
      <c r="O42" s="2707">
        <f>O38*$X$9</f>
        <v>5.8594009630999998E-2</v>
      </c>
      <c r="P42" s="2707">
        <f>M42+N42+O42</f>
        <v>7.5332324610000001E-2</v>
      </c>
      <c r="Q42" s="2708"/>
      <c r="R42" s="2707">
        <f>R38*$X$10</f>
        <v>7.2285892000000003E-5</v>
      </c>
      <c r="S42" s="2707">
        <f>S38*$X$11</f>
        <v>1.3429961500000001E-4</v>
      </c>
      <c r="T42" s="2707">
        <f>T38*$X$9</f>
        <v>3.3396632650000001E-2</v>
      </c>
      <c r="U42" s="2707">
        <f>R42+S42+T42</f>
        <v>3.3603218157E-2</v>
      </c>
    </row>
    <row r="43" spans="1:21" ht="11.25" customHeight="1" x14ac:dyDescent="0.2">
      <c r="A43" s="2674"/>
      <c r="B43" s="2698"/>
      <c r="C43" s="2692"/>
      <c r="D43" s="2692"/>
      <c r="E43" s="2692"/>
      <c r="F43" s="2692"/>
      <c r="G43" s="2692"/>
      <c r="H43" s="2692"/>
      <c r="I43" s="2692"/>
      <c r="J43" s="2692"/>
      <c r="K43" s="2692"/>
      <c r="L43" s="2692"/>
      <c r="M43" s="2692"/>
      <c r="N43" s="2692"/>
      <c r="O43" s="2692"/>
      <c r="P43" s="2692"/>
      <c r="Q43" s="2692"/>
      <c r="R43" s="2692"/>
      <c r="S43" s="2692"/>
      <c r="T43" s="2692"/>
      <c r="U43" s="2692"/>
    </row>
    <row r="44" spans="1:21" ht="11.25" customHeight="1" x14ac:dyDescent="0.2">
      <c r="A44" s="2674"/>
      <c r="B44" s="2700"/>
      <c r="C44" s="2700"/>
      <c r="D44" s="2700"/>
      <c r="E44" s="2700"/>
      <c r="F44" s="2674"/>
      <c r="G44" s="2674"/>
      <c r="H44" s="2674"/>
      <c r="I44" s="2674"/>
      <c r="J44" s="2674"/>
      <c r="K44" s="2674"/>
      <c r="L44" s="2674"/>
      <c r="M44" s="2674"/>
      <c r="N44" s="2674"/>
      <c r="O44" s="2674"/>
      <c r="P44" s="2674"/>
      <c r="Q44" s="2674"/>
      <c r="R44" s="2674"/>
      <c r="S44" s="2674"/>
      <c r="T44" s="2674"/>
      <c r="U44" s="2674"/>
    </row>
    <row r="45" spans="1:21" ht="11.25" customHeight="1" x14ac:dyDescent="0.2">
      <c r="A45" s="2674"/>
      <c r="B45" s="2700"/>
      <c r="C45" s="2700"/>
      <c r="D45" s="2700"/>
      <c r="E45" s="2700"/>
      <c r="F45" s="2674"/>
      <c r="G45" s="2674"/>
      <c r="H45" s="2674"/>
      <c r="I45" s="2674"/>
      <c r="J45" s="2674"/>
      <c r="K45" s="2674"/>
      <c r="L45" s="2674"/>
      <c r="M45" s="2674"/>
      <c r="N45" s="2674"/>
      <c r="O45" s="2674"/>
      <c r="P45" s="2674"/>
      <c r="Q45" s="2674"/>
      <c r="R45" s="2674"/>
      <c r="S45" s="2674"/>
      <c r="T45" s="2674"/>
      <c r="U45" s="2674"/>
    </row>
    <row r="46" spans="1:21" ht="15.6" x14ac:dyDescent="0.3">
      <c r="A46" s="2674"/>
      <c r="B46" s="2674"/>
      <c r="C46" s="2674"/>
      <c r="D46" s="2674"/>
      <c r="E46" s="2674"/>
      <c r="F46" s="2674"/>
      <c r="G46" s="2674"/>
      <c r="H46" s="2966" t="s">
        <v>784</v>
      </c>
      <c r="I46" s="2967"/>
      <c r="J46" s="2967"/>
      <c r="K46" s="2674"/>
      <c r="L46" s="2674"/>
      <c r="M46" s="2674"/>
      <c r="N46" s="2674"/>
      <c r="O46" s="2674"/>
      <c r="P46" s="2674"/>
      <c r="Q46" s="2674"/>
      <c r="R46" s="2674"/>
    </row>
    <row r="47" spans="1:21" ht="15.6" x14ac:dyDescent="0.3">
      <c r="A47" s="2674"/>
      <c r="B47" s="2674"/>
      <c r="C47" s="2674"/>
      <c r="D47" s="2674"/>
      <c r="E47" s="2674"/>
      <c r="F47" s="2674"/>
      <c r="G47" s="2674"/>
      <c r="H47" s="2723" t="s">
        <v>785</v>
      </c>
      <c r="I47" s="2675"/>
      <c r="J47" s="2675"/>
      <c r="K47" s="2674"/>
      <c r="L47" s="2674"/>
      <c r="M47" s="2674"/>
      <c r="N47" s="2674"/>
      <c r="O47" s="2674"/>
      <c r="P47" s="2674"/>
      <c r="Q47" s="2674"/>
      <c r="R47" s="2674"/>
    </row>
    <row r="48" spans="1:21" ht="10.199999999999999" x14ac:dyDescent="0.2">
      <c r="A48" s="2674"/>
      <c r="B48" s="2674"/>
      <c r="C48" s="2674"/>
      <c r="D48" s="2674"/>
      <c r="G48" s="2674"/>
      <c r="K48" s="2674"/>
      <c r="L48" s="2674"/>
      <c r="M48" s="2674"/>
      <c r="N48" s="2674"/>
      <c r="O48" s="2674"/>
      <c r="P48" s="2674"/>
      <c r="Q48" s="2674"/>
      <c r="R48" s="2674"/>
    </row>
    <row r="49" spans="1:18" ht="20.399999999999999" x14ac:dyDescent="0.3">
      <c r="A49" s="2674"/>
      <c r="B49" s="2674"/>
      <c r="C49" s="2674"/>
      <c r="D49" s="2674"/>
      <c r="E49" s="2717" t="s">
        <v>786</v>
      </c>
      <c r="F49" s="2718" t="s">
        <v>2082</v>
      </c>
      <c r="G49" s="2674"/>
      <c r="H49" s="2724" t="s">
        <v>786</v>
      </c>
      <c r="I49" s="2725" t="s">
        <v>593</v>
      </c>
      <c r="J49" s="2726" t="s">
        <v>224</v>
      </c>
      <c r="K49" s="2674"/>
      <c r="L49" s="2674"/>
      <c r="M49" s="2674"/>
      <c r="N49" s="2674"/>
      <c r="Q49" s="2674"/>
      <c r="R49" s="2674"/>
    </row>
    <row r="50" spans="1:18" ht="10.199999999999999" x14ac:dyDescent="0.2">
      <c r="A50" s="2674"/>
      <c r="B50" s="2674"/>
      <c r="C50" s="2674"/>
      <c r="D50" s="2674"/>
      <c r="E50" s="2719" t="s">
        <v>788</v>
      </c>
      <c r="F50" s="2720">
        <v>701.99492199999997</v>
      </c>
      <c r="G50" s="2674"/>
      <c r="H50" s="2719" t="s">
        <v>788</v>
      </c>
      <c r="I50" s="2727">
        <v>3573186338048.2314</v>
      </c>
      <c r="J50" s="2727">
        <v>1176584265980.0349</v>
      </c>
      <c r="K50" s="2674"/>
      <c r="L50" s="2674"/>
      <c r="M50" s="2674"/>
      <c r="N50" s="2674"/>
      <c r="Q50" s="2674"/>
      <c r="R50" s="2674"/>
    </row>
    <row r="51" spans="1:18" ht="10.199999999999999" x14ac:dyDescent="0.2">
      <c r="A51" s="2674"/>
      <c r="B51" s="2674"/>
      <c r="C51" s="2674"/>
      <c r="D51" s="2674"/>
      <c r="E51" s="2719" t="s">
        <v>789</v>
      </c>
      <c r="F51" s="2720">
        <v>5245.0010949999996</v>
      </c>
      <c r="G51" s="2674"/>
      <c r="H51" s="2719" t="s">
        <v>789</v>
      </c>
      <c r="I51" s="2727">
        <v>26286621949127.148</v>
      </c>
      <c r="J51" s="2727">
        <v>7622324340278.1279</v>
      </c>
      <c r="K51" s="2674"/>
      <c r="L51" s="2674"/>
      <c r="M51" s="2674"/>
      <c r="N51" s="2674"/>
      <c r="Q51" s="2674"/>
      <c r="R51" s="2674"/>
    </row>
    <row r="52" spans="1:18" ht="10.199999999999999" x14ac:dyDescent="0.2">
      <c r="A52" s="2674"/>
      <c r="B52" s="2674"/>
      <c r="C52" s="2674"/>
      <c r="D52" s="2674"/>
      <c r="E52" s="2719" t="s">
        <v>790</v>
      </c>
      <c r="F52" s="2720">
        <v>7232.9560099999999</v>
      </c>
      <c r="G52" s="2674"/>
      <c r="H52" s="2719" t="s">
        <v>790</v>
      </c>
      <c r="I52" s="2727">
        <v>35673527350455.398</v>
      </c>
      <c r="J52" s="2727">
        <v>11550993478736</v>
      </c>
      <c r="K52" s="2674"/>
      <c r="L52" s="2674"/>
      <c r="M52" s="2674"/>
      <c r="N52" s="2674"/>
      <c r="Q52" s="2674"/>
      <c r="R52" s="2674"/>
    </row>
    <row r="53" spans="1:18" ht="10.199999999999999" x14ac:dyDescent="0.2">
      <c r="A53" s="2674"/>
      <c r="B53" s="2674"/>
      <c r="C53" s="2674"/>
      <c r="D53" s="2674"/>
      <c r="E53" s="2719" t="s">
        <v>791</v>
      </c>
      <c r="F53" s="2720">
        <v>652.99755200000004</v>
      </c>
      <c r="G53" s="2674"/>
      <c r="H53" s="2719" t="s">
        <v>791</v>
      </c>
      <c r="I53" s="2727">
        <v>3302450261797.8018</v>
      </c>
      <c r="J53" s="2727">
        <v>739340422810.51953</v>
      </c>
      <c r="K53" s="2674"/>
      <c r="L53" s="2674"/>
      <c r="M53" s="2674"/>
      <c r="N53" s="2674"/>
      <c r="Q53" s="2674"/>
      <c r="R53" s="2674"/>
    </row>
    <row r="54" spans="1:18" ht="10.199999999999999" x14ac:dyDescent="0.2">
      <c r="A54" s="2674"/>
      <c r="B54" s="2674"/>
      <c r="C54" s="2674"/>
      <c r="D54" s="2674"/>
      <c r="E54" s="2719" t="s">
        <v>792</v>
      </c>
      <c r="F54" s="2720">
        <v>362.000832</v>
      </c>
      <c r="G54" s="2674"/>
      <c r="H54" s="2719" t="s">
        <v>792</v>
      </c>
      <c r="I54" s="2727">
        <v>1748664052063.7395</v>
      </c>
      <c r="J54" s="2727">
        <v>616265381210.86218</v>
      </c>
      <c r="K54" s="2674"/>
      <c r="L54" s="2674"/>
      <c r="M54" s="2674"/>
      <c r="N54" s="2674"/>
      <c r="Q54" s="2674"/>
      <c r="R54" s="2674"/>
    </row>
    <row r="55" spans="1:18" ht="10.199999999999999" x14ac:dyDescent="0.2">
      <c r="A55" s="2674"/>
      <c r="B55" s="2674"/>
      <c r="C55" s="2674"/>
      <c r="D55" s="2674"/>
      <c r="E55" s="2719" t="s">
        <v>793</v>
      </c>
      <c r="F55" s="2720">
        <v>1125.994866</v>
      </c>
      <c r="G55" s="2674"/>
      <c r="H55" s="2719" t="s">
        <v>793</v>
      </c>
      <c r="I55" s="2727">
        <v>5953287108932.4688</v>
      </c>
      <c r="J55" s="2727">
        <v>1543593114967.0552</v>
      </c>
      <c r="K55" s="2674"/>
      <c r="L55" s="2674"/>
      <c r="M55" s="2674"/>
      <c r="N55" s="2674"/>
      <c r="Q55" s="2674"/>
      <c r="R55" s="2674"/>
    </row>
    <row r="56" spans="1:18" ht="10.199999999999999" x14ac:dyDescent="0.2">
      <c r="A56" s="2674"/>
      <c r="B56" s="2674"/>
      <c r="C56" s="2674"/>
      <c r="D56" s="2674"/>
      <c r="E56" s="2719" t="s">
        <v>794</v>
      </c>
      <c r="F56" s="2720">
        <v>1140.998458</v>
      </c>
      <c r="G56" s="2674"/>
      <c r="H56" s="2719" t="s">
        <v>794</v>
      </c>
      <c r="I56" s="2727">
        <v>5222555790835.6631</v>
      </c>
      <c r="J56" s="2727">
        <v>3212488772294.9048</v>
      </c>
      <c r="K56" s="2674"/>
      <c r="L56" s="2674"/>
      <c r="M56" s="2674"/>
      <c r="N56" s="2674"/>
      <c r="Q56" s="2674"/>
      <c r="R56" s="2674"/>
    </row>
    <row r="57" spans="1:18" ht="10.199999999999999" x14ac:dyDescent="0.2">
      <c r="A57" s="2674"/>
      <c r="B57" s="2674"/>
      <c r="C57" s="2674"/>
      <c r="D57" s="2674"/>
      <c r="E57" s="2719" t="s">
        <v>795</v>
      </c>
      <c r="F57" s="2720">
        <v>1103.00495</v>
      </c>
      <c r="G57" s="2674"/>
      <c r="H57" s="2719" t="s">
        <v>795</v>
      </c>
      <c r="I57" s="2727">
        <v>5621561341216.376</v>
      </c>
      <c r="J57" s="2727">
        <v>1287840080332.4124</v>
      </c>
      <c r="K57" s="2674"/>
      <c r="L57" s="2674"/>
      <c r="M57" s="2674"/>
      <c r="N57" s="2674"/>
      <c r="Q57" s="2674"/>
      <c r="R57" s="2674"/>
    </row>
    <row r="58" spans="1:18" ht="10.199999999999999" x14ac:dyDescent="0.2">
      <c r="A58" s="2674"/>
      <c r="B58" s="2674"/>
      <c r="C58" s="2674"/>
      <c r="D58" s="2674"/>
      <c r="E58" s="2719" t="s">
        <v>796</v>
      </c>
      <c r="F58" s="2720">
        <v>311.00021400000003</v>
      </c>
      <c r="G58" s="2674"/>
      <c r="H58" s="2719" t="s">
        <v>796</v>
      </c>
      <c r="I58" s="2727">
        <v>1528171695275.6917</v>
      </c>
      <c r="J58" s="2727">
        <v>446778924300.30566</v>
      </c>
      <c r="K58" s="2674"/>
      <c r="L58" s="2674"/>
      <c r="M58" s="2674"/>
      <c r="N58" s="2674"/>
      <c r="Q58" s="2674"/>
      <c r="R58" s="2674"/>
    </row>
    <row r="59" spans="1:18" ht="10.199999999999999" x14ac:dyDescent="0.2">
      <c r="A59" s="2674"/>
      <c r="B59" s="2674"/>
      <c r="C59" s="2674"/>
      <c r="D59" s="2674"/>
      <c r="E59" s="2719" t="s">
        <v>797</v>
      </c>
      <c r="F59" s="2720">
        <v>2781.0095700000002</v>
      </c>
      <c r="G59" s="2674"/>
      <c r="H59" s="2719" t="s">
        <v>797</v>
      </c>
      <c r="I59" s="2727">
        <v>13838513646595.537</v>
      </c>
      <c r="J59" s="2727">
        <v>4148405199737.3018</v>
      </c>
      <c r="K59" s="2674"/>
      <c r="L59" s="2674"/>
      <c r="M59" s="2674"/>
      <c r="N59" s="2674"/>
      <c r="Q59" s="2674"/>
      <c r="R59" s="2674"/>
    </row>
    <row r="60" spans="1:18" ht="10.199999999999999" x14ac:dyDescent="0.2">
      <c r="A60" s="2674"/>
      <c r="B60" s="2674"/>
      <c r="C60" s="2674"/>
      <c r="D60" s="2674"/>
      <c r="E60" s="2719" t="s">
        <v>798</v>
      </c>
      <c r="F60" s="2720">
        <v>463.00103100000001</v>
      </c>
      <c r="G60" s="2674"/>
      <c r="H60" s="2719" t="s">
        <v>798</v>
      </c>
      <c r="I60" s="2727">
        <v>2171537884038.5112</v>
      </c>
      <c r="J60" s="2727">
        <v>1065793410808.6106</v>
      </c>
      <c r="K60" s="2674"/>
      <c r="L60" s="2674"/>
      <c r="M60" s="2674"/>
      <c r="N60" s="2674"/>
      <c r="Q60" s="2674"/>
      <c r="R60" s="2674"/>
    </row>
    <row r="61" spans="1:18" ht="10.199999999999999" x14ac:dyDescent="0.2">
      <c r="A61" s="2674"/>
      <c r="B61" s="2674"/>
      <c r="C61" s="2674"/>
      <c r="D61" s="2674"/>
      <c r="E61" s="2719" t="s">
        <v>799</v>
      </c>
      <c r="F61" s="2720">
        <v>2237.998889</v>
      </c>
      <c r="G61" s="2674"/>
      <c r="H61" s="2719" t="s">
        <v>799</v>
      </c>
      <c r="I61" s="2727">
        <v>11086267231802.213</v>
      </c>
      <c r="J61" s="2727">
        <v>3382336531115.2769</v>
      </c>
      <c r="K61" s="2674"/>
      <c r="L61" s="2674"/>
      <c r="M61" s="2674"/>
      <c r="N61" s="2674"/>
      <c r="Q61" s="2674"/>
      <c r="R61" s="2674"/>
    </row>
    <row r="62" spans="1:18" ht="10.199999999999999" x14ac:dyDescent="0.2">
      <c r="A62" s="2674"/>
      <c r="B62" s="2674"/>
      <c r="C62" s="2674"/>
      <c r="D62" s="2674"/>
      <c r="E62" s="2719" t="s">
        <v>800</v>
      </c>
      <c r="F62" s="2720">
        <v>3640.0119049999998</v>
      </c>
      <c r="G62" s="2674"/>
      <c r="H62" s="2719" t="s">
        <v>800</v>
      </c>
      <c r="I62" s="2727">
        <v>17691417360433.453</v>
      </c>
      <c r="J62" s="2727">
        <v>5869970965684.9551</v>
      </c>
      <c r="K62" s="2674"/>
      <c r="L62" s="2674"/>
      <c r="M62" s="2674"/>
      <c r="N62" s="2674"/>
      <c r="Q62" s="2674"/>
      <c r="R62" s="2674"/>
    </row>
    <row r="63" spans="1:18" ht="10.199999999999999" x14ac:dyDescent="0.2">
      <c r="A63" s="2674"/>
      <c r="B63" s="2674"/>
      <c r="C63" s="2674"/>
      <c r="D63" s="2674"/>
      <c r="E63" s="2719" t="s">
        <v>801</v>
      </c>
      <c r="F63" s="2720">
        <v>178.99997099999999</v>
      </c>
      <c r="G63" s="2674"/>
      <c r="H63" s="2719" t="s">
        <v>801</v>
      </c>
      <c r="I63" s="2727">
        <v>853925843135.45728</v>
      </c>
      <c r="J63" s="2727">
        <v>425244822940.38861</v>
      </c>
      <c r="K63" s="2674"/>
      <c r="L63" s="2674"/>
      <c r="M63" s="2674"/>
      <c r="N63" s="2674"/>
      <c r="Q63" s="2674"/>
      <c r="R63" s="2674"/>
    </row>
    <row r="64" spans="1:18" ht="10.199999999999999" x14ac:dyDescent="0.2">
      <c r="A64" s="2674"/>
      <c r="B64" s="2674"/>
      <c r="C64" s="2674"/>
      <c r="D64" s="2674"/>
      <c r="E64" s="2719" t="s">
        <v>802</v>
      </c>
      <c r="F64" s="2720">
        <v>6555.0233969999999</v>
      </c>
      <c r="G64" s="2674"/>
      <c r="H64" s="2719" t="s">
        <v>802</v>
      </c>
      <c r="I64" s="2727">
        <v>33314805087207.457</v>
      </c>
      <c r="J64" s="2727">
        <v>8764720985675.0625</v>
      </c>
      <c r="K64" s="2674"/>
      <c r="L64" s="2674"/>
      <c r="M64" s="2674"/>
      <c r="N64" s="2674"/>
      <c r="Q64" s="2674"/>
      <c r="R64" s="2674"/>
    </row>
    <row r="65" spans="1:18" ht="10.199999999999999" x14ac:dyDescent="0.2">
      <c r="A65" s="2674"/>
      <c r="B65" s="2674"/>
      <c r="C65" s="2674"/>
      <c r="D65" s="2674"/>
      <c r="E65" s="2719" t="s">
        <v>803</v>
      </c>
      <c r="F65" s="2720">
        <v>7989.9864159999997</v>
      </c>
      <c r="G65" s="2674"/>
      <c r="H65" s="2719" t="s">
        <v>803</v>
      </c>
      <c r="I65" s="2727">
        <v>40615964296202.742</v>
      </c>
      <c r="J65" s="2727">
        <v>10981490455203.396</v>
      </c>
      <c r="K65" s="2674"/>
      <c r="L65" s="2674"/>
      <c r="M65" s="2674"/>
      <c r="N65" s="2674"/>
      <c r="Q65" s="2674"/>
      <c r="R65" s="2674"/>
    </row>
    <row r="66" spans="1:18" ht="10.199999999999999" x14ac:dyDescent="0.2">
      <c r="A66" s="2674"/>
      <c r="B66" s="2674"/>
      <c r="C66" s="2674"/>
      <c r="D66" s="2674"/>
      <c r="E66" s="2719" t="s">
        <v>804</v>
      </c>
      <c r="F66" s="2720">
        <v>864.99724200000003</v>
      </c>
      <c r="G66" s="2674"/>
      <c r="H66" s="2719" t="s">
        <v>804</v>
      </c>
      <c r="I66" s="2727">
        <v>3787687945808.519</v>
      </c>
      <c r="J66" s="2727">
        <v>2356204942933.2017</v>
      </c>
      <c r="K66" s="2674"/>
      <c r="L66" s="2674"/>
      <c r="M66" s="2674"/>
      <c r="N66" s="2674"/>
      <c r="Q66" s="2674"/>
      <c r="R66" s="2674"/>
    </row>
    <row r="67" spans="1:18" ht="10.199999999999999" x14ac:dyDescent="0.2">
      <c r="A67" s="2674"/>
      <c r="B67" s="2674"/>
      <c r="C67" s="2674"/>
      <c r="D67" s="2674"/>
      <c r="E67" s="2719" t="s">
        <v>805</v>
      </c>
      <c r="F67" s="2720">
        <v>813.00265999999999</v>
      </c>
      <c r="G67" s="2674"/>
      <c r="H67" s="2719" t="s">
        <v>805</v>
      </c>
      <c r="I67" s="2727">
        <v>4067595531576.3169</v>
      </c>
      <c r="J67" s="2727">
        <v>1126522685709.8328</v>
      </c>
      <c r="K67" s="2674"/>
      <c r="L67" s="2674"/>
      <c r="M67" s="2674"/>
      <c r="N67" s="2674"/>
      <c r="Q67" s="2674"/>
      <c r="R67" s="2674"/>
    </row>
    <row r="68" spans="1:18" ht="10.199999999999999" x14ac:dyDescent="0.2">
      <c r="A68" s="2674"/>
      <c r="B68" s="2674"/>
      <c r="C68" s="2674"/>
      <c r="D68" s="2674"/>
      <c r="E68" s="2719" t="s">
        <v>806</v>
      </c>
      <c r="F68" s="2720">
        <v>243.000913</v>
      </c>
      <c r="G68" s="2674"/>
      <c r="H68" s="2719" t="s">
        <v>806</v>
      </c>
      <c r="I68" s="2727">
        <v>1186903926566.478</v>
      </c>
      <c r="J68" s="2727">
        <v>336818394746.93823</v>
      </c>
      <c r="K68" s="2674"/>
      <c r="L68" s="2674"/>
      <c r="M68" s="2674"/>
      <c r="N68" s="2674"/>
      <c r="Q68" s="2674"/>
      <c r="R68" s="2674"/>
    </row>
    <row r="69" spans="1:18" ht="10.199999999999999" x14ac:dyDescent="0.2">
      <c r="A69" s="2674"/>
      <c r="B69" s="2674"/>
      <c r="C69" s="2674"/>
      <c r="D69" s="2674"/>
      <c r="E69" s="2719" t="s">
        <v>807</v>
      </c>
      <c r="F69" s="2720">
        <v>573.00113999999996</v>
      </c>
      <c r="G69" s="2674"/>
      <c r="H69" s="2719" t="s">
        <v>807</v>
      </c>
      <c r="I69" s="2727">
        <v>2754409365514.7271</v>
      </c>
      <c r="J69" s="2727">
        <v>800419901038.4231</v>
      </c>
      <c r="K69" s="2674"/>
      <c r="L69" s="2674"/>
      <c r="M69" s="2674"/>
      <c r="N69" s="2674"/>
      <c r="Q69" s="2674"/>
      <c r="R69" s="2674"/>
    </row>
    <row r="70" spans="1:18" ht="10.199999999999999" x14ac:dyDescent="0.2">
      <c r="A70" s="2674"/>
      <c r="B70" s="2674"/>
      <c r="C70" s="2674"/>
      <c r="D70" s="2674"/>
      <c r="E70" s="2719" t="s">
        <v>808</v>
      </c>
      <c r="F70" s="2720">
        <v>1797.0043169999999</v>
      </c>
      <c r="G70" s="2674"/>
      <c r="H70" s="2719" t="s">
        <v>808</v>
      </c>
      <c r="I70" s="2727">
        <v>8523064851154.4697</v>
      </c>
      <c r="J70" s="2727">
        <v>5647570009415.1025</v>
      </c>
      <c r="K70" s="2674"/>
      <c r="L70" s="2674"/>
      <c r="M70" s="2674"/>
      <c r="N70" s="2674"/>
      <c r="Q70" s="2674"/>
      <c r="R70" s="2674"/>
    </row>
    <row r="71" spans="1:18" ht="10.199999999999999" x14ac:dyDescent="0.2">
      <c r="A71" s="2674"/>
      <c r="B71" s="2674"/>
      <c r="C71" s="2674"/>
      <c r="D71" s="2674"/>
      <c r="E71" s="2719" t="s">
        <v>809</v>
      </c>
      <c r="F71" s="2720">
        <v>842.99465199999997</v>
      </c>
      <c r="G71" s="2674"/>
      <c r="H71" s="2719" t="s">
        <v>809</v>
      </c>
      <c r="I71" s="2727">
        <v>4422599081846.0869</v>
      </c>
      <c r="J71" s="2727">
        <v>968207782182.46021</v>
      </c>
      <c r="K71" s="2674"/>
      <c r="L71" s="2674"/>
      <c r="M71" s="2674"/>
      <c r="N71" s="2674"/>
      <c r="Q71" s="2674"/>
      <c r="R71" s="2674"/>
    </row>
    <row r="72" spans="1:18" ht="10.199999999999999" x14ac:dyDescent="0.2">
      <c r="A72" s="2674"/>
      <c r="B72" s="2674"/>
      <c r="C72" s="2674"/>
      <c r="D72" s="2674"/>
      <c r="E72" s="2719" t="s">
        <v>810</v>
      </c>
      <c r="F72" s="2720">
        <v>764.99575400000003</v>
      </c>
      <c r="G72" s="2674"/>
      <c r="H72" s="2719" t="s">
        <v>810</v>
      </c>
      <c r="I72" s="2727">
        <v>3830954157236.0537</v>
      </c>
      <c r="J72" s="2727">
        <v>999648515457.57166</v>
      </c>
      <c r="K72" s="2674"/>
      <c r="L72" s="2674"/>
      <c r="M72" s="2674"/>
      <c r="N72" s="2674"/>
      <c r="Q72" s="2674"/>
      <c r="R72" s="2674"/>
    </row>
    <row r="73" spans="1:18" ht="10.199999999999999" x14ac:dyDescent="0.2">
      <c r="A73" s="2674"/>
      <c r="B73" s="2674"/>
      <c r="C73" s="2674"/>
      <c r="D73" s="2674"/>
      <c r="E73" s="2719" t="s">
        <v>811</v>
      </c>
      <c r="F73" s="2720">
        <v>2971.0011930000001</v>
      </c>
      <c r="G73" s="2674"/>
      <c r="H73" s="2719" t="s">
        <v>811</v>
      </c>
      <c r="I73" s="2727">
        <v>15771400144805.223</v>
      </c>
      <c r="J73" s="2727">
        <v>4440480890150.1738</v>
      </c>
      <c r="K73" s="2674"/>
      <c r="L73" s="2674"/>
      <c r="M73" s="2674"/>
      <c r="N73" s="2674"/>
      <c r="Q73" s="2674"/>
      <c r="R73" s="2674"/>
    </row>
    <row r="74" spans="1:18" ht="10.199999999999999" x14ac:dyDescent="0.2">
      <c r="A74" s="2674"/>
      <c r="B74" s="2674"/>
      <c r="C74" s="2674"/>
      <c r="D74" s="2674"/>
      <c r="E74" s="2721" t="s">
        <v>812</v>
      </c>
      <c r="F74" s="2722">
        <v>50591.977948999993</v>
      </c>
      <c r="G74" s="2674"/>
      <c r="H74" s="2719" t="s">
        <v>812</v>
      </c>
      <c r="I74" s="2728">
        <v>252827072241675.78</v>
      </c>
      <c r="J74" s="2728">
        <v>79510044273708.922</v>
      </c>
      <c r="K74" s="2674"/>
      <c r="L74" s="2674"/>
      <c r="M74" s="2674"/>
      <c r="N74" s="2674"/>
      <c r="Q74" s="2674"/>
      <c r="R74" s="2674"/>
    </row>
    <row r="75" spans="1:18" ht="10.199999999999999" x14ac:dyDescent="0.2">
      <c r="A75" s="2674"/>
      <c r="B75" s="2674"/>
      <c r="C75" s="2674"/>
      <c r="D75" s="2674"/>
      <c r="E75" s="2674"/>
      <c r="F75" s="2674"/>
      <c r="G75" s="2674"/>
      <c r="K75" s="2674"/>
      <c r="L75" s="2674"/>
      <c r="M75" s="2674"/>
      <c r="N75" s="2674"/>
      <c r="O75" s="2674"/>
      <c r="P75" s="2674"/>
      <c r="Q75" s="2674"/>
      <c r="R75" s="2674"/>
    </row>
    <row r="76" spans="1:18" ht="10.199999999999999" x14ac:dyDescent="0.2">
      <c r="A76" s="2674"/>
      <c r="B76" s="2674"/>
      <c r="C76" s="2674"/>
      <c r="D76" s="2674"/>
      <c r="E76" s="2674"/>
      <c r="F76" s="2674"/>
      <c r="G76" s="2674"/>
      <c r="H76" s="2680" t="s">
        <v>813</v>
      </c>
      <c r="I76" s="2681" t="s">
        <v>814</v>
      </c>
      <c r="J76" s="2681" t="s">
        <v>224</v>
      </c>
      <c r="K76" s="2674"/>
      <c r="L76" s="2674"/>
      <c r="M76" s="2674"/>
      <c r="N76" s="2674"/>
      <c r="O76" s="2674"/>
      <c r="P76" s="2674"/>
      <c r="Q76" s="2674"/>
      <c r="R76" s="2674"/>
    </row>
    <row r="77" spans="1:18" ht="10.199999999999999" x14ac:dyDescent="0.2">
      <c r="A77" s="2674"/>
      <c r="B77" s="2674"/>
      <c r="C77" s="2674"/>
      <c r="D77" s="2674"/>
      <c r="E77" s="2674"/>
      <c r="F77" s="2674"/>
      <c r="G77" s="2674"/>
      <c r="H77" s="2682" t="s">
        <v>815</v>
      </c>
      <c r="I77" s="2683">
        <v>41.762</v>
      </c>
      <c r="J77" s="2683">
        <v>43.716999999999999</v>
      </c>
      <c r="K77" s="2674"/>
      <c r="L77" s="2674"/>
      <c r="M77" s="2674"/>
      <c r="N77" s="2674"/>
      <c r="O77" s="2674"/>
      <c r="P77" s="2674"/>
      <c r="Q77" s="2674"/>
      <c r="R77" s="2674"/>
    </row>
    <row r="78" spans="1:18" ht="10.199999999999999" x14ac:dyDescent="0.2">
      <c r="A78" s="2674"/>
      <c r="B78" s="2674"/>
      <c r="C78" s="2674"/>
      <c r="D78" s="2674"/>
      <c r="E78" s="2674"/>
      <c r="F78" s="2674"/>
      <c r="G78" s="2674"/>
      <c r="H78" s="2682" t="s">
        <v>816</v>
      </c>
      <c r="I78" s="2683">
        <v>2839</v>
      </c>
      <c r="J78" s="2683">
        <v>3167</v>
      </c>
      <c r="K78" s="2674"/>
      <c r="L78" s="2674"/>
      <c r="M78" s="2674"/>
      <c r="N78" s="2674"/>
      <c r="O78" s="2674"/>
      <c r="P78" s="2674"/>
      <c r="Q78" s="2674"/>
      <c r="R78" s="2674"/>
    </row>
    <row r="79" spans="1:18" ht="14.4" x14ac:dyDescent="0.3">
      <c r="A79" s="2674"/>
      <c r="B79" s="2674"/>
      <c r="C79" s="2674"/>
      <c r="D79" s="2674"/>
      <c r="E79" s="2674"/>
      <c r="F79" s="2674"/>
      <c r="G79" s="2674"/>
      <c r="H79" s="2672" t="s">
        <v>2081</v>
      </c>
      <c r="I79" s="2670"/>
      <c r="J79" s="2670"/>
      <c r="K79" s="2674"/>
      <c r="L79" s="2674"/>
      <c r="M79" s="2674"/>
      <c r="N79" s="2674"/>
      <c r="O79" s="2674"/>
      <c r="P79" s="2674"/>
      <c r="Q79" s="2674"/>
      <c r="R79" s="2674"/>
    </row>
    <row r="80" spans="1:18" ht="10.199999999999999" x14ac:dyDescent="0.2">
      <c r="A80" s="2674"/>
      <c r="B80" s="2674"/>
      <c r="C80" s="2674"/>
      <c r="D80" s="2674"/>
      <c r="E80" s="2674"/>
      <c r="F80" s="2674"/>
      <c r="G80" s="2674"/>
      <c r="H80" s="2684"/>
      <c r="I80" s="2685"/>
      <c r="J80" s="2685"/>
      <c r="K80" s="2674"/>
      <c r="L80" s="2674"/>
      <c r="M80" s="2674"/>
      <c r="N80" s="2674"/>
      <c r="O80" s="2674"/>
      <c r="P80" s="2674"/>
      <c r="Q80" s="2674"/>
      <c r="R80" s="2674"/>
    </row>
    <row r="81" spans="1:21" ht="10.199999999999999" x14ac:dyDescent="0.2">
      <c r="A81" s="2674"/>
      <c r="B81" s="2674"/>
      <c r="C81" s="2674"/>
      <c r="D81" s="2674"/>
      <c r="E81" s="2674"/>
      <c r="F81" s="2674"/>
      <c r="G81" s="2674"/>
      <c r="H81" s="2686" t="s">
        <v>817</v>
      </c>
      <c r="I81" s="2675" t="s">
        <v>818</v>
      </c>
      <c r="J81" s="2675"/>
      <c r="K81" s="2674"/>
      <c r="L81" s="2674"/>
      <c r="M81" s="2674"/>
      <c r="N81" s="2674"/>
      <c r="O81" s="2674"/>
      <c r="P81" s="2674"/>
      <c r="Q81" s="2674"/>
      <c r="R81" s="2674"/>
    </row>
    <row r="82" spans="1:21" ht="10.199999999999999" x14ac:dyDescent="0.2">
      <c r="A82" s="2674"/>
      <c r="B82" s="2674"/>
      <c r="C82" s="2674"/>
      <c r="D82" s="2674"/>
      <c r="E82" s="2674"/>
      <c r="F82" s="2674"/>
      <c r="G82" s="2674"/>
      <c r="H82" s="2687"/>
      <c r="I82" s="2688"/>
      <c r="J82" s="2688"/>
      <c r="K82" s="2674"/>
      <c r="L82" s="2674"/>
      <c r="M82" s="2674"/>
      <c r="N82" s="2674"/>
      <c r="O82" s="2674"/>
      <c r="P82" s="2674"/>
      <c r="Q82" s="2674"/>
      <c r="R82" s="2674"/>
    </row>
    <row r="83" spans="1:21" ht="10.199999999999999" x14ac:dyDescent="0.2">
      <c r="A83" s="2674"/>
      <c r="B83" s="2674"/>
      <c r="C83" s="2674"/>
      <c r="D83" s="2674"/>
      <c r="E83" s="2674"/>
      <c r="F83" s="2674"/>
      <c r="G83" s="2674"/>
      <c r="I83" s="2670"/>
      <c r="J83" s="2670"/>
      <c r="K83" s="2674"/>
      <c r="L83" s="2674"/>
      <c r="M83" s="2674"/>
      <c r="N83" s="2674"/>
      <c r="O83" s="2674"/>
      <c r="P83" s="2674"/>
      <c r="Q83" s="2674"/>
      <c r="R83" s="2674"/>
    </row>
    <row r="84" spans="1:21" ht="14.4" x14ac:dyDescent="0.3">
      <c r="A84" s="2674"/>
      <c r="B84" s="2674"/>
      <c r="C84" s="2674"/>
      <c r="D84" s="2674"/>
      <c r="E84" s="2674"/>
      <c r="F84" s="2674"/>
      <c r="G84" s="2674"/>
      <c r="H84" s="2676" t="s">
        <v>812</v>
      </c>
      <c r="I84" s="2689" t="s">
        <v>593</v>
      </c>
      <c r="J84" s="2690" t="s">
        <v>224</v>
      </c>
      <c r="K84" s="2674"/>
      <c r="L84" s="2674"/>
      <c r="M84" s="2674"/>
      <c r="N84" s="2674"/>
      <c r="O84" s="2674"/>
      <c r="P84" s="2674"/>
      <c r="Q84" s="2674"/>
      <c r="R84" s="2674"/>
    </row>
    <row r="85" spans="1:21" ht="10.199999999999999" x14ac:dyDescent="0.2">
      <c r="A85" s="2674"/>
      <c r="B85" s="2674"/>
      <c r="C85" s="2674"/>
      <c r="D85" s="2674"/>
      <c r="E85" s="2674"/>
      <c r="F85" s="2674"/>
      <c r="G85" s="2674"/>
      <c r="H85" s="2946" t="s">
        <v>819</v>
      </c>
      <c r="I85" s="2956">
        <v>2132440361.3775146</v>
      </c>
      <c r="J85" s="2959">
        <v>574279852.66193676</v>
      </c>
      <c r="K85" s="2674"/>
      <c r="L85" s="2674"/>
      <c r="M85" s="2674"/>
      <c r="N85" s="2674"/>
      <c r="O85" s="2674"/>
      <c r="P85" s="2674"/>
      <c r="Q85" s="2674"/>
      <c r="R85" s="2674"/>
    </row>
    <row r="86" spans="1:21" ht="10.199999999999999" x14ac:dyDescent="0.2">
      <c r="A86" s="2674"/>
      <c r="B86" s="2674"/>
      <c r="C86" s="2674"/>
      <c r="D86" s="2674"/>
      <c r="E86" s="2674"/>
      <c r="F86" s="2674"/>
      <c r="G86" s="2674"/>
      <c r="H86" s="2947"/>
      <c r="I86" s="2957"/>
      <c r="J86" s="2957"/>
      <c r="K86" s="2674"/>
      <c r="L86" s="2674"/>
      <c r="M86" s="2674"/>
      <c r="N86" s="2674"/>
      <c r="O86" s="2674"/>
      <c r="P86" s="2674"/>
      <c r="Q86" s="2674"/>
      <c r="R86" s="2674"/>
    </row>
    <row r="87" spans="1:21" ht="10.199999999999999" x14ac:dyDescent="0.2">
      <c r="A87" s="2674"/>
      <c r="B87" s="2674"/>
      <c r="C87" s="2674"/>
      <c r="D87" s="2674"/>
      <c r="E87" s="2674"/>
      <c r="F87" s="2674"/>
      <c r="G87" s="2674"/>
      <c r="H87" s="2948"/>
      <c r="I87" s="2958"/>
      <c r="J87" s="2958"/>
      <c r="K87" s="2674"/>
      <c r="L87" s="2674"/>
      <c r="M87" s="2674"/>
      <c r="N87" s="2674"/>
      <c r="O87" s="2674"/>
      <c r="P87" s="2674"/>
      <c r="Q87" s="2674"/>
      <c r="R87" s="2674"/>
    </row>
    <row r="88" spans="1:21" ht="10.199999999999999" x14ac:dyDescent="0.2">
      <c r="A88" s="2674"/>
      <c r="B88" s="2674"/>
      <c r="C88" s="2674"/>
      <c r="D88" s="2674"/>
      <c r="E88" s="2674"/>
      <c r="F88" s="2674"/>
      <c r="G88" s="2674"/>
      <c r="H88" s="2729" t="s">
        <v>820</v>
      </c>
      <c r="I88" s="2691">
        <v>2132440.3613775144</v>
      </c>
      <c r="J88" s="2699">
        <v>574279.85266193678</v>
      </c>
      <c r="K88" s="2674"/>
      <c r="L88" s="2674"/>
      <c r="M88" s="2674"/>
      <c r="N88" s="2674"/>
      <c r="O88" s="2674"/>
      <c r="P88" s="2674"/>
      <c r="Q88" s="2674"/>
      <c r="R88" s="2674"/>
    </row>
    <row r="89" spans="1:21" ht="11.25" customHeight="1" x14ac:dyDescent="0.2">
      <c r="A89" s="2674"/>
      <c r="B89" s="2674"/>
      <c r="C89" s="2674"/>
      <c r="D89" s="2674"/>
      <c r="E89" s="2674"/>
      <c r="F89" s="2674"/>
      <c r="G89" s="2674"/>
      <c r="H89" s="2674"/>
      <c r="I89" s="2674"/>
      <c r="J89" s="2674"/>
      <c r="K89" s="2674"/>
      <c r="L89" s="2674"/>
      <c r="M89" s="2674"/>
      <c r="N89" s="2674"/>
      <c r="O89" s="2674"/>
      <c r="P89" s="2674"/>
      <c r="Q89" s="2674"/>
      <c r="R89" s="2674"/>
      <c r="S89" s="2674"/>
      <c r="T89" s="2674"/>
      <c r="U89" s="2674"/>
    </row>
    <row r="90" spans="1:21" ht="11.25" customHeight="1" x14ac:dyDescent="0.2">
      <c r="A90" s="2674"/>
      <c r="B90" s="2674"/>
      <c r="C90" s="2674"/>
      <c r="D90" s="2674"/>
      <c r="E90" s="2674"/>
      <c r="F90" s="2674"/>
      <c r="G90" s="2674"/>
      <c r="H90" s="2674"/>
      <c r="I90" s="2674"/>
      <c r="J90" s="2674"/>
      <c r="K90" s="2674"/>
      <c r="L90" s="2674"/>
      <c r="M90" s="2674"/>
      <c r="N90" s="2674"/>
      <c r="O90" s="2674"/>
      <c r="P90" s="2674"/>
      <c r="Q90" s="2674"/>
      <c r="R90" s="2674"/>
      <c r="S90" s="2674"/>
      <c r="T90" s="2674"/>
      <c r="U90" s="2674"/>
    </row>
    <row r="91" spans="1:21" ht="11.25" customHeight="1" x14ac:dyDescent="0.2">
      <c r="A91" s="2674"/>
      <c r="B91" s="2674"/>
      <c r="C91" s="2674"/>
      <c r="D91" s="2674"/>
      <c r="E91" s="2674"/>
      <c r="F91" s="2674"/>
      <c r="G91" s="2674"/>
      <c r="H91" s="2674"/>
      <c r="I91" s="2674"/>
      <c r="J91" s="2674"/>
      <c r="K91" s="2674"/>
      <c r="L91" s="2674"/>
      <c r="M91" s="2674"/>
      <c r="N91" s="2674"/>
      <c r="O91" s="2674"/>
      <c r="P91" s="2674"/>
      <c r="Q91" s="2674"/>
      <c r="R91" s="2674"/>
      <c r="S91" s="2674"/>
      <c r="T91" s="2674"/>
      <c r="U91" s="2674"/>
    </row>
    <row r="92" spans="1:21" ht="11.25" customHeight="1" x14ac:dyDescent="0.2">
      <c r="A92" s="2674"/>
      <c r="B92" s="2674"/>
      <c r="C92" s="2674"/>
      <c r="D92" s="2674"/>
      <c r="E92" s="2674"/>
      <c r="F92" s="2674"/>
      <c r="G92" s="2674"/>
      <c r="H92" s="2674"/>
      <c r="I92" s="2674"/>
      <c r="J92" s="2674"/>
      <c r="K92" s="2674"/>
      <c r="L92" s="2674"/>
      <c r="M92" s="2674"/>
      <c r="N92" s="2674"/>
      <c r="O92" s="2674"/>
      <c r="P92" s="2674"/>
      <c r="Q92" s="2674"/>
      <c r="R92" s="2674"/>
      <c r="S92" s="2674"/>
      <c r="T92" s="2674"/>
      <c r="U92" s="2674"/>
    </row>
    <row r="93" spans="1:21" ht="11.25" customHeight="1" x14ac:dyDescent="0.2">
      <c r="A93" s="2674"/>
      <c r="B93" s="2674"/>
      <c r="C93" s="2674"/>
      <c r="D93" s="2674"/>
      <c r="E93" s="2674"/>
      <c r="F93" s="2674"/>
      <c r="G93" s="2674"/>
      <c r="H93" s="2674"/>
      <c r="I93" s="2674"/>
      <c r="J93" s="2674"/>
      <c r="K93" s="2674"/>
      <c r="L93" s="2674"/>
      <c r="M93" s="2674"/>
      <c r="N93" s="2674"/>
      <c r="O93" s="2674"/>
      <c r="P93" s="2674"/>
      <c r="Q93" s="2674"/>
      <c r="R93" s="2674"/>
      <c r="S93" s="2674"/>
      <c r="T93" s="2674"/>
      <c r="U93" s="2674"/>
    </row>
    <row r="94" spans="1:21" ht="11.25" customHeight="1" x14ac:dyDescent="0.2">
      <c r="A94" s="2674"/>
      <c r="B94" s="2674"/>
      <c r="C94" s="2674"/>
      <c r="D94" s="2674"/>
      <c r="E94" s="2674"/>
      <c r="F94" s="2674"/>
      <c r="G94" s="2674"/>
      <c r="H94" s="2674"/>
      <c r="I94" s="2674"/>
      <c r="J94" s="2674"/>
      <c r="K94" s="2674"/>
      <c r="L94" s="2674"/>
      <c r="M94" s="2674"/>
      <c r="N94" s="2674"/>
      <c r="O94" s="2674"/>
      <c r="P94" s="2674"/>
      <c r="Q94" s="2674"/>
      <c r="R94" s="2674"/>
      <c r="S94" s="2674"/>
      <c r="T94" s="2674"/>
      <c r="U94" s="2674"/>
    </row>
    <row r="95" spans="1:21" ht="11.25" customHeight="1" x14ac:dyDescent="0.2">
      <c r="A95" s="2674"/>
      <c r="B95" s="2674"/>
      <c r="C95" s="2674"/>
      <c r="D95" s="2674"/>
      <c r="E95" s="2674"/>
      <c r="F95" s="2674"/>
      <c r="G95" s="2674"/>
      <c r="H95" s="2674"/>
      <c r="I95" s="2674"/>
      <c r="J95" s="2674"/>
      <c r="K95" s="2674"/>
      <c r="L95" s="2674"/>
      <c r="M95" s="2674"/>
      <c r="N95" s="2674"/>
      <c r="O95" s="2674"/>
      <c r="P95" s="2674"/>
      <c r="Q95" s="2674"/>
      <c r="R95" s="2674"/>
      <c r="S95" s="2674"/>
      <c r="T95" s="2674"/>
      <c r="U95" s="2674"/>
    </row>
    <row r="96" spans="1:21" ht="11.25" customHeight="1" x14ac:dyDescent="0.2">
      <c r="A96" s="2674"/>
      <c r="B96" s="2674"/>
      <c r="C96" s="2674"/>
      <c r="D96" s="2674"/>
      <c r="E96" s="2674"/>
      <c r="F96" s="2674"/>
      <c r="G96" s="2674"/>
      <c r="H96" s="2674"/>
      <c r="I96" s="2674"/>
      <c r="J96" s="2674"/>
      <c r="K96" s="2674"/>
      <c r="L96" s="2674"/>
      <c r="M96" s="2674"/>
      <c r="N96" s="2674"/>
      <c r="O96" s="2674"/>
      <c r="P96" s="2674"/>
      <c r="Q96" s="2674"/>
      <c r="R96" s="2674"/>
      <c r="S96" s="2674"/>
      <c r="T96" s="2674"/>
      <c r="U96" s="2674"/>
    </row>
    <row r="97" spans="1:21" ht="11.25" customHeight="1" x14ac:dyDescent="0.2">
      <c r="A97" s="2674"/>
      <c r="B97" s="2674"/>
      <c r="C97" s="2674"/>
      <c r="D97" s="2674"/>
      <c r="E97" s="2674"/>
      <c r="F97" s="2674"/>
      <c r="G97" s="2674"/>
      <c r="H97" s="2674"/>
      <c r="I97" s="2674"/>
      <c r="J97" s="2674"/>
      <c r="K97" s="2674"/>
      <c r="L97" s="2674"/>
      <c r="M97" s="2674"/>
      <c r="N97" s="2674"/>
      <c r="O97" s="2674"/>
      <c r="P97" s="2674"/>
      <c r="Q97" s="2674"/>
      <c r="R97" s="2674"/>
      <c r="S97" s="2674"/>
      <c r="T97" s="2674"/>
      <c r="U97" s="2674"/>
    </row>
    <row r="98" spans="1:21" ht="11.25" customHeight="1" x14ac:dyDescent="0.2">
      <c r="A98" s="2674"/>
      <c r="B98" s="2674"/>
      <c r="C98" s="2674"/>
      <c r="D98" s="2674"/>
      <c r="E98" s="2674"/>
      <c r="F98" s="2674"/>
      <c r="G98" s="2674"/>
      <c r="H98" s="2674"/>
      <c r="I98" s="2674"/>
      <c r="J98" s="2674"/>
      <c r="K98" s="2674"/>
      <c r="L98" s="2674"/>
      <c r="M98" s="2674"/>
      <c r="N98" s="2674"/>
      <c r="O98" s="2674"/>
      <c r="P98" s="2674"/>
      <c r="Q98" s="2674"/>
      <c r="R98" s="2674"/>
      <c r="S98" s="2674"/>
      <c r="T98" s="2674"/>
      <c r="U98" s="2674"/>
    </row>
    <row r="99" spans="1:21" ht="11.25" customHeight="1" x14ac:dyDescent="0.2">
      <c r="A99" s="2674"/>
      <c r="B99" s="2674"/>
      <c r="C99" s="2674"/>
      <c r="D99" s="2674"/>
      <c r="E99" s="2674"/>
      <c r="F99" s="2674"/>
      <c r="G99" s="2674"/>
      <c r="H99" s="2674"/>
      <c r="I99" s="2674"/>
      <c r="J99" s="2674"/>
      <c r="K99" s="2674"/>
      <c r="L99" s="2674"/>
      <c r="M99" s="2674"/>
      <c r="N99" s="2674"/>
      <c r="O99" s="2674"/>
      <c r="P99" s="2674"/>
      <c r="Q99" s="2674"/>
      <c r="R99" s="2674"/>
      <c r="S99" s="2674"/>
      <c r="T99" s="2674"/>
      <c r="U99" s="2674"/>
    </row>
    <row r="100" spans="1:21" ht="11.25" customHeight="1" x14ac:dyDescent="0.2">
      <c r="A100" s="2674"/>
      <c r="B100" s="2674"/>
      <c r="C100" s="2674"/>
      <c r="D100" s="2674"/>
      <c r="E100" s="2674"/>
      <c r="F100" s="2674"/>
      <c r="G100" s="2674"/>
      <c r="H100" s="2674"/>
      <c r="I100" s="2674"/>
      <c r="J100" s="2674"/>
      <c r="K100" s="2674"/>
      <c r="L100" s="2674"/>
      <c r="M100" s="2674"/>
      <c r="N100" s="2674"/>
      <c r="O100" s="2674"/>
      <c r="P100" s="2674"/>
      <c r="Q100" s="2674"/>
      <c r="R100" s="2674"/>
      <c r="S100" s="2674"/>
      <c r="T100" s="2674"/>
      <c r="U100" s="2674"/>
    </row>
    <row r="101" spans="1:21" ht="11.25" customHeight="1" x14ac:dyDescent="0.2">
      <c r="A101" s="2674"/>
      <c r="B101" s="2674"/>
      <c r="C101" s="2674"/>
      <c r="D101" s="2674"/>
      <c r="E101" s="2674"/>
      <c r="F101" s="2674"/>
      <c r="G101" s="2674"/>
      <c r="H101" s="2674"/>
      <c r="I101" s="2674"/>
      <c r="J101" s="2674"/>
      <c r="K101" s="2674"/>
      <c r="L101" s="2674"/>
      <c r="M101" s="2674"/>
      <c r="N101" s="2674"/>
      <c r="O101" s="2674"/>
      <c r="P101" s="2674"/>
      <c r="Q101" s="2674"/>
      <c r="R101" s="2674"/>
      <c r="S101" s="2674"/>
      <c r="T101" s="2674"/>
      <c r="U101" s="2674"/>
    </row>
    <row r="102" spans="1:21" ht="11.25" customHeight="1" x14ac:dyDescent="0.2">
      <c r="A102" s="2674"/>
      <c r="B102" s="2674"/>
      <c r="C102" s="2674"/>
      <c r="D102" s="2674"/>
      <c r="E102" s="2674"/>
      <c r="F102" s="2674"/>
      <c r="G102" s="2674"/>
      <c r="H102" s="2674"/>
      <c r="I102" s="2674"/>
      <c r="J102" s="2674"/>
      <c r="K102" s="2674"/>
      <c r="L102" s="2674"/>
      <c r="M102" s="2674"/>
      <c r="N102" s="2674"/>
      <c r="O102" s="2674"/>
      <c r="P102" s="2674"/>
      <c r="Q102" s="2674"/>
      <c r="R102" s="2674"/>
      <c r="S102" s="2674"/>
      <c r="T102" s="2674"/>
      <c r="U102" s="2674"/>
    </row>
    <row r="103" spans="1:21" ht="11.25" customHeight="1" x14ac:dyDescent="0.2">
      <c r="A103" s="2674"/>
      <c r="B103" s="2674"/>
      <c r="C103" s="2674"/>
      <c r="D103" s="2674"/>
      <c r="E103" s="2674"/>
      <c r="F103" s="2674"/>
      <c r="G103" s="2674"/>
      <c r="H103" s="2674"/>
      <c r="I103" s="2674"/>
      <c r="J103" s="2674"/>
      <c r="K103" s="2674"/>
      <c r="L103" s="2674"/>
      <c r="M103" s="2674"/>
      <c r="N103" s="2674"/>
      <c r="O103" s="2674"/>
      <c r="P103" s="2674"/>
      <c r="Q103" s="2674"/>
      <c r="R103" s="2674"/>
      <c r="S103" s="2674"/>
      <c r="T103" s="2674"/>
      <c r="U103" s="2674"/>
    </row>
    <row r="104" spans="1:21" ht="11.25" customHeight="1" x14ac:dyDescent="0.2">
      <c r="A104" s="2674"/>
      <c r="B104" s="2674"/>
      <c r="C104" s="2674"/>
      <c r="D104" s="2674"/>
      <c r="E104" s="2674"/>
      <c r="F104" s="2674"/>
      <c r="G104" s="2674"/>
      <c r="H104" s="2674"/>
      <c r="I104" s="2674"/>
      <c r="J104" s="2674"/>
      <c r="K104" s="2674"/>
      <c r="L104" s="2674"/>
      <c r="M104" s="2674"/>
      <c r="N104" s="2674"/>
      <c r="O104" s="2674"/>
      <c r="P104" s="2674"/>
      <c r="Q104" s="2674"/>
      <c r="R104" s="2674"/>
      <c r="S104" s="2674"/>
      <c r="T104" s="2674"/>
      <c r="U104" s="2674"/>
    </row>
    <row r="105" spans="1:21" ht="11.25" customHeight="1" x14ac:dyDescent="0.2">
      <c r="A105" s="2674"/>
      <c r="B105" s="2674"/>
      <c r="C105" s="2674"/>
      <c r="D105" s="2674"/>
      <c r="E105" s="2674"/>
      <c r="F105" s="2674"/>
      <c r="G105" s="2674"/>
      <c r="H105" s="2674"/>
      <c r="I105" s="2674"/>
      <c r="J105" s="2674"/>
      <c r="K105" s="2674"/>
      <c r="L105" s="2674"/>
      <c r="M105" s="2674"/>
      <c r="N105" s="2674"/>
      <c r="O105" s="2674"/>
      <c r="P105" s="2674"/>
      <c r="Q105" s="2674"/>
      <c r="R105" s="2674"/>
      <c r="S105" s="2674"/>
      <c r="T105" s="2674"/>
      <c r="U105" s="2674"/>
    </row>
    <row r="106" spans="1:21" ht="11.25" customHeight="1" x14ac:dyDescent="0.2">
      <c r="A106" s="2674"/>
      <c r="B106" s="2674"/>
      <c r="C106" s="2674"/>
      <c r="D106" s="2674"/>
      <c r="E106" s="2674"/>
      <c r="F106" s="2674"/>
      <c r="G106" s="2674"/>
      <c r="H106" s="2674"/>
      <c r="I106" s="2674"/>
      <c r="J106" s="2674"/>
      <c r="K106" s="2674"/>
      <c r="L106" s="2674"/>
      <c r="M106" s="2674"/>
      <c r="N106" s="2674"/>
      <c r="O106" s="2674"/>
      <c r="P106" s="2674"/>
      <c r="Q106" s="2674"/>
      <c r="R106" s="2674"/>
      <c r="S106" s="2674"/>
      <c r="T106" s="2674"/>
      <c r="U106" s="2674"/>
    </row>
    <row r="107" spans="1:21" ht="11.25" customHeight="1" x14ac:dyDescent="0.2">
      <c r="A107" s="2674"/>
      <c r="B107" s="2674"/>
      <c r="C107" s="2674"/>
      <c r="D107" s="2674"/>
      <c r="E107" s="2674"/>
      <c r="F107" s="2674"/>
      <c r="G107" s="2674"/>
      <c r="H107" s="2674"/>
      <c r="I107" s="2674"/>
      <c r="J107" s="2674"/>
      <c r="K107" s="2674"/>
      <c r="L107" s="2674"/>
      <c r="M107" s="2674"/>
      <c r="N107" s="2674"/>
      <c r="O107" s="2674"/>
      <c r="P107" s="2674"/>
      <c r="Q107" s="2674"/>
      <c r="R107" s="2674"/>
      <c r="S107" s="2674"/>
      <c r="T107" s="2674"/>
      <c r="U107" s="2674"/>
    </row>
    <row r="108" spans="1:21" ht="11.25" customHeight="1" x14ac:dyDescent="0.2">
      <c r="A108" s="2674"/>
      <c r="B108" s="2674"/>
      <c r="C108" s="2674"/>
      <c r="D108" s="2674"/>
      <c r="E108" s="2674"/>
      <c r="F108" s="2674"/>
      <c r="G108" s="2674"/>
      <c r="H108" s="2674"/>
      <c r="I108" s="2674"/>
      <c r="J108" s="2674"/>
      <c r="K108" s="2674"/>
      <c r="L108" s="2674"/>
      <c r="M108" s="2674"/>
      <c r="N108" s="2674"/>
      <c r="O108" s="2674"/>
      <c r="P108" s="2674"/>
      <c r="Q108" s="2674"/>
      <c r="R108" s="2674"/>
      <c r="S108" s="2674"/>
      <c r="T108" s="2674"/>
      <c r="U108" s="2674"/>
    </row>
    <row r="109" spans="1:21" ht="11.25" customHeight="1" x14ac:dyDescent="0.2">
      <c r="A109" s="2674"/>
      <c r="B109" s="2674"/>
      <c r="C109" s="2674"/>
      <c r="D109" s="2674"/>
      <c r="E109" s="2674"/>
      <c r="F109" s="2674"/>
      <c r="G109" s="2674"/>
      <c r="H109" s="2674"/>
      <c r="I109" s="2674"/>
      <c r="J109" s="2674"/>
      <c r="K109" s="2674"/>
      <c r="L109" s="2674"/>
      <c r="M109" s="2674"/>
      <c r="N109" s="2674"/>
      <c r="O109" s="2674"/>
      <c r="P109" s="2674"/>
      <c r="Q109" s="2674"/>
      <c r="R109" s="2674"/>
      <c r="S109" s="2674"/>
      <c r="T109" s="2674"/>
      <c r="U109" s="2674"/>
    </row>
    <row r="110" spans="1:21" ht="11.25" customHeight="1" x14ac:dyDescent="0.2">
      <c r="A110" s="2674"/>
      <c r="B110" s="2674"/>
      <c r="C110" s="2674"/>
      <c r="D110" s="2674"/>
      <c r="E110" s="2674"/>
      <c r="F110" s="2674"/>
      <c r="G110" s="2674"/>
      <c r="H110" s="2674"/>
      <c r="I110" s="2674"/>
      <c r="J110" s="2674"/>
      <c r="K110" s="2674"/>
      <c r="L110" s="2674"/>
      <c r="M110" s="2674"/>
      <c r="N110" s="2674"/>
      <c r="O110" s="2674"/>
      <c r="P110" s="2674"/>
      <c r="Q110" s="2674"/>
      <c r="R110" s="2674"/>
      <c r="S110" s="2674"/>
      <c r="T110" s="2674"/>
      <c r="U110" s="2674"/>
    </row>
    <row r="111" spans="1:21" ht="11.25" customHeight="1" x14ac:dyDescent="0.2">
      <c r="A111" s="2674"/>
      <c r="B111" s="2674"/>
      <c r="C111" s="2674"/>
      <c r="D111" s="2674"/>
      <c r="E111" s="2674"/>
      <c r="F111" s="2674"/>
      <c r="G111" s="2674"/>
      <c r="H111" s="2674"/>
      <c r="I111" s="2674"/>
      <c r="J111" s="2674"/>
      <c r="K111" s="2674"/>
      <c r="L111" s="2674"/>
      <c r="M111" s="2674"/>
      <c r="N111" s="2674"/>
      <c r="O111" s="2674"/>
      <c r="P111" s="2674"/>
      <c r="Q111" s="2674"/>
      <c r="R111" s="2674"/>
      <c r="S111" s="2674"/>
      <c r="T111" s="2674"/>
      <c r="U111" s="2674"/>
    </row>
    <row r="112" spans="1:21" ht="11.25" customHeight="1" x14ac:dyDescent="0.2">
      <c r="A112" s="2674"/>
      <c r="B112" s="2674"/>
      <c r="C112" s="2674"/>
      <c r="D112" s="2674"/>
      <c r="E112" s="2674"/>
      <c r="F112" s="2674"/>
      <c r="G112" s="2674"/>
      <c r="H112" s="2674"/>
      <c r="I112" s="2674"/>
      <c r="J112" s="2674"/>
      <c r="K112" s="2674"/>
      <c r="L112" s="2674"/>
      <c r="M112" s="2674"/>
      <c r="N112" s="2674"/>
      <c r="O112" s="2674"/>
      <c r="P112" s="2674"/>
      <c r="Q112" s="2674"/>
      <c r="R112" s="2674"/>
      <c r="S112" s="2674"/>
      <c r="T112" s="2674"/>
      <c r="U112" s="2674"/>
    </row>
    <row r="113" spans="1:21" ht="11.25" customHeight="1" x14ac:dyDescent="0.2">
      <c r="A113" s="2674"/>
      <c r="B113" s="2674"/>
      <c r="C113" s="2674"/>
      <c r="D113" s="2674"/>
      <c r="E113" s="2674"/>
      <c r="F113" s="2674"/>
      <c r="G113" s="2674"/>
      <c r="H113" s="2674"/>
      <c r="I113" s="2674"/>
      <c r="J113" s="2674"/>
      <c r="K113" s="2674"/>
      <c r="L113" s="2674"/>
      <c r="M113" s="2674"/>
      <c r="N113" s="2674"/>
      <c r="O113" s="2674"/>
      <c r="P113" s="2674"/>
      <c r="Q113" s="2674"/>
      <c r="R113" s="2674"/>
      <c r="S113" s="2674"/>
      <c r="T113" s="2674"/>
      <c r="U113" s="2674"/>
    </row>
    <row r="114" spans="1:21" ht="11.25" customHeight="1" x14ac:dyDescent="0.2">
      <c r="A114" s="2674"/>
      <c r="B114" s="2674"/>
      <c r="C114" s="2674"/>
      <c r="D114" s="2674"/>
      <c r="E114" s="2674"/>
      <c r="F114" s="2674"/>
      <c r="G114" s="2674"/>
      <c r="H114" s="2674"/>
      <c r="I114" s="2674"/>
      <c r="J114" s="2674"/>
      <c r="K114" s="2674"/>
      <c r="L114" s="2674"/>
      <c r="M114" s="2674"/>
      <c r="N114" s="2674"/>
      <c r="O114" s="2674"/>
      <c r="P114" s="2674"/>
      <c r="Q114" s="2674"/>
      <c r="R114" s="2674"/>
      <c r="S114" s="2674"/>
      <c r="T114" s="2674"/>
      <c r="U114" s="2674"/>
    </row>
    <row r="115" spans="1:21" ht="11.25" customHeight="1" x14ac:dyDescent="0.2">
      <c r="A115" s="2674"/>
      <c r="B115" s="2674"/>
      <c r="C115" s="2674"/>
      <c r="D115" s="2674"/>
      <c r="E115" s="2674"/>
      <c r="F115" s="2674"/>
      <c r="G115" s="2674"/>
      <c r="H115" s="2674"/>
      <c r="I115" s="2674"/>
      <c r="J115" s="2674"/>
      <c r="K115" s="2674"/>
      <c r="L115" s="2674"/>
      <c r="M115" s="2674"/>
      <c r="N115" s="2674"/>
      <c r="O115" s="2674"/>
      <c r="P115" s="2674"/>
      <c r="Q115" s="2674"/>
      <c r="R115" s="2674"/>
      <c r="S115" s="2674"/>
      <c r="T115" s="2674"/>
      <c r="U115" s="2674"/>
    </row>
    <row r="116" spans="1:21" ht="11.25" customHeight="1" x14ac:dyDescent="0.2">
      <c r="A116" s="2674"/>
      <c r="B116" s="2674"/>
      <c r="C116" s="2674"/>
      <c r="D116" s="2674"/>
      <c r="E116" s="2674"/>
      <c r="F116" s="2674"/>
      <c r="G116" s="2674"/>
      <c r="H116" s="2674"/>
      <c r="I116" s="2674"/>
      <c r="J116" s="2674"/>
      <c r="K116" s="2674"/>
      <c r="L116" s="2674"/>
      <c r="M116" s="2674"/>
      <c r="N116" s="2674"/>
      <c r="O116" s="2674"/>
      <c r="P116" s="2674"/>
      <c r="Q116" s="2674"/>
      <c r="R116" s="2674"/>
      <c r="S116" s="2674"/>
      <c r="T116" s="2674"/>
      <c r="U116" s="2674"/>
    </row>
    <row r="117" spans="1:21" ht="11.25" customHeight="1" x14ac:dyDescent="0.2">
      <c r="A117" s="2674"/>
      <c r="B117" s="2674"/>
      <c r="C117" s="2674"/>
      <c r="D117" s="2674"/>
      <c r="E117" s="2674"/>
      <c r="F117" s="2674"/>
      <c r="G117" s="2674"/>
      <c r="H117" s="2674"/>
      <c r="I117" s="2674"/>
      <c r="J117" s="2674"/>
      <c r="K117" s="2674"/>
      <c r="L117" s="2674"/>
      <c r="M117" s="2674"/>
      <c r="N117" s="2674"/>
      <c r="O117" s="2674"/>
      <c r="P117" s="2674"/>
      <c r="Q117" s="2674"/>
      <c r="R117" s="2674"/>
      <c r="S117" s="2674"/>
      <c r="T117" s="2674"/>
      <c r="U117" s="2674"/>
    </row>
    <row r="118" spans="1:21" ht="11.25" customHeight="1" x14ac:dyDescent="0.2">
      <c r="A118" s="2674"/>
      <c r="B118" s="2674"/>
      <c r="C118" s="2674"/>
      <c r="D118" s="2674"/>
      <c r="E118" s="2674"/>
      <c r="F118" s="2674"/>
      <c r="G118" s="2674"/>
      <c r="H118" s="2674"/>
      <c r="I118" s="2674"/>
      <c r="J118" s="2674"/>
      <c r="K118" s="2674"/>
      <c r="L118" s="2674"/>
      <c r="M118" s="2674"/>
      <c r="N118" s="2674"/>
      <c r="O118" s="2674"/>
      <c r="P118" s="2674"/>
      <c r="Q118" s="2674"/>
      <c r="R118" s="2674"/>
      <c r="S118" s="2674"/>
      <c r="T118" s="2674"/>
      <c r="U118" s="2674"/>
    </row>
    <row r="119" spans="1:21" ht="11.25" customHeight="1" x14ac:dyDescent="0.2">
      <c r="A119" s="2674"/>
      <c r="B119" s="2674"/>
      <c r="C119" s="2674"/>
      <c r="D119" s="2674"/>
      <c r="E119" s="2674"/>
      <c r="F119" s="2674"/>
      <c r="G119" s="2674"/>
      <c r="H119" s="2674"/>
      <c r="I119" s="2674"/>
      <c r="J119" s="2674"/>
      <c r="K119" s="2674"/>
      <c r="L119" s="2674"/>
      <c r="M119" s="2674"/>
      <c r="N119" s="2674"/>
      <c r="O119" s="2674"/>
      <c r="P119" s="2674"/>
      <c r="Q119" s="2674"/>
      <c r="R119" s="2674"/>
      <c r="S119" s="2674"/>
      <c r="T119" s="2674"/>
      <c r="U119" s="2674"/>
    </row>
    <row r="120" spans="1:21" ht="11.25" customHeight="1" x14ac:dyDescent="0.2">
      <c r="A120" s="2674"/>
      <c r="B120" s="2674"/>
      <c r="C120" s="2674"/>
      <c r="D120" s="2674"/>
      <c r="E120" s="2674"/>
      <c r="F120" s="2674"/>
      <c r="G120" s="2674"/>
      <c r="H120" s="2674"/>
      <c r="I120" s="2674"/>
      <c r="J120" s="2674"/>
      <c r="K120" s="2674"/>
      <c r="L120" s="2674"/>
      <c r="M120" s="2674"/>
      <c r="N120" s="2674"/>
      <c r="O120" s="2674"/>
      <c r="P120" s="2674"/>
      <c r="Q120" s="2674"/>
      <c r="R120" s="2674"/>
      <c r="S120" s="2674"/>
      <c r="T120" s="2674"/>
      <c r="U120" s="2674"/>
    </row>
    <row r="121" spans="1:21" ht="11.25" customHeight="1" x14ac:dyDescent="0.2">
      <c r="A121" s="2674"/>
      <c r="B121" s="2674"/>
      <c r="C121" s="2674"/>
      <c r="D121" s="2674"/>
      <c r="E121" s="2674"/>
      <c r="F121" s="2674"/>
      <c r="G121" s="2674"/>
      <c r="H121" s="2674"/>
      <c r="I121" s="2674"/>
      <c r="J121" s="2674"/>
      <c r="K121" s="2674"/>
      <c r="L121" s="2674"/>
      <c r="M121" s="2674"/>
      <c r="N121" s="2674"/>
      <c r="O121" s="2674"/>
      <c r="P121" s="2674"/>
      <c r="Q121" s="2674"/>
      <c r="R121" s="2674"/>
      <c r="S121" s="2674"/>
      <c r="T121" s="2674"/>
      <c r="U121" s="2674"/>
    </row>
    <row r="122" spans="1:21" ht="11.25" customHeight="1" x14ac:dyDescent="0.2">
      <c r="A122" s="2674"/>
      <c r="B122" s="2674"/>
      <c r="C122" s="2674"/>
      <c r="D122" s="2674"/>
      <c r="E122" s="2674"/>
      <c r="F122" s="2674"/>
      <c r="G122" s="2674"/>
      <c r="H122" s="2674"/>
      <c r="I122" s="2674"/>
      <c r="J122" s="2674"/>
      <c r="K122" s="2674"/>
      <c r="L122" s="2674"/>
      <c r="M122" s="2674"/>
      <c r="N122" s="2674"/>
      <c r="O122" s="2674"/>
      <c r="P122" s="2674"/>
      <c r="Q122" s="2674"/>
      <c r="R122" s="2674"/>
      <c r="S122" s="2674"/>
      <c r="T122" s="2674"/>
      <c r="U122" s="2674"/>
    </row>
    <row r="123" spans="1:21" ht="11.25" customHeight="1" x14ac:dyDescent="0.2">
      <c r="A123" s="2674"/>
      <c r="B123" s="2674"/>
      <c r="C123" s="2674"/>
      <c r="D123" s="2674"/>
      <c r="E123" s="2674"/>
      <c r="F123" s="2674"/>
      <c r="G123" s="2674"/>
      <c r="H123" s="2674"/>
      <c r="I123" s="2674"/>
      <c r="J123" s="2674"/>
      <c r="K123" s="2674"/>
      <c r="L123" s="2674"/>
      <c r="M123" s="2674"/>
      <c r="N123" s="2674"/>
      <c r="O123" s="2674"/>
      <c r="P123" s="2674"/>
      <c r="Q123" s="2674"/>
      <c r="R123" s="2674"/>
      <c r="S123" s="2674"/>
      <c r="T123" s="2674"/>
      <c r="U123" s="2674"/>
    </row>
    <row r="124" spans="1:21" ht="11.25" customHeight="1" x14ac:dyDescent="0.2">
      <c r="A124" s="2674"/>
      <c r="B124" s="2674"/>
      <c r="C124" s="2674"/>
      <c r="D124" s="2674"/>
      <c r="E124" s="2674"/>
      <c r="F124" s="2674"/>
      <c r="G124" s="2674"/>
      <c r="H124" s="2674"/>
      <c r="I124" s="2674"/>
      <c r="J124" s="2674"/>
      <c r="K124" s="2674"/>
      <c r="L124" s="2674"/>
      <c r="M124" s="2674"/>
      <c r="N124" s="2674"/>
      <c r="O124" s="2674"/>
      <c r="P124" s="2674"/>
      <c r="Q124" s="2674"/>
      <c r="R124" s="2674"/>
      <c r="S124" s="2674"/>
      <c r="T124" s="2674"/>
      <c r="U124" s="2674"/>
    </row>
    <row r="125" spans="1:21" ht="11.25" customHeight="1" x14ac:dyDescent="0.2">
      <c r="A125" s="2674"/>
      <c r="B125" s="2674"/>
      <c r="C125" s="2674"/>
      <c r="D125" s="2674"/>
      <c r="E125" s="2674"/>
      <c r="F125" s="2674"/>
      <c r="G125" s="2674"/>
      <c r="H125" s="2674"/>
      <c r="I125" s="2674"/>
      <c r="J125" s="2674"/>
      <c r="K125" s="2674"/>
      <c r="L125" s="2674"/>
      <c r="M125" s="2674"/>
      <c r="N125" s="2674"/>
      <c r="O125" s="2674"/>
      <c r="P125" s="2674"/>
      <c r="Q125" s="2674"/>
      <c r="R125" s="2674"/>
      <c r="S125" s="2674"/>
      <c r="T125" s="2674"/>
      <c r="U125" s="2674"/>
    </row>
    <row r="126" spans="1:21" ht="11.25" customHeight="1" x14ac:dyDescent="0.2">
      <c r="A126" s="2674"/>
      <c r="B126" s="2674"/>
      <c r="C126" s="2674"/>
      <c r="D126" s="2674"/>
      <c r="E126" s="2674"/>
      <c r="F126" s="2674"/>
      <c r="G126" s="2674"/>
      <c r="H126" s="2674"/>
      <c r="I126" s="2674"/>
      <c r="J126" s="2674"/>
      <c r="K126" s="2674"/>
      <c r="L126" s="2674"/>
      <c r="M126" s="2674"/>
      <c r="N126" s="2674"/>
      <c r="O126" s="2674"/>
      <c r="P126" s="2674"/>
      <c r="Q126" s="2674"/>
      <c r="R126" s="2674"/>
      <c r="S126" s="2674"/>
      <c r="T126" s="2674"/>
      <c r="U126" s="2674"/>
    </row>
    <row r="127" spans="1:21" ht="11.25" customHeight="1" x14ac:dyDescent="0.2">
      <c r="A127" s="2674"/>
      <c r="B127" s="2674"/>
      <c r="C127" s="2674"/>
      <c r="D127" s="2674"/>
      <c r="E127" s="2674"/>
      <c r="F127" s="2674"/>
      <c r="G127" s="2674"/>
      <c r="H127" s="2674"/>
      <c r="I127" s="2674"/>
      <c r="J127" s="2674"/>
      <c r="K127" s="2674"/>
      <c r="L127" s="2674"/>
      <c r="M127" s="2674"/>
      <c r="N127" s="2674"/>
      <c r="O127" s="2674"/>
      <c r="P127" s="2674"/>
      <c r="Q127" s="2674"/>
      <c r="R127" s="2674"/>
      <c r="S127" s="2674"/>
      <c r="T127" s="2674"/>
      <c r="U127" s="2674"/>
    </row>
    <row r="128" spans="1:21" ht="11.25" customHeight="1" x14ac:dyDescent="0.2">
      <c r="A128" s="2674"/>
      <c r="B128" s="2674"/>
      <c r="C128" s="2674"/>
      <c r="D128" s="2674"/>
      <c r="E128" s="2674"/>
      <c r="F128" s="2674"/>
      <c r="G128" s="2674"/>
      <c r="H128" s="2674"/>
      <c r="I128" s="2674"/>
      <c r="J128" s="2674"/>
      <c r="K128" s="2674"/>
      <c r="L128" s="2674"/>
      <c r="M128" s="2674"/>
      <c r="N128" s="2674"/>
      <c r="O128" s="2674"/>
      <c r="P128" s="2674"/>
      <c r="Q128" s="2674"/>
      <c r="R128" s="2674"/>
      <c r="S128" s="2674"/>
      <c r="T128" s="2674"/>
      <c r="U128" s="2674"/>
    </row>
    <row r="129" spans="1:21" ht="11.25" customHeight="1" x14ac:dyDescent="0.2">
      <c r="A129" s="2674"/>
      <c r="B129" s="2674"/>
      <c r="C129" s="2674"/>
      <c r="D129" s="2674"/>
      <c r="E129" s="2674"/>
      <c r="F129" s="2674"/>
      <c r="G129" s="2674"/>
      <c r="H129" s="2674"/>
      <c r="I129" s="2674"/>
      <c r="J129" s="2674"/>
      <c r="K129" s="2674"/>
      <c r="L129" s="2674"/>
      <c r="M129" s="2674"/>
      <c r="N129" s="2674"/>
      <c r="O129" s="2674"/>
      <c r="P129" s="2674"/>
      <c r="Q129" s="2674"/>
      <c r="R129" s="2674"/>
      <c r="S129" s="2674"/>
      <c r="T129" s="2674"/>
      <c r="U129" s="2674"/>
    </row>
    <row r="130" spans="1:21" ht="11.25" customHeight="1" x14ac:dyDescent="0.2">
      <c r="A130" s="2674"/>
      <c r="B130" s="2674"/>
      <c r="C130" s="2674"/>
      <c r="D130" s="2674"/>
      <c r="E130" s="2674"/>
      <c r="F130" s="2674"/>
      <c r="G130" s="2674"/>
      <c r="H130" s="2674"/>
      <c r="I130" s="2674"/>
      <c r="J130" s="2674"/>
      <c r="K130" s="2674"/>
      <c r="L130" s="2674"/>
      <c r="M130" s="2674"/>
      <c r="N130" s="2674"/>
      <c r="O130" s="2674"/>
      <c r="P130" s="2674"/>
      <c r="Q130" s="2674"/>
      <c r="R130" s="2674"/>
      <c r="S130" s="2674"/>
      <c r="T130" s="2674"/>
      <c r="U130" s="2674"/>
    </row>
    <row r="131" spans="1:21" ht="11.25" customHeight="1" x14ac:dyDescent="0.2">
      <c r="A131" s="2674"/>
      <c r="B131" s="2674"/>
      <c r="C131" s="2674"/>
      <c r="D131" s="2674"/>
      <c r="E131" s="2674"/>
      <c r="F131" s="2674"/>
      <c r="G131" s="2674"/>
      <c r="H131" s="2674"/>
      <c r="I131" s="2674"/>
      <c r="J131" s="2674"/>
      <c r="K131" s="2674"/>
      <c r="L131" s="2674"/>
      <c r="M131" s="2674"/>
      <c r="N131" s="2674"/>
      <c r="O131" s="2674"/>
      <c r="P131" s="2674"/>
      <c r="Q131" s="2674"/>
      <c r="R131" s="2674"/>
      <c r="S131" s="2674"/>
      <c r="T131" s="2674"/>
      <c r="U131" s="2674"/>
    </row>
    <row r="132" spans="1:21" ht="11.25" customHeight="1" x14ac:dyDescent="0.2">
      <c r="A132" s="2674"/>
      <c r="B132" s="2674"/>
      <c r="C132" s="2674"/>
      <c r="D132" s="2674"/>
      <c r="E132" s="2674"/>
      <c r="F132" s="2674"/>
      <c r="G132" s="2674"/>
      <c r="H132" s="2674"/>
      <c r="I132" s="2674"/>
      <c r="J132" s="2674"/>
      <c r="K132" s="2674"/>
      <c r="L132" s="2674"/>
      <c r="M132" s="2674"/>
      <c r="N132" s="2674"/>
      <c r="O132" s="2674"/>
      <c r="P132" s="2674"/>
      <c r="Q132" s="2674"/>
      <c r="R132" s="2674"/>
      <c r="S132" s="2674"/>
      <c r="T132" s="2674"/>
      <c r="U132" s="2674"/>
    </row>
    <row r="133" spans="1:21" ht="11.25" customHeight="1" x14ac:dyDescent="0.2">
      <c r="A133" s="2674"/>
      <c r="B133" s="2674"/>
      <c r="C133" s="2674"/>
      <c r="D133" s="2674"/>
      <c r="E133" s="2674"/>
      <c r="F133" s="2674"/>
      <c r="G133" s="2674"/>
      <c r="H133" s="2674"/>
      <c r="I133" s="2674"/>
      <c r="J133" s="2674"/>
      <c r="K133" s="2674"/>
      <c r="L133" s="2674"/>
      <c r="M133" s="2674"/>
      <c r="N133" s="2674"/>
      <c r="O133" s="2674"/>
      <c r="P133" s="2674"/>
      <c r="Q133" s="2674"/>
      <c r="R133" s="2674"/>
      <c r="S133" s="2674"/>
      <c r="T133" s="2674"/>
      <c r="U133" s="2674"/>
    </row>
    <row r="134" spans="1:21" ht="11.25" customHeight="1" x14ac:dyDescent="0.2">
      <c r="A134" s="2674"/>
      <c r="B134" s="2674"/>
      <c r="C134" s="2674"/>
      <c r="D134" s="2674"/>
      <c r="E134" s="2674"/>
      <c r="F134" s="2674"/>
      <c r="G134" s="2674"/>
      <c r="H134" s="2674"/>
      <c r="I134" s="2674"/>
      <c r="J134" s="2674"/>
      <c r="K134" s="2674"/>
      <c r="L134" s="2674"/>
      <c r="M134" s="2674"/>
      <c r="N134" s="2674"/>
      <c r="O134" s="2674"/>
      <c r="P134" s="2674"/>
      <c r="Q134" s="2674"/>
      <c r="R134" s="2674"/>
      <c r="S134" s="2674"/>
      <c r="T134" s="2674"/>
      <c r="U134" s="2674"/>
    </row>
    <row r="135" spans="1:21" ht="11.25" customHeight="1" x14ac:dyDescent="0.2">
      <c r="A135" s="2674"/>
      <c r="B135" s="2674"/>
      <c r="C135" s="2674"/>
      <c r="D135" s="2674"/>
      <c r="E135" s="2674"/>
      <c r="F135" s="2674"/>
      <c r="G135" s="2674"/>
      <c r="H135" s="2674"/>
      <c r="I135" s="2674"/>
      <c r="J135" s="2674"/>
      <c r="K135" s="2674"/>
      <c r="L135" s="2674"/>
      <c r="M135" s="2674"/>
      <c r="N135" s="2674"/>
      <c r="O135" s="2674"/>
      <c r="P135" s="2674"/>
      <c r="Q135" s="2674"/>
      <c r="R135" s="2674"/>
      <c r="S135" s="2674"/>
      <c r="T135" s="2674"/>
      <c r="U135" s="2674"/>
    </row>
    <row r="136" spans="1:21" ht="11.25" customHeight="1" x14ac:dyDescent="0.2">
      <c r="A136" s="2674"/>
      <c r="B136" s="2674"/>
      <c r="C136" s="2674"/>
      <c r="D136" s="2674"/>
      <c r="E136" s="2674"/>
      <c r="F136" s="2674"/>
      <c r="G136" s="2674"/>
      <c r="H136" s="2674"/>
      <c r="I136" s="2674"/>
      <c r="J136" s="2674"/>
      <c r="K136" s="2674"/>
      <c r="L136" s="2674"/>
      <c r="M136" s="2674"/>
      <c r="N136" s="2674"/>
      <c r="O136" s="2674"/>
      <c r="P136" s="2674"/>
      <c r="Q136" s="2674"/>
      <c r="R136" s="2674"/>
      <c r="S136" s="2674"/>
      <c r="T136" s="2674"/>
      <c r="U136" s="2674"/>
    </row>
    <row r="137" spans="1:21" ht="11.25" customHeight="1" x14ac:dyDescent="0.2">
      <c r="A137" s="2674"/>
      <c r="B137" s="2674"/>
      <c r="C137" s="2674"/>
      <c r="D137" s="2674"/>
      <c r="E137" s="2674"/>
      <c r="F137" s="2674"/>
      <c r="G137" s="2674"/>
      <c r="H137" s="2674"/>
      <c r="I137" s="2674"/>
      <c r="J137" s="2674"/>
      <c r="K137" s="2674"/>
      <c r="L137" s="2674"/>
      <c r="M137" s="2674"/>
      <c r="N137" s="2674"/>
      <c r="O137" s="2674"/>
      <c r="P137" s="2674"/>
      <c r="Q137" s="2674"/>
      <c r="R137" s="2674"/>
      <c r="S137" s="2674"/>
      <c r="T137" s="2674"/>
      <c r="U137" s="2674"/>
    </row>
    <row r="138" spans="1:21" ht="11.25" customHeight="1" x14ac:dyDescent="0.2">
      <c r="A138" s="2674"/>
      <c r="B138" s="2674"/>
      <c r="C138" s="2674"/>
      <c r="D138" s="2674"/>
      <c r="E138" s="2674"/>
      <c r="F138" s="2674"/>
      <c r="G138" s="2674"/>
      <c r="H138" s="2674"/>
      <c r="I138" s="2674"/>
      <c r="J138" s="2674"/>
      <c r="K138" s="2674"/>
      <c r="L138" s="2674"/>
      <c r="M138" s="2674"/>
      <c r="N138" s="2674"/>
      <c r="O138" s="2674"/>
      <c r="P138" s="2674"/>
      <c r="Q138" s="2674"/>
      <c r="R138" s="2674"/>
      <c r="S138" s="2674"/>
      <c r="T138" s="2674"/>
      <c r="U138" s="2674"/>
    </row>
    <row r="139" spans="1:21" ht="11.25" customHeight="1" x14ac:dyDescent="0.2">
      <c r="A139" s="2674"/>
      <c r="B139" s="2674"/>
      <c r="C139" s="2674"/>
      <c r="D139" s="2674"/>
      <c r="E139" s="2674"/>
      <c r="F139" s="2674"/>
      <c r="G139" s="2674"/>
      <c r="H139" s="2674"/>
      <c r="I139" s="2674"/>
      <c r="J139" s="2674"/>
      <c r="K139" s="2674"/>
      <c r="L139" s="2674"/>
      <c r="M139" s="2674"/>
      <c r="N139" s="2674"/>
      <c r="O139" s="2674"/>
      <c r="P139" s="2674"/>
      <c r="Q139" s="2674"/>
      <c r="R139" s="2674"/>
      <c r="S139" s="2674"/>
      <c r="T139" s="2674"/>
      <c r="U139" s="2674"/>
    </row>
    <row r="140" spans="1:21" ht="11.25" customHeight="1" x14ac:dyDescent="0.2">
      <c r="A140" s="2674"/>
      <c r="B140" s="2674"/>
      <c r="C140" s="2674"/>
      <c r="D140" s="2674"/>
      <c r="E140" s="2674"/>
      <c r="F140" s="2674"/>
      <c r="G140" s="2674"/>
      <c r="H140" s="2674"/>
      <c r="I140" s="2674"/>
      <c r="J140" s="2674"/>
      <c r="K140" s="2674"/>
      <c r="L140" s="2674"/>
      <c r="M140" s="2674"/>
      <c r="N140" s="2674"/>
      <c r="O140" s="2674"/>
      <c r="P140" s="2674"/>
      <c r="Q140" s="2674"/>
      <c r="R140" s="2674"/>
      <c r="S140" s="2674"/>
      <c r="T140" s="2674"/>
      <c r="U140" s="2674"/>
    </row>
    <row r="141" spans="1:21" ht="11.25" customHeight="1" x14ac:dyDescent="0.2">
      <c r="A141" s="2674"/>
      <c r="B141" s="2674"/>
      <c r="C141" s="2674"/>
      <c r="D141" s="2674"/>
      <c r="E141" s="2674"/>
      <c r="F141" s="2674"/>
      <c r="G141" s="2674"/>
      <c r="H141" s="2674"/>
      <c r="I141" s="2674"/>
      <c r="J141" s="2674"/>
      <c r="K141" s="2674"/>
      <c r="L141" s="2674"/>
      <c r="M141" s="2674"/>
      <c r="N141" s="2674"/>
      <c r="O141" s="2674"/>
      <c r="P141" s="2674"/>
      <c r="Q141" s="2674"/>
      <c r="R141" s="2674"/>
      <c r="S141" s="2674"/>
      <c r="T141" s="2674"/>
      <c r="U141" s="2674"/>
    </row>
    <row r="142" spans="1:21" ht="11.25" customHeight="1" x14ac:dyDescent="0.2">
      <c r="A142" s="2674"/>
      <c r="B142" s="2674"/>
      <c r="C142" s="2674"/>
      <c r="D142" s="2674"/>
      <c r="E142" s="2674"/>
      <c r="F142" s="2674"/>
      <c r="G142" s="2674"/>
      <c r="H142" s="2674"/>
      <c r="I142" s="2674"/>
      <c r="J142" s="2674"/>
      <c r="K142" s="2674"/>
      <c r="L142" s="2674"/>
      <c r="M142" s="2674"/>
      <c r="N142" s="2674"/>
      <c r="O142" s="2674"/>
      <c r="P142" s="2674"/>
      <c r="Q142" s="2674"/>
      <c r="R142" s="2674"/>
      <c r="S142" s="2674"/>
      <c r="T142" s="2674"/>
      <c r="U142" s="2674"/>
    </row>
    <row r="143" spans="1:21" ht="11.25" customHeight="1" x14ac:dyDescent="0.2">
      <c r="A143" s="2674"/>
      <c r="B143" s="2674"/>
      <c r="C143" s="2674"/>
      <c r="D143" s="2674"/>
      <c r="E143" s="2674"/>
      <c r="F143" s="2674"/>
      <c r="G143" s="2674"/>
      <c r="H143" s="2674"/>
      <c r="I143" s="2674"/>
      <c r="J143" s="2674"/>
      <c r="K143" s="2674"/>
      <c r="L143" s="2674"/>
      <c r="M143" s="2674"/>
      <c r="N143" s="2674"/>
      <c r="O143" s="2674"/>
      <c r="P143" s="2674"/>
      <c r="Q143" s="2674"/>
      <c r="R143" s="2674"/>
      <c r="S143" s="2674"/>
      <c r="T143" s="2674"/>
      <c r="U143" s="2674"/>
    </row>
    <row r="144" spans="1:21" ht="11.25" customHeight="1" x14ac:dyDescent="0.2">
      <c r="A144" s="2674"/>
      <c r="B144" s="2674"/>
      <c r="C144" s="2674"/>
      <c r="D144" s="2674"/>
      <c r="E144" s="2674"/>
      <c r="F144" s="2674"/>
      <c r="G144" s="2674"/>
      <c r="H144" s="2674"/>
      <c r="I144" s="2674"/>
      <c r="J144" s="2674"/>
      <c r="K144" s="2674"/>
      <c r="L144" s="2674"/>
      <c r="M144" s="2674"/>
      <c r="N144" s="2674"/>
      <c r="O144" s="2674"/>
      <c r="P144" s="2674"/>
      <c r="Q144" s="2674"/>
      <c r="R144" s="2674"/>
      <c r="S144" s="2674"/>
      <c r="T144" s="2674"/>
      <c r="U144" s="2674"/>
    </row>
    <row r="145" spans="1:21" ht="11.25" customHeight="1" x14ac:dyDescent="0.2">
      <c r="A145" s="2674"/>
      <c r="B145" s="2674"/>
      <c r="C145" s="2674"/>
      <c r="D145" s="2674"/>
      <c r="E145" s="2674"/>
      <c r="F145" s="2674"/>
      <c r="G145" s="2674"/>
      <c r="H145" s="2674"/>
      <c r="I145" s="2674"/>
      <c r="J145" s="2674"/>
      <c r="K145" s="2674"/>
      <c r="L145" s="2674"/>
      <c r="M145" s="2674"/>
      <c r="N145" s="2674"/>
      <c r="O145" s="2674"/>
      <c r="P145" s="2674"/>
      <c r="Q145" s="2674"/>
      <c r="R145" s="2674"/>
      <c r="S145" s="2674"/>
      <c r="T145" s="2674"/>
      <c r="U145" s="2674"/>
    </row>
    <row r="146" spans="1:21" ht="11.25" customHeight="1" x14ac:dyDescent="0.2">
      <c r="A146" s="2674"/>
      <c r="B146" s="2674"/>
      <c r="C146" s="2674"/>
      <c r="D146" s="2674"/>
      <c r="E146" s="2674"/>
      <c r="F146" s="2674"/>
      <c r="G146" s="2674"/>
      <c r="H146" s="2674"/>
      <c r="I146" s="2674"/>
      <c r="J146" s="2674"/>
      <c r="K146" s="2674"/>
      <c r="L146" s="2674"/>
      <c r="M146" s="2674"/>
      <c r="N146" s="2674"/>
      <c r="O146" s="2674"/>
      <c r="P146" s="2674"/>
      <c r="Q146" s="2674"/>
      <c r="R146" s="2674"/>
      <c r="S146" s="2674"/>
      <c r="T146" s="2674"/>
      <c r="U146" s="2674"/>
    </row>
    <row r="147" spans="1:21" ht="11.25" customHeight="1" x14ac:dyDescent="0.2">
      <c r="A147" s="2674"/>
      <c r="B147" s="2674"/>
      <c r="C147" s="2674"/>
      <c r="D147" s="2674"/>
      <c r="E147" s="2674"/>
      <c r="F147" s="2674"/>
      <c r="G147" s="2674"/>
      <c r="H147" s="2674"/>
      <c r="I147" s="2674"/>
      <c r="J147" s="2674"/>
      <c r="K147" s="2674"/>
      <c r="L147" s="2674"/>
      <c r="M147" s="2674"/>
      <c r="N147" s="2674"/>
      <c r="O147" s="2674"/>
      <c r="P147" s="2674"/>
      <c r="Q147" s="2674"/>
      <c r="R147" s="2674"/>
      <c r="S147" s="2674"/>
      <c r="T147" s="2674"/>
      <c r="U147" s="2674"/>
    </row>
    <row r="148" spans="1:21" ht="11.25" customHeight="1" x14ac:dyDescent="0.2">
      <c r="A148" s="2674"/>
      <c r="B148" s="2674"/>
      <c r="C148" s="2674"/>
      <c r="D148" s="2674"/>
      <c r="E148" s="2674"/>
      <c r="F148" s="2674"/>
      <c r="G148" s="2674"/>
      <c r="H148" s="2674"/>
      <c r="I148" s="2674"/>
      <c r="J148" s="2674"/>
      <c r="K148" s="2674"/>
      <c r="L148" s="2674"/>
      <c r="M148" s="2674"/>
      <c r="N148" s="2674"/>
      <c r="O148" s="2674"/>
      <c r="P148" s="2674"/>
      <c r="Q148" s="2674"/>
      <c r="R148" s="2674"/>
      <c r="S148" s="2674"/>
      <c r="T148" s="2674"/>
      <c r="U148" s="2674"/>
    </row>
    <row r="149" spans="1:21" ht="11.25" customHeight="1" x14ac:dyDescent="0.2">
      <c r="A149" s="2674"/>
      <c r="B149" s="2674"/>
      <c r="C149" s="2674"/>
      <c r="D149" s="2674"/>
      <c r="E149" s="2674"/>
      <c r="F149" s="2674"/>
      <c r="G149" s="2674"/>
      <c r="H149" s="2674"/>
      <c r="I149" s="2674"/>
      <c r="J149" s="2674"/>
      <c r="K149" s="2674"/>
      <c r="L149" s="2674"/>
      <c r="M149" s="2674"/>
      <c r="N149" s="2674"/>
      <c r="O149" s="2674"/>
      <c r="P149" s="2674"/>
      <c r="Q149" s="2674"/>
      <c r="R149" s="2674"/>
      <c r="S149" s="2674"/>
      <c r="T149" s="2674"/>
      <c r="U149" s="2674"/>
    </row>
    <row r="150" spans="1:21" ht="11.25" customHeight="1" x14ac:dyDescent="0.2">
      <c r="A150" s="2674"/>
      <c r="B150" s="2674"/>
      <c r="C150" s="2674"/>
      <c r="D150" s="2674"/>
      <c r="E150" s="2674"/>
      <c r="F150" s="2674"/>
      <c r="G150" s="2674"/>
      <c r="H150" s="2674"/>
      <c r="I150" s="2674"/>
      <c r="J150" s="2674"/>
      <c r="K150" s="2674"/>
      <c r="L150" s="2674"/>
      <c r="M150" s="2674"/>
      <c r="N150" s="2674"/>
      <c r="O150" s="2674"/>
      <c r="P150" s="2674"/>
      <c r="Q150" s="2674"/>
      <c r="R150" s="2674"/>
      <c r="S150" s="2674"/>
      <c r="T150" s="2674"/>
      <c r="U150" s="2674"/>
    </row>
    <row r="151" spans="1:21" ht="11.25" customHeight="1" x14ac:dyDescent="0.2">
      <c r="A151" s="2674"/>
      <c r="B151" s="2674"/>
      <c r="C151" s="2674"/>
      <c r="D151" s="2674"/>
      <c r="E151" s="2674"/>
      <c r="F151" s="2674"/>
      <c r="G151" s="2674"/>
      <c r="H151" s="2674"/>
      <c r="I151" s="2674"/>
      <c r="J151" s="2674"/>
      <c r="K151" s="2674"/>
      <c r="L151" s="2674"/>
      <c r="M151" s="2674"/>
      <c r="N151" s="2674"/>
      <c r="O151" s="2674"/>
      <c r="P151" s="2674"/>
      <c r="Q151" s="2674"/>
      <c r="R151" s="2674"/>
      <c r="S151" s="2674"/>
      <c r="T151" s="2674"/>
      <c r="U151" s="2674"/>
    </row>
    <row r="152" spans="1:21" ht="11.25" customHeight="1" x14ac:dyDescent="0.2">
      <c r="A152" s="2674"/>
      <c r="B152" s="2674"/>
      <c r="C152" s="2674"/>
      <c r="D152" s="2674"/>
      <c r="E152" s="2674"/>
      <c r="F152" s="2674"/>
      <c r="G152" s="2674"/>
      <c r="H152" s="2674"/>
      <c r="I152" s="2674"/>
      <c r="J152" s="2674"/>
      <c r="K152" s="2674"/>
      <c r="L152" s="2674"/>
      <c r="M152" s="2674"/>
      <c r="N152" s="2674"/>
      <c r="O152" s="2674"/>
      <c r="P152" s="2674"/>
      <c r="Q152" s="2674"/>
      <c r="R152" s="2674"/>
      <c r="S152" s="2674"/>
      <c r="T152" s="2674"/>
      <c r="U152" s="2674"/>
    </row>
    <row r="153" spans="1:21" ht="11.25" customHeight="1" x14ac:dyDescent="0.2">
      <c r="A153" s="2674"/>
      <c r="B153" s="2674"/>
      <c r="C153" s="2674"/>
      <c r="D153" s="2674"/>
      <c r="E153" s="2674"/>
      <c r="F153" s="2674"/>
      <c r="G153" s="2674"/>
      <c r="H153" s="2674"/>
      <c r="I153" s="2674"/>
      <c r="J153" s="2674"/>
      <c r="K153" s="2674"/>
      <c r="L153" s="2674"/>
      <c r="M153" s="2674"/>
      <c r="N153" s="2674"/>
      <c r="O153" s="2674"/>
      <c r="P153" s="2674"/>
      <c r="Q153" s="2674"/>
      <c r="R153" s="2674"/>
      <c r="S153" s="2674"/>
      <c r="T153" s="2674"/>
      <c r="U153" s="2674"/>
    </row>
    <row r="154" spans="1:21" ht="11.25" customHeight="1" x14ac:dyDescent="0.2">
      <c r="A154" s="2674"/>
      <c r="B154" s="2674"/>
      <c r="C154" s="2674"/>
      <c r="D154" s="2674"/>
      <c r="E154" s="2674"/>
      <c r="F154" s="2674"/>
      <c r="G154" s="2674"/>
      <c r="H154" s="2674"/>
      <c r="I154" s="2674"/>
      <c r="J154" s="2674"/>
      <c r="K154" s="2674"/>
      <c r="L154" s="2674"/>
      <c r="M154" s="2674"/>
      <c r="N154" s="2674"/>
      <c r="O154" s="2674"/>
      <c r="P154" s="2674"/>
      <c r="Q154" s="2674"/>
      <c r="R154" s="2674"/>
      <c r="S154" s="2674"/>
      <c r="T154" s="2674"/>
      <c r="U154" s="2674"/>
    </row>
    <row r="155" spans="1:21" ht="11.25" customHeight="1" x14ac:dyDescent="0.2">
      <c r="A155" s="2674"/>
      <c r="B155" s="2674"/>
      <c r="C155" s="2674"/>
      <c r="D155" s="2674"/>
      <c r="E155" s="2674"/>
      <c r="F155" s="2674"/>
      <c r="G155" s="2674"/>
      <c r="H155" s="2674"/>
      <c r="I155" s="2674"/>
      <c r="J155" s="2674"/>
      <c r="K155" s="2674"/>
      <c r="L155" s="2674"/>
      <c r="M155" s="2674"/>
      <c r="N155" s="2674"/>
      <c r="O155" s="2674"/>
      <c r="P155" s="2674"/>
      <c r="Q155" s="2674"/>
      <c r="R155" s="2674"/>
      <c r="S155" s="2674"/>
      <c r="T155" s="2674"/>
      <c r="U155" s="2674"/>
    </row>
    <row r="156" spans="1:21" ht="11.25" customHeight="1" x14ac:dyDescent="0.2">
      <c r="A156" s="2674"/>
      <c r="B156" s="2674"/>
      <c r="C156" s="2674"/>
      <c r="D156" s="2674"/>
      <c r="E156" s="2674"/>
      <c r="F156" s="2674"/>
      <c r="G156" s="2674"/>
      <c r="H156" s="2674"/>
      <c r="I156" s="2674"/>
      <c r="J156" s="2674"/>
      <c r="K156" s="2674"/>
      <c r="L156" s="2674"/>
      <c r="M156" s="2674"/>
      <c r="N156" s="2674"/>
      <c r="O156" s="2674"/>
      <c r="P156" s="2674"/>
      <c r="Q156" s="2674"/>
      <c r="R156" s="2674"/>
      <c r="S156" s="2674"/>
      <c r="T156" s="2674"/>
      <c r="U156" s="2674"/>
    </row>
    <row r="157" spans="1:21" ht="11.25" customHeight="1" x14ac:dyDescent="0.2">
      <c r="A157" s="2674"/>
      <c r="B157" s="2674"/>
      <c r="C157" s="2674"/>
      <c r="D157" s="2674"/>
      <c r="E157" s="2674"/>
      <c r="F157" s="2674"/>
      <c r="G157" s="2674"/>
      <c r="H157" s="2674"/>
      <c r="I157" s="2674"/>
      <c r="J157" s="2674"/>
      <c r="K157" s="2674"/>
      <c r="L157" s="2674"/>
      <c r="M157" s="2674"/>
      <c r="N157" s="2674"/>
      <c r="O157" s="2674"/>
      <c r="P157" s="2674"/>
      <c r="Q157" s="2674"/>
      <c r="R157" s="2674"/>
      <c r="S157" s="2674"/>
      <c r="T157" s="2674"/>
      <c r="U157" s="2674"/>
    </row>
    <row r="158" spans="1:21" ht="11.25" customHeight="1" x14ac:dyDescent="0.2">
      <c r="A158" s="2674"/>
      <c r="B158" s="2674"/>
      <c r="C158" s="2674"/>
      <c r="D158" s="2674"/>
      <c r="E158" s="2674"/>
      <c r="F158" s="2674"/>
      <c r="G158" s="2674"/>
      <c r="H158" s="2674"/>
      <c r="I158" s="2674"/>
      <c r="J158" s="2674"/>
      <c r="K158" s="2674"/>
      <c r="L158" s="2674"/>
      <c r="M158" s="2674"/>
      <c r="N158" s="2674"/>
      <c r="O158" s="2674"/>
      <c r="P158" s="2674"/>
      <c r="Q158" s="2674"/>
      <c r="R158" s="2674"/>
      <c r="S158" s="2674"/>
      <c r="T158" s="2674"/>
      <c r="U158" s="2674"/>
    </row>
    <row r="159" spans="1:21" ht="11.25" customHeight="1" x14ac:dyDescent="0.2">
      <c r="A159" s="2674"/>
      <c r="B159" s="2674"/>
      <c r="C159" s="2674"/>
      <c r="D159" s="2674"/>
      <c r="E159" s="2674"/>
      <c r="F159" s="2674"/>
      <c r="G159" s="2674"/>
      <c r="H159" s="2674"/>
      <c r="I159" s="2674"/>
      <c r="J159" s="2674"/>
      <c r="K159" s="2674"/>
      <c r="L159" s="2674"/>
      <c r="M159" s="2674"/>
      <c r="N159" s="2674"/>
      <c r="O159" s="2674"/>
      <c r="P159" s="2674"/>
      <c r="Q159" s="2674"/>
      <c r="R159" s="2674"/>
      <c r="S159" s="2674"/>
      <c r="T159" s="2674"/>
      <c r="U159" s="2674"/>
    </row>
    <row r="160" spans="1:21" ht="11.25" customHeight="1" x14ac:dyDescent="0.2">
      <c r="A160" s="2674"/>
      <c r="B160" s="2674"/>
      <c r="C160" s="2674"/>
      <c r="D160" s="2674"/>
      <c r="E160" s="2674"/>
      <c r="F160" s="2674"/>
      <c r="G160" s="2674"/>
      <c r="H160" s="2674"/>
      <c r="I160" s="2674"/>
      <c r="J160" s="2674"/>
      <c r="K160" s="2674"/>
      <c r="L160" s="2674"/>
      <c r="M160" s="2674"/>
      <c r="N160" s="2674"/>
      <c r="O160" s="2674"/>
      <c r="P160" s="2674"/>
      <c r="Q160" s="2674"/>
      <c r="R160" s="2674"/>
      <c r="S160" s="2674"/>
      <c r="T160" s="2674"/>
      <c r="U160" s="2674"/>
    </row>
    <row r="161" spans="1:21" ht="11.25" customHeight="1" x14ac:dyDescent="0.2">
      <c r="A161" s="2674"/>
      <c r="B161" s="2674"/>
      <c r="C161" s="2674"/>
      <c r="D161" s="2674"/>
      <c r="E161" s="2674"/>
      <c r="F161" s="2674"/>
      <c r="G161" s="2674"/>
      <c r="H161" s="2674"/>
      <c r="I161" s="2674"/>
      <c r="J161" s="2674"/>
      <c r="K161" s="2674"/>
      <c r="L161" s="2674"/>
      <c r="M161" s="2674"/>
      <c r="N161" s="2674"/>
      <c r="O161" s="2674"/>
      <c r="P161" s="2674"/>
      <c r="Q161" s="2674"/>
      <c r="R161" s="2674"/>
      <c r="S161" s="2674"/>
      <c r="T161" s="2674"/>
      <c r="U161" s="2674"/>
    </row>
    <row r="162" spans="1:21" ht="11.25" customHeight="1" x14ac:dyDescent="0.2">
      <c r="A162" s="2674"/>
      <c r="B162" s="2674"/>
      <c r="C162" s="2674"/>
      <c r="D162" s="2674"/>
      <c r="E162" s="2674"/>
      <c r="F162" s="2674"/>
      <c r="G162" s="2674"/>
      <c r="H162" s="2674"/>
      <c r="I162" s="2674"/>
      <c r="J162" s="2674"/>
      <c r="K162" s="2674"/>
      <c r="L162" s="2674"/>
      <c r="M162" s="2674"/>
      <c r="N162" s="2674"/>
      <c r="O162" s="2674"/>
      <c r="P162" s="2674"/>
      <c r="Q162" s="2674"/>
      <c r="R162" s="2674"/>
      <c r="S162" s="2674"/>
      <c r="T162" s="2674"/>
      <c r="U162" s="2674"/>
    </row>
    <row r="163" spans="1:21" ht="11.25" customHeight="1" x14ac:dyDescent="0.2">
      <c r="A163" s="2674"/>
      <c r="B163" s="2674"/>
      <c r="C163" s="2674"/>
      <c r="D163" s="2674"/>
      <c r="E163" s="2674"/>
      <c r="F163" s="2674"/>
      <c r="G163" s="2674"/>
      <c r="H163" s="2674"/>
      <c r="I163" s="2674"/>
      <c r="J163" s="2674"/>
      <c r="K163" s="2674"/>
      <c r="L163" s="2674"/>
      <c r="M163" s="2674"/>
      <c r="N163" s="2674"/>
      <c r="O163" s="2674"/>
      <c r="P163" s="2674"/>
      <c r="Q163" s="2674"/>
      <c r="R163" s="2674"/>
      <c r="S163" s="2674"/>
      <c r="T163" s="2674"/>
      <c r="U163" s="2674"/>
    </row>
    <row r="164" spans="1:21" ht="11.25" customHeight="1" x14ac:dyDescent="0.2">
      <c r="A164" s="2674"/>
      <c r="B164" s="2674"/>
      <c r="C164" s="2674"/>
      <c r="D164" s="2674"/>
      <c r="E164" s="2674"/>
      <c r="F164" s="2674"/>
      <c r="G164" s="2674"/>
      <c r="H164" s="2674"/>
      <c r="I164" s="2674"/>
      <c r="J164" s="2674"/>
      <c r="K164" s="2674"/>
      <c r="L164" s="2674"/>
      <c r="M164" s="2674"/>
      <c r="N164" s="2674"/>
      <c r="O164" s="2674"/>
      <c r="P164" s="2674"/>
      <c r="Q164" s="2674"/>
      <c r="R164" s="2674"/>
      <c r="S164" s="2674"/>
      <c r="T164" s="2674"/>
      <c r="U164" s="2674"/>
    </row>
    <row r="165" spans="1:21" ht="11.25" customHeight="1" x14ac:dyDescent="0.2">
      <c r="A165" s="2674"/>
      <c r="B165" s="2674"/>
      <c r="C165" s="2674"/>
      <c r="D165" s="2674"/>
      <c r="E165" s="2674"/>
      <c r="F165" s="2674"/>
      <c r="G165" s="2674"/>
      <c r="H165" s="2674"/>
      <c r="I165" s="2674"/>
      <c r="J165" s="2674"/>
      <c r="K165" s="2674"/>
      <c r="L165" s="2674"/>
      <c r="M165" s="2674"/>
      <c r="N165" s="2674"/>
      <c r="O165" s="2674"/>
      <c r="P165" s="2674"/>
      <c r="Q165" s="2674"/>
      <c r="R165" s="2674"/>
      <c r="S165" s="2674"/>
      <c r="T165" s="2674"/>
      <c r="U165" s="2674"/>
    </row>
    <row r="166" spans="1:21" ht="11.25" customHeight="1" x14ac:dyDescent="0.2">
      <c r="A166" s="2674"/>
      <c r="B166" s="2674"/>
      <c r="C166" s="2674"/>
      <c r="D166" s="2674"/>
      <c r="E166" s="2674"/>
      <c r="F166" s="2674"/>
      <c r="G166" s="2674"/>
      <c r="H166" s="2674"/>
      <c r="I166" s="2674"/>
      <c r="J166" s="2674"/>
      <c r="K166" s="2674"/>
      <c r="L166" s="2674"/>
      <c r="M166" s="2674"/>
      <c r="N166" s="2674"/>
      <c r="O166" s="2674"/>
      <c r="P166" s="2674"/>
      <c r="Q166" s="2674"/>
      <c r="R166" s="2674"/>
      <c r="S166" s="2674"/>
      <c r="T166" s="2674"/>
      <c r="U166" s="2674"/>
    </row>
    <row r="167" spans="1:21" ht="11.25" customHeight="1" x14ac:dyDescent="0.2">
      <c r="A167" s="2674"/>
      <c r="B167" s="2674"/>
      <c r="C167" s="2674"/>
      <c r="D167" s="2674"/>
      <c r="E167" s="2674"/>
      <c r="F167" s="2674"/>
      <c r="G167" s="2674"/>
      <c r="H167" s="2674"/>
      <c r="I167" s="2674"/>
      <c r="J167" s="2674"/>
      <c r="K167" s="2674"/>
      <c r="L167" s="2674"/>
      <c r="M167" s="2674"/>
      <c r="N167" s="2674"/>
      <c r="O167" s="2674"/>
      <c r="P167" s="2674"/>
      <c r="Q167" s="2674"/>
      <c r="R167" s="2674"/>
      <c r="S167" s="2674"/>
      <c r="T167" s="2674"/>
      <c r="U167" s="2674"/>
    </row>
    <row r="168" spans="1:21" ht="11.25" customHeight="1" x14ac:dyDescent="0.2">
      <c r="A168" s="2674"/>
      <c r="B168" s="2674"/>
      <c r="C168" s="2674"/>
      <c r="D168" s="2674"/>
      <c r="E168" s="2674"/>
      <c r="F168" s="2674"/>
      <c r="G168" s="2674"/>
      <c r="H168" s="2674"/>
      <c r="I168" s="2674"/>
      <c r="J168" s="2674"/>
      <c r="K168" s="2674"/>
      <c r="L168" s="2674"/>
      <c r="M168" s="2674"/>
      <c r="N168" s="2674"/>
      <c r="O168" s="2674"/>
      <c r="P168" s="2674"/>
      <c r="Q168" s="2674"/>
      <c r="R168" s="2674"/>
      <c r="S168" s="2674"/>
      <c r="T168" s="2674"/>
      <c r="U168" s="2674"/>
    </row>
    <row r="169" spans="1:21" ht="11.25" customHeight="1" x14ac:dyDescent="0.2">
      <c r="A169" s="2674"/>
      <c r="B169" s="2674"/>
      <c r="C169" s="2674"/>
      <c r="D169" s="2674"/>
      <c r="E169" s="2674"/>
      <c r="F169" s="2674"/>
      <c r="G169" s="2674"/>
      <c r="H169" s="2674"/>
      <c r="I169" s="2674"/>
      <c r="J169" s="2674"/>
      <c r="K169" s="2674"/>
      <c r="L169" s="2674"/>
      <c r="M169" s="2674"/>
      <c r="N169" s="2674"/>
      <c r="O169" s="2674"/>
      <c r="P169" s="2674"/>
      <c r="Q169" s="2674"/>
      <c r="R169" s="2674"/>
      <c r="S169" s="2674"/>
      <c r="T169" s="2674"/>
      <c r="U169" s="2674"/>
    </row>
    <row r="170" spans="1:21" ht="11.25" customHeight="1" x14ac:dyDescent="0.2">
      <c r="A170" s="2674"/>
      <c r="B170" s="2674"/>
      <c r="C170" s="2674"/>
      <c r="D170" s="2674"/>
      <c r="E170" s="2674"/>
      <c r="F170" s="2674"/>
      <c r="G170" s="2674"/>
      <c r="H170" s="2674"/>
      <c r="I170" s="2674"/>
      <c r="J170" s="2674"/>
      <c r="K170" s="2674"/>
      <c r="L170" s="2674"/>
      <c r="M170" s="2674"/>
      <c r="N170" s="2674"/>
      <c r="O170" s="2674"/>
      <c r="P170" s="2674"/>
      <c r="Q170" s="2674"/>
      <c r="R170" s="2674"/>
      <c r="S170" s="2674"/>
      <c r="T170" s="2674"/>
      <c r="U170" s="2674"/>
    </row>
    <row r="171" spans="1:21" ht="11.25" customHeight="1" x14ac:dyDescent="0.2">
      <c r="A171" s="2674"/>
      <c r="B171" s="2674"/>
      <c r="C171" s="2674"/>
      <c r="D171" s="2674"/>
      <c r="E171" s="2674"/>
      <c r="F171" s="2674"/>
      <c r="G171" s="2674"/>
      <c r="H171" s="2674"/>
      <c r="I171" s="2674"/>
      <c r="J171" s="2674"/>
      <c r="K171" s="2674"/>
      <c r="L171" s="2674"/>
      <c r="M171" s="2674"/>
      <c r="N171" s="2674"/>
      <c r="O171" s="2674"/>
      <c r="P171" s="2674"/>
      <c r="Q171" s="2674"/>
      <c r="R171" s="2674"/>
      <c r="S171" s="2674"/>
      <c r="T171" s="2674"/>
      <c r="U171" s="2674"/>
    </row>
    <row r="172" spans="1:21" ht="11.25" customHeight="1" x14ac:dyDescent="0.2">
      <c r="A172" s="2674"/>
      <c r="B172" s="2674"/>
      <c r="C172" s="2674"/>
      <c r="D172" s="2674"/>
      <c r="E172" s="2674"/>
      <c r="F172" s="2674"/>
      <c r="G172" s="2674"/>
      <c r="H172" s="2674"/>
      <c r="I172" s="2674"/>
      <c r="J172" s="2674"/>
      <c r="K172" s="2674"/>
      <c r="L172" s="2674"/>
      <c r="M172" s="2674"/>
      <c r="N172" s="2674"/>
      <c r="O172" s="2674"/>
      <c r="P172" s="2674"/>
      <c r="Q172" s="2674"/>
      <c r="R172" s="2674"/>
      <c r="S172" s="2674"/>
      <c r="T172" s="2674"/>
      <c r="U172" s="2674"/>
    </row>
    <row r="173" spans="1:21" ht="11.25" customHeight="1" x14ac:dyDescent="0.2">
      <c r="A173" s="2674"/>
      <c r="B173" s="2674"/>
      <c r="C173" s="2674"/>
      <c r="D173" s="2674"/>
      <c r="E173" s="2674"/>
      <c r="F173" s="2674"/>
      <c r="G173" s="2674"/>
      <c r="H173" s="2674"/>
      <c r="I173" s="2674"/>
      <c r="J173" s="2674"/>
      <c r="K173" s="2674"/>
      <c r="L173" s="2674"/>
      <c r="M173" s="2674"/>
      <c r="N173" s="2674"/>
      <c r="O173" s="2674"/>
      <c r="P173" s="2674"/>
      <c r="Q173" s="2674"/>
      <c r="R173" s="2674"/>
      <c r="S173" s="2674"/>
      <c r="T173" s="2674"/>
      <c r="U173" s="2674"/>
    </row>
    <row r="174" spans="1:21" ht="11.25" customHeight="1" x14ac:dyDescent="0.2">
      <c r="A174" s="2674"/>
      <c r="B174" s="2674"/>
      <c r="C174" s="2674"/>
      <c r="D174" s="2674"/>
      <c r="E174" s="2674"/>
      <c r="F174" s="2674"/>
      <c r="G174" s="2674"/>
      <c r="H174" s="2674"/>
      <c r="I174" s="2674"/>
      <c r="J174" s="2674"/>
      <c r="K174" s="2674"/>
      <c r="L174" s="2674"/>
      <c r="M174" s="2674"/>
      <c r="N174" s="2674"/>
      <c r="O174" s="2674"/>
      <c r="P174" s="2674"/>
      <c r="Q174" s="2674"/>
      <c r="R174" s="2674"/>
      <c r="S174" s="2674"/>
      <c r="T174" s="2674"/>
      <c r="U174" s="2674"/>
    </row>
    <row r="175" spans="1:21" ht="11.25" customHeight="1" x14ac:dyDescent="0.2">
      <c r="A175" s="2674"/>
      <c r="B175" s="2674"/>
      <c r="C175" s="2674"/>
      <c r="D175" s="2674"/>
      <c r="E175" s="2674"/>
      <c r="F175" s="2674"/>
      <c r="G175" s="2674"/>
      <c r="H175" s="2674"/>
      <c r="I175" s="2674"/>
      <c r="J175" s="2674"/>
      <c r="K175" s="2674"/>
      <c r="L175" s="2674"/>
      <c r="M175" s="2674"/>
      <c r="N175" s="2674"/>
      <c r="O175" s="2674"/>
      <c r="P175" s="2674"/>
      <c r="Q175" s="2674"/>
      <c r="R175" s="2674"/>
      <c r="S175" s="2674"/>
      <c r="T175" s="2674"/>
      <c r="U175" s="2674"/>
    </row>
    <row r="176" spans="1:21" ht="11.25" customHeight="1" x14ac:dyDescent="0.2">
      <c r="A176" s="2674"/>
      <c r="B176" s="2674"/>
      <c r="C176" s="2674"/>
      <c r="D176" s="2674"/>
      <c r="E176" s="2674"/>
      <c r="F176" s="2674"/>
      <c r="G176" s="2674"/>
      <c r="H176" s="2674"/>
      <c r="I176" s="2674"/>
      <c r="J176" s="2674"/>
      <c r="K176" s="2674"/>
      <c r="L176" s="2674"/>
      <c r="M176" s="2674"/>
      <c r="N176" s="2674"/>
      <c r="O176" s="2674"/>
      <c r="P176" s="2674"/>
      <c r="Q176" s="2674"/>
      <c r="R176" s="2674"/>
      <c r="S176" s="2674"/>
      <c r="T176" s="2674"/>
      <c r="U176" s="2674"/>
    </row>
    <row r="177" spans="1:21" ht="11.25" customHeight="1" x14ac:dyDescent="0.2">
      <c r="A177" s="2674"/>
      <c r="B177" s="2674"/>
      <c r="C177" s="2674"/>
      <c r="D177" s="2674"/>
      <c r="E177" s="2674"/>
      <c r="F177" s="2674"/>
      <c r="G177" s="2674"/>
      <c r="H177" s="2674"/>
      <c r="I177" s="2674"/>
      <c r="J177" s="2674"/>
      <c r="K177" s="2674"/>
      <c r="L177" s="2674"/>
      <c r="M177" s="2674"/>
      <c r="N177" s="2674"/>
      <c r="O177" s="2674"/>
      <c r="P177" s="2674"/>
      <c r="Q177" s="2674"/>
      <c r="R177" s="2674"/>
      <c r="S177" s="2674"/>
      <c r="T177" s="2674"/>
      <c r="U177" s="2674"/>
    </row>
    <row r="178" spans="1:21" ht="11.25" customHeight="1" x14ac:dyDescent="0.2">
      <c r="A178" s="2674"/>
      <c r="B178" s="2674"/>
      <c r="C178" s="2674"/>
      <c r="D178" s="2674"/>
      <c r="E178" s="2674"/>
      <c r="F178" s="2674"/>
      <c r="G178" s="2674"/>
      <c r="H178" s="2674"/>
      <c r="I178" s="2674"/>
      <c r="J178" s="2674"/>
      <c r="K178" s="2674"/>
      <c r="L178" s="2674"/>
      <c r="M178" s="2674"/>
      <c r="N178" s="2674"/>
      <c r="O178" s="2674"/>
      <c r="P178" s="2674"/>
      <c r="Q178" s="2674"/>
      <c r="R178" s="2674"/>
      <c r="S178" s="2674"/>
      <c r="T178" s="2674"/>
      <c r="U178" s="2674"/>
    </row>
    <row r="179" spans="1:21" ht="11.25" customHeight="1" x14ac:dyDescent="0.2">
      <c r="A179" s="2674"/>
      <c r="B179" s="2674"/>
      <c r="C179" s="2674"/>
      <c r="D179" s="2674"/>
      <c r="E179" s="2674"/>
      <c r="F179" s="2674"/>
      <c r="G179" s="2674"/>
      <c r="H179" s="2674"/>
      <c r="I179" s="2674"/>
      <c r="J179" s="2674"/>
      <c r="K179" s="2674"/>
      <c r="L179" s="2674"/>
      <c r="M179" s="2674"/>
      <c r="N179" s="2674"/>
      <c r="O179" s="2674"/>
      <c r="P179" s="2674"/>
      <c r="Q179" s="2674"/>
      <c r="R179" s="2674"/>
      <c r="S179" s="2674"/>
      <c r="T179" s="2674"/>
      <c r="U179" s="2674"/>
    </row>
    <row r="180" spans="1:21" ht="11.25" customHeight="1" x14ac:dyDescent="0.2">
      <c r="A180" s="2674"/>
      <c r="B180" s="2674"/>
      <c r="C180" s="2674"/>
      <c r="D180" s="2674"/>
      <c r="E180" s="2674"/>
      <c r="F180" s="2674"/>
      <c r="G180" s="2674"/>
      <c r="H180" s="2674"/>
      <c r="I180" s="2674"/>
      <c r="J180" s="2674"/>
      <c r="K180" s="2674"/>
      <c r="L180" s="2674"/>
      <c r="M180" s="2674"/>
      <c r="N180" s="2674"/>
      <c r="O180" s="2674"/>
      <c r="P180" s="2674"/>
      <c r="Q180" s="2674"/>
      <c r="R180" s="2674"/>
      <c r="S180" s="2674"/>
      <c r="T180" s="2674"/>
      <c r="U180" s="2674"/>
    </row>
    <row r="181" spans="1:21" ht="11.25" customHeight="1" x14ac:dyDescent="0.2">
      <c r="A181" s="2674"/>
      <c r="B181" s="2674"/>
      <c r="C181" s="2674"/>
      <c r="D181" s="2674"/>
      <c r="E181" s="2674"/>
      <c r="F181" s="2674"/>
      <c r="G181" s="2674"/>
      <c r="H181" s="2674"/>
      <c r="I181" s="2674"/>
      <c r="J181" s="2674"/>
      <c r="K181" s="2674"/>
      <c r="L181" s="2674"/>
      <c r="M181" s="2674"/>
      <c r="N181" s="2674"/>
      <c r="O181" s="2674"/>
      <c r="P181" s="2674"/>
      <c r="Q181" s="2674"/>
      <c r="R181" s="2674"/>
      <c r="S181" s="2674"/>
      <c r="T181" s="2674"/>
      <c r="U181" s="2674"/>
    </row>
    <row r="182" spans="1:21" ht="11.25" customHeight="1" x14ac:dyDescent="0.2">
      <c r="A182" s="2674"/>
      <c r="B182" s="2674"/>
      <c r="C182" s="2674"/>
      <c r="D182" s="2674"/>
      <c r="E182" s="2674"/>
      <c r="F182" s="2674"/>
      <c r="G182" s="2674"/>
      <c r="H182" s="2674"/>
      <c r="I182" s="2674"/>
      <c r="J182" s="2674"/>
      <c r="K182" s="2674"/>
      <c r="L182" s="2674"/>
      <c r="M182" s="2674"/>
      <c r="N182" s="2674"/>
      <c r="O182" s="2674"/>
      <c r="P182" s="2674"/>
      <c r="Q182" s="2674"/>
      <c r="R182" s="2674"/>
      <c r="S182" s="2674"/>
      <c r="T182" s="2674"/>
      <c r="U182" s="2674"/>
    </row>
    <row r="183" spans="1:21" ht="11.25" customHeight="1" x14ac:dyDescent="0.2">
      <c r="A183" s="2674"/>
      <c r="B183" s="2674"/>
      <c r="C183" s="2674"/>
      <c r="D183" s="2674"/>
      <c r="E183" s="2674"/>
      <c r="F183" s="2674"/>
      <c r="G183" s="2674"/>
      <c r="H183" s="2674"/>
      <c r="I183" s="2674"/>
      <c r="J183" s="2674"/>
      <c r="K183" s="2674"/>
      <c r="L183" s="2674"/>
      <c r="M183" s="2674"/>
      <c r="N183" s="2674"/>
      <c r="O183" s="2674"/>
      <c r="P183" s="2674"/>
      <c r="Q183" s="2674"/>
      <c r="R183" s="2674"/>
      <c r="S183" s="2674"/>
      <c r="T183" s="2674"/>
      <c r="U183" s="2674"/>
    </row>
    <row r="184" spans="1:21" ht="11.25" customHeight="1" x14ac:dyDescent="0.2">
      <c r="A184" s="2674"/>
      <c r="B184" s="2674"/>
      <c r="C184" s="2674"/>
      <c r="D184" s="2674"/>
      <c r="E184" s="2674"/>
      <c r="F184" s="2674"/>
      <c r="G184" s="2674"/>
      <c r="H184" s="2674"/>
      <c r="I184" s="2674"/>
      <c r="J184" s="2674"/>
      <c r="K184" s="2674"/>
      <c r="L184" s="2674"/>
      <c r="M184" s="2674"/>
      <c r="N184" s="2674"/>
      <c r="O184" s="2674"/>
      <c r="P184" s="2674"/>
      <c r="Q184" s="2674"/>
      <c r="R184" s="2674"/>
      <c r="S184" s="2674"/>
      <c r="T184" s="2674"/>
      <c r="U184" s="2674"/>
    </row>
    <row r="185" spans="1:21" ht="11.25" customHeight="1" x14ac:dyDescent="0.2">
      <c r="A185" s="2674"/>
      <c r="B185" s="2674"/>
      <c r="C185" s="2674"/>
      <c r="D185" s="2674"/>
      <c r="E185" s="2674"/>
      <c r="F185" s="2674"/>
      <c r="G185" s="2674"/>
      <c r="H185" s="2674"/>
      <c r="I185" s="2674"/>
      <c r="J185" s="2674"/>
      <c r="K185" s="2674"/>
      <c r="L185" s="2674"/>
      <c r="M185" s="2674"/>
      <c r="N185" s="2674"/>
      <c r="O185" s="2674"/>
      <c r="P185" s="2674"/>
      <c r="Q185" s="2674"/>
      <c r="R185" s="2674"/>
      <c r="S185" s="2674"/>
      <c r="T185" s="2674"/>
      <c r="U185" s="2674"/>
    </row>
    <row r="186" spans="1:21" ht="11.25" customHeight="1" x14ac:dyDescent="0.2">
      <c r="A186" s="2674"/>
      <c r="B186" s="2674"/>
      <c r="C186" s="2674"/>
      <c r="D186" s="2674"/>
      <c r="E186" s="2674"/>
      <c r="F186" s="2674"/>
      <c r="G186" s="2674"/>
      <c r="H186" s="2674"/>
      <c r="I186" s="2674"/>
      <c r="J186" s="2674"/>
      <c r="K186" s="2674"/>
      <c r="L186" s="2674"/>
      <c r="M186" s="2674"/>
      <c r="N186" s="2674"/>
      <c r="O186" s="2674"/>
      <c r="P186" s="2674"/>
      <c r="Q186" s="2674"/>
      <c r="R186" s="2674"/>
      <c r="S186" s="2674"/>
      <c r="T186" s="2674"/>
      <c r="U186" s="2674"/>
    </row>
    <row r="187" spans="1:21" ht="11.25" customHeight="1" x14ac:dyDescent="0.2">
      <c r="A187" s="2674"/>
      <c r="B187" s="2674"/>
      <c r="C187" s="2674"/>
      <c r="D187" s="2674"/>
      <c r="E187" s="2674"/>
      <c r="F187" s="2674"/>
      <c r="G187" s="2674"/>
      <c r="H187" s="2674"/>
      <c r="I187" s="2674"/>
      <c r="J187" s="2674"/>
      <c r="K187" s="2674"/>
      <c r="L187" s="2674"/>
      <c r="M187" s="2674"/>
      <c r="N187" s="2674"/>
      <c r="O187" s="2674"/>
      <c r="P187" s="2674"/>
      <c r="Q187" s="2674"/>
      <c r="R187" s="2674"/>
      <c r="S187" s="2674"/>
      <c r="T187" s="2674"/>
      <c r="U187" s="2674"/>
    </row>
    <row r="188" spans="1:21" ht="11.25" customHeight="1" x14ac:dyDescent="0.2">
      <c r="A188" s="2674"/>
      <c r="B188" s="2674"/>
      <c r="C188" s="2674"/>
      <c r="D188" s="2674"/>
      <c r="E188" s="2674"/>
      <c r="F188" s="2674"/>
      <c r="G188" s="2674"/>
      <c r="H188" s="2674"/>
      <c r="I188" s="2674"/>
      <c r="J188" s="2674"/>
      <c r="K188" s="2674"/>
      <c r="L188" s="2674"/>
      <c r="M188" s="2674"/>
      <c r="N188" s="2674"/>
      <c r="O188" s="2674"/>
      <c r="P188" s="2674"/>
      <c r="Q188" s="2674"/>
      <c r="R188" s="2674"/>
      <c r="S188" s="2674"/>
      <c r="T188" s="2674"/>
      <c r="U188" s="2674"/>
    </row>
    <row r="189" spans="1:21" ht="11.25" customHeight="1" x14ac:dyDescent="0.2">
      <c r="A189" s="2674"/>
      <c r="B189" s="2674"/>
      <c r="C189" s="2674"/>
      <c r="D189" s="2674"/>
      <c r="E189" s="2674"/>
      <c r="F189" s="2674"/>
      <c r="G189" s="2674"/>
      <c r="H189" s="2674"/>
      <c r="I189" s="2674"/>
      <c r="J189" s="2674"/>
      <c r="K189" s="2674"/>
      <c r="L189" s="2674"/>
      <c r="M189" s="2674"/>
      <c r="N189" s="2674"/>
      <c r="O189" s="2674"/>
      <c r="P189" s="2674"/>
      <c r="Q189" s="2674"/>
      <c r="R189" s="2674"/>
      <c r="S189" s="2674"/>
      <c r="T189" s="2674"/>
      <c r="U189" s="2674"/>
    </row>
    <row r="190" spans="1:21" ht="11.25" customHeight="1" x14ac:dyDescent="0.2">
      <c r="A190" s="2674"/>
      <c r="B190" s="2674"/>
      <c r="C190" s="2674"/>
      <c r="D190" s="2674"/>
      <c r="E190" s="2674"/>
      <c r="F190" s="2674"/>
      <c r="G190" s="2674"/>
      <c r="H190" s="2674"/>
      <c r="I190" s="2674"/>
      <c r="J190" s="2674"/>
      <c r="K190" s="2674"/>
      <c r="L190" s="2674"/>
      <c r="M190" s="2674"/>
      <c r="N190" s="2674"/>
      <c r="O190" s="2674"/>
      <c r="P190" s="2674"/>
      <c r="Q190" s="2674"/>
      <c r="R190" s="2674"/>
      <c r="S190" s="2674"/>
      <c r="T190" s="2674"/>
      <c r="U190" s="2674"/>
    </row>
    <row r="191" spans="1:21" ht="11.25" customHeight="1" x14ac:dyDescent="0.2">
      <c r="A191" s="2674"/>
      <c r="B191" s="2674"/>
      <c r="C191" s="2674"/>
      <c r="D191" s="2674"/>
      <c r="E191" s="2674"/>
      <c r="F191" s="2674"/>
      <c r="G191" s="2674"/>
      <c r="H191" s="2674"/>
      <c r="I191" s="2674"/>
      <c r="J191" s="2674"/>
      <c r="K191" s="2674"/>
      <c r="L191" s="2674"/>
      <c r="M191" s="2674"/>
      <c r="N191" s="2674"/>
      <c r="O191" s="2674"/>
      <c r="P191" s="2674"/>
      <c r="Q191" s="2674"/>
      <c r="R191" s="2674"/>
      <c r="S191" s="2674"/>
      <c r="T191" s="2674"/>
      <c r="U191" s="2674"/>
    </row>
    <row r="192" spans="1:21" ht="11.25" customHeight="1" x14ac:dyDescent="0.2">
      <c r="A192" s="2674"/>
      <c r="B192" s="2674"/>
      <c r="C192" s="2674"/>
      <c r="D192" s="2674"/>
      <c r="E192" s="2674"/>
      <c r="F192" s="2674"/>
      <c r="G192" s="2674"/>
      <c r="H192" s="2674"/>
      <c r="I192" s="2674"/>
      <c r="J192" s="2674"/>
      <c r="K192" s="2674"/>
      <c r="L192" s="2674"/>
      <c r="M192" s="2674"/>
      <c r="N192" s="2674"/>
      <c r="O192" s="2674"/>
      <c r="P192" s="2674"/>
      <c r="Q192" s="2674"/>
      <c r="R192" s="2674"/>
      <c r="S192" s="2674"/>
      <c r="T192" s="2674"/>
      <c r="U192" s="2674"/>
    </row>
    <row r="193" spans="1:21" ht="11.25" customHeight="1" x14ac:dyDescent="0.2">
      <c r="A193" s="2674"/>
      <c r="B193" s="2674"/>
      <c r="C193" s="2674"/>
      <c r="D193" s="2674"/>
      <c r="E193" s="2674"/>
      <c r="F193" s="2674"/>
      <c r="G193" s="2674"/>
      <c r="H193" s="2674"/>
      <c r="I193" s="2674"/>
      <c r="J193" s="2674"/>
      <c r="K193" s="2674"/>
      <c r="L193" s="2674"/>
      <c r="M193" s="2674"/>
      <c r="N193" s="2674"/>
      <c r="O193" s="2674"/>
      <c r="P193" s="2674"/>
      <c r="Q193" s="2674"/>
      <c r="R193" s="2674"/>
      <c r="S193" s="2674"/>
      <c r="T193" s="2674"/>
      <c r="U193" s="2674"/>
    </row>
    <row r="194" spans="1:21" ht="11.25" customHeight="1" x14ac:dyDescent="0.2">
      <c r="A194" s="2674"/>
      <c r="B194" s="2674"/>
      <c r="C194" s="2674"/>
      <c r="D194" s="2674"/>
      <c r="E194" s="2674"/>
      <c r="F194" s="2674"/>
      <c r="G194" s="2674"/>
      <c r="H194" s="2674"/>
      <c r="I194" s="2674"/>
      <c r="J194" s="2674"/>
      <c r="K194" s="2674"/>
      <c r="L194" s="2674"/>
      <c r="M194" s="2674"/>
      <c r="N194" s="2674"/>
      <c r="O194" s="2674"/>
      <c r="P194" s="2674"/>
      <c r="Q194" s="2674"/>
      <c r="R194" s="2674"/>
      <c r="S194" s="2674"/>
      <c r="T194" s="2674"/>
      <c r="U194" s="2674"/>
    </row>
    <row r="195" spans="1:21" ht="11.25" customHeight="1" x14ac:dyDescent="0.2">
      <c r="A195" s="2674"/>
      <c r="B195" s="2674"/>
      <c r="C195" s="2674"/>
      <c r="D195" s="2674"/>
      <c r="E195" s="2674"/>
      <c r="F195" s="2674"/>
      <c r="G195" s="2674"/>
      <c r="H195" s="2674"/>
      <c r="I195" s="2674"/>
      <c r="J195" s="2674"/>
      <c r="K195" s="2674"/>
      <c r="L195" s="2674"/>
      <c r="M195" s="2674"/>
      <c r="N195" s="2674"/>
      <c r="O195" s="2674"/>
      <c r="P195" s="2674"/>
      <c r="Q195" s="2674"/>
      <c r="R195" s="2674"/>
      <c r="S195" s="2674"/>
      <c r="T195" s="2674"/>
      <c r="U195" s="2674"/>
    </row>
    <row r="196" spans="1:21" ht="11.25" customHeight="1" x14ac:dyDescent="0.2">
      <c r="A196" s="2674"/>
      <c r="B196" s="2674"/>
      <c r="C196" s="2674"/>
      <c r="D196" s="2674"/>
      <c r="E196" s="2674"/>
      <c r="F196" s="2674"/>
      <c r="G196" s="2674"/>
      <c r="H196" s="2674"/>
      <c r="I196" s="2674"/>
      <c r="J196" s="2674"/>
      <c r="K196" s="2674"/>
      <c r="L196" s="2674"/>
      <c r="M196" s="2674"/>
      <c r="N196" s="2674"/>
      <c r="O196" s="2674"/>
      <c r="P196" s="2674"/>
      <c r="Q196" s="2674"/>
      <c r="R196" s="2674"/>
      <c r="S196" s="2674"/>
      <c r="T196" s="2674"/>
      <c r="U196" s="2674"/>
    </row>
    <row r="197" spans="1:21" ht="11.25" customHeight="1" x14ac:dyDescent="0.2">
      <c r="A197" s="2674"/>
      <c r="B197" s="2674"/>
      <c r="C197" s="2674"/>
      <c r="D197" s="2674"/>
      <c r="E197" s="2674"/>
      <c r="F197" s="2674"/>
      <c r="G197" s="2674"/>
      <c r="H197" s="2674"/>
      <c r="I197" s="2674"/>
      <c r="J197" s="2674"/>
      <c r="K197" s="2674"/>
      <c r="L197" s="2674"/>
      <c r="M197" s="2674"/>
      <c r="N197" s="2674"/>
      <c r="O197" s="2674"/>
      <c r="P197" s="2674"/>
      <c r="Q197" s="2674"/>
      <c r="R197" s="2674"/>
      <c r="S197" s="2674"/>
      <c r="T197" s="2674"/>
      <c r="U197" s="2674"/>
    </row>
    <row r="198" spans="1:21" ht="11.25" customHeight="1" x14ac:dyDescent="0.2">
      <c r="A198" s="2674"/>
      <c r="B198" s="2674"/>
      <c r="C198" s="2674"/>
      <c r="D198" s="2674"/>
      <c r="E198" s="2674"/>
      <c r="F198" s="2674"/>
      <c r="G198" s="2674"/>
      <c r="H198" s="2674"/>
      <c r="I198" s="2674"/>
      <c r="J198" s="2674"/>
      <c r="K198" s="2674"/>
      <c r="L198" s="2674"/>
      <c r="M198" s="2674"/>
      <c r="N198" s="2674"/>
      <c r="O198" s="2674"/>
      <c r="P198" s="2674"/>
      <c r="Q198" s="2674"/>
      <c r="R198" s="2674"/>
      <c r="S198" s="2674"/>
      <c r="T198" s="2674"/>
      <c r="U198" s="2674"/>
    </row>
    <row r="199" spans="1:21" ht="11.25" customHeight="1" x14ac:dyDescent="0.2">
      <c r="A199" s="2674"/>
      <c r="B199" s="2674"/>
      <c r="C199" s="2674"/>
      <c r="D199" s="2674"/>
      <c r="E199" s="2674"/>
      <c r="F199" s="2674"/>
      <c r="G199" s="2674"/>
      <c r="H199" s="2674"/>
      <c r="I199" s="2674"/>
      <c r="J199" s="2674"/>
      <c r="K199" s="2674"/>
      <c r="L199" s="2674"/>
      <c r="M199" s="2674"/>
      <c r="N199" s="2674"/>
      <c r="O199" s="2674"/>
      <c r="P199" s="2674"/>
      <c r="Q199" s="2674"/>
      <c r="R199" s="2674"/>
      <c r="S199" s="2674"/>
      <c r="T199" s="2674"/>
      <c r="U199" s="2674"/>
    </row>
    <row r="200" spans="1:21" ht="11.25" customHeight="1" x14ac:dyDescent="0.2">
      <c r="A200" s="2674"/>
      <c r="B200" s="2674"/>
      <c r="C200" s="2674"/>
      <c r="D200" s="2674"/>
      <c r="E200" s="2674"/>
      <c r="F200" s="2674"/>
      <c r="G200" s="2674"/>
      <c r="H200" s="2674"/>
      <c r="I200" s="2674"/>
      <c r="J200" s="2674"/>
      <c r="K200" s="2674"/>
      <c r="L200" s="2674"/>
      <c r="M200" s="2674"/>
      <c r="N200" s="2674"/>
      <c r="O200" s="2674"/>
      <c r="P200" s="2674"/>
      <c r="Q200" s="2674"/>
      <c r="R200" s="2674"/>
      <c r="S200" s="2674"/>
      <c r="T200" s="2674"/>
      <c r="U200" s="2674"/>
    </row>
    <row r="201" spans="1:21" ht="11.25" customHeight="1" x14ac:dyDescent="0.2">
      <c r="A201" s="2674"/>
      <c r="B201" s="2674"/>
      <c r="C201" s="2674"/>
      <c r="D201" s="2674"/>
      <c r="E201" s="2674"/>
      <c r="F201" s="2674"/>
      <c r="G201" s="2674"/>
      <c r="H201" s="2674"/>
      <c r="I201" s="2674"/>
      <c r="J201" s="2674"/>
      <c r="K201" s="2674"/>
      <c r="L201" s="2674"/>
      <c r="M201" s="2674"/>
      <c r="N201" s="2674"/>
      <c r="O201" s="2674"/>
      <c r="P201" s="2674"/>
      <c r="Q201" s="2674"/>
      <c r="R201" s="2674"/>
      <c r="S201" s="2674"/>
      <c r="T201" s="2674"/>
      <c r="U201" s="2674"/>
    </row>
    <row r="202" spans="1:21" ht="11.25" customHeight="1" x14ac:dyDescent="0.2">
      <c r="A202" s="2674"/>
      <c r="B202" s="2674"/>
      <c r="C202" s="2674"/>
      <c r="D202" s="2674"/>
      <c r="E202" s="2674"/>
      <c r="F202" s="2674"/>
      <c r="G202" s="2674"/>
      <c r="H202" s="2674"/>
      <c r="I202" s="2674"/>
      <c r="J202" s="2674"/>
      <c r="K202" s="2674"/>
      <c r="L202" s="2674"/>
      <c r="M202" s="2674"/>
      <c r="N202" s="2674"/>
      <c r="O202" s="2674"/>
      <c r="P202" s="2674"/>
      <c r="Q202" s="2674"/>
      <c r="R202" s="2674"/>
      <c r="S202" s="2674"/>
      <c r="T202" s="2674"/>
      <c r="U202" s="2674"/>
    </row>
    <row r="203" spans="1:21" ht="11.25" customHeight="1" x14ac:dyDescent="0.2">
      <c r="A203" s="2674"/>
      <c r="B203" s="2674"/>
      <c r="C203" s="2674"/>
      <c r="D203" s="2674"/>
      <c r="E203" s="2674"/>
      <c r="F203" s="2674"/>
      <c r="G203" s="2674"/>
      <c r="H203" s="2674"/>
      <c r="I203" s="2674"/>
      <c r="J203" s="2674"/>
      <c r="K203" s="2674"/>
      <c r="L203" s="2674"/>
      <c r="M203" s="2674"/>
      <c r="N203" s="2674"/>
      <c r="O203" s="2674"/>
      <c r="P203" s="2674"/>
      <c r="Q203" s="2674"/>
      <c r="R203" s="2674"/>
      <c r="S203" s="2674"/>
      <c r="T203" s="2674"/>
      <c r="U203" s="2674"/>
    </row>
    <row r="204" spans="1:21" ht="11.25" customHeight="1" x14ac:dyDescent="0.2">
      <c r="A204" s="2674"/>
      <c r="B204" s="2674"/>
      <c r="C204" s="2674"/>
      <c r="D204" s="2674"/>
      <c r="E204" s="2674"/>
      <c r="F204" s="2674"/>
      <c r="G204" s="2674"/>
      <c r="H204" s="2674"/>
      <c r="I204" s="2674"/>
      <c r="J204" s="2674"/>
      <c r="K204" s="2674"/>
      <c r="L204" s="2674"/>
      <c r="M204" s="2674"/>
      <c r="N204" s="2674"/>
      <c r="O204" s="2674"/>
      <c r="P204" s="2674"/>
      <c r="Q204" s="2674"/>
      <c r="R204" s="2674"/>
      <c r="S204" s="2674"/>
      <c r="T204" s="2674"/>
      <c r="U204" s="2674"/>
    </row>
    <row r="205" spans="1:21" ht="11.25" customHeight="1" x14ac:dyDescent="0.2">
      <c r="A205" s="2674"/>
      <c r="B205" s="2674"/>
      <c r="C205" s="2674"/>
      <c r="D205" s="2674"/>
      <c r="E205" s="2674"/>
      <c r="F205" s="2674"/>
      <c r="G205" s="2674"/>
      <c r="H205" s="2674"/>
      <c r="I205" s="2674"/>
      <c r="J205" s="2674"/>
      <c r="K205" s="2674"/>
      <c r="L205" s="2674"/>
      <c r="M205" s="2674"/>
      <c r="N205" s="2674"/>
      <c r="O205" s="2674"/>
      <c r="P205" s="2674"/>
      <c r="Q205" s="2674"/>
      <c r="R205" s="2674"/>
      <c r="S205" s="2674"/>
      <c r="T205" s="2674"/>
      <c r="U205" s="2674"/>
    </row>
    <row r="206" spans="1:21" ht="11.25" customHeight="1" x14ac:dyDescent="0.2">
      <c r="A206" s="2674"/>
      <c r="B206" s="2674"/>
      <c r="C206" s="2674"/>
      <c r="D206" s="2674"/>
      <c r="E206" s="2674"/>
      <c r="F206" s="2674"/>
      <c r="G206" s="2674"/>
      <c r="H206" s="2674"/>
      <c r="I206" s="2674"/>
      <c r="J206" s="2674"/>
      <c r="K206" s="2674"/>
      <c r="L206" s="2674"/>
      <c r="M206" s="2674"/>
      <c r="N206" s="2674"/>
      <c r="O206" s="2674"/>
      <c r="P206" s="2674"/>
      <c r="Q206" s="2674"/>
      <c r="R206" s="2674"/>
      <c r="S206" s="2674"/>
      <c r="T206" s="2674"/>
      <c r="U206" s="2674"/>
    </row>
    <row r="207" spans="1:21" ht="11.25" customHeight="1" x14ac:dyDescent="0.2">
      <c r="A207" s="2674"/>
      <c r="B207" s="2674"/>
      <c r="C207" s="2674"/>
      <c r="D207" s="2674"/>
      <c r="E207" s="2674"/>
      <c r="F207" s="2674"/>
      <c r="G207" s="2674"/>
      <c r="H207" s="2674"/>
      <c r="I207" s="2674"/>
      <c r="J207" s="2674"/>
      <c r="K207" s="2674"/>
      <c r="L207" s="2674"/>
      <c r="M207" s="2674"/>
      <c r="N207" s="2674"/>
      <c r="O207" s="2674"/>
      <c r="P207" s="2674"/>
      <c r="Q207" s="2674"/>
      <c r="R207" s="2674"/>
      <c r="S207" s="2674"/>
      <c r="T207" s="2674"/>
      <c r="U207" s="2674"/>
    </row>
    <row r="208" spans="1:21" ht="11.25" customHeight="1" x14ac:dyDescent="0.2">
      <c r="A208" s="2674"/>
      <c r="B208" s="2674"/>
      <c r="C208" s="2674"/>
      <c r="D208" s="2674"/>
      <c r="E208" s="2674"/>
      <c r="F208" s="2674"/>
      <c r="G208" s="2674"/>
      <c r="H208" s="2674"/>
      <c r="I208" s="2674"/>
      <c r="J208" s="2674"/>
      <c r="K208" s="2674"/>
      <c r="L208" s="2674"/>
      <c r="M208" s="2674"/>
      <c r="N208" s="2674"/>
      <c r="O208" s="2674"/>
      <c r="P208" s="2674"/>
      <c r="Q208" s="2674"/>
      <c r="R208" s="2674"/>
      <c r="S208" s="2674"/>
      <c r="T208" s="2674"/>
      <c r="U208" s="2674"/>
    </row>
    <row r="209" spans="1:21" ht="11.25" customHeight="1" x14ac:dyDescent="0.2">
      <c r="A209" s="2674"/>
      <c r="B209" s="2674"/>
      <c r="C209" s="2674"/>
      <c r="D209" s="2674"/>
      <c r="E209" s="2674"/>
      <c r="F209" s="2674"/>
      <c r="G209" s="2674"/>
      <c r="H209" s="2674"/>
      <c r="I209" s="2674"/>
      <c r="J209" s="2674"/>
      <c r="K209" s="2674"/>
      <c r="L209" s="2674"/>
      <c r="M209" s="2674"/>
      <c r="N209" s="2674"/>
      <c r="O209" s="2674"/>
      <c r="P209" s="2674"/>
      <c r="Q209" s="2674"/>
      <c r="R209" s="2674"/>
      <c r="S209" s="2674"/>
      <c r="T209" s="2674"/>
      <c r="U209" s="2674"/>
    </row>
    <row r="210" spans="1:21" ht="11.25" customHeight="1" x14ac:dyDescent="0.2">
      <c r="A210" s="2674"/>
      <c r="B210" s="2674"/>
      <c r="C210" s="2674"/>
      <c r="D210" s="2674"/>
      <c r="E210" s="2674"/>
      <c r="F210" s="2674"/>
      <c r="G210" s="2674"/>
      <c r="H210" s="2674"/>
      <c r="I210" s="2674"/>
      <c r="J210" s="2674"/>
      <c r="K210" s="2674"/>
      <c r="L210" s="2674"/>
      <c r="M210" s="2674"/>
      <c r="N210" s="2674"/>
      <c r="O210" s="2674"/>
      <c r="P210" s="2674"/>
      <c r="Q210" s="2674"/>
      <c r="R210" s="2674"/>
      <c r="S210" s="2674"/>
      <c r="T210" s="2674"/>
      <c r="U210" s="2674"/>
    </row>
    <row r="211" spans="1:21" ht="11.25" customHeight="1" x14ac:dyDescent="0.2">
      <c r="A211" s="2674"/>
      <c r="B211" s="2674"/>
      <c r="C211" s="2674"/>
      <c r="D211" s="2674"/>
      <c r="E211" s="2674"/>
      <c r="F211" s="2674"/>
      <c r="G211" s="2674"/>
      <c r="H211" s="2674"/>
      <c r="I211" s="2674"/>
      <c r="J211" s="2674"/>
      <c r="K211" s="2674"/>
      <c r="L211" s="2674"/>
      <c r="M211" s="2674"/>
      <c r="N211" s="2674"/>
      <c r="O211" s="2674"/>
      <c r="P211" s="2674"/>
      <c r="Q211" s="2674"/>
      <c r="R211" s="2674"/>
      <c r="S211" s="2674"/>
      <c r="T211" s="2674"/>
      <c r="U211" s="2674"/>
    </row>
    <row r="212" spans="1:21" ht="11.25" customHeight="1" x14ac:dyDescent="0.2">
      <c r="A212" s="2674"/>
      <c r="B212" s="2674"/>
      <c r="C212" s="2674"/>
      <c r="D212" s="2674"/>
      <c r="E212" s="2674"/>
      <c r="F212" s="2674"/>
      <c r="G212" s="2674"/>
      <c r="H212" s="2674"/>
      <c r="I212" s="2674"/>
      <c r="J212" s="2674"/>
      <c r="K212" s="2674"/>
      <c r="L212" s="2674"/>
      <c r="M212" s="2674"/>
      <c r="N212" s="2674"/>
      <c r="O212" s="2674"/>
      <c r="P212" s="2674"/>
      <c r="Q212" s="2674"/>
      <c r="R212" s="2674"/>
      <c r="S212" s="2674"/>
      <c r="T212" s="2674"/>
      <c r="U212" s="2674"/>
    </row>
    <row r="213" spans="1:21" ht="11.25" customHeight="1" x14ac:dyDescent="0.2">
      <c r="A213" s="2674"/>
      <c r="B213" s="2674"/>
      <c r="C213" s="2674"/>
      <c r="D213" s="2674"/>
      <c r="E213" s="2674"/>
      <c r="F213" s="2674"/>
      <c r="G213" s="2674"/>
      <c r="H213" s="2674"/>
      <c r="I213" s="2674"/>
      <c r="J213" s="2674"/>
      <c r="K213" s="2674"/>
      <c r="L213" s="2674"/>
      <c r="M213" s="2674"/>
      <c r="N213" s="2674"/>
      <c r="O213" s="2674"/>
      <c r="P213" s="2674"/>
      <c r="Q213" s="2674"/>
      <c r="R213" s="2674"/>
      <c r="S213" s="2674"/>
      <c r="T213" s="2674"/>
      <c r="U213" s="2674"/>
    </row>
    <row r="214" spans="1:21" ht="11.25" customHeight="1" x14ac:dyDescent="0.2">
      <c r="A214" s="2674"/>
      <c r="B214" s="2674"/>
      <c r="C214" s="2674"/>
      <c r="D214" s="2674"/>
      <c r="E214" s="2674"/>
      <c r="F214" s="2674"/>
      <c r="G214" s="2674"/>
      <c r="H214" s="2674"/>
      <c r="I214" s="2674"/>
      <c r="J214" s="2674"/>
      <c r="K214" s="2674"/>
      <c r="L214" s="2674"/>
      <c r="M214" s="2674"/>
      <c r="N214" s="2674"/>
      <c r="O214" s="2674"/>
      <c r="P214" s="2674"/>
      <c r="Q214" s="2674"/>
      <c r="R214" s="2674"/>
      <c r="S214" s="2674"/>
      <c r="T214" s="2674"/>
      <c r="U214" s="2674"/>
    </row>
    <row r="215" spans="1:21" ht="11.25" customHeight="1" x14ac:dyDescent="0.2">
      <c r="A215" s="2674"/>
      <c r="B215" s="2674"/>
      <c r="C215" s="2674"/>
      <c r="D215" s="2674"/>
      <c r="E215" s="2674"/>
      <c r="F215" s="2674"/>
      <c r="G215" s="2674"/>
      <c r="H215" s="2674"/>
      <c r="I215" s="2674"/>
      <c r="J215" s="2674"/>
      <c r="K215" s="2674"/>
      <c r="L215" s="2674"/>
      <c r="M215" s="2674"/>
      <c r="N215" s="2674"/>
      <c r="O215" s="2674"/>
      <c r="P215" s="2674"/>
      <c r="Q215" s="2674"/>
      <c r="R215" s="2674"/>
      <c r="S215" s="2674"/>
      <c r="T215" s="2674"/>
      <c r="U215" s="2674"/>
    </row>
    <row r="216" spans="1:21" ht="11.25" customHeight="1" x14ac:dyDescent="0.2">
      <c r="A216" s="2674"/>
      <c r="B216" s="2674"/>
      <c r="C216" s="2674"/>
      <c r="D216" s="2674"/>
      <c r="E216" s="2674"/>
      <c r="F216" s="2674"/>
      <c r="G216" s="2674"/>
      <c r="H216" s="2674"/>
      <c r="I216" s="2674"/>
      <c r="J216" s="2674"/>
      <c r="K216" s="2674"/>
      <c r="L216" s="2674"/>
      <c r="M216" s="2674"/>
      <c r="N216" s="2674"/>
      <c r="O216" s="2674"/>
      <c r="P216" s="2674"/>
      <c r="Q216" s="2674"/>
      <c r="R216" s="2674"/>
      <c r="S216" s="2674"/>
      <c r="T216" s="2674"/>
      <c r="U216" s="2674"/>
    </row>
    <row r="217" spans="1:21" ht="11.25" customHeight="1" x14ac:dyDescent="0.2">
      <c r="A217" s="2674"/>
      <c r="B217" s="2674"/>
      <c r="C217" s="2674"/>
      <c r="D217" s="2674"/>
      <c r="E217" s="2674"/>
      <c r="F217" s="2674"/>
      <c r="G217" s="2674"/>
      <c r="H217" s="2674"/>
      <c r="I217" s="2674"/>
      <c r="J217" s="2674"/>
      <c r="K217" s="2674"/>
      <c r="L217" s="2674"/>
      <c r="M217" s="2674"/>
      <c r="N217" s="2674"/>
      <c r="O217" s="2674"/>
      <c r="P217" s="2674"/>
      <c r="Q217" s="2674"/>
      <c r="R217" s="2674"/>
      <c r="S217" s="2674"/>
      <c r="T217" s="2674"/>
      <c r="U217" s="2674"/>
    </row>
    <row r="218" spans="1:21" ht="11.25" customHeight="1" x14ac:dyDescent="0.2">
      <c r="A218" s="2674"/>
      <c r="B218" s="2674"/>
      <c r="C218" s="2674"/>
      <c r="D218" s="2674"/>
      <c r="E218" s="2674"/>
      <c r="F218" s="2674"/>
      <c r="G218" s="2674"/>
      <c r="H218" s="2674"/>
      <c r="I218" s="2674"/>
      <c r="J218" s="2674"/>
      <c r="K218" s="2674"/>
      <c r="L218" s="2674"/>
      <c r="M218" s="2674"/>
      <c r="N218" s="2674"/>
      <c r="O218" s="2674"/>
      <c r="P218" s="2674"/>
      <c r="Q218" s="2674"/>
      <c r="R218" s="2674"/>
      <c r="S218" s="2674"/>
      <c r="T218" s="2674"/>
      <c r="U218" s="2674"/>
    </row>
    <row r="219" spans="1:21" ht="11.25" customHeight="1" x14ac:dyDescent="0.2">
      <c r="A219" s="2674"/>
      <c r="B219" s="2674"/>
      <c r="C219" s="2674"/>
      <c r="D219" s="2674"/>
      <c r="E219" s="2674"/>
      <c r="F219" s="2674"/>
      <c r="G219" s="2674"/>
      <c r="H219" s="2674"/>
      <c r="I219" s="2674"/>
      <c r="J219" s="2674"/>
      <c r="K219" s="2674"/>
      <c r="L219" s="2674"/>
      <c r="M219" s="2674"/>
      <c r="N219" s="2674"/>
      <c r="O219" s="2674"/>
      <c r="P219" s="2674"/>
      <c r="Q219" s="2674"/>
      <c r="R219" s="2674"/>
      <c r="S219" s="2674"/>
      <c r="T219" s="2674"/>
      <c r="U219" s="2674"/>
    </row>
    <row r="220" spans="1:21" ht="11.25" customHeight="1" x14ac:dyDescent="0.2">
      <c r="A220" s="2674"/>
      <c r="B220" s="2674"/>
      <c r="C220" s="2674"/>
      <c r="D220" s="2674"/>
      <c r="E220" s="2674"/>
      <c r="F220" s="2674"/>
      <c r="G220" s="2674"/>
      <c r="H220" s="2674"/>
      <c r="I220" s="2674"/>
      <c r="J220" s="2674"/>
      <c r="K220" s="2674"/>
      <c r="L220" s="2674"/>
      <c r="M220" s="2674"/>
      <c r="N220" s="2674"/>
      <c r="O220" s="2674"/>
      <c r="P220" s="2674"/>
      <c r="Q220" s="2674"/>
      <c r="R220" s="2674"/>
      <c r="S220" s="2674"/>
      <c r="T220" s="2674"/>
      <c r="U220" s="2674"/>
    </row>
    <row r="221" spans="1:21" ht="11.25" customHeight="1" x14ac:dyDescent="0.2">
      <c r="A221" s="2674"/>
      <c r="B221" s="2674"/>
      <c r="C221" s="2674"/>
      <c r="D221" s="2674"/>
      <c r="E221" s="2674"/>
      <c r="F221" s="2674"/>
      <c r="G221" s="2674"/>
      <c r="H221" s="2674"/>
      <c r="I221" s="2674"/>
      <c r="J221" s="2674"/>
      <c r="K221" s="2674"/>
      <c r="L221" s="2674"/>
      <c r="M221" s="2674"/>
      <c r="N221" s="2674"/>
      <c r="O221" s="2674"/>
      <c r="P221" s="2674"/>
      <c r="Q221" s="2674"/>
      <c r="R221" s="2674"/>
      <c r="S221" s="2674"/>
      <c r="T221" s="2674"/>
      <c r="U221" s="2674"/>
    </row>
    <row r="222" spans="1:21" ht="11.25" customHeight="1" x14ac:dyDescent="0.2">
      <c r="A222" s="2674"/>
      <c r="B222" s="2674"/>
      <c r="C222" s="2674"/>
      <c r="D222" s="2674"/>
      <c r="E222" s="2674"/>
      <c r="F222" s="2674"/>
      <c r="G222" s="2674"/>
      <c r="H222" s="2674"/>
      <c r="I222" s="2674"/>
      <c r="J222" s="2674"/>
      <c r="K222" s="2674"/>
      <c r="L222" s="2674"/>
      <c r="M222" s="2674"/>
      <c r="N222" s="2674"/>
      <c r="O222" s="2674"/>
      <c r="P222" s="2674"/>
      <c r="Q222" s="2674"/>
      <c r="R222" s="2674"/>
      <c r="S222" s="2674"/>
      <c r="T222" s="2674"/>
      <c r="U222" s="2674"/>
    </row>
    <row r="223" spans="1:21" ht="11.25" customHeight="1" x14ac:dyDescent="0.2">
      <c r="A223" s="2674"/>
      <c r="B223" s="2674"/>
      <c r="C223" s="2674"/>
      <c r="D223" s="2674"/>
      <c r="E223" s="2674"/>
      <c r="F223" s="2674"/>
      <c r="G223" s="2674"/>
      <c r="H223" s="2674"/>
      <c r="I223" s="2674"/>
      <c r="J223" s="2674"/>
      <c r="K223" s="2674"/>
      <c r="L223" s="2674"/>
      <c r="M223" s="2674"/>
      <c r="N223" s="2674"/>
      <c r="O223" s="2674"/>
      <c r="P223" s="2674"/>
      <c r="Q223" s="2674"/>
      <c r="R223" s="2674"/>
      <c r="S223" s="2674"/>
      <c r="T223" s="2674"/>
      <c r="U223" s="2674"/>
    </row>
    <row r="224" spans="1:21" ht="11.25" customHeight="1" x14ac:dyDescent="0.2">
      <c r="A224" s="2674"/>
      <c r="B224" s="2674"/>
      <c r="C224" s="2674"/>
      <c r="D224" s="2674"/>
      <c r="E224" s="2674"/>
      <c r="F224" s="2674"/>
      <c r="G224" s="2674"/>
      <c r="H224" s="2674"/>
      <c r="I224" s="2674"/>
      <c r="J224" s="2674"/>
      <c r="K224" s="2674"/>
      <c r="L224" s="2674"/>
      <c r="M224" s="2674"/>
      <c r="N224" s="2674"/>
      <c r="O224" s="2674"/>
      <c r="P224" s="2674"/>
      <c r="Q224" s="2674"/>
      <c r="R224" s="2674"/>
      <c r="S224" s="2674"/>
      <c r="T224" s="2674"/>
      <c r="U224" s="2674"/>
    </row>
    <row r="225" spans="1:21" ht="11.25" customHeight="1" x14ac:dyDescent="0.2">
      <c r="A225" s="2674"/>
      <c r="B225" s="2674"/>
      <c r="C225" s="2674"/>
      <c r="D225" s="2674"/>
      <c r="E225" s="2674"/>
      <c r="F225" s="2674"/>
      <c r="G225" s="2674"/>
      <c r="H225" s="2674"/>
      <c r="I225" s="2674"/>
      <c r="J225" s="2674"/>
      <c r="K225" s="2674"/>
      <c r="L225" s="2674"/>
      <c r="M225" s="2674"/>
      <c r="N225" s="2674"/>
      <c r="O225" s="2674"/>
      <c r="P225" s="2674"/>
      <c r="Q225" s="2674"/>
      <c r="R225" s="2674"/>
      <c r="S225" s="2674"/>
      <c r="T225" s="2674"/>
      <c r="U225" s="2674"/>
    </row>
    <row r="226" spans="1:21" ht="11.25" customHeight="1" x14ac:dyDescent="0.2">
      <c r="A226" s="2674"/>
      <c r="B226" s="2674"/>
      <c r="C226" s="2674"/>
      <c r="D226" s="2674"/>
      <c r="E226" s="2674"/>
      <c r="F226" s="2674"/>
      <c r="G226" s="2674"/>
      <c r="H226" s="2674"/>
      <c r="I226" s="2674"/>
      <c r="J226" s="2674"/>
      <c r="K226" s="2674"/>
      <c r="L226" s="2674"/>
      <c r="M226" s="2674"/>
      <c r="N226" s="2674"/>
      <c r="O226" s="2674"/>
      <c r="P226" s="2674"/>
      <c r="Q226" s="2674"/>
      <c r="R226" s="2674"/>
      <c r="S226" s="2674"/>
      <c r="T226" s="2674"/>
      <c r="U226" s="2674"/>
    </row>
    <row r="227" spans="1:21" ht="11.25" customHeight="1" x14ac:dyDescent="0.2">
      <c r="A227" s="2674"/>
      <c r="B227" s="2674"/>
      <c r="C227" s="2674"/>
      <c r="D227" s="2674"/>
      <c r="E227" s="2674"/>
      <c r="F227" s="2674"/>
      <c r="G227" s="2674"/>
      <c r="H227" s="2674"/>
      <c r="I227" s="2674"/>
      <c r="J227" s="2674"/>
      <c r="K227" s="2674"/>
      <c r="L227" s="2674"/>
      <c r="M227" s="2674"/>
      <c r="N227" s="2674"/>
      <c r="O227" s="2674"/>
      <c r="P227" s="2674"/>
      <c r="Q227" s="2674"/>
      <c r="R227" s="2674"/>
      <c r="S227" s="2674"/>
      <c r="T227" s="2674"/>
      <c r="U227" s="2674"/>
    </row>
    <row r="228" spans="1:21" ht="11.25" customHeight="1" x14ac:dyDescent="0.2">
      <c r="A228" s="2674"/>
      <c r="B228" s="2674"/>
      <c r="C228" s="2674"/>
      <c r="D228" s="2674"/>
      <c r="E228" s="2674"/>
      <c r="F228" s="2674"/>
      <c r="G228" s="2674"/>
      <c r="H228" s="2674"/>
      <c r="I228" s="2674"/>
      <c r="J228" s="2674"/>
      <c r="K228" s="2674"/>
      <c r="L228" s="2674"/>
      <c r="M228" s="2674"/>
      <c r="N228" s="2674"/>
      <c r="O228" s="2674"/>
      <c r="P228" s="2674"/>
      <c r="Q228" s="2674"/>
      <c r="R228" s="2674"/>
      <c r="S228" s="2674"/>
      <c r="T228" s="2674"/>
      <c r="U228" s="2674"/>
    </row>
    <row r="229" spans="1:21" ht="11.25" customHeight="1" x14ac:dyDescent="0.2">
      <c r="A229" s="2674"/>
      <c r="B229" s="2674"/>
      <c r="C229" s="2674"/>
      <c r="D229" s="2674"/>
      <c r="E229" s="2674"/>
      <c r="F229" s="2674"/>
      <c r="G229" s="2674"/>
      <c r="H229" s="2674"/>
      <c r="I229" s="2674"/>
      <c r="J229" s="2674"/>
      <c r="K229" s="2674"/>
      <c r="L229" s="2674"/>
      <c r="M229" s="2674"/>
      <c r="N229" s="2674"/>
      <c r="O229" s="2674"/>
      <c r="P229" s="2674"/>
      <c r="Q229" s="2674"/>
      <c r="R229" s="2674"/>
      <c r="S229" s="2674"/>
      <c r="T229" s="2674"/>
      <c r="U229" s="2674"/>
    </row>
    <row r="230" spans="1:21" ht="11.25" customHeight="1" x14ac:dyDescent="0.2">
      <c r="A230" s="2674"/>
      <c r="B230" s="2674"/>
      <c r="C230" s="2674"/>
      <c r="D230" s="2674"/>
      <c r="E230" s="2674"/>
      <c r="F230" s="2674"/>
      <c r="G230" s="2674"/>
      <c r="H230" s="2674"/>
      <c r="I230" s="2674"/>
      <c r="J230" s="2674"/>
      <c r="K230" s="2674"/>
      <c r="L230" s="2674"/>
      <c r="M230" s="2674"/>
      <c r="N230" s="2674"/>
      <c r="O230" s="2674"/>
      <c r="P230" s="2674"/>
      <c r="Q230" s="2674"/>
      <c r="R230" s="2674"/>
      <c r="S230" s="2674"/>
      <c r="T230" s="2674"/>
      <c r="U230" s="2674"/>
    </row>
    <row r="231" spans="1:21" ht="11.25" customHeight="1" x14ac:dyDescent="0.2">
      <c r="A231" s="2674"/>
      <c r="B231" s="2674"/>
      <c r="C231" s="2674"/>
      <c r="D231" s="2674"/>
      <c r="E231" s="2674"/>
      <c r="F231" s="2674"/>
      <c r="G231" s="2674"/>
      <c r="H231" s="2674"/>
      <c r="I231" s="2674"/>
      <c r="J231" s="2674"/>
      <c r="K231" s="2674"/>
      <c r="L231" s="2674"/>
      <c r="M231" s="2674"/>
      <c r="N231" s="2674"/>
      <c r="O231" s="2674"/>
      <c r="P231" s="2674"/>
      <c r="Q231" s="2674"/>
      <c r="R231" s="2674"/>
      <c r="S231" s="2674"/>
      <c r="T231" s="2674"/>
      <c r="U231" s="2674"/>
    </row>
    <row r="232" spans="1:21" ht="11.25" customHeight="1" x14ac:dyDescent="0.2">
      <c r="A232" s="2674"/>
      <c r="B232" s="2674"/>
      <c r="C232" s="2674"/>
      <c r="D232" s="2674"/>
      <c r="E232" s="2674"/>
      <c r="F232" s="2674"/>
      <c r="G232" s="2674"/>
      <c r="H232" s="2674"/>
      <c r="I232" s="2674"/>
      <c r="J232" s="2674"/>
      <c r="K232" s="2674"/>
      <c r="L232" s="2674"/>
      <c r="M232" s="2674"/>
      <c r="N232" s="2674"/>
      <c r="O232" s="2674"/>
      <c r="P232" s="2674"/>
      <c r="Q232" s="2674"/>
      <c r="R232" s="2674"/>
      <c r="S232" s="2674"/>
      <c r="T232" s="2674"/>
      <c r="U232" s="2674"/>
    </row>
    <row r="233" spans="1:21" ht="11.25" customHeight="1" x14ac:dyDescent="0.2">
      <c r="A233" s="2674"/>
      <c r="B233" s="2674"/>
      <c r="C233" s="2674"/>
      <c r="D233" s="2674"/>
      <c r="E233" s="2674"/>
      <c r="F233" s="2674"/>
      <c r="G233" s="2674"/>
      <c r="H233" s="2674"/>
      <c r="I233" s="2674"/>
      <c r="J233" s="2674"/>
      <c r="K233" s="2674"/>
      <c r="L233" s="2674"/>
      <c r="M233" s="2674"/>
      <c r="N233" s="2674"/>
      <c r="O233" s="2674"/>
      <c r="P233" s="2674"/>
      <c r="Q233" s="2674"/>
      <c r="R233" s="2674"/>
      <c r="S233" s="2674"/>
      <c r="T233" s="2674"/>
      <c r="U233" s="2674"/>
    </row>
    <row r="234" spans="1:21" ht="11.25" customHeight="1" x14ac:dyDescent="0.2">
      <c r="A234" s="2674"/>
      <c r="B234" s="2674"/>
      <c r="C234" s="2674"/>
      <c r="D234" s="2674"/>
      <c r="E234" s="2674"/>
      <c r="F234" s="2674"/>
      <c r="G234" s="2674"/>
      <c r="H234" s="2674"/>
      <c r="I234" s="2674"/>
      <c r="J234" s="2674"/>
      <c r="K234" s="2674"/>
      <c r="L234" s="2674"/>
      <c r="M234" s="2674"/>
      <c r="N234" s="2674"/>
      <c r="O234" s="2674"/>
      <c r="P234" s="2674"/>
      <c r="Q234" s="2674"/>
      <c r="R234" s="2674"/>
      <c r="S234" s="2674"/>
      <c r="T234" s="2674"/>
      <c r="U234" s="2674"/>
    </row>
    <row r="235" spans="1:21" ht="11.25" customHeight="1" x14ac:dyDescent="0.2">
      <c r="A235" s="2674"/>
      <c r="B235" s="2674"/>
      <c r="C235" s="2674"/>
      <c r="D235" s="2674"/>
      <c r="E235" s="2674"/>
      <c r="F235" s="2674"/>
      <c r="G235" s="2674"/>
      <c r="H235" s="2674"/>
      <c r="I235" s="2674"/>
      <c r="J235" s="2674"/>
      <c r="K235" s="2674"/>
      <c r="L235" s="2674"/>
      <c r="M235" s="2674"/>
      <c r="N235" s="2674"/>
      <c r="O235" s="2674"/>
      <c r="P235" s="2674"/>
      <c r="Q235" s="2674"/>
      <c r="R235" s="2674"/>
      <c r="S235" s="2674"/>
      <c r="T235" s="2674"/>
      <c r="U235" s="2674"/>
    </row>
    <row r="236" spans="1:21" ht="11.25" customHeight="1" x14ac:dyDescent="0.2">
      <c r="A236" s="2674"/>
      <c r="B236" s="2674"/>
      <c r="C236" s="2674"/>
      <c r="D236" s="2674"/>
      <c r="E236" s="2674"/>
      <c r="F236" s="2674"/>
      <c r="G236" s="2674"/>
      <c r="H236" s="2674"/>
      <c r="I236" s="2674"/>
      <c r="J236" s="2674"/>
      <c r="K236" s="2674"/>
      <c r="L236" s="2674"/>
      <c r="M236" s="2674"/>
      <c r="N236" s="2674"/>
      <c r="O236" s="2674"/>
      <c r="P236" s="2674"/>
      <c r="Q236" s="2674"/>
      <c r="R236" s="2674"/>
      <c r="S236" s="2674"/>
      <c r="T236" s="2674"/>
      <c r="U236" s="2674"/>
    </row>
    <row r="237" spans="1:21" ht="11.25" customHeight="1" x14ac:dyDescent="0.2">
      <c r="A237" s="2674"/>
      <c r="B237" s="2674"/>
      <c r="C237" s="2674"/>
      <c r="D237" s="2674"/>
      <c r="E237" s="2674"/>
      <c r="F237" s="2674"/>
      <c r="G237" s="2674"/>
      <c r="H237" s="2674"/>
      <c r="I237" s="2674"/>
      <c r="J237" s="2674"/>
      <c r="K237" s="2674"/>
      <c r="L237" s="2674"/>
      <c r="M237" s="2674"/>
      <c r="N237" s="2674"/>
      <c r="O237" s="2674"/>
      <c r="P237" s="2674"/>
      <c r="Q237" s="2674"/>
      <c r="R237" s="2674"/>
      <c r="S237" s="2674"/>
      <c r="T237" s="2674"/>
      <c r="U237" s="2674"/>
    </row>
    <row r="238" spans="1:21" ht="11.25" customHeight="1" x14ac:dyDescent="0.2">
      <c r="A238" s="2674"/>
      <c r="B238" s="2674"/>
      <c r="C238" s="2674"/>
      <c r="D238" s="2674"/>
      <c r="E238" s="2674"/>
      <c r="F238" s="2674"/>
      <c r="G238" s="2674"/>
      <c r="H238" s="2674"/>
      <c r="I238" s="2674"/>
      <c r="J238" s="2674"/>
      <c r="K238" s="2674"/>
      <c r="L238" s="2674"/>
      <c r="M238" s="2674"/>
      <c r="N238" s="2674"/>
      <c r="O238" s="2674"/>
      <c r="P238" s="2674"/>
      <c r="Q238" s="2674"/>
      <c r="R238" s="2674"/>
      <c r="S238" s="2674"/>
      <c r="T238" s="2674"/>
      <c r="U238" s="2674"/>
    </row>
    <row r="239" spans="1:21" ht="11.25" customHeight="1" x14ac:dyDescent="0.2">
      <c r="A239" s="2674"/>
      <c r="B239" s="2674"/>
      <c r="C239" s="2674"/>
      <c r="D239" s="2674"/>
      <c r="E239" s="2674"/>
      <c r="F239" s="2674"/>
      <c r="G239" s="2674"/>
      <c r="H239" s="2674"/>
      <c r="I239" s="2674"/>
      <c r="J239" s="2674"/>
      <c r="K239" s="2674"/>
      <c r="L239" s="2674"/>
      <c r="M239" s="2674"/>
      <c r="N239" s="2674"/>
      <c r="O239" s="2674"/>
      <c r="P239" s="2674"/>
      <c r="Q239" s="2674"/>
      <c r="R239" s="2674"/>
      <c r="S239" s="2674"/>
      <c r="T239" s="2674"/>
      <c r="U239" s="2674"/>
    </row>
    <row r="240" spans="1:21" ht="11.25" customHeight="1" x14ac:dyDescent="0.2">
      <c r="A240" s="2674"/>
      <c r="B240" s="2674"/>
      <c r="C240" s="2674"/>
      <c r="D240" s="2674"/>
      <c r="E240" s="2674"/>
      <c r="F240" s="2674"/>
      <c r="G240" s="2674"/>
      <c r="H240" s="2674"/>
      <c r="I240" s="2674"/>
      <c r="J240" s="2674"/>
      <c r="K240" s="2674"/>
      <c r="L240" s="2674"/>
      <c r="M240" s="2674"/>
      <c r="N240" s="2674"/>
      <c r="O240" s="2674"/>
      <c r="P240" s="2674"/>
      <c r="Q240" s="2674"/>
      <c r="R240" s="2674"/>
      <c r="S240" s="2674"/>
      <c r="T240" s="2674"/>
      <c r="U240" s="2674"/>
    </row>
    <row r="241" spans="1:21" ht="11.25" customHeight="1" x14ac:dyDescent="0.2">
      <c r="A241" s="2674"/>
      <c r="B241" s="2674"/>
      <c r="C241" s="2674"/>
      <c r="D241" s="2674"/>
      <c r="E241" s="2674"/>
      <c r="F241" s="2674"/>
      <c r="G241" s="2674"/>
      <c r="H241" s="2674"/>
      <c r="I241" s="2674"/>
      <c r="J241" s="2674"/>
      <c r="K241" s="2674"/>
      <c r="L241" s="2674"/>
      <c r="M241" s="2674"/>
      <c r="N241" s="2674"/>
      <c r="O241" s="2674"/>
      <c r="P241" s="2674"/>
      <c r="Q241" s="2674"/>
      <c r="R241" s="2674"/>
      <c r="S241" s="2674"/>
      <c r="T241" s="2674"/>
      <c r="U241" s="2674"/>
    </row>
    <row r="242" spans="1:21" ht="11.25" customHeight="1" x14ac:dyDescent="0.2">
      <c r="A242" s="2674"/>
      <c r="B242" s="2674"/>
      <c r="C242" s="2674"/>
      <c r="D242" s="2674"/>
      <c r="E242" s="2674"/>
      <c r="F242" s="2674"/>
      <c r="G242" s="2674"/>
      <c r="H242" s="2674"/>
      <c r="I242" s="2674"/>
      <c r="J242" s="2674"/>
      <c r="K242" s="2674"/>
      <c r="L242" s="2674"/>
      <c r="M242" s="2674"/>
      <c r="N242" s="2674"/>
      <c r="O242" s="2674"/>
      <c r="P242" s="2674"/>
      <c r="Q242" s="2674"/>
      <c r="R242" s="2674"/>
      <c r="S242" s="2674"/>
      <c r="T242" s="2674"/>
      <c r="U242" s="2674"/>
    </row>
    <row r="243" spans="1:21" ht="11.25" customHeight="1" x14ac:dyDescent="0.2">
      <c r="A243" s="2674"/>
      <c r="B243" s="2674"/>
      <c r="C243" s="2674"/>
      <c r="D243" s="2674"/>
      <c r="E243" s="2674"/>
      <c r="F243" s="2674"/>
      <c r="G243" s="2674"/>
      <c r="H243" s="2674"/>
      <c r="I243" s="2674"/>
      <c r="J243" s="2674"/>
      <c r="K243" s="2674"/>
      <c r="L243" s="2674"/>
      <c r="M243" s="2674"/>
      <c r="N243" s="2674"/>
      <c r="O243" s="2674"/>
      <c r="P243" s="2674"/>
      <c r="Q243" s="2674"/>
      <c r="R243" s="2674"/>
      <c r="S243" s="2674"/>
      <c r="T243" s="2674"/>
      <c r="U243" s="2674"/>
    </row>
    <row r="244" spans="1:21" ht="11.25" customHeight="1" x14ac:dyDescent="0.2">
      <c r="A244" s="2674"/>
      <c r="B244" s="2674"/>
      <c r="C244" s="2674"/>
      <c r="D244" s="2674"/>
      <c r="E244" s="2674"/>
      <c r="F244" s="2674"/>
      <c r="G244" s="2674"/>
      <c r="H244" s="2674"/>
      <c r="I244" s="2674"/>
      <c r="J244" s="2674"/>
      <c r="K244" s="2674"/>
      <c r="L244" s="2674"/>
      <c r="M244" s="2674"/>
      <c r="N244" s="2674"/>
      <c r="O244" s="2674"/>
      <c r="P244" s="2674"/>
      <c r="Q244" s="2674"/>
      <c r="R244" s="2674"/>
      <c r="S244" s="2674"/>
      <c r="T244" s="2674"/>
      <c r="U244" s="2674"/>
    </row>
    <row r="245" spans="1:21" ht="11.25" customHeight="1" x14ac:dyDescent="0.2">
      <c r="A245" s="2674"/>
      <c r="B245" s="2674"/>
      <c r="C245" s="2674"/>
      <c r="D245" s="2674"/>
      <c r="E245" s="2674"/>
      <c r="F245" s="2674"/>
      <c r="G245" s="2674"/>
      <c r="H245" s="2674"/>
      <c r="I245" s="2674"/>
      <c r="J245" s="2674"/>
      <c r="K245" s="2674"/>
      <c r="L245" s="2674"/>
      <c r="M245" s="2674"/>
      <c r="N245" s="2674"/>
      <c r="O245" s="2674"/>
      <c r="P245" s="2674"/>
      <c r="Q245" s="2674"/>
      <c r="R245" s="2674"/>
      <c r="S245" s="2674"/>
      <c r="T245" s="2674"/>
      <c r="U245" s="2674"/>
    </row>
    <row r="246" spans="1:21" ht="11.25" customHeight="1" x14ac:dyDescent="0.2">
      <c r="A246" s="2674"/>
      <c r="B246" s="2674"/>
      <c r="C246" s="2674"/>
      <c r="D246" s="2674"/>
      <c r="E246" s="2674"/>
      <c r="F246" s="2674"/>
      <c r="G246" s="2674"/>
      <c r="H246" s="2674"/>
      <c r="I246" s="2674"/>
      <c r="J246" s="2674"/>
      <c r="K246" s="2674"/>
      <c r="L246" s="2674"/>
      <c r="M246" s="2674"/>
      <c r="N246" s="2674"/>
      <c r="O246" s="2674"/>
      <c r="P246" s="2674"/>
      <c r="Q246" s="2674"/>
      <c r="R246" s="2674"/>
      <c r="S246" s="2674"/>
      <c r="T246" s="2674"/>
      <c r="U246" s="2674"/>
    </row>
    <row r="247" spans="1:21" ht="11.25" customHeight="1" x14ac:dyDescent="0.2">
      <c r="A247" s="2674"/>
      <c r="B247" s="2674"/>
      <c r="C247" s="2674"/>
      <c r="D247" s="2674"/>
      <c r="E247" s="2674"/>
      <c r="F247" s="2674"/>
      <c r="G247" s="2674"/>
      <c r="H247" s="2674"/>
      <c r="I247" s="2674"/>
      <c r="J247" s="2674"/>
      <c r="K247" s="2674"/>
      <c r="L247" s="2674"/>
      <c r="M247" s="2674"/>
      <c r="N247" s="2674"/>
      <c r="O247" s="2674"/>
      <c r="P247" s="2674"/>
      <c r="Q247" s="2674"/>
      <c r="R247" s="2674"/>
      <c r="S247" s="2674"/>
      <c r="T247" s="2674"/>
      <c r="U247" s="2674"/>
    </row>
    <row r="248" spans="1:21" ht="11.25" customHeight="1" x14ac:dyDescent="0.2">
      <c r="A248" s="2674"/>
      <c r="B248" s="2674"/>
      <c r="C248" s="2674"/>
      <c r="D248" s="2674"/>
      <c r="E248" s="2674"/>
      <c r="F248" s="2674"/>
      <c r="G248" s="2674"/>
      <c r="H248" s="2674"/>
      <c r="I248" s="2674"/>
      <c r="J248" s="2674"/>
      <c r="K248" s="2674"/>
      <c r="L248" s="2674"/>
      <c r="M248" s="2674"/>
      <c r="N248" s="2674"/>
      <c r="O248" s="2674"/>
      <c r="P248" s="2674"/>
      <c r="Q248" s="2674"/>
      <c r="R248" s="2674"/>
      <c r="S248" s="2674"/>
      <c r="T248" s="2674"/>
      <c r="U248" s="2674"/>
    </row>
    <row r="249" spans="1:21" ht="11.25" customHeight="1" x14ac:dyDescent="0.2">
      <c r="A249" s="2674"/>
      <c r="B249" s="2674"/>
      <c r="C249" s="2674"/>
      <c r="D249" s="2674"/>
      <c r="E249" s="2674"/>
      <c r="F249" s="2674"/>
      <c r="G249" s="2674"/>
      <c r="H249" s="2674"/>
      <c r="I249" s="2674"/>
      <c r="J249" s="2674"/>
      <c r="K249" s="2674"/>
      <c r="L249" s="2674"/>
      <c r="M249" s="2674"/>
      <c r="N249" s="2674"/>
      <c r="O249" s="2674"/>
      <c r="P249" s="2674"/>
      <c r="Q249" s="2674"/>
      <c r="R249" s="2674"/>
      <c r="S249" s="2674"/>
      <c r="T249" s="2674"/>
      <c r="U249" s="2674"/>
    </row>
    <row r="250" spans="1:21" ht="11.25" customHeight="1" x14ac:dyDescent="0.2">
      <c r="A250" s="2674"/>
      <c r="B250" s="2674"/>
      <c r="C250" s="2674"/>
      <c r="D250" s="2674"/>
      <c r="E250" s="2674"/>
      <c r="F250" s="2674"/>
      <c r="G250" s="2674"/>
      <c r="H250" s="2674"/>
      <c r="I250" s="2674"/>
      <c r="J250" s="2674"/>
      <c r="K250" s="2674"/>
      <c r="L250" s="2674"/>
      <c r="M250" s="2674"/>
      <c r="N250" s="2674"/>
      <c r="O250" s="2674"/>
      <c r="P250" s="2674"/>
      <c r="Q250" s="2674"/>
      <c r="R250" s="2674"/>
      <c r="S250" s="2674"/>
      <c r="T250" s="2674"/>
      <c r="U250" s="2674"/>
    </row>
    <row r="251" spans="1:21" ht="11.25" customHeight="1" x14ac:dyDescent="0.2">
      <c r="A251" s="2674"/>
      <c r="B251" s="2674"/>
      <c r="C251" s="2674"/>
      <c r="D251" s="2674"/>
      <c r="E251" s="2674"/>
      <c r="F251" s="2674"/>
      <c r="G251" s="2674"/>
      <c r="H251" s="2674"/>
      <c r="I251" s="2674"/>
      <c r="J251" s="2674"/>
      <c r="K251" s="2674"/>
      <c r="L251" s="2674"/>
      <c r="M251" s="2674"/>
      <c r="N251" s="2674"/>
      <c r="O251" s="2674"/>
      <c r="P251" s="2674"/>
      <c r="Q251" s="2674"/>
      <c r="R251" s="2674"/>
      <c r="S251" s="2674"/>
      <c r="T251" s="2674"/>
      <c r="U251" s="2674"/>
    </row>
    <row r="252" spans="1:21" ht="11.25" customHeight="1" x14ac:dyDescent="0.2">
      <c r="A252" s="2674"/>
      <c r="B252" s="2674"/>
      <c r="C252" s="2674"/>
      <c r="D252" s="2674"/>
      <c r="E252" s="2674"/>
      <c r="F252" s="2674"/>
      <c r="G252" s="2674"/>
      <c r="H252" s="2674"/>
      <c r="I252" s="2674"/>
      <c r="J252" s="2674"/>
      <c r="K252" s="2674"/>
      <c r="L252" s="2674"/>
      <c r="M252" s="2674"/>
      <c r="N252" s="2674"/>
      <c r="O252" s="2674"/>
      <c r="P252" s="2674"/>
      <c r="Q252" s="2674"/>
      <c r="R252" s="2674"/>
      <c r="S252" s="2674"/>
      <c r="T252" s="2674"/>
      <c r="U252" s="2674"/>
    </row>
    <row r="253" spans="1:21" ht="11.25" customHeight="1" x14ac:dyDescent="0.2">
      <c r="A253" s="2674"/>
      <c r="B253" s="2674"/>
      <c r="C253" s="2674"/>
      <c r="D253" s="2674"/>
      <c r="E253" s="2674"/>
      <c r="F253" s="2674"/>
      <c r="G253" s="2674"/>
      <c r="H253" s="2674"/>
      <c r="I253" s="2674"/>
      <c r="J253" s="2674"/>
      <c r="K253" s="2674"/>
      <c r="L253" s="2674"/>
      <c r="M253" s="2674"/>
      <c r="N253" s="2674"/>
      <c r="O253" s="2674"/>
      <c r="P253" s="2674"/>
      <c r="Q253" s="2674"/>
      <c r="R253" s="2674"/>
      <c r="S253" s="2674"/>
      <c r="T253" s="2674"/>
      <c r="U253" s="2674"/>
    </row>
    <row r="254" spans="1:21" ht="11.25" customHeight="1" x14ac:dyDescent="0.2">
      <c r="A254" s="2674"/>
      <c r="B254" s="2674"/>
      <c r="C254" s="2674"/>
      <c r="D254" s="2674"/>
      <c r="E254" s="2674"/>
      <c r="F254" s="2674"/>
      <c r="G254" s="2674"/>
      <c r="H254" s="2674"/>
      <c r="I254" s="2674"/>
      <c r="J254" s="2674"/>
      <c r="K254" s="2674"/>
      <c r="L254" s="2674"/>
      <c r="M254" s="2674"/>
      <c r="N254" s="2674"/>
      <c r="O254" s="2674"/>
      <c r="P254" s="2674"/>
      <c r="Q254" s="2674"/>
      <c r="R254" s="2674"/>
      <c r="S254" s="2674"/>
      <c r="T254" s="2674"/>
      <c r="U254" s="2674"/>
    </row>
    <row r="255" spans="1:21" ht="11.25" customHeight="1" x14ac:dyDescent="0.2">
      <c r="A255" s="2674"/>
      <c r="B255" s="2674"/>
      <c r="C255" s="2674"/>
      <c r="D255" s="2674"/>
      <c r="E255" s="2674"/>
      <c r="F255" s="2674"/>
      <c r="G255" s="2674"/>
      <c r="H255" s="2674"/>
      <c r="I255" s="2674"/>
      <c r="J255" s="2674"/>
      <c r="K255" s="2674"/>
      <c r="L255" s="2674"/>
      <c r="M255" s="2674"/>
      <c r="N255" s="2674"/>
      <c r="O255" s="2674"/>
      <c r="P255" s="2674"/>
      <c r="Q255" s="2674"/>
      <c r="R255" s="2674"/>
      <c r="S255" s="2674"/>
      <c r="T255" s="2674"/>
      <c r="U255" s="2674"/>
    </row>
    <row r="256" spans="1:21" ht="11.25" customHeight="1" x14ac:dyDescent="0.2">
      <c r="A256" s="2674"/>
      <c r="B256" s="2674"/>
      <c r="C256" s="2674"/>
      <c r="D256" s="2674"/>
      <c r="E256" s="2674"/>
      <c r="F256" s="2674"/>
      <c r="G256" s="2674"/>
      <c r="H256" s="2674"/>
      <c r="I256" s="2674"/>
      <c r="J256" s="2674"/>
      <c r="K256" s="2674"/>
      <c r="L256" s="2674"/>
      <c r="M256" s="2674"/>
      <c r="N256" s="2674"/>
      <c r="O256" s="2674"/>
      <c r="P256" s="2674"/>
      <c r="Q256" s="2674"/>
      <c r="R256" s="2674"/>
      <c r="S256" s="2674"/>
      <c r="T256" s="2674"/>
      <c r="U256" s="2674"/>
    </row>
    <row r="257" spans="1:21" ht="11.25" customHeight="1" x14ac:dyDescent="0.2">
      <c r="A257" s="2674"/>
      <c r="B257" s="2674"/>
      <c r="C257" s="2674"/>
      <c r="D257" s="2674"/>
      <c r="E257" s="2674"/>
      <c r="F257" s="2674"/>
      <c r="G257" s="2674"/>
      <c r="H257" s="2674"/>
      <c r="I257" s="2674"/>
      <c r="J257" s="2674"/>
      <c r="K257" s="2674"/>
      <c r="L257" s="2674"/>
      <c r="M257" s="2674"/>
      <c r="N257" s="2674"/>
      <c r="O257" s="2674"/>
      <c r="P257" s="2674"/>
      <c r="Q257" s="2674"/>
      <c r="R257" s="2674"/>
      <c r="S257" s="2674"/>
      <c r="T257" s="2674"/>
      <c r="U257" s="2674"/>
    </row>
    <row r="258" spans="1:21" ht="11.25" customHeight="1" x14ac:dyDescent="0.2">
      <c r="A258" s="2674"/>
      <c r="B258" s="2674"/>
      <c r="C258" s="2674"/>
      <c r="D258" s="2674"/>
      <c r="E258" s="2674"/>
      <c r="F258" s="2674"/>
      <c r="G258" s="2674"/>
      <c r="H258" s="2674"/>
      <c r="I258" s="2674"/>
      <c r="J258" s="2674"/>
      <c r="K258" s="2674"/>
      <c r="L258" s="2674"/>
      <c r="M258" s="2674"/>
      <c r="N258" s="2674"/>
      <c r="O258" s="2674"/>
      <c r="P258" s="2674"/>
      <c r="Q258" s="2674"/>
      <c r="R258" s="2674"/>
      <c r="S258" s="2674"/>
      <c r="T258" s="2674"/>
      <c r="U258" s="2674"/>
    </row>
    <row r="259" spans="1:21" ht="11.25" customHeight="1" x14ac:dyDescent="0.2">
      <c r="A259" s="2674"/>
      <c r="B259" s="2674"/>
      <c r="C259" s="2674"/>
      <c r="D259" s="2674"/>
      <c r="E259" s="2674"/>
      <c r="F259" s="2674"/>
      <c r="G259" s="2674"/>
      <c r="H259" s="2674"/>
      <c r="I259" s="2674"/>
      <c r="J259" s="2674"/>
      <c r="K259" s="2674"/>
      <c r="L259" s="2674"/>
      <c r="M259" s="2674"/>
      <c r="N259" s="2674"/>
      <c r="O259" s="2674"/>
      <c r="P259" s="2674"/>
      <c r="Q259" s="2674"/>
      <c r="R259" s="2674"/>
      <c r="S259" s="2674"/>
      <c r="T259" s="2674"/>
      <c r="U259" s="2674"/>
    </row>
    <row r="260" spans="1:21" ht="11.25" customHeight="1" x14ac:dyDescent="0.2">
      <c r="A260" s="2674"/>
      <c r="B260" s="2674"/>
      <c r="C260" s="2674"/>
      <c r="D260" s="2674"/>
      <c r="E260" s="2674"/>
      <c r="F260" s="2674"/>
      <c r="G260" s="2674"/>
      <c r="H260" s="2674"/>
      <c r="I260" s="2674"/>
      <c r="J260" s="2674"/>
      <c r="K260" s="2674"/>
      <c r="L260" s="2674"/>
      <c r="M260" s="2674"/>
      <c r="N260" s="2674"/>
      <c r="O260" s="2674"/>
      <c r="P260" s="2674"/>
      <c r="Q260" s="2674"/>
      <c r="R260" s="2674"/>
      <c r="S260" s="2674"/>
      <c r="T260" s="2674"/>
      <c r="U260" s="2674"/>
    </row>
    <row r="261" spans="1:21" ht="11.25" customHeight="1" x14ac:dyDescent="0.2">
      <c r="A261" s="2674"/>
      <c r="B261" s="2674"/>
      <c r="C261" s="2674"/>
      <c r="D261" s="2674"/>
      <c r="E261" s="2674"/>
      <c r="F261" s="2674"/>
      <c r="G261" s="2674"/>
      <c r="H261" s="2674"/>
      <c r="I261" s="2674"/>
      <c r="J261" s="2674"/>
      <c r="K261" s="2674"/>
      <c r="L261" s="2674"/>
      <c r="M261" s="2674"/>
      <c r="N261" s="2674"/>
      <c r="O261" s="2674"/>
      <c r="P261" s="2674"/>
      <c r="Q261" s="2674"/>
      <c r="R261" s="2674"/>
      <c r="S261" s="2674"/>
      <c r="T261" s="2674"/>
      <c r="U261" s="2674"/>
    </row>
    <row r="262" spans="1:21" ht="11.25" customHeight="1" x14ac:dyDescent="0.2">
      <c r="A262" s="2674"/>
      <c r="B262" s="2674"/>
      <c r="C262" s="2674"/>
      <c r="D262" s="2674"/>
      <c r="E262" s="2674"/>
      <c r="F262" s="2674"/>
      <c r="G262" s="2674"/>
      <c r="H262" s="2674"/>
      <c r="I262" s="2674"/>
      <c r="J262" s="2674"/>
      <c r="K262" s="2674"/>
      <c r="L262" s="2674"/>
      <c r="M262" s="2674"/>
      <c r="N262" s="2674"/>
      <c r="O262" s="2674"/>
      <c r="P262" s="2674"/>
      <c r="Q262" s="2674"/>
      <c r="R262" s="2674"/>
      <c r="S262" s="2674"/>
      <c r="T262" s="2674"/>
      <c r="U262" s="2674"/>
    </row>
    <row r="263" spans="1:21" ht="11.25" customHeight="1" x14ac:dyDescent="0.2">
      <c r="A263" s="2674"/>
      <c r="B263" s="2674"/>
      <c r="C263" s="2674"/>
      <c r="D263" s="2674"/>
      <c r="E263" s="2674"/>
      <c r="F263" s="2674"/>
      <c r="G263" s="2674"/>
      <c r="H263" s="2674"/>
      <c r="I263" s="2674"/>
      <c r="J263" s="2674"/>
      <c r="K263" s="2674"/>
      <c r="L263" s="2674"/>
      <c r="M263" s="2674"/>
      <c r="N263" s="2674"/>
      <c r="O263" s="2674"/>
      <c r="P263" s="2674"/>
      <c r="Q263" s="2674"/>
      <c r="R263" s="2674"/>
      <c r="S263" s="2674"/>
      <c r="T263" s="2674"/>
      <c r="U263" s="2674"/>
    </row>
    <row r="264" spans="1:21" ht="11.25" customHeight="1" x14ac:dyDescent="0.2">
      <c r="A264" s="2674"/>
      <c r="B264" s="2674"/>
      <c r="C264" s="2674"/>
      <c r="D264" s="2674"/>
      <c r="E264" s="2674"/>
      <c r="F264" s="2674"/>
      <c r="G264" s="2674"/>
      <c r="H264" s="2674"/>
      <c r="I264" s="2674"/>
      <c r="J264" s="2674"/>
      <c r="K264" s="2674"/>
      <c r="L264" s="2674"/>
      <c r="M264" s="2674"/>
      <c r="N264" s="2674"/>
      <c r="O264" s="2674"/>
      <c r="P264" s="2674"/>
      <c r="Q264" s="2674"/>
      <c r="R264" s="2674"/>
      <c r="S264" s="2674"/>
      <c r="T264" s="2674"/>
      <c r="U264" s="2674"/>
    </row>
    <row r="265" spans="1:21" ht="11.25" customHeight="1" x14ac:dyDescent="0.2">
      <c r="A265" s="2674"/>
      <c r="B265" s="2674"/>
      <c r="C265" s="2674"/>
      <c r="D265" s="2674"/>
      <c r="E265" s="2674"/>
      <c r="F265" s="2674"/>
      <c r="G265" s="2674"/>
      <c r="H265" s="2674"/>
      <c r="I265" s="2674"/>
      <c r="J265" s="2674"/>
      <c r="K265" s="2674"/>
      <c r="L265" s="2674"/>
      <c r="M265" s="2674"/>
      <c r="N265" s="2674"/>
      <c r="O265" s="2674"/>
      <c r="P265" s="2674"/>
      <c r="Q265" s="2674"/>
      <c r="R265" s="2674"/>
      <c r="S265" s="2674"/>
      <c r="T265" s="2674"/>
      <c r="U265" s="2674"/>
    </row>
    <row r="266" spans="1:21" ht="11.25" customHeight="1" x14ac:dyDescent="0.2">
      <c r="A266" s="2674"/>
      <c r="B266" s="2674"/>
      <c r="C266" s="2674"/>
      <c r="D266" s="2674"/>
      <c r="E266" s="2674"/>
      <c r="F266" s="2674"/>
      <c r="G266" s="2674"/>
      <c r="H266" s="2674"/>
      <c r="I266" s="2674"/>
      <c r="J266" s="2674"/>
      <c r="K266" s="2674"/>
      <c r="L266" s="2674"/>
      <c r="M266" s="2674"/>
      <c r="N266" s="2674"/>
      <c r="O266" s="2674"/>
      <c r="P266" s="2674"/>
      <c r="Q266" s="2674"/>
      <c r="R266" s="2674"/>
      <c r="S266" s="2674"/>
      <c r="T266" s="2674"/>
      <c r="U266" s="2674"/>
    </row>
    <row r="267" spans="1:21" ht="11.25" customHeight="1" x14ac:dyDescent="0.2">
      <c r="A267" s="2674"/>
      <c r="B267" s="2674"/>
      <c r="C267" s="2674"/>
      <c r="D267" s="2674"/>
      <c r="E267" s="2674"/>
      <c r="F267" s="2674"/>
      <c r="G267" s="2674"/>
      <c r="H267" s="2674"/>
      <c r="I267" s="2674"/>
      <c r="J267" s="2674"/>
      <c r="K267" s="2674"/>
      <c r="L267" s="2674"/>
      <c r="M267" s="2674"/>
      <c r="N267" s="2674"/>
      <c r="O267" s="2674"/>
      <c r="P267" s="2674"/>
      <c r="Q267" s="2674"/>
      <c r="R267" s="2674"/>
      <c r="S267" s="2674"/>
      <c r="T267" s="2674"/>
      <c r="U267" s="2674"/>
    </row>
    <row r="268" spans="1:21" ht="11.25" customHeight="1" x14ac:dyDescent="0.2">
      <c r="A268" s="2674"/>
      <c r="B268" s="2674"/>
      <c r="C268" s="2674"/>
      <c r="D268" s="2674"/>
      <c r="E268" s="2674"/>
      <c r="F268" s="2674"/>
      <c r="G268" s="2674"/>
      <c r="H268" s="2674"/>
      <c r="I268" s="2674"/>
      <c r="J268" s="2674"/>
      <c r="K268" s="2674"/>
      <c r="L268" s="2674"/>
      <c r="M268" s="2674"/>
      <c r="N268" s="2674"/>
      <c r="O268" s="2674"/>
      <c r="P268" s="2674"/>
      <c r="Q268" s="2674"/>
      <c r="R268" s="2674"/>
      <c r="S268" s="2674"/>
      <c r="T268" s="2674"/>
      <c r="U268" s="2674"/>
    </row>
    <row r="269" spans="1:21" ht="11.25" customHeight="1" x14ac:dyDescent="0.2">
      <c r="A269" s="2674"/>
      <c r="B269" s="2674"/>
      <c r="C269" s="2674"/>
      <c r="D269" s="2674"/>
      <c r="E269" s="2674"/>
      <c r="F269" s="2674"/>
      <c r="G269" s="2674"/>
      <c r="H269" s="2674"/>
      <c r="I269" s="2674"/>
      <c r="J269" s="2674"/>
      <c r="K269" s="2674"/>
      <c r="L269" s="2674"/>
      <c r="M269" s="2674"/>
      <c r="N269" s="2674"/>
      <c r="O269" s="2674"/>
      <c r="P269" s="2674"/>
      <c r="Q269" s="2674"/>
      <c r="R269" s="2674"/>
      <c r="S269" s="2674"/>
      <c r="T269" s="2674"/>
      <c r="U269" s="2674"/>
    </row>
    <row r="270" spans="1:21" ht="11.25" customHeight="1" x14ac:dyDescent="0.2">
      <c r="A270" s="2674"/>
      <c r="B270" s="2674"/>
      <c r="C270" s="2674"/>
      <c r="D270" s="2674"/>
      <c r="E270" s="2674"/>
      <c r="F270" s="2674"/>
      <c r="G270" s="2674"/>
      <c r="H270" s="2674"/>
      <c r="I270" s="2674"/>
      <c r="J270" s="2674"/>
      <c r="K270" s="2674"/>
      <c r="L270" s="2674"/>
      <c r="M270" s="2674"/>
      <c r="N270" s="2674"/>
      <c r="O270" s="2674"/>
      <c r="P270" s="2674"/>
      <c r="Q270" s="2674"/>
      <c r="R270" s="2674"/>
      <c r="S270" s="2674"/>
      <c r="T270" s="2674"/>
      <c r="U270" s="2674"/>
    </row>
    <row r="271" spans="1:21" ht="11.25" customHeight="1" x14ac:dyDescent="0.2">
      <c r="A271" s="2674"/>
      <c r="B271" s="2674"/>
      <c r="C271" s="2674"/>
      <c r="D271" s="2674"/>
      <c r="E271" s="2674"/>
      <c r="F271" s="2674"/>
      <c r="G271" s="2674"/>
      <c r="H271" s="2674"/>
      <c r="I271" s="2674"/>
      <c r="J271" s="2674"/>
      <c r="K271" s="2674"/>
      <c r="L271" s="2674"/>
      <c r="M271" s="2674"/>
      <c r="N271" s="2674"/>
      <c r="O271" s="2674"/>
      <c r="P271" s="2674"/>
      <c r="Q271" s="2674"/>
      <c r="R271" s="2674"/>
      <c r="S271" s="2674"/>
      <c r="T271" s="2674"/>
      <c r="U271" s="2674"/>
    </row>
    <row r="272" spans="1:21" ht="11.25" customHeight="1" x14ac:dyDescent="0.2">
      <c r="A272" s="2674"/>
      <c r="B272" s="2674"/>
      <c r="C272" s="2674"/>
      <c r="D272" s="2674"/>
      <c r="E272" s="2674"/>
      <c r="F272" s="2674"/>
      <c r="G272" s="2674"/>
      <c r="H272" s="2674"/>
      <c r="I272" s="2674"/>
      <c r="J272" s="2674"/>
      <c r="K272" s="2674"/>
      <c r="L272" s="2674"/>
      <c r="M272" s="2674"/>
      <c r="N272" s="2674"/>
      <c r="O272" s="2674"/>
      <c r="P272" s="2674"/>
      <c r="Q272" s="2674"/>
      <c r="R272" s="2674"/>
      <c r="S272" s="2674"/>
      <c r="T272" s="2674"/>
      <c r="U272" s="2674"/>
    </row>
    <row r="273" spans="1:21" ht="11.25" customHeight="1" x14ac:dyDescent="0.2">
      <c r="A273" s="2674"/>
      <c r="B273" s="2674"/>
      <c r="C273" s="2674"/>
      <c r="D273" s="2674"/>
      <c r="E273" s="2674"/>
      <c r="F273" s="2674"/>
      <c r="G273" s="2674"/>
      <c r="H273" s="2674"/>
      <c r="I273" s="2674"/>
      <c r="J273" s="2674"/>
      <c r="K273" s="2674"/>
      <c r="L273" s="2674"/>
      <c r="M273" s="2674"/>
      <c r="N273" s="2674"/>
      <c r="O273" s="2674"/>
      <c r="P273" s="2674"/>
      <c r="Q273" s="2674"/>
      <c r="R273" s="2674"/>
      <c r="S273" s="2674"/>
      <c r="T273" s="2674"/>
      <c r="U273" s="2674"/>
    </row>
    <row r="274" spans="1:21" ht="11.25" customHeight="1" x14ac:dyDescent="0.2">
      <c r="A274" s="2674"/>
      <c r="B274" s="2674"/>
      <c r="C274" s="2674"/>
      <c r="D274" s="2674"/>
      <c r="E274" s="2674"/>
      <c r="F274" s="2674"/>
      <c r="G274" s="2674"/>
      <c r="H274" s="2674"/>
      <c r="I274" s="2674"/>
      <c r="J274" s="2674"/>
      <c r="K274" s="2674"/>
      <c r="L274" s="2674"/>
      <c r="M274" s="2674"/>
      <c r="N274" s="2674"/>
      <c r="O274" s="2674"/>
      <c r="P274" s="2674"/>
      <c r="Q274" s="2674"/>
      <c r="R274" s="2674"/>
      <c r="S274" s="2674"/>
      <c r="T274" s="2674"/>
      <c r="U274" s="2674"/>
    </row>
    <row r="275" spans="1:21" ht="11.25" customHeight="1" x14ac:dyDescent="0.2">
      <c r="A275" s="2674"/>
      <c r="B275" s="2674"/>
      <c r="C275" s="2674"/>
      <c r="D275" s="2674"/>
      <c r="E275" s="2674"/>
      <c r="F275" s="2674"/>
      <c r="G275" s="2674"/>
      <c r="H275" s="2674"/>
      <c r="I275" s="2674"/>
      <c r="J275" s="2674"/>
      <c r="K275" s="2674"/>
      <c r="L275" s="2674"/>
      <c r="M275" s="2674"/>
      <c r="N275" s="2674"/>
      <c r="O275" s="2674"/>
      <c r="P275" s="2674"/>
      <c r="Q275" s="2674"/>
      <c r="R275" s="2674"/>
      <c r="S275" s="2674"/>
      <c r="T275" s="2674"/>
      <c r="U275" s="2674"/>
    </row>
    <row r="276" spans="1:21" ht="11.25" customHeight="1" x14ac:dyDescent="0.2">
      <c r="A276" s="2674"/>
      <c r="B276" s="2674"/>
      <c r="C276" s="2674"/>
      <c r="D276" s="2674"/>
      <c r="E276" s="2674"/>
      <c r="F276" s="2674"/>
      <c r="G276" s="2674"/>
      <c r="H276" s="2674"/>
      <c r="I276" s="2674"/>
      <c r="J276" s="2674"/>
      <c r="K276" s="2674"/>
      <c r="L276" s="2674"/>
      <c r="M276" s="2674"/>
      <c r="N276" s="2674"/>
      <c r="O276" s="2674"/>
      <c r="P276" s="2674"/>
      <c r="Q276" s="2674"/>
      <c r="R276" s="2674"/>
      <c r="S276" s="2674"/>
      <c r="T276" s="2674"/>
      <c r="U276" s="2674"/>
    </row>
    <row r="277" spans="1:21" ht="11.25" customHeight="1" x14ac:dyDescent="0.2">
      <c r="A277" s="2674"/>
      <c r="B277" s="2674"/>
      <c r="C277" s="2674"/>
      <c r="D277" s="2674"/>
      <c r="E277" s="2674"/>
      <c r="F277" s="2674"/>
      <c r="G277" s="2674"/>
      <c r="H277" s="2674"/>
      <c r="I277" s="2674"/>
      <c r="J277" s="2674"/>
      <c r="K277" s="2674"/>
      <c r="L277" s="2674"/>
      <c r="M277" s="2674"/>
      <c r="N277" s="2674"/>
      <c r="O277" s="2674"/>
      <c r="P277" s="2674"/>
      <c r="Q277" s="2674"/>
      <c r="R277" s="2674"/>
      <c r="S277" s="2674"/>
      <c r="T277" s="2674"/>
      <c r="U277" s="2674"/>
    </row>
    <row r="278" spans="1:21" ht="11.25" customHeight="1" x14ac:dyDescent="0.2">
      <c r="A278" s="2674"/>
      <c r="B278" s="2674"/>
      <c r="C278" s="2674"/>
      <c r="D278" s="2674"/>
      <c r="E278" s="2674"/>
      <c r="F278" s="2674"/>
      <c r="G278" s="2674"/>
      <c r="H278" s="2674"/>
      <c r="I278" s="2674"/>
      <c r="J278" s="2674"/>
      <c r="K278" s="2674"/>
      <c r="L278" s="2674"/>
      <c r="M278" s="2674"/>
      <c r="N278" s="2674"/>
      <c r="O278" s="2674"/>
      <c r="P278" s="2674"/>
      <c r="Q278" s="2674"/>
      <c r="R278" s="2674"/>
      <c r="S278" s="2674"/>
      <c r="T278" s="2674"/>
      <c r="U278" s="2674"/>
    </row>
    <row r="279" spans="1:21" ht="11.25" customHeight="1" x14ac:dyDescent="0.2">
      <c r="A279" s="2674"/>
      <c r="B279" s="2674"/>
      <c r="C279" s="2674"/>
      <c r="D279" s="2674"/>
      <c r="E279" s="2674"/>
      <c r="F279" s="2674"/>
      <c r="G279" s="2674"/>
      <c r="H279" s="2674"/>
      <c r="I279" s="2674"/>
      <c r="J279" s="2674"/>
      <c r="K279" s="2674"/>
      <c r="L279" s="2674"/>
      <c r="M279" s="2674"/>
      <c r="N279" s="2674"/>
      <c r="O279" s="2674"/>
      <c r="P279" s="2674"/>
      <c r="Q279" s="2674"/>
      <c r="R279" s="2674"/>
      <c r="S279" s="2674"/>
      <c r="T279" s="2674"/>
      <c r="U279" s="2674"/>
    </row>
    <row r="280" spans="1:21" ht="11.25" customHeight="1" x14ac:dyDescent="0.2">
      <c r="A280" s="2674"/>
      <c r="B280" s="2674"/>
      <c r="C280" s="2674"/>
      <c r="D280" s="2674"/>
      <c r="E280" s="2674"/>
      <c r="F280" s="2674"/>
      <c r="G280" s="2674"/>
      <c r="H280" s="2674"/>
      <c r="I280" s="2674"/>
      <c r="J280" s="2674"/>
      <c r="K280" s="2674"/>
      <c r="L280" s="2674"/>
      <c r="M280" s="2674"/>
      <c r="N280" s="2674"/>
      <c r="O280" s="2674"/>
      <c r="P280" s="2674"/>
      <c r="Q280" s="2674"/>
      <c r="R280" s="2674"/>
      <c r="S280" s="2674"/>
      <c r="T280" s="2674"/>
      <c r="U280" s="2674"/>
    </row>
    <row r="281" spans="1:21" ht="11.25" customHeight="1" x14ac:dyDescent="0.2">
      <c r="A281" s="2674"/>
      <c r="B281" s="2674"/>
      <c r="C281" s="2674"/>
      <c r="D281" s="2674"/>
      <c r="E281" s="2674"/>
      <c r="F281" s="2674"/>
      <c r="G281" s="2674"/>
      <c r="H281" s="2674"/>
      <c r="I281" s="2674"/>
      <c r="J281" s="2674"/>
      <c r="K281" s="2674"/>
      <c r="L281" s="2674"/>
      <c r="M281" s="2674"/>
      <c r="N281" s="2674"/>
      <c r="O281" s="2674"/>
      <c r="P281" s="2674"/>
      <c r="Q281" s="2674"/>
      <c r="R281" s="2674"/>
      <c r="S281" s="2674"/>
      <c r="T281" s="2674"/>
      <c r="U281" s="2674"/>
    </row>
    <row r="282" spans="1:21" ht="11.25" customHeight="1" x14ac:dyDescent="0.2">
      <c r="A282" s="2674"/>
      <c r="B282" s="2674"/>
      <c r="C282" s="2674"/>
      <c r="D282" s="2674"/>
      <c r="E282" s="2674"/>
      <c r="F282" s="2674"/>
      <c r="G282" s="2674"/>
      <c r="H282" s="2674"/>
      <c r="I282" s="2674"/>
      <c r="J282" s="2674"/>
      <c r="K282" s="2674"/>
      <c r="L282" s="2674"/>
      <c r="M282" s="2674"/>
      <c r="N282" s="2674"/>
      <c r="O282" s="2674"/>
      <c r="P282" s="2674"/>
      <c r="Q282" s="2674"/>
      <c r="R282" s="2674"/>
      <c r="S282" s="2674"/>
      <c r="T282" s="2674"/>
      <c r="U282" s="2674"/>
    </row>
    <row r="283" spans="1:21" ht="11.25" customHeight="1" x14ac:dyDescent="0.2">
      <c r="A283" s="2674"/>
      <c r="B283" s="2674"/>
      <c r="C283" s="2674"/>
      <c r="D283" s="2674"/>
      <c r="E283" s="2674"/>
      <c r="F283" s="2674"/>
      <c r="G283" s="2674"/>
      <c r="H283" s="2674"/>
      <c r="I283" s="2674"/>
      <c r="J283" s="2674"/>
      <c r="K283" s="2674"/>
      <c r="L283" s="2674"/>
      <c r="M283" s="2674"/>
      <c r="N283" s="2674"/>
      <c r="O283" s="2674"/>
      <c r="P283" s="2674"/>
      <c r="Q283" s="2674"/>
      <c r="R283" s="2674"/>
      <c r="S283" s="2674"/>
      <c r="T283" s="2674"/>
      <c r="U283" s="2674"/>
    </row>
    <row r="284" spans="1:21" ht="11.25" customHeight="1" x14ac:dyDescent="0.2">
      <c r="A284" s="2674"/>
      <c r="B284" s="2674"/>
      <c r="C284" s="2674"/>
      <c r="D284" s="2674"/>
      <c r="E284" s="2674"/>
      <c r="F284" s="2674"/>
      <c r="G284" s="2674"/>
      <c r="H284" s="2674"/>
      <c r="I284" s="2674"/>
      <c r="J284" s="2674"/>
      <c r="K284" s="2674"/>
      <c r="L284" s="2674"/>
      <c r="M284" s="2674"/>
      <c r="N284" s="2674"/>
      <c r="O284" s="2674"/>
      <c r="P284" s="2674"/>
      <c r="Q284" s="2674"/>
      <c r="R284" s="2674"/>
      <c r="S284" s="2674"/>
      <c r="T284" s="2674"/>
      <c r="U284" s="2674"/>
    </row>
    <row r="285" spans="1:21" ht="11.25" customHeight="1" x14ac:dyDescent="0.2">
      <c r="A285" s="2674"/>
      <c r="B285" s="2674"/>
      <c r="C285" s="2674"/>
      <c r="D285" s="2674"/>
      <c r="E285" s="2674"/>
      <c r="F285" s="2674"/>
      <c r="G285" s="2674"/>
      <c r="H285" s="2674"/>
      <c r="I285" s="2674"/>
      <c r="J285" s="2674"/>
      <c r="K285" s="2674"/>
      <c r="L285" s="2674"/>
      <c r="M285" s="2674"/>
      <c r="N285" s="2674"/>
      <c r="O285" s="2674"/>
      <c r="P285" s="2674"/>
      <c r="Q285" s="2674"/>
      <c r="R285" s="2674"/>
      <c r="S285" s="2674"/>
      <c r="T285" s="2674"/>
      <c r="U285" s="2674"/>
    </row>
    <row r="286" spans="1:21" ht="11.25" customHeight="1" x14ac:dyDescent="0.2">
      <c r="A286" s="2674"/>
      <c r="B286" s="2674"/>
      <c r="C286" s="2674"/>
      <c r="D286" s="2674"/>
      <c r="E286" s="2674"/>
      <c r="F286" s="2674"/>
      <c r="G286" s="2674"/>
      <c r="H286" s="2674"/>
      <c r="I286" s="2674"/>
      <c r="J286" s="2674"/>
      <c r="K286" s="2674"/>
      <c r="L286" s="2674"/>
      <c r="M286" s="2674"/>
      <c r="N286" s="2674"/>
      <c r="O286" s="2674"/>
      <c r="P286" s="2674"/>
      <c r="Q286" s="2674"/>
      <c r="R286" s="2674"/>
      <c r="S286" s="2674"/>
      <c r="T286" s="2674"/>
      <c r="U286" s="2674"/>
    </row>
    <row r="287" spans="1:21" ht="11.25" customHeight="1" x14ac:dyDescent="0.2">
      <c r="A287" s="2674"/>
      <c r="B287" s="2674"/>
      <c r="C287" s="2674"/>
      <c r="D287" s="2674"/>
      <c r="E287" s="2674"/>
      <c r="F287" s="2674"/>
      <c r="G287" s="2674"/>
      <c r="H287" s="2674"/>
      <c r="I287" s="2674"/>
      <c r="J287" s="2674"/>
      <c r="K287" s="2674"/>
      <c r="L287" s="2674"/>
      <c r="M287" s="2674"/>
      <c r="N287" s="2674"/>
      <c r="O287" s="2674"/>
      <c r="P287" s="2674"/>
      <c r="Q287" s="2674"/>
      <c r="R287" s="2674"/>
      <c r="S287" s="2674"/>
      <c r="T287" s="2674"/>
      <c r="U287" s="2674"/>
    </row>
    <row r="288" spans="1:21" ht="11.25" customHeight="1" x14ac:dyDescent="0.2">
      <c r="A288" s="2674"/>
      <c r="B288" s="2674"/>
      <c r="C288" s="2674"/>
      <c r="D288" s="2674"/>
      <c r="E288" s="2674"/>
      <c r="F288" s="2674"/>
      <c r="G288" s="2674"/>
      <c r="H288" s="2674"/>
      <c r="I288" s="2674"/>
      <c r="J288" s="2674"/>
      <c r="K288" s="2674"/>
      <c r="L288" s="2674"/>
      <c r="M288" s="2674"/>
      <c r="N288" s="2674"/>
      <c r="O288" s="2674"/>
      <c r="P288" s="2674"/>
      <c r="Q288" s="2674"/>
      <c r="R288" s="2674"/>
      <c r="S288" s="2674"/>
      <c r="T288" s="2674"/>
      <c r="U288" s="2674"/>
    </row>
    <row r="289" spans="1:21" ht="11.25" customHeight="1" x14ac:dyDescent="0.2">
      <c r="A289" s="2674"/>
      <c r="B289" s="2674"/>
      <c r="C289" s="2674"/>
      <c r="D289" s="2674"/>
      <c r="E289" s="2674"/>
      <c r="F289" s="2674"/>
      <c r="G289" s="2674"/>
      <c r="H289" s="2674"/>
      <c r="I289" s="2674"/>
      <c r="J289" s="2674"/>
      <c r="K289" s="2674"/>
      <c r="L289" s="2674"/>
      <c r="M289" s="2674"/>
      <c r="N289" s="2674"/>
      <c r="O289" s="2674"/>
      <c r="P289" s="2674"/>
      <c r="Q289" s="2674"/>
      <c r="R289" s="2674"/>
      <c r="S289" s="2674"/>
      <c r="T289" s="2674"/>
      <c r="U289" s="2674"/>
    </row>
    <row r="290" spans="1:21" ht="11.25" customHeight="1" x14ac:dyDescent="0.2">
      <c r="A290" s="2674"/>
      <c r="B290" s="2674"/>
      <c r="C290" s="2674"/>
      <c r="D290" s="2674"/>
      <c r="E290" s="2674"/>
      <c r="F290" s="2674"/>
      <c r="G290" s="2674"/>
      <c r="H290" s="2674"/>
      <c r="I290" s="2674"/>
      <c r="J290" s="2674"/>
      <c r="K290" s="2674"/>
      <c r="L290" s="2674"/>
      <c r="M290" s="2674"/>
      <c r="N290" s="2674"/>
      <c r="O290" s="2674"/>
      <c r="P290" s="2674"/>
      <c r="Q290" s="2674"/>
      <c r="R290" s="2674"/>
      <c r="S290" s="2674"/>
      <c r="T290" s="2674"/>
      <c r="U290" s="2674"/>
    </row>
    <row r="291" spans="1:21" ht="11.25" customHeight="1" x14ac:dyDescent="0.2">
      <c r="A291" s="2674"/>
      <c r="B291" s="2674"/>
      <c r="C291" s="2674"/>
      <c r="D291" s="2674"/>
      <c r="E291" s="2674"/>
      <c r="F291" s="2674"/>
      <c r="G291" s="2674"/>
      <c r="H291" s="2674"/>
      <c r="I291" s="2674"/>
      <c r="J291" s="2674"/>
      <c r="K291" s="2674"/>
      <c r="L291" s="2674"/>
      <c r="M291" s="2674"/>
      <c r="N291" s="2674"/>
      <c r="O291" s="2674"/>
      <c r="P291" s="2674"/>
      <c r="Q291" s="2674"/>
      <c r="R291" s="2674"/>
      <c r="S291" s="2674"/>
      <c r="T291" s="2674"/>
      <c r="U291" s="2674"/>
    </row>
    <row r="292" spans="1:21" ht="11.25" customHeight="1" x14ac:dyDescent="0.2">
      <c r="A292" s="2674"/>
      <c r="B292" s="2674"/>
      <c r="C292" s="2674"/>
      <c r="D292" s="2674"/>
      <c r="E292" s="2674"/>
      <c r="F292" s="2674"/>
      <c r="G292" s="2674"/>
      <c r="H292" s="2674"/>
      <c r="I292" s="2674"/>
      <c r="J292" s="2674"/>
      <c r="K292" s="2674"/>
      <c r="L292" s="2674"/>
      <c r="M292" s="2674"/>
      <c r="N292" s="2674"/>
      <c r="O292" s="2674"/>
      <c r="P292" s="2674"/>
      <c r="Q292" s="2674"/>
      <c r="R292" s="2674"/>
      <c r="S292" s="2674"/>
      <c r="T292" s="2674"/>
      <c r="U292" s="2674"/>
    </row>
    <row r="293" spans="1:21" ht="11.25" customHeight="1" x14ac:dyDescent="0.2">
      <c r="A293" s="2674"/>
      <c r="B293" s="2674"/>
      <c r="C293" s="2674"/>
      <c r="D293" s="2674"/>
      <c r="E293" s="2674"/>
      <c r="F293" s="2674"/>
      <c r="G293" s="2674"/>
      <c r="H293" s="2674"/>
      <c r="I293" s="2674"/>
      <c r="J293" s="2674"/>
      <c r="K293" s="2674"/>
      <c r="L293" s="2674"/>
      <c r="M293" s="2674"/>
      <c r="N293" s="2674"/>
      <c r="O293" s="2674"/>
      <c r="P293" s="2674"/>
      <c r="Q293" s="2674"/>
      <c r="R293" s="2674"/>
      <c r="S293" s="2674"/>
      <c r="T293" s="2674"/>
      <c r="U293" s="2674"/>
    </row>
    <row r="294" spans="1:21" ht="11.25" customHeight="1" x14ac:dyDescent="0.2">
      <c r="A294" s="2674"/>
      <c r="B294" s="2674"/>
      <c r="C294" s="2674"/>
      <c r="D294" s="2674"/>
      <c r="E294" s="2674"/>
      <c r="F294" s="2674"/>
      <c r="G294" s="2674"/>
      <c r="H294" s="2674"/>
      <c r="I294" s="2674"/>
      <c r="J294" s="2674"/>
      <c r="K294" s="2674"/>
      <c r="L294" s="2674"/>
      <c r="M294" s="2674"/>
      <c r="N294" s="2674"/>
      <c r="O294" s="2674"/>
      <c r="P294" s="2674"/>
      <c r="Q294" s="2674"/>
      <c r="R294" s="2674"/>
      <c r="S294" s="2674"/>
      <c r="T294" s="2674"/>
      <c r="U294" s="2674"/>
    </row>
    <row r="295" spans="1:21" ht="11.25" customHeight="1" x14ac:dyDescent="0.2">
      <c r="A295" s="2674"/>
      <c r="B295" s="2674"/>
      <c r="C295" s="2674"/>
      <c r="D295" s="2674"/>
      <c r="E295" s="2674"/>
      <c r="F295" s="2674"/>
      <c r="G295" s="2674"/>
      <c r="H295" s="2674"/>
      <c r="I295" s="2674"/>
      <c r="J295" s="2674"/>
      <c r="K295" s="2674"/>
      <c r="L295" s="2674"/>
      <c r="M295" s="2674"/>
      <c r="N295" s="2674"/>
      <c r="O295" s="2674"/>
      <c r="P295" s="2674"/>
      <c r="Q295" s="2674"/>
      <c r="R295" s="2674"/>
      <c r="S295" s="2674"/>
      <c r="T295" s="2674"/>
      <c r="U295" s="2674"/>
    </row>
    <row r="296" spans="1:21" ht="11.25" customHeight="1" x14ac:dyDescent="0.2">
      <c r="A296" s="2674"/>
      <c r="B296" s="2674"/>
      <c r="C296" s="2674"/>
      <c r="D296" s="2674"/>
      <c r="E296" s="2674"/>
      <c r="F296" s="2674"/>
      <c r="G296" s="2674"/>
      <c r="H296" s="2674"/>
      <c r="I296" s="2674"/>
      <c r="J296" s="2674"/>
      <c r="K296" s="2674"/>
      <c r="L296" s="2674"/>
      <c r="M296" s="2674"/>
      <c r="N296" s="2674"/>
      <c r="O296" s="2674"/>
      <c r="P296" s="2674"/>
      <c r="Q296" s="2674"/>
      <c r="R296" s="2674"/>
      <c r="S296" s="2674"/>
      <c r="T296" s="2674"/>
      <c r="U296" s="2674"/>
    </row>
    <row r="297" spans="1:21" ht="11.25" customHeight="1" x14ac:dyDescent="0.2">
      <c r="A297" s="2674"/>
      <c r="B297" s="2674"/>
      <c r="C297" s="2674"/>
      <c r="D297" s="2674"/>
      <c r="E297" s="2674"/>
      <c r="F297" s="2674"/>
      <c r="G297" s="2674"/>
      <c r="H297" s="2674"/>
      <c r="I297" s="2674"/>
      <c r="J297" s="2674"/>
      <c r="K297" s="2674"/>
      <c r="L297" s="2674"/>
      <c r="M297" s="2674"/>
      <c r="N297" s="2674"/>
      <c r="O297" s="2674"/>
      <c r="P297" s="2674"/>
      <c r="Q297" s="2674"/>
      <c r="R297" s="2674"/>
      <c r="S297" s="2674"/>
      <c r="T297" s="2674"/>
      <c r="U297" s="2674"/>
    </row>
    <row r="298" spans="1:21" ht="11.25" customHeight="1" x14ac:dyDescent="0.2">
      <c r="A298" s="2674"/>
      <c r="B298" s="2674"/>
      <c r="C298" s="2674"/>
      <c r="D298" s="2674"/>
      <c r="E298" s="2674"/>
      <c r="F298" s="2674"/>
      <c r="G298" s="2674"/>
      <c r="H298" s="2674"/>
      <c r="I298" s="2674"/>
      <c r="J298" s="2674"/>
      <c r="K298" s="2674"/>
      <c r="L298" s="2674"/>
      <c r="M298" s="2674"/>
      <c r="N298" s="2674"/>
      <c r="O298" s="2674"/>
      <c r="P298" s="2674"/>
      <c r="Q298" s="2674"/>
      <c r="R298" s="2674"/>
      <c r="S298" s="2674"/>
      <c r="T298" s="2674"/>
      <c r="U298" s="2674"/>
    </row>
    <row r="299" spans="1:21" ht="11.25" customHeight="1" x14ac:dyDescent="0.2">
      <c r="A299" s="2674"/>
      <c r="B299" s="2674"/>
      <c r="C299" s="2674"/>
      <c r="D299" s="2674"/>
      <c r="E299" s="2674"/>
      <c r="F299" s="2674"/>
      <c r="G299" s="2674"/>
      <c r="H299" s="2674"/>
      <c r="I299" s="2674"/>
      <c r="J299" s="2674"/>
      <c r="K299" s="2674"/>
      <c r="L299" s="2674"/>
      <c r="M299" s="2674"/>
      <c r="N299" s="2674"/>
      <c r="O299" s="2674"/>
      <c r="P299" s="2674"/>
      <c r="Q299" s="2674"/>
      <c r="R299" s="2674"/>
      <c r="S299" s="2674"/>
      <c r="T299" s="2674"/>
      <c r="U299" s="2674"/>
    </row>
    <row r="300" spans="1:21" ht="11.25" customHeight="1" x14ac:dyDescent="0.2">
      <c r="A300" s="2674"/>
      <c r="B300" s="2674"/>
      <c r="C300" s="2674"/>
      <c r="D300" s="2674"/>
      <c r="E300" s="2674"/>
      <c r="F300" s="2674"/>
      <c r="G300" s="2674"/>
      <c r="H300" s="2674"/>
      <c r="I300" s="2674"/>
      <c r="J300" s="2674"/>
      <c r="K300" s="2674"/>
      <c r="L300" s="2674"/>
      <c r="M300" s="2674"/>
      <c r="N300" s="2674"/>
      <c r="O300" s="2674"/>
      <c r="P300" s="2674"/>
      <c r="Q300" s="2674"/>
      <c r="R300" s="2674"/>
      <c r="S300" s="2674"/>
      <c r="T300" s="2674"/>
      <c r="U300" s="2674"/>
    </row>
    <row r="301" spans="1:21" ht="11.25" customHeight="1" x14ac:dyDescent="0.2">
      <c r="A301" s="2674"/>
      <c r="B301" s="2674"/>
      <c r="C301" s="2674"/>
      <c r="D301" s="2674"/>
      <c r="E301" s="2674"/>
      <c r="F301" s="2674"/>
      <c r="G301" s="2674"/>
      <c r="H301" s="2674"/>
      <c r="I301" s="2674"/>
      <c r="J301" s="2674"/>
      <c r="K301" s="2674"/>
      <c r="L301" s="2674"/>
      <c r="M301" s="2674"/>
      <c r="N301" s="2674"/>
      <c r="O301" s="2674"/>
      <c r="P301" s="2674"/>
      <c r="Q301" s="2674"/>
      <c r="R301" s="2674"/>
      <c r="S301" s="2674"/>
      <c r="T301" s="2674"/>
      <c r="U301" s="2674"/>
    </row>
    <row r="302" spans="1:21" ht="11.25" customHeight="1" x14ac:dyDescent="0.2">
      <c r="A302" s="2674"/>
      <c r="B302" s="2674"/>
      <c r="C302" s="2674"/>
      <c r="D302" s="2674"/>
      <c r="E302" s="2674"/>
      <c r="F302" s="2674"/>
      <c r="G302" s="2674"/>
      <c r="H302" s="2674"/>
      <c r="I302" s="2674"/>
      <c r="J302" s="2674"/>
      <c r="K302" s="2674"/>
      <c r="L302" s="2674"/>
      <c r="M302" s="2674"/>
      <c r="N302" s="2674"/>
      <c r="O302" s="2674"/>
      <c r="P302" s="2674"/>
      <c r="Q302" s="2674"/>
      <c r="R302" s="2674"/>
      <c r="S302" s="2674"/>
      <c r="T302" s="2674"/>
      <c r="U302" s="2674"/>
    </row>
    <row r="303" spans="1:21" ht="11.25" customHeight="1" x14ac:dyDescent="0.2">
      <c r="A303" s="2674"/>
      <c r="B303" s="2674"/>
      <c r="C303" s="2674"/>
      <c r="D303" s="2674"/>
      <c r="E303" s="2674"/>
      <c r="F303" s="2674"/>
      <c r="G303" s="2674"/>
      <c r="H303" s="2674"/>
      <c r="I303" s="2674"/>
      <c r="J303" s="2674"/>
      <c r="K303" s="2674"/>
      <c r="L303" s="2674"/>
      <c r="M303" s="2674"/>
      <c r="N303" s="2674"/>
      <c r="O303" s="2674"/>
      <c r="P303" s="2674"/>
      <c r="Q303" s="2674"/>
      <c r="R303" s="2674"/>
      <c r="S303" s="2674"/>
      <c r="T303" s="2674"/>
      <c r="U303" s="2674"/>
    </row>
    <row r="304" spans="1:21" ht="11.25" customHeight="1" x14ac:dyDescent="0.2">
      <c r="A304" s="2674"/>
      <c r="B304" s="2674"/>
      <c r="C304" s="2674"/>
      <c r="D304" s="2674"/>
      <c r="E304" s="2674"/>
      <c r="F304" s="2674"/>
      <c r="G304" s="2674"/>
      <c r="H304" s="2674"/>
      <c r="I304" s="2674"/>
      <c r="J304" s="2674"/>
      <c r="K304" s="2674"/>
      <c r="L304" s="2674"/>
      <c r="M304" s="2674"/>
      <c r="N304" s="2674"/>
      <c r="O304" s="2674"/>
      <c r="P304" s="2674"/>
      <c r="Q304" s="2674"/>
      <c r="R304" s="2674"/>
      <c r="S304" s="2674"/>
      <c r="T304" s="2674"/>
      <c r="U304" s="2674"/>
    </row>
    <row r="305" spans="1:21" ht="11.25" customHeight="1" x14ac:dyDescent="0.2">
      <c r="A305" s="2674"/>
      <c r="B305" s="2674"/>
      <c r="C305" s="2674"/>
      <c r="D305" s="2674"/>
      <c r="E305" s="2674"/>
      <c r="F305" s="2674"/>
      <c r="G305" s="2674"/>
      <c r="H305" s="2674"/>
      <c r="I305" s="2674"/>
      <c r="J305" s="2674"/>
      <c r="K305" s="2674"/>
      <c r="L305" s="2674"/>
      <c r="M305" s="2674"/>
      <c r="N305" s="2674"/>
      <c r="O305" s="2674"/>
      <c r="P305" s="2674"/>
      <c r="Q305" s="2674"/>
      <c r="R305" s="2674"/>
      <c r="S305" s="2674"/>
      <c r="T305" s="2674"/>
      <c r="U305" s="2674"/>
    </row>
    <row r="306" spans="1:21" ht="11.25" customHeight="1" x14ac:dyDescent="0.2">
      <c r="A306" s="2674"/>
      <c r="B306" s="2674"/>
      <c r="C306" s="2674"/>
      <c r="D306" s="2674"/>
      <c r="E306" s="2674"/>
      <c r="F306" s="2674"/>
      <c r="G306" s="2674"/>
      <c r="H306" s="2674"/>
      <c r="I306" s="2674"/>
      <c r="J306" s="2674"/>
      <c r="K306" s="2674"/>
      <c r="L306" s="2674"/>
      <c r="M306" s="2674"/>
      <c r="N306" s="2674"/>
      <c r="O306" s="2674"/>
      <c r="P306" s="2674"/>
      <c r="Q306" s="2674"/>
      <c r="R306" s="2674"/>
      <c r="S306" s="2674"/>
      <c r="T306" s="2674"/>
      <c r="U306" s="2674"/>
    </row>
    <row r="307" spans="1:21" ht="11.25" customHeight="1" x14ac:dyDescent="0.2">
      <c r="A307" s="2674"/>
      <c r="B307" s="2674"/>
      <c r="C307" s="2674"/>
      <c r="D307" s="2674"/>
      <c r="E307" s="2674"/>
      <c r="F307" s="2674"/>
      <c r="G307" s="2674"/>
      <c r="H307" s="2674"/>
      <c r="I307" s="2674"/>
      <c r="J307" s="2674"/>
      <c r="K307" s="2674"/>
      <c r="L307" s="2674"/>
      <c r="M307" s="2674"/>
      <c r="N307" s="2674"/>
      <c r="O307" s="2674"/>
      <c r="P307" s="2674"/>
      <c r="Q307" s="2674"/>
      <c r="R307" s="2674"/>
      <c r="S307" s="2674"/>
      <c r="T307" s="2674"/>
      <c r="U307" s="2674"/>
    </row>
    <row r="308" spans="1:21" ht="11.25" customHeight="1" x14ac:dyDescent="0.2">
      <c r="A308" s="2674"/>
      <c r="B308" s="2674"/>
      <c r="C308" s="2674"/>
      <c r="D308" s="2674"/>
      <c r="E308" s="2674"/>
      <c r="F308" s="2674"/>
      <c r="G308" s="2674"/>
      <c r="H308" s="2674"/>
      <c r="I308" s="2674"/>
      <c r="J308" s="2674"/>
      <c r="K308" s="2674"/>
      <c r="L308" s="2674"/>
      <c r="M308" s="2674"/>
      <c r="N308" s="2674"/>
      <c r="O308" s="2674"/>
      <c r="P308" s="2674"/>
      <c r="Q308" s="2674"/>
      <c r="R308" s="2674"/>
      <c r="S308" s="2674"/>
      <c r="T308" s="2674"/>
      <c r="U308" s="2674"/>
    </row>
    <row r="309" spans="1:21" ht="11.25" customHeight="1" x14ac:dyDescent="0.2">
      <c r="A309" s="2674"/>
      <c r="B309" s="2674"/>
      <c r="C309" s="2674"/>
      <c r="D309" s="2674"/>
      <c r="E309" s="2674"/>
      <c r="F309" s="2674"/>
      <c r="G309" s="2674"/>
      <c r="H309" s="2674"/>
      <c r="I309" s="2674"/>
      <c r="J309" s="2674"/>
      <c r="K309" s="2674"/>
      <c r="L309" s="2674"/>
      <c r="M309" s="2674"/>
      <c r="N309" s="2674"/>
      <c r="O309" s="2674"/>
      <c r="P309" s="2674"/>
      <c r="Q309" s="2674"/>
      <c r="R309" s="2674"/>
      <c r="S309" s="2674"/>
      <c r="T309" s="2674"/>
      <c r="U309" s="2674"/>
    </row>
    <row r="310" spans="1:21" ht="11.25" customHeight="1" x14ac:dyDescent="0.2">
      <c r="A310" s="2674"/>
      <c r="B310" s="2674"/>
      <c r="C310" s="2674"/>
      <c r="D310" s="2674"/>
      <c r="E310" s="2674"/>
      <c r="F310" s="2674"/>
      <c r="G310" s="2674"/>
      <c r="H310" s="2674"/>
      <c r="I310" s="2674"/>
      <c r="J310" s="2674"/>
      <c r="K310" s="2674"/>
      <c r="L310" s="2674"/>
      <c r="M310" s="2674"/>
      <c r="N310" s="2674"/>
      <c r="O310" s="2674"/>
      <c r="P310" s="2674"/>
      <c r="Q310" s="2674"/>
      <c r="R310" s="2674"/>
      <c r="S310" s="2674"/>
      <c r="T310" s="2674"/>
      <c r="U310" s="2674"/>
    </row>
    <row r="311" spans="1:21" ht="11.25" customHeight="1" x14ac:dyDescent="0.2">
      <c r="A311" s="2674"/>
      <c r="B311" s="2674"/>
      <c r="C311" s="2674"/>
      <c r="D311" s="2674"/>
      <c r="E311" s="2674"/>
      <c r="F311" s="2674"/>
      <c r="G311" s="2674"/>
      <c r="H311" s="2674"/>
      <c r="I311" s="2674"/>
      <c r="J311" s="2674"/>
      <c r="K311" s="2674"/>
      <c r="L311" s="2674"/>
      <c r="M311" s="2674"/>
      <c r="N311" s="2674"/>
      <c r="O311" s="2674"/>
      <c r="P311" s="2674"/>
      <c r="Q311" s="2674"/>
      <c r="R311" s="2674"/>
      <c r="S311" s="2674"/>
      <c r="T311" s="2674"/>
      <c r="U311" s="2674"/>
    </row>
    <row r="312" spans="1:21" ht="11.25" customHeight="1" x14ac:dyDescent="0.2">
      <c r="A312" s="2674"/>
      <c r="B312" s="2674"/>
      <c r="C312" s="2674"/>
      <c r="D312" s="2674"/>
      <c r="E312" s="2674"/>
      <c r="F312" s="2674"/>
      <c r="G312" s="2674"/>
      <c r="H312" s="2674"/>
      <c r="I312" s="2674"/>
      <c r="J312" s="2674"/>
      <c r="K312" s="2674"/>
      <c r="L312" s="2674"/>
      <c r="M312" s="2674"/>
      <c r="N312" s="2674"/>
      <c r="O312" s="2674"/>
      <c r="P312" s="2674"/>
      <c r="Q312" s="2674"/>
      <c r="R312" s="2674"/>
      <c r="S312" s="2674"/>
      <c r="T312" s="2674"/>
      <c r="U312" s="2674"/>
    </row>
    <row r="313" spans="1:21" ht="11.25" customHeight="1" x14ac:dyDescent="0.2">
      <c r="A313" s="2674"/>
      <c r="B313" s="2674"/>
      <c r="C313" s="2674"/>
      <c r="D313" s="2674"/>
      <c r="E313" s="2674"/>
      <c r="F313" s="2674"/>
      <c r="G313" s="2674"/>
      <c r="H313" s="2674"/>
      <c r="I313" s="2674"/>
      <c r="J313" s="2674"/>
      <c r="K313" s="2674"/>
      <c r="L313" s="2674"/>
      <c r="M313" s="2674"/>
      <c r="N313" s="2674"/>
      <c r="O313" s="2674"/>
      <c r="P313" s="2674"/>
      <c r="Q313" s="2674"/>
      <c r="R313" s="2674"/>
      <c r="S313" s="2674"/>
      <c r="T313" s="2674"/>
      <c r="U313" s="2674"/>
    </row>
    <row r="314" spans="1:21" ht="11.25" customHeight="1" x14ac:dyDescent="0.2">
      <c r="A314" s="2674"/>
      <c r="B314" s="2674"/>
      <c r="C314" s="2674"/>
      <c r="D314" s="2674"/>
      <c r="E314" s="2674"/>
      <c r="F314" s="2674"/>
      <c r="G314" s="2674"/>
      <c r="H314" s="2674"/>
      <c r="I314" s="2674"/>
      <c r="J314" s="2674"/>
      <c r="K314" s="2674"/>
      <c r="L314" s="2674"/>
      <c r="M314" s="2674"/>
      <c r="N314" s="2674"/>
      <c r="O314" s="2674"/>
      <c r="P314" s="2674"/>
      <c r="Q314" s="2674"/>
      <c r="R314" s="2674"/>
      <c r="S314" s="2674"/>
      <c r="T314" s="2674"/>
      <c r="U314" s="2674"/>
    </row>
    <row r="315" spans="1:21" ht="11.25" customHeight="1" x14ac:dyDescent="0.2">
      <c r="A315" s="2674"/>
      <c r="B315" s="2674"/>
      <c r="C315" s="2674"/>
      <c r="D315" s="2674"/>
      <c r="E315" s="2674"/>
      <c r="F315" s="2674"/>
      <c r="G315" s="2674"/>
      <c r="H315" s="2674"/>
      <c r="I315" s="2674"/>
      <c r="J315" s="2674"/>
      <c r="K315" s="2674"/>
      <c r="L315" s="2674"/>
      <c r="M315" s="2674"/>
      <c r="N315" s="2674"/>
      <c r="O315" s="2674"/>
      <c r="P315" s="2674"/>
      <c r="Q315" s="2674"/>
      <c r="R315" s="2674"/>
      <c r="S315" s="2674"/>
      <c r="T315" s="2674"/>
      <c r="U315" s="2674"/>
    </row>
    <row r="316" spans="1:21" ht="11.25" customHeight="1" x14ac:dyDescent="0.2">
      <c r="A316" s="2674"/>
      <c r="B316" s="2674"/>
      <c r="C316" s="2674"/>
      <c r="D316" s="2674"/>
      <c r="E316" s="2674"/>
      <c r="F316" s="2674"/>
      <c r="G316" s="2674"/>
      <c r="H316" s="2674"/>
      <c r="I316" s="2674"/>
      <c r="J316" s="2674"/>
      <c r="K316" s="2674"/>
      <c r="L316" s="2674"/>
      <c r="M316" s="2674"/>
      <c r="N316" s="2674"/>
      <c r="O316" s="2674"/>
      <c r="P316" s="2674"/>
      <c r="Q316" s="2674"/>
      <c r="R316" s="2674"/>
      <c r="S316" s="2674"/>
      <c r="T316" s="2674"/>
      <c r="U316" s="2674"/>
    </row>
    <row r="317" spans="1:21" ht="11.25" customHeight="1" x14ac:dyDescent="0.2">
      <c r="A317" s="2674"/>
      <c r="B317" s="2674"/>
      <c r="C317" s="2674"/>
      <c r="D317" s="2674"/>
      <c r="E317" s="2674"/>
      <c r="F317" s="2674"/>
      <c r="G317" s="2674"/>
      <c r="H317" s="2674"/>
      <c r="I317" s="2674"/>
      <c r="J317" s="2674"/>
      <c r="K317" s="2674"/>
      <c r="L317" s="2674"/>
      <c r="M317" s="2674"/>
      <c r="N317" s="2674"/>
      <c r="O317" s="2674"/>
      <c r="P317" s="2674"/>
      <c r="Q317" s="2674"/>
      <c r="R317" s="2674"/>
      <c r="S317" s="2674"/>
      <c r="T317" s="2674"/>
      <c r="U317" s="2674"/>
    </row>
    <row r="318" spans="1:21" ht="11.25" customHeight="1" x14ac:dyDescent="0.2">
      <c r="A318" s="2674"/>
      <c r="B318" s="2674"/>
      <c r="C318" s="2674"/>
      <c r="D318" s="2674"/>
      <c r="E318" s="2674"/>
      <c r="F318" s="2674"/>
      <c r="G318" s="2674"/>
      <c r="H318" s="2674"/>
      <c r="I318" s="2674"/>
      <c r="J318" s="2674"/>
      <c r="K318" s="2674"/>
      <c r="L318" s="2674"/>
      <c r="M318" s="2674"/>
      <c r="N318" s="2674"/>
      <c r="O318" s="2674"/>
      <c r="P318" s="2674"/>
      <c r="Q318" s="2674"/>
      <c r="R318" s="2674"/>
      <c r="S318" s="2674"/>
      <c r="T318" s="2674"/>
      <c r="U318" s="2674"/>
    </row>
    <row r="319" spans="1:21" ht="11.25" customHeight="1" x14ac:dyDescent="0.2">
      <c r="A319" s="2674"/>
      <c r="B319" s="2674"/>
      <c r="C319" s="2674"/>
      <c r="D319" s="2674"/>
      <c r="E319" s="2674"/>
      <c r="F319" s="2674"/>
      <c r="G319" s="2674"/>
      <c r="H319" s="2674"/>
      <c r="I319" s="2674"/>
      <c r="J319" s="2674"/>
      <c r="K319" s="2674"/>
      <c r="L319" s="2674"/>
      <c r="M319" s="2674"/>
      <c r="N319" s="2674"/>
      <c r="O319" s="2674"/>
      <c r="P319" s="2674"/>
      <c r="Q319" s="2674"/>
      <c r="R319" s="2674"/>
      <c r="S319" s="2674"/>
      <c r="T319" s="2674"/>
      <c r="U319" s="2674"/>
    </row>
    <row r="320" spans="1:21" ht="11.25" customHeight="1" x14ac:dyDescent="0.2">
      <c r="A320" s="2674"/>
      <c r="B320" s="2674"/>
      <c r="C320" s="2674"/>
      <c r="D320" s="2674"/>
      <c r="E320" s="2674"/>
      <c r="F320" s="2674"/>
      <c r="G320" s="2674"/>
      <c r="H320" s="2674"/>
      <c r="I320" s="2674"/>
      <c r="J320" s="2674"/>
      <c r="K320" s="2674"/>
      <c r="L320" s="2674"/>
      <c r="M320" s="2674"/>
      <c r="N320" s="2674"/>
      <c r="O320" s="2674"/>
      <c r="P320" s="2674"/>
      <c r="Q320" s="2674"/>
      <c r="R320" s="2674"/>
      <c r="S320" s="2674"/>
      <c r="T320" s="2674"/>
      <c r="U320" s="2674"/>
    </row>
    <row r="321" spans="1:21" ht="11.25" customHeight="1" x14ac:dyDescent="0.2">
      <c r="A321" s="2674"/>
      <c r="B321" s="2674"/>
      <c r="C321" s="2674"/>
      <c r="D321" s="2674"/>
      <c r="E321" s="2674"/>
      <c r="F321" s="2674"/>
      <c r="G321" s="2674"/>
      <c r="H321" s="2674"/>
      <c r="I321" s="2674"/>
      <c r="J321" s="2674"/>
      <c r="K321" s="2674"/>
      <c r="L321" s="2674"/>
      <c r="M321" s="2674"/>
      <c r="N321" s="2674"/>
      <c r="O321" s="2674"/>
      <c r="P321" s="2674"/>
      <c r="Q321" s="2674"/>
      <c r="R321" s="2674"/>
      <c r="S321" s="2674"/>
      <c r="T321" s="2674"/>
      <c r="U321" s="2674"/>
    </row>
    <row r="322" spans="1:21" ht="11.25" customHeight="1" x14ac:dyDescent="0.2">
      <c r="A322" s="2674"/>
      <c r="B322" s="2674"/>
      <c r="C322" s="2674"/>
      <c r="D322" s="2674"/>
      <c r="E322" s="2674"/>
      <c r="F322" s="2674"/>
      <c r="G322" s="2674"/>
      <c r="H322" s="2674"/>
      <c r="I322" s="2674"/>
      <c r="J322" s="2674"/>
      <c r="K322" s="2674"/>
      <c r="L322" s="2674"/>
      <c r="M322" s="2674"/>
      <c r="N322" s="2674"/>
      <c r="O322" s="2674"/>
      <c r="P322" s="2674"/>
      <c r="Q322" s="2674"/>
      <c r="R322" s="2674"/>
      <c r="S322" s="2674"/>
      <c r="T322" s="2674"/>
      <c r="U322" s="2674"/>
    </row>
    <row r="323" spans="1:21" ht="11.25" customHeight="1" x14ac:dyDescent="0.2">
      <c r="A323" s="2674"/>
      <c r="B323" s="2674"/>
      <c r="C323" s="2674"/>
      <c r="D323" s="2674"/>
      <c r="E323" s="2674"/>
      <c r="F323" s="2674"/>
      <c r="G323" s="2674"/>
      <c r="H323" s="2674"/>
      <c r="I323" s="2674"/>
      <c r="J323" s="2674"/>
      <c r="K323" s="2674"/>
      <c r="L323" s="2674"/>
      <c r="M323" s="2674"/>
      <c r="N323" s="2674"/>
      <c r="O323" s="2674"/>
      <c r="P323" s="2674"/>
      <c r="Q323" s="2674"/>
      <c r="R323" s="2674"/>
      <c r="S323" s="2674"/>
      <c r="T323" s="2674"/>
      <c r="U323" s="2674"/>
    </row>
    <row r="324" spans="1:21" ht="11.25" customHeight="1" x14ac:dyDescent="0.2">
      <c r="A324" s="2674"/>
      <c r="B324" s="2674"/>
      <c r="C324" s="2674"/>
      <c r="D324" s="2674"/>
      <c r="E324" s="2674"/>
      <c r="F324" s="2674"/>
      <c r="G324" s="2674"/>
      <c r="H324" s="2674"/>
      <c r="I324" s="2674"/>
      <c r="J324" s="2674"/>
      <c r="K324" s="2674"/>
      <c r="L324" s="2674"/>
      <c r="M324" s="2674"/>
      <c r="N324" s="2674"/>
      <c r="O324" s="2674"/>
      <c r="P324" s="2674"/>
      <c r="Q324" s="2674"/>
      <c r="R324" s="2674"/>
      <c r="S324" s="2674"/>
      <c r="T324" s="2674"/>
      <c r="U324" s="2674"/>
    </row>
    <row r="325" spans="1:21" ht="11.25" customHeight="1" x14ac:dyDescent="0.2">
      <c r="A325" s="2674"/>
      <c r="B325" s="2674"/>
      <c r="C325" s="2674"/>
      <c r="D325" s="2674"/>
      <c r="E325" s="2674"/>
      <c r="F325" s="2674"/>
      <c r="G325" s="2674"/>
      <c r="H325" s="2674"/>
      <c r="I325" s="2674"/>
      <c r="J325" s="2674"/>
      <c r="K325" s="2674"/>
      <c r="L325" s="2674"/>
      <c r="M325" s="2674"/>
      <c r="N325" s="2674"/>
      <c r="O325" s="2674"/>
      <c r="P325" s="2674"/>
      <c r="Q325" s="2674"/>
      <c r="R325" s="2674"/>
      <c r="S325" s="2674"/>
      <c r="T325" s="2674"/>
      <c r="U325" s="2674"/>
    </row>
    <row r="326" spans="1:21" ht="11.25" customHeight="1" x14ac:dyDescent="0.2">
      <c r="A326" s="2674"/>
      <c r="B326" s="2674"/>
      <c r="C326" s="2674"/>
      <c r="D326" s="2674"/>
      <c r="E326" s="2674"/>
      <c r="F326" s="2674"/>
      <c r="G326" s="2674"/>
      <c r="H326" s="2674"/>
      <c r="I326" s="2674"/>
      <c r="J326" s="2674"/>
      <c r="K326" s="2674"/>
      <c r="L326" s="2674"/>
      <c r="M326" s="2674"/>
      <c r="N326" s="2674"/>
      <c r="O326" s="2674"/>
      <c r="P326" s="2674"/>
      <c r="Q326" s="2674"/>
      <c r="R326" s="2674"/>
      <c r="S326" s="2674"/>
      <c r="T326" s="2674"/>
      <c r="U326" s="2674"/>
    </row>
    <row r="327" spans="1:21" ht="11.25" customHeight="1" x14ac:dyDescent="0.2">
      <c r="A327" s="2674"/>
      <c r="B327" s="2674"/>
      <c r="C327" s="2674"/>
      <c r="D327" s="2674"/>
      <c r="E327" s="2674"/>
      <c r="F327" s="2674"/>
      <c r="G327" s="2674"/>
      <c r="H327" s="2674"/>
      <c r="I327" s="2674"/>
      <c r="J327" s="2674"/>
      <c r="K327" s="2674"/>
      <c r="L327" s="2674"/>
      <c r="M327" s="2674"/>
      <c r="N327" s="2674"/>
      <c r="O327" s="2674"/>
      <c r="P327" s="2674"/>
      <c r="Q327" s="2674"/>
      <c r="R327" s="2674"/>
      <c r="S327" s="2674"/>
      <c r="T327" s="2674"/>
      <c r="U327" s="2674"/>
    </row>
    <row r="328" spans="1:21" ht="11.25" customHeight="1" x14ac:dyDescent="0.2">
      <c r="A328" s="2674"/>
      <c r="B328" s="2674"/>
      <c r="C328" s="2674"/>
      <c r="D328" s="2674"/>
      <c r="E328" s="2674"/>
      <c r="F328" s="2674"/>
      <c r="G328" s="2674"/>
      <c r="H328" s="2674"/>
      <c r="I328" s="2674"/>
      <c r="J328" s="2674"/>
      <c r="K328" s="2674"/>
      <c r="L328" s="2674"/>
      <c r="M328" s="2674"/>
      <c r="N328" s="2674"/>
      <c r="O328" s="2674"/>
      <c r="P328" s="2674"/>
      <c r="Q328" s="2674"/>
      <c r="R328" s="2674"/>
      <c r="S328" s="2674"/>
      <c r="T328" s="2674"/>
      <c r="U328" s="2674"/>
    </row>
    <row r="329" spans="1:21" ht="11.25" customHeight="1" x14ac:dyDescent="0.2">
      <c r="A329" s="2674"/>
      <c r="B329" s="2674"/>
      <c r="C329" s="2674"/>
      <c r="D329" s="2674"/>
      <c r="E329" s="2674"/>
      <c r="F329" s="2674"/>
      <c r="G329" s="2674"/>
      <c r="H329" s="2674"/>
      <c r="I329" s="2674"/>
      <c r="J329" s="2674"/>
      <c r="K329" s="2674"/>
      <c r="L329" s="2674"/>
      <c r="M329" s="2674"/>
      <c r="N329" s="2674"/>
      <c r="O329" s="2674"/>
      <c r="P329" s="2674"/>
      <c r="Q329" s="2674"/>
      <c r="R329" s="2674"/>
      <c r="S329" s="2674"/>
      <c r="T329" s="2674"/>
      <c r="U329" s="2674"/>
    </row>
    <row r="330" spans="1:21" ht="11.25" customHeight="1" x14ac:dyDescent="0.2">
      <c r="A330" s="2674"/>
      <c r="B330" s="2674"/>
      <c r="C330" s="2674"/>
      <c r="D330" s="2674"/>
      <c r="E330" s="2674"/>
      <c r="F330" s="2674"/>
      <c r="G330" s="2674"/>
      <c r="H330" s="2674"/>
      <c r="I330" s="2674"/>
      <c r="J330" s="2674"/>
      <c r="K330" s="2674"/>
      <c r="L330" s="2674"/>
      <c r="M330" s="2674"/>
      <c r="N330" s="2674"/>
      <c r="O330" s="2674"/>
      <c r="P330" s="2674"/>
      <c r="Q330" s="2674"/>
      <c r="R330" s="2674"/>
      <c r="S330" s="2674"/>
      <c r="T330" s="2674"/>
      <c r="U330" s="2674"/>
    </row>
    <row r="331" spans="1:21" ht="11.25" customHeight="1" x14ac:dyDescent="0.2">
      <c r="A331" s="2674"/>
      <c r="B331" s="2674"/>
      <c r="C331" s="2674"/>
      <c r="D331" s="2674"/>
      <c r="E331" s="2674"/>
      <c r="F331" s="2674"/>
      <c r="G331" s="2674"/>
      <c r="H331" s="2674"/>
      <c r="I331" s="2674"/>
      <c r="J331" s="2674"/>
      <c r="K331" s="2674"/>
      <c r="L331" s="2674"/>
      <c r="M331" s="2674"/>
      <c r="N331" s="2674"/>
      <c r="O331" s="2674"/>
      <c r="P331" s="2674"/>
      <c r="Q331" s="2674"/>
      <c r="R331" s="2674"/>
      <c r="S331" s="2674"/>
      <c r="T331" s="2674"/>
      <c r="U331" s="2674"/>
    </row>
    <row r="332" spans="1:21" ht="11.25" customHeight="1" x14ac:dyDescent="0.2">
      <c r="A332" s="2674"/>
      <c r="B332" s="2674"/>
      <c r="C332" s="2674"/>
      <c r="D332" s="2674"/>
      <c r="E332" s="2674"/>
      <c r="F332" s="2674"/>
      <c r="G332" s="2674"/>
      <c r="H332" s="2674"/>
      <c r="I332" s="2674"/>
      <c r="J332" s="2674"/>
      <c r="K332" s="2674"/>
      <c r="L332" s="2674"/>
      <c r="M332" s="2674"/>
      <c r="N332" s="2674"/>
      <c r="O332" s="2674"/>
      <c r="P332" s="2674"/>
      <c r="Q332" s="2674"/>
      <c r="R332" s="2674"/>
      <c r="S332" s="2674"/>
      <c r="T332" s="2674"/>
      <c r="U332" s="2674"/>
    </row>
    <row r="333" spans="1:21" ht="11.25" customHeight="1" x14ac:dyDescent="0.2">
      <c r="A333" s="2674"/>
      <c r="B333" s="2674"/>
      <c r="C333" s="2674"/>
      <c r="D333" s="2674"/>
      <c r="E333" s="2674"/>
      <c r="F333" s="2674"/>
      <c r="G333" s="2674"/>
      <c r="H333" s="2674"/>
      <c r="I333" s="2674"/>
      <c r="J333" s="2674"/>
      <c r="K333" s="2674"/>
      <c r="L333" s="2674"/>
      <c r="M333" s="2674"/>
      <c r="N333" s="2674"/>
      <c r="O333" s="2674"/>
      <c r="P333" s="2674"/>
      <c r="Q333" s="2674"/>
      <c r="R333" s="2674"/>
      <c r="S333" s="2674"/>
      <c r="T333" s="2674"/>
      <c r="U333" s="2674"/>
    </row>
    <row r="334" spans="1:21" ht="11.25" customHeight="1" x14ac:dyDescent="0.2">
      <c r="A334" s="2674"/>
      <c r="B334" s="2674"/>
      <c r="C334" s="2674"/>
      <c r="D334" s="2674"/>
      <c r="E334" s="2674"/>
      <c r="F334" s="2674"/>
      <c r="G334" s="2674"/>
      <c r="H334" s="2674"/>
      <c r="I334" s="2674"/>
      <c r="J334" s="2674"/>
      <c r="K334" s="2674"/>
      <c r="L334" s="2674"/>
      <c r="M334" s="2674"/>
      <c r="N334" s="2674"/>
      <c r="O334" s="2674"/>
      <c r="P334" s="2674"/>
      <c r="Q334" s="2674"/>
      <c r="R334" s="2674"/>
      <c r="S334" s="2674"/>
      <c r="T334" s="2674"/>
      <c r="U334" s="2674"/>
    </row>
    <row r="335" spans="1:21" ht="11.25" customHeight="1" x14ac:dyDescent="0.2">
      <c r="A335" s="2674"/>
      <c r="B335" s="2674"/>
      <c r="C335" s="2674"/>
      <c r="D335" s="2674"/>
      <c r="E335" s="2674"/>
      <c r="F335" s="2674"/>
      <c r="G335" s="2674"/>
      <c r="H335" s="2674"/>
      <c r="I335" s="2674"/>
      <c r="J335" s="2674"/>
      <c r="K335" s="2674"/>
      <c r="L335" s="2674"/>
      <c r="M335" s="2674"/>
      <c r="N335" s="2674"/>
      <c r="O335" s="2674"/>
      <c r="P335" s="2674"/>
      <c r="Q335" s="2674"/>
      <c r="R335" s="2674"/>
      <c r="S335" s="2674"/>
      <c r="T335" s="2674"/>
      <c r="U335" s="2674"/>
    </row>
    <row r="336" spans="1:21" ht="11.25" customHeight="1" x14ac:dyDescent="0.2">
      <c r="A336" s="2674"/>
      <c r="B336" s="2674"/>
      <c r="C336" s="2674"/>
      <c r="D336" s="2674"/>
      <c r="E336" s="2674"/>
      <c r="F336" s="2674"/>
      <c r="G336" s="2674"/>
      <c r="H336" s="2674"/>
      <c r="I336" s="2674"/>
      <c r="J336" s="2674"/>
      <c r="K336" s="2674"/>
      <c r="L336" s="2674"/>
      <c r="M336" s="2674"/>
      <c r="N336" s="2674"/>
      <c r="O336" s="2674"/>
      <c r="P336" s="2674"/>
      <c r="Q336" s="2674"/>
      <c r="R336" s="2674"/>
      <c r="S336" s="2674"/>
      <c r="T336" s="2674"/>
      <c r="U336" s="2674"/>
    </row>
    <row r="337" spans="1:21" ht="11.25" customHeight="1" x14ac:dyDescent="0.2">
      <c r="A337" s="2674"/>
      <c r="B337" s="2674"/>
      <c r="C337" s="2674"/>
      <c r="D337" s="2674"/>
      <c r="E337" s="2674"/>
      <c r="F337" s="2674"/>
      <c r="G337" s="2674"/>
      <c r="H337" s="2674"/>
      <c r="I337" s="2674"/>
      <c r="J337" s="2674"/>
      <c r="K337" s="2674"/>
      <c r="L337" s="2674"/>
      <c r="M337" s="2674"/>
      <c r="N337" s="2674"/>
      <c r="O337" s="2674"/>
      <c r="P337" s="2674"/>
      <c r="Q337" s="2674"/>
      <c r="R337" s="2674"/>
      <c r="S337" s="2674"/>
      <c r="T337" s="2674"/>
      <c r="U337" s="2674"/>
    </row>
    <row r="338" spans="1:21" ht="11.25" customHeight="1" x14ac:dyDescent="0.2">
      <c r="A338" s="2674"/>
      <c r="B338" s="2674"/>
      <c r="C338" s="2674"/>
      <c r="D338" s="2674"/>
      <c r="E338" s="2674"/>
      <c r="F338" s="2674"/>
      <c r="G338" s="2674"/>
      <c r="H338" s="2674"/>
      <c r="I338" s="2674"/>
      <c r="J338" s="2674"/>
      <c r="K338" s="2674"/>
      <c r="L338" s="2674"/>
      <c r="M338" s="2674"/>
      <c r="N338" s="2674"/>
      <c r="O338" s="2674"/>
      <c r="P338" s="2674"/>
      <c r="Q338" s="2674"/>
      <c r="R338" s="2674"/>
      <c r="S338" s="2674"/>
      <c r="T338" s="2674"/>
      <c r="U338" s="2674"/>
    </row>
    <row r="339" spans="1:21" ht="11.25" customHeight="1" x14ac:dyDescent="0.2">
      <c r="A339" s="2674"/>
      <c r="B339" s="2674"/>
      <c r="C339" s="2674"/>
      <c r="D339" s="2674"/>
      <c r="E339" s="2674"/>
      <c r="F339" s="2674"/>
      <c r="G339" s="2674"/>
      <c r="H339" s="2674"/>
      <c r="I339" s="2674"/>
      <c r="J339" s="2674"/>
      <c r="K339" s="2674"/>
      <c r="L339" s="2674"/>
      <c r="M339" s="2674"/>
      <c r="N339" s="2674"/>
      <c r="O339" s="2674"/>
      <c r="P339" s="2674"/>
      <c r="Q339" s="2674"/>
      <c r="R339" s="2674"/>
      <c r="S339" s="2674"/>
      <c r="T339" s="2674"/>
      <c r="U339" s="2674"/>
    </row>
    <row r="340" spans="1:21" ht="11.25" customHeight="1" x14ac:dyDescent="0.2">
      <c r="A340" s="2674"/>
      <c r="B340" s="2674"/>
      <c r="C340" s="2674"/>
      <c r="D340" s="2674"/>
      <c r="E340" s="2674"/>
      <c r="F340" s="2674"/>
      <c r="G340" s="2674"/>
      <c r="H340" s="2674"/>
      <c r="I340" s="2674"/>
      <c r="J340" s="2674"/>
      <c r="K340" s="2674"/>
      <c r="L340" s="2674"/>
      <c r="M340" s="2674"/>
      <c r="N340" s="2674"/>
      <c r="O340" s="2674"/>
      <c r="P340" s="2674"/>
      <c r="Q340" s="2674"/>
      <c r="R340" s="2674"/>
      <c r="S340" s="2674"/>
      <c r="T340" s="2674"/>
      <c r="U340" s="2674"/>
    </row>
    <row r="341" spans="1:21" ht="11.25" customHeight="1" x14ac:dyDescent="0.2">
      <c r="A341" s="2674"/>
      <c r="B341" s="2674"/>
      <c r="C341" s="2674"/>
      <c r="D341" s="2674"/>
      <c r="E341" s="2674"/>
      <c r="F341" s="2674"/>
      <c r="G341" s="2674"/>
      <c r="H341" s="2674"/>
      <c r="I341" s="2674"/>
      <c r="J341" s="2674"/>
      <c r="K341" s="2674"/>
      <c r="L341" s="2674"/>
      <c r="M341" s="2674"/>
      <c r="N341" s="2674"/>
      <c r="O341" s="2674"/>
      <c r="P341" s="2674"/>
      <c r="Q341" s="2674"/>
      <c r="R341" s="2674"/>
      <c r="S341" s="2674"/>
      <c r="T341" s="2674"/>
      <c r="U341" s="2674"/>
    </row>
    <row r="342" spans="1:21" ht="11.25" customHeight="1" x14ac:dyDescent="0.2">
      <c r="A342" s="2674"/>
      <c r="B342" s="2674"/>
      <c r="C342" s="2674"/>
      <c r="D342" s="2674"/>
      <c r="E342" s="2674"/>
      <c r="F342" s="2674"/>
      <c r="G342" s="2674"/>
      <c r="H342" s="2674"/>
      <c r="I342" s="2674"/>
      <c r="J342" s="2674"/>
      <c r="K342" s="2674"/>
      <c r="L342" s="2674"/>
      <c r="M342" s="2674"/>
      <c r="N342" s="2674"/>
      <c r="O342" s="2674"/>
      <c r="P342" s="2674"/>
      <c r="Q342" s="2674"/>
      <c r="R342" s="2674"/>
      <c r="S342" s="2674"/>
      <c r="T342" s="2674"/>
      <c r="U342" s="2674"/>
    </row>
    <row r="343" spans="1:21" ht="11.25" customHeight="1" x14ac:dyDescent="0.2">
      <c r="A343" s="2674"/>
      <c r="B343" s="2674"/>
      <c r="C343" s="2674"/>
      <c r="D343" s="2674"/>
      <c r="E343" s="2674"/>
      <c r="F343" s="2674"/>
      <c r="G343" s="2674"/>
      <c r="H343" s="2674"/>
      <c r="I343" s="2674"/>
      <c r="J343" s="2674"/>
      <c r="K343" s="2674"/>
      <c r="L343" s="2674"/>
      <c r="M343" s="2674"/>
      <c r="N343" s="2674"/>
      <c r="O343" s="2674"/>
      <c r="P343" s="2674"/>
      <c r="Q343" s="2674"/>
      <c r="R343" s="2674"/>
      <c r="S343" s="2674"/>
      <c r="T343" s="2674"/>
      <c r="U343" s="2674"/>
    </row>
    <row r="344" spans="1:21" ht="11.25" customHeight="1" x14ac:dyDescent="0.2">
      <c r="A344" s="2674"/>
      <c r="B344" s="2674"/>
      <c r="C344" s="2674"/>
      <c r="D344" s="2674"/>
      <c r="E344" s="2674"/>
      <c r="F344" s="2674"/>
      <c r="G344" s="2674"/>
      <c r="H344" s="2674"/>
      <c r="I344" s="2674"/>
      <c r="J344" s="2674"/>
      <c r="K344" s="2674"/>
      <c r="L344" s="2674"/>
      <c r="M344" s="2674"/>
      <c r="N344" s="2674"/>
      <c r="O344" s="2674"/>
      <c r="P344" s="2674"/>
      <c r="Q344" s="2674"/>
      <c r="R344" s="2674"/>
      <c r="S344" s="2674"/>
      <c r="T344" s="2674"/>
      <c r="U344" s="2674"/>
    </row>
    <row r="345" spans="1:21" ht="11.25" customHeight="1" x14ac:dyDescent="0.2">
      <c r="A345" s="2674"/>
      <c r="B345" s="2674"/>
      <c r="C345" s="2674"/>
      <c r="D345" s="2674"/>
      <c r="E345" s="2674"/>
      <c r="F345" s="2674"/>
      <c r="G345" s="2674"/>
      <c r="H345" s="2674"/>
      <c r="I345" s="2674"/>
      <c r="J345" s="2674"/>
      <c r="K345" s="2674"/>
      <c r="L345" s="2674"/>
      <c r="M345" s="2674"/>
      <c r="N345" s="2674"/>
      <c r="O345" s="2674"/>
      <c r="P345" s="2674"/>
      <c r="Q345" s="2674"/>
      <c r="R345" s="2674"/>
      <c r="S345" s="2674"/>
      <c r="T345" s="2674"/>
      <c r="U345" s="2674"/>
    </row>
    <row r="346" spans="1:21" ht="11.25" customHeight="1" x14ac:dyDescent="0.2">
      <c r="A346" s="2674"/>
      <c r="B346" s="2674"/>
      <c r="C346" s="2674"/>
      <c r="D346" s="2674"/>
      <c r="E346" s="2674"/>
      <c r="F346" s="2674"/>
      <c r="G346" s="2674"/>
      <c r="H346" s="2674"/>
      <c r="I346" s="2674"/>
      <c r="J346" s="2674"/>
      <c r="K346" s="2674"/>
      <c r="L346" s="2674"/>
      <c r="M346" s="2674"/>
      <c r="N346" s="2674"/>
      <c r="O346" s="2674"/>
      <c r="P346" s="2674"/>
      <c r="Q346" s="2674"/>
      <c r="R346" s="2674"/>
      <c r="S346" s="2674"/>
      <c r="T346" s="2674"/>
      <c r="U346" s="2674"/>
    </row>
    <row r="347" spans="1:21" ht="11.25" customHeight="1" x14ac:dyDescent="0.2">
      <c r="A347" s="2674"/>
      <c r="B347" s="2674"/>
      <c r="C347" s="2674"/>
      <c r="D347" s="2674"/>
      <c r="E347" s="2674"/>
      <c r="F347" s="2674"/>
      <c r="G347" s="2674"/>
      <c r="H347" s="2674"/>
      <c r="I347" s="2674"/>
      <c r="J347" s="2674"/>
      <c r="K347" s="2674"/>
      <c r="L347" s="2674"/>
      <c r="M347" s="2674"/>
      <c r="N347" s="2674"/>
      <c r="O347" s="2674"/>
      <c r="P347" s="2674"/>
      <c r="Q347" s="2674"/>
      <c r="R347" s="2674"/>
      <c r="S347" s="2674"/>
      <c r="T347" s="2674"/>
      <c r="U347" s="2674"/>
    </row>
    <row r="348" spans="1:21" ht="11.25" customHeight="1" x14ac:dyDescent="0.2">
      <c r="A348" s="2674"/>
      <c r="B348" s="2674"/>
      <c r="C348" s="2674"/>
      <c r="D348" s="2674"/>
      <c r="E348" s="2674"/>
      <c r="F348" s="2674"/>
      <c r="G348" s="2674"/>
      <c r="H348" s="2674"/>
      <c r="I348" s="2674"/>
      <c r="J348" s="2674"/>
      <c r="K348" s="2674"/>
      <c r="L348" s="2674"/>
      <c r="M348" s="2674"/>
      <c r="N348" s="2674"/>
      <c r="O348" s="2674"/>
      <c r="P348" s="2674"/>
      <c r="Q348" s="2674"/>
      <c r="R348" s="2674"/>
      <c r="S348" s="2674"/>
      <c r="T348" s="2674"/>
      <c r="U348" s="2674"/>
    </row>
    <row r="349" spans="1:21" ht="11.25" customHeight="1" x14ac:dyDescent="0.2">
      <c r="A349" s="2674"/>
      <c r="B349" s="2674"/>
      <c r="C349" s="2674"/>
      <c r="D349" s="2674"/>
      <c r="E349" s="2674"/>
      <c r="F349" s="2674"/>
      <c r="G349" s="2674"/>
      <c r="H349" s="2674"/>
      <c r="I349" s="2674"/>
      <c r="J349" s="2674"/>
      <c r="K349" s="2674"/>
      <c r="L349" s="2674"/>
      <c r="M349" s="2674"/>
      <c r="N349" s="2674"/>
      <c r="O349" s="2674"/>
      <c r="P349" s="2674"/>
      <c r="Q349" s="2674"/>
      <c r="R349" s="2674"/>
      <c r="S349" s="2674"/>
      <c r="T349" s="2674"/>
      <c r="U349" s="2674"/>
    </row>
    <row r="350" spans="1:21" ht="11.25" customHeight="1" x14ac:dyDescent="0.2">
      <c r="A350" s="2674"/>
      <c r="B350" s="2674"/>
      <c r="C350" s="2674"/>
      <c r="D350" s="2674"/>
      <c r="E350" s="2674"/>
      <c r="F350" s="2674"/>
      <c r="G350" s="2674"/>
      <c r="H350" s="2674"/>
      <c r="I350" s="2674"/>
      <c r="J350" s="2674"/>
      <c r="K350" s="2674"/>
      <c r="L350" s="2674"/>
      <c r="M350" s="2674"/>
      <c r="N350" s="2674"/>
      <c r="O350" s="2674"/>
      <c r="P350" s="2674"/>
      <c r="Q350" s="2674"/>
      <c r="R350" s="2674"/>
      <c r="S350" s="2674"/>
      <c r="T350" s="2674"/>
      <c r="U350" s="2674"/>
    </row>
    <row r="351" spans="1:21" ht="11.25" customHeight="1" x14ac:dyDescent="0.2">
      <c r="A351" s="2674"/>
      <c r="B351" s="2674"/>
      <c r="C351" s="2674"/>
      <c r="D351" s="2674"/>
      <c r="E351" s="2674"/>
      <c r="F351" s="2674"/>
      <c r="G351" s="2674"/>
      <c r="H351" s="2674"/>
      <c r="I351" s="2674"/>
      <c r="J351" s="2674"/>
      <c r="K351" s="2674"/>
      <c r="L351" s="2674"/>
      <c r="M351" s="2674"/>
      <c r="N351" s="2674"/>
      <c r="O351" s="2674"/>
      <c r="P351" s="2674"/>
      <c r="Q351" s="2674"/>
      <c r="R351" s="2674"/>
      <c r="S351" s="2674"/>
      <c r="T351" s="2674"/>
      <c r="U351" s="2674"/>
    </row>
    <row r="352" spans="1:21" ht="11.25" customHeight="1" x14ac:dyDescent="0.2">
      <c r="A352" s="2674"/>
      <c r="B352" s="2674"/>
      <c r="C352" s="2674"/>
      <c r="D352" s="2674"/>
      <c r="E352" s="2674"/>
      <c r="F352" s="2674"/>
      <c r="G352" s="2674"/>
      <c r="H352" s="2674"/>
      <c r="I352" s="2674"/>
      <c r="J352" s="2674"/>
      <c r="K352" s="2674"/>
      <c r="L352" s="2674"/>
      <c r="M352" s="2674"/>
      <c r="N352" s="2674"/>
      <c r="O352" s="2674"/>
      <c r="P352" s="2674"/>
      <c r="Q352" s="2674"/>
      <c r="R352" s="2674"/>
      <c r="S352" s="2674"/>
      <c r="T352" s="2674"/>
      <c r="U352" s="2674"/>
    </row>
    <row r="353" spans="1:21" ht="11.25" customHeight="1" x14ac:dyDescent="0.2">
      <c r="A353" s="2674"/>
      <c r="B353" s="2674"/>
      <c r="C353" s="2674"/>
      <c r="D353" s="2674"/>
      <c r="E353" s="2674"/>
      <c r="F353" s="2674"/>
      <c r="G353" s="2674"/>
      <c r="H353" s="2674"/>
      <c r="I353" s="2674"/>
      <c r="J353" s="2674"/>
      <c r="K353" s="2674"/>
      <c r="L353" s="2674"/>
      <c r="M353" s="2674"/>
      <c r="N353" s="2674"/>
      <c r="O353" s="2674"/>
      <c r="P353" s="2674"/>
      <c r="Q353" s="2674"/>
      <c r="R353" s="2674"/>
      <c r="S353" s="2674"/>
      <c r="T353" s="2674"/>
      <c r="U353" s="2674"/>
    </row>
    <row r="354" spans="1:21" ht="11.25" customHeight="1" x14ac:dyDescent="0.2">
      <c r="A354" s="2674"/>
      <c r="B354" s="2674"/>
      <c r="C354" s="2674"/>
      <c r="D354" s="2674"/>
      <c r="E354" s="2674"/>
      <c r="F354" s="2674"/>
      <c r="G354" s="2674"/>
      <c r="H354" s="2674"/>
      <c r="I354" s="2674"/>
      <c r="J354" s="2674"/>
      <c r="K354" s="2674"/>
      <c r="L354" s="2674"/>
      <c r="M354" s="2674"/>
      <c r="N354" s="2674"/>
      <c r="O354" s="2674"/>
      <c r="P354" s="2674"/>
      <c r="Q354" s="2674"/>
      <c r="R354" s="2674"/>
      <c r="S354" s="2674"/>
      <c r="T354" s="2674"/>
      <c r="U354" s="2674"/>
    </row>
    <row r="355" spans="1:21" ht="11.25" customHeight="1" x14ac:dyDescent="0.2">
      <c r="A355" s="2674"/>
      <c r="B355" s="2674"/>
      <c r="C355" s="2674"/>
      <c r="D355" s="2674"/>
      <c r="E355" s="2674"/>
      <c r="F355" s="2674"/>
      <c r="G355" s="2674"/>
      <c r="H355" s="2674"/>
      <c r="I355" s="2674"/>
      <c r="J355" s="2674"/>
      <c r="K355" s="2674"/>
      <c r="L355" s="2674"/>
      <c r="M355" s="2674"/>
      <c r="N355" s="2674"/>
      <c r="O355" s="2674"/>
      <c r="P355" s="2674"/>
      <c r="Q355" s="2674"/>
      <c r="R355" s="2674"/>
      <c r="S355" s="2674"/>
      <c r="T355" s="2674"/>
      <c r="U355" s="2674"/>
    </row>
    <row r="356" spans="1:21" ht="11.25" customHeight="1" x14ac:dyDescent="0.2">
      <c r="A356" s="2674"/>
      <c r="B356" s="2674"/>
      <c r="C356" s="2674"/>
      <c r="D356" s="2674"/>
      <c r="E356" s="2674"/>
      <c r="F356" s="2674"/>
      <c r="G356" s="2674"/>
      <c r="H356" s="2674"/>
      <c r="I356" s="2674"/>
      <c r="J356" s="2674"/>
      <c r="K356" s="2674"/>
      <c r="L356" s="2674"/>
      <c r="M356" s="2674"/>
      <c r="N356" s="2674"/>
      <c r="O356" s="2674"/>
      <c r="P356" s="2674"/>
      <c r="Q356" s="2674"/>
      <c r="R356" s="2674"/>
      <c r="S356" s="2674"/>
      <c r="T356" s="2674"/>
      <c r="U356" s="2674"/>
    </row>
    <row r="357" spans="1:21" ht="11.25" customHeight="1" x14ac:dyDescent="0.2">
      <c r="A357" s="2674"/>
      <c r="B357" s="2674"/>
      <c r="C357" s="2674"/>
      <c r="D357" s="2674"/>
      <c r="E357" s="2674"/>
      <c r="F357" s="2674"/>
      <c r="G357" s="2674"/>
      <c r="H357" s="2674"/>
      <c r="I357" s="2674"/>
      <c r="J357" s="2674"/>
      <c r="K357" s="2674"/>
      <c r="L357" s="2674"/>
      <c r="M357" s="2674"/>
      <c r="N357" s="2674"/>
      <c r="O357" s="2674"/>
      <c r="P357" s="2674"/>
      <c r="Q357" s="2674"/>
      <c r="R357" s="2674"/>
      <c r="S357" s="2674"/>
      <c r="T357" s="2674"/>
      <c r="U357" s="2674"/>
    </row>
    <row r="358" spans="1:21" ht="11.25" customHeight="1" x14ac:dyDescent="0.2">
      <c r="A358" s="2674"/>
      <c r="B358" s="2674"/>
      <c r="C358" s="2674"/>
      <c r="D358" s="2674"/>
      <c r="E358" s="2674"/>
      <c r="F358" s="2674"/>
      <c r="G358" s="2674"/>
      <c r="H358" s="2674"/>
      <c r="I358" s="2674"/>
      <c r="J358" s="2674"/>
      <c r="K358" s="2674"/>
      <c r="L358" s="2674"/>
      <c r="M358" s="2674"/>
      <c r="N358" s="2674"/>
      <c r="O358" s="2674"/>
      <c r="P358" s="2674"/>
      <c r="Q358" s="2674"/>
      <c r="R358" s="2674"/>
      <c r="S358" s="2674"/>
      <c r="T358" s="2674"/>
      <c r="U358" s="2674"/>
    </row>
    <row r="359" spans="1:21" ht="11.25" customHeight="1" x14ac:dyDescent="0.2">
      <c r="A359" s="2674"/>
      <c r="B359" s="2674"/>
      <c r="C359" s="2674"/>
      <c r="D359" s="2674"/>
      <c r="E359" s="2674"/>
      <c r="F359" s="2674"/>
      <c r="G359" s="2674"/>
      <c r="H359" s="2674"/>
      <c r="I359" s="2674"/>
      <c r="J359" s="2674"/>
      <c r="K359" s="2674"/>
      <c r="L359" s="2674"/>
      <c r="M359" s="2674"/>
      <c r="N359" s="2674"/>
      <c r="O359" s="2674"/>
      <c r="P359" s="2674"/>
      <c r="Q359" s="2674"/>
      <c r="R359" s="2674"/>
      <c r="S359" s="2674"/>
      <c r="T359" s="2674"/>
      <c r="U359" s="2674"/>
    </row>
    <row r="360" spans="1:21" ht="11.25" customHeight="1" x14ac:dyDescent="0.2">
      <c r="A360" s="2674"/>
      <c r="B360" s="2674"/>
      <c r="C360" s="2674"/>
      <c r="D360" s="2674"/>
      <c r="E360" s="2674"/>
      <c r="F360" s="2674"/>
      <c r="G360" s="2674"/>
      <c r="H360" s="2674"/>
      <c r="I360" s="2674"/>
      <c r="J360" s="2674"/>
      <c r="K360" s="2674"/>
      <c r="L360" s="2674"/>
      <c r="M360" s="2674"/>
      <c r="N360" s="2674"/>
      <c r="O360" s="2674"/>
      <c r="P360" s="2674"/>
      <c r="Q360" s="2674"/>
      <c r="R360" s="2674"/>
      <c r="S360" s="2674"/>
      <c r="T360" s="2674"/>
      <c r="U360" s="2674"/>
    </row>
    <row r="361" spans="1:21" ht="11.25" customHeight="1" x14ac:dyDescent="0.2">
      <c r="A361" s="2674"/>
      <c r="B361" s="2674"/>
      <c r="C361" s="2674"/>
      <c r="D361" s="2674"/>
      <c r="E361" s="2674"/>
      <c r="F361" s="2674"/>
      <c r="G361" s="2674"/>
      <c r="H361" s="2674"/>
      <c r="I361" s="2674"/>
      <c r="J361" s="2674"/>
      <c r="K361" s="2674"/>
      <c r="L361" s="2674"/>
      <c r="M361" s="2674"/>
      <c r="N361" s="2674"/>
      <c r="O361" s="2674"/>
      <c r="P361" s="2674"/>
      <c r="Q361" s="2674"/>
      <c r="R361" s="2674"/>
      <c r="S361" s="2674"/>
      <c r="T361" s="2674"/>
      <c r="U361" s="2674"/>
    </row>
    <row r="362" spans="1:21" ht="11.25" customHeight="1" x14ac:dyDescent="0.2">
      <c r="A362" s="2674"/>
      <c r="B362" s="2674"/>
      <c r="C362" s="2674"/>
      <c r="D362" s="2674"/>
      <c r="E362" s="2674"/>
      <c r="F362" s="2674"/>
      <c r="G362" s="2674"/>
      <c r="H362" s="2674"/>
      <c r="I362" s="2674"/>
      <c r="J362" s="2674"/>
      <c r="K362" s="2674"/>
      <c r="L362" s="2674"/>
      <c r="M362" s="2674"/>
      <c r="N362" s="2674"/>
      <c r="O362" s="2674"/>
      <c r="P362" s="2674"/>
      <c r="Q362" s="2674"/>
      <c r="R362" s="2674"/>
      <c r="S362" s="2674"/>
      <c r="T362" s="2674"/>
      <c r="U362" s="2674"/>
    </row>
    <row r="363" spans="1:21" ht="11.25" customHeight="1" x14ac:dyDescent="0.2">
      <c r="A363" s="2674"/>
      <c r="B363" s="2674"/>
      <c r="C363" s="2674"/>
      <c r="D363" s="2674"/>
      <c r="E363" s="2674"/>
      <c r="F363" s="2674"/>
      <c r="G363" s="2674"/>
      <c r="H363" s="2674"/>
      <c r="I363" s="2674"/>
      <c r="J363" s="2674"/>
      <c r="K363" s="2674"/>
      <c r="L363" s="2674"/>
      <c r="M363" s="2674"/>
      <c r="N363" s="2674"/>
      <c r="O363" s="2674"/>
      <c r="P363" s="2674"/>
      <c r="Q363" s="2674"/>
      <c r="R363" s="2674"/>
      <c r="S363" s="2674"/>
      <c r="T363" s="2674"/>
      <c r="U363" s="2674"/>
    </row>
    <row r="364" spans="1:21" ht="11.25" customHeight="1" x14ac:dyDescent="0.2">
      <c r="A364" s="2674"/>
      <c r="B364" s="2674"/>
      <c r="C364" s="2674"/>
      <c r="D364" s="2674"/>
      <c r="E364" s="2674"/>
      <c r="F364" s="2674"/>
      <c r="G364" s="2674"/>
      <c r="H364" s="2674"/>
      <c r="I364" s="2674"/>
      <c r="J364" s="2674"/>
      <c r="K364" s="2674"/>
      <c r="L364" s="2674"/>
      <c r="M364" s="2674"/>
      <c r="N364" s="2674"/>
      <c r="O364" s="2674"/>
      <c r="P364" s="2674"/>
      <c r="Q364" s="2674"/>
      <c r="R364" s="2674"/>
      <c r="S364" s="2674"/>
      <c r="T364" s="2674"/>
      <c r="U364" s="2674"/>
    </row>
    <row r="365" spans="1:21" ht="11.25" customHeight="1" x14ac:dyDescent="0.2">
      <c r="A365" s="2674"/>
      <c r="B365" s="2674"/>
      <c r="C365" s="2674"/>
      <c r="D365" s="2674"/>
      <c r="E365" s="2674"/>
      <c r="F365" s="2674"/>
      <c r="G365" s="2674"/>
      <c r="H365" s="2674"/>
      <c r="I365" s="2674"/>
      <c r="J365" s="2674"/>
      <c r="K365" s="2674"/>
      <c r="L365" s="2674"/>
      <c r="M365" s="2674"/>
      <c r="N365" s="2674"/>
      <c r="O365" s="2674"/>
      <c r="P365" s="2674"/>
      <c r="Q365" s="2674"/>
      <c r="R365" s="2674"/>
      <c r="S365" s="2674"/>
      <c r="T365" s="2674"/>
      <c r="U365" s="2674"/>
    </row>
    <row r="366" spans="1:21" ht="11.25" customHeight="1" x14ac:dyDescent="0.2">
      <c r="A366" s="2674"/>
      <c r="B366" s="2674"/>
      <c r="C366" s="2674"/>
      <c r="D366" s="2674"/>
      <c r="E366" s="2674"/>
      <c r="F366" s="2674"/>
      <c r="G366" s="2674"/>
      <c r="H366" s="2674"/>
      <c r="I366" s="2674"/>
      <c r="J366" s="2674"/>
      <c r="K366" s="2674"/>
      <c r="L366" s="2674"/>
      <c r="M366" s="2674"/>
      <c r="N366" s="2674"/>
      <c r="O366" s="2674"/>
      <c r="P366" s="2674"/>
      <c r="Q366" s="2674"/>
      <c r="R366" s="2674"/>
      <c r="S366" s="2674"/>
      <c r="T366" s="2674"/>
      <c r="U366" s="2674"/>
    </row>
    <row r="367" spans="1:21" ht="11.25" customHeight="1" x14ac:dyDescent="0.2">
      <c r="A367" s="2674"/>
      <c r="B367" s="2674"/>
      <c r="C367" s="2674"/>
      <c r="D367" s="2674"/>
      <c r="E367" s="2674"/>
      <c r="F367" s="2674"/>
      <c r="G367" s="2674"/>
      <c r="H367" s="2674"/>
      <c r="I367" s="2674"/>
      <c r="J367" s="2674"/>
      <c r="K367" s="2674"/>
      <c r="L367" s="2674"/>
      <c r="M367" s="2674"/>
      <c r="N367" s="2674"/>
      <c r="O367" s="2674"/>
      <c r="P367" s="2674"/>
      <c r="Q367" s="2674"/>
      <c r="R367" s="2674"/>
      <c r="S367" s="2674"/>
      <c r="T367" s="2674"/>
      <c r="U367" s="2674"/>
    </row>
    <row r="368" spans="1:21" ht="11.25" customHeight="1" x14ac:dyDescent="0.2">
      <c r="A368" s="2674"/>
      <c r="B368" s="2674"/>
      <c r="C368" s="2674"/>
      <c r="D368" s="2674"/>
      <c r="E368" s="2674"/>
      <c r="F368" s="2674"/>
      <c r="G368" s="2674"/>
      <c r="H368" s="2674"/>
      <c r="I368" s="2674"/>
      <c r="J368" s="2674"/>
      <c r="K368" s="2674"/>
      <c r="L368" s="2674"/>
      <c r="M368" s="2674"/>
      <c r="N368" s="2674"/>
      <c r="O368" s="2674"/>
      <c r="P368" s="2674"/>
      <c r="Q368" s="2674"/>
      <c r="R368" s="2674"/>
      <c r="S368" s="2674"/>
      <c r="T368" s="2674"/>
      <c r="U368" s="2674"/>
    </row>
    <row r="369" spans="1:21" ht="11.25" customHeight="1" x14ac:dyDescent="0.2">
      <c r="A369" s="2674"/>
      <c r="B369" s="2674"/>
      <c r="C369" s="2674"/>
      <c r="D369" s="2674"/>
      <c r="E369" s="2674"/>
      <c r="F369" s="2674"/>
      <c r="G369" s="2674"/>
      <c r="H369" s="2674"/>
      <c r="I369" s="2674"/>
      <c r="J369" s="2674"/>
      <c r="K369" s="2674"/>
      <c r="L369" s="2674"/>
      <c r="M369" s="2674"/>
      <c r="N369" s="2674"/>
      <c r="O369" s="2674"/>
      <c r="P369" s="2674"/>
      <c r="Q369" s="2674"/>
      <c r="R369" s="2674"/>
      <c r="S369" s="2674"/>
      <c r="T369" s="2674"/>
      <c r="U369" s="2674"/>
    </row>
    <row r="370" spans="1:21" ht="11.25" customHeight="1" x14ac:dyDescent="0.2">
      <c r="A370" s="2674"/>
      <c r="B370" s="2674"/>
      <c r="C370" s="2674"/>
      <c r="D370" s="2674"/>
      <c r="E370" s="2674"/>
      <c r="F370" s="2674"/>
      <c r="G370" s="2674"/>
      <c r="H370" s="2674"/>
      <c r="I370" s="2674"/>
      <c r="J370" s="2674"/>
      <c r="K370" s="2674"/>
      <c r="L370" s="2674"/>
      <c r="M370" s="2674"/>
      <c r="N370" s="2674"/>
      <c r="O370" s="2674"/>
      <c r="P370" s="2674"/>
      <c r="Q370" s="2674"/>
      <c r="R370" s="2674"/>
      <c r="S370" s="2674"/>
      <c r="T370" s="2674"/>
      <c r="U370" s="2674"/>
    </row>
    <row r="371" spans="1:21" ht="11.25" customHeight="1" x14ac:dyDescent="0.2">
      <c r="A371" s="2674"/>
      <c r="B371" s="2674"/>
      <c r="C371" s="2674"/>
      <c r="D371" s="2674"/>
      <c r="E371" s="2674"/>
      <c r="F371" s="2674"/>
      <c r="G371" s="2674"/>
      <c r="H371" s="2674"/>
      <c r="I371" s="2674"/>
      <c r="J371" s="2674"/>
      <c r="K371" s="2674"/>
      <c r="L371" s="2674"/>
      <c r="M371" s="2674"/>
      <c r="N371" s="2674"/>
      <c r="O371" s="2674"/>
      <c r="P371" s="2674"/>
      <c r="Q371" s="2674"/>
      <c r="R371" s="2674"/>
      <c r="S371" s="2674"/>
      <c r="T371" s="2674"/>
      <c r="U371" s="2674"/>
    </row>
    <row r="372" spans="1:21" ht="11.25" customHeight="1" x14ac:dyDescent="0.2">
      <c r="A372" s="2674"/>
      <c r="B372" s="2674"/>
      <c r="C372" s="2674"/>
      <c r="D372" s="2674"/>
      <c r="E372" s="2674"/>
      <c r="F372" s="2674"/>
      <c r="G372" s="2674"/>
      <c r="H372" s="2674"/>
      <c r="I372" s="2674"/>
      <c r="J372" s="2674"/>
      <c r="K372" s="2674"/>
      <c r="L372" s="2674"/>
      <c r="M372" s="2674"/>
      <c r="N372" s="2674"/>
      <c r="O372" s="2674"/>
      <c r="P372" s="2674"/>
      <c r="Q372" s="2674"/>
      <c r="R372" s="2674"/>
      <c r="S372" s="2674"/>
      <c r="T372" s="2674"/>
      <c r="U372" s="2674"/>
    </row>
    <row r="373" spans="1:21" ht="11.25" customHeight="1" x14ac:dyDescent="0.2">
      <c r="A373" s="2674"/>
      <c r="B373" s="2674"/>
      <c r="C373" s="2674"/>
      <c r="D373" s="2674"/>
      <c r="E373" s="2674"/>
      <c r="F373" s="2674"/>
      <c r="G373" s="2674"/>
      <c r="H373" s="2674"/>
      <c r="I373" s="2674"/>
      <c r="J373" s="2674"/>
      <c r="K373" s="2674"/>
      <c r="L373" s="2674"/>
      <c r="M373" s="2674"/>
      <c r="N373" s="2674"/>
      <c r="O373" s="2674"/>
      <c r="P373" s="2674"/>
      <c r="Q373" s="2674"/>
      <c r="R373" s="2674"/>
      <c r="S373" s="2674"/>
      <c r="T373" s="2674"/>
      <c r="U373" s="2674"/>
    </row>
    <row r="374" spans="1:21" ht="11.25" customHeight="1" x14ac:dyDescent="0.2">
      <c r="A374" s="2674"/>
      <c r="B374" s="2674"/>
      <c r="C374" s="2674"/>
      <c r="D374" s="2674"/>
      <c r="E374" s="2674"/>
      <c r="F374" s="2674"/>
      <c r="G374" s="2674"/>
      <c r="H374" s="2674"/>
      <c r="I374" s="2674"/>
      <c r="J374" s="2674"/>
      <c r="K374" s="2674"/>
      <c r="L374" s="2674"/>
      <c r="M374" s="2674"/>
      <c r="N374" s="2674"/>
      <c r="O374" s="2674"/>
      <c r="P374" s="2674"/>
      <c r="Q374" s="2674"/>
      <c r="R374" s="2674"/>
      <c r="S374" s="2674"/>
      <c r="T374" s="2674"/>
      <c r="U374" s="2674"/>
    </row>
    <row r="375" spans="1:21" ht="11.25" customHeight="1" x14ac:dyDescent="0.2">
      <c r="A375" s="2674"/>
      <c r="B375" s="2674"/>
      <c r="C375" s="2674"/>
      <c r="D375" s="2674"/>
      <c r="E375" s="2674"/>
      <c r="F375" s="2674"/>
      <c r="G375" s="2674"/>
      <c r="H375" s="2674"/>
      <c r="I375" s="2674"/>
      <c r="J375" s="2674"/>
      <c r="K375" s="2674"/>
      <c r="L375" s="2674"/>
      <c r="M375" s="2674"/>
      <c r="N375" s="2674"/>
      <c r="O375" s="2674"/>
      <c r="P375" s="2674"/>
      <c r="Q375" s="2674"/>
      <c r="R375" s="2674"/>
      <c r="S375" s="2674"/>
      <c r="T375" s="2674"/>
      <c r="U375" s="2674"/>
    </row>
    <row r="376" spans="1:21" ht="11.25" customHeight="1" x14ac:dyDescent="0.2">
      <c r="A376" s="2674"/>
      <c r="B376" s="2674"/>
      <c r="C376" s="2674"/>
      <c r="D376" s="2674"/>
      <c r="E376" s="2674"/>
      <c r="F376" s="2674"/>
      <c r="G376" s="2674"/>
      <c r="H376" s="2674"/>
      <c r="I376" s="2674"/>
      <c r="J376" s="2674"/>
      <c r="K376" s="2674"/>
      <c r="L376" s="2674"/>
      <c r="M376" s="2674"/>
      <c r="N376" s="2674"/>
      <c r="O376" s="2674"/>
      <c r="P376" s="2674"/>
      <c r="Q376" s="2674"/>
      <c r="R376" s="2674"/>
      <c r="S376" s="2674"/>
      <c r="T376" s="2674"/>
      <c r="U376" s="2674"/>
    </row>
    <row r="377" spans="1:21" ht="11.25" customHeight="1" x14ac:dyDescent="0.2">
      <c r="A377" s="2674"/>
      <c r="B377" s="2674"/>
      <c r="C377" s="2674"/>
      <c r="D377" s="2674"/>
      <c r="E377" s="2674"/>
      <c r="F377" s="2674"/>
      <c r="G377" s="2674"/>
      <c r="H377" s="2674"/>
      <c r="I377" s="2674"/>
      <c r="J377" s="2674"/>
      <c r="K377" s="2674"/>
      <c r="L377" s="2674"/>
      <c r="M377" s="2674"/>
      <c r="N377" s="2674"/>
      <c r="O377" s="2674"/>
      <c r="P377" s="2674"/>
      <c r="Q377" s="2674"/>
      <c r="R377" s="2674"/>
      <c r="S377" s="2674"/>
      <c r="T377" s="2674"/>
      <c r="U377" s="2674"/>
    </row>
    <row r="378" spans="1:21" ht="11.25" customHeight="1" x14ac:dyDescent="0.2">
      <c r="A378" s="2674"/>
      <c r="B378" s="2674"/>
      <c r="C378" s="2674"/>
      <c r="D378" s="2674"/>
      <c r="E378" s="2674"/>
      <c r="F378" s="2674"/>
      <c r="G378" s="2674"/>
      <c r="H378" s="2674"/>
      <c r="I378" s="2674"/>
      <c r="J378" s="2674"/>
      <c r="K378" s="2674"/>
      <c r="L378" s="2674"/>
      <c r="M378" s="2674"/>
      <c r="N378" s="2674"/>
      <c r="O378" s="2674"/>
      <c r="P378" s="2674"/>
      <c r="Q378" s="2674"/>
      <c r="R378" s="2674"/>
      <c r="S378" s="2674"/>
      <c r="T378" s="2674"/>
      <c r="U378" s="2674"/>
    </row>
    <row r="379" spans="1:21" ht="11.25" customHeight="1" x14ac:dyDescent="0.2">
      <c r="A379" s="2674"/>
      <c r="B379" s="2674"/>
      <c r="C379" s="2674"/>
      <c r="D379" s="2674"/>
      <c r="E379" s="2674"/>
      <c r="F379" s="2674"/>
      <c r="G379" s="2674"/>
      <c r="H379" s="2674"/>
      <c r="I379" s="2674"/>
      <c r="J379" s="2674"/>
      <c r="K379" s="2674"/>
      <c r="L379" s="2674"/>
      <c r="M379" s="2674"/>
      <c r="N379" s="2674"/>
      <c r="O379" s="2674"/>
      <c r="P379" s="2674"/>
      <c r="Q379" s="2674"/>
      <c r="R379" s="2674"/>
      <c r="S379" s="2674"/>
      <c r="T379" s="2674"/>
      <c r="U379" s="2674"/>
    </row>
    <row r="380" spans="1:21" ht="11.25" customHeight="1" x14ac:dyDescent="0.2">
      <c r="A380" s="2674"/>
      <c r="B380" s="2674"/>
      <c r="C380" s="2674"/>
      <c r="D380" s="2674"/>
      <c r="E380" s="2674"/>
      <c r="F380" s="2674"/>
      <c r="G380" s="2674"/>
      <c r="H380" s="2674"/>
      <c r="I380" s="2674"/>
      <c r="J380" s="2674"/>
      <c r="K380" s="2674"/>
      <c r="L380" s="2674"/>
      <c r="M380" s="2674"/>
      <c r="N380" s="2674"/>
      <c r="O380" s="2674"/>
      <c r="P380" s="2674"/>
      <c r="Q380" s="2674"/>
      <c r="R380" s="2674"/>
      <c r="S380" s="2674"/>
      <c r="T380" s="2674"/>
      <c r="U380" s="2674"/>
    </row>
    <row r="381" spans="1:21" ht="11.25" customHeight="1" x14ac:dyDescent="0.2">
      <c r="A381" s="2674"/>
      <c r="B381" s="2674"/>
      <c r="C381" s="2674"/>
      <c r="D381" s="2674"/>
      <c r="E381" s="2674"/>
      <c r="F381" s="2674"/>
      <c r="G381" s="2674"/>
      <c r="H381" s="2674"/>
      <c r="I381" s="2674"/>
      <c r="J381" s="2674"/>
      <c r="K381" s="2674"/>
      <c r="L381" s="2674"/>
      <c r="M381" s="2674"/>
      <c r="N381" s="2674"/>
      <c r="O381" s="2674"/>
      <c r="P381" s="2674"/>
      <c r="Q381" s="2674"/>
      <c r="R381" s="2674"/>
      <c r="S381" s="2674"/>
      <c r="T381" s="2674"/>
      <c r="U381" s="2674"/>
    </row>
    <row r="382" spans="1:21" ht="11.25" customHeight="1" x14ac:dyDescent="0.2">
      <c r="A382" s="2674"/>
      <c r="B382" s="2674"/>
      <c r="C382" s="2674"/>
      <c r="D382" s="2674"/>
      <c r="E382" s="2674"/>
      <c r="F382" s="2674"/>
      <c r="G382" s="2674"/>
      <c r="H382" s="2674"/>
      <c r="I382" s="2674"/>
      <c r="J382" s="2674"/>
      <c r="K382" s="2674"/>
      <c r="L382" s="2674"/>
      <c r="M382" s="2674"/>
      <c r="N382" s="2674"/>
      <c r="O382" s="2674"/>
      <c r="P382" s="2674"/>
      <c r="Q382" s="2674"/>
      <c r="R382" s="2674"/>
      <c r="S382" s="2674"/>
      <c r="T382" s="2674"/>
      <c r="U382" s="2674"/>
    </row>
    <row r="383" spans="1:21" ht="11.25" customHeight="1" x14ac:dyDescent="0.2">
      <c r="A383" s="2674"/>
      <c r="B383" s="2674"/>
      <c r="C383" s="2674"/>
      <c r="D383" s="2674"/>
      <c r="E383" s="2674"/>
      <c r="F383" s="2674"/>
      <c r="G383" s="2674"/>
      <c r="H383" s="2674"/>
      <c r="I383" s="2674"/>
      <c r="J383" s="2674"/>
      <c r="K383" s="2674"/>
      <c r="L383" s="2674"/>
      <c r="M383" s="2674"/>
      <c r="N383" s="2674"/>
      <c r="O383" s="2674"/>
      <c r="P383" s="2674"/>
      <c r="Q383" s="2674"/>
      <c r="R383" s="2674"/>
      <c r="S383" s="2674"/>
      <c r="T383" s="2674"/>
      <c r="U383" s="2674"/>
    </row>
    <row r="384" spans="1:21" ht="11.25" customHeight="1" x14ac:dyDescent="0.2">
      <c r="A384" s="2674"/>
      <c r="B384" s="2674"/>
      <c r="C384" s="2674"/>
      <c r="D384" s="2674"/>
      <c r="E384" s="2674"/>
      <c r="F384" s="2674"/>
      <c r="G384" s="2674"/>
      <c r="H384" s="2674"/>
      <c r="I384" s="2674"/>
      <c r="J384" s="2674"/>
      <c r="K384" s="2674"/>
      <c r="L384" s="2674"/>
      <c r="M384" s="2674"/>
      <c r="N384" s="2674"/>
      <c r="O384" s="2674"/>
      <c r="P384" s="2674"/>
      <c r="Q384" s="2674"/>
      <c r="R384" s="2674"/>
      <c r="S384" s="2674"/>
      <c r="T384" s="2674"/>
      <c r="U384" s="2674"/>
    </row>
    <row r="385" spans="1:21" ht="11.25" customHeight="1" x14ac:dyDescent="0.2">
      <c r="A385" s="2674"/>
      <c r="B385" s="2674"/>
      <c r="C385" s="2674"/>
      <c r="D385" s="2674"/>
      <c r="E385" s="2674"/>
      <c r="F385" s="2674"/>
      <c r="G385" s="2674"/>
      <c r="H385" s="2674"/>
      <c r="I385" s="2674"/>
      <c r="J385" s="2674"/>
      <c r="K385" s="2674"/>
      <c r="L385" s="2674"/>
      <c r="M385" s="2674"/>
      <c r="N385" s="2674"/>
      <c r="O385" s="2674"/>
      <c r="P385" s="2674"/>
      <c r="Q385" s="2674"/>
      <c r="R385" s="2674"/>
      <c r="S385" s="2674"/>
      <c r="T385" s="2674"/>
      <c r="U385" s="2674"/>
    </row>
    <row r="386" spans="1:21" ht="11.25" customHeight="1" x14ac:dyDescent="0.2">
      <c r="A386" s="2674"/>
      <c r="B386" s="2674"/>
      <c r="C386" s="2674"/>
      <c r="D386" s="2674"/>
      <c r="E386" s="2674"/>
      <c r="F386" s="2674"/>
      <c r="G386" s="2674"/>
      <c r="H386" s="2674"/>
      <c r="I386" s="2674"/>
      <c r="J386" s="2674"/>
      <c r="K386" s="2674"/>
      <c r="L386" s="2674"/>
      <c r="M386" s="2674"/>
      <c r="N386" s="2674"/>
      <c r="O386" s="2674"/>
      <c r="P386" s="2674"/>
      <c r="Q386" s="2674"/>
      <c r="R386" s="2674"/>
      <c r="S386" s="2674"/>
      <c r="T386" s="2674"/>
      <c r="U386" s="2674"/>
    </row>
    <row r="387" spans="1:21" ht="11.25" customHeight="1" x14ac:dyDescent="0.2">
      <c r="A387" s="2674"/>
      <c r="B387" s="2674"/>
      <c r="C387" s="2674"/>
      <c r="D387" s="2674"/>
      <c r="E387" s="2674"/>
      <c r="F387" s="2674"/>
      <c r="G387" s="2674"/>
      <c r="H387" s="2674"/>
      <c r="I387" s="2674"/>
      <c r="J387" s="2674"/>
      <c r="K387" s="2674"/>
      <c r="L387" s="2674"/>
      <c r="M387" s="2674"/>
      <c r="N387" s="2674"/>
      <c r="O387" s="2674"/>
      <c r="P387" s="2674"/>
      <c r="Q387" s="2674"/>
      <c r="R387" s="2674"/>
      <c r="S387" s="2674"/>
      <c r="T387" s="2674"/>
      <c r="U387" s="2674"/>
    </row>
    <row r="388" spans="1:21" ht="11.25" customHeight="1" x14ac:dyDescent="0.2">
      <c r="A388" s="2674"/>
      <c r="B388" s="2674"/>
      <c r="C388" s="2674"/>
      <c r="D388" s="2674"/>
      <c r="E388" s="2674"/>
      <c r="F388" s="2674"/>
      <c r="G388" s="2674"/>
      <c r="H388" s="2674"/>
      <c r="I388" s="2674"/>
      <c r="J388" s="2674"/>
      <c r="K388" s="2674"/>
      <c r="L388" s="2674"/>
      <c r="M388" s="2674"/>
      <c r="N388" s="2674"/>
      <c r="O388" s="2674"/>
      <c r="P388" s="2674"/>
      <c r="Q388" s="2674"/>
      <c r="R388" s="2674"/>
      <c r="S388" s="2674"/>
      <c r="T388" s="2674"/>
      <c r="U388" s="2674"/>
    </row>
    <row r="389" spans="1:21" ht="11.25" customHeight="1" x14ac:dyDescent="0.2">
      <c r="A389" s="2674"/>
      <c r="B389" s="2674"/>
      <c r="C389" s="2674"/>
      <c r="D389" s="2674"/>
      <c r="E389" s="2674"/>
      <c r="F389" s="2674"/>
      <c r="G389" s="2674"/>
      <c r="H389" s="2674"/>
      <c r="I389" s="2674"/>
      <c r="J389" s="2674"/>
      <c r="K389" s="2674"/>
      <c r="L389" s="2674"/>
      <c r="M389" s="2674"/>
      <c r="N389" s="2674"/>
      <c r="O389" s="2674"/>
      <c r="P389" s="2674"/>
      <c r="Q389" s="2674"/>
      <c r="R389" s="2674"/>
      <c r="S389" s="2674"/>
      <c r="T389" s="2674"/>
      <c r="U389" s="2674"/>
    </row>
    <row r="390" spans="1:21" ht="11.25" customHeight="1" x14ac:dyDescent="0.2">
      <c r="A390" s="2674"/>
      <c r="B390" s="2674"/>
      <c r="C390" s="2674"/>
      <c r="D390" s="2674"/>
      <c r="E390" s="2674"/>
      <c r="F390" s="2674"/>
      <c r="G390" s="2674"/>
      <c r="H390" s="2674"/>
      <c r="I390" s="2674"/>
      <c r="J390" s="2674"/>
      <c r="K390" s="2674"/>
      <c r="L390" s="2674"/>
      <c r="M390" s="2674"/>
      <c r="N390" s="2674"/>
      <c r="O390" s="2674"/>
      <c r="P390" s="2674"/>
      <c r="Q390" s="2674"/>
      <c r="R390" s="2674"/>
      <c r="S390" s="2674"/>
      <c r="T390" s="2674"/>
      <c r="U390" s="2674"/>
    </row>
    <row r="391" spans="1:21" ht="11.25" customHeight="1" x14ac:dyDescent="0.2">
      <c r="A391" s="2674"/>
      <c r="B391" s="2674"/>
      <c r="C391" s="2674"/>
      <c r="D391" s="2674"/>
      <c r="E391" s="2674"/>
      <c r="F391" s="2674"/>
      <c r="G391" s="2674"/>
      <c r="H391" s="2674"/>
      <c r="I391" s="2674"/>
      <c r="J391" s="2674"/>
      <c r="K391" s="2674"/>
      <c r="L391" s="2674"/>
      <c r="M391" s="2674"/>
      <c r="N391" s="2674"/>
      <c r="O391" s="2674"/>
      <c r="P391" s="2674"/>
      <c r="Q391" s="2674"/>
      <c r="R391" s="2674"/>
      <c r="S391" s="2674"/>
      <c r="T391" s="2674"/>
      <c r="U391" s="2674"/>
    </row>
    <row r="392" spans="1:21" ht="11.25" customHeight="1" x14ac:dyDescent="0.2">
      <c r="A392" s="2674"/>
      <c r="B392" s="2674"/>
      <c r="C392" s="2674"/>
      <c r="D392" s="2674"/>
      <c r="E392" s="2674"/>
      <c r="F392" s="2674"/>
      <c r="G392" s="2674"/>
      <c r="H392" s="2674"/>
      <c r="I392" s="2674"/>
      <c r="J392" s="2674"/>
      <c r="K392" s="2674"/>
      <c r="L392" s="2674"/>
      <c r="M392" s="2674"/>
      <c r="N392" s="2674"/>
      <c r="O392" s="2674"/>
      <c r="P392" s="2674"/>
      <c r="Q392" s="2674"/>
      <c r="R392" s="2674"/>
      <c r="S392" s="2674"/>
      <c r="T392" s="2674"/>
      <c r="U392" s="2674"/>
    </row>
    <row r="393" spans="1:21" ht="11.25" customHeight="1" x14ac:dyDescent="0.2">
      <c r="A393" s="2674"/>
      <c r="B393" s="2674"/>
      <c r="C393" s="2674"/>
      <c r="D393" s="2674"/>
      <c r="E393" s="2674"/>
      <c r="F393" s="2674"/>
      <c r="G393" s="2674"/>
      <c r="H393" s="2674"/>
      <c r="I393" s="2674"/>
      <c r="J393" s="2674"/>
      <c r="K393" s="2674"/>
      <c r="L393" s="2674"/>
      <c r="M393" s="2674"/>
      <c r="N393" s="2674"/>
      <c r="O393" s="2674"/>
      <c r="P393" s="2674"/>
      <c r="Q393" s="2674"/>
      <c r="R393" s="2674"/>
      <c r="S393" s="2674"/>
      <c r="T393" s="2674"/>
      <c r="U393" s="2674"/>
    </row>
    <row r="394" spans="1:21" ht="11.25" customHeight="1" x14ac:dyDescent="0.2">
      <c r="A394" s="2674"/>
      <c r="B394" s="2674"/>
      <c r="C394" s="2674"/>
      <c r="D394" s="2674"/>
      <c r="E394" s="2674"/>
      <c r="F394" s="2674"/>
      <c r="G394" s="2674"/>
      <c r="H394" s="2674"/>
      <c r="I394" s="2674"/>
      <c r="J394" s="2674"/>
      <c r="K394" s="2674"/>
      <c r="L394" s="2674"/>
      <c r="M394" s="2674"/>
      <c r="N394" s="2674"/>
      <c r="O394" s="2674"/>
      <c r="P394" s="2674"/>
      <c r="Q394" s="2674"/>
      <c r="R394" s="2674"/>
      <c r="S394" s="2674"/>
      <c r="T394" s="2674"/>
      <c r="U394" s="2674"/>
    </row>
    <row r="395" spans="1:21" ht="11.25" customHeight="1" x14ac:dyDescent="0.2">
      <c r="A395" s="2674"/>
      <c r="B395" s="2674"/>
      <c r="C395" s="2674"/>
      <c r="D395" s="2674"/>
      <c r="E395" s="2674"/>
      <c r="F395" s="2674"/>
      <c r="G395" s="2674"/>
      <c r="H395" s="2674"/>
      <c r="I395" s="2674"/>
      <c r="J395" s="2674"/>
      <c r="K395" s="2674"/>
      <c r="L395" s="2674"/>
      <c r="M395" s="2674"/>
      <c r="N395" s="2674"/>
      <c r="O395" s="2674"/>
      <c r="P395" s="2674"/>
      <c r="Q395" s="2674"/>
      <c r="R395" s="2674"/>
      <c r="S395" s="2674"/>
      <c r="T395" s="2674"/>
      <c r="U395" s="2674"/>
    </row>
    <row r="396" spans="1:21" ht="11.25" customHeight="1" x14ac:dyDescent="0.2">
      <c r="A396" s="2674"/>
      <c r="B396" s="2674"/>
      <c r="C396" s="2674"/>
      <c r="D396" s="2674"/>
      <c r="E396" s="2674"/>
      <c r="F396" s="2674"/>
      <c r="G396" s="2674"/>
      <c r="H396" s="2674"/>
      <c r="I396" s="2674"/>
      <c r="J396" s="2674"/>
      <c r="K396" s="2674"/>
      <c r="L396" s="2674"/>
      <c r="M396" s="2674"/>
      <c r="N396" s="2674"/>
      <c r="O396" s="2674"/>
      <c r="P396" s="2674"/>
      <c r="Q396" s="2674"/>
      <c r="R396" s="2674"/>
      <c r="S396" s="2674"/>
      <c r="T396" s="2674"/>
      <c r="U396" s="2674"/>
    </row>
    <row r="397" spans="1:21" ht="11.25" customHeight="1" x14ac:dyDescent="0.2">
      <c r="A397" s="2674"/>
      <c r="B397" s="2674"/>
      <c r="C397" s="2674"/>
      <c r="D397" s="2674"/>
      <c r="E397" s="2674"/>
      <c r="F397" s="2674"/>
      <c r="G397" s="2674"/>
      <c r="H397" s="2674"/>
      <c r="I397" s="2674"/>
      <c r="J397" s="2674"/>
      <c r="K397" s="2674"/>
      <c r="L397" s="2674"/>
      <c r="M397" s="2674"/>
      <c r="N397" s="2674"/>
      <c r="O397" s="2674"/>
      <c r="P397" s="2674"/>
      <c r="Q397" s="2674"/>
      <c r="R397" s="2674"/>
      <c r="S397" s="2674"/>
      <c r="T397" s="2674"/>
      <c r="U397" s="2674"/>
    </row>
    <row r="398" spans="1:21" ht="11.25" customHeight="1" x14ac:dyDescent="0.2">
      <c r="A398" s="2674"/>
      <c r="B398" s="2674"/>
      <c r="C398" s="2674"/>
      <c r="D398" s="2674"/>
      <c r="E398" s="2674"/>
      <c r="F398" s="2674"/>
      <c r="G398" s="2674"/>
      <c r="H398" s="2674"/>
      <c r="I398" s="2674"/>
      <c r="J398" s="2674"/>
      <c r="K398" s="2674"/>
      <c r="L398" s="2674"/>
      <c r="M398" s="2674"/>
      <c r="N398" s="2674"/>
      <c r="O398" s="2674"/>
      <c r="P398" s="2674"/>
      <c r="Q398" s="2674"/>
      <c r="R398" s="2674"/>
      <c r="S398" s="2674"/>
      <c r="T398" s="2674"/>
      <c r="U398" s="2674"/>
    </row>
    <row r="399" spans="1:21" ht="11.25" customHeight="1" x14ac:dyDescent="0.2">
      <c r="A399" s="2674"/>
      <c r="B399" s="2674"/>
      <c r="C399" s="2674"/>
      <c r="D399" s="2674"/>
      <c r="E399" s="2674"/>
      <c r="F399" s="2674"/>
      <c r="G399" s="2674"/>
      <c r="H399" s="2674"/>
      <c r="I399" s="2674"/>
      <c r="J399" s="2674"/>
      <c r="K399" s="2674"/>
      <c r="L399" s="2674"/>
      <c r="M399" s="2674"/>
      <c r="N399" s="2674"/>
      <c r="O399" s="2674"/>
      <c r="P399" s="2674"/>
      <c r="Q399" s="2674"/>
      <c r="R399" s="2674"/>
      <c r="S399" s="2674"/>
      <c r="T399" s="2674"/>
      <c r="U399" s="2674"/>
    </row>
    <row r="400" spans="1:21" ht="11.25" customHeight="1" x14ac:dyDescent="0.2">
      <c r="A400" s="2674"/>
      <c r="B400" s="2674"/>
      <c r="C400" s="2674"/>
      <c r="D400" s="2674"/>
      <c r="E400" s="2674"/>
      <c r="F400" s="2674"/>
      <c r="G400" s="2674"/>
      <c r="H400" s="2674"/>
      <c r="I400" s="2674"/>
      <c r="J400" s="2674"/>
      <c r="K400" s="2674"/>
      <c r="L400" s="2674"/>
      <c r="M400" s="2674"/>
      <c r="N400" s="2674"/>
      <c r="O400" s="2674"/>
      <c r="P400" s="2674"/>
      <c r="Q400" s="2674"/>
      <c r="R400" s="2674"/>
      <c r="S400" s="2674"/>
      <c r="T400" s="2674"/>
      <c r="U400" s="2674"/>
    </row>
    <row r="401" spans="1:21" ht="11.25" customHeight="1" x14ac:dyDescent="0.2">
      <c r="A401" s="2674"/>
      <c r="B401" s="2674"/>
      <c r="C401" s="2674"/>
      <c r="D401" s="2674"/>
      <c r="E401" s="2674"/>
      <c r="F401" s="2674"/>
      <c r="G401" s="2674"/>
      <c r="H401" s="2674"/>
      <c r="I401" s="2674"/>
      <c r="J401" s="2674"/>
      <c r="K401" s="2674"/>
      <c r="L401" s="2674"/>
      <c r="M401" s="2674"/>
      <c r="N401" s="2674"/>
      <c r="O401" s="2674"/>
      <c r="P401" s="2674"/>
      <c r="Q401" s="2674"/>
      <c r="R401" s="2674"/>
      <c r="S401" s="2674"/>
      <c r="T401" s="2674"/>
      <c r="U401" s="2674"/>
    </row>
    <row r="402" spans="1:21" ht="11.25" customHeight="1" x14ac:dyDescent="0.2">
      <c r="A402" s="2674"/>
      <c r="B402" s="2674"/>
      <c r="C402" s="2674"/>
      <c r="D402" s="2674"/>
      <c r="E402" s="2674"/>
      <c r="F402" s="2674"/>
      <c r="G402" s="2674"/>
      <c r="H402" s="2674"/>
      <c r="I402" s="2674"/>
      <c r="J402" s="2674"/>
      <c r="K402" s="2674"/>
      <c r="L402" s="2674"/>
      <c r="M402" s="2674"/>
      <c r="N402" s="2674"/>
      <c r="O402" s="2674"/>
      <c r="P402" s="2674"/>
      <c r="Q402" s="2674"/>
      <c r="R402" s="2674"/>
      <c r="S402" s="2674"/>
      <c r="T402" s="2674"/>
      <c r="U402" s="2674"/>
    </row>
    <row r="403" spans="1:21" ht="11.25" customHeight="1" x14ac:dyDescent="0.2">
      <c r="A403" s="2674"/>
      <c r="B403" s="2674"/>
      <c r="C403" s="2674"/>
      <c r="D403" s="2674"/>
      <c r="E403" s="2674"/>
      <c r="F403" s="2674"/>
      <c r="G403" s="2674"/>
      <c r="H403" s="2674"/>
      <c r="I403" s="2674"/>
      <c r="J403" s="2674"/>
      <c r="K403" s="2674"/>
      <c r="L403" s="2674"/>
      <c r="M403" s="2674"/>
      <c r="N403" s="2674"/>
      <c r="O403" s="2674"/>
      <c r="P403" s="2674"/>
      <c r="Q403" s="2674"/>
      <c r="R403" s="2674"/>
      <c r="S403" s="2674"/>
      <c r="T403" s="2674"/>
      <c r="U403" s="2674"/>
    </row>
    <row r="404" spans="1:21" ht="11.25" customHeight="1" x14ac:dyDescent="0.2">
      <c r="A404" s="2674"/>
      <c r="B404" s="2674"/>
      <c r="C404" s="2674"/>
      <c r="D404" s="2674"/>
      <c r="E404" s="2674"/>
      <c r="F404" s="2674"/>
      <c r="G404" s="2674"/>
      <c r="H404" s="2674"/>
      <c r="I404" s="2674"/>
      <c r="J404" s="2674"/>
      <c r="K404" s="2674"/>
      <c r="L404" s="2674"/>
      <c r="M404" s="2674"/>
      <c r="N404" s="2674"/>
      <c r="O404" s="2674"/>
      <c r="P404" s="2674"/>
      <c r="Q404" s="2674"/>
      <c r="R404" s="2674"/>
      <c r="S404" s="2674"/>
      <c r="T404" s="2674"/>
      <c r="U404" s="2674"/>
    </row>
    <row r="405" spans="1:21" ht="11.25" customHeight="1" x14ac:dyDescent="0.2">
      <c r="A405" s="2674"/>
      <c r="B405" s="2674"/>
      <c r="C405" s="2674"/>
      <c r="D405" s="2674"/>
      <c r="E405" s="2674"/>
      <c r="F405" s="2674"/>
      <c r="G405" s="2674"/>
      <c r="H405" s="2674"/>
      <c r="I405" s="2674"/>
      <c r="J405" s="2674"/>
      <c r="K405" s="2674"/>
      <c r="L405" s="2674"/>
      <c r="M405" s="2674"/>
      <c r="N405" s="2674"/>
      <c r="O405" s="2674"/>
      <c r="P405" s="2674"/>
      <c r="Q405" s="2674"/>
      <c r="R405" s="2674"/>
      <c r="S405" s="2674"/>
      <c r="T405" s="2674"/>
      <c r="U405" s="2674"/>
    </row>
    <row r="406" spans="1:21" ht="11.25" customHeight="1" x14ac:dyDescent="0.2">
      <c r="A406" s="2674"/>
      <c r="B406" s="2674"/>
      <c r="C406" s="2674"/>
      <c r="D406" s="2674"/>
      <c r="E406" s="2674"/>
      <c r="F406" s="2674"/>
      <c r="G406" s="2674"/>
      <c r="H406" s="2674"/>
      <c r="I406" s="2674"/>
      <c r="J406" s="2674"/>
      <c r="K406" s="2674"/>
      <c r="L406" s="2674"/>
      <c r="M406" s="2674"/>
      <c r="N406" s="2674"/>
      <c r="O406" s="2674"/>
      <c r="P406" s="2674"/>
      <c r="Q406" s="2674"/>
      <c r="R406" s="2674"/>
      <c r="S406" s="2674"/>
      <c r="T406" s="2674"/>
      <c r="U406" s="2674"/>
    </row>
    <row r="407" spans="1:21" ht="11.25" customHeight="1" x14ac:dyDescent="0.2">
      <c r="A407" s="2674"/>
      <c r="B407" s="2674"/>
      <c r="C407" s="2674"/>
      <c r="D407" s="2674"/>
      <c r="E407" s="2674"/>
      <c r="F407" s="2674"/>
      <c r="G407" s="2674"/>
      <c r="H407" s="2674"/>
      <c r="I407" s="2674"/>
      <c r="J407" s="2674"/>
      <c r="K407" s="2674"/>
      <c r="L407" s="2674"/>
      <c r="M407" s="2674"/>
      <c r="N407" s="2674"/>
      <c r="O407" s="2674"/>
      <c r="P407" s="2674"/>
      <c r="Q407" s="2674"/>
      <c r="R407" s="2674"/>
      <c r="S407" s="2674"/>
      <c r="T407" s="2674"/>
      <c r="U407" s="2674"/>
    </row>
    <row r="408" spans="1:21" ht="11.25" customHeight="1" x14ac:dyDescent="0.2">
      <c r="A408" s="2674"/>
      <c r="B408" s="2674"/>
      <c r="C408" s="2674"/>
      <c r="D408" s="2674"/>
      <c r="E408" s="2674"/>
      <c r="F408" s="2674"/>
      <c r="G408" s="2674"/>
      <c r="H408" s="2674"/>
      <c r="I408" s="2674"/>
      <c r="J408" s="2674"/>
      <c r="K408" s="2674"/>
      <c r="L408" s="2674"/>
      <c r="M408" s="2674"/>
      <c r="N408" s="2674"/>
      <c r="O408" s="2674"/>
      <c r="P408" s="2674"/>
      <c r="Q408" s="2674"/>
      <c r="R408" s="2674"/>
      <c r="S408" s="2674"/>
      <c r="T408" s="2674"/>
      <c r="U408" s="2674"/>
    </row>
    <row r="409" spans="1:21" ht="11.25" customHeight="1" x14ac:dyDescent="0.2">
      <c r="A409" s="2674"/>
      <c r="B409" s="2674"/>
      <c r="C409" s="2674"/>
      <c r="D409" s="2674"/>
      <c r="E409" s="2674"/>
      <c r="F409" s="2674"/>
      <c r="G409" s="2674"/>
      <c r="H409" s="2674"/>
      <c r="I409" s="2674"/>
      <c r="J409" s="2674"/>
      <c r="K409" s="2674"/>
      <c r="L409" s="2674"/>
      <c r="M409" s="2674"/>
      <c r="N409" s="2674"/>
      <c r="O409" s="2674"/>
      <c r="P409" s="2674"/>
      <c r="Q409" s="2674"/>
      <c r="R409" s="2674"/>
      <c r="S409" s="2674"/>
      <c r="T409" s="2674"/>
      <c r="U409" s="2674"/>
    </row>
    <row r="410" spans="1:21" ht="11.25" customHeight="1" x14ac:dyDescent="0.2">
      <c r="A410" s="2674"/>
      <c r="B410" s="2674"/>
      <c r="C410" s="2674"/>
      <c r="D410" s="2674"/>
      <c r="E410" s="2674"/>
      <c r="F410" s="2674"/>
      <c r="G410" s="2674"/>
      <c r="H410" s="2674"/>
      <c r="I410" s="2674"/>
      <c r="J410" s="2674"/>
      <c r="K410" s="2674"/>
      <c r="L410" s="2674"/>
      <c r="M410" s="2674"/>
      <c r="N410" s="2674"/>
      <c r="O410" s="2674"/>
      <c r="P410" s="2674"/>
      <c r="Q410" s="2674"/>
      <c r="R410" s="2674"/>
      <c r="S410" s="2674"/>
      <c r="T410" s="2674"/>
      <c r="U410" s="2674"/>
    </row>
    <row r="411" spans="1:21" ht="11.25" customHeight="1" x14ac:dyDescent="0.2">
      <c r="A411" s="2674"/>
      <c r="B411" s="2674"/>
      <c r="C411" s="2674"/>
      <c r="D411" s="2674"/>
      <c r="E411" s="2674"/>
      <c r="F411" s="2674"/>
      <c r="G411" s="2674"/>
      <c r="H411" s="2674"/>
      <c r="I411" s="2674"/>
      <c r="J411" s="2674"/>
      <c r="K411" s="2674"/>
      <c r="L411" s="2674"/>
      <c r="M411" s="2674"/>
      <c r="N411" s="2674"/>
      <c r="O411" s="2674"/>
      <c r="P411" s="2674"/>
      <c r="Q411" s="2674"/>
      <c r="R411" s="2674"/>
      <c r="S411" s="2674"/>
      <c r="T411" s="2674"/>
      <c r="U411" s="2674"/>
    </row>
    <row r="412" spans="1:21" ht="11.25" customHeight="1" x14ac:dyDescent="0.2">
      <c r="A412" s="2674"/>
      <c r="B412" s="2674"/>
      <c r="C412" s="2674"/>
      <c r="D412" s="2674"/>
      <c r="E412" s="2674"/>
      <c r="F412" s="2674"/>
      <c r="G412" s="2674"/>
      <c r="H412" s="2674"/>
      <c r="I412" s="2674"/>
      <c r="J412" s="2674"/>
      <c r="K412" s="2674"/>
      <c r="L412" s="2674"/>
      <c r="M412" s="2674"/>
      <c r="N412" s="2674"/>
      <c r="O412" s="2674"/>
      <c r="P412" s="2674"/>
      <c r="Q412" s="2674"/>
      <c r="R412" s="2674"/>
      <c r="S412" s="2674"/>
      <c r="T412" s="2674"/>
      <c r="U412" s="2674"/>
    </row>
    <row r="413" spans="1:21" ht="11.25" customHeight="1" x14ac:dyDescent="0.2">
      <c r="A413" s="2674"/>
      <c r="B413" s="2674"/>
      <c r="C413" s="2674"/>
      <c r="D413" s="2674"/>
      <c r="E413" s="2674"/>
      <c r="F413" s="2674"/>
      <c r="G413" s="2674"/>
      <c r="H413" s="2674"/>
      <c r="I413" s="2674"/>
      <c r="J413" s="2674"/>
      <c r="K413" s="2674"/>
      <c r="L413" s="2674"/>
      <c r="M413" s="2674"/>
      <c r="N413" s="2674"/>
      <c r="O413" s="2674"/>
      <c r="P413" s="2674"/>
      <c r="Q413" s="2674"/>
      <c r="R413" s="2674"/>
      <c r="S413" s="2674"/>
      <c r="T413" s="2674"/>
      <c r="U413" s="2674"/>
    </row>
    <row r="414" spans="1:21" ht="11.25" customHeight="1" x14ac:dyDescent="0.2">
      <c r="A414" s="2674"/>
      <c r="B414" s="2674"/>
      <c r="C414" s="2674"/>
      <c r="D414" s="2674"/>
      <c r="E414" s="2674"/>
      <c r="F414" s="2674"/>
      <c r="G414" s="2674"/>
      <c r="H414" s="2674"/>
      <c r="I414" s="2674"/>
      <c r="J414" s="2674"/>
      <c r="K414" s="2674"/>
      <c r="L414" s="2674"/>
      <c r="M414" s="2674"/>
      <c r="N414" s="2674"/>
      <c r="O414" s="2674"/>
      <c r="P414" s="2674"/>
      <c r="Q414" s="2674"/>
      <c r="R414" s="2674"/>
      <c r="S414" s="2674"/>
      <c r="T414" s="2674"/>
      <c r="U414" s="2674"/>
    </row>
    <row r="415" spans="1:21" ht="11.25" customHeight="1" x14ac:dyDescent="0.2">
      <c r="A415" s="2674"/>
      <c r="B415" s="2674"/>
      <c r="C415" s="2674"/>
      <c r="D415" s="2674"/>
      <c r="E415" s="2674"/>
      <c r="F415" s="2674"/>
      <c r="G415" s="2674"/>
      <c r="H415" s="2674"/>
      <c r="I415" s="2674"/>
      <c r="J415" s="2674"/>
      <c r="K415" s="2674"/>
      <c r="L415" s="2674"/>
      <c r="M415" s="2674"/>
      <c r="N415" s="2674"/>
      <c r="O415" s="2674"/>
      <c r="P415" s="2674"/>
      <c r="Q415" s="2674"/>
      <c r="R415" s="2674"/>
      <c r="S415" s="2674"/>
      <c r="T415" s="2674"/>
      <c r="U415" s="2674"/>
    </row>
    <row r="416" spans="1:21" ht="11.25" customHeight="1" x14ac:dyDescent="0.2">
      <c r="A416" s="2674"/>
      <c r="B416" s="2674"/>
      <c r="C416" s="2674"/>
      <c r="D416" s="2674"/>
      <c r="E416" s="2674"/>
      <c r="F416" s="2674"/>
      <c r="G416" s="2674"/>
      <c r="H416" s="2674"/>
      <c r="I416" s="2674"/>
      <c r="J416" s="2674"/>
      <c r="K416" s="2674"/>
      <c r="L416" s="2674"/>
      <c r="M416" s="2674"/>
      <c r="N416" s="2674"/>
      <c r="O416" s="2674"/>
      <c r="P416" s="2674"/>
      <c r="Q416" s="2674"/>
      <c r="R416" s="2674"/>
      <c r="S416" s="2674"/>
      <c r="T416" s="2674"/>
      <c r="U416" s="2674"/>
    </row>
    <row r="417" spans="1:21" ht="11.25" customHeight="1" x14ac:dyDescent="0.2">
      <c r="A417" s="2674"/>
      <c r="B417" s="2674"/>
      <c r="C417" s="2674"/>
      <c r="D417" s="2674"/>
      <c r="E417" s="2674"/>
      <c r="F417" s="2674"/>
      <c r="G417" s="2674"/>
      <c r="H417" s="2674"/>
      <c r="I417" s="2674"/>
      <c r="J417" s="2674"/>
      <c r="K417" s="2674"/>
      <c r="L417" s="2674"/>
      <c r="M417" s="2674"/>
      <c r="N417" s="2674"/>
      <c r="O417" s="2674"/>
      <c r="P417" s="2674"/>
      <c r="Q417" s="2674"/>
      <c r="R417" s="2674"/>
      <c r="S417" s="2674"/>
      <c r="T417" s="2674"/>
      <c r="U417" s="2674"/>
    </row>
    <row r="418" spans="1:21" ht="11.25" customHeight="1" x14ac:dyDescent="0.2">
      <c r="A418" s="2674"/>
      <c r="B418" s="2674"/>
      <c r="C418" s="2674"/>
      <c r="D418" s="2674"/>
      <c r="E418" s="2674"/>
      <c r="F418" s="2674"/>
      <c r="G418" s="2674"/>
      <c r="H418" s="2674"/>
      <c r="I418" s="2674"/>
      <c r="J418" s="2674"/>
      <c r="K418" s="2674"/>
      <c r="L418" s="2674"/>
      <c r="M418" s="2674"/>
      <c r="N418" s="2674"/>
      <c r="O418" s="2674"/>
      <c r="P418" s="2674"/>
      <c r="Q418" s="2674"/>
      <c r="R418" s="2674"/>
      <c r="S418" s="2674"/>
      <c r="T418" s="2674"/>
      <c r="U418" s="2674"/>
    </row>
    <row r="419" spans="1:21" ht="11.25" customHeight="1" x14ac:dyDescent="0.2">
      <c r="A419" s="2674"/>
      <c r="B419" s="2674"/>
      <c r="C419" s="2674"/>
      <c r="D419" s="2674"/>
      <c r="E419" s="2674"/>
      <c r="F419" s="2674"/>
      <c r="G419" s="2674"/>
      <c r="H419" s="2674"/>
      <c r="I419" s="2674"/>
      <c r="J419" s="2674"/>
      <c r="K419" s="2674"/>
      <c r="L419" s="2674"/>
      <c r="M419" s="2674"/>
      <c r="N419" s="2674"/>
      <c r="O419" s="2674"/>
      <c r="P419" s="2674"/>
      <c r="Q419" s="2674"/>
      <c r="R419" s="2674"/>
      <c r="S419" s="2674"/>
      <c r="T419" s="2674"/>
      <c r="U419" s="2674"/>
    </row>
    <row r="420" spans="1:21" ht="11.25" customHeight="1" x14ac:dyDescent="0.2">
      <c r="A420" s="2674"/>
      <c r="B420" s="2674"/>
      <c r="C420" s="2674"/>
      <c r="D420" s="2674"/>
      <c r="E420" s="2674"/>
      <c r="F420" s="2674"/>
      <c r="G420" s="2674"/>
      <c r="H420" s="2674"/>
      <c r="I420" s="2674"/>
      <c r="J420" s="2674"/>
      <c r="K420" s="2674"/>
      <c r="L420" s="2674"/>
      <c r="M420" s="2674"/>
      <c r="N420" s="2674"/>
      <c r="O420" s="2674"/>
      <c r="P420" s="2674"/>
      <c r="Q420" s="2674"/>
      <c r="R420" s="2674"/>
      <c r="S420" s="2674"/>
      <c r="T420" s="2674"/>
      <c r="U420" s="2674"/>
    </row>
    <row r="421" spans="1:21" ht="11.25" customHeight="1" x14ac:dyDescent="0.2">
      <c r="A421" s="2674"/>
      <c r="B421" s="2674"/>
      <c r="C421" s="2674"/>
      <c r="D421" s="2674"/>
      <c r="E421" s="2674"/>
      <c r="F421" s="2674"/>
      <c r="G421" s="2674"/>
      <c r="H421" s="2674"/>
      <c r="I421" s="2674"/>
      <c r="J421" s="2674"/>
      <c r="K421" s="2674"/>
      <c r="L421" s="2674"/>
      <c r="M421" s="2674"/>
      <c r="N421" s="2674"/>
      <c r="O421" s="2674"/>
      <c r="P421" s="2674"/>
      <c r="Q421" s="2674"/>
      <c r="R421" s="2674"/>
      <c r="S421" s="2674"/>
      <c r="T421" s="2674"/>
      <c r="U421" s="2674"/>
    </row>
    <row r="422" spans="1:21" ht="11.25" customHeight="1" x14ac:dyDescent="0.2">
      <c r="A422" s="2674"/>
      <c r="B422" s="2674"/>
      <c r="C422" s="2674"/>
      <c r="D422" s="2674"/>
      <c r="E422" s="2674"/>
      <c r="F422" s="2674"/>
      <c r="G422" s="2674"/>
      <c r="H422" s="2674"/>
      <c r="I422" s="2674"/>
      <c r="J422" s="2674"/>
      <c r="K422" s="2674"/>
      <c r="L422" s="2674"/>
      <c r="M422" s="2674"/>
      <c r="N422" s="2674"/>
      <c r="O422" s="2674"/>
      <c r="P422" s="2674"/>
      <c r="Q422" s="2674"/>
      <c r="R422" s="2674"/>
      <c r="S422" s="2674"/>
      <c r="T422" s="2674"/>
      <c r="U422" s="2674"/>
    </row>
    <row r="423" spans="1:21" ht="11.25" customHeight="1" x14ac:dyDescent="0.2">
      <c r="A423" s="2674"/>
      <c r="B423" s="2674"/>
      <c r="C423" s="2674"/>
      <c r="D423" s="2674"/>
      <c r="E423" s="2674"/>
      <c r="F423" s="2674"/>
      <c r="G423" s="2674"/>
      <c r="H423" s="2674"/>
      <c r="I423" s="2674"/>
      <c r="J423" s="2674"/>
      <c r="K423" s="2674"/>
      <c r="L423" s="2674"/>
      <c r="M423" s="2674"/>
      <c r="N423" s="2674"/>
      <c r="O423" s="2674"/>
      <c r="P423" s="2674"/>
      <c r="Q423" s="2674"/>
      <c r="R423" s="2674"/>
      <c r="S423" s="2674"/>
      <c r="T423" s="2674"/>
      <c r="U423" s="2674"/>
    </row>
    <row r="424" spans="1:21" ht="11.25" customHeight="1" x14ac:dyDescent="0.2">
      <c r="A424" s="2674"/>
      <c r="B424" s="2674"/>
      <c r="C424" s="2674"/>
      <c r="D424" s="2674"/>
      <c r="E424" s="2674"/>
      <c r="F424" s="2674"/>
      <c r="G424" s="2674"/>
      <c r="H424" s="2674"/>
      <c r="I424" s="2674"/>
      <c r="J424" s="2674"/>
      <c r="K424" s="2674"/>
      <c r="L424" s="2674"/>
      <c r="M424" s="2674"/>
      <c r="N424" s="2674"/>
      <c r="O424" s="2674"/>
      <c r="P424" s="2674"/>
      <c r="Q424" s="2674"/>
      <c r="R424" s="2674"/>
      <c r="S424" s="2674"/>
      <c r="T424" s="2674"/>
      <c r="U424" s="2674"/>
    </row>
    <row r="425" spans="1:21" ht="11.25" customHeight="1" x14ac:dyDescent="0.2">
      <c r="A425" s="2674"/>
      <c r="B425" s="2674"/>
      <c r="C425" s="2674"/>
      <c r="D425" s="2674"/>
      <c r="E425" s="2674"/>
      <c r="F425" s="2674"/>
      <c r="G425" s="2674"/>
      <c r="H425" s="2674"/>
      <c r="I425" s="2674"/>
      <c r="J425" s="2674"/>
      <c r="K425" s="2674"/>
      <c r="L425" s="2674"/>
      <c r="M425" s="2674"/>
      <c r="N425" s="2674"/>
      <c r="O425" s="2674"/>
      <c r="P425" s="2674"/>
      <c r="Q425" s="2674"/>
      <c r="R425" s="2674"/>
      <c r="S425" s="2674"/>
      <c r="T425" s="2674"/>
      <c r="U425" s="2674"/>
    </row>
    <row r="426" spans="1:21" ht="11.25" customHeight="1" x14ac:dyDescent="0.2">
      <c r="A426" s="2674"/>
      <c r="B426" s="2674"/>
      <c r="C426" s="2674"/>
      <c r="D426" s="2674"/>
      <c r="E426" s="2674"/>
      <c r="F426" s="2674"/>
      <c r="G426" s="2674"/>
      <c r="H426" s="2674"/>
      <c r="I426" s="2674"/>
      <c r="J426" s="2674"/>
      <c r="K426" s="2674"/>
      <c r="L426" s="2674"/>
      <c r="M426" s="2674"/>
      <c r="N426" s="2674"/>
      <c r="O426" s="2674"/>
      <c r="P426" s="2674"/>
      <c r="Q426" s="2674"/>
      <c r="R426" s="2674"/>
      <c r="S426" s="2674"/>
      <c r="T426" s="2674"/>
      <c r="U426" s="2674"/>
    </row>
    <row r="427" spans="1:21" ht="11.25" customHeight="1" x14ac:dyDescent="0.2">
      <c r="A427" s="2674"/>
      <c r="B427" s="2674"/>
      <c r="C427" s="2674"/>
      <c r="D427" s="2674"/>
      <c r="E427" s="2674"/>
      <c r="F427" s="2674"/>
      <c r="G427" s="2674"/>
      <c r="H427" s="2674"/>
      <c r="I427" s="2674"/>
      <c r="J427" s="2674"/>
      <c r="K427" s="2674"/>
      <c r="L427" s="2674"/>
      <c r="M427" s="2674"/>
      <c r="N427" s="2674"/>
      <c r="O427" s="2674"/>
      <c r="P427" s="2674"/>
      <c r="Q427" s="2674"/>
      <c r="R427" s="2674"/>
      <c r="S427" s="2674"/>
      <c r="T427" s="2674"/>
      <c r="U427" s="2674"/>
    </row>
    <row r="428" spans="1:21" ht="11.25" customHeight="1" x14ac:dyDescent="0.2">
      <c r="A428" s="2674"/>
      <c r="B428" s="2674"/>
      <c r="C428" s="2674"/>
      <c r="D428" s="2674"/>
      <c r="E428" s="2674"/>
      <c r="F428" s="2674"/>
      <c r="G428" s="2674"/>
      <c r="H428" s="2674"/>
      <c r="I428" s="2674"/>
      <c r="J428" s="2674"/>
      <c r="K428" s="2674"/>
      <c r="L428" s="2674"/>
      <c r="M428" s="2674"/>
      <c r="N428" s="2674"/>
      <c r="O428" s="2674"/>
      <c r="P428" s="2674"/>
      <c r="Q428" s="2674"/>
      <c r="R428" s="2674"/>
      <c r="S428" s="2674"/>
      <c r="T428" s="2674"/>
      <c r="U428" s="2674"/>
    </row>
    <row r="429" spans="1:21" ht="11.25" customHeight="1" x14ac:dyDescent="0.2">
      <c r="A429" s="2674"/>
      <c r="B429" s="2674"/>
      <c r="C429" s="2674"/>
      <c r="D429" s="2674"/>
      <c r="E429" s="2674"/>
      <c r="F429" s="2674"/>
      <c r="G429" s="2674"/>
      <c r="H429" s="2674"/>
      <c r="I429" s="2674"/>
      <c r="J429" s="2674"/>
      <c r="K429" s="2674"/>
      <c r="L429" s="2674"/>
      <c r="M429" s="2674"/>
      <c r="N429" s="2674"/>
      <c r="O429" s="2674"/>
      <c r="P429" s="2674"/>
      <c r="Q429" s="2674"/>
      <c r="R429" s="2674"/>
      <c r="S429" s="2674"/>
      <c r="T429" s="2674"/>
      <c r="U429" s="2674"/>
    </row>
    <row r="430" spans="1:21" ht="11.25" customHeight="1" x14ac:dyDescent="0.2">
      <c r="A430" s="2674"/>
      <c r="B430" s="2674"/>
      <c r="C430" s="2674"/>
      <c r="D430" s="2674"/>
      <c r="E430" s="2674"/>
      <c r="F430" s="2674"/>
      <c r="G430" s="2674"/>
      <c r="H430" s="2674"/>
      <c r="I430" s="2674"/>
      <c r="J430" s="2674"/>
      <c r="K430" s="2674"/>
      <c r="L430" s="2674"/>
      <c r="M430" s="2674"/>
      <c r="N430" s="2674"/>
      <c r="O430" s="2674"/>
      <c r="P430" s="2674"/>
      <c r="Q430" s="2674"/>
      <c r="R430" s="2674"/>
      <c r="S430" s="2674"/>
      <c r="T430" s="2674"/>
      <c r="U430" s="2674"/>
    </row>
    <row r="431" spans="1:21" ht="11.25" customHeight="1" x14ac:dyDescent="0.2">
      <c r="A431" s="2674"/>
      <c r="B431" s="2674"/>
      <c r="C431" s="2674"/>
      <c r="D431" s="2674"/>
      <c r="E431" s="2674"/>
      <c r="F431" s="2674"/>
      <c r="G431" s="2674"/>
      <c r="H431" s="2674"/>
      <c r="I431" s="2674"/>
      <c r="J431" s="2674"/>
      <c r="K431" s="2674"/>
      <c r="L431" s="2674"/>
      <c r="M431" s="2674"/>
      <c r="N431" s="2674"/>
      <c r="O431" s="2674"/>
      <c r="P431" s="2674"/>
      <c r="Q431" s="2674"/>
      <c r="R431" s="2674"/>
      <c r="S431" s="2674"/>
      <c r="T431" s="2674"/>
      <c r="U431" s="2674"/>
    </row>
    <row r="432" spans="1:21" ht="11.25" customHeight="1" x14ac:dyDescent="0.2">
      <c r="A432" s="2674"/>
      <c r="B432" s="2674"/>
      <c r="C432" s="2674"/>
      <c r="D432" s="2674"/>
      <c r="E432" s="2674"/>
      <c r="F432" s="2674"/>
      <c r="G432" s="2674"/>
      <c r="H432" s="2674"/>
      <c r="I432" s="2674"/>
      <c r="J432" s="2674"/>
      <c r="K432" s="2674"/>
      <c r="L432" s="2674"/>
      <c r="M432" s="2674"/>
      <c r="N432" s="2674"/>
      <c r="O432" s="2674"/>
      <c r="P432" s="2674"/>
      <c r="Q432" s="2674"/>
      <c r="R432" s="2674"/>
      <c r="S432" s="2674"/>
      <c r="T432" s="2674"/>
      <c r="U432" s="2674"/>
    </row>
    <row r="433" spans="1:21" ht="11.25" customHeight="1" x14ac:dyDescent="0.2">
      <c r="A433" s="2674"/>
      <c r="B433" s="2674"/>
      <c r="C433" s="2674"/>
      <c r="D433" s="2674"/>
      <c r="E433" s="2674"/>
      <c r="F433" s="2674"/>
      <c r="G433" s="2674"/>
      <c r="H433" s="2674"/>
      <c r="I433" s="2674"/>
      <c r="J433" s="2674"/>
      <c r="K433" s="2674"/>
      <c r="L433" s="2674"/>
      <c r="M433" s="2674"/>
      <c r="N433" s="2674"/>
      <c r="O433" s="2674"/>
      <c r="P433" s="2674"/>
      <c r="Q433" s="2674"/>
      <c r="R433" s="2674"/>
      <c r="S433" s="2674"/>
      <c r="T433" s="2674"/>
      <c r="U433" s="2674"/>
    </row>
    <row r="434" spans="1:21" ht="11.25" customHeight="1" x14ac:dyDescent="0.2">
      <c r="A434" s="2674"/>
      <c r="B434" s="2674"/>
      <c r="C434" s="2674"/>
      <c r="D434" s="2674"/>
      <c r="E434" s="2674"/>
      <c r="F434" s="2674"/>
      <c r="G434" s="2674"/>
      <c r="H434" s="2674"/>
      <c r="I434" s="2674"/>
      <c r="J434" s="2674"/>
      <c r="K434" s="2674"/>
      <c r="L434" s="2674"/>
      <c r="M434" s="2674"/>
      <c r="N434" s="2674"/>
      <c r="O434" s="2674"/>
      <c r="P434" s="2674"/>
      <c r="Q434" s="2674"/>
      <c r="R434" s="2674"/>
      <c r="S434" s="2674"/>
      <c r="T434" s="2674"/>
      <c r="U434" s="2674"/>
    </row>
    <row r="435" spans="1:21" ht="11.25" customHeight="1" x14ac:dyDescent="0.2">
      <c r="A435" s="2674"/>
      <c r="B435" s="2674"/>
      <c r="C435" s="2674"/>
      <c r="D435" s="2674"/>
      <c r="E435" s="2674"/>
      <c r="F435" s="2674"/>
      <c r="G435" s="2674"/>
      <c r="H435" s="2674"/>
      <c r="I435" s="2674"/>
      <c r="J435" s="2674"/>
      <c r="K435" s="2674"/>
      <c r="L435" s="2674"/>
      <c r="M435" s="2674"/>
      <c r="N435" s="2674"/>
      <c r="O435" s="2674"/>
      <c r="P435" s="2674"/>
      <c r="Q435" s="2674"/>
      <c r="R435" s="2674"/>
      <c r="S435" s="2674"/>
      <c r="T435" s="2674"/>
      <c r="U435" s="2674"/>
    </row>
    <row r="436" spans="1:21" ht="11.25" customHeight="1" x14ac:dyDescent="0.2">
      <c r="A436" s="2674"/>
      <c r="B436" s="2674"/>
      <c r="C436" s="2674"/>
      <c r="D436" s="2674"/>
      <c r="E436" s="2674"/>
      <c r="F436" s="2674"/>
      <c r="G436" s="2674"/>
      <c r="H436" s="2674"/>
      <c r="I436" s="2674"/>
      <c r="J436" s="2674"/>
      <c r="K436" s="2674"/>
      <c r="L436" s="2674"/>
      <c r="M436" s="2674"/>
      <c r="N436" s="2674"/>
      <c r="O436" s="2674"/>
      <c r="P436" s="2674"/>
      <c r="Q436" s="2674"/>
      <c r="R436" s="2674"/>
      <c r="S436" s="2674"/>
      <c r="T436" s="2674"/>
      <c r="U436" s="2674"/>
    </row>
    <row r="437" spans="1:21" ht="11.25" customHeight="1" x14ac:dyDescent="0.2">
      <c r="A437" s="2674"/>
      <c r="B437" s="2674"/>
      <c r="C437" s="2674"/>
      <c r="D437" s="2674"/>
      <c r="E437" s="2674"/>
      <c r="F437" s="2674"/>
      <c r="G437" s="2674"/>
      <c r="H437" s="2674"/>
      <c r="I437" s="2674"/>
      <c r="J437" s="2674"/>
      <c r="K437" s="2674"/>
      <c r="L437" s="2674"/>
      <c r="M437" s="2674"/>
      <c r="N437" s="2674"/>
      <c r="O437" s="2674"/>
      <c r="P437" s="2674"/>
      <c r="Q437" s="2674"/>
      <c r="R437" s="2674"/>
      <c r="S437" s="2674"/>
      <c r="T437" s="2674"/>
      <c r="U437" s="2674"/>
    </row>
    <row r="438" spans="1:21" ht="11.25" customHeight="1" x14ac:dyDescent="0.2">
      <c r="A438" s="2674"/>
      <c r="B438" s="2674"/>
      <c r="C438" s="2674"/>
      <c r="D438" s="2674"/>
      <c r="E438" s="2674"/>
      <c r="F438" s="2674"/>
      <c r="G438" s="2674"/>
      <c r="H438" s="2674"/>
      <c r="I438" s="2674"/>
      <c r="J438" s="2674"/>
      <c r="K438" s="2674"/>
      <c r="L438" s="2674"/>
      <c r="M438" s="2674"/>
      <c r="N438" s="2674"/>
      <c r="O438" s="2674"/>
      <c r="P438" s="2674"/>
      <c r="Q438" s="2674"/>
      <c r="R438" s="2674"/>
      <c r="S438" s="2674"/>
      <c r="T438" s="2674"/>
      <c r="U438" s="2674"/>
    </row>
    <row r="439" spans="1:21" ht="11.25" customHeight="1" x14ac:dyDescent="0.2">
      <c r="A439" s="2674"/>
      <c r="B439" s="2674"/>
      <c r="C439" s="2674"/>
      <c r="D439" s="2674"/>
      <c r="E439" s="2674"/>
      <c r="F439" s="2674"/>
      <c r="G439" s="2674"/>
      <c r="H439" s="2674"/>
      <c r="I439" s="2674"/>
      <c r="J439" s="2674"/>
      <c r="K439" s="2674"/>
      <c r="L439" s="2674"/>
      <c r="M439" s="2674"/>
      <c r="N439" s="2674"/>
      <c r="O439" s="2674"/>
      <c r="P439" s="2674"/>
      <c r="Q439" s="2674"/>
      <c r="R439" s="2674"/>
      <c r="S439" s="2674"/>
      <c r="T439" s="2674"/>
      <c r="U439" s="2674"/>
    </row>
    <row r="440" spans="1:21" ht="11.25" customHeight="1" x14ac:dyDescent="0.2">
      <c r="A440" s="2674"/>
      <c r="B440" s="2674"/>
      <c r="C440" s="2674"/>
      <c r="D440" s="2674"/>
      <c r="E440" s="2674"/>
      <c r="F440" s="2674"/>
      <c r="G440" s="2674"/>
      <c r="H440" s="2674"/>
      <c r="I440" s="2674"/>
      <c r="J440" s="2674"/>
      <c r="K440" s="2674"/>
      <c r="L440" s="2674"/>
      <c r="M440" s="2674"/>
      <c r="N440" s="2674"/>
      <c r="O440" s="2674"/>
      <c r="P440" s="2674"/>
      <c r="Q440" s="2674"/>
      <c r="R440" s="2674"/>
      <c r="S440" s="2674"/>
      <c r="T440" s="2674"/>
      <c r="U440" s="2674"/>
    </row>
    <row r="441" spans="1:21" ht="11.25" customHeight="1" x14ac:dyDescent="0.2">
      <c r="A441" s="2674"/>
      <c r="B441" s="2674"/>
      <c r="C441" s="2674"/>
      <c r="D441" s="2674"/>
      <c r="E441" s="2674"/>
      <c r="F441" s="2674"/>
      <c r="G441" s="2674"/>
      <c r="H441" s="2674"/>
      <c r="I441" s="2674"/>
      <c r="J441" s="2674"/>
      <c r="K441" s="2674"/>
      <c r="L441" s="2674"/>
      <c r="M441" s="2674"/>
      <c r="N441" s="2674"/>
      <c r="O441" s="2674"/>
      <c r="P441" s="2674"/>
      <c r="Q441" s="2674"/>
      <c r="R441" s="2674"/>
      <c r="S441" s="2674"/>
      <c r="T441" s="2674"/>
      <c r="U441" s="2674"/>
    </row>
    <row r="442" spans="1:21" ht="11.25" customHeight="1" x14ac:dyDescent="0.2">
      <c r="A442" s="2674"/>
      <c r="B442" s="2674"/>
      <c r="C442" s="2674"/>
      <c r="D442" s="2674"/>
      <c r="E442" s="2674"/>
      <c r="F442" s="2674"/>
      <c r="G442" s="2674"/>
      <c r="H442" s="2674"/>
      <c r="I442" s="2674"/>
      <c r="J442" s="2674"/>
      <c r="K442" s="2674"/>
      <c r="L442" s="2674"/>
      <c r="M442" s="2674"/>
      <c r="N442" s="2674"/>
      <c r="O442" s="2674"/>
      <c r="P442" s="2674"/>
      <c r="Q442" s="2674"/>
      <c r="R442" s="2674"/>
      <c r="S442" s="2674"/>
      <c r="T442" s="2674"/>
      <c r="U442" s="2674"/>
    </row>
    <row r="443" spans="1:21" ht="11.25" customHeight="1" x14ac:dyDescent="0.2">
      <c r="A443" s="2674"/>
      <c r="B443" s="2674"/>
      <c r="C443" s="2674"/>
      <c r="D443" s="2674"/>
      <c r="E443" s="2674"/>
      <c r="F443" s="2674"/>
      <c r="G443" s="2674"/>
      <c r="H443" s="2674"/>
      <c r="I443" s="2674"/>
      <c r="J443" s="2674"/>
      <c r="K443" s="2674"/>
      <c r="L443" s="2674"/>
      <c r="M443" s="2674"/>
      <c r="N443" s="2674"/>
      <c r="O443" s="2674"/>
      <c r="P443" s="2674"/>
      <c r="Q443" s="2674"/>
      <c r="R443" s="2674"/>
      <c r="S443" s="2674"/>
      <c r="T443" s="2674"/>
      <c r="U443" s="2674"/>
    </row>
    <row r="444" spans="1:21" ht="11.25" customHeight="1" x14ac:dyDescent="0.2">
      <c r="A444" s="2674"/>
      <c r="B444" s="2674"/>
      <c r="C444" s="2674"/>
      <c r="D444" s="2674"/>
      <c r="E444" s="2674"/>
      <c r="F444" s="2674"/>
      <c r="G444" s="2674"/>
      <c r="H444" s="2674"/>
      <c r="I444" s="2674"/>
      <c r="J444" s="2674"/>
      <c r="K444" s="2674"/>
      <c r="L444" s="2674"/>
      <c r="M444" s="2674"/>
      <c r="N444" s="2674"/>
      <c r="O444" s="2674"/>
      <c r="P444" s="2674"/>
      <c r="Q444" s="2674"/>
      <c r="R444" s="2674"/>
      <c r="S444" s="2674"/>
      <c r="T444" s="2674"/>
      <c r="U444" s="2674"/>
    </row>
    <row r="445" spans="1:21" ht="11.25" customHeight="1" x14ac:dyDescent="0.2">
      <c r="A445" s="2674"/>
      <c r="B445" s="2674"/>
      <c r="C445" s="2674"/>
      <c r="D445" s="2674"/>
      <c r="E445" s="2674"/>
      <c r="F445" s="2674"/>
      <c r="G445" s="2674"/>
      <c r="H445" s="2674"/>
      <c r="I445" s="2674"/>
      <c r="J445" s="2674"/>
      <c r="K445" s="2674"/>
      <c r="L445" s="2674"/>
      <c r="M445" s="2674"/>
      <c r="N445" s="2674"/>
      <c r="O445" s="2674"/>
      <c r="P445" s="2674"/>
      <c r="Q445" s="2674"/>
      <c r="R445" s="2674"/>
      <c r="S445" s="2674"/>
      <c r="T445" s="2674"/>
      <c r="U445" s="2674"/>
    </row>
    <row r="446" spans="1:21" ht="11.25" customHeight="1" x14ac:dyDescent="0.2">
      <c r="A446" s="2674"/>
      <c r="B446" s="2674"/>
      <c r="C446" s="2674"/>
      <c r="D446" s="2674"/>
      <c r="E446" s="2674"/>
      <c r="F446" s="2674"/>
      <c r="G446" s="2674"/>
      <c r="H446" s="2674"/>
      <c r="I446" s="2674"/>
      <c r="J446" s="2674"/>
      <c r="K446" s="2674"/>
      <c r="L446" s="2674"/>
      <c r="M446" s="2674"/>
      <c r="N446" s="2674"/>
      <c r="O446" s="2674"/>
      <c r="P446" s="2674"/>
      <c r="Q446" s="2674"/>
      <c r="R446" s="2674"/>
      <c r="S446" s="2674"/>
      <c r="T446" s="2674"/>
      <c r="U446" s="2674"/>
    </row>
    <row r="447" spans="1:21" ht="11.25" customHeight="1" x14ac:dyDescent="0.2">
      <c r="A447" s="2674"/>
      <c r="B447" s="2674"/>
      <c r="C447" s="2674"/>
      <c r="D447" s="2674"/>
      <c r="E447" s="2674"/>
      <c r="F447" s="2674"/>
      <c r="G447" s="2674"/>
      <c r="H447" s="2674"/>
      <c r="I447" s="2674"/>
      <c r="J447" s="2674"/>
      <c r="K447" s="2674"/>
      <c r="L447" s="2674"/>
      <c r="M447" s="2674"/>
      <c r="N447" s="2674"/>
      <c r="O447" s="2674"/>
      <c r="P447" s="2674"/>
      <c r="Q447" s="2674"/>
      <c r="R447" s="2674"/>
      <c r="S447" s="2674"/>
      <c r="T447" s="2674"/>
      <c r="U447" s="2674"/>
    </row>
    <row r="448" spans="1:21" ht="11.25" customHeight="1" x14ac:dyDescent="0.2">
      <c r="A448" s="2674"/>
      <c r="B448" s="2674"/>
      <c r="C448" s="2674"/>
      <c r="D448" s="2674"/>
      <c r="E448" s="2674"/>
      <c r="F448" s="2674"/>
      <c r="G448" s="2674"/>
      <c r="H448" s="2674"/>
      <c r="I448" s="2674"/>
      <c r="J448" s="2674"/>
      <c r="K448" s="2674"/>
      <c r="L448" s="2674"/>
      <c r="M448" s="2674"/>
      <c r="N448" s="2674"/>
      <c r="O448" s="2674"/>
      <c r="P448" s="2674"/>
      <c r="Q448" s="2674"/>
      <c r="R448" s="2674"/>
      <c r="S448" s="2674"/>
      <c r="T448" s="2674"/>
      <c r="U448" s="2674"/>
    </row>
    <row r="449" spans="1:21" ht="11.25" customHeight="1" x14ac:dyDescent="0.2">
      <c r="A449" s="2674"/>
      <c r="B449" s="2674"/>
      <c r="C449" s="2674"/>
      <c r="D449" s="2674"/>
      <c r="E449" s="2674"/>
      <c r="F449" s="2674"/>
      <c r="G449" s="2674"/>
      <c r="H449" s="2674"/>
      <c r="I449" s="2674"/>
      <c r="J449" s="2674"/>
      <c r="K449" s="2674"/>
      <c r="L449" s="2674"/>
      <c r="M449" s="2674"/>
      <c r="N449" s="2674"/>
      <c r="O449" s="2674"/>
      <c r="P449" s="2674"/>
      <c r="Q449" s="2674"/>
      <c r="R449" s="2674"/>
      <c r="S449" s="2674"/>
      <c r="T449" s="2674"/>
      <c r="U449" s="2674"/>
    </row>
    <row r="450" spans="1:21" ht="11.25" customHeight="1" x14ac:dyDescent="0.2">
      <c r="A450" s="2674"/>
      <c r="B450" s="2674"/>
      <c r="C450" s="2674"/>
      <c r="D450" s="2674"/>
      <c r="E450" s="2674"/>
      <c r="F450" s="2674"/>
      <c r="G450" s="2674"/>
      <c r="H450" s="2674"/>
      <c r="I450" s="2674"/>
      <c r="J450" s="2674"/>
      <c r="K450" s="2674"/>
      <c r="L450" s="2674"/>
      <c r="M450" s="2674"/>
      <c r="N450" s="2674"/>
      <c r="O450" s="2674"/>
      <c r="P450" s="2674"/>
      <c r="Q450" s="2674"/>
      <c r="R450" s="2674"/>
      <c r="S450" s="2674"/>
      <c r="T450" s="2674"/>
      <c r="U450" s="2674"/>
    </row>
    <row r="451" spans="1:21" ht="11.25" customHeight="1" x14ac:dyDescent="0.2">
      <c r="A451" s="2674"/>
      <c r="B451" s="2674"/>
      <c r="C451" s="2674"/>
      <c r="D451" s="2674"/>
      <c r="E451" s="2674"/>
      <c r="F451" s="2674"/>
      <c r="G451" s="2674"/>
      <c r="H451" s="2674"/>
      <c r="I451" s="2674"/>
      <c r="J451" s="2674"/>
      <c r="K451" s="2674"/>
      <c r="L451" s="2674"/>
      <c r="M451" s="2674"/>
      <c r="N451" s="2674"/>
      <c r="O451" s="2674"/>
      <c r="P451" s="2674"/>
      <c r="Q451" s="2674"/>
      <c r="R451" s="2674"/>
      <c r="S451" s="2674"/>
      <c r="T451" s="2674"/>
      <c r="U451" s="2674"/>
    </row>
    <row r="452" spans="1:21" ht="11.25" customHeight="1" x14ac:dyDescent="0.2">
      <c r="A452" s="2674"/>
      <c r="B452" s="2674"/>
      <c r="C452" s="2674"/>
      <c r="D452" s="2674"/>
      <c r="E452" s="2674"/>
      <c r="F452" s="2674"/>
      <c r="G452" s="2674"/>
      <c r="H452" s="2674"/>
      <c r="I452" s="2674"/>
      <c r="J452" s="2674"/>
      <c r="K452" s="2674"/>
      <c r="L452" s="2674"/>
      <c r="M452" s="2674"/>
      <c r="N452" s="2674"/>
      <c r="O452" s="2674"/>
      <c r="P452" s="2674"/>
      <c r="Q452" s="2674"/>
      <c r="R452" s="2674"/>
      <c r="S452" s="2674"/>
      <c r="T452" s="2674"/>
      <c r="U452" s="2674"/>
    </row>
    <row r="453" spans="1:21" ht="11.25" customHeight="1" x14ac:dyDescent="0.2">
      <c r="A453" s="2674"/>
      <c r="B453" s="2674"/>
      <c r="C453" s="2674"/>
      <c r="D453" s="2674"/>
      <c r="E453" s="2674"/>
      <c r="F453" s="2674"/>
      <c r="G453" s="2674"/>
      <c r="H453" s="2674"/>
      <c r="I453" s="2674"/>
      <c r="J453" s="2674"/>
      <c r="K453" s="2674"/>
      <c r="L453" s="2674"/>
      <c r="M453" s="2674"/>
      <c r="N453" s="2674"/>
      <c r="O453" s="2674"/>
      <c r="P453" s="2674"/>
      <c r="Q453" s="2674"/>
      <c r="R453" s="2674"/>
      <c r="S453" s="2674"/>
      <c r="T453" s="2674"/>
      <c r="U453" s="2674"/>
    </row>
    <row r="454" spans="1:21" ht="11.25" customHeight="1" x14ac:dyDescent="0.2">
      <c r="A454" s="2674"/>
      <c r="B454" s="2674"/>
      <c r="C454" s="2674"/>
      <c r="D454" s="2674"/>
      <c r="E454" s="2674"/>
      <c r="F454" s="2674"/>
      <c r="G454" s="2674"/>
      <c r="H454" s="2674"/>
      <c r="I454" s="2674"/>
      <c r="J454" s="2674"/>
      <c r="K454" s="2674"/>
      <c r="L454" s="2674"/>
      <c r="M454" s="2674"/>
      <c r="N454" s="2674"/>
      <c r="O454" s="2674"/>
      <c r="P454" s="2674"/>
      <c r="Q454" s="2674"/>
      <c r="R454" s="2674"/>
      <c r="S454" s="2674"/>
      <c r="T454" s="2674"/>
      <c r="U454" s="2674"/>
    </row>
    <row r="455" spans="1:21" ht="11.25" customHeight="1" x14ac:dyDescent="0.2">
      <c r="A455" s="2674"/>
      <c r="B455" s="2674"/>
      <c r="C455" s="2674"/>
      <c r="D455" s="2674"/>
      <c r="E455" s="2674"/>
      <c r="F455" s="2674"/>
      <c r="G455" s="2674"/>
      <c r="H455" s="2674"/>
      <c r="I455" s="2674"/>
      <c r="J455" s="2674"/>
      <c r="K455" s="2674"/>
      <c r="L455" s="2674"/>
      <c r="M455" s="2674"/>
      <c r="N455" s="2674"/>
      <c r="O455" s="2674"/>
      <c r="P455" s="2674"/>
      <c r="Q455" s="2674"/>
      <c r="R455" s="2674"/>
      <c r="S455" s="2674"/>
      <c r="T455" s="2674"/>
      <c r="U455" s="2674"/>
    </row>
    <row r="456" spans="1:21" ht="11.25" customHeight="1" x14ac:dyDescent="0.2">
      <c r="A456" s="2674"/>
      <c r="B456" s="2674"/>
      <c r="C456" s="2674"/>
      <c r="D456" s="2674"/>
      <c r="E456" s="2674"/>
      <c r="F456" s="2674"/>
      <c r="G456" s="2674"/>
      <c r="H456" s="2674"/>
      <c r="I456" s="2674"/>
      <c r="J456" s="2674"/>
      <c r="K456" s="2674"/>
      <c r="L456" s="2674"/>
      <c r="M456" s="2674"/>
      <c r="N456" s="2674"/>
      <c r="O456" s="2674"/>
      <c r="P456" s="2674"/>
      <c r="Q456" s="2674"/>
      <c r="R456" s="2674"/>
      <c r="S456" s="2674"/>
      <c r="T456" s="2674"/>
      <c r="U456" s="2674"/>
    </row>
    <row r="457" spans="1:21" ht="11.25" customHeight="1" x14ac:dyDescent="0.2">
      <c r="A457" s="2674"/>
      <c r="B457" s="2674"/>
      <c r="C457" s="2674"/>
      <c r="D457" s="2674"/>
      <c r="E457" s="2674"/>
      <c r="F457" s="2674"/>
      <c r="G457" s="2674"/>
      <c r="H457" s="2674"/>
      <c r="I457" s="2674"/>
      <c r="J457" s="2674"/>
      <c r="K457" s="2674"/>
      <c r="L457" s="2674"/>
      <c r="M457" s="2674"/>
      <c r="N457" s="2674"/>
      <c r="O457" s="2674"/>
      <c r="P457" s="2674"/>
      <c r="Q457" s="2674"/>
      <c r="R457" s="2674"/>
      <c r="S457" s="2674"/>
      <c r="T457" s="2674"/>
      <c r="U457" s="2674"/>
    </row>
    <row r="458" spans="1:21" ht="11.25" customHeight="1" x14ac:dyDescent="0.2">
      <c r="A458" s="2674"/>
      <c r="B458" s="2674"/>
      <c r="C458" s="2674"/>
      <c r="D458" s="2674"/>
      <c r="E458" s="2674"/>
      <c r="F458" s="2674"/>
      <c r="G458" s="2674"/>
      <c r="H458" s="2674"/>
      <c r="I458" s="2674"/>
      <c r="J458" s="2674"/>
      <c r="K458" s="2674"/>
      <c r="L458" s="2674"/>
      <c r="M458" s="2674"/>
      <c r="N458" s="2674"/>
      <c r="O458" s="2674"/>
      <c r="P458" s="2674"/>
      <c r="Q458" s="2674"/>
      <c r="R458" s="2674"/>
      <c r="S458" s="2674"/>
      <c r="T458" s="2674"/>
      <c r="U458" s="2674"/>
    </row>
    <row r="459" spans="1:21" ht="11.25" customHeight="1" x14ac:dyDescent="0.2">
      <c r="A459" s="2674"/>
      <c r="B459" s="2674"/>
      <c r="C459" s="2674"/>
      <c r="D459" s="2674"/>
      <c r="E459" s="2674"/>
      <c r="F459" s="2674"/>
      <c r="G459" s="2674"/>
      <c r="H459" s="2674"/>
      <c r="I459" s="2674"/>
      <c r="J459" s="2674"/>
      <c r="K459" s="2674"/>
      <c r="L459" s="2674"/>
      <c r="M459" s="2674"/>
      <c r="N459" s="2674"/>
      <c r="O459" s="2674"/>
      <c r="P459" s="2674"/>
      <c r="Q459" s="2674"/>
      <c r="R459" s="2674"/>
      <c r="S459" s="2674"/>
      <c r="T459" s="2674"/>
      <c r="U459" s="2674"/>
    </row>
    <row r="460" spans="1:21" ht="11.25" customHeight="1" x14ac:dyDescent="0.2">
      <c r="A460" s="2674"/>
      <c r="B460" s="2674"/>
      <c r="C460" s="2674"/>
      <c r="D460" s="2674"/>
      <c r="E460" s="2674"/>
      <c r="F460" s="2674"/>
      <c r="G460" s="2674"/>
      <c r="H460" s="2674"/>
      <c r="I460" s="2674"/>
      <c r="J460" s="2674"/>
      <c r="K460" s="2674"/>
      <c r="L460" s="2674"/>
      <c r="M460" s="2674"/>
      <c r="N460" s="2674"/>
      <c r="O460" s="2674"/>
      <c r="P460" s="2674"/>
      <c r="Q460" s="2674"/>
      <c r="R460" s="2674"/>
      <c r="S460" s="2674"/>
      <c r="T460" s="2674"/>
      <c r="U460" s="2674"/>
    </row>
    <row r="461" spans="1:21" ht="11.25" customHeight="1" x14ac:dyDescent="0.2">
      <c r="A461" s="2674"/>
      <c r="B461" s="2674"/>
      <c r="C461" s="2674"/>
      <c r="D461" s="2674"/>
      <c r="E461" s="2674"/>
      <c r="F461" s="2674"/>
      <c r="G461" s="2674"/>
      <c r="H461" s="2674"/>
      <c r="I461" s="2674"/>
      <c r="J461" s="2674"/>
      <c r="K461" s="2674"/>
      <c r="L461" s="2674"/>
      <c r="M461" s="2674"/>
      <c r="N461" s="2674"/>
      <c r="O461" s="2674"/>
      <c r="P461" s="2674"/>
      <c r="Q461" s="2674"/>
      <c r="R461" s="2674"/>
      <c r="S461" s="2674"/>
      <c r="T461" s="2674"/>
      <c r="U461" s="2674"/>
    </row>
    <row r="462" spans="1:21" ht="11.25" customHeight="1" x14ac:dyDescent="0.2">
      <c r="A462" s="2674"/>
      <c r="B462" s="2674"/>
      <c r="C462" s="2674"/>
      <c r="D462" s="2674"/>
      <c r="E462" s="2674"/>
      <c r="F462" s="2674"/>
      <c r="G462" s="2674"/>
      <c r="H462" s="2674"/>
      <c r="I462" s="2674"/>
      <c r="J462" s="2674"/>
      <c r="K462" s="2674"/>
      <c r="L462" s="2674"/>
      <c r="M462" s="2674"/>
      <c r="N462" s="2674"/>
      <c r="O462" s="2674"/>
      <c r="P462" s="2674"/>
      <c r="Q462" s="2674"/>
      <c r="R462" s="2674"/>
      <c r="S462" s="2674"/>
      <c r="T462" s="2674"/>
      <c r="U462" s="2674"/>
    </row>
    <row r="463" spans="1:21" ht="11.25" customHeight="1" x14ac:dyDescent="0.2">
      <c r="A463" s="2674"/>
      <c r="B463" s="2674"/>
      <c r="C463" s="2674"/>
      <c r="D463" s="2674"/>
      <c r="E463" s="2674"/>
      <c r="F463" s="2674"/>
      <c r="G463" s="2674"/>
      <c r="H463" s="2674"/>
      <c r="I463" s="2674"/>
      <c r="J463" s="2674"/>
      <c r="K463" s="2674"/>
      <c r="L463" s="2674"/>
      <c r="M463" s="2674"/>
      <c r="N463" s="2674"/>
      <c r="O463" s="2674"/>
      <c r="P463" s="2674"/>
      <c r="Q463" s="2674"/>
      <c r="R463" s="2674"/>
      <c r="S463" s="2674"/>
      <c r="T463" s="2674"/>
      <c r="U463" s="2674"/>
    </row>
    <row r="464" spans="1:21" ht="11.25" customHeight="1" x14ac:dyDescent="0.2">
      <c r="A464" s="2674"/>
      <c r="B464" s="2674"/>
      <c r="C464" s="2674"/>
      <c r="D464" s="2674"/>
      <c r="E464" s="2674"/>
      <c r="F464" s="2674"/>
      <c r="G464" s="2674"/>
      <c r="H464" s="2674"/>
      <c r="I464" s="2674"/>
      <c r="J464" s="2674"/>
      <c r="K464" s="2674"/>
      <c r="L464" s="2674"/>
      <c r="M464" s="2674"/>
      <c r="N464" s="2674"/>
      <c r="O464" s="2674"/>
      <c r="P464" s="2674"/>
      <c r="Q464" s="2674"/>
      <c r="R464" s="2674"/>
      <c r="S464" s="2674"/>
      <c r="T464" s="2674"/>
      <c r="U464" s="2674"/>
    </row>
    <row r="465" spans="1:21" ht="11.25" customHeight="1" x14ac:dyDescent="0.2">
      <c r="A465" s="2674"/>
      <c r="B465" s="2674"/>
      <c r="C465" s="2674"/>
      <c r="D465" s="2674"/>
      <c r="E465" s="2674"/>
      <c r="F465" s="2674"/>
      <c r="G465" s="2674"/>
      <c r="H465" s="2674"/>
      <c r="I465" s="2674"/>
      <c r="J465" s="2674"/>
      <c r="K465" s="2674"/>
      <c r="L465" s="2674"/>
      <c r="M465" s="2674"/>
      <c r="N465" s="2674"/>
      <c r="O465" s="2674"/>
      <c r="P465" s="2674"/>
      <c r="Q465" s="2674"/>
      <c r="R465" s="2674"/>
      <c r="S465" s="2674"/>
      <c r="T465" s="2674"/>
      <c r="U465" s="2674"/>
    </row>
    <row r="466" spans="1:21" ht="11.25" customHeight="1" x14ac:dyDescent="0.2">
      <c r="A466" s="2674"/>
      <c r="B466" s="2674"/>
      <c r="C466" s="2674"/>
      <c r="D466" s="2674"/>
      <c r="E466" s="2674"/>
      <c r="F466" s="2674"/>
      <c r="G466" s="2674"/>
      <c r="H466" s="2674"/>
      <c r="I466" s="2674"/>
      <c r="J466" s="2674"/>
      <c r="K466" s="2674"/>
      <c r="L466" s="2674"/>
      <c r="M466" s="2674"/>
      <c r="N466" s="2674"/>
      <c r="O466" s="2674"/>
      <c r="P466" s="2674"/>
      <c r="Q466" s="2674"/>
      <c r="R466" s="2674"/>
      <c r="S466" s="2674"/>
      <c r="T466" s="2674"/>
      <c r="U466" s="2674"/>
    </row>
    <row r="467" spans="1:21" ht="11.25" customHeight="1" x14ac:dyDescent="0.2">
      <c r="A467" s="2674"/>
      <c r="B467" s="2674"/>
      <c r="C467" s="2674"/>
      <c r="D467" s="2674"/>
      <c r="E467" s="2674"/>
      <c r="F467" s="2674"/>
      <c r="G467" s="2674"/>
      <c r="H467" s="2674"/>
      <c r="I467" s="2674"/>
      <c r="J467" s="2674"/>
      <c r="K467" s="2674"/>
      <c r="L467" s="2674"/>
      <c r="M467" s="2674"/>
      <c r="N467" s="2674"/>
      <c r="O467" s="2674"/>
      <c r="P467" s="2674"/>
      <c r="Q467" s="2674"/>
      <c r="R467" s="2674"/>
      <c r="S467" s="2674"/>
      <c r="T467" s="2674"/>
      <c r="U467" s="2674"/>
    </row>
    <row r="468" spans="1:21" ht="11.25" customHeight="1" x14ac:dyDescent="0.2">
      <c r="A468" s="2674"/>
      <c r="B468" s="2674"/>
      <c r="C468" s="2674"/>
      <c r="D468" s="2674"/>
      <c r="E468" s="2674"/>
      <c r="F468" s="2674"/>
      <c r="G468" s="2674"/>
      <c r="H468" s="2674"/>
      <c r="I468" s="2674"/>
      <c r="J468" s="2674"/>
      <c r="K468" s="2674"/>
      <c r="L468" s="2674"/>
      <c r="M468" s="2674"/>
      <c r="N468" s="2674"/>
      <c r="O468" s="2674"/>
      <c r="P468" s="2674"/>
      <c r="Q468" s="2674"/>
      <c r="R468" s="2674"/>
      <c r="S468" s="2674"/>
      <c r="T468" s="2674"/>
      <c r="U468" s="2674"/>
    </row>
    <row r="469" spans="1:21" ht="11.25" customHeight="1" x14ac:dyDescent="0.2">
      <c r="A469" s="2674"/>
      <c r="B469" s="2674"/>
      <c r="C469" s="2674"/>
      <c r="D469" s="2674"/>
      <c r="E469" s="2674"/>
      <c r="F469" s="2674"/>
      <c r="G469" s="2674"/>
      <c r="H469" s="2674"/>
      <c r="I469" s="2674"/>
      <c r="J469" s="2674"/>
      <c r="K469" s="2674"/>
      <c r="L469" s="2674"/>
      <c r="M469" s="2674"/>
      <c r="N469" s="2674"/>
      <c r="O469" s="2674"/>
      <c r="P469" s="2674"/>
      <c r="Q469" s="2674"/>
      <c r="R469" s="2674"/>
      <c r="S469" s="2674"/>
      <c r="T469" s="2674"/>
      <c r="U469" s="2674"/>
    </row>
    <row r="470" spans="1:21" ht="11.25" customHeight="1" x14ac:dyDescent="0.2">
      <c r="A470" s="2674"/>
      <c r="B470" s="2674"/>
      <c r="C470" s="2674"/>
      <c r="D470" s="2674"/>
      <c r="E470" s="2674"/>
      <c r="F470" s="2674"/>
      <c r="G470" s="2674"/>
      <c r="H470" s="2674"/>
      <c r="I470" s="2674"/>
      <c r="J470" s="2674"/>
      <c r="K470" s="2674"/>
      <c r="L470" s="2674"/>
      <c r="M470" s="2674"/>
      <c r="N470" s="2674"/>
      <c r="O470" s="2674"/>
      <c r="P470" s="2674"/>
      <c r="Q470" s="2674"/>
      <c r="R470" s="2674"/>
      <c r="S470" s="2674"/>
      <c r="T470" s="2674"/>
      <c r="U470" s="2674"/>
    </row>
    <row r="471" spans="1:21" ht="11.25" customHeight="1" x14ac:dyDescent="0.2">
      <c r="A471" s="2674"/>
      <c r="B471" s="2674"/>
      <c r="C471" s="2674"/>
      <c r="D471" s="2674"/>
      <c r="E471" s="2674"/>
      <c r="F471" s="2674"/>
      <c r="G471" s="2674"/>
      <c r="H471" s="2674"/>
      <c r="I471" s="2674"/>
      <c r="J471" s="2674"/>
      <c r="K471" s="2674"/>
      <c r="L471" s="2674"/>
      <c r="M471" s="2674"/>
      <c r="N471" s="2674"/>
      <c r="O471" s="2674"/>
      <c r="P471" s="2674"/>
      <c r="Q471" s="2674"/>
      <c r="R471" s="2674"/>
      <c r="S471" s="2674"/>
      <c r="T471" s="2674"/>
      <c r="U471" s="2674"/>
    </row>
    <row r="472" spans="1:21" ht="11.25" customHeight="1" x14ac:dyDescent="0.2">
      <c r="A472" s="2674"/>
      <c r="B472" s="2674"/>
      <c r="C472" s="2674"/>
      <c r="D472" s="2674"/>
      <c r="E472" s="2674"/>
      <c r="F472" s="2674"/>
      <c r="G472" s="2674"/>
      <c r="H472" s="2674"/>
      <c r="I472" s="2674"/>
      <c r="J472" s="2674"/>
      <c r="K472" s="2674"/>
      <c r="L472" s="2674"/>
      <c r="M472" s="2674"/>
      <c r="N472" s="2674"/>
      <c r="O472" s="2674"/>
      <c r="P472" s="2674"/>
      <c r="Q472" s="2674"/>
      <c r="R472" s="2674"/>
      <c r="S472" s="2674"/>
      <c r="T472" s="2674"/>
      <c r="U472" s="2674"/>
    </row>
    <row r="473" spans="1:21" ht="11.25" customHeight="1" x14ac:dyDescent="0.2">
      <c r="A473" s="2674"/>
      <c r="B473" s="2674"/>
      <c r="C473" s="2674"/>
      <c r="D473" s="2674"/>
      <c r="E473" s="2674"/>
      <c r="F473" s="2674"/>
      <c r="G473" s="2674"/>
      <c r="H473" s="2674"/>
      <c r="I473" s="2674"/>
      <c r="J473" s="2674"/>
      <c r="K473" s="2674"/>
      <c r="L473" s="2674"/>
      <c r="M473" s="2674"/>
      <c r="N473" s="2674"/>
      <c r="O473" s="2674"/>
      <c r="P473" s="2674"/>
      <c r="Q473" s="2674"/>
      <c r="R473" s="2674"/>
      <c r="S473" s="2674"/>
      <c r="T473" s="2674"/>
      <c r="U473" s="2674"/>
    </row>
    <row r="474" spans="1:21" ht="11.25" customHeight="1" x14ac:dyDescent="0.2">
      <c r="A474" s="2674"/>
      <c r="B474" s="2674"/>
      <c r="C474" s="2674"/>
      <c r="D474" s="2674"/>
      <c r="E474" s="2674"/>
      <c r="F474" s="2674"/>
      <c r="G474" s="2674"/>
      <c r="H474" s="2674"/>
      <c r="I474" s="2674"/>
      <c r="J474" s="2674"/>
      <c r="K474" s="2674"/>
      <c r="L474" s="2674"/>
      <c r="M474" s="2674"/>
      <c r="N474" s="2674"/>
      <c r="O474" s="2674"/>
      <c r="P474" s="2674"/>
      <c r="Q474" s="2674"/>
      <c r="R474" s="2674"/>
      <c r="S474" s="2674"/>
      <c r="T474" s="2674"/>
      <c r="U474" s="2674"/>
    </row>
    <row r="475" spans="1:21" ht="11.25" customHeight="1" x14ac:dyDescent="0.2">
      <c r="A475" s="2674"/>
      <c r="B475" s="2674"/>
      <c r="C475" s="2674"/>
      <c r="D475" s="2674"/>
      <c r="E475" s="2674"/>
      <c r="F475" s="2674"/>
      <c r="G475" s="2674"/>
      <c r="H475" s="2674"/>
      <c r="I475" s="2674"/>
      <c r="J475" s="2674"/>
      <c r="K475" s="2674"/>
      <c r="L475" s="2674"/>
      <c r="M475" s="2674"/>
      <c r="N475" s="2674"/>
      <c r="O475" s="2674"/>
      <c r="P475" s="2674"/>
      <c r="Q475" s="2674"/>
      <c r="R475" s="2674"/>
      <c r="S475" s="2674"/>
      <c r="T475" s="2674"/>
      <c r="U475" s="2674"/>
    </row>
    <row r="476" spans="1:21" ht="11.25" customHeight="1" x14ac:dyDescent="0.2">
      <c r="A476" s="2674"/>
      <c r="B476" s="2674"/>
      <c r="C476" s="2674"/>
      <c r="D476" s="2674"/>
      <c r="E476" s="2674"/>
      <c r="F476" s="2674"/>
      <c r="G476" s="2674"/>
      <c r="H476" s="2674"/>
      <c r="I476" s="2674"/>
      <c r="J476" s="2674"/>
      <c r="K476" s="2674"/>
      <c r="L476" s="2674"/>
      <c r="M476" s="2674"/>
      <c r="N476" s="2674"/>
      <c r="O476" s="2674"/>
      <c r="P476" s="2674"/>
      <c r="Q476" s="2674"/>
      <c r="R476" s="2674"/>
      <c r="S476" s="2674"/>
      <c r="T476" s="2674"/>
      <c r="U476" s="2674"/>
    </row>
    <row r="477" spans="1:21" ht="11.25" customHeight="1" x14ac:dyDescent="0.2">
      <c r="A477" s="2674"/>
      <c r="B477" s="2674"/>
      <c r="C477" s="2674"/>
      <c r="D477" s="2674"/>
      <c r="E477" s="2674"/>
      <c r="F477" s="2674"/>
      <c r="G477" s="2674"/>
      <c r="H477" s="2674"/>
      <c r="I477" s="2674"/>
      <c r="J477" s="2674"/>
      <c r="K477" s="2674"/>
      <c r="L477" s="2674"/>
      <c r="M477" s="2674"/>
      <c r="N477" s="2674"/>
      <c r="O477" s="2674"/>
      <c r="P477" s="2674"/>
      <c r="Q477" s="2674"/>
      <c r="R477" s="2674"/>
      <c r="S477" s="2674"/>
      <c r="T477" s="2674"/>
      <c r="U477" s="2674"/>
    </row>
    <row r="478" spans="1:21" ht="11.25" customHeight="1" x14ac:dyDescent="0.2">
      <c r="A478" s="2674"/>
      <c r="B478" s="2674"/>
      <c r="C478" s="2674"/>
      <c r="D478" s="2674"/>
      <c r="E478" s="2674"/>
      <c r="F478" s="2674"/>
      <c r="G478" s="2674"/>
      <c r="H478" s="2674"/>
      <c r="I478" s="2674"/>
      <c r="J478" s="2674"/>
      <c r="K478" s="2674"/>
      <c r="L478" s="2674"/>
      <c r="M478" s="2674"/>
      <c r="N478" s="2674"/>
      <c r="O478" s="2674"/>
      <c r="P478" s="2674"/>
      <c r="Q478" s="2674"/>
      <c r="R478" s="2674"/>
      <c r="S478" s="2674"/>
      <c r="T478" s="2674"/>
      <c r="U478" s="2674"/>
    </row>
    <row r="479" spans="1:21" ht="11.25" customHeight="1" x14ac:dyDescent="0.2">
      <c r="A479" s="2674"/>
      <c r="B479" s="2674"/>
      <c r="C479" s="2674"/>
      <c r="D479" s="2674"/>
      <c r="E479" s="2674"/>
      <c r="F479" s="2674"/>
      <c r="G479" s="2674"/>
      <c r="H479" s="2674"/>
      <c r="I479" s="2674"/>
      <c r="J479" s="2674"/>
      <c r="K479" s="2674"/>
      <c r="L479" s="2674"/>
      <c r="M479" s="2674"/>
      <c r="N479" s="2674"/>
      <c r="O479" s="2674"/>
      <c r="P479" s="2674"/>
      <c r="Q479" s="2674"/>
      <c r="R479" s="2674"/>
      <c r="S479" s="2674"/>
      <c r="T479" s="2674"/>
      <c r="U479" s="2674"/>
    </row>
    <row r="480" spans="1:21" ht="11.25" customHeight="1" x14ac:dyDescent="0.2">
      <c r="A480" s="2674"/>
      <c r="B480" s="2674"/>
      <c r="C480" s="2674"/>
      <c r="D480" s="2674"/>
      <c r="E480" s="2674"/>
      <c r="F480" s="2674"/>
      <c r="G480" s="2674"/>
      <c r="H480" s="2674"/>
      <c r="I480" s="2674"/>
      <c r="J480" s="2674"/>
      <c r="K480" s="2674"/>
      <c r="L480" s="2674"/>
      <c r="M480" s="2674"/>
      <c r="N480" s="2674"/>
      <c r="O480" s="2674"/>
      <c r="P480" s="2674"/>
      <c r="Q480" s="2674"/>
      <c r="R480" s="2674"/>
      <c r="S480" s="2674"/>
      <c r="T480" s="2674"/>
      <c r="U480" s="2674"/>
    </row>
    <row r="481" spans="1:21" ht="11.25" customHeight="1" x14ac:dyDescent="0.2">
      <c r="A481" s="2674"/>
      <c r="B481" s="2674"/>
      <c r="C481" s="2674"/>
      <c r="D481" s="2674"/>
      <c r="E481" s="2674"/>
      <c r="F481" s="2674"/>
      <c r="G481" s="2674"/>
      <c r="H481" s="2674"/>
      <c r="I481" s="2674"/>
      <c r="J481" s="2674"/>
      <c r="K481" s="2674"/>
      <c r="L481" s="2674"/>
      <c r="M481" s="2674"/>
      <c r="N481" s="2674"/>
      <c r="O481" s="2674"/>
      <c r="P481" s="2674"/>
      <c r="Q481" s="2674"/>
      <c r="R481" s="2674"/>
      <c r="S481" s="2674"/>
      <c r="T481" s="2674"/>
      <c r="U481" s="2674"/>
    </row>
    <row r="482" spans="1:21" ht="11.25" customHeight="1" x14ac:dyDescent="0.2">
      <c r="A482" s="2674"/>
      <c r="B482" s="2674"/>
      <c r="C482" s="2674"/>
      <c r="D482" s="2674"/>
      <c r="E482" s="2674"/>
      <c r="F482" s="2674"/>
      <c r="G482" s="2674"/>
      <c r="H482" s="2674"/>
      <c r="I482" s="2674"/>
      <c r="J482" s="2674"/>
      <c r="K482" s="2674"/>
      <c r="L482" s="2674"/>
      <c r="M482" s="2674"/>
      <c r="N482" s="2674"/>
      <c r="O482" s="2674"/>
      <c r="P482" s="2674"/>
      <c r="Q482" s="2674"/>
      <c r="R482" s="2674"/>
      <c r="S482" s="2674"/>
      <c r="T482" s="2674"/>
      <c r="U482" s="2674"/>
    </row>
    <row r="483" spans="1:21" ht="11.25" customHeight="1" x14ac:dyDescent="0.2">
      <c r="A483" s="2674"/>
      <c r="B483" s="2674"/>
      <c r="C483" s="2674"/>
      <c r="D483" s="2674"/>
      <c r="E483" s="2674"/>
      <c r="F483" s="2674"/>
      <c r="G483" s="2674"/>
      <c r="H483" s="2674"/>
      <c r="I483" s="2674"/>
      <c r="J483" s="2674"/>
      <c r="K483" s="2674"/>
      <c r="L483" s="2674"/>
      <c r="M483" s="2674"/>
      <c r="N483" s="2674"/>
      <c r="O483" s="2674"/>
      <c r="P483" s="2674"/>
      <c r="Q483" s="2674"/>
      <c r="R483" s="2674"/>
      <c r="S483" s="2674"/>
      <c r="T483" s="2674"/>
      <c r="U483" s="2674"/>
    </row>
    <row r="484" spans="1:21" ht="11.25" customHeight="1" x14ac:dyDescent="0.2">
      <c r="A484" s="2674"/>
      <c r="B484" s="2674"/>
      <c r="C484" s="2674"/>
      <c r="D484" s="2674"/>
      <c r="E484" s="2674"/>
      <c r="F484" s="2674"/>
      <c r="G484" s="2674"/>
      <c r="H484" s="2674"/>
      <c r="I484" s="2674"/>
      <c r="J484" s="2674"/>
      <c r="K484" s="2674"/>
      <c r="L484" s="2674"/>
      <c r="M484" s="2674"/>
      <c r="N484" s="2674"/>
      <c r="O484" s="2674"/>
      <c r="P484" s="2674"/>
      <c r="Q484" s="2674"/>
      <c r="R484" s="2674"/>
      <c r="S484" s="2674"/>
      <c r="T484" s="2674"/>
      <c r="U484" s="2674"/>
    </row>
    <row r="485" spans="1:21" ht="11.25" customHeight="1" x14ac:dyDescent="0.2">
      <c r="A485" s="2674"/>
      <c r="B485" s="2674"/>
      <c r="C485" s="2674"/>
      <c r="D485" s="2674"/>
      <c r="E485" s="2674"/>
      <c r="F485" s="2674"/>
      <c r="G485" s="2674"/>
      <c r="H485" s="2674"/>
      <c r="I485" s="2674"/>
      <c r="J485" s="2674"/>
      <c r="K485" s="2674"/>
      <c r="L485" s="2674"/>
      <c r="M485" s="2674"/>
      <c r="N485" s="2674"/>
      <c r="O485" s="2674"/>
      <c r="P485" s="2674"/>
      <c r="Q485" s="2674"/>
      <c r="R485" s="2674"/>
      <c r="S485" s="2674"/>
      <c r="T485" s="2674"/>
      <c r="U485" s="2674"/>
    </row>
    <row r="486" spans="1:21" ht="11.25" customHeight="1" x14ac:dyDescent="0.2">
      <c r="A486" s="2674"/>
      <c r="B486" s="2674"/>
      <c r="C486" s="2674"/>
      <c r="D486" s="2674"/>
      <c r="E486" s="2674"/>
      <c r="F486" s="2674"/>
      <c r="G486" s="2674"/>
      <c r="H486" s="2674"/>
      <c r="I486" s="2674"/>
      <c r="J486" s="2674"/>
      <c r="K486" s="2674"/>
      <c r="L486" s="2674"/>
      <c r="M486" s="2674"/>
      <c r="N486" s="2674"/>
      <c r="O486" s="2674"/>
      <c r="P486" s="2674"/>
      <c r="Q486" s="2674"/>
      <c r="R486" s="2674"/>
      <c r="S486" s="2674"/>
      <c r="T486" s="2674"/>
      <c r="U486" s="2674"/>
    </row>
    <row r="487" spans="1:21" ht="11.25" customHeight="1" x14ac:dyDescent="0.2">
      <c r="A487" s="2674"/>
      <c r="B487" s="2674"/>
      <c r="C487" s="2674"/>
      <c r="D487" s="2674"/>
      <c r="E487" s="2674"/>
      <c r="F487" s="2674"/>
      <c r="G487" s="2674"/>
      <c r="H487" s="2674"/>
      <c r="I487" s="2674"/>
      <c r="J487" s="2674"/>
      <c r="K487" s="2674"/>
      <c r="L487" s="2674"/>
      <c r="M487" s="2674"/>
      <c r="N487" s="2674"/>
      <c r="O487" s="2674"/>
      <c r="P487" s="2674"/>
      <c r="Q487" s="2674"/>
      <c r="R487" s="2674"/>
      <c r="S487" s="2674"/>
      <c r="T487" s="2674"/>
      <c r="U487" s="2674"/>
    </row>
    <row r="488" spans="1:21" ht="11.25" customHeight="1" x14ac:dyDescent="0.2">
      <c r="A488" s="2674"/>
      <c r="B488" s="2674"/>
      <c r="C488" s="2674"/>
      <c r="D488" s="2674"/>
      <c r="E488" s="2674"/>
      <c r="F488" s="2674"/>
      <c r="G488" s="2674"/>
      <c r="H488" s="2674"/>
      <c r="I488" s="2674"/>
      <c r="J488" s="2674"/>
      <c r="K488" s="2674"/>
      <c r="L488" s="2674"/>
      <c r="M488" s="2674"/>
      <c r="N488" s="2674"/>
      <c r="O488" s="2674"/>
      <c r="P488" s="2674"/>
      <c r="Q488" s="2674"/>
      <c r="R488" s="2674"/>
      <c r="S488" s="2674"/>
      <c r="T488" s="2674"/>
      <c r="U488" s="2674"/>
    </row>
    <row r="489" spans="1:21" ht="11.25" customHeight="1" x14ac:dyDescent="0.2">
      <c r="A489" s="2674"/>
      <c r="B489" s="2674"/>
      <c r="C489" s="2674"/>
      <c r="D489" s="2674"/>
      <c r="E489" s="2674"/>
      <c r="F489" s="2674"/>
      <c r="G489" s="2674"/>
      <c r="H489" s="2674"/>
      <c r="I489" s="2674"/>
      <c r="J489" s="2674"/>
      <c r="K489" s="2674"/>
      <c r="L489" s="2674"/>
      <c r="M489" s="2674"/>
      <c r="N489" s="2674"/>
      <c r="O489" s="2674"/>
      <c r="P489" s="2674"/>
      <c r="Q489" s="2674"/>
      <c r="R489" s="2674"/>
      <c r="S489" s="2674"/>
      <c r="T489" s="2674"/>
      <c r="U489" s="2674"/>
    </row>
    <row r="490" spans="1:21" ht="11.25" customHeight="1" x14ac:dyDescent="0.2">
      <c r="A490" s="2674"/>
      <c r="B490" s="2674"/>
      <c r="C490" s="2674"/>
      <c r="D490" s="2674"/>
      <c r="E490" s="2674"/>
      <c r="F490" s="2674"/>
      <c r="G490" s="2674"/>
      <c r="H490" s="2674"/>
      <c r="I490" s="2674"/>
      <c r="J490" s="2674"/>
      <c r="K490" s="2674"/>
      <c r="L490" s="2674"/>
      <c r="M490" s="2674"/>
      <c r="N490" s="2674"/>
      <c r="O490" s="2674"/>
      <c r="P490" s="2674"/>
      <c r="Q490" s="2674"/>
      <c r="R490" s="2674"/>
      <c r="S490" s="2674"/>
      <c r="T490" s="2674"/>
      <c r="U490" s="2674"/>
    </row>
    <row r="491" spans="1:21" ht="11.25" customHeight="1" x14ac:dyDescent="0.2">
      <c r="A491" s="2674"/>
      <c r="B491" s="2674"/>
      <c r="C491" s="2674"/>
      <c r="D491" s="2674"/>
      <c r="E491" s="2674"/>
      <c r="F491" s="2674"/>
      <c r="G491" s="2674"/>
      <c r="H491" s="2674"/>
      <c r="I491" s="2674"/>
      <c r="J491" s="2674"/>
      <c r="K491" s="2674"/>
      <c r="L491" s="2674"/>
      <c r="M491" s="2674"/>
      <c r="N491" s="2674"/>
      <c r="O491" s="2674"/>
      <c r="P491" s="2674"/>
      <c r="Q491" s="2674"/>
      <c r="R491" s="2674"/>
      <c r="S491" s="2674"/>
      <c r="T491" s="2674"/>
      <c r="U491" s="2674"/>
    </row>
    <row r="492" spans="1:21" ht="11.25" customHeight="1" x14ac:dyDescent="0.2">
      <c r="A492" s="2674"/>
      <c r="B492" s="2674"/>
      <c r="C492" s="2674"/>
      <c r="D492" s="2674"/>
      <c r="E492" s="2674"/>
      <c r="F492" s="2674"/>
      <c r="G492" s="2674"/>
      <c r="H492" s="2674"/>
      <c r="I492" s="2674"/>
      <c r="J492" s="2674"/>
      <c r="K492" s="2674"/>
      <c r="L492" s="2674"/>
      <c r="M492" s="2674"/>
      <c r="N492" s="2674"/>
      <c r="O492" s="2674"/>
      <c r="P492" s="2674"/>
      <c r="Q492" s="2674"/>
      <c r="R492" s="2674"/>
      <c r="S492" s="2674"/>
      <c r="T492" s="2674"/>
      <c r="U492" s="2674"/>
    </row>
    <row r="493" spans="1:21" ht="11.25" customHeight="1" x14ac:dyDescent="0.2">
      <c r="A493" s="2674"/>
      <c r="B493" s="2674"/>
      <c r="C493" s="2674"/>
      <c r="D493" s="2674"/>
      <c r="E493" s="2674"/>
      <c r="F493" s="2674"/>
      <c r="G493" s="2674"/>
      <c r="H493" s="2674"/>
      <c r="I493" s="2674"/>
      <c r="J493" s="2674"/>
      <c r="K493" s="2674"/>
      <c r="L493" s="2674"/>
      <c r="M493" s="2674"/>
      <c r="N493" s="2674"/>
      <c r="O493" s="2674"/>
      <c r="P493" s="2674"/>
      <c r="Q493" s="2674"/>
      <c r="R493" s="2674"/>
      <c r="S493" s="2674"/>
      <c r="T493" s="2674"/>
      <c r="U493" s="2674"/>
    </row>
    <row r="494" spans="1:21" ht="11.25" customHeight="1" x14ac:dyDescent="0.2">
      <c r="A494" s="2674"/>
      <c r="B494" s="2674"/>
      <c r="C494" s="2674"/>
      <c r="D494" s="2674"/>
      <c r="E494" s="2674"/>
      <c r="F494" s="2674"/>
      <c r="G494" s="2674"/>
      <c r="H494" s="2674"/>
      <c r="I494" s="2674"/>
      <c r="J494" s="2674"/>
      <c r="K494" s="2674"/>
      <c r="L494" s="2674"/>
      <c r="M494" s="2674"/>
      <c r="N494" s="2674"/>
      <c r="O494" s="2674"/>
      <c r="P494" s="2674"/>
      <c r="Q494" s="2674"/>
      <c r="R494" s="2674"/>
      <c r="S494" s="2674"/>
      <c r="T494" s="2674"/>
      <c r="U494" s="2674"/>
    </row>
    <row r="495" spans="1:21" ht="11.25" customHeight="1" x14ac:dyDescent="0.2">
      <c r="A495" s="2674"/>
      <c r="B495" s="2674"/>
      <c r="C495" s="2674"/>
      <c r="D495" s="2674"/>
      <c r="E495" s="2674"/>
      <c r="F495" s="2674"/>
      <c r="G495" s="2674"/>
      <c r="H495" s="2674"/>
      <c r="I495" s="2674"/>
      <c r="J495" s="2674"/>
      <c r="K495" s="2674"/>
      <c r="L495" s="2674"/>
      <c r="M495" s="2674"/>
      <c r="N495" s="2674"/>
      <c r="O495" s="2674"/>
      <c r="P495" s="2674"/>
      <c r="Q495" s="2674"/>
      <c r="R495" s="2674"/>
      <c r="S495" s="2674"/>
      <c r="T495" s="2674"/>
      <c r="U495" s="2674"/>
    </row>
    <row r="496" spans="1:21" ht="11.25" customHeight="1" x14ac:dyDescent="0.2">
      <c r="A496" s="2674"/>
      <c r="B496" s="2674"/>
      <c r="C496" s="2674"/>
      <c r="D496" s="2674"/>
      <c r="E496" s="2674"/>
      <c r="F496" s="2674"/>
      <c r="G496" s="2674"/>
      <c r="H496" s="2674"/>
      <c r="I496" s="2674"/>
      <c r="J496" s="2674"/>
      <c r="K496" s="2674"/>
      <c r="L496" s="2674"/>
      <c r="M496" s="2674"/>
      <c r="N496" s="2674"/>
      <c r="O496" s="2674"/>
      <c r="P496" s="2674"/>
      <c r="Q496" s="2674"/>
      <c r="R496" s="2674"/>
      <c r="S496" s="2674"/>
      <c r="T496" s="2674"/>
      <c r="U496" s="2674"/>
    </row>
    <row r="497" spans="1:21" ht="11.25" customHeight="1" x14ac:dyDescent="0.2">
      <c r="A497" s="2674"/>
      <c r="B497" s="2674"/>
      <c r="C497" s="2674"/>
      <c r="D497" s="2674"/>
      <c r="E497" s="2674"/>
      <c r="F497" s="2674"/>
      <c r="G497" s="2674"/>
      <c r="H497" s="2674"/>
      <c r="I497" s="2674"/>
      <c r="J497" s="2674"/>
      <c r="K497" s="2674"/>
      <c r="L497" s="2674"/>
      <c r="M497" s="2674"/>
      <c r="N497" s="2674"/>
      <c r="O497" s="2674"/>
      <c r="P497" s="2674"/>
      <c r="Q497" s="2674"/>
      <c r="R497" s="2674"/>
      <c r="S497" s="2674"/>
      <c r="T497" s="2674"/>
      <c r="U497" s="2674"/>
    </row>
    <row r="498" spans="1:21" ht="11.25" customHeight="1" x14ac:dyDescent="0.2">
      <c r="A498" s="2674"/>
      <c r="B498" s="2674"/>
      <c r="C498" s="2674"/>
      <c r="D498" s="2674"/>
      <c r="E498" s="2674"/>
      <c r="F498" s="2674"/>
      <c r="G498" s="2674"/>
      <c r="H498" s="2674"/>
      <c r="I498" s="2674"/>
      <c r="J498" s="2674"/>
      <c r="K498" s="2674"/>
      <c r="L498" s="2674"/>
      <c r="M498" s="2674"/>
      <c r="N498" s="2674"/>
      <c r="O498" s="2674"/>
      <c r="P498" s="2674"/>
      <c r="Q498" s="2674"/>
      <c r="R498" s="2674"/>
      <c r="S498" s="2674"/>
      <c r="T498" s="2674"/>
      <c r="U498" s="2674"/>
    </row>
    <row r="499" spans="1:21" ht="11.25" customHeight="1" x14ac:dyDescent="0.2">
      <c r="A499" s="2674"/>
      <c r="B499" s="2674"/>
      <c r="C499" s="2674"/>
      <c r="D499" s="2674"/>
      <c r="E499" s="2674"/>
      <c r="F499" s="2674"/>
      <c r="G499" s="2674"/>
      <c r="H499" s="2674"/>
      <c r="I499" s="2674"/>
      <c r="J499" s="2674"/>
      <c r="K499" s="2674"/>
      <c r="L499" s="2674"/>
      <c r="M499" s="2674"/>
      <c r="N499" s="2674"/>
      <c r="O499" s="2674"/>
      <c r="P499" s="2674"/>
      <c r="Q499" s="2674"/>
      <c r="R499" s="2674"/>
      <c r="S499" s="2674"/>
      <c r="T499" s="2674"/>
      <c r="U499" s="2674"/>
    </row>
    <row r="500" spans="1:21" ht="11.25" customHeight="1" x14ac:dyDescent="0.2">
      <c r="A500" s="2674"/>
      <c r="B500" s="2674"/>
      <c r="C500" s="2674"/>
      <c r="D500" s="2674"/>
      <c r="E500" s="2674"/>
      <c r="F500" s="2674"/>
      <c r="G500" s="2674"/>
      <c r="H500" s="2674"/>
      <c r="I500" s="2674"/>
      <c r="J500" s="2674"/>
      <c r="K500" s="2674"/>
      <c r="L500" s="2674"/>
      <c r="M500" s="2674"/>
      <c r="N500" s="2674"/>
      <c r="O500" s="2674"/>
      <c r="P500" s="2674"/>
      <c r="Q500" s="2674"/>
      <c r="R500" s="2674"/>
      <c r="S500" s="2674"/>
      <c r="T500" s="2674"/>
      <c r="U500" s="2674"/>
    </row>
    <row r="501" spans="1:21" ht="11.25" customHeight="1" x14ac:dyDescent="0.2">
      <c r="A501" s="2674"/>
      <c r="B501" s="2674"/>
      <c r="C501" s="2674"/>
      <c r="D501" s="2674"/>
      <c r="E501" s="2674"/>
      <c r="F501" s="2674"/>
      <c r="G501" s="2674"/>
      <c r="H501" s="2674"/>
      <c r="I501" s="2674"/>
      <c r="J501" s="2674"/>
      <c r="K501" s="2674"/>
      <c r="L501" s="2674"/>
      <c r="M501" s="2674"/>
      <c r="N501" s="2674"/>
      <c r="O501" s="2674"/>
      <c r="P501" s="2674"/>
      <c r="Q501" s="2674"/>
      <c r="R501" s="2674"/>
      <c r="S501" s="2674"/>
      <c r="T501" s="2674"/>
      <c r="U501" s="2674"/>
    </row>
    <row r="502" spans="1:21" ht="11.25" customHeight="1" x14ac:dyDescent="0.2">
      <c r="A502" s="2674"/>
      <c r="B502" s="2674"/>
      <c r="C502" s="2674"/>
      <c r="D502" s="2674"/>
      <c r="E502" s="2674"/>
      <c r="F502" s="2674"/>
      <c r="G502" s="2674"/>
      <c r="H502" s="2674"/>
      <c r="I502" s="2674"/>
      <c r="J502" s="2674"/>
      <c r="K502" s="2674"/>
      <c r="L502" s="2674"/>
      <c r="M502" s="2674"/>
      <c r="N502" s="2674"/>
      <c r="O502" s="2674"/>
      <c r="P502" s="2674"/>
      <c r="Q502" s="2674"/>
      <c r="R502" s="2674"/>
      <c r="S502" s="2674"/>
      <c r="T502" s="2674"/>
      <c r="U502" s="2674"/>
    </row>
    <row r="503" spans="1:21" ht="11.25" customHeight="1" x14ac:dyDescent="0.2">
      <c r="A503" s="2674"/>
      <c r="B503" s="2674"/>
      <c r="C503" s="2674"/>
      <c r="D503" s="2674"/>
      <c r="E503" s="2674"/>
      <c r="F503" s="2674"/>
      <c r="G503" s="2674"/>
      <c r="H503" s="2674"/>
      <c r="I503" s="2674"/>
      <c r="J503" s="2674"/>
      <c r="K503" s="2674"/>
      <c r="L503" s="2674"/>
      <c r="M503" s="2674"/>
      <c r="N503" s="2674"/>
      <c r="O503" s="2674"/>
      <c r="P503" s="2674"/>
      <c r="Q503" s="2674"/>
      <c r="R503" s="2674"/>
      <c r="S503" s="2674"/>
      <c r="T503" s="2674"/>
      <c r="U503" s="2674"/>
    </row>
    <row r="504" spans="1:21" ht="11.25" customHeight="1" x14ac:dyDescent="0.2">
      <c r="A504" s="2674"/>
      <c r="B504" s="2674"/>
      <c r="C504" s="2674"/>
      <c r="D504" s="2674"/>
      <c r="E504" s="2674"/>
      <c r="F504" s="2674"/>
      <c r="G504" s="2674"/>
      <c r="H504" s="2674"/>
      <c r="I504" s="2674"/>
      <c r="J504" s="2674"/>
      <c r="K504" s="2674"/>
      <c r="L504" s="2674"/>
      <c r="M504" s="2674"/>
      <c r="N504" s="2674"/>
      <c r="O504" s="2674"/>
      <c r="P504" s="2674"/>
      <c r="Q504" s="2674"/>
      <c r="R504" s="2674"/>
      <c r="S504" s="2674"/>
      <c r="T504" s="2674"/>
      <c r="U504" s="2674"/>
    </row>
    <row r="505" spans="1:21" ht="11.25" customHeight="1" x14ac:dyDescent="0.2">
      <c r="A505" s="2674"/>
      <c r="B505" s="2674"/>
      <c r="C505" s="2674"/>
      <c r="D505" s="2674"/>
      <c r="E505" s="2674"/>
      <c r="F505" s="2674"/>
      <c r="G505" s="2674"/>
      <c r="H505" s="2674"/>
      <c r="I505" s="2674"/>
      <c r="J505" s="2674"/>
      <c r="K505" s="2674"/>
      <c r="L505" s="2674"/>
      <c r="M505" s="2674"/>
      <c r="N505" s="2674"/>
      <c r="O505" s="2674"/>
      <c r="P505" s="2674"/>
      <c r="Q505" s="2674"/>
      <c r="R505" s="2674"/>
      <c r="S505" s="2674"/>
      <c r="T505" s="2674"/>
      <c r="U505" s="2674"/>
    </row>
    <row r="506" spans="1:21" ht="11.25" customHeight="1" x14ac:dyDescent="0.2">
      <c r="A506" s="2674"/>
      <c r="B506" s="2674"/>
      <c r="C506" s="2674"/>
      <c r="D506" s="2674"/>
      <c r="E506" s="2674"/>
      <c r="F506" s="2674"/>
      <c r="G506" s="2674"/>
      <c r="H506" s="2674"/>
      <c r="I506" s="2674"/>
      <c r="J506" s="2674"/>
      <c r="K506" s="2674"/>
      <c r="L506" s="2674"/>
      <c r="M506" s="2674"/>
      <c r="N506" s="2674"/>
      <c r="O506" s="2674"/>
      <c r="P506" s="2674"/>
      <c r="Q506" s="2674"/>
      <c r="R506" s="2674"/>
      <c r="S506" s="2674"/>
      <c r="T506" s="2674"/>
      <c r="U506" s="2674"/>
    </row>
    <row r="507" spans="1:21" ht="11.25" customHeight="1" x14ac:dyDescent="0.2">
      <c r="A507" s="2674"/>
      <c r="B507" s="2674"/>
      <c r="C507" s="2674"/>
      <c r="D507" s="2674"/>
      <c r="E507" s="2674"/>
      <c r="F507" s="2674"/>
      <c r="G507" s="2674"/>
      <c r="H507" s="2674"/>
      <c r="I507" s="2674"/>
      <c r="J507" s="2674"/>
      <c r="K507" s="2674"/>
      <c r="L507" s="2674"/>
      <c r="M507" s="2674"/>
      <c r="N507" s="2674"/>
      <c r="O507" s="2674"/>
      <c r="P507" s="2674"/>
      <c r="Q507" s="2674"/>
      <c r="R507" s="2674"/>
      <c r="S507" s="2674"/>
      <c r="T507" s="2674"/>
      <c r="U507" s="2674"/>
    </row>
    <row r="508" spans="1:21" ht="11.25" customHeight="1" x14ac:dyDescent="0.2">
      <c r="A508" s="2674"/>
      <c r="B508" s="2674"/>
      <c r="C508" s="2674"/>
      <c r="D508" s="2674"/>
      <c r="E508" s="2674"/>
      <c r="F508" s="2674"/>
      <c r="G508" s="2674"/>
      <c r="H508" s="2674"/>
      <c r="I508" s="2674"/>
      <c r="J508" s="2674"/>
      <c r="K508" s="2674"/>
      <c r="L508" s="2674"/>
      <c r="M508" s="2674"/>
      <c r="N508" s="2674"/>
      <c r="O508" s="2674"/>
      <c r="P508" s="2674"/>
      <c r="Q508" s="2674"/>
      <c r="R508" s="2674"/>
      <c r="S508" s="2674"/>
      <c r="T508" s="2674"/>
      <c r="U508" s="2674"/>
    </row>
    <row r="509" spans="1:21" ht="11.25" customHeight="1" x14ac:dyDescent="0.2">
      <c r="A509" s="2674"/>
      <c r="B509" s="2674"/>
      <c r="C509" s="2674"/>
      <c r="D509" s="2674"/>
      <c r="E509" s="2674"/>
      <c r="F509" s="2674"/>
      <c r="G509" s="2674"/>
      <c r="H509" s="2674"/>
      <c r="I509" s="2674"/>
      <c r="J509" s="2674"/>
      <c r="K509" s="2674"/>
      <c r="L509" s="2674"/>
      <c r="M509" s="2674"/>
      <c r="N509" s="2674"/>
      <c r="O509" s="2674"/>
      <c r="P509" s="2674"/>
      <c r="Q509" s="2674"/>
      <c r="R509" s="2674"/>
      <c r="S509" s="2674"/>
      <c r="T509" s="2674"/>
      <c r="U509" s="2674"/>
    </row>
    <row r="510" spans="1:21" ht="11.25" customHeight="1" x14ac:dyDescent="0.2">
      <c r="A510" s="2674"/>
      <c r="B510" s="2674"/>
      <c r="C510" s="2674"/>
      <c r="D510" s="2674"/>
      <c r="E510" s="2674"/>
      <c r="F510" s="2674"/>
      <c r="G510" s="2674"/>
      <c r="H510" s="2674"/>
      <c r="I510" s="2674"/>
      <c r="J510" s="2674"/>
      <c r="K510" s="2674"/>
      <c r="L510" s="2674"/>
      <c r="M510" s="2674"/>
      <c r="N510" s="2674"/>
      <c r="O510" s="2674"/>
      <c r="P510" s="2674"/>
      <c r="Q510" s="2674"/>
      <c r="R510" s="2674"/>
      <c r="S510" s="2674"/>
      <c r="T510" s="2674"/>
      <c r="U510" s="2674"/>
    </row>
    <row r="511" spans="1:21" ht="11.25" customHeight="1" x14ac:dyDescent="0.2">
      <c r="A511" s="2674"/>
      <c r="B511" s="2674"/>
      <c r="C511" s="2674"/>
      <c r="D511" s="2674"/>
      <c r="E511" s="2674"/>
      <c r="F511" s="2674"/>
      <c r="G511" s="2674"/>
      <c r="H511" s="2674"/>
      <c r="I511" s="2674"/>
      <c r="J511" s="2674"/>
      <c r="K511" s="2674"/>
      <c r="L511" s="2674"/>
      <c r="M511" s="2674"/>
      <c r="N511" s="2674"/>
      <c r="O511" s="2674"/>
      <c r="P511" s="2674"/>
      <c r="Q511" s="2674"/>
      <c r="R511" s="2674"/>
      <c r="S511" s="2674"/>
      <c r="T511" s="2674"/>
      <c r="U511" s="2674"/>
    </row>
    <row r="512" spans="1:21" ht="11.25" customHeight="1" x14ac:dyDescent="0.2">
      <c r="A512" s="2674"/>
      <c r="B512" s="2674"/>
      <c r="C512" s="2674"/>
      <c r="D512" s="2674"/>
      <c r="E512" s="2674"/>
      <c r="F512" s="2674"/>
      <c r="G512" s="2674"/>
      <c r="H512" s="2674"/>
      <c r="I512" s="2674"/>
      <c r="J512" s="2674"/>
      <c r="K512" s="2674"/>
      <c r="L512" s="2674"/>
      <c r="M512" s="2674"/>
      <c r="N512" s="2674"/>
      <c r="O512" s="2674"/>
      <c r="P512" s="2674"/>
      <c r="Q512" s="2674"/>
      <c r="R512" s="2674"/>
      <c r="S512" s="2674"/>
      <c r="T512" s="2674"/>
      <c r="U512" s="2674"/>
    </row>
    <row r="513" spans="1:21" ht="11.25" customHeight="1" x14ac:dyDescent="0.2">
      <c r="A513" s="2674"/>
      <c r="B513" s="2674"/>
      <c r="C513" s="2674"/>
      <c r="D513" s="2674"/>
      <c r="E513" s="2674"/>
      <c r="F513" s="2674"/>
      <c r="G513" s="2674"/>
      <c r="H513" s="2674"/>
      <c r="I513" s="2674"/>
      <c r="J513" s="2674"/>
      <c r="K513" s="2674"/>
      <c r="L513" s="2674"/>
      <c r="M513" s="2674"/>
      <c r="N513" s="2674"/>
      <c r="O513" s="2674"/>
      <c r="P513" s="2674"/>
      <c r="Q513" s="2674"/>
      <c r="R513" s="2674"/>
      <c r="S513" s="2674"/>
      <c r="T513" s="2674"/>
      <c r="U513" s="2674"/>
    </row>
    <row r="514" spans="1:21" ht="11.25" customHeight="1" x14ac:dyDescent="0.2">
      <c r="A514" s="2674"/>
      <c r="B514" s="2674"/>
      <c r="C514" s="2674"/>
      <c r="D514" s="2674"/>
      <c r="E514" s="2674"/>
      <c r="F514" s="2674"/>
      <c r="G514" s="2674"/>
      <c r="H514" s="2674"/>
      <c r="I514" s="2674"/>
      <c r="J514" s="2674"/>
      <c r="K514" s="2674"/>
      <c r="L514" s="2674"/>
      <c r="M514" s="2674"/>
      <c r="N514" s="2674"/>
      <c r="O514" s="2674"/>
      <c r="P514" s="2674"/>
      <c r="Q514" s="2674"/>
      <c r="R514" s="2674"/>
      <c r="S514" s="2674"/>
      <c r="T514" s="2674"/>
      <c r="U514" s="2674"/>
    </row>
    <row r="515" spans="1:21" ht="11.25" customHeight="1" x14ac:dyDescent="0.2">
      <c r="A515" s="2674"/>
      <c r="B515" s="2674"/>
      <c r="C515" s="2674"/>
      <c r="D515" s="2674"/>
      <c r="E515" s="2674"/>
      <c r="F515" s="2674"/>
      <c r="G515" s="2674"/>
      <c r="H515" s="2674"/>
      <c r="I515" s="2674"/>
      <c r="J515" s="2674"/>
      <c r="K515" s="2674"/>
      <c r="L515" s="2674"/>
      <c r="M515" s="2674"/>
      <c r="N515" s="2674"/>
      <c r="O515" s="2674"/>
      <c r="P515" s="2674"/>
      <c r="Q515" s="2674"/>
      <c r="R515" s="2674"/>
      <c r="S515" s="2674"/>
      <c r="T515" s="2674"/>
      <c r="U515" s="2674"/>
    </row>
    <row r="516" spans="1:21" ht="11.25" customHeight="1" x14ac:dyDescent="0.2">
      <c r="A516" s="2674"/>
      <c r="B516" s="2674"/>
      <c r="C516" s="2674"/>
      <c r="D516" s="2674"/>
      <c r="E516" s="2674"/>
      <c r="F516" s="2674"/>
      <c r="G516" s="2674"/>
      <c r="H516" s="2674"/>
      <c r="I516" s="2674"/>
      <c r="J516" s="2674"/>
      <c r="K516" s="2674"/>
      <c r="L516" s="2674"/>
      <c r="M516" s="2674"/>
      <c r="N516" s="2674"/>
      <c r="O516" s="2674"/>
      <c r="P516" s="2674"/>
      <c r="Q516" s="2674"/>
      <c r="R516" s="2674"/>
      <c r="S516" s="2674"/>
      <c r="T516" s="2674"/>
      <c r="U516" s="2674"/>
    </row>
    <row r="517" spans="1:21" ht="11.25" customHeight="1" x14ac:dyDescent="0.2">
      <c r="A517" s="2674"/>
      <c r="B517" s="2674"/>
      <c r="C517" s="2674"/>
      <c r="D517" s="2674"/>
      <c r="E517" s="2674"/>
      <c r="F517" s="2674"/>
      <c r="G517" s="2674"/>
      <c r="H517" s="2674"/>
      <c r="I517" s="2674"/>
      <c r="J517" s="2674"/>
      <c r="K517" s="2674"/>
      <c r="L517" s="2674"/>
      <c r="M517" s="2674"/>
      <c r="N517" s="2674"/>
      <c r="O517" s="2674"/>
      <c r="P517" s="2674"/>
      <c r="Q517" s="2674"/>
      <c r="R517" s="2674"/>
      <c r="S517" s="2674"/>
      <c r="T517" s="2674"/>
      <c r="U517" s="2674"/>
    </row>
    <row r="518" spans="1:21" ht="11.25" customHeight="1" x14ac:dyDescent="0.2">
      <c r="A518" s="2674"/>
      <c r="B518" s="2674"/>
      <c r="C518" s="2674"/>
      <c r="D518" s="2674"/>
      <c r="E518" s="2674"/>
      <c r="F518" s="2674"/>
      <c r="G518" s="2674"/>
      <c r="H518" s="2674"/>
      <c r="I518" s="2674"/>
      <c r="J518" s="2674"/>
      <c r="K518" s="2674"/>
      <c r="L518" s="2674"/>
      <c r="M518" s="2674"/>
      <c r="N518" s="2674"/>
      <c r="O518" s="2674"/>
      <c r="P518" s="2674"/>
      <c r="Q518" s="2674"/>
      <c r="R518" s="2674"/>
      <c r="S518" s="2674"/>
      <c r="T518" s="2674"/>
      <c r="U518" s="2674"/>
    </row>
    <row r="519" spans="1:21" ht="11.25" customHeight="1" x14ac:dyDescent="0.2">
      <c r="A519" s="2674"/>
      <c r="B519" s="2674"/>
      <c r="C519" s="2674"/>
      <c r="D519" s="2674"/>
      <c r="E519" s="2674"/>
      <c r="F519" s="2674"/>
      <c r="G519" s="2674"/>
      <c r="H519" s="2674"/>
      <c r="I519" s="2674"/>
      <c r="J519" s="2674"/>
      <c r="K519" s="2674"/>
      <c r="L519" s="2674"/>
      <c r="M519" s="2674"/>
      <c r="N519" s="2674"/>
      <c r="O519" s="2674"/>
      <c r="P519" s="2674"/>
      <c r="Q519" s="2674"/>
      <c r="R519" s="2674"/>
      <c r="S519" s="2674"/>
      <c r="T519" s="2674"/>
      <c r="U519" s="2674"/>
    </row>
    <row r="520" spans="1:21" ht="11.25" customHeight="1" x14ac:dyDescent="0.2">
      <c r="A520" s="2674"/>
      <c r="B520" s="2674"/>
      <c r="C520" s="2674"/>
      <c r="D520" s="2674"/>
      <c r="E520" s="2674"/>
      <c r="F520" s="2674"/>
      <c r="G520" s="2674"/>
      <c r="H520" s="2674"/>
      <c r="I520" s="2674"/>
      <c r="J520" s="2674"/>
      <c r="K520" s="2674"/>
      <c r="L520" s="2674"/>
      <c r="M520" s="2674"/>
      <c r="N520" s="2674"/>
      <c r="O520" s="2674"/>
      <c r="P520" s="2674"/>
      <c r="Q520" s="2674"/>
      <c r="R520" s="2674"/>
      <c r="S520" s="2674"/>
      <c r="T520" s="2674"/>
      <c r="U520" s="2674"/>
    </row>
    <row r="521" spans="1:21" ht="11.25" customHeight="1" x14ac:dyDescent="0.2">
      <c r="A521" s="2674"/>
      <c r="B521" s="2674"/>
      <c r="C521" s="2674"/>
      <c r="D521" s="2674"/>
      <c r="E521" s="2674"/>
      <c r="F521" s="2674"/>
      <c r="G521" s="2674"/>
      <c r="H521" s="2674"/>
      <c r="I521" s="2674"/>
      <c r="J521" s="2674"/>
      <c r="K521" s="2674"/>
      <c r="L521" s="2674"/>
      <c r="M521" s="2674"/>
      <c r="N521" s="2674"/>
      <c r="O521" s="2674"/>
      <c r="P521" s="2674"/>
      <c r="Q521" s="2674"/>
      <c r="R521" s="2674"/>
      <c r="S521" s="2674"/>
      <c r="T521" s="2674"/>
      <c r="U521" s="2674"/>
    </row>
    <row r="522" spans="1:21" ht="11.25" customHeight="1" x14ac:dyDescent="0.2">
      <c r="A522" s="2674"/>
      <c r="B522" s="2674"/>
      <c r="C522" s="2674"/>
      <c r="D522" s="2674"/>
      <c r="E522" s="2674"/>
      <c r="F522" s="2674"/>
      <c r="G522" s="2674"/>
      <c r="H522" s="2674"/>
      <c r="I522" s="2674"/>
      <c r="J522" s="2674"/>
      <c r="K522" s="2674"/>
      <c r="L522" s="2674"/>
      <c r="M522" s="2674"/>
      <c r="N522" s="2674"/>
      <c r="O522" s="2674"/>
      <c r="P522" s="2674"/>
      <c r="Q522" s="2674"/>
      <c r="R522" s="2674"/>
      <c r="S522" s="2674"/>
      <c r="T522" s="2674"/>
      <c r="U522" s="2674"/>
    </row>
    <row r="523" spans="1:21" ht="11.25" customHeight="1" x14ac:dyDescent="0.2">
      <c r="A523" s="2674"/>
      <c r="B523" s="2674"/>
      <c r="C523" s="2674"/>
      <c r="D523" s="2674"/>
      <c r="E523" s="2674"/>
      <c r="F523" s="2674"/>
      <c r="G523" s="2674"/>
      <c r="H523" s="2674"/>
      <c r="I523" s="2674"/>
      <c r="J523" s="2674"/>
      <c r="K523" s="2674"/>
      <c r="L523" s="2674"/>
      <c r="M523" s="2674"/>
      <c r="N523" s="2674"/>
      <c r="O523" s="2674"/>
      <c r="P523" s="2674"/>
      <c r="Q523" s="2674"/>
      <c r="R523" s="2674"/>
      <c r="S523" s="2674"/>
      <c r="T523" s="2674"/>
      <c r="U523" s="2674"/>
    </row>
    <row r="524" spans="1:21" ht="11.25" customHeight="1" x14ac:dyDescent="0.2">
      <c r="A524" s="2674"/>
      <c r="B524" s="2674"/>
      <c r="C524" s="2674"/>
      <c r="D524" s="2674"/>
      <c r="E524" s="2674"/>
      <c r="F524" s="2674"/>
      <c r="G524" s="2674"/>
      <c r="H524" s="2674"/>
      <c r="I524" s="2674"/>
      <c r="J524" s="2674"/>
      <c r="K524" s="2674"/>
      <c r="L524" s="2674"/>
      <c r="M524" s="2674"/>
      <c r="N524" s="2674"/>
      <c r="O524" s="2674"/>
      <c r="P524" s="2674"/>
      <c r="Q524" s="2674"/>
      <c r="R524" s="2674"/>
      <c r="S524" s="2674"/>
      <c r="T524" s="2674"/>
      <c r="U524" s="2674"/>
    </row>
    <row r="525" spans="1:21" ht="11.25" customHeight="1" x14ac:dyDescent="0.2">
      <c r="A525" s="2674"/>
      <c r="B525" s="2674"/>
      <c r="C525" s="2674"/>
      <c r="D525" s="2674"/>
      <c r="E525" s="2674"/>
      <c r="F525" s="2674"/>
      <c r="G525" s="2674"/>
      <c r="H525" s="2674"/>
      <c r="I525" s="2674"/>
      <c r="J525" s="2674"/>
      <c r="K525" s="2674"/>
      <c r="L525" s="2674"/>
      <c r="M525" s="2674"/>
      <c r="N525" s="2674"/>
      <c r="O525" s="2674"/>
      <c r="P525" s="2674"/>
      <c r="Q525" s="2674"/>
      <c r="R525" s="2674"/>
      <c r="S525" s="2674"/>
      <c r="T525" s="2674"/>
      <c r="U525" s="2674"/>
    </row>
    <row r="526" spans="1:21" ht="11.25" customHeight="1" x14ac:dyDescent="0.2">
      <c r="A526" s="2674"/>
      <c r="B526" s="2674"/>
      <c r="C526" s="2674"/>
      <c r="D526" s="2674"/>
      <c r="E526" s="2674"/>
      <c r="F526" s="2674"/>
      <c r="G526" s="2674"/>
      <c r="H526" s="2674"/>
      <c r="I526" s="2674"/>
      <c r="J526" s="2674"/>
      <c r="K526" s="2674"/>
      <c r="L526" s="2674"/>
      <c r="M526" s="2674"/>
      <c r="N526" s="2674"/>
      <c r="O526" s="2674"/>
      <c r="P526" s="2674"/>
      <c r="Q526" s="2674"/>
      <c r="R526" s="2674"/>
      <c r="S526" s="2674"/>
      <c r="T526" s="2674"/>
      <c r="U526" s="2674"/>
    </row>
    <row r="527" spans="1:21" ht="11.25" customHeight="1" x14ac:dyDescent="0.2">
      <c r="A527" s="2674"/>
      <c r="B527" s="2674"/>
      <c r="C527" s="2674"/>
      <c r="D527" s="2674"/>
      <c r="E527" s="2674"/>
      <c r="F527" s="2674"/>
      <c r="G527" s="2674"/>
      <c r="H527" s="2674"/>
      <c r="I527" s="2674"/>
      <c r="J527" s="2674"/>
      <c r="K527" s="2674"/>
      <c r="L527" s="2674"/>
      <c r="M527" s="2674"/>
      <c r="N527" s="2674"/>
      <c r="O527" s="2674"/>
      <c r="P527" s="2674"/>
      <c r="Q527" s="2674"/>
      <c r="R527" s="2674"/>
      <c r="S527" s="2674"/>
      <c r="T527" s="2674"/>
      <c r="U527" s="2674"/>
    </row>
    <row r="528" spans="1:21" ht="11.25" customHeight="1" x14ac:dyDescent="0.2">
      <c r="A528" s="2674"/>
      <c r="B528" s="2674"/>
      <c r="C528" s="2674"/>
      <c r="D528" s="2674"/>
      <c r="E528" s="2674"/>
      <c r="F528" s="2674"/>
      <c r="G528" s="2674"/>
      <c r="H528" s="2674"/>
      <c r="I528" s="2674"/>
      <c r="J528" s="2674"/>
      <c r="K528" s="2674"/>
      <c r="L528" s="2674"/>
      <c r="M528" s="2674"/>
      <c r="N528" s="2674"/>
      <c r="O528" s="2674"/>
      <c r="P528" s="2674"/>
      <c r="Q528" s="2674"/>
      <c r="R528" s="2674"/>
      <c r="S528" s="2674"/>
      <c r="T528" s="2674"/>
      <c r="U528" s="2674"/>
    </row>
    <row r="529" spans="1:21" ht="11.25" customHeight="1" x14ac:dyDescent="0.2">
      <c r="A529" s="2674"/>
      <c r="B529" s="2674"/>
      <c r="C529" s="2674"/>
      <c r="D529" s="2674"/>
      <c r="E529" s="2674"/>
      <c r="F529" s="2674"/>
      <c r="G529" s="2674"/>
      <c r="H529" s="2674"/>
      <c r="I529" s="2674"/>
      <c r="J529" s="2674"/>
      <c r="K529" s="2674"/>
      <c r="L529" s="2674"/>
      <c r="M529" s="2674"/>
      <c r="N529" s="2674"/>
      <c r="O529" s="2674"/>
      <c r="P529" s="2674"/>
      <c r="Q529" s="2674"/>
      <c r="R529" s="2674"/>
      <c r="S529" s="2674"/>
      <c r="T529" s="2674"/>
      <c r="U529" s="2674"/>
    </row>
    <row r="530" spans="1:21" ht="11.25" customHeight="1" x14ac:dyDescent="0.2">
      <c r="A530" s="2674"/>
      <c r="B530" s="2674"/>
      <c r="C530" s="2674"/>
      <c r="D530" s="2674"/>
      <c r="E530" s="2674"/>
      <c r="F530" s="2674"/>
      <c r="G530" s="2674"/>
      <c r="H530" s="2674"/>
      <c r="I530" s="2674"/>
      <c r="J530" s="2674"/>
      <c r="K530" s="2674"/>
      <c r="L530" s="2674"/>
      <c r="M530" s="2674"/>
      <c r="N530" s="2674"/>
      <c r="O530" s="2674"/>
      <c r="P530" s="2674"/>
      <c r="Q530" s="2674"/>
      <c r="R530" s="2674"/>
      <c r="S530" s="2674"/>
      <c r="T530" s="2674"/>
      <c r="U530" s="2674"/>
    </row>
    <row r="531" spans="1:21" ht="11.25" customHeight="1" x14ac:dyDescent="0.2">
      <c r="A531" s="2674"/>
      <c r="B531" s="2674"/>
      <c r="C531" s="2674"/>
      <c r="D531" s="2674"/>
      <c r="E531" s="2674"/>
      <c r="F531" s="2674"/>
      <c r="G531" s="2674"/>
      <c r="H531" s="2674"/>
      <c r="I531" s="2674"/>
      <c r="J531" s="2674"/>
      <c r="K531" s="2674"/>
      <c r="L531" s="2674"/>
      <c r="M531" s="2674"/>
      <c r="N531" s="2674"/>
      <c r="O531" s="2674"/>
      <c r="P531" s="2674"/>
      <c r="Q531" s="2674"/>
      <c r="R531" s="2674"/>
      <c r="S531" s="2674"/>
      <c r="T531" s="2674"/>
      <c r="U531" s="2674"/>
    </row>
    <row r="532" spans="1:21" ht="11.25" customHeight="1" x14ac:dyDescent="0.2">
      <c r="A532" s="2674"/>
      <c r="B532" s="2674"/>
      <c r="C532" s="2674"/>
      <c r="D532" s="2674"/>
      <c r="E532" s="2674"/>
      <c r="F532" s="2674"/>
      <c r="G532" s="2674"/>
      <c r="H532" s="2674"/>
      <c r="I532" s="2674"/>
      <c r="J532" s="2674"/>
      <c r="K532" s="2674"/>
      <c r="L532" s="2674"/>
      <c r="M532" s="2674"/>
      <c r="N532" s="2674"/>
      <c r="O532" s="2674"/>
      <c r="P532" s="2674"/>
      <c r="Q532" s="2674"/>
      <c r="R532" s="2674"/>
      <c r="S532" s="2674"/>
      <c r="T532" s="2674"/>
      <c r="U532" s="2674"/>
    </row>
    <row r="533" spans="1:21" ht="11.25" customHeight="1" x14ac:dyDescent="0.2">
      <c r="A533" s="2674"/>
      <c r="B533" s="2674"/>
      <c r="C533" s="2674"/>
      <c r="D533" s="2674"/>
      <c r="E533" s="2674"/>
      <c r="F533" s="2674"/>
      <c r="G533" s="2674"/>
      <c r="H533" s="2674"/>
      <c r="I533" s="2674"/>
      <c r="J533" s="2674"/>
      <c r="K533" s="2674"/>
      <c r="L533" s="2674"/>
      <c r="M533" s="2674"/>
      <c r="N533" s="2674"/>
      <c r="O533" s="2674"/>
      <c r="P533" s="2674"/>
      <c r="Q533" s="2674"/>
      <c r="R533" s="2674"/>
      <c r="S533" s="2674"/>
      <c r="T533" s="2674"/>
      <c r="U533" s="2674"/>
    </row>
    <row r="534" spans="1:21" ht="11.25" customHeight="1" x14ac:dyDescent="0.2">
      <c r="A534" s="2674"/>
      <c r="B534" s="2674"/>
      <c r="C534" s="2674"/>
      <c r="D534" s="2674"/>
      <c r="E534" s="2674"/>
      <c r="F534" s="2674"/>
      <c r="G534" s="2674"/>
      <c r="H534" s="2674"/>
      <c r="I534" s="2674"/>
      <c r="J534" s="2674"/>
      <c r="K534" s="2674"/>
      <c r="L534" s="2674"/>
      <c r="M534" s="2674"/>
      <c r="N534" s="2674"/>
      <c r="O534" s="2674"/>
      <c r="P534" s="2674"/>
      <c r="Q534" s="2674"/>
      <c r="R534" s="2674"/>
      <c r="S534" s="2674"/>
      <c r="T534" s="2674"/>
      <c r="U534" s="2674"/>
    </row>
    <row r="535" spans="1:21" ht="11.25" customHeight="1" x14ac:dyDescent="0.2">
      <c r="A535" s="2674"/>
      <c r="B535" s="2674"/>
      <c r="C535" s="2674"/>
      <c r="D535" s="2674"/>
      <c r="E535" s="2674"/>
      <c r="F535" s="2674"/>
      <c r="G535" s="2674"/>
      <c r="H535" s="2674"/>
      <c r="I535" s="2674"/>
      <c r="J535" s="2674"/>
      <c r="K535" s="2674"/>
      <c r="L535" s="2674"/>
      <c r="M535" s="2674"/>
      <c r="N535" s="2674"/>
      <c r="O535" s="2674"/>
      <c r="P535" s="2674"/>
      <c r="Q535" s="2674"/>
      <c r="R535" s="2674"/>
      <c r="S535" s="2674"/>
      <c r="T535" s="2674"/>
      <c r="U535" s="2674"/>
    </row>
    <row r="536" spans="1:21" ht="11.25" customHeight="1" x14ac:dyDescent="0.2">
      <c r="A536" s="2674"/>
      <c r="B536" s="2674"/>
      <c r="C536" s="2674"/>
      <c r="D536" s="2674"/>
      <c r="E536" s="2674"/>
      <c r="F536" s="2674"/>
      <c r="G536" s="2674"/>
      <c r="H536" s="2674"/>
      <c r="I536" s="2674"/>
      <c r="J536" s="2674"/>
      <c r="K536" s="2674"/>
      <c r="L536" s="2674"/>
      <c r="M536" s="2674"/>
      <c r="N536" s="2674"/>
      <c r="O536" s="2674"/>
      <c r="P536" s="2674"/>
      <c r="Q536" s="2674"/>
      <c r="R536" s="2674"/>
      <c r="S536" s="2674"/>
      <c r="T536" s="2674"/>
      <c r="U536" s="2674"/>
    </row>
    <row r="537" spans="1:21" ht="11.25" customHeight="1" x14ac:dyDescent="0.2">
      <c r="A537" s="2674"/>
      <c r="B537" s="2674"/>
      <c r="C537" s="2674"/>
      <c r="D537" s="2674"/>
      <c r="E537" s="2674"/>
      <c r="F537" s="2674"/>
      <c r="G537" s="2674"/>
      <c r="H537" s="2674"/>
      <c r="I537" s="2674"/>
      <c r="J537" s="2674"/>
      <c r="K537" s="2674"/>
      <c r="L537" s="2674"/>
      <c r="M537" s="2674"/>
      <c r="N537" s="2674"/>
      <c r="O537" s="2674"/>
      <c r="P537" s="2674"/>
      <c r="Q537" s="2674"/>
      <c r="R537" s="2674"/>
      <c r="S537" s="2674"/>
      <c r="T537" s="2674"/>
      <c r="U537" s="2674"/>
    </row>
    <row r="538" spans="1:21" ht="11.25" customHeight="1" x14ac:dyDescent="0.2">
      <c r="A538" s="2674"/>
      <c r="B538" s="2674"/>
      <c r="C538" s="2674"/>
      <c r="D538" s="2674"/>
      <c r="E538" s="2674"/>
      <c r="F538" s="2674"/>
      <c r="G538" s="2674"/>
      <c r="H538" s="2674"/>
      <c r="I538" s="2674"/>
      <c r="J538" s="2674"/>
      <c r="K538" s="2674"/>
      <c r="L538" s="2674"/>
      <c r="M538" s="2674"/>
      <c r="N538" s="2674"/>
      <c r="O538" s="2674"/>
      <c r="P538" s="2674"/>
      <c r="Q538" s="2674"/>
      <c r="R538" s="2674"/>
      <c r="S538" s="2674"/>
      <c r="T538" s="2674"/>
      <c r="U538" s="2674"/>
    </row>
    <row r="539" spans="1:21" ht="11.25" customHeight="1" x14ac:dyDescent="0.2">
      <c r="A539" s="2674"/>
      <c r="B539" s="2674"/>
      <c r="C539" s="2674"/>
      <c r="D539" s="2674"/>
      <c r="E539" s="2674"/>
      <c r="F539" s="2674"/>
      <c r="G539" s="2674"/>
      <c r="H539" s="2674"/>
      <c r="I539" s="2674"/>
      <c r="J539" s="2674"/>
      <c r="K539" s="2674"/>
      <c r="L539" s="2674"/>
      <c r="M539" s="2674"/>
      <c r="N539" s="2674"/>
      <c r="O539" s="2674"/>
      <c r="P539" s="2674"/>
      <c r="Q539" s="2674"/>
      <c r="R539" s="2674"/>
      <c r="S539" s="2674"/>
      <c r="T539" s="2674"/>
      <c r="U539" s="2674"/>
    </row>
    <row r="540" spans="1:21" ht="11.25" customHeight="1" x14ac:dyDescent="0.2">
      <c r="A540" s="2674"/>
      <c r="B540" s="2674"/>
      <c r="C540" s="2674"/>
      <c r="D540" s="2674"/>
      <c r="E540" s="2674"/>
      <c r="F540" s="2674"/>
      <c r="G540" s="2674"/>
      <c r="H540" s="2674"/>
      <c r="I540" s="2674"/>
      <c r="J540" s="2674"/>
      <c r="K540" s="2674"/>
      <c r="L540" s="2674"/>
      <c r="M540" s="2674"/>
      <c r="N540" s="2674"/>
      <c r="O540" s="2674"/>
      <c r="P540" s="2674"/>
      <c r="Q540" s="2674"/>
      <c r="R540" s="2674"/>
      <c r="S540" s="2674"/>
      <c r="T540" s="2674"/>
      <c r="U540" s="2674"/>
    </row>
    <row r="541" spans="1:21" ht="11.25" customHeight="1" x14ac:dyDescent="0.2">
      <c r="A541" s="2674"/>
      <c r="B541" s="2674"/>
      <c r="C541" s="2674"/>
      <c r="D541" s="2674"/>
      <c r="E541" s="2674"/>
      <c r="F541" s="2674"/>
      <c r="G541" s="2674"/>
      <c r="H541" s="2674"/>
      <c r="I541" s="2674"/>
      <c r="J541" s="2674"/>
      <c r="K541" s="2674"/>
      <c r="L541" s="2674"/>
      <c r="M541" s="2674"/>
      <c r="N541" s="2674"/>
      <c r="O541" s="2674"/>
      <c r="P541" s="2674"/>
      <c r="Q541" s="2674"/>
      <c r="R541" s="2674"/>
      <c r="S541" s="2674"/>
      <c r="T541" s="2674"/>
      <c r="U541" s="2674"/>
    </row>
    <row r="542" spans="1:21" ht="11.25" customHeight="1" x14ac:dyDescent="0.2">
      <c r="A542" s="2674"/>
      <c r="B542" s="2674"/>
      <c r="C542" s="2674"/>
      <c r="D542" s="2674"/>
      <c r="E542" s="2674"/>
      <c r="F542" s="2674"/>
      <c r="G542" s="2674"/>
      <c r="H542" s="2674"/>
      <c r="I542" s="2674"/>
      <c r="J542" s="2674"/>
      <c r="K542" s="2674"/>
      <c r="L542" s="2674"/>
      <c r="M542" s="2674"/>
      <c r="N542" s="2674"/>
      <c r="O542" s="2674"/>
      <c r="P542" s="2674"/>
      <c r="Q542" s="2674"/>
      <c r="R542" s="2674"/>
      <c r="S542" s="2674"/>
      <c r="T542" s="2674"/>
      <c r="U542" s="2674"/>
    </row>
    <row r="543" spans="1:21" ht="11.25" customHeight="1" x14ac:dyDescent="0.2">
      <c r="A543" s="2674"/>
      <c r="B543" s="2674"/>
      <c r="C543" s="2674"/>
      <c r="D543" s="2674"/>
      <c r="E543" s="2674"/>
      <c r="F543" s="2674"/>
      <c r="G543" s="2674"/>
      <c r="H543" s="2674"/>
      <c r="I543" s="2674"/>
      <c r="J543" s="2674"/>
      <c r="K543" s="2674"/>
      <c r="L543" s="2674"/>
      <c r="M543" s="2674"/>
      <c r="N543" s="2674"/>
      <c r="O543" s="2674"/>
      <c r="P543" s="2674"/>
      <c r="Q543" s="2674"/>
      <c r="R543" s="2674"/>
      <c r="S543" s="2674"/>
      <c r="T543" s="2674"/>
      <c r="U543" s="2674"/>
    </row>
    <row r="544" spans="1:21" ht="11.25" customHeight="1" x14ac:dyDescent="0.2">
      <c r="A544" s="2674"/>
      <c r="B544" s="2674"/>
      <c r="C544" s="2674"/>
      <c r="D544" s="2674"/>
      <c r="E544" s="2674"/>
      <c r="F544" s="2674"/>
      <c r="G544" s="2674"/>
      <c r="H544" s="2674"/>
      <c r="I544" s="2674"/>
      <c r="J544" s="2674"/>
      <c r="K544" s="2674"/>
      <c r="L544" s="2674"/>
      <c r="M544" s="2674"/>
      <c r="N544" s="2674"/>
      <c r="O544" s="2674"/>
      <c r="P544" s="2674"/>
      <c r="Q544" s="2674"/>
      <c r="R544" s="2674"/>
      <c r="S544" s="2674"/>
      <c r="T544" s="2674"/>
      <c r="U544" s="2674"/>
    </row>
    <row r="545" spans="1:21" ht="11.25" customHeight="1" x14ac:dyDescent="0.2">
      <c r="A545" s="2674"/>
      <c r="B545" s="2674"/>
      <c r="C545" s="2674"/>
      <c r="D545" s="2674"/>
      <c r="E545" s="2674"/>
      <c r="F545" s="2674"/>
      <c r="G545" s="2674"/>
      <c r="H545" s="2674"/>
      <c r="I545" s="2674"/>
      <c r="J545" s="2674"/>
      <c r="K545" s="2674"/>
      <c r="L545" s="2674"/>
      <c r="M545" s="2674"/>
      <c r="N545" s="2674"/>
      <c r="O545" s="2674"/>
      <c r="P545" s="2674"/>
      <c r="Q545" s="2674"/>
      <c r="R545" s="2674"/>
      <c r="S545" s="2674"/>
      <c r="T545" s="2674"/>
      <c r="U545" s="2674"/>
    </row>
    <row r="546" spans="1:21" ht="11.25" customHeight="1" x14ac:dyDescent="0.2">
      <c r="A546" s="2674"/>
      <c r="B546" s="2674"/>
      <c r="C546" s="2674"/>
      <c r="D546" s="2674"/>
      <c r="E546" s="2674"/>
      <c r="F546" s="2674"/>
      <c r="G546" s="2674"/>
      <c r="H546" s="2674"/>
      <c r="I546" s="2674"/>
      <c r="J546" s="2674"/>
      <c r="K546" s="2674"/>
      <c r="L546" s="2674"/>
      <c r="M546" s="2674"/>
      <c r="N546" s="2674"/>
      <c r="O546" s="2674"/>
      <c r="P546" s="2674"/>
      <c r="Q546" s="2674"/>
      <c r="R546" s="2674"/>
      <c r="S546" s="2674"/>
      <c r="T546" s="2674"/>
      <c r="U546" s="2674"/>
    </row>
    <row r="547" spans="1:21" ht="11.25" customHeight="1" x14ac:dyDescent="0.2">
      <c r="A547" s="2674"/>
      <c r="B547" s="2674"/>
      <c r="C547" s="2674"/>
      <c r="D547" s="2674"/>
      <c r="E547" s="2674"/>
      <c r="F547" s="2674"/>
      <c r="G547" s="2674"/>
      <c r="H547" s="2674"/>
      <c r="I547" s="2674"/>
      <c r="J547" s="2674"/>
      <c r="K547" s="2674"/>
      <c r="L547" s="2674"/>
      <c r="M547" s="2674"/>
      <c r="N547" s="2674"/>
      <c r="O547" s="2674"/>
      <c r="P547" s="2674"/>
      <c r="Q547" s="2674"/>
      <c r="R547" s="2674"/>
      <c r="S547" s="2674"/>
      <c r="T547" s="2674"/>
      <c r="U547" s="2674"/>
    </row>
    <row r="548" spans="1:21" ht="11.25" customHeight="1" x14ac:dyDescent="0.2">
      <c r="A548" s="2674"/>
      <c r="B548" s="2674"/>
      <c r="C548" s="2674"/>
      <c r="D548" s="2674"/>
      <c r="E548" s="2674"/>
      <c r="F548" s="2674"/>
      <c r="G548" s="2674"/>
      <c r="H548" s="2674"/>
      <c r="I548" s="2674"/>
      <c r="J548" s="2674"/>
      <c r="K548" s="2674"/>
      <c r="L548" s="2674"/>
      <c r="M548" s="2674"/>
      <c r="N548" s="2674"/>
      <c r="O548" s="2674"/>
      <c r="P548" s="2674"/>
      <c r="Q548" s="2674"/>
      <c r="R548" s="2674"/>
      <c r="S548" s="2674"/>
      <c r="T548" s="2674"/>
      <c r="U548" s="2674"/>
    </row>
    <row r="549" spans="1:21" ht="11.25" customHeight="1" x14ac:dyDescent="0.2">
      <c r="A549" s="2674"/>
      <c r="B549" s="2674"/>
      <c r="C549" s="2674"/>
      <c r="D549" s="2674"/>
      <c r="E549" s="2674"/>
      <c r="F549" s="2674"/>
      <c r="G549" s="2674"/>
      <c r="H549" s="2674"/>
      <c r="I549" s="2674"/>
      <c r="J549" s="2674"/>
      <c r="K549" s="2674"/>
      <c r="L549" s="2674"/>
      <c r="M549" s="2674"/>
      <c r="N549" s="2674"/>
      <c r="O549" s="2674"/>
      <c r="P549" s="2674"/>
      <c r="Q549" s="2674"/>
      <c r="R549" s="2674"/>
      <c r="S549" s="2674"/>
      <c r="T549" s="2674"/>
      <c r="U549" s="2674"/>
    </row>
    <row r="550" spans="1:21" ht="11.25" customHeight="1" x14ac:dyDescent="0.2">
      <c r="A550" s="2674"/>
      <c r="B550" s="2674"/>
      <c r="C550" s="2674"/>
      <c r="D550" s="2674"/>
      <c r="E550" s="2674"/>
      <c r="F550" s="2674"/>
      <c r="G550" s="2674"/>
      <c r="H550" s="2674"/>
      <c r="I550" s="2674"/>
      <c r="J550" s="2674"/>
      <c r="K550" s="2674"/>
      <c r="L550" s="2674"/>
      <c r="M550" s="2674"/>
      <c r="N550" s="2674"/>
      <c r="O550" s="2674"/>
      <c r="P550" s="2674"/>
      <c r="Q550" s="2674"/>
      <c r="R550" s="2674"/>
      <c r="S550" s="2674"/>
      <c r="T550" s="2674"/>
      <c r="U550" s="2674"/>
    </row>
    <row r="551" spans="1:21" ht="11.25" customHeight="1" x14ac:dyDescent="0.2">
      <c r="A551" s="2674"/>
      <c r="B551" s="2674"/>
      <c r="C551" s="2674"/>
      <c r="D551" s="2674"/>
      <c r="E551" s="2674"/>
      <c r="F551" s="2674"/>
      <c r="G551" s="2674"/>
      <c r="H551" s="2674"/>
      <c r="I551" s="2674"/>
      <c r="J551" s="2674"/>
      <c r="K551" s="2674"/>
      <c r="L551" s="2674"/>
      <c r="M551" s="2674"/>
      <c r="N551" s="2674"/>
      <c r="O551" s="2674"/>
      <c r="P551" s="2674"/>
      <c r="Q551" s="2674"/>
      <c r="R551" s="2674"/>
      <c r="S551" s="2674"/>
      <c r="T551" s="2674"/>
      <c r="U551" s="2674"/>
    </row>
    <row r="552" spans="1:21" ht="11.25" customHeight="1" x14ac:dyDescent="0.2">
      <c r="A552" s="2674"/>
      <c r="B552" s="2674"/>
      <c r="C552" s="2674"/>
      <c r="D552" s="2674"/>
      <c r="E552" s="2674"/>
      <c r="F552" s="2674"/>
      <c r="G552" s="2674"/>
      <c r="H552" s="2674"/>
      <c r="I552" s="2674"/>
      <c r="J552" s="2674"/>
      <c r="K552" s="2674"/>
      <c r="L552" s="2674"/>
      <c r="M552" s="2674"/>
      <c r="N552" s="2674"/>
      <c r="O552" s="2674"/>
      <c r="P552" s="2674"/>
      <c r="Q552" s="2674"/>
      <c r="R552" s="2674"/>
      <c r="S552" s="2674"/>
      <c r="T552" s="2674"/>
      <c r="U552" s="2674"/>
    </row>
    <row r="553" spans="1:21" ht="11.25" customHeight="1" x14ac:dyDescent="0.2">
      <c r="A553" s="2674"/>
      <c r="B553" s="2674"/>
      <c r="C553" s="2674"/>
      <c r="D553" s="2674"/>
      <c r="E553" s="2674"/>
      <c r="F553" s="2674"/>
      <c r="G553" s="2674"/>
      <c r="H553" s="2674"/>
      <c r="I553" s="2674"/>
      <c r="J553" s="2674"/>
      <c r="K553" s="2674"/>
      <c r="L553" s="2674"/>
      <c r="M553" s="2674"/>
      <c r="N553" s="2674"/>
      <c r="O553" s="2674"/>
      <c r="P553" s="2674"/>
      <c r="Q553" s="2674"/>
      <c r="R553" s="2674"/>
      <c r="S553" s="2674"/>
      <c r="T553" s="2674"/>
      <c r="U553" s="2674"/>
    </row>
    <row r="554" spans="1:21" ht="11.25" customHeight="1" x14ac:dyDescent="0.2">
      <c r="A554" s="2674"/>
      <c r="B554" s="2674"/>
      <c r="C554" s="2674"/>
      <c r="D554" s="2674"/>
      <c r="E554" s="2674"/>
      <c r="F554" s="2674"/>
      <c r="G554" s="2674"/>
      <c r="H554" s="2674"/>
      <c r="I554" s="2674"/>
      <c r="J554" s="2674"/>
      <c r="K554" s="2674"/>
      <c r="L554" s="2674"/>
      <c r="M554" s="2674"/>
      <c r="N554" s="2674"/>
      <c r="O554" s="2674"/>
      <c r="P554" s="2674"/>
      <c r="Q554" s="2674"/>
      <c r="R554" s="2674"/>
      <c r="S554" s="2674"/>
      <c r="T554" s="2674"/>
      <c r="U554" s="2674"/>
    </row>
    <row r="555" spans="1:21" ht="11.25" customHeight="1" x14ac:dyDescent="0.2">
      <c r="A555" s="2674"/>
      <c r="B555" s="2674"/>
      <c r="C555" s="2674"/>
      <c r="D555" s="2674"/>
      <c r="E555" s="2674"/>
      <c r="F555" s="2674"/>
      <c r="G555" s="2674"/>
      <c r="H555" s="2674"/>
      <c r="I555" s="2674"/>
      <c r="J555" s="2674"/>
      <c r="K555" s="2674"/>
      <c r="L555" s="2674"/>
      <c r="M555" s="2674"/>
      <c r="N555" s="2674"/>
      <c r="O555" s="2674"/>
      <c r="P555" s="2674"/>
      <c r="Q555" s="2674"/>
      <c r="R555" s="2674"/>
      <c r="S555" s="2674"/>
      <c r="T555" s="2674"/>
      <c r="U555" s="2674"/>
    </row>
    <row r="556" spans="1:21" ht="11.25" customHeight="1" x14ac:dyDescent="0.2">
      <c r="A556" s="2674"/>
      <c r="B556" s="2674"/>
      <c r="C556" s="2674"/>
      <c r="D556" s="2674"/>
      <c r="E556" s="2674"/>
      <c r="F556" s="2674"/>
      <c r="G556" s="2674"/>
      <c r="H556" s="2674"/>
      <c r="I556" s="2674"/>
      <c r="J556" s="2674"/>
      <c r="K556" s="2674"/>
      <c r="L556" s="2674"/>
      <c r="M556" s="2674"/>
      <c r="N556" s="2674"/>
      <c r="O556" s="2674"/>
      <c r="P556" s="2674"/>
      <c r="Q556" s="2674"/>
      <c r="R556" s="2674"/>
      <c r="S556" s="2674"/>
      <c r="T556" s="2674"/>
      <c r="U556" s="2674"/>
    </row>
    <row r="557" spans="1:21" ht="11.25" customHeight="1" x14ac:dyDescent="0.2">
      <c r="A557" s="2674"/>
      <c r="B557" s="2674"/>
      <c r="C557" s="2674"/>
      <c r="D557" s="2674"/>
      <c r="E557" s="2674"/>
      <c r="F557" s="2674"/>
      <c r="G557" s="2674"/>
      <c r="H557" s="2674"/>
      <c r="I557" s="2674"/>
      <c r="J557" s="2674"/>
      <c r="K557" s="2674"/>
      <c r="L557" s="2674"/>
      <c r="M557" s="2674"/>
      <c r="N557" s="2674"/>
      <c r="O557" s="2674"/>
      <c r="P557" s="2674"/>
      <c r="Q557" s="2674"/>
      <c r="R557" s="2674"/>
      <c r="S557" s="2674"/>
      <c r="T557" s="2674"/>
      <c r="U557" s="2674"/>
    </row>
    <row r="558" spans="1:21" ht="11.25" customHeight="1" x14ac:dyDescent="0.2">
      <c r="A558" s="2674"/>
      <c r="B558" s="2674"/>
      <c r="C558" s="2674"/>
      <c r="D558" s="2674"/>
      <c r="E558" s="2674"/>
      <c r="F558" s="2674"/>
      <c r="G558" s="2674"/>
      <c r="H558" s="2674"/>
      <c r="I558" s="2674"/>
      <c r="J558" s="2674"/>
      <c r="K558" s="2674"/>
      <c r="L558" s="2674"/>
      <c r="M558" s="2674"/>
      <c r="N558" s="2674"/>
      <c r="O558" s="2674"/>
      <c r="P558" s="2674"/>
      <c r="Q558" s="2674"/>
      <c r="R558" s="2674"/>
      <c r="S558" s="2674"/>
      <c r="T558" s="2674"/>
      <c r="U558" s="2674"/>
    </row>
    <row r="559" spans="1:21" ht="11.25" customHeight="1" x14ac:dyDescent="0.2">
      <c r="A559" s="2674"/>
      <c r="B559" s="2674"/>
      <c r="C559" s="2674"/>
      <c r="D559" s="2674"/>
      <c r="E559" s="2674"/>
      <c r="F559" s="2674"/>
      <c r="G559" s="2674"/>
      <c r="H559" s="2674"/>
      <c r="I559" s="2674"/>
      <c r="J559" s="2674"/>
      <c r="K559" s="2674"/>
      <c r="L559" s="2674"/>
      <c r="M559" s="2674"/>
      <c r="N559" s="2674"/>
      <c r="O559" s="2674"/>
      <c r="P559" s="2674"/>
      <c r="Q559" s="2674"/>
      <c r="R559" s="2674"/>
      <c r="S559" s="2674"/>
      <c r="T559" s="2674"/>
      <c r="U559" s="2674"/>
    </row>
    <row r="560" spans="1:21" ht="11.25" customHeight="1" x14ac:dyDescent="0.2">
      <c r="A560" s="2674"/>
      <c r="B560" s="2674"/>
      <c r="C560" s="2674"/>
      <c r="D560" s="2674"/>
      <c r="E560" s="2674"/>
      <c r="F560" s="2674"/>
      <c r="G560" s="2674"/>
      <c r="H560" s="2674"/>
      <c r="I560" s="2674"/>
      <c r="J560" s="2674"/>
      <c r="K560" s="2674"/>
      <c r="L560" s="2674"/>
      <c r="M560" s="2674"/>
      <c r="N560" s="2674"/>
      <c r="O560" s="2674"/>
      <c r="P560" s="2674"/>
      <c r="Q560" s="2674"/>
      <c r="R560" s="2674"/>
      <c r="S560" s="2674"/>
      <c r="T560" s="2674"/>
      <c r="U560" s="2674"/>
    </row>
    <row r="561" spans="1:21" ht="11.25" customHeight="1" x14ac:dyDescent="0.2">
      <c r="A561" s="2674"/>
      <c r="B561" s="2674"/>
      <c r="C561" s="2674"/>
      <c r="D561" s="2674"/>
      <c r="E561" s="2674"/>
      <c r="F561" s="2674"/>
      <c r="G561" s="2674"/>
      <c r="H561" s="2674"/>
      <c r="I561" s="2674"/>
      <c r="J561" s="2674"/>
      <c r="K561" s="2674"/>
      <c r="L561" s="2674"/>
      <c r="M561" s="2674"/>
      <c r="N561" s="2674"/>
      <c r="O561" s="2674"/>
      <c r="P561" s="2674"/>
      <c r="Q561" s="2674"/>
      <c r="R561" s="2674"/>
      <c r="S561" s="2674"/>
      <c r="T561" s="2674"/>
      <c r="U561" s="2674"/>
    </row>
    <row r="562" spans="1:21" ht="11.25" customHeight="1" x14ac:dyDescent="0.2">
      <c r="A562" s="2674"/>
      <c r="B562" s="2674"/>
      <c r="C562" s="2674"/>
      <c r="D562" s="2674"/>
      <c r="E562" s="2674"/>
      <c r="F562" s="2674"/>
      <c r="G562" s="2674"/>
      <c r="H562" s="2674"/>
      <c r="I562" s="2674"/>
      <c r="J562" s="2674"/>
      <c r="K562" s="2674"/>
      <c r="L562" s="2674"/>
      <c r="M562" s="2674"/>
      <c r="N562" s="2674"/>
      <c r="O562" s="2674"/>
      <c r="P562" s="2674"/>
      <c r="Q562" s="2674"/>
      <c r="R562" s="2674"/>
      <c r="S562" s="2674"/>
      <c r="T562" s="2674"/>
      <c r="U562" s="2674"/>
    </row>
    <row r="563" spans="1:21" ht="11.25" customHeight="1" x14ac:dyDescent="0.2">
      <c r="A563" s="2674"/>
      <c r="B563" s="2674"/>
      <c r="C563" s="2674"/>
      <c r="D563" s="2674"/>
      <c r="E563" s="2674"/>
      <c r="F563" s="2674"/>
      <c r="G563" s="2674"/>
      <c r="H563" s="2674"/>
      <c r="I563" s="2674"/>
      <c r="J563" s="2674"/>
      <c r="K563" s="2674"/>
      <c r="L563" s="2674"/>
      <c r="M563" s="2674"/>
      <c r="N563" s="2674"/>
      <c r="O563" s="2674"/>
      <c r="P563" s="2674"/>
      <c r="Q563" s="2674"/>
      <c r="R563" s="2674"/>
      <c r="S563" s="2674"/>
      <c r="T563" s="2674"/>
      <c r="U563" s="2674"/>
    </row>
    <row r="564" spans="1:21" ht="11.25" customHeight="1" x14ac:dyDescent="0.2">
      <c r="A564" s="2674"/>
      <c r="B564" s="2674"/>
      <c r="C564" s="2674"/>
      <c r="D564" s="2674"/>
      <c r="E564" s="2674"/>
      <c r="F564" s="2674"/>
      <c r="G564" s="2674"/>
      <c r="H564" s="2674"/>
      <c r="I564" s="2674"/>
      <c r="J564" s="2674"/>
      <c r="K564" s="2674"/>
      <c r="L564" s="2674"/>
      <c r="M564" s="2674"/>
      <c r="N564" s="2674"/>
      <c r="O564" s="2674"/>
      <c r="P564" s="2674"/>
      <c r="Q564" s="2674"/>
      <c r="R564" s="2674"/>
      <c r="S564" s="2674"/>
      <c r="T564" s="2674"/>
      <c r="U564" s="2674"/>
    </row>
    <row r="565" spans="1:21" ht="11.25" customHeight="1" x14ac:dyDescent="0.2">
      <c r="A565" s="2674"/>
      <c r="B565" s="2674"/>
      <c r="C565" s="2674"/>
      <c r="D565" s="2674"/>
      <c r="E565" s="2674"/>
      <c r="F565" s="2674"/>
      <c r="G565" s="2674"/>
      <c r="H565" s="2674"/>
      <c r="I565" s="2674"/>
      <c r="J565" s="2674"/>
      <c r="K565" s="2674"/>
      <c r="L565" s="2674"/>
      <c r="M565" s="2674"/>
      <c r="N565" s="2674"/>
      <c r="O565" s="2674"/>
      <c r="P565" s="2674"/>
      <c r="Q565" s="2674"/>
      <c r="R565" s="2674"/>
      <c r="S565" s="2674"/>
      <c r="T565" s="2674"/>
      <c r="U565" s="2674"/>
    </row>
    <row r="566" spans="1:21" ht="11.25" customHeight="1" x14ac:dyDescent="0.2">
      <c r="A566" s="2674"/>
      <c r="B566" s="2674"/>
      <c r="C566" s="2674"/>
      <c r="D566" s="2674"/>
      <c r="E566" s="2674"/>
      <c r="F566" s="2674"/>
      <c r="G566" s="2674"/>
      <c r="H566" s="2674"/>
      <c r="I566" s="2674"/>
      <c r="J566" s="2674"/>
      <c r="K566" s="2674"/>
      <c r="L566" s="2674"/>
      <c r="M566" s="2674"/>
      <c r="N566" s="2674"/>
      <c r="O566" s="2674"/>
      <c r="P566" s="2674"/>
      <c r="Q566" s="2674"/>
      <c r="R566" s="2674"/>
      <c r="S566" s="2674"/>
      <c r="T566" s="2674"/>
      <c r="U566" s="2674"/>
    </row>
    <row r="567" spans="1:21" ht="11.25" customHeight="1" x14ac:dyDescent="0.2">
      <c r="A567" s="2674"/>
      <c r="B567" s="2674"/>
      <c r="C567" s="2674"/>
      <c r="D567" s="2674"/>
      <c r="E567" s="2674"/>
      <c r="F567" s="2674"/>
      <c r="G567" s="2674"/>
      <c r="H567" s="2674"/>
      <c r="I567" s="2674"/>
      <c r="J567" s="2674"/>
      <c r="K567" s="2674"/>
      <c r="L567" s="2674"/>
      <c r="M567" s="2674"/>
      <c r="N567" s="2674"/>
      <c r="O567" s="2674"/>
      <c r="P567" s="2674"/>
      <c r="Q567" s="2674"/>
      <c r="R567" s="2674"/>
      <c r="S567" s="2674"/>
      <c r="T567" s="2674"/>
      <c r="U567" s="2674"/>
    </row>
    <row r="568" spans="1:21" ht="11.25" customHeight="1" x14ac:dyDescent="0.2">
      <c r="A568" s="2674"/>
      <c r="B568" s="2674"/>
      <c r="C568" s="2674"/>
      <c r="D568" s="2674"/>
      <c r="E568" s="2674"/>
      <c r="F568" s="2674"/>
      <c r="G568" s="2674"/>
      <c r="H568" s="2674"/>
      <c r="I568" s="2674"/>
      <c r="J568" s="2674"/>
      <c r="K568" s="2674"/>
      <c r="L568" s="2674"/>
      <c r="M568" s="2674"/>
      <c r="N568" s="2674"/>
      <c r="O568" s="2674"/>
      <c r="P568" s="2674"/>
      <c r="Q568" s="2674"/>
      <c r="R568" s="2674"/>
      <c r="S568" s="2674"/>
      <c r="T568" s="2674"/>
      <c r="U568" s="2674"/>
    </row>
    <row r="569" spans="1:21" ht="11.25" customHeight="1" x14ac:dyDescent="0.2">
      <c r="A569" s="2674"/>
      <c r="B569" s="2674"/>
      <c r="C569" s="2674"/>
      <c r="D569" s="2674"/>
      <c r="E569" s="2674"/>
      <c r="F569" s="2674"/>
      <c r="G569" s="2674"/>
      <c r="H569" s="2674"/>
      <c r="I569" s="2674"/>
      <c r="J569" s="2674"/>
      <c r="K569" s="2674"/>
      <c r="L569" s="2674"/>
      <c r="M569" s="2674"/>
      <c r="N569" s="2674"/>
      <c r="O569" s="2674"/>
      <c r="P569" s="2674"/>
      <c r="Q569" s="2674"/>
      <c r="R569" s="2674"/>
      <c r="S569" s="2674"/>
      <c r="T569" s="2674"/>
      <c r="U569" s="2674"/>
    </row>
    <row r="570" spans="1:21" ht="11.25" customHeight="1" x14ac:dyDescent="0.2">
      <c r="A570" s="2674"/>
      <c r="B570" s="2674"/>
      <c r="C570" s="2674"/>
      <c r="D570" s="2674"/>
      <c r="E570" s="2674"/>
      <c r="F570" s="2674"/>
      <c r="G570" s="2674"/>
      <c r="H570" s="2674"/>
      <c r="I570" s="2674"/>
      <c r="J570" s="2674"/>
      <c r="K570" s="2674"/>
      <c r="L570" s="2674"/>
      <c r="M570" s="2674"/>
      <c r="N570" s="2674"/>
      <c r="O570" s="2674"/>
      <c r="P570" s="2674"/>
      <c r="Q570" s="2674"/>
      <c r="R570" s="2674"/>
      <c r="S570" s="2674"/>
      <c r="T570" s="2674"/>
      <c r="U570" s="2674"/>
    </row>
    <row r="571" spans="1:21" ht="11.25" customHeight="1" x14ac:dyDescent="0.2">
      <c r="A571" s="2674"/>
      <c r="B571" s="2674"/>
      <c r="C571" s="2674"/>
      <c r="D571" s="2674"/>
      <c r="E571" s="2674"/>
      <c r="F571" s="2674"/>
      <c r="G571" s="2674"/>
      <c r="H571" s="2674"/>
      <c r="I571" s="2674"/>
      <c r="J571" s="2674"/>
      <c r="K571" s="2674"/>
      <c r="L571" s="2674"/>
      <c r="M571" s="2674"/>
      <c r="N571" s="2674"/>
      <c r="O571" s="2674"/>
      <c r="P571" s="2674"/>
      <c r="Q571" s="2674"/>
      <c r="R571" s="2674"/>
      <c r="S571" s="2674"/>
      <c r="T571" s="2674"/>
      <c r="U571" s="2674"/>
    </row>
    <row r="572" spans="1:21" ht="11.25" customHeight="1" x14ac:dyDescent="0.2">
      <c r="A572" s="2674"/>
      <c r="B572" s="2674"/>
      <c r="C572" s="2674"/>
      <c r="D572" s="2674"/>
      <c r="E572" s="2674"/>
      <c r="F572" s="2674"/>
      <c r="G572" s="2674"/>
      <c r="H572" s="2674"/>
      <c r="I572" s="2674"/>
      <c r="J572" s="2674"/>
      <c r="K572" s="2674"/>
      <c r="L572" s="2674"/>
      <c r="M572" s="2674"/>
      <c r="N572" s="2674"/>
      <c r="O572" s="2674"/>
      <c r="P572" s="2674"/>
      <c r="Q572" s="2674"/>
      <c r="R572" s="2674"/>
      <c r="S572" s="2674"/>
      <c r="T572" s="2674"/>
      <c r="U572" s="2674"/>
    </row>
    <row r="573" spans="1:21" ht="11.25" customHeight="1" x14ac:dyDescent="0.2">
      <c r="A573" s="2674"/>
      <c r="B573" s="2674"/>
      <c r="C573" s="2674"/>
      <c r="D573" s="2674"/>
      <c r="E573" s="2674"/>
      <c r="F573" s="2674"/>
      <c r="G573" s="2674"/>
      <c r="H573" s="2674"/>
      <c r="I573" s="2674"/>
      <c r="J573" s="2674"/>
      <c r="K573" s="2674"/>
      <c r="L573" s="2674"/>
      <c r="M573" s="2674"/>
      <c r="N573" s="2674"/>
      <c r="O573" s="2674"/>
      <c r="P573" s="2674"/>
      <c r="Q573" s="2674"/>
      <c r="R573" s="2674"/>
      <c r="S573" s="2674"/>
      <c r="T573" s="2674"/>
      <c r="U573" s="2674"/>
    </row>
    <row r="574" spans="1:21" ht="11.25" customHeight="1" x14ac:dyDescent="0.2">
      <c r="A574" s="2674"/>
      <c r="B574" s="2674"/>
      <c r="C574" s="2674"/>
      <c r="D574" s="2674"/>
      <c r="E574" s="2674"/>
      <c r="F574" s="2674"/>
      <c r="G574" s="2674"/>
      <c r="H574" s="2674"/>
      <c r="I574" s="2674"/>
      <c r="J574" s="2674"/>
      <c r="K574" s="2674"/>
      <c r="L574" s="2674"/>
      <c r="M574" s="2674"/>
      <c r="N574" s="2674"/>
      <c r="O574" s="2674"/>
      <c r="P574" s="2674"/>
      <c r="Q574" s="2674"/>
      <c r="R574" s="2674"/>
      <c r="S574" s="2674"/>
      <c r="T574" s="2674"/>
      <c r="U574" s="2674"/>
    </row>
    <row r="575" spans="1:21" ht="11.25" customHeight="1" x14ac:dyDescent="0.2">
      <c r="A575" s="2674"/>
      <c r="B575" s="2674"/>
      <c r="C575" s="2674"/>
      <c r="D575" s="2674"/>
      <c r="E575" s="2674"/>
      <c r="F575" s="2674"/>
      <c r="G575" s="2674"/>
      <c r="H575" s="2674"/>
      <c r="I575" s="2674"/>
      <c r="J575" s="2674"/>
      <c r="K575" s="2674"/>
      <c r="L575" s="2674"/>
      <c r="M575" s="2674"/>
      <c r="N575" s="2674"/>
      <c r="O575" s="2674"/>
      <c r="P575" s="2674"/>
      <c r="Q575" s="2674"/>
      <c r="R575" s="2674"/>
      <c r="S575" s="2674"/>
      <c r="T575" s="2674"/>
      <c r="U575" s="2674"/>
    </row>
    <row r="576" spans="1:21" ht="11.25" customHeight="1" x14ac:dyDescent="0.2">
      <c r="A576" s="2674"/>
      <c r="B576" s="2674"/>
      <c r="C576" s="2674"/>
      <c r="D576" s="2674"/>
      <c r="E576" s="2674"/>
      <c r="F576" s="2674"/>
      <c r="G576" s="2674"/>
      <c r="H576" s="2674"/>
      <c r="I576" s="2674"/>
      <c r="J576" s="2674"/>
      <c r="K576" s="2674"/>
      <c r="L576" s="2674"/>
      <c r="M576" s="2674"/>
      <c r="N576" s="2674"/>
      <c r="O576" s="2674"/>
      <c r="P576" s="2674"/>
      <c r="Q576" s="2674"/>
      <c r="R576" s="2674"/>
      <c r="S576" s="2674"/>
      <c r="T576" s="2674"/>
      <c r="U576" s="2674"/>
    </row>
    <row r="577" spans="1:21" ht="11.25" customHeight="1" x14ac:dyDescent="0.2">
      <c r="A577" s="2674"/>
      <c r="B577" s="2674"/>
      <c r="C577" s="2674"/>
      <c r="D577" s="2674"/>
      <c r="E577" s="2674"/>
      <c r="F577" s="2674"/>
      <c r="G577" s="2674"/>
      <c r="H577" s="2674"/>
      <c r="I577" s="2674"/>
      <c r="J577" s="2674"/>
      <c r="K577" s="2674"/>
      <c r="L577" s="2674"/>
      <c r="M577" s="2674"/>
      <c r="N577" s="2674"/>
      <c r="O577" s="2674"/>
      <c r="P577" s="2674"/>
      <c r="Q577" s="2674"/>
      <c r="R577" s="2674"/>
      <c r="S577" s="2674"/>
      <c r="T577" s="2674"/>
      <c r="U577" s="2674"/>
    </row>
    <row r="578" spans="1:21" ht="11.25" customHeight="1" x14ac:dyDescent="0.2">
      <c r="A578" s="2674"/>
      <c r="B578" s="2674"/>
      <c r="C578" s="2674"/>
      <c r="D578" s="2674"/>
      <c r="E578" s="2674"/>
      <c r="F578" s="2674"/>
      <c r="G578" s="2674"/>
      <c r="H578" s="2674"/>
      <c r="I578" s="2674"/>
      <c r="J578" s="2674"/>
      <c r="K578" s="2674"/>
      <c r="L578" s="2674"/>
      <c r="M578" s="2674"/>
      <c r="N578" s="2674"/>
      <c r="O578" s="2674"/>
      <c r="P578" s="2674"/>
      <c r="Q578" s="2674"/>
      <c r="R578" s="2674"/>
      <c r="S578" s="2674"/>
      <c r="T578" s="2674"/>
      <c r="U578" s="2674"/>
    </row>
    <row r="579" spans="1:21" ht="11.25" customHeight="1" x14ac:dyDescent="0.2">
      <c r="A579" s="2674"/>
      <c r="B579" s="2674"/>
      <c r="C579" s="2674"/>
      <c r="D579" s="2674"/>
      <c r="E579" s="2674"/>
      <c r="F579" s="2674"/>
      <c r="G579" s="2674"/>
      <c r="H579" s="2674"/>
      <c r="I579" s="2674"/>
      <c r="J579" s="2674"/>
      <c r="K579" s="2674"/>
      <c r="L579" s="2674"/>
      <c r="M579" s="2674"/>
      <c r="N579" s="2674"/>
      <c r="O579" s="2674"/>
      <c r="P579" s="2674"/>
      <c r="Q579" s="2674"/>
      <c r="R579" s="2674"/>
      <c r="S579" s="2674"/>
      <c r="T579" s="2674"/>
      <c r="U579" s="2674"/>
    </row>
    <row r="580" spans="1:21" ht="11.25" customHeight="1" x14ac:dyDescent="0.2">
      <c r="A580" s="2674"/>
      <c r="B580" s="2674"/>
      <c r="C580" s="2674"/>
      <c r="D580" s="2674"/>
      <c r="E580" s="2674"/>
      <c r="F580" s="2674"/>
      <c r="G580" s="2674"/>
      <c r="H580" s="2674"/>
      <c r="I580" s="2674"/>
      <c r="J580" s="2674"/>
      <c r="K580" s="2674"/>
      <c r="L580" s="2674"/>
      <c r="M580" s="2674"/>
      <c r="N580" s="2674"/>
      <c r="O580" s="2674"/>
      <c r="P580" s="2674"/>
      <c r="Q580" s="2674"/>
      <c r="R580" s="2674"/>
      <c r="S580" s="2674"/>
      <c r="T580" s="2674"/>
      <c r="U580" s="2674"/>
    </row>
    <row r="581" spans="1:21" ht="11.25" customHeight="1" x14ac:dyDescent="0.2">
      <c r="A581" s="2674"/>
      <c r="B581" s="2674"/>
      <c r="C581" s="2674"/>
      <c r="D581" s="2674"/>
      <c r="E581" s="2674"/>
      <c r="F581" s="2674"/>
      <c r="G581" s="2674"/>
      <c r="H581" s="2674"/>
      <c r="I581" s="2674"/>
      <c r="J581" s="2674"/>
      <c r="K581" s="2674"/>
      <c r="L581" s="2674"/>
      <c r="M581" s="2674"/>
      <c r="N581" s="2674"/>
      <c r="O581" s="2674"/>
      <c r="P581" s="2674"/>
      <c r="Q581" s="2674"/>
      <c r="R581" s="2674"/>
      <c r="S581" s="2674"/>
      <c r="T581" s="2674"/>
      <c r="U581" s="2674"/>
    </row>
    <row r="582" spans="1:21" ht="11.25" customHeight="1" x14ac:dyDescent="0.2">
      <c r="A582" s="2674"/>
      <c r="B582" s="2674"/>
      <c r="C582" s="2674"/>
      <c r="D582" s="2674"/>
      <c r="E582" s="2674"/>
      <c r="F582" s="2674"/>
      <c r="G582" s="2674"/>
      <c r="H582" s="2674"/>
      <c r="I582" s="2674"/>
      <c r="J582" s="2674"/>
      <c r="K582" s="2674"/>
      <c r="L582" s="2674"/>
      <c r="M582" s="2674"/>
      <c r="N582" s="2674"/>
      <c r="O582" s="2674"/>
      <c r="P582" s="2674"/>
      <c r="Q582" s="2674"/>
      <c r="R582" s="2674"/>
      <c r="S582" s="2674"/>
      <c r="T582" s="2674"/>
      <c r="U582" s="2674"/>
    </row>
    <row r="583" spans="1:21" ht="11.25" customHeight="1" x14ac:dyDescent="0.2">
      <c r="A583" s="2674"/>
      <c r="B583" s="2674"/>
      <c r="C583" s="2674"/>
      <c r="D583" s="2674"/>
      <c r="E583" s="2674"/>
      <c r="F583" s="2674"/>
      <c r="G583" s="2674"/>
      <c r="H583" s="2674"/>
      <c r="I583" s="2674"/>
      <c r="J583" s="2674"/>
      <c r="K583" s="2674"/>
      <c r="L583" s="2674"/>
      <c r="M583" s="2674"/>
      <c r="N583" s="2674"/>
      <c r="O583" s="2674"/>
      <c r="P583" s="2674"/>
      <c r="Q583" s="2674"/>
      <c r="R583" s="2674"/>
      <c r="S583" s="2674"/>
      <c r="T583" s="2674"/>
      <c r="U583" s="2674"/>
    </row>
    <row r="584" spans="1:21" ht="11.25" customHeight="1" x14ac:dyDescent="0.2">
      <c r="A584" s="2674"/>
      <c r="B584" s="2674"/>
      <c r="C584" s="2674"/>
      <c r="D584" s="2674"/>
      <c r="E584" s="2674"/>
      <c r="F584" s="2674"/>
      <c r="G584" s="2674"/>
      <c r="H584" s="2674"/>
      <c r="I584" s="2674"/>
      <c r="J584" s="2674"/>
      <c r="K584" s="2674"/>
      <c r="L584" s="2674"/>
      <c r="M584" s="2674"/>
      <c r="N584" s="2674"/>
      <c r="O584" s="2674"/>
      <c r="P584" s="2674"/>
      <c r="Q584" s="2674"/>
      <c r="R584" s="2674"/>
      <c r="S584" s="2674"/>
      <c r="T584" s="2674"/>
      <c r="U584" s="2674"/>
    </row>
    <row r="585" spans="1:21" ht="11.25" customHeight="1" x14ac:dyDescent="0.2">
      <c r="A585" s="2674"/>
      <c r="B585" s="2674"/>
      <c r="C585" s="2674"/>
      <c r="D585" s="2674"/>
      <c r="E585" s="2674"/>
      <c r="F585" s="2674"/>
      <c r="G585" s="2674"/>
      <c r="H585" s="2674"/>
      <c r="I585" s="2674"/>
      <c r="J585" s="2674"/>
      <c r="K585" s="2674"/>
      <c r="L585" s="2674"/>
      <c r="M585" s="2674"/>
      <c r="N585" s="2674"/>
      <c r="O585" s="2674"/>
      <c r="P585" s="2674"/>
      <c r="Q585" s="2674"/>
      <c r="R585" s="2674"/>
      <c r="S585" s="2674"/>
      <c r="T585" s="2674"/>
      <c r="U585" s="2674"/>
    </row>
    <row r="586" spans="1:21" ht="11.25" customHeight="1" x14ac:dyDescent="0.2">
      <c r="A586" s="2674"/>
      <c r="B586" s="2674"/>
      <c r="C586" s="2674"/>
      <c r="D586" s="2674"/>
      <c r="E586" s="2674"/>
      <c r="F586" s="2674"/>
      <c r="G586" s="2674"/>
      <c r="H586" s="2674"/>
      <c r="I586" s="2674"/>
      <c r="J586" s="2674"/>
      <c r="K586" s="2674"/>
      <c r="L586" s="2674"/>
      <c r="M586" s="2674"/>
      <c r="N586" s="2674"/>
      <c r="O586" s="2674"/>
      <c r="P586" s="2674"/>
      <c r="Q586" s="2674"/>
      <c r="R586" s="2674"/>
      <c r="S586" s="2674"/>
      <c r="T586" s="2674"/>
      <c r="U586" s="2674"/>
    </row>
    <row r="587" spans="1:21" ht="11.25" customHeight="1" x14ac:dyDescent="0.2">
      <c r="A587" s="2674"/>
      <c r="B587" s="2674"/>
      <c r="C587" s="2674"/>
      <c r="D587" s="2674"/>
      <c r="E587" s="2674"/>
      <c r="F587" s="2674"/>
      <c r="G587" s="2674"/>
      <c r="H587" s="2674"/>
      <c r="I587" s="2674"/>
      <c r="J587" s="2674"/>
      <c r="K587" s="2674"/>
      <c r="L587" s="2674"/>
      <c r="M587" s="2674"/>
      <c r="N587" s="2674"/>
      <c r="O587" s="2674"/>
      <c r="P587" s="2674"/>
      <c r="Q587" s="2674"/>
      <c r="R587" s="2674"/>
      <c r="S587" s="2674"/>
      <c r="T587" s="2674"/>
      <c r="U587" s="2674"/>
    </row>
    <row r="588" spans="1:21" ht="11.25" customHeight="1" x14ac:dyDescent="0.2">
      <c r="A588" s="2674"/>
      <c r="B588" s="2674"/>
      <c r="C588" s="2674"/>
      <c r="D588" s="2674"/>
      <c r="E588" s="2674"/>
      <c r="F588" s="2674"/>
      <c r="G588" s="2674"/>
      <c r="H588" s="2674"/>
      <c r="I588" s="2674"/>
      <c r="J588" s="2674"/>
      <c r="K588" s="2674"/>
      <c r="L588" s="2674"/>
      <c r="M588" s="2674"/>
      <c r="N588" s="2674"/>
      <c r="O588" s="2674"/>
      <c r="P588" s="2674"/>
      <c r="Q588" s="2674"/>
      <c r="R588" s="2674"/>
      <c r="S588" s="2674"/>
      <c r="T588" s="2674"/>
      <c r="U588" s="2674"/>
    </row>
    <row r="589" spans="1:21" ht="11.25" customHeight="1" x14ac:dyDescent="0.2">
      <c r="A589" s="2674"/>
      <c r="B589" s="2674"/>
      <c r="C589" s="2674"/>
      <c r="D589" s="2674"/>
      <c r="E589" s="2674"/>
      <c r="F589" s="2674"/>
      <c r="G589" s="2674"/>
      <c r="H589" s="2674"/>
      <c r="I589" s="2674"/>
      <c r="J589" s="2674"/>
      <c r="K589" s="2674"/>
      <c r="L589" s="2674"/>
      <c r="M589" s="2674"/>
      <c r="N589" s="2674"/>
      <c r="O589" s="2674"/>
      <c r="P589" s="2674"/>
      <c r="Q589" s="2674"/>
      <c r="R589" s="2674"/>
      <c r="S589" s="2674"/>
      <c r="T589" s="2674"/>
      <c r="U589" s="2674"/>
    </row>
    <row r="590" spans="1:21" ht="11.25" customHeight="1" x14ac:dyDescent="0.2">
      <c r="A590" s="2674"/>
      <c r="B590" s="2674"/>
      <c r="C590" s="2674"/>
      <c r="D590" s="2674"/>
      <c r="E590" s="2674"/>
      <c r="F590" s="2674"/>
      <c r="G590" s="2674"/>
      <c r="H590" s="2674"/>
      <c r="I590" s="2674"/>
      <c r="J590" s="2674"/>
      <c r="K590" s="2674"/>
      <c r="L590" s="2674"/>
      <c r="M590" s="2674"/>
      <c r="N590" s="2674"/>
      <c r="O590" s="2674"/>
      <c r="P590" s="2674"/>
      <c r="Q590" s="2674"/>
      <c r="R590" s="2674"/>
      <c r="S590" s="2674"/>
      <c r="T590" s="2674"/>
      <c r="U590" s="2674"/>
    </row>
    <row r="591" spans="1:21" ht="11.25" customHeight="1" x14ac:dyDescent="0.2">
      <c r="A591" s="2674"/>
      <c r="B591" s="2674"/>
      <c r="C591" s="2674"/>
      <c r="D591" s="2674"/>
      <c r="E591" s="2674"/>
      <c r="F591" s="2674"/>
      <c r="G591" s="2674"/>
      <c r="H591" s="2674"/>
      <c r="I591" s="2674"/>
      <c r="J591" s="2674"/>
      <c r="K591" s="2674"/>
      <c r="L591" s="2674"/>
      <c r="M591" s="2674"/>
      <c r="N591" s="2674"/>
      <c r="O591" s="2674"/>
      <c r="P591" s="2674"/>
      <c r="Q591" s="2674"/>
      <c r="R591" s="2674"/>
      <c r="S591" s="2674"/>
      <c r="T591" s="2674"/>
      <c r="U591" s="2674"/>
    </row>
    <row r="592" spans="1:21" ht="11.25" customHeight="1" x14ac:dyDescent="0.2">
      <c r="A592" s="2674"/>
      <c r="B592" s="2674"/>
      <c r="C592" s="2674"/>
      <c r="D592" s="2674"/>
      <c r="E592" s="2674"/>
      <c r="F592" s="2674"/>
      <c r="G592" s="2674"/>
      <c r="H592" s="2674"/>
      <c r="I592" s="2674"/>
      <c r="J592" s="2674"/>
      <c r="K592" s="2674"/>
      <c r="L592" s="2674"/>
      <c r="M592" s="2674"/>
      <c r="N592" s="2674"/>
      <c r="O592" s="2674"/>
      <c r="P592" s="2674"/>
      <c r="Q592" s="2674"/>
      <c r="R592" s="2674"/>
      <c r="S592" s="2674"/>
      <c r="T592" s="2674"/>
      <c r="U592" s="2674"/>
    </row>
    <row r="593" spans="1:21" ht="11.25" customHeight="1" x14ac:dyDescent="0.2">
      <c r="A593" s="2674"/>
      <c r="B593" s="2674"/>
      <c r="C593" s="2674"/>
      <c r="D593" s="2674"/>
      <c r="E593" s="2674"/>
      <c r="F593" s="2674"/>
      <c r="G593" s="2674"/>
      <c r="H593" s="2674"/>
      <c r="I593" s="2674"/>
      <c r="J593" s="2674"/>
      <c r="K593" s="2674"/>
      <c r="L593" s="2674"/>
      <c r="M593" s="2674"/>
      <c r="N593" s="2674"/>
      <c r="O593" s="2674"/>
      <c r="P593" s="2674"/>
      <c r="Q593" s="2674"/>
      <c r="R593" s="2674"/>
      <c r="S593" s="2674"/>
      <c r="T593" s="2674"/>
      <c r="U593" s="2674"/>
    </row>
    <row r="594" spans="1:21" ht="11.25" customHeight="1" x14ac:dyDescent="0.2">
      <c r="A594" s="2674"/>
      <c r="B594" s="2674"/>
      <c r="C594" s="2674"/>
      <c r="D594" s="2674"/>
      <c r="E594" s="2674"/>
      <c r="F594" s="2674"/>
      <c r="G594" s="2674"/>
      <c r="H594" s="2674"/>
      <c r="I594" s="2674"/>
      <c r="J594" s="2674"/>
      <c r="K594" s="2674"/>
      <c r="L594" s="2674"/>
      <c r="M594" s="2674"/>
      <c r="N594" s="2674"/>
      <c r="O594" s="2674"/>
      <c r="P594" s="2674"/>
      <c r="Q594" s="2674"/>
      <c r="R594" s="2674"/>
      <c r="S594" s="2674"/>
      <c r="T594" s="2674"/>
      <c r="U594" s="2674"/>
    </row>
    <row r="595" spans="1:21" ht="11.25" customHeight="1" x14ac:dyDescent="0.2">
      <c r="A595" s="2674"/>
      <c r="B595" s="2674"/>
      <c r="C595" s="2674"/>
      <c r="D595" s="2674"/>
      <c r="E595" s="2674"/>
      <c r="F595" s="2674"/>
      <c r="G595" s="2674"/>
      <c r="H595" s="2674"/>
      <c r="I595" s="2674"/>
      <c r="J595" s="2674"/>
      <c r="K595" s="2674"/>
      <c r="L595" s="2674"/>
      <c r="M595" s="2674"/>
      <c r="N595" s="2674"/>
      <c r="O595" s="2674"/>
      <c r="P595" s="2674"/>
      <c r="Q595" s="2674"/>
      <c r="R595" s="2674"/>
      <c r="S595" s="2674"/>
      <c r="T595" s="2674"/>
      <c r="U595" s="2674"/>
    </row>
    <row r="596" spans="1:21" ht="11.25" customHeight="1" x14ac:dyDescent="0.2">
      <c r="A596" s="2674"/>
      <c r="B596" s="2674"/>
      <c r="C596" s="2674"/>
      <c r="D596" s="2674"/>
      <c r="E596" s="2674"/>
      <c r="F596" s="2674"/>
      <c r="G596" s="2674"/>
      <c r="H596" s="2674"/>
      <c r="I596" s="2674"/>
      <c r="J596" s="2674"/>
      <c r="K596" s="2674"/>
      <c r="L596" s="2674"/>
      <c r="M596" s="2674"/>
      <c r="N596" s="2674"/>
      <c r="O596" s="2674"/>
      <c r="P596" s="2674"/>
      <c r="Q596" s="2674"/>
      <c r="R596" s="2674"/>
      <c r="S596" s="2674"/>
      <c r="T596" s="2674"/>
      <c r="U596" s="2674"/>
    </row>
    <row r="597" spans="1:21" ht="11.25" customHeight="1" x14ac:dyDescent="0.2">
      <c r="A597" s="2674"/>
      <c r="B597" s="2674"/>
      <c r="C597" s="2674"/>
      <c r="D597" s="2674"/>
      <c r="E597" s="2674"/>
      <c r="F597" s="2674"/>
      <c r="G597" s="2674"/>
      <c r="H597" s="2674"/>
      <c r="I597" s="2674"/>
      <c r="J597" s="2674"/>
      <c r="K597" s="2674"/>
      <c r="L597" s="2674"/>
      <c r="M597" s="2674"/>
      <c r="N597" s="2674"/>
      <c r="O597" s="2674"/>
      <c r="P597" s="2674"/>
      <c r="Q597" s="2674"/>
      <c r="R597" s="2674"/>
      <c r="S597" s="2674"/>
      <c r="T597" s="2674"/>
      <c r="U597" s="2674"/>
    </row>
    <row r="598" spans="1:21" ht="11.25" customHeight="1" x14ac:dyDescent="0.2">
      <c r="A598" s="2674"/>
      <c r="B598" s="2674"/>
      <c r="C598" s="2674"/>
      <c r="D598" s="2674"/>
      <c r="E598" s="2674"/>
      <c r="F598" s="2674"/>
      <c r="G598" s="2674"/>
      <c r="H598" s="2674"/>
      <c r="I598" s="2674"/>
      <c r="J598" s="2674"/>
      <c r="K598" s="2674"/>
      <c r="L598" s="2674"/>
      <c r="M598" s="2674"/>
      <c r="N598" s="2674"/>
      <c r="O598" s="2674"/>
      <c r="P598" s="2674"/>
      <c r="Q598" s="2674"/>
      <c r="R598" s="2674"/>
      <c r="S598" s="2674"/>
      <c r="T598" s="2674"/>
      <c r="U598" s="2674"/>
    </row>
    <row r="599" spans="1:21" ht="11.25" customHeight="1" x14ac:dyDescent="0.2">
      <c r="A599" s="2674"/>
      <c r="B599" s="2674"/>
      <c r="C599" s="2674"/>
      <c r="D599" s="2674"/>
      <c r="E599" s="2674"/>
      <c r="F599" s="2674"/>
      <c r="G599" s="2674"/>
      <c r="H599" s="2674"/>
      <c r="I599" s="2674"/>
      <c r="J599" s="2674"/>
      <c r="K599" s="2674"/>
      <c r="L599" s="2674"/>
      <c r="M599" s="2674"/>
      <c r="N599" s="2674"/>
      <c r="O599" s="2674"/>
      <c r="P599" s="2674"/>
      <c r="Q599" s="2674"/>
      <c r="R599" s="2674"/>
      <c r="S599" s="2674"/>
      <c r="T599" s="2674"/>
      <c r="U599" s="2674"/>
    </row>
    <row r="600" spans="1:21" ht="11.25" customHeight="1" x14ac:dyDescent="0.2">
      <c r="A600" s="2674"/>
      <c r="B600" s="2674"/>
      <c r="C600" s="2674"/>
      <c r="D600" s="2674"/>
      <c r="E600" s="2674"/>
      <c r="F600" s="2674"/>
      <c r="G600" s="2674"/>
      <c r="H600" s="2674"/>
      <c r="I600" s="2674"/>
      <c r="J600" s="2674"/>
      <c r="K600" s="2674"/>
      <c r="L600" s="2674"/>
      <c r="M600" s="2674"/>
      <c r="N600" s="2674"/>
      <c r="O600" s="2674"/>
      <c r="P600" s="2674"/>
      <c r="Q600" s="2674"/>
      <c r="R600" s="2674"/>
      <c r="S600" s="2674"/>
      <c r="T600" s="2674"/>
      <c r="U600" s="2674"/>
    </row>
    <row r="601" spans="1:21" ht="11.25" customHeight="1" x14ac:dyDescent="0.2">
      <c r="A601" s="2674"/>
      <c r="B601" s="2674"/>
      <c r="C601" s="2674"/>
      <c r="D601" s="2674"/>
      <c r="E601" s="2674"/>
      <c r="F601" s="2674"/>
      <c r="G601" s="2674"/>
      <c r="H601" s="2674"/>
      <c r="I601" s="2674"/>
      <c r="J601" s="2674"/>
      <c r="K601" s="2674"/>
      <c r="L601" s="2674"/>
      <c r="M601" s="2674"/>
      <c r="N601" s="2674"/>
      <c r="O601" s="2674"/>
      <c r="P601" s="2674"/>
      <c r="Q601" s="2674"/>
      <c r="R601" s="2674"/>
      <c r="S601" s="2674"/>
      <c r="T601" s="2674"/>
      <c r="U601" s="2674"/>
    </row>
    <row r="602" spans="1:21" ht="11.25" customHeight="1" x14ac:dyDescent="0.2">
      <c r="A602" s="2674"/>
      <c r="B602" s="2674"/>
      <c r="C602" s="2674"/>
      <c r="D602" s="2674"/>
      <c r="E602" s="2674"/>
      <c r="F602" s="2674"/>
      <c r="G602" s="2674"/>
      <c r="H602" s="2674"/>
      <c r="I602" s="2674"/>
      <c r="J602" s="2674"/>
      <c r="K602" s="2674"/>
      <c r="L602" s="2674"/>
      <c r="M602" s="2674"/>
      <c r="N602" s="2674"/>
      <c r="O602" s="2674"/>
      <c r="P602" s="2674"/>
      <c r="Q602" s="2674"/>
      <c r="R602" s="2674"/>
      <c r="S602" s="2674"/>
      <c r="T602" s="2674"/>
      <c r="U602" s="2674"/>
    </row>
    <row r="603" spans="1:21" ht="11.25" customHeight="1" x14ac:dyDescent="0.2">
      <c r="A603" s="2674"/>
      <c r="B603" s="2674"/>
      <c r="C603" s="2674"/>
      <c r="D603" s="2674"/>
      <c r="E603" s="2674"/>
      <c r="F603" s="2674"/>
      <c r="G603" s="2674"/>
      <c r="H603" s="2674"/>
      <c r="I603" s="2674"/>
      <c r="J603" s="2674"/>
      <c r="K603" s="2674"/>
      <c r="L603" s="2674"/>
      <c r="M603" s="2674"/>
      <c r="N603" s="2674"/>
      <c r="O603" s="2674"/>
      <c r="P603" s="2674"/>
      <c r="Q603" s="2674"/>
      <c r="R603" s="2674"/>
      <c r="S603" s="2674"/>
      <c r="T603" s="2674"/>
      <c r="U603" s="2674"/>
    </row>
    <row r="604" spans="1:21" ht="11.25" customHeight="1" x14ac:dyDescent="0.2">
      <c r="A604" s="2674"/>
      <c r="B604" s="2674"/>
      <c r="C604" s="2674"/>
      <c r="D604" s="2674"/>
      <c r="E604" s="2674"/>
      <c r="F604" s="2674"/>
      <c r="G604" s="2674"/>
      <c r="H604" s="2674"/>
      <c r="I604" s="2674"/>
      <c r="J604" s="2674"/>
      <c r="K604" s="2674"/>
      <c r="L604" s="2674"/>
      <c r="M604" s="2674"/>
      <c r="N604" s="2674"/>
      <c r="O604" s="2674"/>
      <c r="P604" s="2674"/>
      <c r="Q604" s="2674"/>
      <c r="R604" s="2674"/>
      <c r="S604" s="2674"/>
      <c r="T604" s="2674"/>
      <c r="U604" s="2674"/>
    </row>
    <row r="605" spans="1:21" ht="11.25" customHeight="1" x14ac:dyDescent="0.2">
      <c r="A605" s="2674"/>
      <c r="B605" s="2674"/>
      <c r="C605" s="2674"/>
      <c r="D605" s="2674"/>
      <c r="E605" s="2674"/>
      <c r="F605" s="2674"/>
      <c r="G605" s="2674"/>
      <c r="H605" s="2674"/>
      <c r="I605" s="2674"/>
      <c r="J605" s="2674"/>
      <c r="K605" s="2674"/>
      <c r="L605" s="2674"/>
      <c r="M605" s="2674"/>
      <c r="N605" s="2674"/>
      <c r="O605" s="2674"/>
      <c r="P605" s="2674"/>
      <c r="Q605" s="2674"/>
      <c r="R605" s="2674"/>
      <c r="S605" s="2674"/>
      <c r="T605" s="2674"/>
      <c r="U605" s="2674"/>
    </row>
    <row r="606" spans="1:21" ht="11.25" customHeight="1" x14ac:dyDescent="0.2">
      <c r="A606" s="2674"/>
      <c r="B606" s="2674"/>
      <c r="C606" s="2674"/>
      <c r="D606" s="2674"/>
      <c r="E606" s="2674"/>
      <c r="F606" s="2674"/>
      <c r="G606" s="2674"/>
      <c r="H606" s="2674"/>
      <c r="I606" s="2674"/>
      <c r="J606" s="2674"/>
      <c r="K606" s="2674"/>
      <c r="L606" s="2674"/>
      <c r="M606" s="2674"/>
      <c r="N606" s="2674"/>
      <c r="O606" s="2674"/>
      <c r="P606" s="2674"/>
      <c r="Q606" s="2674"/>
      <c r="R606" s="2674"/>
      <c r="S606" s="2674"/>
      <c r="T606" s="2674"/>
      <c r="U606" s="2674"/>
    </row>
    <row r="607" spans="1:21" ht="11.25" customHeight="1" x14ac:dyDescent="0.2">
      <c r="A607" s="2674"/>
      <c r="B607" s="2674"/>
      <c r="C607" s="2674"/>
      <c r="D607" s="2674"/>
      <c r="E607" s="2674"/>
      <c r="F607" s="2674"/>
      <c r="G607" s="2674"/>
      <c r="H607" s="2674"/>
      <c r="I607" s="2674"/>
      <c r="J607" s="2674"/>
      <c r="K607" s="2674"/>
      <c r="L607" s="2674"/>
      <c r="M607" s="2674"/>
      <c r="N607" s="2674"/>
      <c r="O607" s="2674"/>
      <c r="P607" s="2674"/>
      <c r="Q607" s="2674"/>
      <c r="R607" s="2674"/>
      <c r="S607" s="2674"/>
      <c r="T607" s="2674"/>
      <c r="U607" s="2674"/>
    </row>
    <row r="608" spans="1:21" ht="11.25" customHeight="1" x14ac:dyDescent="0.2">
      <c r="A608" s="2674"/>
      <c r="B608" s="2674"/>
      <c r="C608" s="2674"/>
      <c r="D608" s="2674"/>
      <c r="E608" s="2674"/>
      <c r="F608" s="2674"/>
      <c r="G608" s="2674"/>
      <c r="H608" s="2674"/>
      <c r="I608" s="2674"/>
      <c r="J608" s="2674"/>
      <c r="K608" s="2674"/>
      <c r="L608" s="2674"/>
      <c r="M608" s="2674"/>
      <c r="N608" s="2674"/>
      <c r="O608" s="2674"/>
      <c r="P608" s="2674"/>
      <c r="Q608" s="2674"/>
      <c r="R608" s="2674"/>
      <c r="S608" s="2674"/>
      <c r="T608" s="2674"/>
      <c r="U608" s="2674"/>
    </row>
    <row r="609" spans="1:21" ht="11.25" customHeight="1" x14ac:dyDescent="0.2">
      <c r="A609" s="2674"/>
      <c r="B609" s="2674"/>
      <c r="C609" s="2674"/>
      <c r="D609" s="2674"/>
      <c r="E609" s="2674"/>
      <c r="F609" s="2674"/>
      <c r="G609" s="2674"/>
      <c r="H609" s="2674"/>
      <c r="I609" s="2674"/>
      <c r="J609" s="2674"/>
      <c r="K609" s="2674"/>
      <c r="L609" s="2674"/>
      <c r="M609" s="2674"/>
      <c r="N609" s="2674"/>
      <c r="O609" s="2674"/>
      <c r="P609" s="2674"/>
      <c r="Q609" s="2674"/>
      <c r="R609" s="2674"/>
      <c r="S609" s="2674"/>
      <c r="T609" s="2674"/>
      <c r="U609" s="2674"/>
    </row>
    <row r="610" spans="1:21" ht="11.25" customHeight="1" x14ac:dyDescent="0.2">
      <c r="A610" s="2674"/>
      <c r="B610" s="2674"/>
      <c r="C610" s="2674"/>
      <c r="D610" s="2674"/>
      <c r="E610" s="2674"/>
      <c r="F610" s="2674"/>
      <c r="G610" s="2674"/>
      <c r="H610" s="2674"/>
      <c r="I610" s="2674"/>
      <c r="J610" s="2674"/>
      <c r="K610" s="2674"/>
      <c r="L610" s="2674"/>
      <c r="M610" s="2674"/>
      <c r="N610" s="2674"/>
      <c r="O610" s="2674"/>
      <c r="P610" s="2674"/>
      <c r="Q610" s="2674"/>
      <c r="R610" s="2674"/>
      <c r="S610" s="2674"/>
      <c r="T610" s="2674"/>
      <c r="U610" s="2674"/>
    </row>
    <row r="611" spans="1:21" ht="11.25" customHeight="1" x14ac:dyDescent="0.2">
      <c r="A611" s="2674"/>
      <c r="B611" s="2674"/>
      <c r="C611" s="2674"/>
      <c r="D611" s="2674"/>
      <c r="E611" s="2674"/>
      <c r="F611" s="2674"/>
      <c r="G611" s="2674"/>
      <c r="H611" s="2674"/>
      <c r="I611" s="2674"/>
      <c r="J611" s="2674"/>
      <c r="K611" s="2674"/>
      <c r="L611" s="2674"/>
      <c r="M611" s="2674"/>
      <c r="N611" s="2674"/>
      <c r="O611" s="2674"/>
      <c r="P611" s="2674"/>
      <c r="Q611" s="2674"/>
      <c r="R611" s="2674"/>
      <c r="S611" s="2674"/>
      <c r="T611" s="2674"/>
      <c r="U611" s="2674"/>
    </row>
    <row r="612" spans="1:21" ht="11.25" customHeight="1" x14ac:dyDescent="0.2">
      <c r="A612" s="2674"/>
      <c r="B612" s="2674"/>
      <c r="C612" s="2674"/>
      <c r="D612" s="2674"/>
      <c r="E612" s="2674"/>
      <c r="F612" s="2674"/>
      <c r="G612" s="2674"/>
      <c r="H612" s="2674"/>
      <c r="I612" s="2674"/>
      <c r="J612" s="2674"/>
      <c r="K612" s="2674"/>
      <c r="L612" s="2674"/>
      <c r="M612" s="2674"/>
      <c r="N612" s="2674"/>
      <c r="O612" s="2674"/>
      <c r="P612" s="2674"/>
      <c r="Q612" s="2674"/>
      <c r="R612" s="2674"/>
      <c r="S612" s="2674"/>
      <c r="T612" s="2674"/>
      <c r="U612" s="2674"/>
    </row>
    <row r="613" spans="1:21" ht="11.25" customHeight="1" x14ac:dyDescent="0.2">
      <c r="A613" s="2674"/>
      <c r="B613" s="2674"/>
      <c r="C613" s="2674"/>
      <c r="D613" s="2674"/>
      <c r="E613" s="2674"/>
      <c r="F613" s="2674"/>
      <c r="G613" s="2674"/>
      <c r="H613" s="2674"/>
      <c r="I613" s="2674"/>
      <c r="J613" s="2674"/>
      <c r="K613" s="2674"/>
      <c r="L613" s="2674"/>
      <c r="M613" s="2674"/>
      <c r="N613" s="2674"/>
      <c r="O613" s="2674"/>
      <c r="P613" s="2674"/>
      <c r="Q613" s="2674"/>
      <c r="R613" s="2674"/>
      <c r="S613" s="2674"/>
      <c r="T613" s="2674"/>
      <c r="U613" s="2674"/>
    </row>
    <row r="614" spans="1:21" ht="11.25" customHeight="1" x14ac:dyDescent="0.2">
      <c r="A614" s="2674"/>
      <c r="B614" s="2674"/>
      <c r="C614" s="2674"/>
      <c r="D614" s="2674"/>
      <c r="E614" s="2674"/>
      <c r="F614" s="2674"/>
      <c r="G614" s="2674"/>
      <c r="H614" s="2674"/>
      <c r="I614" s="2674"/>
      <c r="J614" s="2674"/>
      <c r="K614" s="2674"/>
      <c r="L614" s="2674"/>
      <c r="M614" s="2674"/>
      <c r="N614" s="2674"/>
      <c r="O614" s="2674"/>
      <c r="P614" s="2674"/>
      <c r="Q614" s="2674"/>
      <c r="R614" s="2674"/>
      <c r="S614" s="2674"/>
      <c r="T614" s="2674"/>
      <c r="U614" s="2674"/>
    </row>
    <row r="615" spans="1:21" ht="11.25" customHeight="1" x14ac:dyDescent="0.2">
      <c r="A615" s="2674"/>
      <c r="B615" s="2674"/>
      <c r="C615" s="2674"/>
      <c r="D615" s="2674"/>
      <c r="E615" s="2674"/>
      <c r="F615" s="2674"/>
      <c r="G615" s="2674"/>
      <c r="H615" s="2674"/>
      <c r="I615" s="2674"/>
      <c r="J615" s="2674"/>
      <c r="K615" s="2674"/>
      <c r="L615" s="2674"/>
      <c r="M615" s="2674"/>
      <c r="N615" s="2674"/>
      <c r="O615" s="2674"/>
      <c r="P615" s="2674"/>
      <c r="Q615" s="2674"/>
      <c r="R615" s="2674"/>
      <c r="S615" s="2674"/>
      <c r="T615" s="2674"/>
      <c r="U615" s="2674"/>
    </row>
    <row r="616" spans="1:21" ht="11.25" customHeight="1" x14ac:dyDescent="0.2">
      <c r="A616" s="2674"/>
      <c r="B616" s="2674"/>
      <c r="C616" s="2674"/>
      <c r="D616" s="2674"/>
      <c r="E616" s="2674"/>
      <c r="F616" s="2674"/>
      <c r="G616" s="2674"/>
      <c r="H616" s="2674"/>
      <c r="I616" s="2674"/>
      <c r="J616" s="2674"/>
      <c r="K616" s="2674"/>
      <c r="L616" s="2674"/>
      <c r="M616" s="2674"/>
      <c r="N616" s="2674"/>
      <c r="O616" s="2674"/>
      <c r="P616" s="2674"/>
      <c r="Q616" s="2674"/>
      <c r="R616" s="2674"/>
      <c r="S616" s="2674"/>
      <c r="T616" s="2674"/>
      <c r="U616" s="2674"/>
    </row>
    <row r="617" spans="1:21" ht="11.25" customHeight="1" x14ac:dyDescent="0.2">
      <c r="A617" s="2674"/>
      <c r="B617" s="2674"/>
      <c r="C617" s="2674"/>
      <c r="D617" s="2674"/>
      <c r="E617" s="2674"/>
      <c r="F617" s="2674"/>
      <c r="G617" s="2674"/>
      <c r="H617" s="2674"/>
      <c r="I617" s="2674"/>
      <c r="J617" s="2674"/>
      <c r="K617" s="2674"/>
      <c r="L617" s="2674"/>
      <c r="M617" s="2674"/>
      <c r="N617" s="2674"/>
      <c r="O617" s="2674"/>
      <c r="P617" s="2674"/>
      <c r="Q617" s="2674"/>
      <c r="R617" s="2674"/>
      <c r="S617" s="2674"/>
      <c r="T617" s="2674"/>
      <c r="U617" s="2674"/>
    </row>
    <row r="618" spans="1:21" ht="11.25" customHeight="1" x14ac:dyDescent="0.2">
      <c r="A618" s="2674"/>
      <c r="B618" s="2674"/>
      <c r="C618" s="2674"/>
      <c r="D618" s="2674"/>
      <c r="E618" s="2674"/>
      <c r="F618" s="2674"/>
      <c r="G618" s="2674"/>
      <c r="H618" s="2674"/>
      <c r="I618" s="2674"/>
      <c r="J618" s="2674"/>
      <c r="K618" s="2674"/>
      <c r="L618" s="2674"/>
      <c r="M618" s="2674"/>
      <c r="N618" s="2674"/>
      <c r="O618" s="2674"/>
      <c r="P618" s="2674"/>
      <c r="Q618" s="2674"/>
      <c r="R618" s="2674"/>
      <c r="S618" s="2674"/>
      <c r="T618" s="2674"/>
      <c r="U618" s="2674"/>
    </row>
    <row r="619" spans="1:21" ht="11.25" customHeight="1" x14ac:dyDescent="0.2">
      <c r="A619" s="2674"/>
      <c r="B619" s="2674"/>
      <c r="C619" s="2674"/>
      <c r="D619" s="2674"/>
      <c r="E619" s="2674"/>
      <c r="F619" s="2674"/>
      <c r="G619" s="2674"/>
      <c r="H619" s="2674"/>
      <c r="I619" s="2674"/>
      <c r="J619" s="2674"/>
      <c r="K619" s="2674"/>
      <c r="L619" s="2674"/>
      <c r="M619" s="2674"/>
      <c r="N619" s="2674"/>
      <c r="O619" s="2674"/>
      <c r="P619" s="2674"/>
      <c r="Q619" s="2674"/>
      <c r="R619" s="2674"/>
      <c r="S619" s="2674"/>
      <c r="T619" s="2674"/>
      <c r="U619" s="2674"/>
    </row>
    <row r="620" spans="1:21" ht="11.25" customHeight="1" x14ac:dyDescent="0.2">
      <c r="A620" s="2674"/>
      <c r="B620" s="2674"/>
      <c r="C620" s="2674"/>
      <c r="D620" s="2674"/>
      <c r="E620" s="2674"/>
      <c r="F620" s="2674"/>
      <c r="G620" s="2674"/>
      <c r="H620" s="2674"/>
      <c r="I620" s="2674"/>
      <c r="J620" s="2674"/>
      <c r="K620" s="2674"/>
      <c r="L620" s="2674"/>
      <c r="M620" s="2674"/>
      <c r="N620" s="2674"/>
      <c r="O620" s="2674"/>
      <c r="P620" s="2674"/>
      <c r="Q620" s="2674"/>
      <c r="R620" s="2674"/>
      <c r="S620" s="2674"/>
      <c r="T620" s="2674"/>
      <c r="U620" s="2674"/>
    </row>
    <row r="621" spans="1:21" ht="11.25" customHeight="1" x14ac:dyDescent="0.2">
      <c r="A621" s="2674"/>
      <c r="B621" s="2674"/>
      <c r="C621" s="2674"/>
      <c r="D621" s="2674"/>
      <c r="E621" s="2674"/>
      <c r="F621" s="2674"/>
      <c r="G621" s="2674"/>
      <c r="H621" s="2674"/>
      <c r="I621" s="2674"/>
      <c r="J621" s="2674"/>
      <c r="K621" s="2674"/>
      <c r="L621" s="2674"/>
      <c r="M621" s="2674"/>
      <c r="N621" s="2674"/>
      <c r="O621" s="2674"/>
      <c r="P621" s="2674"/>
      <c r="Q621" s="2674"/>
      <c r="R621" s="2674"/>
      <c r="S621" s="2674"/>
      <c r="T621" s="2674"/>
      <c r="U621" s="2674"/>
    </row>
    <row r="622" spans="1:21" ht="11.25" customHeight="1" x14ac:dyDescent="0.2">
      <c r="A622" s="2674"/>
      <c r="B622" s="2674"/>
      <c r="C622" s="2674"/>
      <c r="D622" s="2674"/>
      <c r="E622" s="2674"/>
      <c r="F622" s="2674"/>
      <c r="G622" s="2674"/>
      <c r="H622" s="2674"/>
      <c r="I622" s="2674"/>
      <c r="J622" s="2674"/>
      <c r="K622" s="2674"/>
      <c r="L622" s="2674"/>
      <c r="M622" s="2674"/>
      <c r="N622" s="2674"/>
      <c r="O622" s="2674"/>
      <c r="P622" s="2674"/>
      <c r="Q622" s="2674"/>
      <c r="R622" s="2674"/>
      <c r="S622" s="2674"/>
      <c r="T622" s="2674"/>
      <c r="U622" s="2674"/>
    </row>
    <row r="623" spans="1:21" ht="11.25" customHeight="1" x14ac:dyDescent="0.2">
      <c r="A623" s="2674"/>
      <c r="B623" s="2674"/>
      <c r="C623" s="2674"/>
      <c r="D623" s="2674"/>
      <c r="E623" s="2674"/>
      <c r="F623" s="2674"/>
      <c r="G623" s="2674"/>
      <c r="H623" s="2674"/>
      <c r="I623" s="2674"/>
      <c r="J623" s="2674"/>
      <c r="K623" s="2674"/>
      <c r="L623" s="2674"/>
      <c r="M623" s="2674"/>
      <c r="N623" s="2674"/>
      <c r="O623" s="2674"/>
      <c r="P623" s="2674"/>
      <c r="Q623" s="2674"/>
      <c r="R623" s="2674"/>
      <c r="S623" s="2674"/>
      <c r="T623" s="2674"/>
      <c r="U623" s="2674"/>
    </row>
    <row r="624" spans="1:21" ht="11.25" customHeight="1" x14ac:dyDescent="0.2">
      <c r="A624" s="2674"/>
      <c r="B624" s="2674"/>
      <c r="C624" s="2674"/>
      <c r="D624" s="2674"/>
      <c r="E624" s="2674"/>
      <c r="F624" s="2674"/>
      <c r="G624" s="2674"/>
      <c r="H624" s="2674"/>
      <c r="I624" s="2674"/>
      <c r="J624" s="2674"/>
      <c r="K624" s="2674"/>
      <c r="L624" s="2674"/>
      <c r="M624" s="2674"/>
      <c r="N624" s="2674"/>
      <c r="O624" s="2674"/>
      <c r="P624" s="2674"/>
      <c r="Q624" s="2674"/>
      <c r="R624" s="2674"/>
      <c r="S624" s="2674"/>
      <c r="T624" s="2674"/>
      <c r="U624" s="2674"/>
    </row>
    <row r="625" spans="1:21" ht="11.25" customHeight="1" x14ac:dyDescent="0.2">
      <c r="A625" s="2674"/>
      <c r="B625" s="2674"/>
      <c r="C625" s="2674"/>
      <c r="D625" s="2674"/>
      <c r="E625" s="2674"/>
      <c r="F625" s="2674"/>
      <c r="G625" s="2674"/>
      <c r="H625" s="2674"/>
      <c r="I625" s="2674"/>
      <c r="J625" s="2674"/>
      <c r="K625" s="2674"/>
      <c r="L625" s="2674"/>
      <c r="M625" s="2674"/>
      <c r="N625" s="2674"/>
      <c r="O625" s="2674"/>
      <c r="P625" s="2674"/>
      <c r="Q625" s="2674"/>
      <c r="R625" s="2674"/>
      <c r="S625" s="2674"/>
      <c r="T625" s="2674"/>
      <c r="U625" s="2674"/>
    </row>
    <row r="626" spans="1:21" ht="11.25" customHeight="1" x14ac:dyDescent="0.2">
      <c r="A626" s="2674"/>
      <c r="B626" s="2674"/>
      <c r="C626" s="2674"/>
      <c r="D626" s="2674"/>
      <c r="E626" s="2674"/>
      <c r="F626" s="2674"/>
      <c r="G626" s="2674"/>
      <c r="H626" s="2674"/>
      <c r="I626" s="2674"/>
      <c r="J626" s="2674"/>
      <c r="K626" s="2674"/>
      <c r="L626" s="2674"/>
      <c r="M626" s="2674"/>
      <c r="N626" s="2674"/>
      <c r="O626" s="2674"/>
      <c r="P626" s="2674"/>
      <c r="Q626" s="2674"/>
      <c r="R626" s="2674"/>
      <c r="S626" s="2674"/>
      <c r="T626" s="2674"/>
      <c r="U626" s="2674"/>
    </row>
    <row r="627" spans="1:21" ht="11.25" customHeight="1" x14ac:dyDescent="0.2">
      <c r="A627" s="2674"/>
      <c r="B627" s="2674"/>
      <c r="C627" s="2674"/>
      <c r="D627" s="2674"/>
      <c r="E627" s="2674"/>
      <c r="F627" s="2674"/>
      <c r="G627" s="2674"/>
      <c r="H627" s="2674"/>
      <c r="I627" s="2674"/>
      <c r="J627" s="2674"/>
      <c r="K627" s="2674"/>
      <c r="L627" s="2674"/>
      <c r="M627" s="2674"/>
      <c r="N627" s="2674"/>
      <c r="O627" s="2674"/>
      <c r="P627" s="2674"/>
      <c r="Q627" s="2674"/>
      <c r="R627" s="2674"/>
      <c r="S627" s="2674"/>
      <c r="T627" s="2674"/>
      <c r="U627" s="2674"/>
    </row>
    <row r="628" spans="1:21" ht="11.25" customHeight="1" x14ac:dyDescent="0.2">
      <c r="A628" s="2674"/>
      <c r="B628" s="2674"/>
      <c r="C628" s="2674"/>
      <c r="D628" s="2674"/>
      <c r="E628" s="2674"/>
      <c r="F628" s="2674"/>
      <c r="G628" s="2674"/>
      <c r="H628" s="2674"/>
      <c r="I628" s="2674"/>
      <c r="J628" s="2674"/>
      <c r="K628" s="2674"/>
      <c r="L628" s="2674"/>
      <c r="M628" s="2674"/>
      <c r="N628" s="2674"/>
      <c r="O628" s="2674"/>
      <c r="P628" s="2674"/>
      <c r="Q628" s="2674"/>
      <c r="R628" s="2674"/>
      <c r="S628" s="2674"/>
      <c r="T628" s="2674"/>
      <c r="U628" s="2674"/>
    </row>
    <row r="629" spans="1:21" ht="11.25" customHeight="1" x14ac:dyDescent="0.2">
      <c r="A629" s="2674"/>
      <c r="B629" s="2674"/>
      <c r="C629" s="2674"/>
      <c r="D629" s="2674"/>
      <c r="E629" s="2674"/>
      <c r="F629" s="2674"/>
      <c r="G629" s="2674"/>
      <c r="H629" s="2674"/>
      <c r="I629" s="2674"/>
      <c r="J629" s="2674"/>
      <c r="K629" s="2674"/>
      <c r="L629" s="2674"/>
      <c r="M629" s="2674"/>
      <c r="N629" s="2674"/>
      <c r="O629" s="2674"/>
      <c r="P629" s="2674"/>
      <c r="Q629" s="2674"/>
      <c r="R629" s="2674"/>
      <c r="S629" s="2674"/>
      <c r="T629" s="2674"/>
      <c r="U629" s="2674"/>
    </row>
    <row r="630" spans="1:21" ht="11.25" customHeight="1" x14ac:dyDescent="0.2">
      <c r="A630" s="2674"/>
      <c r="B630" s="2674"/>
      <c r="C630" s="2674"/>
      <c r="D630" s="2674"/>
      <c r="E630" s="2674"/>
      <c r="F630" s="2674"/>
      <c r="G630" s="2674"/>
      <c r="H630" s="2674"/>
      <c r="I630" s="2674"/>
      <c r="J630" s="2674"/>
      <c r="K630" s="2674"/>
      <c r="L630" s="2674"/>
      <c r="M630" s="2674"/>
      <c r="N630" s="2674"/>
      <c r="O630" s="2674"/>
      <c r="P630" s="2674"/>
      <c r="Q630" s="2674"/>
      <c r="R630" s="2674"/>
      <c r="S630" s="2674"/>
      <c r="T630" s="2674"/>
      <c r="U630" s="2674"/>
    </row>
    <row r="631" spans="1:21" ht="11.25" customHeight="1" x14ac:dyDescent="0.2">
      <c r="A631" s="2674"/>
      <c r="B631" s="2674"/>
      <c r="C631" s="2674"/>
      <c r="D631" s="2674"/>
      <c r="E631" s="2674"/>
      <c r="F631" s="2674"/>
      <c r="G631" s="2674"/>
      <c r="H631" s="2674"/>
      <c r="I631" s="2674"/>
      <c r="J631" s="2674"/>
      <c r="K631" s="2674"/>
      <c r="L631" s="2674"/>
      <c r="M631" s="2674"/>
      <c r="N631" s="2674"/>
      <c r="O631" s="2674"/>
      <c r="P631" s="2674"/>
      <c r="Q631" s="2674"/>
      <c r="R631" s="2674"/>
      <c r="S631" s="2674"/>
      <c r="T631" s="2674"/>
      <c r="U631" s="2674"/>
    </row>
    <row r="632" spans="1:21" ht="11.25" customHeight="1" x14ac:dyDescent="0.2">
      <c r="A632" s="2674"/>
      <c r="B632" s="2674"/>
      <c r="C632" s="2674"/>
      <c r="D632" s="2674"/>
      <c r="E632" s="2674"/>
      <c r="F632" s="2674"/>
      <c r="G632" s="2674"/>
      <c r="H632" s="2674"/>
      <c r="I632" s="2674"/>
      <c r="J632" s="2674"/>
      <c r="K632" s="2674"/>
      <c r="L632" s="2674"/>
      <c r="M632" s="2674"/>
      <c r="N632" s="2674"/>
      <c r="O632" s="2674"/>
      <c r="P632" s="2674"/>
      <c r="Q632" s="2674"/>
      <c r="R632" s="2674"/>
      <c r="S632" s="2674"/>
      <c r="T632" s="2674"/>
      <c r="U632" s="2674"/>
    </row>
    <row r="633" spans="1:21" ht="11.25" customHeight="1" x14ac:dyDescent="0.2">
      <c r="A633" s="2674"/>
      <c r="B633" s="2674"/>
      <c r="C633" s="2674"/>
      <c r="D633" s="2674"/>
      <c r="E633" s="2674"/>
      <c r="F633" s="2674"/>
      <c r="G633" s="2674"/>
      <c r="H633" s="2674"/>
      <c r="I633" s="2674"/>
      <c r="J633" s="2674"/>
      <c r="K633" s="2674"/>
      <c r="L633" s="2674"/>
      <c r="M633" s="2674"/>
      <c r="N633" s="2674"/>
      <c r="O633" s="2674"/>
      <c r="P633" s="2674"/>
      <c r="Q633" s="2674"/>
      <c r="R633" s="2674"/>
      <c r="S633" s="2674"/>
      <c r="T633" s="2674"/>
      <c r="U633" s="2674"/>
    </row>
    <row r="634" spans="1:21" ht="11.25" customHeight="1" x14ac:dyDescent="0.2">
      <c r="A634" s="2674"/>
      <c r="B634" s="2674"/>
      <c r="C634" s="2674"/>
      <c r="D634" s="2674"/>
      <c r="E634" s="2674"/>
      <c r="F634" s="2674"/>
      <c r="G634" s="2674"/>
      <c r="H634" s="2674"/>
      <c r="I634" s="2674"/>
      <c r="J634" s="2674"/>
      <c r="K634" s="2674"/>
      <c r="L634" s="2674"/>
      <c r="M634" s="2674"/>
      <c r="N634" s="2674"/>
      <c r="O634" s="2674"/>
      <c r="P634" s="2674"/>
      <c r="Q634" s="2674"/>
      <c r="R634" s="2674"/>
      <c r="S634" s="2674"/>
      <c r="T634" s="2674"/>
      <c r="U634" s="2674"/>
    </row>
    <row r="635" spans="1:21" ht="11.25" customHeight="1" x14ac:dyDescent="0.2">
      <c r="A635" s="2674"/>
      <c r="B635" s="2674"/>
      <c r="C635" s="2674"/>
      <c r="D635" s="2674"/>
      <c r="E635" s="2674"/>
      <c r="F635" s="2674"/>
      <c r="G635" s="2674"/>
      <c r="H635" s="2674"/>
      <c r="I635" s="2674"/>
      <c r="J635" s="2674"/>
      <c r="K635" s="2674"/>
      <c r="L635" s="2674"/>
      <c r="M635" s="2674"/>
      <c r="N635" s="2674"/>
      <c r="O635" s="2674"/>
      <c r="P635" s="2674"/>
      <c r="Q635" s="2674"/>
      <c r="R635" s="2674"/>
      <c r="S635" s="2674"/>
      <c r="T635" s="2674"/>
      <c r="U635" s="2674"/>
    </row>
    <row r="636" spans="1:21" ht="11.25" customHeight="1" x14ac:dyDescent="0.2">
      <c r="A636" s="2674"/>
      <c r="B636" s="2674"/>
      <c r="C636" s="2674"/>
      <c r="D636" s="2674"/>
      <c r="E636" s="2674"/>
      <c r="F636" s="2674"/>
      <c r="G636" s="2674"/>
      <c r="H636" s="2674"/>
      <c r="I636" s="2674"/>
      <c r="J636" s="2674"/>
      <c r="K636" s="2674"/>
      <c r="L636" s="2674"/>
      <c r="M636" s="2674"/>
      <c r="N636" s="2674"/>
      <c r="O636" s="2674"/>
      <c r="P636" s="2674"/>
      <c r="Q636" s="2674"/>
      <c r="R636" s="2674"/>
      <c r="S636" s="2674"/>
      <c r="T636" s="2674"/>
      <c r="U636" s="2674"/>
    </row>
    <row r="637" spans="1:21" ht="11.25" customHeight="1" x14ac:dyDescent="0.2">
      <c r="A637" s="2674"/>
      <c r="B637" s="2674"/>
      <c r="C637" s="2674"/>
      <c r="D637" s="2674"/>
      <c r="E637" s="2674"/>
      <c r="F637" s="2674"/>
      <c r="G637" s="2674"/>
      <c r="H637" s="2674"/>
      <c r="I637" s="2674"/>
      <c r="J637" s="2674"/>
      <c r="K637" s="2674"/>
      <c r="L637" s="2674"/>
      <c r="M637" s="2674"/>
      <c r="N637" s="2674"/>
      <c r="O637" s="2674"/>
      <c r="P637" s="2674"/>
      <c r="Q637" s="2674"/>
      <c r="R637" s="2674"/>
      <c r="S637" s="2674"/>
      <c r="T637" s="2674"/>
      <c r="U637" s="2674"/>
    </row>
    <row r="638" spans="1:21" ht="11.25" customHeight="1" x14ac:dyDescent="0.2">
      <c r="A638" s="2674"/>
      <c r="B638" s="2674"/>
      <c r="C638" s="2674"/>
      <c r="D638" s="2674"/>
      <c r="E638" s="2674"/>
      <c r="F638" s="2674"/>
      <c r="G638" s="2674"/>
      <c r="H638" s="2674"/>
      <c r="I638" s="2674"/>
      <c r="J638" s="2674"/>
      <c r="K638" s="2674"/>
      <c r="L638" s="2674"/>
      <c r="M638" s="2674"/>
      <c r="N638" s="2674"/>
      <c r="O638" s="2674"/>
      <c r="P638" s="2674"/>
      <c r="Q638" s="2674"/>
      <c r="R638" s="2674"/>
      <c r="S638" s="2674"/>
      <c r="T638" s="2674"/>
      <c r="U638" s="2674"/>
    </row>
    <row r="639" spans="1:21" ht="11.25" customHeight="1" x14ac:dyDescent="0.2">
      <c r="A639" s="2674"/>
      <c r="B639" s="2674"/>
      <c r="C639" s="2674"/>
      <c r="D639" s="2674"/>
      <c r="E639" s="2674"/>
      <c r="F639" s="2674"/>
      <c r="G639" s="2674"/>
      <c r="H639" s="2674"/>
      <c r="I639" s="2674"/>
      <c r="J639" s="2674"/>
      <c r="K639" s="2674"/>
      <c r="L639" s="2674"/>
      <c r="M639" s="2674"/>
      <c r="N639" s="2674"/>
      <c r="O639" s="2674"/>
      <c r="P639" s="2674"/>
      <c r="Q639" s="2674"/>
      <c r="R639" s="2674"/>
      <c r="S639" s="2674"/>
      <c r="T639" s="2674"/>
      <c r="U639" s="2674"/>
    </row>
    <row r="640" spans="1:21" ht="11.25" customHeight="1" x14ac:dyDescent="0.2">
      <c r="A640" s="2674"/>
      <c r="B640" s="2674"/>
      <c r="C640" s="2674"/>
      <c r="D640" s="2674"/>
      <c r="E640" s="2674"/>
      <c r="F640" s="2674"/>
      <c r="G640" s="2674"/>
      <c r="H640" s="2674"/>
      <c r="I640" s="2674"/>
      <c r="J640" s="2674"/>
      <c r="K640" s="2674"/>
      <c r="L640" s="2674"/>
      <c r="M640" s="2674"/>
      <c r="N640" s="2674"/>
      <c r="O640" s="2674"/>
      <c r="P640" s="2674"/>
      <c r="Q640" s="2674"/>
      <c r="R640" s="2674"/>
      <c r="S640" s="2674"/>
      <c r="T640" s="2674"/>
      <c r="U640" s="2674"/>
    </row>
    <row r="641" spans="1:21" ht="11.25" customHeight="1" x14ac:dyDescent="0.2">
      <c r="A641" s="2674"/>
      <c r="B641" s="2674"/>
      <c r="C641" s="2674"/>
      <c r="D641" s="2674"/>
      <c r="E641" s="2674"/>
      <c r="F641" s="2674"/>
      <c r="G641" s="2674"/>
      <c r="H641" s="2674"/>
      <c r="I641" s="2674"/>
      <c r="J641" s="2674"/>
      <c r="K641" s="2674"/>
      <c r="L641" s="2674"/>
      <c r="M641" s="2674"/>
      <c r="N641" s="2674"/>
      <c r="O641" s="2674"/>
      <c r="P641" s="2674"/>
      <c r="Q641" s="2674"/>
      <c r="R641" s="2674"/>
      <c r="S641" s="2674"/>
      <c r="T641" s="2674"/>
      <c r="U641" s="2674"/>
    </row>
    <row r="642" spans="1:21" ht="11.25" customHeight="1" x14ac:dyDescent="0.2">
      <c r="A642" s="2674"/>
      <c r="B642" s="2674"/>
      <c r="C642" s="2674"/>
      <c r="D642" s="2674"/>
      <c r="E642" s="2674"/>
      <c r="F642" s="2674"/>
      <c r="G642" s="2674"/>
      <c r="H642" s="2674"/>
      <c r="I642" s="2674"/>
      <c r="J642" s="2674"/>
      <c r="K642" s="2674"/>
      <c r="L642" s="2674"/>
      <c r="M642" s="2674"/>
      <c r="N642" s="2674"/>
      <c r="O642" s="2674"/>
      <c r="P642" s="2674"/>
      <c r="Q642" s="2674"/>
      <c r="R642" s="2674"/>
      <c r="S642" s="2674"/>
      <c r="T642" s="2674"/>
      <c r="U642" s="2674"/>
    </row>
    <row r="643" spans="1:21" ht="11.25" customHeight="1" x14ac:dyDescent="0.2">
      <c r="A643" s="2674"/>
      <c r="B643" s="2674"/>
      <c r="C643" s="2674"/>
      <c r="D643" s="2674"/>
      <c r="E643" s="2674"/>
      <c r="F643" s="2674"/>
      <c r="G643" s="2674"/>
      <c r="H643" s="2674"/>
      <c r="I643" s="2674"/>
      <c r="J643" s="2674"/>
      <c r="K643" s="2674"/>
      <c r="L643" s="2674"/>
      <c r="M643" s="2674"/>
      <c r="N643" s="2674"/>
      <c r="O643" s="2674"/>
      <c r="P643" s="2674"/>
      <c r="Q643" s="2674"/>
      <c r="R643" s="2674"/>
      <c r="S643" s="2674"/>
      <c r="T643" s="2674"/>
      <c r="U643" s="2674"/>
    </row>
    <row r="644" spans="1:21" ht="11.25" customHeight="1" x14ac:dyDescent="0.2">
      <c r="A644" s="2674"/>
      <c r="B644" s="2674"/>
      <c r="C644" s="2674"/>
      <c r="D644" s="2674"/>
      <c r="E644" s="2674"/>
      <c r="F644" s="2674"/>
      <c r="G644" s="2674"/>
      <c r="H644" s="2674"/>
      <c r="I644" s="2674"/>
      <c r="J644" s="2674"/>
      <c r="K644" s="2674"/>
      <c r="L644" s="2674"/>
      <c r="M644" s="2674"/>
      <c r="N644" s="2674"/>
      <c r="O644" s="2674"/>
      <c r="P644" s="2674"/>
      <c r="Q644" s="2674"/>
      <c r="R644" s="2674"/>
      <c r="S644" s="2674"/>
      <c r="T644" s="2674"/>
      <c r="U644" s="2674"/>
    </row>
    <row r="645" spans="1:21" ht="11.25" customHeight="1" x14ac:dyDescent="0.2">
      <c r="A645" s="2674"/>
      <c r="B645" s="2674"/>
      <c r="C645" s="2674"/>
      <c r="D645" s="2674"/>
      <c r="E645" s="2674"/>
      <c r="F645" s="2674"/>
      <c r="G645" s="2674"/>
      <c r="H645" s="2674"/>
      <c r="I645" s="2674"/>
      <c r="J645" s="2674"/>
      <c r="K645" s="2674"/>
      <c r="L645" s="2674"/>
      <c r="M645" s="2674"/>
      <c r="N645" s="2674"/>
      <c r="O645" s="2674"/>
      <c r="P645" s="2674"/>
      <c r="Q645" s="2674"/>
      <c r="R645" s="2674"/>
      <c r="S645" s="2674"/>
      <c r="T645" s="2674"/>
      <c r="U645" s="2674"/>
    </row>
    <row r="646" spans="1:21" ht="11.25" customHeight="1" x14ac:dyDescent="0.2">
      <c r="A646" s="2674"/>
      <c r="B646" s="2674"/>
      <c r="C646" s="2674"/>
      <c r="D646" s="2674"/>
      <c r="E646" s="2674"/>
      <c r="F646" s="2674"/>
      <c r="G646" s="2674"/>
      <c r="H646" s="2674"/>
      <c r="I646" s="2674"/>
      <c r="J646" s="2674"/>
      <c r="K646" s="2674"/>
      <c r="L646" s="2674"/>
      <c r="M646" s="2674"/>
      <c r="N646" s="2674"/>
      <c r="O646" s="2674"/>
      <c r="P646" s="2674"/>
      <c r="Q646" s="2674"/>
      <c r="R646" s="2674"/>
      <c r="S646" s="2674"/>
      <c r="T646" s="2674"/>
      <c r="U646" s="2674"/>
    </row>
    <row r="647" spans="1:21" ht="11.25" customHeight="1" x14ac:dyDescent="0.2">
      <c r="A647" s="2674"/>
      <c r="B647" s="2674"/>
      <c r="C647" s="2674"/>
      <c r="D647" s="2674"/>
      <c r="E647" s="2674"/>
      <c r="F647" s="2674"/>
      <c r="G647" s="2674"/>
      <c r="H647" s="2674"/>
      <c r="I647" s="2674"/>
      <c r="J647" s="2674"/>
      <c r="K647" s="2674"/>
      <c r="L647" s="2674"/>
      <c r="M647" s="2674"/>
      <c r="N647" s="2674"/>
      <c r="O647" s="2674"/>
      <c r="P647" s="2674"/>
      <c r="Q647" s="2674"/>
      <c r="R647" s="2674"/>
      <c r="S647" s="2674"/>
      <c r="T647" s="2674"/>
      <c r="U647" s="2674"/>
    </row>
    <row r="648" spans="1:21" ht="11.25" customHeight="1" x14ac:dyDescent="0.2">
      <c r="A648" s="2674"/>
      <c r="B648" s="2674"/>
      <c r="C648" s="2674"/>
      <c r="D648" s="2674"/>
      <c r="E648" s="2674"/>
      <c r="F648" s="2674"/>
      <c r="G648" s="2674"/>
      <c r="H648" s="2674"/>
      <c r="I648" s="2674"/>
      <c r="J648" s="2674"/>
      <c r="K648" s="2674"/>
      <c r="L648" s="2674"/>
      <c r="M648" s="2674"/>
      <c r="N648" s="2674"/>
      <c r="O648" s="2674"/>
      <c r="P648" s="2674"/>
      <c r="Q648" s="2674"/>
      <c r="R648" s="2674"/>
      <c r="S648" s="2674"/>
      <c r="T648" s="2674"/>
      <c r="U648" s="2674"/>
    </row>
    <row r="649" spans="1:21" ht="11.25" customHeight="1" x14ac:dyDescent="0.2">
      <c r="A649" s="2674"/>
      <c r="B649" s="2674"/>
      <c r="C649" s="2674"/>
      <c r="D649" s="2674"/>
      <c r="E649" s="2674"/>
      <c r="F649" s="2674"/>
      <c r="G649" s="2674"/>
      <c r="H649" s="2674"/>
      <c r="I649" s="2674"/>
      <c r="J649" s="2674"/>
      <c r="K649" s="2674"/>
      <c r="L649" s="2674"/>
      <c r="M649" s="2674"/>
      <c r="N649" s="2674"/>
      <c r="O649" s="2674"/>
      <c r="P649" s="2674"/>
      <c r="Q649" s="2674"/>
      <c r="R649" s="2674"/>
      <c r="S649" s="2674"/>
      <c r="T649" s="2674"/>
      <c r="U649" s="2674"/>
    </row>
    <row r="650" spans="1:21" ht="11.25" customHeight="1" x14ac:dyDescent="0.2">
      <c r="A650" s="2674"/>
      <c r="B650" s="2674"/>
      <c r="C650" s="2674"/>
      <c r="D650" s="2674"/>
      <c r="E650" s="2674"/>
      <c r="F650" s="2674"/>
      <c r="G650" s="2674"/>
      <c r="H650" s="2674"/>
      <c r="I650" s="2674"/>
      <c r="J650" s="2674"/>
      <c r="K650" s="2674"/>
      <c r="L650" s="2674"/>
      <c r="M650" s="2674"/>
      <c r="N650" s="2674"/>
      <c r="O650" s="2674"/>
      <c r="P650" s="2674"/>
      <c r="Q650" s="2674"/>
      <c r="R650" s="2674"/>
      <c r="S650" s="2674"/>
      <c r="T650" s="2674"/>
      <c r="U650" s="2674"/>
    </row>
    <row r="651" spans="1:21" ht="11.25" customHeight="1" x14ac:dyDescent="0.2">
      <c r="A651" s="2674"/>
      <c r="B651" s="2674"/>
      <c r="C651" s="2674"/>
      <c r="D651" s="2674"/>
      <c r="E651" s="2674"/>
      <c r="F651" s="2674"/>
      <c r="G651" s="2674"/>
      <c r="H651" s="2674"/>
      <c r="I651" s="2674"/>
      <c r="J651" s="2674"/>
      <c r="K651" s="2674"/>
      <c r="L651" s="2674"/>
      <c r="M651" s="2674"/>
      <c r="N651" s="2674"/>
      <c r="O651" s="2674"/>
      <c r="P651" s="2674"/>
      <c r="Q651" s="2674"/>
      <c r="R651" s="2674"/>
      <c r="S651" s="2674"/>
      <c r="T651" s="2674"/>
      <c r="U651" s="2674"/>
    </row>
    <row r="652" spans="1:21" ht="11.25" customHeight="1" x14ac:dyDescent="0.2">
      <c r="A652" s="2674"/>
      <c r="B652" s="2674"/>
      <c r="C652" s="2674"/>
      <c r="D652" s="2674"/>
      <c r="E652" s="2674"/>
      <c r="F652" s="2674"/>
      <c r="G652" s="2674"/>
      <c r="H652" s="2674"/>
      <c r="I652" s="2674"/>
      <c r="J652" s="2674"/>
      <c r="K652" s="2674"/>
      <c r="L652" s="2674"/>
      <c r="M652" s="2674"/>
      <c r="N652" s="2674"/>
      <c r="O652" s="2674"/>
      <c r="P652" s="2674"/>
      <c r="Q652" s="2674"/>
      <c r="R652" s="2674"/>
      <c r="S652" s="2674"/>
      <c r="T652" s="2674"/>
      <c r="U652" s="2674"/>
    </row>
    <row r="653" spans="1:21" ht="11.25" customHeight="1" x14ac:dyDescent="0.2">
      <c r="A653" s="2674"/>
      <c r="B653" s="2674"/>
      <c r="C653" s="2674"/>
      <c r="D653" s="2674"/>
      <c r="E653" s="2674"/>
      <c r="F653" s="2674"/>
      <c r="G653" s="2674"/>
      <c r="H653" s="2674"/>
      <c r="I653" s="2674"/>
      <c r="J653" s="2674"/>
      <c r="K653" s="2674"/>
      <c r="L653" s="2674"/>
      <c r="M653" s="2674"/>
      <c r="N653" s="2674"/>
      <c r="O653" s="2674"/>
      <c r="P653" s="2674"/>
      <c r="Q653" s="2674"/>
      <c r="R653" s="2674"/>
      <c r="S653" s="2674"/>
      <c r="T653" s="2674"/>
      <c r="U653" s="2674"/>
    </row>
    <row r="654" spans="1:21" ht="11.25" customHeight="1" x14ac:dyDescent="0.2">
      <c r="A654" s="2674"/>
      <c r="B654" s="2674"/>
      <c r="C654" s="2674"/>
      <c r="D654" s="2674"/>
      <c r="E654" s="2674"/>
      <c r="F654" s="2674"/>
      <c r="G654" s="2674"/>
      <c r="H654" s="2674"/>
      <c r="I654" s="2674"/>
      <c r="J654" s="2674"/>
      <c r="K654" s="2674"/>
      <c r="L654" s="2674"/>
      <c r="M654" s="2674"/>
      <c r="N654" s="2674"/>
      <c r="O654" s="2674"/>
      <c r="P654" s="2674"/>
      <c r="Q654" s="2674"/>
      <c r="R654" s="2674"/>
      <c r="S654" s="2674"/>
      <c r="T654" s="2674"/>
      <c r="U654" s="2674"/>
    </row>
    <row r="655" spans="1:21" ht="11.25" customHeight="1" x14ac:dyDescent="0.2">
      <c r="A655" s="2674"/>
      <c r="B655" s="2674"/>
      <c r="C655" s="2674"/>
      <c r="D655" s="2674"/>
      <c r="E655" s="2674"/>
      <c r="F655" s="2674"/>
      <c r="G655" s="2674"/>
      <c r="H655" s="2674"/>
      <c r="I655" s="2674"/>
      <c r="J655" s="2674"/>
      <c r="K655" s="2674"/>
      <c r="L655" s="2674"/>
      <c r="M655" s="2674"/>
      <c r="N655" s="2674"/>
      <c r="O655" s="2674"/>
      <c r="P655" s="2674"/>
      <c r="Q655" s="2674"/>
      <c r="R655" s="2674"/>
      <c r="S655" s="2674"/>
      <c r="T655" s="2674"/>
      <c r="U655" s="2674"/>
    </row>
    <row r="656" spans="1:21" ht="11.25" customHeight="1" x14ac:dyDescent="0.2">
      <c r="A656" s="2674"/>
      <c r="B656" s="2674"/>
      <c r="C656" s="2674"/>
      <c r="D656" s="2674"/>
      <c r="E656" s="2674"/>
      <c r="F656" s="2674"/>
      <c r="G656" s="2674"/>
      <c r="H656" s="2674"/>
      <c r="I656" s="2674"/>
      <c r="J656" s="2674"/>
      <c r="K656" s="2674"/>
      <c r="L656" s="2674"/>
      <c r="M656" s="2674"/>
      <c r="N656" s="2674"/>
      <c r="O656" s="2674"/>
      <c r="P656" s="2674"/>
      <c r="Q656" s="2674"/>
      <c r="R656" s="2674"/>
      <c r="S656" s="2674"/>
      <c r="T656" s="2674"/>
      <c r="U656" s="2674"/>
    </row>
    <row r="657" spans="1:21" ht="11.25" customHeight="1" x14ac:dyDescent="0.2">
      <c r="A657" s="2674"/>
      <c r="B657" s="2674"/>
      <c r="C657" s="2674"/>
      <c r="D657" s="2674"/>
      <c r="E657" s="2674"/>
      <c r="F657" s="2674"/>
      <c r="G657" s="2674"/>
      <c r="H657" s="2674"/>
      <c r="I657" s="2674"/>
      <c r="J657" s="2674"/>
      <c r="K657" s="2674"/>
      <c r="L657" s="2674"/>
      <c r="M657" s="2674"/>
      <c r="N657" s="2674"/>
      <c r="O657" s="2674"/>
      <c r="P657" s="2674"/>
      <c r="Q657" s="2674"/>
      <c r="R657" s="2674"/>
      <c r="S657" s="2674"/>
      <c r="T657" s="2674"/>
      <c r="U657" s="2674"/>
    </row>
    <row r="658" spans="1:21" ht="11.25" customHeight="1" x14ac:dyDescent="0.2">
      <c r="A658" s="2674"/>
      <c r="B658" s="2674"/>
      <c r="C658" s="2674"/>
      <c r="D658" s="2674"/>
      <c r="E658" s="2674"/>
      <c r="F658" s="2674"/>
      <c r="G658" s="2674"/>
      <c r="H658" s="2674"/>
      <c r="I658" s="2674"/>
      <c r="J658" s="2674"/>
      <c r="K658" s="2674"/>
      <c r="L658" s="2674"/>
      <c r="M658" s="2674"/>
      <c r="N658" s="2674"/>
      <c r="O658" s="2674"/>
      <c r="P658" s="2674"/>
      <c r="Q658" s="2674"/>
      <c r="R658" s="2674"/>
      <c r="S658" s="2674"/>
      <c r="T658" s="2674"/>
      <c r="U658" s="2674"/>
    </row>
    <row r="659" spans="1:21" ht="11.25" customHeight="1" x14ac:dyDescent="0.2">
      <c r="A659" s="2674"/>
      <c r="B659" s="2674"/>
      <c r="C659" s="2674"/>
      <c r="D659" s="2674"/>
      <c r="E659" s="2674"/>
      <c r="F659" s="2674"/>
      <c r="G659" s="2674"/>
      <c r="H659" s="2674"/>
      <c r="I659" s="2674"/>
      <c r="J659" s="2674"/>
      <c r="K659" s="2674"/>
      <c r="L659" s="2674"/>
      <c r="M659" s="2674"/>
      <c r="N659" s="2674"/>
      <c r="O659" s="2674"/>
      <c r="P659" s="2674"/>
      <c r="Q659" s="2674"/>
      <c r="R659" s="2674"/>
      <c r="S659" s="2674"/>
      <c r="T659" s="2674"/>
      <c r="U659" s="2674"/>
    </row>
    <row r="660" spans="1:21" ht="11.25" customHeight="1" x14ac:dyDescent="0.2">
      <c r="A660" s="2674"/>
      <c r="B660" s="2674"/>
      <c r="C660" s="2674"/>
      <c r="D660" s="2674"/>
      <c r="E660" s="2674"/>
      <c r="F660" s="2674"/>
      <c r="G660" s="2674"/>
      <c r="H660" s="2674"/>
      <c r="I660" s="2674"/>
      <c r="J660" s="2674"/>
      <c r="K660" s="2674"/>
      <c r="L660" s="2674"/>
      <c r="M660" s="2674"/>
      <c r="N660" s="2674"/>
      <c r="O660" s="2674"/>
      <c r="P660" s="2674"/>
      <c r="Q660" s="2674"/>
      <c r="R660" s="2674"/>
      <c r="S660" s="2674"/>
      <c r="T660" s="2674"/>
      <c r="U660" s="2674"/>
    </row>
    <row r="661" spans="1:21" ht="11.25" customHeight="1" x14ac:dyDescent="0.2">
      <c r="A661" s="2674"/>
      <c r="B661" s="2674"/>
      <c r="C661" s="2674"/>
      <c r="D661" s="2674"/>
      <c r="E661" s="2674"/>
      <c r="F661" s="2674"/>
      <c r="G661" s="2674"/>
      <c r="H661" s="2674"/>
      <c r="I661" s="2674"/>
      <c r="J661" s="2674"/>
      <c r="K661" s="2674"/>
      <c r="L661" s="2674"/>
      <c r="M661" s="2674"/>
      <c r="N661" s="2674"/>
      <c r="O661" s="2674"/>
      <c r="P661" s="2674"/>
      <c r="Q661" s="2674"/>
      <c r="R661" s="2674"/>
      <c r="S661" s="2674"/>
      <c r="T661" s="2674"/>
      <c r="U661" s="2674"/>
    </row>
    <row r="662" spans="1:21" ht="11.25" customHeight="1" x14ac:dyDescent="0.2">
      <c r="A662" s="2674"/>
      <c r="B662" s="2674"/>
      <c r="C662" s="2674"/>
      <c r="D662" s="2674"/>
      <c r="E662" s="2674"/>
      <c r="F662" s="2674"/>
      <c r="G662" s="2674"/>
      <c r="H662" s="2674"/>
      <c r="I662" s="2674"/>
      <c r="J662" s="2674"/>
      <c r="K662" s="2674"/>
      <c r="L662" s="2674"/>
      <c r="M662" s="2674"/>
      <c r="N662" s="2674"/>
      <c r="O662" s="2674"/>
      <c r="P662" s="2674"/>
      <c r="Q662" s="2674"/>
      <c r="R662" s="2674"/>
      <c r="S662" s="2674"/>
      <c r="T662" s="2674"/>
      <c r="U662" s="2674"/>
    </row>
    <row r="663" spans="1:21" ht="11.25" customHeight="1" x14ac:dyDescent="0.2">
      <c r="A663" s="2674"/>
      <c r="B663" s="2674"/>
      <c r="C663" s="2674"/>
      <c r="D663" s="2674"/>
      <c r="E663" s="2674"/>
      <c r="F663" s="2674"/>
      <c r="G663" s="2674"/>
      <c r="H663" s="2674"/>
      <c r="I663" s="2674"/>
      <c r="J663" s="2674"/>
      <c r="K663" s="2674"/>
      <c r="L663" s="2674"/>
      <c r="M663" s="2674"/>
      <c r="N663" s="2674"/>
      <c r="O663" s="2674"/>
      <c r="P663" s="2674"/>
      <c r="Q663" s="2674"/>
      <c r="R663" s="2674"/>
      <c r="S663" s="2674"/>
      <c r="T663" s="2674"/>
      <c r="U663" s="2674"/>
    </row>
    <row r="664" spans="1:21" ht="11.25" customHeight="1" x14ac:dyDescent="0.2">
      <c r="A664" s="2674"/>
      <c r="B664" s="2674"/>
      <c r="C664" s="2674"/>
      <c r="D664" s="2674"/>
      <c r="E664" s="2674"/>
      <c r="F664" s="2674"/>
      <c r="G664" s="2674"/>
      <c r="H664" s="2674"/>
      <c r="I664" s="2674"/>
      <c r="J664" s="2674"/>
      <c r="K664" s="2674"/>
      <c r="L664" s="2674"/>
      <c r="M664" s="2674"/>
      <c r="N664" s="2674"/>
      <c r="O664" s="2674"/>
      <c r="P664" s="2674"/>
      <c r="Q664" s="2674"/>
      <c r="R664" s="2674"/>
      <c r="S664" s="2674"/>
      <c r="T664" s="2674"/>
      <c r="U664" s="2674"/>
    </row>
    <row r="665" spans="1:21" ht="11.25" customHeight="1" x14ac:dyDescent="0.2">
      <c r="A665" s="2674"/>
      <c r="B665" s="2674"/>
      <c r="C665" s="2674"/>
      <c r="D665" s="2674"/>
      <c r="E665" s="2674"/>
      <c r="F665" s="2674"/>
      <c r="G665" s="2674"/>
      <c r="H665" s="2674"/>
      <c r="I665" s="2674"/>
      <c r="J665" s="2674"/>
      <c r="K665" s="2674"/>
      <c r="L665" s="2674"/>
      <c r="M665" s="2674"/>
      <c r="N665" s="2674"/>
      <c r="O665" s="2674"/>
      <c r="P665" s="2674"/>
      <c r="Q665" s="2674"/>
      <c r="R665" s="2674"/>
      <c r="S665" s="2674"/>
      <c r="T665" s="2674"/>
      <c r="U665" s="2674"/>
    </row>
    <row r="666" spans="1:21" ht="11.25" customHeight="1" x14ac:dyDescent="0.2">
      <c r="A666" s="2674"/>
      <c r="B666" s="2674"/>
      <c r="C666" s="2674"/>
      <c r="D666" s="2674"/>
      <c r="E666" s="2674"/>
      <c r="F666" s="2674"/>
      <c r="G666" s="2674"/>
      <c r="H666" s="2674"/>
      <c r="I666" s="2674"/>
      <c r="J666" s="2674"/>
      <c r="K666" s="2674"/>
      <c r="L666" s="2674"/>
      <c r="M666" s="2674"/>
      <c r="N666" s="2674"/>
      <c r="O666" s="2674"/>
      <c r="P666" s="2674"/>
      <c r="Q666" s="2674"/>
      <c r="R666" s="2674"/>
      <c r="S666" s="2674"/>
      <c r="T666" s="2674"/>
      <c r="U666" s="2674"/>
    </row>
    <row r="667" spans="1:21" ht="11.25" customHeight="1" x14ac:dyDescent="0.2">
      <c r="A667" s="2674"/>
      <c r="B667" s="2674"/>
      <c r="C667" s="2674"/>
      <c r="D667" s="2674"/>
      <c r="E667" s="2674"/>
      <c r="F667" s="2674"/>
      <c r="G667" s="2674"/>
      <c r="H667" s="2674"/>
      <c r="I667" s="2674"/>
      <c r="J667" s="2674"/>
      <c r="K667" s="2674"/>
      <c r="L667" s="2674"/>
      <c r="M667" s="2674"/>
      <c r="N667" s="2674"/>
      <c r="O667" s="2674"/>
      <c r="P667" s="2674"/>
      <c r="Q667" s="2674"/>
      <c r="R667" s="2674"/>
      <c r="S667" s="2674"/>
      <c r="T667" s="2674"/>
      <c r="U667" s="2674"/>
    </row>
    <row r="668" spans="1:21" ht="11.25" customHeight="1" x14ac:dyDescent="0.2">
      <c r="A668" s="2674"/>
      <c r="B668" s="2674"/>
      <c r="C668" s="2674"/>
      <c r="D668" s="2674"/>
      <c r="E668" s="2674"/>
      <c r="F668" s="2674"/>
      <c r="G668" s="2674"/>
      <c r="H668" s="2674"/>
      <c r="I668" s="2674"/>
      <c r="J668" s="2674"/>
      <c r="K668" s="2674"/>
      <c r="L668" s="2674"/>
      <c r="M668" s="2674"/>
      <c r="N668" s="2674"/>
      <c r="O668" s="2674"/>
      <c r="P668" s="2674"/>
      <c r="Q668" s="2674"/>
      <c r="R668" s="2674"/>
      <c r="S668" s="2674"/>
      <c r="T668" s="2674"/>
      <c r="U668" s="2674"/>
    </row>
    <row r="669" spans="1:21" ht="11.25" customHeight="1" x14ac:dyDescent="0.2">
      <c r="A669" s="2674"/>
      <c r="B669" s="2674"/>
      <c r="C669" s="2674"/>
      <c r="D669" s="2674"/>
      <c r="E669" s="2674"/>
      <c r="F669" s="2674"/>
      <c r="G669" s="2674"/>
      <c r="H669" s="2674"/>
      <c r="I669" s="2674"/>
      <c r="J669" s="2674"/>
      <c r="K669" s="2674"/>
      <c r="L669" s="2674"/>
      <c r="M669" s="2674"/>
      <c r="N669" s="2674"/>
      <c r="O669" s="2674"/>
      <c r="P669" s="2674"/>
      <c r="Q669" s="2674"/>
      <c r="R669" s="2674"/>
      <c r="S669" s="2674"/>
      <c r="T669" s="2674"/>
      <c r="U669" s="2674"/>
    </row>
    <row r="670" spans="1:21" ht="11.25" customHeight="1" x14ac:dyDescent="0.2">
      <c r="A670" s="2674"/>
      <c r="B670" s="2674"/>
      <c r="C670" s="2674"/>
      <c r="D670" s="2674"/>
      <c r="E670" s="2674"/>
      <c r="F670" s="2674"/>
      <c r="G670" s="2674"/>
      <c r="H670" s="2674"/>
      <c r="I670" s="2674"/>
      <c r="J670" s="2674"/>
      <c r="K670" s="2674"/>
      <c r="L670" s="2674"/>
      <c r="M670" s="2674"/>
      <c r="N670" s="2674"/>
      <c r="O670" s="2674"/>
      <c r="P670" s="2674"/>
      <c r="Q670" s="2674"/>
      <c r="R670" s="2674"/>
      <c r="S670" s="2674"/>
      <c r="T670" s="2674"/>
      <c r="U670" s="2674"/>
    </row>
    <row r="671" spans="1:21" ht="11.25" customHeight="1" x14ac:dyDescent="0.2">
      <c r="A671" s="2674"/>
      <c r="B671" s="2674"/>
      <c r="C671" s="2674"/>
      <c r="D671" s="2674"/>
      <c r="E671" s="2674"/>
      <c r="F671" s="2674"/>
      <c r="G671" s="2674"/>
      <c r="H671" s="2674"/>
      <c r="I671" s="2674"/>
      <c r="J671" s="2674"/>
      <c r="K671" s="2674"/>
      <c r="L671" s="2674"/>
      <c r="M671" s="2674"/>
      <c r="N671" s="2674"/>
      <c r="O671" s="2674"/>
      <c r="P671" s="2674"/>
      <c r="Q671" s="2674"/>
      <c r="R671" s="2674"/>
      <c r="S671" s="2674"/>
      <c r="T671" s="2674"/>
      <c r="U671" s="2674"/>
    </row>
    <row r="672" spans="1:21" ht="11.25" customHeight="1" x14ac:dyDescent="0.2">
      <c r="A672" s="2674"/>
      <c r="B672" s="2674"/>
      <c r="C672" s="2674"/>
      <c r="D672" s="2674"/>
      <c r="E672" s="2674"/>
      <c r="F672" s="2674"/>
      <c r="G672" s="2674"/>
      <c r="H672" s="2674"/>
      <c r="I672" s="2674"/>
      <c r="J672" s="2674"/>
      <c r="K672" s="2674"/>
      <c r="L672" s="2674"/>
      <c r="M672" s="2674"/>
      <c r="N672" s="2674"/>
      <c r="O672" s="2674"/>
      <c r="P672" s="2674"/>
      <c r="Q672" s="2674"/>
      <c r="R672" s="2674"/>
      <c r="S672" s="2674"/>
      <c r="T672" s="2674"/>
      <c r="U672" s="2674"/>
    </row>
    <row r="673" spans="1:21" ht="11.25" customHeight="1" x14ac:dyDescent="0.2">
      <c r="A673" s="2674"/>
      <c r="B673" s="2674"/>
      <c r="C673" s="2674"/>
      <c r="D673" s="2674"/>
      <c r="E673" s="2674"/>
      <c r="F673" s="2674"/>
      <c r="G673" s="2674"/>
      <c r="H673" s="2674"/>
      <c r="I673" s="2674"/>
      <c r="J673" s="2674"/>
      <c r="K673" s="2674"/>
      <c r="L673" s="2674"/>
      <c r="M673" s="2674"/>
      <c r="N673" s="2674"/>
      <c r="O673" s="2674"/>
      <c r="P673" s="2674"/>
      <c r="Q673" s="2674"/>
      <c r="R673" s="2674"/>
      <c r="S673" s="2674"/>
      <c r="T673" s="2674"/>
      <c r="U673" s="2674"/>
    </row>
    <row r="674" spans="1:21" ht="11.25" customHeight="1" x14ac:dyDescent="0.2">
      <c r="A674" s="2674"/>
      <c r="B674" s="2674"/>
      <c r="C674" s="2674"/>
      <c r="D674" s="2674"/>
      <c r="E674" s="2674"/>
      <c r="F674" s="2674"/>
      <c r="G674" s="2674"/>
      <c r="H674" s="2674"/>
      <c r="I674" s="2674"/>
      <c r="J674" s="2674"/>
      <c r="K674" s="2674"/>
      <c r="L674" s="2674"/>
      <c r="M674" s="2674"/>
      <c r="N674" s="2674"/>
      <c r="O674" s="2674"/>
      <c r="P674" s="2674"/>
      <c r="Q674" s="2674"/>
      <c r="R674" s="2674"/>
      <c r="S674" s="2674"/>
      <c r="T674" s="2674"/>
      <c r="U674" s="2674"/>
    </row>
    <row r="675" spans="1:21" ht="11.25" customHeight="1" x14ac:dyDescent="0.2">
      <c r="A675" s="2674"/>
      <c r="B675" s="2674"/>
      <c r="C675" s="2674"/>
      <c r="D675" s="2674"/>
      <c r="E675" s="2674"/>
      <c r="F675" s="2674"/>
      <c r="G675" s="2674"/>
      <c r="H675" s="2674"/>
      <c r="I675" s="2674"/>
      <c r="J675" s="2674"/>
      <c r="K675" s="2674"/>
      <c r="L675" s="2674"/>
      <c r="M675" s="2674"/>
      <c r="N675" s="2674"/>
      <c r="O675" s="2674"/>
      <c r="P675" s="2674"/>
      <c r="Q675" s="2674"/>
      <c r="R675" s="2674"/>
      <c r="S675" s="2674"/>
      <c r="T675" s="2674"/>
      <c r="U675" s="2674"/>
    </row>
    <row r="676" spans="1:21" ht="11.25" customHeight="1" x14ac:dyDescent="0.2">
      <c r="A676" s="2674"/>
      <c r="B676" s="2674"/>
      <c r="C676" s="2674"/>
      <c r="D676" s="2674"/>
      <c r="E676" s="2674"/>
      <c r="F676" s="2674"/>
      <c r="G676" s="2674"/>
      <c r="H676" s="2674"/>
      <c r="I676" s="2674"/>
      <c r="J676" s="2674"/>
      <c r="K676" s="2674"/>
      <c r="L676" s="2674"/>
      <c r="M676" s="2674"/>
      <c r="N676" s="2674"/>
      <c r="O676" s="2674"/>
      <c r="P676" s="2674"/>
      <c r="Q676" s="2674"/>
      <c r="R676" s="2674"/>
      <c r="S676" s="2674"/>
      <c r="T676" s="2674"/>
      <c r="U676" s="2674"/>
    </row>
    <row r="677" spans="1:21" ht="11.25" customHeight="1" x14ac:dyDescent="0.2">
      <c r="A677" s="2674"/>
      <c r="B677" s="2674"/>
      <c r="C677" s="2674"/>
      <c r="D677" s="2674"/>
      <c r="E677" s="2674"/>
      <c r="F677" s="2674"/>
      <c r="G677" s="2674"/>
      <c r="H677" s="2674"/>
      <c r="I677" s="2674"/>
      <c r="J677" s="2674"/>
      <c r="K677" s="2674"/>
      <c r="L677" s="2674"/>
      <c r="M677" s="2674"/>
      <c r="N677" s="2674"/>
      <c r="O677" s="2674"/>
      <c r="P677" s="2674"/>
      <c r="Q677" s="2674"/>
      <c r="R677" s="2674"/>
      <c r="S677" s="2674"/>
      <c r="T677" s="2674"/>
      <c r="U677" s="2674"/>
    </row>
    <row r="678" spans="1:21" ht="11.25" customHeight="1" x14ac:dyDescent="0.2">
      <c r="A678" s="2674"/>
      <c r="B678" s="2674"/>
      <c r="C678" s="2674"/>
      <c r="D678" s="2674"/>
      <c r="E678" s="2674"/>
      <c r="F678" s="2674"/>
      <c r="G678" s="2674"/>
      <c r="H678" s="2674"/>
      <c r="I678" s="2674"/>
      <c r="J678" s="2674"/>
      <c r="K678" s="2674"/>
      <c r="L678" s="2674"/>
      <c r="M678" s="2674"/>
      <c r="N678" s="2674"/>
      <c r="O678" s="2674"/>
      <c r="P678" s="2674"/>
      <c r="Q678" s="2674"/>
      <c r="R678" s="2674"/>
      <c r="S678" s="2674"/>
      <c r="T678" s="2674"/>
      <c r="U678" s="2674"/>
    </row>
    <row r="679" spans="1:21" ht="11.25" customHeight="1" x14ac:dyDescent="0.2">
      <c r="A679" s="2674"/>
      <c r="B679" s="2674"/>
      <c r="C679" s="2674"/>
      <c r="D679" s="2674"/>
      <c r="E679" s="2674"/>
      <c r="F679" s="2674"/>
      <c r="G679" s="2674"/>
      <c r="H679" s="2674"/>
      <c r="I679" s="2674"/>
      <c r="J679" s="2674"/>
      <c r="K679" s="2674"/>
      <c r="L679" s="2674"/>
      <c r="M679" s="2674"/>
      <c r="N679" s="2674"/>
      <c r="O679" s="2674"/>
      <c r="P679" s="2674"/>
      <c r="Q679" s="2674"/>
      <c r="R679" s="2674"/>
      <c r="S679" s="2674"/>
      <c r="T679" s="2674"/>
      <c r="U679" s="2674"/>
    </row>
    <row r="680" spans="1:21" ht="11.25" customHeight="1" x14ac:dyDescent="0.2">
      <c r="A680" s="2674"/>
      <c r="B680" s="2674"/>
      <c r="C680" s="2674"/>
      <c r="D680" s="2674"/>
      <c r="E680" s="2674"/>
      <c r="F680" s="2674"/>
      <c r="G680" s="2674"/>
      <c r="H680" s="2674"/>
      <c r="I680" s="2674"/>
      <c r="J680" s="2674"/>
      <c r="K680" s="2674"/>
      <c r="L680" s="2674"/>
      <c r="M680" s="2674"/>
      <c r="N680" s="2674"/>
      <c r="O680" s="2674"/>
      <c r="P680" s="2674"/>
      <c r="Q680" s="2674"/>
      <c r="R680" s="2674"/>
      <c r="S680" s="2674"/>
      <c r="T680" s="2674"/>
      <c r="U680" s="2674"/>
    </row>
    <row r="681" spans="1:21" ht="11.25" customHeight="1" x14ac:dyDescent="0.2">
      <c r="A681" s="2674"/>
      <c r="B681" s="2674"/>
      <c r="C681" s="2674"/>
      <c r="D681" s="2674"/>
      <c r="E681" s="2674"/>
      <c r="F681" s="2674"/>
      <c r="G681" s="2674"/>
      <c r="H681" s="2674"/>
      <c r="I681" s="2674"/>
      <c r="J681" s="2674"/>
      <c r="K681" s="2674"/>
      <c r="L681" s="2674"/>
      <c r="M681" s="2674"/>
      <c r="N681" s="2674"/>
      <c r="O681" s="2674"/>
      <c r="P681" s="2674"/>
      <c r="Q681" s="2674"/>
      <c r="R681" s="2674"/>
      <c r="S681" s="2674"/>
      <c r="T681" s="2674"/>
      <c r="U681" s="2674"/>
    </row>
    <row r="682" spans="1:21" ht="11.25" customHeight="1" x14ac:dyDescent="0.2">
      <c r="A682" s="2674"/>
      <c r="B682" s="2674"/>
      <c r="C682" s="2674"/>
      <c r="D682" s="2674"/>
      <c r="E682" s="2674"/>
      <c r="F682" s="2674"/>
      <c r="G682" s="2674"/>
      <c r="H682" s="2674"/>
      <c r="I682" s="2674"/>
      <c r="J682" s="2674"/>
      <c r="K682" s="2674"/>
      <c r="L682" s="2674"/>
      <c r="M682" s="2674"/>
      <c r="N682" s="2674"/>
      <c r="O682" s="2674"/>
      <c r="P682" s="2674"/>
      <c r="Q682" s="2674"/>
      <c r="R682" s="2674"/>
      <c r="S682" s="2674"/>
      <c r="T682" s="2674"/>
      <c r="U682" s="2674"/>
    </row>
    <row r="683" spans="1:21" ht="11.25" customHeight="1" x14ac:dyDescent="0.2">
      <c r="A683" s="2674"/>
      <c r="B683" s="2674"/>
      <c r="C683" s="2674"/>
      <c r="D683" s="2674"/>
      <c r="E683" s="2674"/>
      <c r="F683" s="2674"/>
      <c r="G683" s="2674"/>
      <c r="H683" s="2674"/>
      <c r="I683" s="2674"/>
      <c r="J683" s="2674"/>
      <c r="K683" s="2674"/>
      <c r="L683" s="2674"/>
      <c r="M683" s="2674"/>
      <c r="N683" s="2674"/>
      <c r="O683" s="2674"/>
      <c r="P683" s="2674"/>
      <c r="Q683" s="2674"/>
      <c r="R683" s="2674"/>
      <c r="S683" s="2674"/>
      <c r="T683" s="2674"/>
      <c r="U683" s="2674"/>
    </row>
    <row r="684" spans="1:21" ht="11.25" customHeight="1" x14ac:dyDescent="0.2">
      <c r="A684" s="2674"/>
      <c r="B684" s="2674"/>
      <c r="C684" s="2674"/>
      <c r="D684" s="2674"/>
      <c r="E684" s="2674"/>
      <c r="F684" s="2674"/>
      <c r="G684" s="2674"/>
      <c r="H684" s="2674"/>
      <c r="I684" s="2674"/>
      <c r="J684" s="2674"/>
      <c r="K684" s="2674"/>
      <c r="L684" s="2674"/>
      <c r="M684" s="2674"/>
      <c r="N684" s="2674"/>
      <c r="O684" s="2674"/>
      <c r="P684" s="2674"/>
      <c r="Q684" s="2674"/>
      <c r="R684" s="2674"/>
      <c r="S684" s="2674"/>
      <c r="T684" s="2674"/>
      <c r="U684" s="2674"/>
    </row>
    <row r="685" spans="1:21" ht="11.25" customHeight="1" x14ac:dyDescent="0.2">
      <c r="A685" s="2674"/>
      <c r="B685" s="2674"/>
      <c r="C685" s="2674"/>
      <c r="D685" s="2674"/>
      <c r="E685" s="2674"/>
      <c r="F685" s="2674"/>
      <c r="G685" s="2674"/>
      <c r="H685" s="2674"/>
      <c r="I685" s="2674"/>
      <c r="J685" s="2674"/>
      <c r="K685" s="2674"/>
      <c r="L685" s="2674"/>
      <c r="M685" s="2674"/>
      <c r="N685" s="2674"/>
      <c r="O685" s="2674"/>
      <c r="P685" s="2674"/>
      <c r="Q685" s="2674"/>
      <c r="R685" s="2674"/>
      <c r="S685" s="2674"/>
      <c r="T685" s="2674"/>
      <c r="U685" s="2674"/>
    </row>
    <row r="686" spans="1:21" ht="11.25" customHeight="1" x14ac:dyDescent="0.2">
      <c r="A686" s="2674"/>
      <c r="B686" s="2674"/>
      <c r="C686" s="2674"/>
      <c r="D686" s="2674"/>
      <c r="E686" s="2674"/>
      <c r="F686" s="2674"/>
      <c r="G686" s="2674"/>
      <c r="H686" s="2674"/>
      <c r="I686" s="2674"/>
      <c r="J686" s="2674"/>
      <c r="K686" s="2674"/>
      <c r="L686" s="2674"/>
      <c r="M686" s="2674"/>
      <c r="N686" s="2674"/>
      <c r="O686" s="2674"/>
      <c r="P686" s="2674"/>
      <c r="Q686" s="2674"/>
      <c r="R686" s="2674"/>
      <c r="S686" s="2674"/>
      <c r="T686" s="2674"/>
      <c r="U686" s="2674"/>
    </row>
    <row r="687" spans="1:21" ht="11.25" customHeight="1" x14ac:dyDescent="0.2">
      <c r="A687" s="2674"/>
      <c r="B687" s="2674"/>
      <c r="C687" s="2674"/>
      <c r="D687" s="2674"/>
      <c r="E687" s="2674"/>
      <c r="F687" s="2674"/>
      <c r="G687" s="2674"/>
      <c r="H687" s="2674"/>
      <c r="I687" s="2674"/>
      <c r="J687" s="2674"/>
      <c r="K687" s="2674"/>
      <c r="L687" s="2674"/>
      <c r="M687" s="2674"/>
      <c r="N687" s="2674"/>
      <c r="O687" s="2674"/>
      <c r="P687" s="2674"/>
      <c r="Q687" s="2674"/>
      <c r="R687" s="2674"/>
      <c r="S687" s="2674"/>
      <c r="T687" s="2674"/>
      <c r="U687" s="2674"/>
    </row>
    <row r="688" spans="1:21" ht="11.25" customHeight="1" x14ac:dyDescent="0.2">
      <c r="A688" s="2674"/>
      <c r="B688" s="2674"/>
      <c r="C688" s="2674"/>
      <c r="D688" s="2674"/>
      <c r="E688" s="2674"/>
      <c r="F688" s="2674"/>
      <c r="G688" s="2674"/>
      <c r="H688" s="2674"/>
      <c r="I688" s="2674"/>
      <c r="J688" s="2674"/>
      <c r="K688" s="2674"/>
      <c r="L688" s="2674"/>
      <c r="M688" s="2674"/>
      <c r="N688" s="2674"/>
      <c r="O688" s="2674"/>
      <c r="P688" s="2674"/>
      <c r="Q688" s="2674"/>
      <c r="R688" s="2674"/>
      <c r="S688" s="2674"/>
      <c r="T688" s="2674"/>
      <c r="U688" s="2674"/>
    </row>
    <row r="689" spans="1:21" ht="11.25" customHeight="1" x14ac:dyDescent="0.2">
      <c r="A689" s="2674"/>
      <c r="B689" s="2674"/>
      <c r="C689" s="2674"/>
      <c r="D689" s="2674"/>
      <c r="E689" s="2674"/>
      <c r="F689" s="2674"/>
      <c r="G689" s="2674"/>
      <c r="H689" s="2674"/>
      <c r="I689" s="2674"/>
      <c r="J689" s="2674"/>
      <c r="K689" s="2674"/>
      <c r="L689" s="2674"/>
      <c r="M689" s="2674"/>
      <c r="N689" s="2674"/>
      <c r="O689" s="2674"/>
      <c r="P689" s="2674"/>
      <c r="Q689" s="2674"/>
      <c r="R689" s="2674"/>
      <c r="S689" s="2674"/>
      <c r="T689" s="2674"/>
      <c r="U689" s="2674"/>
    </row>
    <row r="690" spans="1:21" ht="11.25" customHeight="1" x14ac:dyDescent="0.2">
      <c r="A690" s="2674"/>
      <c r="B690" s="2674"/>
      <c r="C690" s="2674"/>
      <c r="D690" s="2674"/>
      <c r="E690" s="2674"/>
      <c r="F690" s="2674"/>
      <c r="G690" s="2674"/>
      <c r="H690" s="2674"/>
      <c r="I690" s="2674"/>
      <c r="J690" s="2674"/>
      <c r="K690" s="2674"/>
      <c r="L690" s="2674"/>
      <c r="M690" s="2674"/>
      <c r="N690" s="2674"/>
      <c r="O690" s="2674"/>
      <c r="P690" s="2674"/>
      <c r="Q690" s="2674"/>
      <c r="R690" s="2674"/>
      <c r="S690" s="2674"/>
      <c r="T690" s="2674"/>
      <c r="U690" s="2674"/>
    </row>
    <row r="691" spans="1:21" ht="11.25" customHeight="1" x14ac:dyDescent="0.2">
      <c r="A691" s="2674"/>
      <c r="B691" s="2674"/>
      <c r="C691" s="2674"/>
      <c r="D691" s="2674"/>
      <c r="E691" s="2674"/>
      <c r="F691" s="2674"/>
      <c r="G691" s="2674"/>
      <c r="H691" s="2674"/>
      <c r="I691" s="2674"/>
      <c r="J691" s="2674"/>
      <c r="K691" s="2674"/>
      <c r="L691" s="2674"/>
      <c r="M691" s="2674"/>
      <c r="N691" s="2674"/>
      <c r="O691" s="2674"/>
      <c r="P691" s="2674"/>
      <c r="Q691" s="2674"/>
      <c r="R691" s="2674"/>
      <c r="S691" s="2674"/>
      <c r="T691" s="2674"/>
      <c r="U691" s="2674"/>
    </row>
    <row r="692" spans="1:21" ht="11.25" customHeight="1" x14ac:dyDescent="0.2">
      <c r="A692" s="2674"/>
      <c r="B692" s="2674"/>
      <c r="C692" s="2674"/>
      <c r="D692" s="2674"/>
      <c r="E692" s="2674"/>
      <c r="F692" s="2674"/>
      <c r="G692" s="2674"/>
      <c r="H692" s="2674"/>
      <c r="I692" s="2674"/>
      <c r="J692" s="2674"/>
      <c r="K692" s="2674"/>
      <c r="L692" s="2674"/>
      <c r="M692" s="2674"/>
      <c r="N692" s="2674"/>
      <c r="O692" s="2674"/>
      <c r="P692" s="2674"/>
      <c r="Q692" s="2674"/>
      <c r="R692" s="2674"/>
      <c r="S692" s="2674"/>
      <c r="T692" s="2674"/>
      <c r="U692" s="2674"/>
    </row>
    <row r="693" spans="1:21" ht="11.25" customHeight="1" x14ac:dyDescent="0.2">
      <c r="A693" s="2674"/>
      <c r="B693" s="2674"/>
      <c r="C693" s="2674"/>
      <c r="D693" s="2674"/>
      <c r="E693" s="2674"/>
      <c r="F693" s="2674"/>
      <c r="G693" s="2674"/>
      <c r="H693" s="2674"/>
      <c r="I693" s="2674"/>
      <c r="J693" s="2674"/>
      <c r="K693" s="2674"/>
      <c r="L693" s="2674"/>
      <c r="M693" s="2674"/>
      <c r="N693" s="2674"/>
      <c r="O693" s="2674"/>
      <c r="P693" s="2674"/>
      <c r="Q693" s="2674"/>
      <c r="R693" s="2674"/>
      <c r="S693" s="2674"/>
      <c r="T693" s="2674"/>
      <c r="U693" s="2674"/>
    </row>
    <row r="694" spans="1:21" ht="11.25" customHeight="1" x14ac:dyDescent="0.2">
      <c r="A694" s="2674"/>
      <c r="B694" s="2674"/>
      <c r="C694" s="2674"/>
      <c r="D694" s="2674"/>
      <c r="E694" s="2674"/>
      <c r="F694" s="2674"/>
      <c r="G694" s="2674"/>
      <c r="H694" s="2674"/>
      <c r="I694" s="2674"/>
      <c r="J694" s="2674"/>
      <c r="K694" s="2674"/>
      <c r="L694" s="2674"/>
      <c r="M694" s="2674"/>
      <c r="N694" s="2674"/>
      <c r="O694" s="2674"/>
      <c r="P694" s="2674"/>
      <c r="Q694" s="2674"/>
      <c r="R694" s="2674"/>
      <c r="S694" s="2674"/>
      <c r="T694" s="2674"/>
      <c r="U694" s="2674"/>
    </row>
    <row r="695" spans="1:21" ht="11.25" customHeight="1" x14ac:dyDescent="0.2">
      <c r="A695" s="2674"/>
      <c r="B695" s="2674"/>
      <c r="C695" s="2674"/>
      <c r="D695" s="2674"/>
      <c r="E695" s="2674"/>
      <c r="F695" s="2674"/>
      <c r="G695" s="2674"/>
      <c r="H695" s="2674"/>
      <c r="I695" s="2674"/>
      <c r="J695" s="2674"/>
      <c r="K695" s="2674"/>
      <c r="L695" s="2674"/>
      <c r="M695" s="2674"/>
      <c r="N695" s="2674"/>
      <c r="O695" s="2674"/>
      <c r="P695" s="2674"/>
      <c r="Q695" s="2674"/>
      <c r="R695" s="2674"/>
      <c r="S695" s="2674"/>
      <c r="T695" s="2674"/>
      <c r="U695" s="2674"/>
    </row>
    <row r="696" spans="1:21" ht="11.25" customHeight="1" x14ac:dyDescent="0.2">
      <c r="A696" s="2674"/>
      <c r="B696" s="2674"/>
      <c r="C696" s="2674"/>
      <c r="D696" s="2674"/>
      <c r="E696" s="2674"/>
      <c r="F696" s="2674"/>
      <c r="G696" s="2674"/>
      <c r="H696" s="2674"/>
      <c r="I696" s="2674"/>
      <c r="J696" s="2674"/>
      <c r="K696" s="2674"/>
      <c r="L696" s="2674"/>
      <c r="M696" s="2674"/>
      <c r="N696" s="2674"/>
      <c r="O696" s="2674"/>
      <c r="P696" s="2674"/>
      <c r="Q696" s="2674"/>
      <c r="R696" s="2674"/>
      <c r="S696" s="2674"/>
      <c r="T696" s="2674"/>
      <c r="U696" s="2674"/>
    </row>
    <row r="697" spans="1:21" ht="11.25" customHeight="1" x14ac:dyDescent="0.2">
      <c r="A697" s="2674"/>
      <c r="B697" s="2674"/>
      <c r="C697" s="2674"/>
      <c r="D697" s="2674"/>
      <c r="E697" s="2674"/>
      <c r="F697" s="2674"/>
      <c r="G697" s="2674"/>
      <c r="H697" s="2674"/>
      <c r="I697" s="2674"/>
      <c r="J697" s="2674"/>
      <c r="K697" s="2674"/>
      <c r="L697" s="2674"/>
      <c r="M697" s="2674"/>
      <c r="N697" s="2674"/>
      <c r="O697" s="2674"/>
      <c r="P697" s="2674"/>
      <c r="Q697" s="2674"/>
      <c r="R697" s="2674"/>
      <c r="S697" s="2674"/>
      <c r="T697" s="2674"/>
      <c r="U697" s="2674"/>
    </row>
    <row r="698" spans="1:21" ht="11.25" customHeight="1" x14ac:dyDescent="0.2">
      <c r="A698" s="2674"/>
      <c r="B698" s="2674"/>
      <c r="C698" s="2674"/>
      <c r="D698" s="2674"/>
      <c r="E698" s="2674"/>
      <c r="F698" s="2674"/>
      <c r="G698" s="2674"/>
      <c r="H698" s="2674"/>
      <c r="I698" s="2674"/>
      <c r="J698" s="2674"/>
      <c r="K698" s="2674"/>
      <c r="L698" s="2674"/>
      <c r="M698" s="2674"/>
      <c r="N698" s="2674"/>
      <c r="O698" s="2674"/>
      <c r="P698" s="2674"/>
      <c r="Q698" s="2674"/>
      <c r="R698" s="2674"/>
      <c r="S698" s="2674"/>
      <c r="T698" s="2674"/>
      <c r="U698" s="2674"/>
    </row>
    <row r="699" spans="1:21" ht="11.25" customHeight="1" x14ac:dyDescent="0.2">
      <c r="A699" s="2674"/>
      <c r="B699" s="2674"/>
      <c r="C699" s="2674"/>
      <c r="D699" s="2674"/>
      <c r="E699" s="2674"/>
      <c r="F699" s="2674"/>
      <c r="G699" s="2674"/>
      <c r="H699" s="2674"/>
      <c r="I699" s="2674"/>
      <c r="J699" s="2674"/>
      <c r="K699" s="2674"/>
      <c r="L699" s="2674"/>
      <c r="M699" s="2674"/>
      <c r="N699" s="2674"/>
      <c r="O699" s="2674"/>
      <c r="P699" s="2674"/>
      <c r="Q699" s="2674"/>
      <c r="R699" s="2674"/>
      <c r="S699" s="2674"/>
      <c r="T699" s="2674"/>
      <c r="U699" s="2674"/>
    </row>
    <row r="700" spans="1:21" ht="11.25" customHeight="1" x14ac:dyDescent="0.2">
      <c r="A700" s="2674"/>
      <c r="B700" s="2674"/>
      <c r="C700" s="2674"/>
      <c r="D700" s="2674"/>
      <c r="E700" s="2674"/>
      <c r="F700" s="2674"/>
      <c r="G700" s="2674"/>
      <c r="H700" s="2674"/>
      <c r="I700" s="2674"/>
      <c r="J700" s="2674"/>
      <c r="K700" s="2674"/>
      <c r="L700" s="2674"/>
      <c r="M700" s="2674"/>
      <c r="N700" s="2674"/>
      <c r="O700" s="2674"/>
      <c r="P700" s="2674"/>
      <c r="Q700" s="2674"/>
      <c r="R700" s="2674"/>
      <c r="S700" s="2674"/>
      <c r="T700" s="2674"/>
      <c r="U700" s="2674"/>
    </row>
    <row r="701" spans="1:21" ht="11.25" customHeight="1" x14ac:dyDescent="0.2">
      <c r="A701" s="2674"/>
      <c r="B701" s="2674"/>
      <c r="C701" s="2674"/>
      <c r="D701" s="2674"/>
      <c r="E701" s="2674"/>
      <c r="F701" s="2674"/>
      <c r="G701" s="2674"/>
      <c r="H701" s="2674"/>
      <c r="I701" s="2674"/>
      <c r="J701" s="2674"/>
      <c r="K701" s="2674"/>
      <c r="L701" s="2674"/>
      <c r="M701" s="2674"/>
      <c r="N701" s="2674"/>
      <c r="O701" s="2674"/>
      <c r="P701" s="2674"/>
      <c r="Q701" s="2674"/>
      <c r="R701" s="2674"/>
      <c r="S701" s="2674"/>
      <c r="T701" s="2674"/>
      <c r="U701" s="2674"/>
    </row>
    <row r="702" spans="1:21" ht="11.25" customHeight="1" x14ac:dyDescent="0.2">
      <c r="A702" s="2674"/>
      <c r="B702" s="2674"/>
      <c r="C702" s="2674"/>
      <c r="D702" s="2674"/>
      <c r="E702" s="2674"/>
      <c r="F702" s="2674"/>
      <c r="G702" s="2674"/>
      <c r="H702" s="2674"/>
      <c r="I702" s="2674"/>
      <c r="J702" s="2674"/>
      <c r="K702" s="2674"/>
      <c r="L702" s="2674"/>
      <c r="M702" s="2674"/>
      <c r="N702" s="2674"/>
      <c r="O702" s="2674"/>
      <c r="P702" s="2674"/>
      <c r="Q702" s="2674"/>
      <c r="R702" s="2674"/>
      <c r="S702" s="2674"/>
      <c r="T702" s="2674"/>
      <c r="U702" s="2674"/>
    </row>
    <row r="703" spans="1:21" ht="11.25" customHeight="1" x14ac:dyDescent="0.2">
      <c r="A703" s="2674"/>
      <c r="B703" s="2674"/>
      <c r="C703" s="2674"/>
      <c r="D703" s="2674"/>
      <c r="E703" s="2674"/>
      <c r="F703" s="2674"/>
      <c r="G703" s="2674"/>
      <c r="H703" s="2674"/>
      <c r="I703" s="2674"/>
      <c r="J703" s="2674"/>
      <c r="K703" s="2674"/>
      <c r="L703" s="2674"/>
      <c r="M703" s="2674"/>
      <c r="N703" s="2674"/>
      <c r="O703" s="2674"/>
      <c r="P703" s="2674"/>
      <c r="Q703" s="2674"/>
      <c r="R703" s="2674"/>
      <c r="S703" s="2674"/>
      <c r="T703" s="2674"/>
      <c r="U703" s="2674"/>
    </row>
    <row r="704" spans="1:21" ht="11.25" customHeight="1" x14ac:dyDescent="0.2">
      <c r="A704" s="2674"/>
      <c r="B704" s="2674"/>
      <c r="C704" s="2674"/>
      <c r="D704" s="2674"/>
      <c r="E704" s="2674"/>
      <c r="F704" s="2674"/>
      <c r="G704" s="2674"/>
      <c r="H704" s="2674"/>
      <c r="I704" s="2674"/>
      <c r="J704" s="2674"/>
      <c r="K704" s="2674"/>
      <c r="L704" s="2674"/>
      <c r="M704" s="2674"/>
      <c r="N704" s="2674"/>
      <c r="O704" s="2674"/>
      <c r="P704" s="2674"/>
      <c r="Q704" s="2674"/>
      <c r="R704" s="2674"/>
      <c r="S704" s="2674"/>
      <c r="T704" s="2674"/>
      <c r="U704" s="2674"/>
    </row>
    <row r="705" spans="1:21" ht="11.25" customHeight="1" x14ac:dyDescent="0.2">
      <c r="A705" s="2674"/>
      <c r="B705" s="2674"/>
      <c r="C705" s="2674"/>
      <c r="D705" s="2674"/>
      <c r="E705" s="2674"/>
      <c r="F705" s="2674"/>
      <c r="G705" s="2674"/>
      <c r="H705" s="2674"/>
      <c r="I705" s="2674"/>
      <c r="J705" s="2674"/>
      <c r="K705" s="2674"/>
      <c r="L705" s="2674"/>
      <c r="M705" s="2674"/>
      <c r="N705" s="2674"/>
      <c r="O705" s="2674"/>
      <c r="P705" s="2674"/>
      <c r="Q705" s="2674"/>
      <c r="R705" s="2674"/>
      <c r="S705" s="2674"/>
      <c r="T705" s="2674"/>
      <c r="U705" s="2674"/>
    </row>
    <row r="706" spans="1:21" ht="11.25" customHeight="1" x14ac:dyDescent="0.2">
      <c r="A706" s="2674"/>
      <c r="B706" s="2674"/>
      <c r="C706" s="2674"/>
      <c r="D706" s="2674"/>
      <c r="E706" s="2674"/>
      <c r="F706" s="2674"/>
      <c r="G706" s="2674"/>
      <c r="H706" s="2674"/>
      <c r="I706" s="2674"/>
      <c r="J706" s="2674"/>
      <c r="K706" s="2674"/>
      <c r="L706" s="2674"/>
      <c r="M706" s="2674"/>
      <c r="N706" s="2674"/>
      <c r="O706" s="2674"/>
      <c r="P706" s="2674"/>
      <c r="Q706" s="2674"/>
      <c r="R706" s="2674"/>
      <c r="S706" s="2674"/>
      <c r="T706" s="2674"/>
      <c r="U706" s="2674"/>
    </row>
    <row r="707" spans="1:21" ht="11.25" customHeight="1" x14ac:dyDescent="0.2">
      <c r="A707" s="2674"/>
      <c r="B707" s="2674"/>
      <c r="C707" s="2674"/>
      <c r="D707" s="2674"/>
      <c r="E707" s="2674"/>
      <c r="F707" s="2674"/>
      <c r="G707" s="2674"/>
      <c r="H707" s="2674"/>
      <c r="I707" s="2674"/>
      <c r="J707" s="2674"/>
      <c r="K707" s="2674"/>
      <c r="L707" s="2674"/>
      <c r="M707" s="2674"/>
      <c r="N707" s="2674"/>
      <c r="O707" s="2674"/>
      <c r="P707" s="2674"/>
      <c r="Q707" s="2674"/>
      <c r="R707" s="2674"/>
      <c r="S707" s="2674"/>
      <c r="T707" s="2674"/>
      <c r="U707" s="2674"/>
    </row>
    <row r="708" spans="1:21" ht="11.25" customHeight="1" x14ac:dyDescent="0.2">
      <c r="A708" s="2674"/>
      <c r="B708" s="2674"/>
      <c r="C708" s="2674"/>
      <c r="D708" s="2674"/>
      <c r="E708" s="2674"/>
      <c r="F708" s="2674"/>
      <c r="G708" s="2674"/>
      <c r="H708" s="2674"/>
      <c r="I708" s="2674"/>
      <c r="J708" s="2674"/>
      <c r="K708" s="2674"/>
      <c r="L708" s="2674"/>
      <c r="M708" s="2674"/>
      <c r="N708" s="2674"/>
      <c r="O708" s="2674"/>
      <c r="P708" s="2674"/>
      <c r="Q708" s="2674"/>
      <c r="R708" s="2674"/>
      <c r="S708" s="2674"/>
      <c r="T708" s="2674"/>
      <c r="U708" s="2674"/>
    </row>
    <row r="709" spans="1:21" ht="11.25" customHeight="1" x14ac:dyDescent="0.2">
      <c r="A709" s="2674"/>
      <c r="B709" s="2674"/>
      <c r="C709" s="2674"/>
      <c r="D709" s="2674"/>
      <c r="E709" s="2674"/>
      <c r="F709" s="2674"/>
      <c r="G709" s="2674"/>
      <c r="H709" s="2674"/>
      <c r="I709" s="2674"/>
      <c r="J709" s="2674"/>
      <c r="K709" s="2674"/>
      <c r="L709" s="2674"/>
      <c r="M709" s="2674"/>
      <c r="N709" s="2674"/>
      <c r="O709" s="2674"/>
      <c r="P709" s="2674"/>
      <c r="Q709" s="2674"/>
      <c r="R709" s="2674"/>
      <c r="S709" s="2674"/>
      <c r="T709" s="2674"/>
      <c r="U709" s="2674"/>
    </row>
    <row r="710" spans="1:21" ht="11.25" customHeight="1" x14ac:dyDescent="0.2">
      <c r="A710" s="2674"/>
      <c r="B710" s="2674"/>
      <c r="C710" s="2674"/>
      <c r="D710" s="2674"/>
      <c r="E710" s="2674"/>
      <c r="F710" s="2674"/>
      <c r="G710" s="2674"/>
      <c r="H710" s="2674"/>
      <c r="I710" s="2674"/>
      <c r="J710" s="2674"/>
      <c r="K710" s="2674"/>
      <c r="L710" s="2674"/>
      <c r="M710" s="2674"/>
      <c r="N710" s="2674"/>
      <c r="O710" s="2674"/>
      <c r="P710" s="2674"/>
      <c r="Q710" s="2674"/>
      <c r="R710" s="2674"/>
      <c r="S710" s="2674"/>
      <c r="T710" s="2674"/>
      <c r="U710" s="2674"/>
    </row>
    <row r="711" spans="1:21" ht="11.25" customHeight="1" x14ac:dyDescent="0.2">
      <c r="A711" s="2674"/>
      <c r="B711" s="2674"/>
      <c r="C711" s="2674"/>
      <c r="D711" s="2674"/>
      <c r="E711" s="2674"/>
      <c r="F711" s="2674"/>
      <c r="G711" s="2674"/>
      <c r="H711" s="2674"/>
      <c r="I711" s="2674"/>
      <c r="J711" s="2674"/>
      <c r="K711" s="2674"/>
      <c r="L711" s="2674"/>
      <c r="M711" s="2674"/>
      <c r="N711" s="2674"/>
      <c r="O711" s="2674"/>
      <c r="P711" s="2674"/>
      <c r="Q711" s="2674"/>
      <c r="R711" s="2674"/>
      <c r="S711" s="2674"/>
      <c r="T711" s="2674"/>
      <c r="U711" s="2674"/>
    </row>
    <row r="712" spans="1:21" ht="11.25" customHeight="1" x14ac:dyDescent="0.2">
      <c r="A712" s="2674"/>
      <c r="B712" s="2674"/>
      <c r="C712" s="2674"/>
      <c r="D712" s="2674"/>
      <c r="E712" s="2674"/>
      <c r="F712" s="2674"/>
      <c r="G712" s="2674"/>
      <c r="H712" s="2674"/>
      <c r="I712" s="2674"/>
      <c r="J712" s="2674"/>
      <c r="K712" s="2674"/>
      <c r="L712" s="2674"/>
      <c r="M712" s="2674"/>
      <c r="N712" s="2674"/>
      <c r="O712" s="2674"/>
      <c r="P712" s="2674"/>
      <c r="Q712" s="2674"/>
      <c r="R712" s="2674"/>
      <c r="S712" s="2674"/>
      <c r="T712" s="2674"/>
      <c r="U712" s="2674"/>
    </row>
    <row r="713" spans="1:21" ht="11.25" customHeight="1" x14ac:dyDescent="0.2">
      <c r="A713" s="2674"/>
      <c r="B713" s="2674"/>
      <c r="C713" s="2674"/>
      <c r="D713" s="2674"/>
      <c r="E713" s="2674"/>
      <c r="F713" s="2674"/>
      <c r="G713" s="2674"/>
      <c r="H713" s="2674"/>
      <c r="I713" s="2674"/>
      <c r="J713" s="2674"/>
      <c r="K713" s="2674"/>
      <c r="L713" s="2674"/>
      <c r="M713" s="2674"/>
      <c r="N713" s="2674"/>
      <c r="O713" s="2674"/>
      <c r="P713" s="2674"/>
      <c r="Q713" s="2674"/>
      <c r="R713" s="2674"/>
      <c r="S713" s="2674"/>
      <c r="T713" s="2674"/>
      <c r="U713" s="2674"/>
    </row>
    <row r="714" spans="1:21" ht="11.25" customHeight="1" x14ac:dyDescent="0.2">
      <c r="A714" s="2674"/>
      <c r="B714" s="2674"/>
      <c r="C714" s="2674"/>
      <c r="D714" s="2674"/>
      <c r="E714" s="2674"/>
      <c r="F714" s="2674"/>
      <c r="G714" s="2674"/>
      <c r="H714" s="2674"/>
      <c r="I714" s="2674"/>
      <c r="J714" s="2674"/>
      <c r="K714" s="2674"/>
      <c r="L714" s="2674"/>
      <c r="M714" s="2674"/>
      <c r="N714" s="2674"/>
      <c r="O714" s="2674"/>
      <c r="P714" s="2674"/>
      <c r="Q714" s="2674"/>
      <c r="R714" s="2674"/>
      <c r="S714" s="2674"/>
      <c r="T714" s="2674"/>
      <c r="U714" s="2674"/>
    </row>
    <row r="715" spans="1:21" ht="11.25" customHeight="1" x14ac:dyDescent="0.2">
      <c r="A715" s="2674"/>
      <c r="B715" s="2674"/>
      <c r="C715" s="2674"/>
      <c r="D715" s="2674"/>
      <c r="E715" s="2674"/>
      <c r="F715" s="2674"/>
      <c r="G715" s="2674"/>
      <c r="H715" s="2674"/>
      <c r="I715" s="2674"/>
      <c r="J715" s="2674"/>
      <c r="K715" s="2674"/>
      <c r="L715" s="2674"/>
      <c r="M715" s="2674"/>
      <c r="N715" s="2674"/>
      <c r="O715" s="2674"/>
      <c r="P715" s="2674"/>
      <c r="Q715" s="2674"/>
      <c r="R715" s="2674"/>
      <c r="S715" s="2674"/>
      <c r="T715" s="2674"/>
      <c r="U715" s="2674"/>
    </row>
    <row r="716" spans="1:21" ht="11.25" customHeight="1" x14ac:dyDescent="0.2">
      <c r="A716" s="2674"/>
      <c r="B716" s="2674"/>
      <c r="C716" s="2674"/>
      <c r="D716" s="2674"/>
      <c r="E716" s="2674"/>
      <c r="F716" s="2674"/>
      <c r="G716" s="2674"/>
      <c r="H716" s="2674"/>
      <c r="I716" s="2674"/>
      <c r="J716" s="2674"/>
      <c r="K716" s="2674"/>
      <c r="L716" s="2674"/>
      <c r="M716" s="2674"/>
      <c r="N716" s="2674"/>
      <c r="O716" s="2674"/>
      <c r="P716" s="2674"/>
      <c r="Q716" s="2674"/>
      <c r="R716" s="2674"/>
      <c r="S716" s="2674"/>
      <c r="T716" s="2674"/>
      <c r="U716" s="2674"/>
    </row>
    <row r="717" spans="1:21" ht="11.25" customHeight="1" x14ac:dyDescent="0.2">
      <c r="A717" s="2674"/>
      <c r="B717" s="2674"/>
      <c r="C717" s="2674"/>
      <c r="D717" s="2674"/>
      <c r="E717" s="2674"/>
      <c r="F717" s="2674"/>
      <c r="G717" s="2674"/>
      <c r="H717" s="2674"/>
      <c r="I717" s="2674"/>
      <c r="J717" s="2674"/>
      <c r="K717" s="2674"/>
      <c r="L717" s="2674"/>
      <c r="M717" s="2674"/>
      <c r="N717" s="2674"/>
      <c r="O717" s="2674"/>
      <c r="P717" s="2674"/>
      <c r="Q717" s="2674"/>
      <c r="R717" s="2674"/>
      <c r="S717" s="2674"/>
      <c r="T717" s="2674"/>
      <c r="U717" s="2674"/>
    </row>
    <row r="718" spans="1:21" ht="11.25" customHeight="1" x14ac:dyDescent="0.2">
      <c r="A718" s="2674"/>
      <c r="B718" s="2674"/>
      <c r="C718" s="2674"/>
      <c r="D718" s="2674"/>
      <c r="E718" s="2674"/>
      <c r="F718" s="2674"/>
      <c r="G718" s="2674"/>
      <c r="H718" s="2674"/>
      <c r="I718" s="2674"/>
      <c r="J718" s="2674"/>
      <c r="K718" s="2674"/>
      <c r="L718" s="2674"/>
      <c r="M718" s="2674"/>
      <c r="N718" s="2674"/>
      <c r="O718" s="2674"/>
      <c r="P718" s="2674"/>
      <c r="Q718" s="2674"/>
      <c r="R718" s="2674"/>
      <c r="S718" s="2674"/>
      <c r="T718" s="2674"/>
      <c r="U718" s="2674"/>
    </row>
    <row r="719" spans="1:21" ht="11.25" customHeight="1" x14ac:dyDescent="0.2">
      <c r="A719" s="2674"/>
      <c r="B719" s="2674"/>
      <c r="C719" s="2674"/>
      <c r="D719" s="2674"/>
      <c r="E719" s="2674"/>
      <c r="F719" s="2674"/>
      <c r="G719" s="2674"/>
      <c r="H719" s="2674"/>
      <c r="I719" s="2674"/>
      <c r="J719" s="2674"/>
      <c r="K719" s="2674"/>
      <c r="L719" s="2674"/>
      <c r="M719" s="2674"/>
      <c r="N719" s="2674"/>
      <c r="O719" s="2674"/>
      <c r="P719" s="2674"/>
      <c r="Q719" s="2674"/>
      <c r="R719" s="2674"/>
      <c r="S719" s="2674"/>
      <c r="T719" s="2674"/>
      <c r="U719" s="2674"/>
    </row>
    <row r="720" spans="1:21" ht="11.25" customHeight="1" x14ac:dyDescent="0.2">
      <c r="A720" s="2674"/>
      <c r="B720" s="2674"/>
      <c r="C720" s="2674"/>
      <c r="D720" s="2674"/>
      <c r="E720" s="2674"/>
      <c r="F720" s="2674"/>
      <c r="G720" s="2674"/>
      <c r="H720" s="2674"/>
      <c r="I720" s="2674"/>
      <c r="J720" s="2674"/>
      <c r="K720" s="2674"/>
      <c r="L720" s="2674"/>
      <c r="M720" s="2674"/>
      <c r="N720" s="2674"/>
      <c r="O720" s="2674"/>
      <c r="P720" s="2674"/>
      <c r="Q720" s="2674"/>
      <c r="R720" s="2674"/>
      <c r="S720" s="2674"/>
      <c r="T720" s="2674"/>
      <c r="U720" s="2674"/>
    </row>
    <row r="721" spans="1:21" ht="11.25" customHeight="1" x14ac:dyDescent="0.2">
      <c r="A721" s="2674"/>
      <c r="B721" s="2674"/>
      <c r="C721" s="2674"/>
      <c r="D721" s="2674"/>
      <c r="E721" s="2674"/>
      <c r="F721" s="2674"/>
      <c r="G721" s="2674"/>
      <c r="H721" s="2674"/>
      <c r="I721" s="2674"/>
      <c r="J721" s="2674"/>
      <c r="K721" s="2674"/>
      <c r="L721" s="2674"/>
      <c r="M721" s="2674"/>
      <c r="N721" s="2674"/>
      <c r="O721" s="2674"/>
      <c r="P721" s="2674"/>
      <c r="Q721" s="2674"/>
      <c r="R721" s="2674"/>
      <c r="S721" s="2674"/>
      <c r="T721" s="2674"/>
      <c r="U721" s="2674"/>
    </row>
    <row r="722" spans="1:21" ht="11.25" customHeight="1" x14ac:dyDescent="0.2">
      <c r="A722" s="2674"/>
      <c r="B722" s="2674"/>
      <c r="C722" s="2674"/>
      <c r="D722" s="2674"/>
      <c r="E722" s="2674"/>
      <c r="F722" s="2674"/>
      <c r="G722" s="2674"/>
      <c r="H722" s="2674"/>
      <c r="I722" s="2674"/>
      <c r="J722" s="2674"/>
      <c r="K722" s="2674"/>
      <c r="L722" s="2674"/>
      <c r="M722" s="2674"/>
      <c r="N722" s="2674"/>
      <c r="O722" s="2674"/>
      <c r="P722" s="2674"/>
      <c r="Q722" s="2674"/>
      <c r="R722" s="2674"/>
      <c r="S722" s="2674"/>
      <c r="T722" s="2674"/>
      <c r="U722" s="2674"/>
    </row>
    <row r="723" spans="1:21" ht="11.25" customHeight="1" x14ac:dyDescent="0.2">
      <c r="A723" s="2674"/>
      <c r="B723" s="2674"/>
      <c r="C723" s="2674"/>
      <c r="D723" s="2674"/>
      <c r="E723" s="2674"/>
      <c r="F723" s="2674"/>
      <c r="G723" s="2674"/>
      <c r="H723" s="2674"/>
      <c r="I723" s="2674"/>
      <c r="J723" s="2674"/>
      <c r="K723" s="2674"/>
      <c r="L723" s="2674"/>
      <c r="M723" s="2674"/>
      <c r="N723" s="2674"/>
      <c r="O723" s="2674"/>
      <c r="P723" s="2674"/>
      <c r="Q723" s="2674"/>
      <c r="R723" s="2674"/>
      <c r="S723" s="2674"/>
      <c r="T723" s="2674"/>
      <c r="U723" s="2674"/>
    </row>
    <row r="724" spans="1:21" ht="11.25" customHeight="1" x14ac:dyDescent="0.2">
      <c r="A724" s="2674"/>
      <c r="B724" s="2674"/>
      <c r="C724" s="2674"/>
      <c r="D724" s="2674"/>
      <c r="E724" s="2674"/>
      <c r="F724" s="2674"/>
      <c r="G724" s="2674"/>
      <c r="H724" s="2674"/>
      <c r="I724" s="2674"/>
      <c r="J724" s="2674"/>
      <c r="K724" s="2674"/>
      <c r="L724" s="2674"/>
      <c r="M724" s="2674"/>
      <c r="N724" s="2674"/>
      <c r="O724" s="2674"/>
      <c r="P724" s="2674"/>
      <c r="Q724" s="2674"/>
      <c r="R724" s="2674"/>
      <c r="S724" s="2674"/>
      <c r="T724" s="2674"/>
      <c r="U724" s="2674"/>
    </row>
    <row r="725" spans="1:21" ht="11.25" customHeight="1" x14ac:dyDescent="0.2">
      <c r="A725" s="2674"/>
      <c r="B725" s="2674"/>
      <c r="C725" s="2674"/>
      <c r="D725" s="2674"/>
      <c r="E725" s="2674"/>
      <c r="F725" s="2674"/>
      <c r="G725" s="2674"/>
      <c r="H725" s="2674"/>
      <c r="I725" s="2674"/>
      <c r="J725" s="2674"/>
      <c r="K725" s="2674"/>
      <c r="L725" s="2674"/>
      <c r="M725" s="2674"/>
      <c r="N725" s="2674"/>
      <c r="O725" s="2674"/>
      <c r="P725" s="2674"/>
      <c r="Q725" s="2674"/>
      <c r="R725" s="2674"/>
      <c r="S725" s="2674"/>
      <c r="T725" s="2674"/>
      <c r="U725" s="2674"/>
    </row>
    <row r="726" spans="1:21" ht="11.25" customHeight="1" x14ac:dyDescent="0.2">
      <c r="A726" s="2674"/>
      <c r="B726" s="2674"/>
      <c r="C726" s="2674"/>
      <c r="D726" s="2674"/>
      <c r="E726" s="2674"/>
      <c r="F726" s="2674"/>
      <c r="G726" s="2674"/>
      <c r="H726" s="2674"/>
      <c r="I726" s="2674"/>
      <c r="J726" s="2674"/>
      <c r="K726" s="2674"/>
      <c r="L726" s="2674"/>
      <c r="M726" s="2674"/>
      <c r="N726" s="2674"/>
      <c r="O726" s="2674"/>
      <c r="P726" s="2674"/>
      <c r="Q726" s="2674"/>
      <c r="R726" s="2674"/>
      <c r="S726" s="2674"/>
      <c r="T726" s="2674"/>
      <c r="U726" s="2674"/>
    </row>
    <row r="727" spans="1:21" ht="11.25" customHeight="1" x14ac:dyDescent="0.2">
      <c r="A727" s="2674"/>
      <c r="B727" s="2674"/>
      <c r="C727" s="2674"/>
      <c r="D727" s="2674"/>
      <c r="E727" s="2674"/>
      <c r="F727" s="2674"/>
      <c r="G727" s="2674"/>
      <c r="H727" s="2674"/>
      <c r="I727" s="2674"/>
      <c r="J727" s="2674"/>
      <c r="K727" s="2674"/>
      <c r="L727" s="2674"/>
      <c r="M727" s="2674"/>
      <c r="N727" s="2674"/>
      <c r="O727" s="2674"/>
      <c r="P727" s="2674"/>
      <c r="Q727" s="2674"/>
      <c r="R727" s="2674"/>
      <c r="S727" s="2674"/>
      <c r="T727" s="2674"/>
      <c r="U727" s="2674"/>
    </row>
    <row r="728" spans="1:21" ht="11.25" customHeight="1" x14ac:dyDescent="0.2">
      <c r="A728" s="2674"/>
      <c r="B728" s="2674"/>
      <c r="C728" s="2674"/>
      <c r="D728" s="2674"/>
      <c r="E728" s="2674"/>
      <c r="F728" s="2674"/>
      <c r="G728" s="2674"/>
      <c r="H728" s="2674"/>
      <c r="I728" s="2674"/>
      <c r="J728" s="2674"/>
      <c r="K728" s="2674"/>
      <c r="L728" s="2674"/>
      <c r="M728" s="2674"/>
      <c r="N728" s="2674"/>
      <c r="O728" s="2674"/>
      <c r="P728" s="2674"/>
      <c r="Q728" s="2674"/>
      <c r="R728" s="2674"/>
      <c r="S728" s="2674"/>
      <c r="T728" s="2674"/>
      <c r="U728" s="2674"/>
    </row>
    <row r="729" spans="1:21" ht="11.25" customHeight="1" x14ac:dyDescent="0.2">
      <c r="A729" s="2674"/>
      <c r="B729" s="2674"/>
      <c r="C729" s="2674"/>
      <c r="D729" s="2674"/>
      <c r="E729" s="2674"/>
      <c r="F729" s="2674"/>
      <c r="G729" s="2674"/>
      <c r="H729" s="2674"/>
      <c r="I729" s="2674"/>
      <c r="J729" s="2674"/>
      <c r="K729" s="2674"/>
      <c r="L729" s="2674"/>
      <c r="M729" s="2674"/>
      <c r="N729" s="2674"/>
      <c r="O729" s="2674"/>
      <c r="P729" s="2674"/>
      <c r="Q729" s="2674"/>
      <c r="R729" s="2674"/>
      <c r="S729" s="2674"/>
      <c r="T729" s="2674"/>
      <c r="U729" s="2674"/>
    </row>
    <row r="730" spans="1:21" ht="11.25" customHeight="1" x14ac:dyDescent="0.2">
      <c r="A730" s="2674"/>
      <c r="B730" s="2674"/>
      <c r="C730" s="2674"/>
      <c r="D730" s="2674"/>
      <c r="E730" s="2674"/>
      <c r="F730" s="2674"/>
      <c r="G730" s="2674"/>
      <c r="H730" s="2674"/>
      <c r="I730" s="2674"/>
      <c r="J730" s="2674"/>
      <c r="K730" s="2674"/>
      <c r="L730" s="2674"/>
      <c r="M730" s="2674"/>
      <c r="N730" s="2674"/>
      <c r="O730" s="2674"/>
      <c r="P730" s="2674"/>
      <c r="Q730" s="2674"/>
      <c r="R730" s="2674"/>
      <c r="S730" s="2674"/>
      <c r="T730" s="2674"/>
      <c r="U730" s="2674"/>
    </row>
    <row r="731" spans="1:21" ht="11.25" customHeight="1" x14ac:dyDescent="0.2">
      <c r="A731" s="2674"/>
      <c r="B731" s="2674"/>
      <c r="C731" s="2674"/>
      <c r="D731" s="2674"/>
      <c r="E731" s="2674"/>
      <c r="F731" s="2674"/>
      <c r="G731" s="2674"/>
      <c r="H731" s="2674"/>
      <c r="I731" s="2674"/>
      <c r="J731" s="2674"/>
      <c r="K731" s="2674"/>
      <c r="L731" s="2674"/>
      <c r="M731" s="2674"/>
      <c r="N731" s="2674"/>
      <c r="O731" s="2674"/>
      <c r="P731" s="2674"/>
      <c r="Q731" s="2674"/>
      <c r="R731" s="2674"/>
      <c r="S731" s="2674"/>
      <c r="T731" s="2674"/>
      <c r="U731" s="2674"/>
    </row>
    <row r="732" spans="1:21" ht="11.25" customHeight="1" x14ac:dyDescent="0.2">
      <c r="A732" s="2674"/>
      <c r="B732" s="2674"/>
      <c r="C732" s="2674"/>
      <c r="D732" s="2674"/>
      <c r="E732" s="2674"/>
      <c r="F732" s="2674"/>
      <c r="G732" s="2674"/>
      <c r="H732" s="2674"/>
      <c r="I732" s="2674"/>
      <c r="J732" s="2674"/>
      <c r="K732" s="2674"/>
      <c r="L732" s="2674"/>
      <c r="M732" s="2674"/>
      <c r="N732" s="2674"/>
      <c r="O732" s="2674"/>
      <c r="P732" s="2674"/>
      <c r="Q732" s="2674"/>
      <c r="R732" s="2674"/>
      <c r="S732" s="2674"/>
      <c r="T732" s="2674"/>
      <c r="U732" s="2674"/>
    </row>
    <row r="733" spans="1:21" ht="11.25" customHeight="1" x14ac:dyDescent="0.2">
      <c r="A733" s="2674"/>
      <c r="B733" s="2674"/>
      <c r="C733" s="2674"/>
      <c r="D733" s="2674"/>
      <c r="E733" s="2674"/>
      <c r="F733" s="2674"/>
      <c r="G733" s="2674"/>
      <c r="H733" s="2674"/>
      <c r="I733" s="2674"/>
      <c r="J733" s="2674"/>
      <c r="K733" s="2674"/>
      <c r="L733" s="2674"/>
      <c r="M733" s="2674"/>
      <c r="N733" s="2674"/>
      <c r="O733" s="2674"/>
      <c r="P733" s="2674"/>
      <c r="Q733" s="2674"/>
      <c r="R733" s="2674"/>
      <c r="S733" s="2674"/>
      <c r="T733" s="2674"/>
      <c r="U733" s="2674"/>
    </row>
    <row r="734" spans="1:21" ht="11.25" customHeight="1" x14ac:dyDescent="0.2">
      <c r="A734" s="2674"/>
      <c r="B734" s="2674"/>
      <c r="C734" s="2674"/>
      <c r="D734" s="2674"/>
      <c r="E734" s="2674"/>
      <c r="F734" s="2674"/>
      <c r="G734" s="2674"/>
      <c r="H734" s="2674"/>
      <c r="I734" s="2674"/>
      <c r="J734" s="2674"/>
      <c r="K734" s="2674"/>
      <c r="L734" s="2674"/>
      <c r="M734" s="2674"/>
      <c r="N734" s="2674"/>
      <c r="O734" s="2674"/>
      <c r="P734" s="2674"/>
      <c r="Q734" s="2674"/>
      <c r="R734" s="2674"/>
      <c r="S734" s="2674"/>
      <c r="T734" s="2674"/>
      <c r="U734" s="2674"/>
    </row>
    <row r="735" spans="1:21" ht="11.25" customHeight="1" x14ac:dyDescent="0.2">
      <c r="A735" s="2674"/>
      <c r="B735" s="2674"/>
      <c r="C735" s="2674"/>
      <c r="D735" s="2674"/>
      <c r="E735" s="2674"/>
      <c r="F735" s="2674"/>
      <c r="G735" s="2674"/>
      <c r="H735" s="2674"/>
      <c r="I735" s="2674"/>
      <c r="J735" s="2674"/>
      <c r="K735" s="2674"/>
      <c r="L735" s="2674"/>
      <c r="M735" s="2674"/>
      <c r="N735" s="2674"/>
      <c r="O735" s="2674"/>
      <c r="P735" s="2674"/>
      <c r="Q735" s="2674"/>
      <c r="R735" s="2674"/>
      <c r="S735" s="2674"/>
      <c r="T735" s="2674"/>
      <c r="U735" s="2674"/>
    </row>
    <row r="736" spans="1:21" ht="11.25" customHeight="1" x14ac:dyDescent="0.2">
      <c r="A736" s="2674"/>
      <c r="B736" s="2674"/>
      <c r="C736" s="2674"/>
      <c r="D736" s="2674"/>
      <c r="E736" s="2674"/>
      <c r="F736" s="2674"/>
      <c r="G736" s="2674"/>
      <c r="H736" s="2674"/>
      <c r="I736" s="2674"/>
      <c r="J736" s="2674"/>
      <c r="K736" s="2674"/>
      <c r="L736" s="2674"/>
      <c r="M736" s="2674"/>
      <c r="N736" s="2674"/>
      <c r="O736" s="2674"/>
      <c r="P736" s="2674"/>
      <c r="Q736" s="2674"/>
      <c r="R736" s="2674"/>
      <c r="S736" s="2674"/>
      <c r="T736" s="2674"/>
      <c r="U736" s="2674"/>
    </row>
    <row r="737" spans="1:21" ht="11.25" customHeight="1" x14ac:dyDescent="0.2">
      <c r="A737" s="2674"/>
      <c r="B737" s="2674"/>
      <c r="C737" s="2674"/>
      <c r="D737" s="2674"/>
      <c r="E737" s="2674"/>
      <c r="F737" s="2674"/>
      <c r="G737" s="2674"/>
      <c r="H737" s="2674"/>
      <c r="I737" s="2674"/>
      <c r="J737" s="2674"/>
      <c r="K737" s="2674"/>
      <c r="L737" s="2674"/>
      <c r="M737" s="2674"/>
      <c r="N737" s="2674"/>
      <c r="O737" s="2674"/>
      <c r="P737" s="2674"/>
      <c r="Q737" s="2674"/>
      <c r="R737" s="2674"/>
      <c r="S737" s="2674"/>
      <c r="T737" s="2674"/>
      <c r="U737" s="2674"/>
    </row>
    <row r="738" spans="1:21" ht="11.25" customHeight="1" x14ac:dyDescent="0.2">
      <c r="A738" s="2674"/>
      <c r="B738" s="2674"/>
      <c r="C738" s="2674"/>
      <c r="D738" s="2674"/>
      <c r="E738" s="2674"/>
      <c r="F738" s="2674"/>
      <c r="G738" s="2674"/>
      <c r="H738" s="2674"/>
      <c r="I738" s="2674"/>
      <c r="J738" s="2674"/>
      <c r="K738" s="2674"/>
      <c r="L738" s="2674"/>
      <c r="M738" s="2674"/>
      <c r="N738" s="2674"/>
      <c r="O738" s="2674"/>
      <c r="P738" s="2674"/>
      <c r="Q738" s="2674"/>
      <c r="R738" s="2674"/>
      <c r="S738" s="2674"/>
      <c r="T738" s="2674"/>
      <c r="U738" s="2674"/>
    </row>
    <row r="739" spans="1:21" ht="11.25" customHeight="1" x14ac:dyDescent="0.2">
      <c r="A739" s="2674"/>
      <c r="B739" s="2674"/>
      <c r="C739" s="2674"/>
      <c r="D739" s="2674"/>
      <c r="E739" s="2674"/>
      <c r="F739" s="2674"/>
      <c r="G739" s="2674"/>
      <c r="H739" s="2674"/>
      <c r="I739" s="2674"/>
      <c r="J739" s="2674"/>
      <c r="K739" s="2674"/>
      <c r="L739" s="2674"/>
      <c r="M739" s="2674"/>
      <c r="N739" s="2674"/>
      <c r="O739" s="2674"/>
      <c r="P739" s="2674"/>
      <c r="Q739" s="2674"/>
      <c r="R739" s="2674"/>
      <c r="S739" s="2674"/>
      <c r="T739" s="2674"/>
      <c r="U739" s="2674"/>
    </row>
    <row r="740" spans="1:21" ht="11.25" customHeight="1" x14ac:dyDescent="0.2">
      <c r="A740" s="2674"/>
      <c r="B740" s="2674"/>
      <c r="C740" s="2674"/>
      <c r="D740" s="2674"/>
      <c r="E740" s="2674"/>
      <c r="F740" s="2674"/>
      <c r="G740" s="2674"/>
      <c r="H740" s="2674"/>
      <c r="I740" s="2674"/>
      <c r="J740" s="2674"/>
      <c r="K740" s="2674"/>
      <c r="L740" s="2674"/>
      <c r="M740" s="2674"/>
      <c r="N740" s="2674"/>
      <c r="O740" s="2674"/>
      <c r="P740" s="2674"/>
      <c r="Q740" s="2674"/>
      <c r="R740" s="2674"/>
      <c r="S740" s="2674"/>
      <c r="T740" s="2674"/>
      <c r="U740" s="2674"/>
    </row>
    <row r="741" spans="1:21" ht="11.25" customHeight="1" x14ac:dyDescent="0.2">
      <c r="A741" s="2674"/>
      <c r="B741" s="2674"/>
      <c r="C741" s="2674"/>
      <c r="D741" s="2674"/>
      <c r="E741" s="2674"/>
      <c r="F741" s="2674"/>
      <c r="G741" s="2674"/>
      <c r="H741" s="2674"/>
      <c r="I741" s="2674"/>
      <c r="J741" s="2674"/>
      <c r="K741" s="2674"/>
      <c r="L741" s="2674"/>
      <c r="M741" s="2674"/>
      <c r="N741" s="2674"/>
      <c r="O741" s="2674"/>
      <c r="P741" s="2674"/>
      <c r="Q741" s="2674"/>
      <c r="R741" s="2674"/>
      <c r="S741" s="2674"/>
      <c r="T741" s="2674"/>
      <c r="U741" s="2674"/>
    </row>
    <row r="742" spans="1:21" ht="11.25" customHeight="1" x14ac:dyDescent="0.2">
      <c r="A742" s="2674"/>
      <c r="B742" s="2674"/>
      <c r="C742" s="2674"/>
      <c r="D742" s="2674"/>
      <c r="E742" s="2674"/>
      <c r="F742" s="2674"/>
      <c r="G742" s="2674"/>
      <c r="H742" s="2674"/>
      <c r="I742" s="2674"/>
      <c r="J742" s="2674"/>
      <c r="K742" s="2674"/>
      <c r="L742" s="2674"/>
      <c r="M742" s="2674"/>
      <c r="N742" s="2674"/>
      <c r="O742" s="2674"/>
      <c r="P742" s="2674"/>
      <c r="Q742" s="2674"/>
      <c r="R742" s="2674"/>
      <c r="S742" s="2674"/>
      <c r="T742" s="2674"/>
      <c r="U742" s="2674"/>
    </row>
    <row r="743" spans="1:21" ht="11.25" customHeight="1" x14ac:dyDescent="0.2">
      <c r="A743" s="2674"/>
      <c r="B743" s="2674"/>
      <c r="C743" s="2674"/>
      <c r="D743" s="2674"/>
      <c r="E743" s="2674"/>
      <c r="F743" s="2674"/>
      <c r="G743" s="2674"/>
      <c r="H743" s="2674"/>
      <c r="I743" s="2674"/>
      <c r="J743" s="2674"/>
      <c r="K743" s="2674"/>
      <c r="L743" s="2674"/>
      <c r="M743" s="2674"/>
      <c r="N743" s="2674"/>
      <c r="O743" s="2674"/>
      <c r="P743" s="2674"/>
      <c r="Q743" s="2674"/>
      <c r="R743" s="2674"/>
      <c r="S743" s="2674"/>
      <c r="T743" s="2674"/>
      <c r="U743" s="2674"/>
    </row>
    <row r="744" spans="1:21" ht="11.25" customHeight="1" x14ac:dyDescent="0.2">
      <c r="A744" s="2674"/>
      <c r="B744" s="2674"/>
      <c r="C744" s="2674"/>
      <c r="D744" s="2674"/>
      <c r="E744" s="2674"/>
      <c r="F744" s="2674"/>
      <c r="G744" s="2674"/>
      <c r="H744" s="2674"/>
      <c r="I744" s="2674"/>
      <c r="J744" s="2674"/>
      <c r="K744" s="2674"/>
      <c r="L744" s="2674"/>
      <c r="M744" s="2674"/>
      <c r="N744" s="2674"/>
      <c r="O744" s="2674"/>
      <c r="P744" s="2674"/>
      <c r="Q744" s="2674"/>
      <c r="R744" s="2674"/>
      <c r="S744" s="2674"/>
      <c r="T744" s="2674"/>
      <c r="U744" s="2674"/>
    </row>
    <row r="745" spans="1:21" ht="11.25" customHeight="1" x14ac:dyDescent="0.2">
      <c r="A745" s="2674"/>
      <c r="B745" s="2674"/>
      <c r="C745" s="2674"/>
      <c r="D745" s="2674"/>
      <c r="E745" s="2674"/>
      <c r="F745" s="2674"/>
      <c r="G745" s="2674"/>
      <c r="H745" s="2674"/>
      <c r="I745" s="2674"/>
      <c r="J745" s="2674"/>
      <c r="K745" s="2674"/>
      <c r="L745" s="2674"/>
      <c r="M745" s="2674"/>
      <c r="N745" s="2674"/>
      <c r="O745" s="2674"/>
      <c r="P745" s="2674"/>
      <c r="Q745" s="2674"/>
      <c r="R745" s="2674"/>
      <c r="S745" s="2674"/>
      <c r="T745" s="2674"/>
      <c r="U745" s="2674"/>
    </row>
    <row r="746" spans="1:21" ht="11.25" customHeight="1" x14ac:dyDescent="0.2">
      <c r="A746" s="2674"/>
      <c r="B746" s="2674"/>
      <c r="C746" s="2674"/>
      <c r="D746" s="2674"/>
      <c r="E746" s="2674"/>
      <c r="F746" s="2674"/>
      <c r="G746" s="2674"/>
      <c r="H746" s="2674"/>
      <c r="I746" s="2674"/>
      <c r="J746" s="2674"/>
      <c r="K746" s="2674"/>
      <c r="L746" s="2674"/>
      <c r="M746" s="2674"/>
      <c r="N746" s="2674"/>
      <c r="O746" s="2674"/>
      <c r="P746" s="2674"/>
      <c r="Q746" s="2674"/>
      <c r="R746" s="2674"/>
      <c r="S746" s="2674"/>
      <c r="T746" s="2674"/>
      <c r="U746" s="2674"/>
    </row>
    <row r="747" spans="1:21" ht="11.25" customHeight="1" x14ac:dyDescent="0.2">
      <c r="A747" s="2674"/>
      <c r="B747" s="2674"/>
      <c r="C747" s="2674"/>
      <c r="D747" s="2674"/>
      <c r="E747" s="2674"/>
      <c r="F747" s="2674"/>
      <c r="G747" s="2674"/>
      <c r="H747" s="2674"/>
      <c r="I747" s="2674"/>
      <c r="J747" s="2674"/>
      <c r="K747" s="2674"/>
      <c r="L747" s="2674"/>
      <c r="M747" s="2674"/>
      <c r="N747" s="2674"/>
      <c r="O747" s="2674"/>
      <c r="P747" s="2674"/>
      <c r="Q747" s="2674"/>
      <c r="R747" s="2674"/>
      <c r="S747" s="2674"/>
      <c r="T747" s="2674"/>
      <c r="U747" s="2674"/>
    </row>
    <row r="748" spans="1:21" ht="11.25" customHeight="1" x14ac:dyDescent="0.2">
      <c r="A748" s="2674"/>
      <c r="B748" s="2674"/>
      <c r="C748" s="2674"/>
      <c r="D748" s="2674"/>
      <c r="E748" s="2674"/>
      <c r="F748" s="2674"/>
      <c r="G748" s="2674"/>
      <c r="H748" s="2674"/>
      <c r="I748" s="2674"/>
      <c r="J748" s="2674"/>
      <c r="K748" s="2674"/>
      <c r="L748" s="2674"/>
      <c r="M748" s="2674"/>
      <c r="N748" s="2674"/>
      <c r="O748" s="2674"/>
      <c r="P748" s="2674"/>
      <c r="Q748" s="2674"/>
      <c r="R748" s="2674"/>
      <c r="S748" s="2674"/>
      <c r="T748" s="2674"/>
      <c r="U748" s="2674"/>
    </row>
    <row r="749" spans="1:21" ht="11.25" customHeight="1" x14ac:dyDescent="0.2">
      <c r="A749" s="2674"/>
      <c r="B749" s="2674"/>
      <c r="C749" s="2674"/>
      <c r="D749" s="2674"/>
      <c r="E749" s="2674"/>
      <c r="F749" s="2674"/>
      <c r="G749" s="2674"/>
      <c r="H749" s="2674"/>
      <c r="I749" s="2674"/>
      <c r="J749" s="2674"/>
      <c r="K749" s="2674"/>
      <c r="L749" s="2674"/>
      <c r="M749" s="2674"/>
      <c r="N749" s="2674"/>
      <c r="O749" s="2674"/>
      <c r="P749" s="2674"/>
      <c r="Q749" s="2674"/>
      <c r="R749" s="2674"/>
      <c r="S749" s="2674"/>
      <c r="T749" s="2674"/>
      <c r="U749" s="2674"/>
    </row>
    <row r="750" spans="1:21" ht="11.25" customHeight="1" x14ac:dyDescent="0.2">
      <c r="A750" s="2674"/>
      <c r="B750" s="2674"/>
      <c r="C750" s="2674"/>
      <c r="D750" s="2674"/>
      <c r="E750" s="2674"/>
      <c r="F750" s="2674"/>
      <c r="G750" s="2674"/>
      <c r="H750" s="2674"/>
      <c r="I750" s="2674"/>
      <c r="J750" s="2674"/>
      <c r="K750" s="2674"/>
      <c r="L750" s="2674"/>
      <c r="M750" s="2674"/>
      <c r="N750" s="2674"/>
      <c r="O750" s="2674"/>
      <c r="P750" s="2674"/>
      <c r="Q750" s="2674"/>
      <c r="R750" s="2674"/>
      <c r="S750" s="2674"/>
      <c r="T750" s="2674"/>
      <c r="U750" s="2674"/>
    </row>
    <row r="751" spans="1:21" ht="11.25" customHeight="1" x14ac:dyDescent="0.2">
      <c r="A751" s="2674"/>
      <c r="B751" s="2674"/>
      <c r="C751" s="2674"/>
      <c r="D751" s="2674"/>
      <c r="E751" s="2674"/>
      <c r="F751" s="2674"/>
      <c r="G751" s="2674"/>
      <c r="H751" s="2674"/>
      <c r="I751" s="2674"/>
      <c r="J751" s="2674"/>
      <c r="K751" s="2674"/>
      <c r="L751" s="2674"/>
      <c r="M751" s="2674"/>
      <c r="N751" s="2674"/>
      <c r="O751" s="2674"/>
      <c r="P751" s="2674"/>
      <c r="Q751" s="2674"/>
      <c r="R751" s="2674"/>
      <c r="S751" s="2674"/>
      <c r="T751" s="2674"/>
      <c r="U751" s="2674"/>
    </row>
    <row r="752" spans="1:21" ht="11.25" customHeight="1" x14ac:dyDescent="0.2">
      <c r="A752" s="2674"/>
      <c r="B752" s="2674"/>
      <c r="C752" s="2674"/>
      <c r="D752" s="2674"/>
      <c r="E752" s="2674"/>
      <c r="F752" s="2674"/>
      <c r="G752" s="2674"/>
      <c r="H752" s="2674"/>
      <c r="I752" s="2674"/>
      <c r="J752" s="2674"/>
      <c r="K752" s="2674"/>
      <c r="L752" s="2674"/>
      <c r="M752" s="2674"/>
      <c r="N752" s="2674"/>
      <c r="O752" s="2674"/>
      <c r="P752" s="2674"/>
      <c r="Q752" s="2674"/>
      <c r="R752" s="2674"/>
      <c r="S752" s="2674"/>
      <c r="T752" s="2674"/>
      <c r="U752" s="2674"/>
    </row>
    <row r="753" spans="1:21" ht="11.25" customHeight="1" x14ac:dyDescent="0.2">
      <c r="A753" s="2674"/>
      <c r="B753" s="2674"/>
      <c r="C753" s="2674"/>
      <c r="D753" s="2674"/>
      <c r="E753" s="2674"/>
      <c r="F753" s="2674"/>
      <c r="G753" s="2674"/>
      <c r="H753" s="2674"/>
      <c r="I753" s="2674"/>
      <c r="J753" s="2674"/>
      <c r="K753" s="2674"/>
      <c r="L753" s="2674"/>
      <c r="M753" s="2674"/>
      <c r="N753" s="2674"/>
      <c r="O753" s="2674"/>
      <c r="P753" s="2674"/>
      <c r="Q753" s="2674"/>
      <c r="R753" s="2674"/>
      <c r="S753" s="2674"/>
      <c r="T753" s="2674"/>
      <c r="U753" s="2674"/>
    </row>
    <row r="754" spans="1:21" ht="11.25" customHeight="1" x14ac:dyDescent="0.2">
      <c r="A754" s="2674"/>
      <c r="B754" s="2674"/>
      <c r="C754" s="2674"/>
      <c r="D754" s="2674"/>
      <c r="E754" s="2674"/>
      <c r="F754" s="2674"/>
      <c r="G754" s="2674"/>
      <c r="H754" s="2674"/>
      <c r="I754" s="2674"/>
      <c r="J754" s="2674"/>
      <c r="K754" s="2674"/>
      <c r="L754" s="2674"/>
      <c r="M754" s="2674"/>
      <c r="N754" s="2674"/>
      <c r="O754" s="2674"/>
      <c r="P754" s="2674"/>
      <c r="Q754" s="2674"/>
      <c r="R754" s="2674"/>
      <c r="S754" s="2674"/>
      <c r="T754" s="2674"/>
      <c r="U754" s="2674"/>
    </row>
    <row r="755" spans="1:21" ht="11.25" customHeight="1" x14ac:dyDescent="0.2">
      <c r="A755" s="2674"/>
      <c r="B755" s="2674"/>
      <c r="C755" s="2674"/>
      <c r="D755" s="2674"/>
      <c r="E755" s="2674"/>
      <c r="F755" s="2674"/>
      <c r="G755" s="2674"/>
      <c r="H755" s="2674"/>
      <c r="I755" s="2674"/>
      <c r="J755" s="2674"/>
      <c r="K755" s="2674"/>
      <c r="L755" s="2674"/>
      <c r="M755" s="2674"/>
      <c r="N755" s="2674"/>
      <c r="O755" s="2674"/>
      <c r="P755" s="2674"/>
      <c r="Q755" s="2674"/>
      <c r="R755" s="2674"/>
      <c r="S755" s="2674"/>
      <c r="T755" s="2674"/>
      <c r="U755" s="2674"/>
    </row>
    <row r="756" spans="1:21" ht="11.25" customHeight="1" x14ac:dyDescent="0.2">
      <c r="A756" s="2674"/>
      <c r="B756" s="2674"/>
      <c r="C756" s="2674"/>
      <c r="D756" s="2674"/>
      <c r="E756" s="2674"/>
      <c r="F756" s="2674"/>
      <c r="G756" s="2674"/>
      <c r="H756" s="2674"/>
      <c r="I756" s="2674"/>
      <c r="J756" s="2674"/>
      <c r="K756" s="2674"/>
      <c r="L756" s="2674"/>
      <c r="M756" s="2674"/>
      <c r="N756" s="2674"/>
      <c r="O756" s="2674"/>
      <c r="P756" s="2674"/>
      <c r="Q756" s="2674"/>
      <c r="R756" s="2674"/>
      <c r="S756" s="2674"/>
      <c r="T756" s="2674"/>
      <c r="U756" s="2674"/>
    </row>
    <row r="757" spans="1:21" ht="11.25" customHeight="1" x14ac:dyDescent="0.2">
      <c r="A757" s="2674"/>
      <c r="B757" s="2674"/>
      <c r="C757" s="2674"/>
      <c r="D757" s="2674"/>
      <c r="E757" s="2674"/>
      <c r="F757" s="2674"/>
      <c r="G757" s="2674"/>
      <c r="H757" s="2674"/>
      <c r="I757" s="2674"/>
      <c r="J757" s="2674"/>
      <c r="K757" s="2674"/>
      <c r="L757" s="2674"/>
      <c r="M757" s="2674"/>
      <c r="N757" s="2674"/>
      <c r="O757" s="2674"/>
      <c r="P757" s="2674"/>
      <c r="Q757" s="2674"/>
      <c r="R757" s="2674"/>
      <c r="S757" s="2674"/>
      <c r="T757" s="2674"/>
      <c r="U757" s="2674"/>
    </row>
    <row r="758" spans="1:21" ht="11.25" customHeight="1" x14ac:dyDescent="0.2">
      <c r="A758" s="2674"/>
      <c r="B758" s="2674"/>
      <c r="C758" s="2674"/>
      <c r="D758" s="2674"/>
      <c r="E758" s="2674"/>
      <c r="F758" s="2674"/>
      <c r="G758" s="2674"/>
      <c r="H758" s="2674"/>
      <c r="I758" s="2674"/>
      <c r="J758" s="2674"/>
      <c r="K758" s="2674"/>
      <c r="L758" s="2674"/>
      <c r="M758" s="2674"/>
      <c r="N758" s="2674"/>
      <c r="O758" s="2674"/>
      <c r="P758" s="2674"/>
      <c r="Q758" s="2674"/>
      <c r="R758" s="2674"/>
      <c r="S758" s="2674"/>
      <c r="T758" s="2674"/>
      <c r="U758" s="2674"/>
    </row>
    <row r="759" spans="1:21" ht="11.25" customHeight="1" x14ac:dyDescent="0.2">
      <c r="A759" s="2674"/>
      <c r="B759" s="2674"/>
      <c r="C759" s="2674"/>
      <c r="D759" s="2674"/>
      <c r="E759" s="2674"/>
      <c r="F759" s="2674"/>
      <c r="G759" s="2674"/>
      <c r="H759" s="2674"/>
      <c r="I759" s="2674"/>
      <c r="J759" s="2674"/>
      <c r="K759" s="2674"/>
      <c r="L759" s="2674"/>
      <c r="M759" s="2674"/>
      <c r="N759" s="2674"/>
      <c r="O759" s="2674"/>
      <c r="P759" s="2674"/>
      <c r="Q759" s="2674"/>
      <c r="R759" s="2674"/>
      <c r="S759" s="2674"/>
      <c r="T759" s="2674"/>
      <c r="U759" s="2674"/>
    </row>
    <row r="760" spans="1:21" ht="11.25" customHeight="1" x14ac:dyDescent="0.2">
      <c r="A760" s="2674"/>
      <c r="B760" s="2674"/>
      <c r="C760" s="2674"/>
      <c r="D760" s="2674"/>
      <c r="E760" s="2674"/>
      <c r="F760" s="2674"/>
      <c r="G760" s="2674"/>
      <c r="H760" s="2674"/>
      <c r="I760" s="2674"/>
      <c r="J760" s="2674"/>
      <c r="K760" s="2674"/>
      <c r="L760" s="2674"/>
      <c r="M760" s="2674"/>
      <c r="N760" s="2674"/>
      <c r="O760" s="2674"/>
      <c r="P760" s="2674"/>
      <c r="Q760" s="2674"/>
      <c r="R760" s="2674"/>
      <c r="S760" s="2674"/>
      <c r="T760" s="2674"/>
      <c r="U760" s="2674"/>
    </row>
    <row r="761" spans="1:21" ht="11.25" customHeight="1" x14ac:dyDescent="0.2">
      <c r="A761" s="2674"/>
      <c r="B761" s="2674"/>
      <c r="C761" s="2674"/>
      <c r="D761" s="2674"/>
      <c r="E761" s="2674"/>
      <c r="F761" s="2674"/>
      <c r="G761" s="2674"/>
      <c r="H761" s="2674"/>
      <c r="I761" s="2674"/>
      <c r="J761" s="2674"/>
      <c r="K761" s="2674"/>
      <c r="L761" s="2674"/>
      <c r="M761" s="2674"/>
      <c r="N761" s="2674"/>
      <c r="O761" s="2674"/>
      <c r="P761" s="2674"/>
      <c r="Q761" s="2674"/>
      <c r="R761" s="2674"/>
      <c r="S761" s="2674"/>
      <c r="T761" s="2674"/>
      <c r="U761" s="2674"/>
    </row>
    <row r="762" spans="1:21" ht="11.25" customHeight="1" x14ac:dyDescent="0.2">
      <c r="A762" s="2674"/>
      <c r="B762" s="2674"/>
      <c r="C762" s="2674"/>
      <c r="D762" s="2674"/>
      <c r="E762" s="2674"/>
      <c r="F762" s="2674"/>
      <c r="G762" s="2674"/>
      <c r="H762" s="2674"/>
      <c r="I762" s="2674"/>
      <c r="J762" s="2674"/>
      <c r="K762" s="2674"/>
      <c r="L762" s="2674"/>
      <c r="M762" s="2674"/>
      <c r="N762" s="2674"/>
      <c r="O762" s="2674"/>
      <c r="P762" s="2674"/>
      <c r="Q762" s="2674"/>
      <c r="R762" s="2674"/>
      <c r="S762" s="2674"/>
      <c r="T762" s="2674"/>
      <c r="U762" s="2674"/>
    </row>
    <row r="763" spans="1:21" ht="11.25" customHeight="1" x14ac:dyDescent="0.2">
      <c r="A763" s="2674"/>
      <c r="B763" s="2674"/>
      <c r="C763" s="2674"/>
      <c r="D763" s="2674"/>
      <c r="E763" s="2674"/>
      <c r="F763" s="2674"/>
      <c r="G763" s="2674"/>
      <c r="H763" s="2674"/>
      <c r="I763" s="2674"/>
      <c r="J763" s="2674"/>
      <c r="K763" s="2674"/>
      <c r="L763" s="2674"/>
      <c r="M763" s="2674"/>
      <c r="N763" s="2674"/>
      <c r="O763" s="2674"/>
      <c r="P763" s="2674"/>
      <c r="Q763" s="2674"/>
      <c r="R763" s="2674"/>
      <c r="S763" s="2674"/>
      <c r="T763" s="2674"/>
      <c r="U763" s="2674"/>
    </row>
    <row r="764" spans="1:21" ht="11.25" customHeight="1" x14ac:dyDescent="0.2">
      <c r="A764" s="2674"/>
      <c r="B764" s="2674"/>
      <c r="C764" s="2674"/>
      <c r="D764" s="2674"/>
      <c r="E764" s="2674"/>
      <c r="F764" s="2674"/>
      <c r="G764" s="2674"/>
      <c r="H764" s="2674"/>
      <c r="I764" s="2674"/>
      <c r="J764" s="2674"/>
      <c r="K764" s="2674"/>
      <c r="L764" s="2674"/>
      <c r="M764" s="2674"/>
      <c r="N764" s="2674"/>
      <c r="O764" s="2674"/>
      <c r="P764" s="2674"/>
      <c r="Q764" s="2674"/>
      <c r="R764" s="2674"/>
      <c r="S764" s="2674"/>
      <c r="T764" s="2674"/>
      <c r="U764" s="2674"/>
    </row>
    <row r="765" spans="1:21" ht="11.25" customHeight="1" x14ac:dyDescent="0.2">
      <c r="A765" s="2674"/>
      <c r="B765" s="2674"/>
      <c r="C765" s="2674"/>
      <c r="D765" s="2674"/>
      <c r="E765" s="2674"/>
      <c r="F765" s="2674"/>
      <c r="G765" s="2674"/>
      <c r="H765" s="2674"/>
      <c r="I765" s="2674"/>
      <c r="J765" s="2674"/>
      <c r="K765" s="2674"/>
      <c r="L765" s="2674"/>
      <c r="M765" s="2674"/>
      <c r="N765" s="2674"/>
      <c r="O765" s="2674"/>
      <c r="P765" s="2674"/>
      <c r="Q765" s="2674"/>
      <c r="R765" s="2674"/>
      <c r="S765" s="2674"/>
      <c r="T765" s="2674"/>
      <c r="U765" s="2674"/>
    </row>
    <row r="766" spans="1:21" ht="11.25" customHeight="1" x14ac:dyDescent="0.2">
      <c r="A766" s="2674"/>
      <c r="B766" s="2674"/>
      <c r="C766" s="2674"/>
      <c r="D766" s="2674"/>
      <c r="E766" s="2674"/>
      <c r="F766" s="2674"/>
      <c r="G766" s="2674"/>
      <c r="H766" s="2674"/>
      <c r="I766" s="2674"/>
      <c r="J766" s="2674"/>
      <c r="K766" s="2674"/>
      <c r="L766" s="2674"/>
      <c r="M766" s="2674"/>
      <c r="N766" s="2674"/>
      <c r="O766" s="2674"/>
      <c r="P766" s="2674"/>
      <c r="Q766" s="2674"/>
      <c r="R766" s="2674"/>
      <c r="S766" s="2674"/>
      <c r="T766" s="2674"/>
      <c r="U766" s="2674"/>
    </row>
    <row r="767" spans="1:21" ht="11.25" customHeight="1" x14ac:dyDescent="0.2">
      <c r="A767" s="2674"/>
      <c r="B767" s="2674"/>
      <c r="C767" s="2674"/>
      <c r="D767" s="2674"/>
      <c r="E767" s="2674"/>
      <c r="F767" s="2674"/>
      <c r="G767" s="2674"/>
      <c r="H767" s="2674"/>
      <c r="I767" s="2674"/>
      <c r="J767" s="2674"/>
      <c r="K767" s="2674"/>
      <c r="L767" s="2674"/>
      <c r="M767" s="2674"/>
      <c r="N767" s="2674"/>
      <c r="O767" s="2674"/>
      <c r="P767" s="2674"/>
      <c r="Q767" s="2674"/>
      <c r="R767" s="2674"/>
      <c r="S767" s="2674"/>
      <c r="T767" s="2674"/>
      <c r="U767" s="2674"/>
    </row>
    <row r="768" spans="1:21" ht="11.25" customHeight="1" x14ac:dyDescent="0.2">
      <c r="A768" s="2674"/>
      <c r="B768" s="2674"/>
      <c r="C768" s="2674"/>
      <c r="D768" s="2674"/>
      <c r="E768" s="2674"/>
      <c r="F768" s="2674"/>
      <c r="G768" s="2674"/>
      <c r="H768" s="2674"/>
      <c r="I768" s="2674"/>
      <c r="J768" s="2674"/>
      <c r="K768" s="2674"/>
      <c r="L768" s="2674"/>
      <c r="M768" s="2674"/>
      <c r="N768" s="2674"/>
      <c r="O768" s="2674"/>
      <c r="P768" s="2674"/>
      <c r="Q768" s="2674"/>
      <c r="R768" s="2674"/>
      <c r="S768" s="2674"/>
      <c r="T768" s="2674"/>
      <c r="U768" s="2674"/>
    </row>
    <row r="769" spans="1:21" ht="11.25" customHeight="1" x14ac:dyDescent="0.2">
      <c r="A769" s="2674"/>
      <c r="B769" s="2674"/>
      <c r="C769" s="2674"/>
      <c r="D769" s="2674"/>
      <c r="E769" s="2674"/>
      <c r="F769" s="2674"/>
      <c r="G769" s="2674"/>
      <c r="H769" s="2674"/>
      <c r="I769" s="2674"/>
      <c r="J769" s="2674"/>
      <c r="K769" s="2674"/>
      <c r="L769" s="2674"/>
      <c r="M769" s="2674"/>
      <c r="N769" s="2674"/>
      <c r="O769" s="2674"/>
      <c r="P769" s="2674"/>
      <c r="Q769" s="2674"/>
      <c r="R769" s="2674"/>
      <c r="S769" s="2674"/>
      <c r="T769" s="2674"/>
      <c r="U769" s="2674"/>
    </row>
    <row r="770" spans="1:21" ht="11.25" customHeight="1" x14ac:dyDescent="0.2">
      <c r="A770" s="2674"/>
      <c r="B770" s="2674"/>
      <c r="C770" s="2674"/>
      <c r="D770" s="2674"/>
      <c r="E770" s="2674"/>
      <c r="F770" s="2674"/>
      <c r="G770" s="2674"/>
      <c r="H770" s="2674"/>
      <c r="I770" s="2674"/>
      <c r="J770" s="2674"/>
      <c r="K770" s="2674"/>
      <c r="L770" s="2674"/>
      <c r="M770" s="2674"/>
      <c r="N770" s="2674"/>
      <c r="O770" s="2674"/>
      <c r="P770" s="2674"/>
      <c r="Q770" s="2674"/>
      <c r="R770" s="2674"/>
      <c r="S770" s="2674"/>
      <c r="T770" s="2674"/>
      <c r="U770" s="2674"/>
    </row>
    <row r="771" spans="1:21" ht="11.25" customHeight="1" x14ac:dyDescent="0.2">
      <c r="A771" s="2674"/>
      <c r="B771" s="2674"/>
      <c r="C771" s="2674"/>
      <c r="D771" s="2674"/>
      <c r="E771" s="2674"/>
      <c r="F771" s="2674"/>
      <c r="G771" s="2674"/>
      <c r="H771" s="2674"/>
      <c r="I771" s="2674"/>
      <c r="J771" s="2674"/>
      <c r="K771" s="2674"/>
      <c r="L771" s="2674"/>
      <c r="M771" s="2674"/>
      <c r="N771" s="2674"/>
      <c r="O771" s="2674"/>
      <c r="P771" s="2674"/>
      <c r="Q771" s="2674"/>
      <c r="R771" s="2674"/>
      <c r="S771" s="2674"/>
      <c r="T771" s="2674"/>
      <c r="U771" s="2674"/>
    </row>
    <row r="772" spans="1:21" ht="11.25" customHeight="1" x14ac:dyDescent="0.2">
      <c r="A772" s="2674"/>
      <c r="B772" s="2674"/>
      <c r="C772" s="2674"/>
      <c r="D772" s="2674"/>
      <c r="E772" s="2674"/>
      <c r="F772" s="2674"/>
      <c r="G772" s="2674"/>
      <c r="H772" s="2674"/>
      <c r="I772" s="2674"/>
      <c r="J772" s="2674"/>
      <c r="K772" s="2674"/>
      <c r="L772" s="2674"/>
      <c r="M772" s="2674"/>
      <c r="N772" s="2674"/>
      <c r="O772" s="2674"/>
      <c r="P772" s="2674"/>
      <c r="Q772" s="2674"/>
      <c r="R772" s="2674"/>
      <c r="S772" s="2674"/>
      <c r="T772" s="2674"/>
      <c r="U772" s="2674"/>
    </row>
    <row r="773" spans="1:21" ht="11.25" customHeight="1" x14ac:dyDescent="0.2">
      <c r="A773" s="2674"/>
      <c r="B773" s="2674"/>
      <c r="C773" s="2674"/>
      <c r="D773" s="2674"/>
      <c r="E773" s="2674"/>
      <c r="F773" s="2674"/>
      <c r="G773" s="2674"/>
      <c r="H773" s="2674"/>
      <c r="I773" s="2674"/>
      <c r="J773" s="2674"/>
      <c r="K773" s="2674"/>
      <c r="L773" s="2674"/>
      <c r="M773" s="2674"/>
      <c r="N773" s="2674"/>
      <c r="O773" s="2674"/>
      <c r="P773" s="2674"/>
      <c r="Q773" s="2674"/>
      <c r="R773" s="2674"/>
      <c r="S773" s="2674"/>
      <c r="T773" s="2674"/>
      <c r="U773" s="2674"/>
    </row>
    <row r="774" spans="1:21" ht="11.25" customHeight="1" x14ac:dyDescent="0.2">
      <c r="A774" s="2674"/>
      <c r="B774" s="2674"/>
      <c r="C774" s="2674"/>
      <c r="D774" s="2674"/>
      <c r="E774" s="2674"/>
      <c r="F774" s="2674"/>
      <c r="G774" s="2674"/>
      <c r="H774" s="2674"/>
      <c r="I774" s="2674"/>
      <c r="J774" s="2674"/>
      <c r="K774" s="2674"/>
      <c r="L774" s="2674"/>
      <c r="M774" s="2674"/>
      <c r="N774" s="2674"/>
      <c r="O774" s="2674"/>
      <c r="P774" s="2674"/>
      <c r="Q774" s="2674"/>
      <c r="R774" s="2674"/>
      <c r="S774" s="2674"/>
      <c r="T774" s="2674"/>
      <c r="U774" s="2674"/>
    </row>
    <row r="775" spans="1:21" ht="11.25" customHeight="1" x14ac:dyDescent="0.2">
      <c r="A775" s="2674"/>
      <c r="B775" s="2674"/>
      <c r="C775" s="2674"/>
      <c r="D775" s="2674"/>
      <c r="E775" s="2674"/>
      <c r="F775" s="2674"/>
      <c r="G775" s="2674"/>
      <c r="H775" s="2674"/>
      <c r="I775" s="2674"/>
      <c r="J775" s="2674"/>
      <c r="K775" s="2674"/>
      <c r="L775" s="2674"/>
      <c r="M775" s="2674"/>
      <c r="N775" s="2674"/>
      <c r="O775" s="2674"/>
      <c r="P775" s="2674"/>
      <c r="Q775" s="2674"/>
      <c r="R775" s="2674"/>
      <c r="S775" s="2674"/>
      <c r="T775" s="2674"/>
      <c r="U775" s="2674"/>
    </row>
    <row r="776" spans="1:21" ht="11.25" customHeight="1" x14ac:dyDescent="0.2">
      <c r="A776" s="2674"/>
      <c r="B776" s="2674"/>
      <c r="C776" s="2674"/>
      <c r="D776" s="2674"/>
      <c r="E776" s="2674"/>
      <c r="F776" s="2674"/>
      <c r="G776" s="2674"/>
      <c r="H776" s="2674"/>
      <c r="I776" s="2674"/>
      <c r="J776" s="2674"/>
      <c r="K776" s="2674"/>
      <c r="L776" s="2674"/>
      <c r="M776" s="2674"/>
      <c r="N776" s="2674"/>
      <c r="O776" s="2674"/>
      <c r="P776" s="2674"/>
      <c r="Q776" s="2674"/>
      <c r="R776" s="2674"/>
      <c r="S776" s="2674"/>
      <c r="T776" s="2674"/>
      <c r="U776" s="2674"/>
    </row>
    <row r="777" spans="1:21" ht="11.25" customHeight="1" x14ac:dyDescent="0.2">
      <c r="A777" s="2674"/>
      <c r="B777" s="2674"/>
      <c r="C777" s="2674"/>
      <c r="D777" s="2674"/>
      <c r="E777" s="2674"/>
      <c r="F777" s="2674"/>
      <c r="G777" s="2674"/>
      <c r="H777" s="2674"/>
      <c r="I777" s="2674"/>
      <c r="J777" s="2674"/>
      <c r="K777" s="2674"/>
      <c r="L777" s="2674"/>
      <c r="M777" s="2674"/>
      <c r="N777" s="2674"/>
      <c r="O777" s="2674"/>
      <c r="P777" s="2674"/>
      <c r="Q777" s="2674"/>
      <c r="R777" s="2674"/>
      <c r="S777" s="2674"/>
      <c r="T777" s="2674"/>
      <c r="U777" s="2674"/>
    </row>
    <row r="778" spans="1:21" ht="11.25" customHeight="1" x14ac:dyDescent="0.2">
      <c r="A778" s="2674"/>
      <c r="B778" s="2674"/>
      <c r="C778" s="2674"/>
      <c r="D778" s="2674"/>
      <c r="E778" s="2674"/>
      <c r="F778" s="2674"/>
      <c r="G778" s="2674"/>
      <c r="H778" s="2674"/>
      <c r="I778" s="2674"/>
      <c r="J778" s="2674"/>
      <c r="K778" s="2674"/>
      <c r="L778" s="2674"/>
      <c r="M778" s="2674"/>
      <c r="N778" s="2674"/>
      <c r="O778" s="2674"/>
      <c r="P778" s="2674"/>
      <c r="Q778" s="2674"/>
      <c r="R778" s="2674"/>
      <c r="S778" s="2674"/>
      <c r="T778" s="2674"/>
      <c r="U778" s="2674"/>
    </row>
    <row r="779" spans="1:21" ht="11.25" customHeight="1" x14ac:dyDescent="0.2">
      <c r="A779" s="2674"/>
      <c r="B779" s="2674"/>
      <c r="C779" s="2674"/>
      <c r="D779" s="2674"/>
      <c r="E779" s="2674"/>
      <c r="F779" s="2674"/>
      <c r="G779" s="2674"/>
      <c r="H779" s="2674"/>
      <c r="I779" s="2674"/>
      <c r="J779" s="2674"/>
      <c r="K779" s="2674"/>
      <c r="L779" s="2674"/>
      <c r="M779" s="2674"/>
      <c r="N779" s="2674"/>
      <c r="O779" s="2674"/>
      <c r="P779" s="2674"/>
      <c r="Q779" s="2674"/>
      <c r="R779" s="2674"/>
      <c r="S779" s="2674"/>
      <c r="T779" s="2674"/>
      <c r="U779" s="2674"/>
    </row>
    <row r="780" spans="1:21" ht="11.25" customHeight="1" x14ac:dyDescent="0.2">
      <c r="A780" s="2674"/>
      <c r="B780" s="2674"/>
      <c r="C780" s="2674"/>
      <c r="D780" s="2674"/>
      <c r="E780" s="2674"/>
      <c r="F780" s="2674"/>
      <c r="G780" s="2674"/>
      <c r="H780" s="2674"/>
      <c r="I780" s="2674"/>
      <c r="J780" s="2674"/>
      <c r="K780" s="2674"/>
      <c r="L780" s="2674"/>
      <c r="M780" s="2674"/>
      <c r="N780" s="2674"/>
      <c r="O780" s="2674"/>
      <c r="P780" s="2674"/>
      <c r="Q780" s="2674"/>
      <c r="R780" s="2674"/>
      <c r="S780" s="2674"/>
      <c r="T780" s="2674"/>
      <c r="U780" s="2674"/>
    </row>
    <row r="781" spans="1:21" ht="11.25" customHeight="1" x14ac:dyDescent="0.2">
      <c r="A781" s="2674"/>
      <c r="B781" s="2674"/>
      <c r="C781" s="2674"/>
      <c r="D781" s="2674"/>
      <c r="E781" s="2674"/>
      <c r="F781" s="2674"/>
      <c r="G781" s="2674"/>
      <c r="H781" s="2674"/>
      <c r="I781" s="2674"/>
      <c r="J781" s="2674"/>
      <c r="K781" s="2674"/>
      <c r="L781" s="2674"/>
      <c r="M781" s="2674"/>
      <c r="N781" s="2674"/>
      <c r="O781" s="2674"/>
      <c r="P781" s="2674"/>
      <c r="Q781" s="2674"/>
      <c r="R781" s="2674"/>
      <c r="S781" s="2674"/>
      <c r="T781" s="2674"/>
      <c r="U781" s="2674"/>
    </row>
    <row r="782" spans="1:21" ht="11.25" customHeight="1" x14ac:dyDescent="0.2">
      <c r="A782" s="2674"/>
      <c r="B782" s="2674"/>
      <c r="C782" s="2674"/>
      <c r="D782" s="2674"/>
      <c r="E782" s="2674"/>
      <c r="F782" s="2674"/>
      <c r="G782" s="2674"/>
      <c r="H782" s="2674"/>
      <c r="I782" s="2674"/>
      <c r="J782" s="2674"/>
      <c r="K782" s="2674"/>
      <c r="L782" s="2674"/>
      <c r="M782" s="2674"/>
      <c r="N782" s="2674"/>
      <c r="O782" s="2674"/>
      <c r="P782" s="2674"/>
      <c r="Q782" s="2674"/>
      <c r="R782" s="2674"/>
      <c r="S782" s="2674"/>
      <c r="T782" s="2674"/>
      <c r="U782" s="2674"/>
    </row>
    <row r="783" spans="1:21" ht="11.25" customHeight="1" x14ac:dyDescent="0.2">
      <c r="A783" s="2674"/>
      <c r="B783" s="2674"/>
      <c r="C783" s="2674"/>
      <c r="D783" s="2674"/>
      <c r="E783" s="2674"/>
      <c r="F783" s="2674"/>
      <c r="G783" s="2674"/>
      <c r="H783" s="2674"/>
      <c r="I783" s="2674"/>
      <c r="J783" s="2674"/>
      <c r="K783" s="2674"/>
      <c r="L783" s="2674"/>
      <c r="M783" s="2674"/>
      <c r="N783" s="2674"/>
      <c r="O783" s="2674"/>
      <c r="P783" s="2674"/>
      <c r="Q783" s="2674"/>
      <c r="R783" s="2674"/>
      <c r="S783" s="2674"/>
      <c r="T783" s="2674"/>
      <c r="U783" s="2674"/>
    </row>
    <row r="784" spans="1:21" ht="11.25" customHeight="1" x14ac:dyDescent="0.2">
      <c r="A784" s="2674"/>
      <c r="B784" s="2674"/>
      <c r="C784" s="2674"/>
      <c r="D784" s="2674"/>
      <c r="E784" s="2674"/>
      <c r="F784" s="2674"/>
      <c r="G784" s="2674"/>
      <c r="H784" s="2674"/>
      <c r="I784" s="2674"/>
      <c r="J784" s="2674"/>
      <c r="K784" s="2674"/>
      <c r="L784" s="2674"/>
      <c r="M784" s="2674"/>
      <c r="N784" s="2674"/>
      <c r="O784" s="2674"/>
      <c r="P784" s="2674"/>
      <c r="Q784" s="2674"/>
      <c r="R784" s="2674"/>
      <c r="S784" s="2674"/>
      <c r="T784" s="2674"/>
      <c r="U784" s="2674"/>
    </row>
    <row r="785" spans="1:21" ht="11.25" customHeight="1" x14ac:dyDescent="0.2">
      <c r="A785" s="2674"/>
      <c r="B785" s="2674"/>
      <c r="C785" s="2674"/>
      <c r="D785" s="2674"/>
      <c r="E785" s="2674"/>
      <c r="F785" s="2674"/>
      <c r="G785" s="2674"/>
      <c r="H785" s="2674"/>
      <c r="I785" s="2674"/>
      <c r="J785" s="2674"/>
      <c r="K785" s="2674"/>
      <c r="L785" s="2674"/>
      <c r="M785" s="2674"/>
      <c r="N785" s="2674"/>
      <c r="O785" s="2674"/>
      <c r="P785" s="2674"/>
      <c r="Q785" s="2674"/>
      <c r="R785" s="2674"/>
      <c r="S785" s="2674"/>
      <c r="T785" s="2674"/>
      <c r="U785" s="2674"/>
    </row>
    <row r="786" spans="1:21" ht="11.25" customHeight="1" x14ac:dyDescent="0.2">
      <c r="A786" s="2674"/>
      <c r="B786" s="2674"/>
      <c r="C786" s="2674"/>
      <c r="D786" s="2674"/>
      <c r="E786" s="2674"/>
      <c r="F786" s="2674"/>
      <c r="G786" s="2674"/>
      <c r="H786" s="2674"/>
      <c r="I786" s="2674"/>
      <c r="J786" s="2674"/>
      <c r="K786" s="2674"/>
      <c r="L786" s="2674"/>
      <c r="M786" s="2674"/>
      <c r="N786" s="2674"/>
      <c r="O786" s="2674"/>
      <c r="P786" s="2674"/>
      <c r="Q786" s="2674"/>
      <c r="R786" s="2674"/>
      <c r="S786" s="2674"/>
      <c r="T786" s="2674"/>
      <c r="U786" s="2674"/>
    </row>
    <row r="787" spans="1:21" ht="11.25" customHeight="1" x14ac:dyDescent="0.2">
      <c r="A787" s="2674"/>
      <c r="B787" s="2674"/>
      <c r="C787" s="2674"/>
      <c r="D787" s="2674"/>
      <c r="E787" s="2674"/>
      <c r="F787" s="2674"/>
      <c r="G787" s="2674"/>
      <c r="H787" s="2674"/>
      <c r="I787" s="2674"/>
      <c r="J787" s="2674"/>
      <c r="K787" s="2674"/>
      <c r="L787" s="2674"/>
      <c r="M787" s="2674"/>
      <c r="N787" s="2674"/>
      <c r="O787" s="2674"/>
      <c r="P787" s="2674"/>
      <c r="Q787" s="2674"/>
      <c r="R787" s="2674"/>
      <c r="S787" s="2674"/>
      <c r="T787" s="2674"/>
      <c r="U787" s="2674"/>
    </row>
    <row r="788" spans="1:21" ht="11.25" customHeight="1" x14ac:dyDescent="0.2">
      <c r="A788" s="2674"/>
      <c r="B788" s="2674"/>
      <c r="C788" s="2674"/>
      <c r="D788" s="2674"/>
      <c r="E788" s="2674"/>
      <c r="F788" s="2674"/>
      <c r="G788" s="2674"/>
      <c r="H788" s="2674"/>
      <c r="I788" s="2674"/>
      <c r="J788" s="2674"/>
      <c r="K788" s="2674"/>
      <c r="L788" s="2674"/>
      <c r="M788" s="2674"/>
      <c r="N788" s="2674"/>
      <c r="O788" s="2674"/>
      <c r="P788" s="2674"/>
      <c r="Q788" s="2674"/>
      <c r="R788" s="2674"/>
      <c r="S788" s="2674"/>
      <c r="T788" s="2674"/>
      <c r="U788" s="2674"/>
    </row>
    <row r="789" spans="1:21" ht="11.25" customHeight="1" x14ac:dyDescent="0.2">
      <c r="A789" s="2674"/>
      <c r="B789" s="2674"/>
      <c r="C789" s="2674"/>
      <c r="D789" s="2674"/>
      <c r="E789" s="2674"/>
      <c r="F789" s="2674"/>
      <c r="G789" s="2674"/>
      <c r="H789" s="2674"/>
      <c r="I789" s="2674"/>
      <c r="J789" s="2674"/>
      <c r="K789" s="2674"/>
      <c r="L789" s="2674"/>
      <c r="M789" s="2674"/>
      <c r="N789" s="2674"/>
      <c r="O789" s="2674"/>
      <c r="P789" s="2674"/>
      <c r="Q789" s="2674"/>
      <c r="R789" s="2674"/>
      <c r="S789" s="2674"/>
      <c r="T789" s="2674"/>
      <c r="U789" s="2674"/>
    </row>
    <row r="790" spans="1:21" ht="11.25" customHeight="1" x14ac:dyDescent="0.2">
      <c r="A790" s="2674"/>
      <c r="B790" s="2674"/>
      <c r="C790" s="2674"/>
      <c r="D790" s="2674"/>
      <c r="E790" s="2674"/>
      <c r="F790" s="2674"/>
      <c r="G790" s="2674"/>
      <c r="H790" s="2674"/>
      <c r="I790" s="2674"/>
      <c r="J790" s="2674"/>
      <c r="K790" s="2674"/>
      <c r="L790" s="2674"/>
      <c r="M790" s="2674"/>
      <c r="N790" s="2674"/>
      <c r="O790" s="2674"/>
      <c r="P790" s="2674"/>
      <c r="Q790" s="2674"/>
      <c r="R790" s="2674"/>
      <c r="S790" s="2674"/>
      <c r="T790" s="2674"/>
      <c r="U790" s="2674"/>
    </row>
    <row r="791" spans="1:21" ht="11.25" customHeight="1" x14ac:dyDescent="0.2">
      <c r="A791" s="2674"/>
      <c r="B791" s="2674"/>
      <c r="C791" s="2674"/>
      <c r="D791" s="2674"/>
      <c r="E791" s="2674"/>
      <c r="F791" s="2674"/>
      <c r="G791" s="2674"/>
      <c r="H791" s="2674"/>
      <c r="I791" s="2674"/>
      <c r="J791" s="2674"/>
      <c r="K791" s="2674"/>
      <c r="L791" s="2674"/>
      <c r="M791" s="2674"/>
      <c r="N791" s="2674"/>
      <c r="O791" s="2674"/>
      <c r="P791" s="2674"/>
      <c r="Q791" s="2674"/>
      <c r="R791" s="2674"/>
      <c r="S791" s="2674"/>
      <c r="T791" s="2674"/>
      <c r="U791" s="2674"/>
    </row>
    <row r="792" spans="1:21" ht="11.25" customHeight="1" x14ac:dyDescent="0.2">
      <c r="A792" s="2674"/>
      <c r="B792" s="2674"/>
      <c r="C792" s="2674"/>
      <c r="D792" s="2674"/>
      <c r="E792" s="2674"/>
      <c r="F792" s="2674"/>
      <c r="G792" s="2674"/>
      <c r="H792" s="2674"/>
      <c r="I792" s="2674"/>
      <c r="J792" s="2674"/>
      <c r="K792" s="2674"/>
      <c r="L792" s="2674"/>
      <c r="M792" s="2674"/>
      <c r="N792" s="2674"/>
      <c r="O792" s="2674"/>
      <c r="P792" s="2674"/>
      <c r="Q792" s="2674"/>
      <c r="R792" s="2674"/>
      <c r="S792" s="2674"/>
      <c r="T792" s="2674"/>
      <c r="U792" s="2674"/>
    </row>
    <row r="793" spans="1:21" ht="11.25" customHeight="1" x14ac:dyDescent="0.2">
      <c r="A793" s="2674"/>
      <c r="B793" s="2674"/>
      <c r="C793" s="2674"/>
      <c r="D793" s="2674"/>
      <c r="E793" s="2674"/>
      <c r="F793" s="2674"/>
      <c r="G793" s="2674"/>
      <c r="H793" s="2674"/>
      <c r="I793" s="2674"/>
      <c r="J793" s="2674"/>
      <c r="K793" s="2674"/>
      <c r="L793" s="2674"/>
      <c r="M793" s="2674"/>
      <c r="N793" s="2674"/>
      <c r="O793" s="2674"/>
      <c r="P793" s="2674"/>
      <c r="Q793" s="2674"/>
      <c r="R793" s="2674"/>
      <c r="S793" s="2674"/>
      <c r="T793" s="2674"/>
      <c r="U793" s="2674"/>
    </row>
    <row r="794" spans="1:21" ht="11.25" customHeight="1" x14ac:dyDescent="0.2">
      <c r="A794" s="2674"/>
      <c r="B794" s="2674"/>
      <c r="C794" s="2674"/>
      <c r="D794" s="2674"/>
      <c r="E794" s="2674"/>
      <c r="F794" s="2674"/>
      <c r="G794" s="2674"/>
      <c r="H794" s="2674"/>
      <c r="I794" s="2674"/>
      <c r="J794" s="2674"/>
      <c r="K794" s="2674"/>
      <c r="L794" s="2674"/>
      <c r="M794" s="2674"/>
      <c r="N794" s="2674"/>
      <c r="O794" s="2674"/>
      <c r="P794" s="2674"/>
      <c r="Q794" s="2674"/>
      <c r="R794" s="2674"/>
      <c r="S794" s="2674"/>
      <c r="T794" s="2674"/>
      <c r="U794" s="2674"/>
    </row>
    <row r="795" spans="1:21" ht="11.25" customHeight="1" x14ac:dyDescent="0.2">
      <c r="A795" s="2674"/>
      <c r="B795" s="2674"/>
      <c r="C795" s="2674"/>
      <c r="D795" s="2674"/>
      <c r="E795" s="2674"/>
      <c r="F795" s="2674"/>
      <c r="G795" s="2674"/>
      <c r="H795" s="2674"/>
      <c r="I795" s="2674"/>
      <c r="J795" s="2674"/>
      <c r="K795" s="2674"/>
      <c r="L795" s="2674"/>
      <c r="M795" s="2674"/>
      <c r="N795" s="2674"/>
      <c r="O795" s="2674"/>
      <c r="P795" s="2674"/>
      <c r="Q795" s="2674"/>
      <c r="R795" s="2674"/>
      <c r="S795" s="2674"/>
      <c r="T795" s="2674"/>
      <c r="U795" s="2674"/>
    </row>
    <row r="796" spans="1:21" ht="11.25" customHeight="1" x14ac:dyDescent="0.2">
      <c r="A796" s="2674"/>
      <c r="B796" s="2674"/>
      <c r="C796" s="2674"/>
      <c r="D796" s="2674"/>
      <c r="E796" s="2674"/>
      <c r="F796" s="2674"/>
      <c r="G796" s="2674"/>
      <c r="H796" s="2674"/>
      <c r="I796" s="2674"/>
      <c r="J796" s="2674"/>
      <c r="K796" s="2674"/>
      <c r="L796" s="2674"/>
      <c r="M796" s="2674"/>
      <c r="N796" s="2674"/>
      <c r="O796" s="2674"/>
      <c r="P796" s="2674"/>
      <c r="Q796" s="2674"/>
      <c r="R796" s="2674"/>
      <c r="S796" s="2674"/>
      <c r="T796" s="2674"/>
      <c r="U796" s="2674"/>
    </row>
    <row r="797" spans="1:21" ht="11.25" customHeight="1" x14ac:dyDescent="0.2">
      <c r="A797" s="2674"/>
      <c r="B797" s="2674"/>
      <c r="C797" s="2674"/>
      <c r="D797" s="2674"/>
      <c r="E797" s="2674"/>
      <c r="F797" s="2674"/>
      <c r="G797" s="2674"/>
      <c r="H797" s="2674"/>
      <c r="I797" s="2674"/>
      <c r="J797" s="2674"/>
      <c r="K797" s="2674"/>
      <c r="L797" s="2674"/>
      <c r="M797" s="2674"/>
      <c r="N797" s="2674"/>
      <c r="O797" s="2674"/>
      <c r="P797" s="2674"/>
      <c r="Q797" s="2674"/>
      <c r="R797" s="2674"/>
      <c r="S797" s="2674"/>
      <c r="T797" s="2674"/>
      <c r="U797" s="2674"/>
    </row>
    <row r="798" spans="1:21" ht="11.25" customHeight="1" x14ac:dyDescent="0.2">
      <c r="A798" s="2674"/>
      <c r="B798" s="2674"/>
      <c r="C798" s="2674"/>
      <c r="D798" s="2674"/>
      <c r="E798" s="2674"/>
      <c r="F798" s="2674"/>
      <c r="G798" s="2674"/>
      <c r="H798" s="2674"/>
      <c r="I798" s="2674"/>
      <c r="J798" s="2674"/>
      <c r="K798" s="2674"/>
      <c r="L798" s="2674"/>
      <c r="M798" s="2674"/>
      <c r="N798" s="2674"/>
      <c r="O798" s="2674"/>
      <c r="P798" s="2674"/>
      <c r="Q798" s="2674"/>
      <c r="R798" s="2674"/>
      <c r="S798" s="2674"/>
      <c r="T798" s="2674"/>
      <c r="U798" s="2674"/>
    </row>
    <row r="799" spans="1:21" ht="11.25" customHeight="1" x14ac:dyDescent="0.2">
      <c r="A799" s="2674"/>
      <c r="B799" s="2674"/>
      <c r="C799" s="2674"/>
      <c r="D799" s="2674"/>
      <c r="E799" s="2674"/>
      <c r="F799" s="2674"/>
      <c r="G799" s="2674"/>
      <c r="H799" s="2674"/>
      <c r="I799" s="2674"/>
      <c r="J799" s="2674"/>
      <c r="K799" s="2674"/>
      <c r="L799" s="2674"/>
      <c r="M799" s="2674"/>
      <c r="N799" s="2674"/>
      <c r="O799" s="2674"/>
      <c r="P799" s="2674"/>
      <c r="Q799" s="2674"/>
      <c r="R799" s="2674"/>
      <c r="S799" s="2674"/>
      <c r="T799" s="2674"/>
      <c r="U799" s="2674"/>
    </row>
    <row r="800" spans="1:21" ht="11.25" customHeight="1" x14ac:dyDescent="0.2">
      <c r="A800" s="2674"/>
      <c r="B800" s="2674"/>
      <c r="C800" s="2674"/>
      <c r="D800" s="2674"/>
      <c r="E800" s="2674"/>
      <c r="F800" s="2674"/>
      <c r="G800" s="2674"/>
      <c r="H800" s="2674"/>
      <c r="I800" s="2674"/>
      <c r="J800" s="2674"/>
      <c r="K800" s="2674"/>
      <c r="L800" s="2674"/>
      <c r="M800" s="2674"/>
      <c r="N800" s="2674"/>
      <c r="O800" s="2674"/>
      <c r="P800" s="2674"/>
      <c r="Q800" s="2674"/>
      <c r="R800" s="2674"/>
      <c r="S800" s="2674"/>
      <c r="T800" s="2674"/>
      <c r="U800" s="2674"/>
    </row>
    <row r="801" spans="1:21" ht="11.25" customHeight="1" x14ac:dyDescent="0.2">
      <c r="A801" s="2674"/>
      <c r="B801" s="2674"/>
      <c r="C801" s="2674"/>
      <c r="D801" s="2674"/>
      <c r="E801" s="2674"/>
      <c r="F801" s="2674"/>
      <c r="G801" s="2674"/>
      <c r="H801" s="2674"/>
      <c r="I801" s="2674"/>
      <c r="J801" s="2674"/>
      <c r="K801" s="2674"/>
      <c r="L801" s="2674"/>
      <c r="M801" s="2674"/>
      <c r="N801" s="2674"/>
      <c r="O801" s="2674"/>
      <c r="P801" s="2674"/>
      <c r="Q801" s="2674"/>
      <c r="R801" s="2674"/>
      <c r="S801" s="2674"/>
      <c r="T801" s="2674"/>
      <c r="U801" s="2674"/>
    </row>
    <row r="802" spans="1:21" ht="11.25" customHeight="1" x14ac:dyDescent="0.2">
      <c r="A802" s="2674"/>
      <c r="B802" s="2674"/>
      <c r="C802" s="2674"/>
      <c r="D802" s="2674"/>
      <c r="E802" s="2674"/>
      <c r="F802" s="2674"/>
      <c r="G802" s="2674"/>
      <c r="H802" s="2674"/>
      <c r="I802" s="2674"/>
      <c r="J802" s="2674"/>
      <c r="K802" s="2674"/>
      <c r="L802" s="2674"/>
      <c r="M802" s="2674"/>
      <c r="N802" s="2674"/>
      <c r="O802" s="2674"/>
      <c r="P802" s="2674"/>
      <c r="Q802" s="2674"/>
      <c r="R802" s="2674"/>
      <c r="S802" s="2674"/>
      <c r="T802" s="2674"/>
      <c r="U802" s="2674"/>
    </row>
    <row r="803" spans="1:21" ht="11.25" customHeight="1" x14ac:dyDescent="0.2">
      <c r="A803" s="2674"/>
      <c r="B803" s="2674"/>
      <c r="C803" s="2674"/>
      <c r="D803" s="2674"/>
      <c r="E803" s="2674"/>
      <c r="F803" s="2674"/>
      <c r="G803" s="2674"/>
      <c r="H803" s="2674"/>
      <c r="I803" s="2674"/>
      <c r="J803" s="2674"/>
      <c r="K803" s="2674"/>
      <c r="L803" s="2674"/>
      <c r="M803" s="2674"/>
      <c r="N803" s="2674"/>
      <c r="O803" s="2674"/>
      <c r="P803" s="2674"/>
      <c r="Q803" s="2674"/>
      <c r="R803" s="2674"/>
      <c r="S803" s="2674"/>
      <c r="T803" s="2674"/>
      <c r="U803" s="2674"/>
    </row>
    <row r="804" spans="1:21" ht="11.25" customHeight="1" x14ac:dyDescent="0.2">
      <c r="A804" s="2674"/>
      <c r="B804" s="2674"/>
      <c r="C804" s="2674"/>
      <c r="D804" s="2674"/>
      <c r="E804" s="2674"/>
      <c r="F804" s="2674"/>
      <c r="G804" s="2674"/>
      <c r="H804" s="2674"/>
      <c r="I804" s="2674"/>
      <c r="J804" s="2674"/>
      <c r="K804" s="2674"/>
      <c r="L804" s="2674"/>
      <c r="M804" s="2674"/>
      <c r="N804" s="2674"/>
      <c r="O804" s="2674"/>
      <c r="P804" s="2674"/>
      <c r="Q804" s="2674"/>
      <c r="R804" s="2674"/>
      <c r="S804" s="2674"/>
      <c r="T804" s="2674"/>
      <c r="U804" s="2674"/>
    </row>
    <row r="805" spans="1:21" ht="11.25" customHeight="1" x14ac:dyDescent="0.2">
      <c r="A805" s="2674"/>
      <c r="B805" s="2674"/>
      <c r="C805" s="2674"/>
      <c r="D805" s="2674"/>
      <c r="E805" s="2674"/>
      <c r="F805" s="2674"/>
      <c r="G805" s="2674"/>
      <c r="H805" s="2674"/>
      <c r="I805" s="2674"/>
      <c r="J805" s="2674"/>
      <c r="K805" s="2674"/>
      <c r="L805" s="2674"/>
      <c r="M805" s="2674"/>
      <c r="N805" s="2674"/>
      <c r="O805" s="2674"/>
      <c r="P805" s="2674"/>
      <c r="Q805" s="2674"/>
      <c r="R805" s="2674"/>
      <c r="S805" s="2674"/>
      <c r="T805" s="2674"/>
      <c r="U805" s="2674"/>
    </row>
    <row r="806" spans="1:21" ht="11.25" customHeight="1" x14ac:dyDescent="0.2">
      <c r="A806" s="2674"/>
      <c r="B806" s="2674"/>
      <c r="C806" s="2674"/>
      <c r="D806" s="2674"/>
      <c r="E806" s="2674"/>
      <c r="F806" s="2674"/>
      <c r="G806" s="2674"/>
      <c r="H806" s="2674"/>
      <c r="I806" s="2674"/>
      <c r="J806" s="2674"/>
      <c r="K806" s="2674"/>
      <c r="L806" s="2674"/>
      <c r="M806" s="2674"/>
      <c r="N806" s="2674"/>
      <c r="O806" s="2674"/>
      <c r="P806" s="2674"/>
      <c r="Q806" s="2674"/>
      <c r="R806" s="2674"/>
      <c r="S806" s="2674"/>
      <c r="T806" s="2674"/>
      <c r="U806" s="2674"/>
    </row>
    <row r="807" spans="1:21" ht="11.25" customHeight="1" x14ac:dyDescent="0.2">
      <c r="A807" s="2674"/>
      <c r="B807" s="2674"/>
      <c r="C807" s="2674"/>
      <c r="D807" s="2674"/>
      <c r="E807" s="2674"/>
      <c r="F807" s="2674"/>
      <c r="G807" s="2674"/>
      <c r="H807" s="2674"/>
      <c r="I807" s="2674"/>
      <c r="J807" s="2674"/>
      <c r="K807" s="2674"/>
      <c r="L807" s="2674"/>
      <c r="M807" s="2674"/>
      <c r="N807" s="2674"/>
      <c r="O807" s="2674"/>
      <c r="P807" s="2674"/>
      <c r="Q807" s="2674"/>
      <c r="R807" s="2674"/>
      <c r="S807" s="2674"/>
      <c r="T807" s="2674"/>
      <c r="U807" s="2674"/>
    </row>
    <row r="808" spans="1:21" ht="11.25" customHeight="1" x14ac:dyDescent="0.2">
      <c r="A808" s="2674"/>
      <c r="B808" s="2674"/>
      <c r="C808" s="2674"/>
      <c r="D808" s="2674"/>
      <c r="E808" s="2674"/>
      <c r="F808" s="2674"/>
      <c r="G808" s="2674"/>
      <c r="H808" s="2674"/>
      <c r="I808" s="2674"/>
      <c r="J808" s="2674"/>
      <c r="K808" s="2674"/>
      <c r="L808" s="2674"/>
      <c r="M808" s="2674"/>
      <c r="N808" s="2674"/>
      <c r="O808" s="2674"/>
      <c r="P808" s="2674"/>
      <c r="Q808" s="2674"/>
      <c r="R808" s="2674"/>
      <c r="S808" s="2674"/>
      <c r="T808" s="2674"/>
      <c r="U808" s="2674"/>
    </row>
    <row r="809" spans="1:21" ht="11.25" customHeight="1" x14ac:dyDescent="0.2">
      <c r="A809" s="2674"/>
      <c r="B809" s="2674"/>
      <c r="C809" s="2674"/>
      <c r="D809" s="2674"/>
      <c r="E809" s="2674"/>
      <c r="F809" s="2674"/>
      <c r="G809" s="2674"/>
      <c r="H809" s="2674"/>
      <c r="I809" s="2674"/>
      <c r="J809" s="2674"/>
      <c r="K809" s="2674"/>
      <c r="L809" s="2674"/>
      <c r="M809" s="2674"/>
      <c r="N809" s="2674"/>
      <c r="O809" s="2674"/>
      <c r="P809" s="2674"/>
      <c r="Q809" s="2674"/>
      <c r="R809" s="2674"/>
      <c r="S809" s="2674"/>
      <c r="T809" s="2674"/>
      <c r="U809" s="2674"/>
    </row>
    <row r="810" spans="1:21" ht="11.25" customHeight="1" x14ac:dyDescent="0.2">
      <c r="A810" s="2674"/>
      <c r="B810" s="2674"/>
      <c r="C810" s="2674"/>
      <c r="D810" s="2674"/>
      <c r="E810" s="2674"/>
      <c r="F810" s="2674"/>
      <c r="G810" s="2674"/>
      <c r="H810" s="2674"/>
      <c r="I810" s="2674"/>
      <c r="J810" s="2674"/>
      <c r="K810" s="2674"/>
      <c r="L810" s="2674"/>
      <c r="M810" s="2674"/>
      <c r="N810" s="2674"/>
      <c r="O810" s="2674"/>
      <c r="P810" s="2674"/>
      <c r="Q810" s="2674"/>
      <c r="R810" s="2674"/>
      <c r="S810" s="2674"/>
      <c r="T810" s="2674"/>
      <c r="U810" s="2674"/>
    </row>
    <row r="811" spans="1:21" ht="11.25" customHeight="1" x14ac:dyDescent="0.2">
      <c r="A811" s="2674"/>
      <c r="B811" s="2674"/>
      <c r="C811" s="2674"/>
      <c r="D811" s="2674"/>
      <c r="E811" s="2674"/>
      <c r="F811" s="2674"/>
      <c r="G811" s="2674"/>
      <c r="H811" s="2674"/>
      <c r="I811" s="2674"/>
      <c r="J811" s="2674"/>
      <c r="K811" s="2674"/>
      <c r="L811" s="2674"/>
      <c r="M811" s="2674"/>
      <c r="N811" s="2674"/>
      <c r="O811" s="2674"/>
      <c r="P811" s="2674"/>
      <c r="Q811" s="2674"/>
      <c r="R811" s="2674"/>
      <c r="S811" s="2674"/>
      <c r="T811" s="2674"/>
      <c r="U811" s="2674"/>
    </row>
    <row r="812" spans="1:21" ht="11.25" customHeight="1" x14ac:dyDescent="0.2">
      <c r="A812" s="2674"/>
      <c r="B812" s="2674"/>
      <c r="C812" s="2674"/>
      <c r="D812" s="2674"/>
      <c r="E812" s="2674"/>
      <c r="F812" s="2674"/>
      <c r="G812" s="2674"/>
      <c r="H812" s="2674"/>
      <c r="I812" s="2674"/>
      <c r="J812" s="2674"/>
      <c r="K812" s="2674"/>
      <c r="L812" s="2674"/>
      <c r="M812" s="2674"/>
      <c r="N812" s="2674"/>
      <c r="O812" s="2674"/>
      <c r="P812" s="2674"/>
      <c r="Q812" s="2674"/>
      <c r="R812" s="2674"/>
      <c r="S812" s="2674"/>
      <c r="T812" s="2674"/>
      <c r="U812" s="2674"/>
    </row>
    <row r="813" spans="1:21" ht="11.25" customHeight="1" x14ac:dyDescent="0.2">
      <c r="A813" s="2674"/>
      <c r="B813" s="2674"/>
      <c r="C813" s="2674"/>
      <c r="D813" s="2674"/>
      <c r="E813" s="2674"/>
      <c r="F813" s="2674"/>
      <c r="G813" s="2674"/>
      <c r="H813" s="2674"/>
      <c r="I813" s="2674"/>
      <c r="J813" s="2674"/>
      <c r="K813" s="2674"/>
      <c r="L813" s="2674"/>
      <c r="M813" s="2674"/>
      <c r="N813" s="2674"/>
      <c r="O813" s="2674"/>
      <c r="P813" s="2674"/>
      <c r="Q813" s="2674"/>
      <c r="R813" s="2674"/>
      <c r="S813" s="2674"/>
      <c r="T813" s="2674"/>
      <c r="U813" s="2674"/>
    </row>
    <row r="814" spans="1:21" ht="11.25" customHeight="1" x14ac:dyDescent="0.2">
      <c r="A814" s="2674"/>
      <c r="B814" s="2674"/>
      <c r="C814" s="2674"/>
      <c r="D814" s="2674"/>
      <c r="E814" s="2674"/>
      <c r="F814" s="2674"/>
      <c r="G814" s="2674"/>
      <c r="H814" s="2674"/>
      <c r="I814" s="2674"/>
      <c r="J814" s="2674"/>
      <c r="K814" s="2674"/>
      <c r="L814" s="2674"/>
      <c r="M814" s="2674"/>
      <c r="N814" s="2674"/>
      <c r="O814" s="2674"/>
      <c r="P814" s="2674"/>
      <c r="Q814" s="2674"/>
      <c r="R814" s="2674"/>
      <c r="S814" s="2674"/>
      <c r="T814" s="2674"/>
      <c r="U814" s="2674"/>
    </row>
    <row r="815" spans="1:21" ht="11.25" customHeight="1" x14ac:dyDescent="0.2">
      <c r="A815" s="2674"/>
      <c r="B815" s="2674"/>
      <c r="C815" s="2674"/>
      <c r="D815" s="2674"/>
      <c r="E815" s="2674"/>
      <c r="F815" s="2674"/>
      <c r="G815" s="2674"/>
      <c r="H815" s="2674"/>
      <c r="I815" s="2674"/>
      <c r="J815" s="2674"/>
      <c r="K815" s="2674"/>
      <c r="L815" s="2674"/>
      <c r="M815" s="2674"/>
      <c r="N815" s="2674"/>
      <c r="O815" s="2674"/>
      <c r="P815" s="2674"/>
      <c r="Q815" s="2674"/>
      <c r="R815" s="2674"/>
      <c r="S815" s="2674"/>
      <c r="T815" s="2674"/>
      <c r="U815" s="2674"/>
    </row>
    <row r="816" spans="1:21" ht="11.25" customHeight="1" x14ac:dyDescent="0.2">
      <c r="A816" s="2674"/>
      <c r="B816" s="2674"/>
      <c r="C816" s="2674"/>
      <c r="D816" s="2674"/>
      <c r="E816" s="2674"/>
      <c r="F816" s="2674"/>
      <c r="G816" s="2674"/>
      <c r="H816" s="2674"/>
      <c r="I816" s="2674"/>
      <c r="J816" s="2674"/>
      <c r="K816" s="2674"/>
      <c r="L816" s="2674"/>
      <c r="M816" s="2674"/>
      <c r="N816" s="2674"/>
      <c r="O816" s="2674"/>
      <c r="P816" s="2674"/>
      <c r="Q816" s="2674"/>
      <c r="R816" s="2674"/>
      <c r="S816" s="2674"/>
      <c r="T816" s="2674"/>
      <c r="U816" s="2674"/>
    </row>
    <row r="817" spans="1:21" ht="11.25" customHeight="1" x14ac:dyDescent="0.2">
      <c r="A817" s="2674"/>
      <c r="B817" s="2674"/>
      <c r="C817" s="2674"/>
      <c r="D817" s="2674"/>
      <c r="E817" s="2674"/>
      <c r="F817" s="2674"/>
      <c r="G817" s="2674"/>
      <c r="H817" s="2674"/>
      <c r="I817" s="2674"/>
      <c r="J817" s="2674"/>
      <c r="K817" s="2674"/>
      <c r="L817" s="2674"/>
      <c r="M817" s="2674"/>
      <c r="N817" s="2674"/>
      <c r="O817" s="2674"/>
      <c r="P817" s="2674"/>
      <c r="Q817" s="2674"/>
      <c r="R817" s="2674"/>
      <c r="S817" s="2674"/>
      <c r="T817" s="2674"/>
      <c r="U817" s="2674"/>
    </row>
    <row r="818" spans="1:21" ht="11.25" customHeight="1" x14ac:dyDescent="0.2">
      <c r="A818" s="2674"/>
      <c r="B818" s="2674"/>
      <c r="C818" s="2674"/>
      <c r="D818" s="2674"/>
      <c r="E818" s="2674"/>
      <c r="F818" s="2674"/>
      <c r="G818" s="2674"/>
      <c r="H818" s="2674"/>
      <c r="I818" s="2674"/>
      <c r="J818" s="2674"/>
      <c r="K818" s="2674"/>
      <c r="L818" s="2674"/>
      <c r="M818" s="2674"/>
      <c r="N818" s="2674"/>
      <c r="O818" s="2674"/>
      <c r="P818" s="2674"/>
      <c r="Q818" s="2674"/>
      <c r="R818" s="2674"/>
      <c r="S818" s="2674"/>
      <c r="T818" s="2674"/>
      <c r="U818" s="2674"/>
    </row>
    <row r="819" spans="1:21" ht="11.25" customHeight="1" x14ac:dyDescent="0.2">
      <c r="A819" s="2674"/>
      <c r="B819" s="2674"/>
      <c r="C819" s="2674"/>
      <c r="D819" s="2674"/>
      <c r="E819" s="2674"/>
      <c r="F819" s="2674"/>
      <c r="G819" s="2674"/>
      <c r="H819" s="2674"/>
      <c r="I819" s="2674"/>
      <c r="J819" s="2674"/>
      <c r="K819" s="2674"/>
      <c r="L819" s="2674"/>
      <c r="M819" s="2674"/>
      <c r="N819" s="2674"/>
      <c r="O819" s="2674"/>
      <c r="P819" s="2674"/>
      <c r="Q819" s="2674"/>
      <c r="R819" s="2674"/>
      <c r="S819" s="2674"/>
      <c r="T819" s="2674"/>
      <c r="U819" s="2674"/>
    </row>
    <row r="820" spans="1:21" ht="11.25" customHeight="1" x14ac:dyDescent="0.2">
      <c r="A820" s="2674"/>
      <c r="B820" s="2674"/>
      <c r="C820" s="2674"/>
      <c r="D820" s="2674"/>
      <c r="E820" s="2674"/>
      <c r="F820" s="2674"/>
      <c r="G820" s="2674"/>
      <c r="H820" s="2674"/>
      <c r="I820" s="2674"/>
      <c r="J820" s="2674"/>
      <c r="K820" s="2674"/>
      <c r="L820" s="2674"/>
      <c r="M820" s="2674"/>
      <c r="N820" s="2674"/>
      <c r="O820" s="2674"/>
      <c r="P820" s="2674"/>
      <c r="Q820" s="2674"/>
      <c r="R820" s="2674"/>
      <c r="S820" s="2674"/>
      <c r="T820" s="2674"/>
      <c r="U820" s="2674"/>
    </row>
    <row r="821" spans="1:21" ht="11.25" customHeight="1" x14ac:dyDescent="0.2">
      <c r="A821" s="2674"/>
      <c r="B821" s="2674"/>
      <c r="C821" s="2674"/>
      <c r="D821" s="2674"/>
      <c r="E821" s="2674"/>
      <c r="F821" s="2674"/>
      <c r="G821" s="2674"/>
      <c r="H821" s="2674"/>
      <c r="I821" s="2674"/>
      <c r="J821" s="2674"/>
      <c r="K821" s="2674"/>
      <c r="L821" s="2674"/>
      <c r="M821" s="2674"/>
      <c r="N821" s="2674"/>
      <c r="O821" s="2674"/>
      <c r="P821" s="2674"/>
      <c r="Q821" s="2674"/>
      <c r="R821" s="2674"/>
      <c r="S821" s="2674"/>
      <c r="T821" s="2674"/>
      <c r="U821" s="2674"/>
    </row>
    <row r="822" spans="1:21" ht="11.25" customHeight="1" x14ac:dyDescent="0.2">
      <c r="A822" s="2674"/>
      <c r="B822" s="2674"/>
      <c r="C822" s="2674"/>
      <c r="D822" s="2674"/>
      <c r="E822" s="2674"/>
      <c r="F822" s="2674"/>
      <c r="G822" s="2674"/>
      <c r="H822" s="2674"/>
      <c r="I822" s="2674"/>
      <c r="J822" s="2674"/>
      <c r="K822" s="2674"/>
      <c r="L822" s="2674"/>
      <c r="M822" s="2674"/>
      <c r="N822" s="2674"/>
      <c r="O822" s="2674"/>
      <c r="P822" s="2674"/>
      <c r="Q822" s="2674"/>
      <c r="R822" s="2674"/>
      <c r="S822" s="2674"/>
      <c r="T822" s="2674"/>
      <c r="U822" s="2674"/>
    </row>
    <row r="823" spans="1:21" ht="11.25" customHeight="1" x14ac:dyDescent="0.2">
      <c r="A823" s="2674"/>
      <c r="B823" s="2674"/>
      <c r="C823" s="2674"/>
      <c r="D823" s="2674"/>
      <c r="E823" s="2674"/>
      <c r="F823" s="2674"/>
      <c r="G823" s="2674"/>
      <c r="H823" s="2674"/>
      <c r="I823" s="2674"/>
      <c r="J823" s="2674"/>
      <c r="K823" s="2674"/>
      <c r="L823" s="2674"/>
      <c r="M823" s="2674"/>
      <c r="N823" s="2674"/>
      <c r="O823" s="2674"/>
      <c r="P823" s="2674"/>
      <c r="Q823" s="2674"/>
      <c r="R823" s="2674"/>
      <c r="S823" s="2674"/>
      <c r="T823" s="2674"/>
      <c r="U823" s="2674"/>
    </row>
    <row r="824" spans="1:21" ht="11.25" customHeight="1" x14ac:dyDescent="0.2">
      <c r="A824" s="2674"/>
      <c r="B824" s="2674"/>
      <c r="C824" s="2674"/>
      <c r="D824" s="2674"/>
      <c r="E824" s="2674"/>
      <c r="F824" s="2674"/>
      <c r="G824" s="2674"/>
      <c r="H824" s="2674"/>
      <c r="I824" s="2674"/>
      <c r="J824" s="2674"/>
      <c r="K824" s="2674"/>
      <c r="L824" s="2674"/>
      <c r="M824" s="2674"/>
      <c r="N824" s="2674"/>
      <c r="O824" s="2674"/>
      <c r="P824" s="2674"/>
      <c r="Q824" s="2674"/>
      <c r="R824" s="2674"/>
      <c r="S824" s="2674"/>
      <c r="T824" s="2674"/>
      <c r="U824" s="2674"/>
    </row>
    <row r="825" spans="1:21" ht="11.25" customHeight="1" x14ac:dyDescent="0.2">
      <c r="A825" s="2674"/>
      <c r="B825" s="2674"/>
      <c r="C825" s="2674"/>
      <c r="D825" s="2674"/>
      <c r="E825" s="2674"/>
      <c r="F825" s="2674"/>
      <c r="G825" s="2674"/>
      <c r="H825" s="2674"/>
      <c r="I825" s="2674"/>
      <c r="J825" s="2674"/>
      <c r="K825" s="2674"/>
      <c r="L825" s="2674"/>
      <c r="M825" s="2674"/>
      <c r="N825" s="2674"/>
      <c r="O825" s="2674"/>
      <c r="P825" s="2674"/>
      <c r="Q825" s="2674"/>
      <c r="R825" s="2674"/>
      <c r="S825" s="2674"/>
      <c r="T825" s="2674"/>
      <c r="U825" s="2674"/>
    </row>
    <row r="826" spans="1:21" ht="11.25" customHeight="1" x14ac:dyDescent="0.2">
      <c r="A826" s="2674"/>
      <c r="B826" s="2674"/>
      <c r="C826" s="2674"/>
      <c r="D826" s="2674"/>
      <c r="E826" s="2674"/>
      <c r="F826" s="2674"/>
      <c r="G826" s="2674"/>
      <c r="H826" s="2674"/>
      <c r="I826" s="2674"/>
      <c r="J826" s="2674"/>
      <c r="K826" s="2674"/>
      <c r="L826" s="2674"/>
      <c r="M826" s="2674"/>
      <c r="N826" s="2674"/>
      <c r="O826" s="2674"/>
      <c r="P826" s="2674"/>
      <c r="Q826" s="2674"/>
      <c r="R826" s="2674"/>
      <c r="S826" s="2674"/>
      <c r="T826" s="2674"/>
      <c r="U826" s="2674"/>
    </row>
    <row r="827" spans="1:21" ht="11.25" customHeight="1" x14ac:dyDescent="0.2">
      <c r="A827" s="2674"/>
      <c r="B827" s="2674"/>
      <c r="C827" s="2674"/>
      <c r="D827" s="2674"/>
      <c r="E827" s="2674"/>
      <c r="F827" s="2674"/>
      <c r="G827" s="2674"/>
      <c r="H827" s="2674"/>
      <c r="I827" s="2674"/>
      <c r="J827" s="2674"/>
      <c r="K827" s="2674"/>
      <c r="L827" s="2674"/>
      <c r="M827" s="2674"/>
      <c r="N827" s="2674"/>
      <c r="O827" s="2674"/>
      <c r="P827" s="2674"/>
      <c r="Q827" s="2674"/>
      <c r="R827" s="2674"/>
      <c r="S827" s="2674"/>
      <c r="T827" s="2674"/>
      <c r="U827" s="2674"/>
    </row>
    <row r="828" spans="1:21" ht="11.25" customHeight="1" x14ac:dyDescent="0.2">
      <c r="A828" s="2674"/>
      <c r="B828" s="2674"/>
      <c r="C828" s="2674"/>
      <c r="D828" s="2674"/>
      <c r="E828" s="2674"/>
      <c r="F828" s="2674"/>
      <c r="G828" s="2674"/>
      <c r="H828" s="2674"/>
      <c r="I828" s="2674"/>
      <c r="J828" s="2674"/>
      <c r="K828" s="2674"/>
      <c r="L828" s="2674"/>
      <c r="M828" s="2674"/>
      <c r="N828" s="2674"/>
      <c r="O828" s="2674"/>
      <c r="P828" s="2674"/>
      <c r="Q828" s="2674"/>
      <c r="R828" s="2674"/>
      <c r="S828" s="2674"/>
      <c r="T828" s="2674"/>
      <c r="U828" s="2674"/>
    </row>
    <row r="829" spans="1:21" ht="11.25" customHeight="1" x14ac:dyDescent="0.2">
      <c r="A829" s="2674"/>
      <c r="B829" s="2674"/>
      <c r="C829" s="2674"/>
      <c r="D829" s="2674"/>
      <c r="E829" s="2674"/>
      <c r="F829" s="2674"/>
      <c r="G829" s="2674"/>
      <c r="H829" s="2674"/>
      <c r="I829" s="2674"/>
      <c r="J829" s="2674"/>
      <c r="K829" s="2674"/>
      <c r="L829" s="2674"/>
      <c r="M829" s="2674"/>
      <c r="N829" s="2674"/>
      <c r="O829" s="2674"/>
      <c r="P829" s="2674"/>
      <c r="Q829" s="2674"/>
      <c r="R829" s="2674"/>
      <c r="S829" s="2674"/>
      <c r="T829" s="2674"/>
      <c r="U829" s="2674"/>
    </row>
    <row r="830" spans="1:21" ht="11.25" customHeight="1" x14ac:dyDescent="0.2">
      <c r="A830" s="2674"/>
      <c r="B830" s="2674"/>
      <c r="C830" s="2674"/>
      <c r="D830" s="2674"/>
      <c r="E830" s="2674"/>
      <c r="F830" s="2674"/>
      <c r="G830" s="2674"/>
      <c r="H830" s="2674"/>
      <c r="I830" s="2674"/>
      <c r="J830" s="2674"/>
      <c r="K830" s="2674"/>
      <c r="L830" s="2674"/>
      <c r="M830" s="2674"/>
      <c r="N830" s="2674"/>
      <c r="O830" s="2674"/>
      <c r="P830" s="2674"/>
      <c r="Q830" s="2674"/>
      <c r="R830" s="2674"/>
      <c r="S830" s="2674"/>
      <c r="T830" s="2674"/>
      <c r="U830" s="2674"/>
    </row>
    <row r="831" spans="1:21" ht="11.25" customHeight="1" x14ac:dyDescent="0.2">
      <c r="A831" s="2674"/>
      <c r="B831" s="2674"/>
      <c r="C831" s="2674"/>
      <c r="D831" s="2674"/>
      <c r="E831" s="2674"/>
      <c r="F831" s="2674"/>
      <c r="G831" s="2674"/>
      <c r="H831" s="2674"/>
      <c r="I831" s="2674"/>
      <c r="J831" s="2674"/>
      <c r="K831" s="2674"/>
      <c r="L831" s="2674"/>
      <c r="M831" s="2674"/>
      <c r="N831" s="2674"/>
      <c r="O831" s="2674"/>
      <c r="P831" s="2674"/>
      <c r="Q831" s="2674"/>
      <c r="R831" s="2674"/>
      <c r="S831" s="2674"/>
      <c r="T831" s="2674"/>
      <c r="U831" s="2674"/>
    </row>
    <row r="832" spans="1:21" ht="11.25" customHeight="1" x14ac:dyDescent="0.2">
      <c r="A832" s="2674"/>
      <c r="B832" s="2674"/>
      <c r="C832" s="2674"/>
      <c r="D832" s="2674"/>
      <c r="E832" s="2674"/>
      <c r="F832" s="2674"/>
      <c r="G832" s="2674"/>
      <c r="H832" s="2674"/>
      <c r="I832" s="2674"/>
      <c r="J832" s="2674"/>
      <c r="K832" s="2674"/>
      <c r="L832" s="2674"/>
      <c r="M832" s="2674"/>
      <c r="N832" s="2674"/>
      <c r="O832" s="2674"/>
      <c r="P832" s="2674"/>
      <c r="Q832" s="2674"/>
      <c r="R832" s="2674"/>
      <c r="S832" s="2674"/>
      <c r="T832" s="2674"/>
      <c r="U832" s="2674"/>
    </row>
    <row r="833" spans="1:21" ht="11.25" customHeight="1" x14ac:dyDescent="0.2">
      <c r="A833" s="2674"/>
      <c r="B833" s="2674"/>
      <c r="C833" s="2674"/>
      <c r="D833" s="2674"/>
      <c r="E833" s="2674"/>
      <c r="F833" s="2674"/>
      <c r="G833" s="2674"/>
      <c r="H833" s="2674"/>
      <c r="I833" s="2674"/>
      <c r="J833" s="2674"/>
      <c r="K833" s="2674"/>
      <c r="L833" s="2674"/>
      <c r="M833" s="2674"/>
      <c r="N833" s="2674"/>
      <c r="O833" s="2674"/>
      <c r="P833" s="2674"/>
      <c r="Q833" s="2674"/>
      <c r="R833" s="2674"/>
      <c r="S833" s="2674"/>
      <c r="T833" s="2674"/>
      <c r="U833" s="2674"/>
    </row>
    <row r="834" spans="1:21" ht="11.25" customHeight="1" x14ac:dyDescent="0.2">
      <c r="A834" s="2674"/>
      <c r="B834" s="2674"/>
      <c r="C834" s="2674"/>
      <c r="D834" s="2674"/>
      <c r="E834" s="2674"/>
      <c r="F834" s="2674"/>
      <c r="G834" s="2674"/>
      <c r="H834" s="2674"/>
      <c r="I834" s="2674"/>
      <c r="J834" s="2674"/>
      <c r="K834" s="2674"/>
      <c r="L834" s="2674"/>
      <c r="M834" s="2674"/>
      <c r="N834" s="2674"/>
      <c r="O834" s="2674"/>
      <c r="P834" s="2674"/>
      <c r="Q834" s="2674"/>
      <c r="R834" s="2674"/>
      <c r="S834" s="2674"/>
      <c r="T834" s="2674"/>
      <c r="U834" s="2674"/>
    </row>
    <row r="835" spans="1:21" ht="11.25" customHeight="1" x14ac:dyDescent="0.2">
      <c r="A835" s="2674"/>
      <c r="B835" s="2674"/>
      <c r="C835" s="2674"/>
      <c r="D835" s="2674"/>
      <c r="E835" s="2674"/>
      <c r="F835" s="2674"/>
      <c r="G835" s="2674"/>
      <c r="H835" s="2674"/>
      <c r="I835" s="2674"/>
      <c r="J835" s="2674"/>
      <c r="K835" s="2674"/>
      <c r="L835" s="2674"/>
      <c r="M835" s="2674"/>
      <c r="N835" s="2674"/>
      <c r="O835" s="2674"/>
      <c r="P835" s="2674"/>
      <c r="Q835" s="2674"/>
      <c r="R835" s="2674"/>
      <c r="S835" s="2674"/>
      <c r="T835" s="2674"/>
      <c r="U835" s="2674"/>
    </row>
    <row r="836" spans="1:21" ht="11.25" customHeight="1" x14ac:dyDescent="0.2">
      <c r="A836" s="2674"/>
      <c r="B836" s="2674"/>
      <c r="C836" s="2674"/>
      <c r="D836" s="2674"/>
      <c r="E836" s="2674"/>
      <c r="F836" s="2674"/>
      <c r="G836" s="2674"/>
      <c r="H836" s="2674"/>
      <c r="I836" s="2674"/>
      <c r="J836" s="2674"/>
      <c r="K836" s="2674"/>
      <c r="L836" s="2674"/>
      <c r="M836" s="2674"/>
      <c r="N836" s="2674"/>
      <c r="O836" s="2674"/>
      <c r="P836" s="2674"/>
      <c r="Q836" s="2674"/>
      <c r="R836" s="2674"/>
      <c r="S836" s="2674"/>
      <c r="T836" s="2674"/>
      <c r="U836" s="2674"/>
    </row>
    <row r="837" spans="1:21" ht="11.25" customHeight="1" x14ac:dyDescent="0.2">
      <c r="A837" s="2674"/>
      <c r="B837" s="2674"/>
      <c r="C837" s="2674"/>
      <c r="D837" s="2674"/>
      <c r="E837" s="2674"/>
      <c r="F837" s="2674"/>
      <c r="G837" s="2674"/>
      <c r="H837" s="2674"/>
      <c r="I837" s="2674"/>
      <c r="J837" s="2674"/>
      <c r="K837" s="2674"/>
      <c r="L837" s="2674"/>
      <c r="M837" s="2674"/>
      <c r="N837" s="2674"/>
      <c r="O837" s="2674"/>
      <c r="P837" s="2674"/>
      <c r="Q837" s="2674"/>
      <c r="R837" s="2674"/>
      <c r="S837" s="2674"/>
      <c r="T837" s="2674"/>
      <c r="U837" s="2674"/>
    </row>
    <row r="838" spans="1:21" ht="11.25" customHeight="1" x14ac:dyDescent="0.2">
      <c r="A838" s="2674"/>
      <c r="B838" s="2674"/>
      <c r="C838" s="2674"/>
      <c r="D838" s="2674"/>
      <c r="E838" s="2674"/>
      <c r="F838" s="2674"/>
      <c r="G838" s="2674"/>
      <c r="H838" s="2674"/>
      <c r="I838" s="2674"/>
      <c r="J838" s="2674"/>
      <c r="K838" s="2674"/>
      <c r="L838" s="2674"/>
      <c r="M838" s="2674"/>
      <c r="N838" s="2674"/>
      <c r="O838" s="2674"/>
      <c r="P838" s="2674"/>
      <c r="Q838" s="2674"/>
      <c r="R838" s="2674"/>
      <c r="S838" s="2674"/>
      <c r="T838" s="2674"/>
      <c r="U838" s="2674"/>
    </row>
    <row r="839" spans="1:21" ht="11.25" customHeight="1" x14ac:dyDescent="0.2">
      <c r="A839" s="2674"/>
      <c r="B839" s="2674"/>
      <c r="C839" s="2674"/>
      <c r="D839" s="2674"/>
      <c r="E839" s="2674"/>
      <c r="F839" s="2674"/>
      <c r="G839" s="2674"/>
      <c r="H839" s="2674"/>
      <c r="I839" s="2674"/>
      <c r="J839" s="2674"/>
      <c r="K839" s="2674"/>
      <c r="L839" s="2674"/>
      <c r="M839" s="2674"/>
      <c r="N839" s="2674"/>
      <c r="O839" s="2674"/>
      <c r="P839" s="2674"/>
      <c r="Q839" s="2674"/>
      <c r="R839" s="2674"/>
      <c r="S839" s="2674"/>
      <c r="T839" s="2674"/>
      <c r="U839" s="2674"/>
    </row>
    <row r="840" spans="1:21" ht="11.25" customHeight="1" x14ac:dyDescent="0.2">
      <c r="A840" s="2674"/>
      <c r="B840" s="2674"/>
      <c r="C840" s="2674"/>
      <c r="D840" s="2674"/>
      <c r="E840" s="2674"/>
      <c r="F840" s="2674"/>
      <c r="G840" s="2674"/>
      <c r="H840" s="2674"/>
      <c r="I840" s="2674"/>
      <c r="J840" s="2674"/>
      <c r="K840" s="2674"/>
      <c r="L840" s="2674"/>
      <c r="M840" s="2674"/>
      <c r="N840" s="2674"/>
      <c r="O840" s="2674"/>
      <c r="P840" s="2674"/>
      <c r="Q840" s="2674"/>
      <c r="R840" s="2674"/>
      <c r="S840" s="2674"/>
      <c r="T840" s="2674"/>
      <c r="U840" s="2674"/>
    </row>
    <row r="841" spans="1:21" ht="11.25" customHeight="1" x14ac:dyDescent="0.2">
      <c r="A841" s="2674"/>
      <c r="B841" s="2674"/>
      <c r="C841" s="2674"/>
      <c r="D841" s="2674"/>
      <c r="E841" s="2674"/>
      <c r="F841" s="2674"/>
      <c r="G841" s="2674"/>
      <c r="H841" s="2674"/>
      <c r="I841" s="2674"/>
      <c r="J841" s="2674"/>
      <c r="K841" s="2674"/>
      <c r="L841" s="2674"/>
      <c r="M841" s="2674"/>
      <c r="N841" s="2674"/>
      <c r="O841" s="2674"/>
      <c r="P841" s="2674"/>
      <c r="Q841" s="2674"/>
      <c r="R841" s="2674"/>
      <c r="S841" s="2674"/>
      <c r="T841" s="2674"/>
      <c r="U841" s="2674"/>
    </row>
    <row r="842" spans="1:21" ht="11.25" customHeight="1" x14ac:dyDescent="0.2">
      <c r="A842" s="2674"/>
      <c r="B842" s="2674"/>
      <c r="C842" s="2674"/>
      <c r="D842" s="2674"/>
      <c r="E842" s="2674"/>
      <c r="F842" s="2674"/>
      <c r="G842" s="2674"/>
      <c r="H842" s="2674"/>
      <c r="I842" s="2674"/>
      <c r="J842" s="2674"/>
      <c r="K842" s="2674"/>
      <c r="L842" s="2674"/>
      <c r="M842" s="2674"/>
      <c r="N842" s="2674"/>
      <c r="O842" s="2674"/>
      <c r="P842" s="2674"/>
      <c r="Q842" s="2674"/>
      <c r="R842" s="2674"/>
      <c r="S842" s="2674"/>
      <c r="T842" s="2674"/>
      <c r="U842" s="2674"/>
    </row>
    <row r="843" spans="1:21" ht="11.25" customHeight="1" x14ac:dyDescent="0.2">
      <c r="A843" s="2674"/>
      <c r="B843" s="2674"/>
      <c r="C843" s="2674"/>
      <c r="D843" s="2674"/>
      <c r="E843" s="2674"/>
      <c r="F843" s="2674"/>
      <c r="G843" s="2674"/>
      <c r="H843" s="2674"/>
      <c r="I843" s="2674"/>
      <c r="J843" s="2674"/>
      <c r="K843" s="2674"/>
      <c r="L843" s="2674"/>
      <c r="M843" s="2674"/>
      <c r="N843" s="2674"/>
      <c r="O843" s="2674"/>
      <c r="P843" s="2674"/>
      <c r="Q843" s="2674"/>
      <c r="R843" s="2674"/>
      <c r="S843" s="2674"/>
      <c r="T843" s="2674"/>
      <c r="U843" s="2674"/>
    </row>
    <row r="844" spans="1:21" ht="11.25" customHeight="1" x14ac:dyDescent="0.2">
      <c r="A844" s="2674"/>
      <c r="B844" s="2674"/>
      <c r="C844" s="2674"/>
      <c r="D844" s="2674"/>
      <c r="E844" s="2674"/>
      <c r="F844" s="2674"/>
      <c r="G844" s="2674"/>
      <c r="H844" s="2674"/>
      <c r="I844" s="2674"/>
      <c r="J844" s="2674"/>
      <c r="K844" s="2674"/>
      <c r="L844" s="2674"/>
      <c r="M844" s="2674"/>
      <c r="N844" s="2674"/>
      <c r="O844" s="2674"/>
      <c r="P844" s="2674"/>
      <c r="Q844" s="2674"/>
      <c r="R844" s="2674"/>
      <c r="S844" s="2674"/>
      <c r="T844" s="2674"/>
      <c r="U844" s="2674"/>
    </row>
    <row r="845" spans="1:21" ht="11.25" customHeight="1" x14ac:dyDescent="0.2">
      <c r="A845" s="2674"/>
      <c r="B845" s="2674"/>
      <c r="C845" s="2674"/>
      <c r="D845" s="2674"/>
      <c r="E845" s="2674"/>
      <c r="F845" s="2674"/>
      <c r="G845" s="2674"/>
      <c r="H845" s="2674"/>
      <c r="I845" s="2674"/>
      <c r="J845" s="2674"/>
      <c r="K845" s="2674"/>
      <c r="L845" s="2674"/>
      <c r="M845" s="2674"/>
      <c r="N845" s="2674"/>
      <c r="O845" s="2674"/>
      <c r="P845" s="2674"/>
      <c r="Q845" s="2674"/>
      <c r="R845" s="2674"/>
      <c r="S845" s="2674"/>
      <c r="T845" s="2674"/>
      <c r="U845" s="2674"/>
    </row>
    <row r="846" spans="1:21" ht="11.25" customHeight="1" x14ac:dyDescent="0.2">
      <c r="A846" s="2674"/>
      <c r="B846" s="2674"/>
      <c r="C846" s="2674"/>
      <c r="D846" s="2674"/>
      <c r="E846" s="2674"/>
      <c r="F846" s="2674"/>
      <c r="G846" s="2674"/>
      <c r="H846" s="2674"/>
      <c r="I846" s="2674"/>
      <c r="J846" s="2674"/>
      <c r="K846" s="2674"/>
      <c r="L846" s="2674"/>
      <c r="M846" s="2674"/>
      <c r="N846" s="2674"/>
      <c r="O846" s="2674"/>
      <c r="P846" s="2674"/>
      <c r="Q846" s="2674"/>
      <c r="R846" s="2674"/>
      <c r="S846" s="2674"/>
      <c r="T846" s="2674"/>
      <c r="U846" s="2674"/>
    </row>
    <row r="847" spans="1:21" ht="11.25" customHeight="1" x14ac:dyDescent="0.2">
      <c r="A847" s="2674"/>
      <c r="B847" s="2674"/>
      <c r="C847" s="2674"/>
      <c r="D847" s="2674"/>
      <c r="E847" s="2674"/>
      <c r="F847" s="2674"/>
      <c r="G847" s="2674"/>
      <c r="H847" s="2674"/>
      <c r="I847" s="2674"/>
      <c r="J847" s="2674"/>
      <c r="K847" s="2674"/>
      <c r="L847" s="2674"/>
      <c r="M847" s="2674"/>
      <c r="N847" s="2674"/>
      <c r="O847" s="2674"/>
      <c r="P847" s="2674"/>
      <c r="Q847" s="2674"/>
      <c r="R847" s="2674"/>
      <c r="S847" s="2674"/>
      <c r="T847" s="2674"/>
      <c r="U847" s="2674"/>
    </row>
    <row r="848" spans="1:21" ht="11.25" customHeight="1" x14ac:dyDescent="0.2">
      <c r="A848" s="2674"/>
      <c r="B848" s="2674"/>
      <c r="C848" s="2674"/>
      <c r="D848" s="2674"/>
      <c r="E848" s="2674"/>
      <c r="F848" s="2674"/>
      <c r="G848" s="2674"/>
      <c r="H848" s="2674"/>
      <c r="I848" s="2674"/>
      <c r="J848" s="2674"/>
      <c r="K848" s="2674"/>
      <c r="L848" s="2674"/>
      <c r="M848" s="2674"/>
      <c r="N848" s="2674"/>
      <c r="O848" s="2674"/>
      <c r="P848" s="2674"/>
      <c r="Q848" s="2674"/>
      <c r="R848" s="2674"/>
      <c r="S848" s="2674"/>
      <c r="T848" s="2674"/>
      <c r="U848" s="2674"/>
    </row>
    <row r="849" spans="1:21" ht="11.25" customHeight="1" x14ac:dyDescent="0.2">
      <c r="A849" s="2674"/>
      <c r="B849" s="2674"/>
      <c r="C849" s="2674"/>
      <c r="D849" s="2674"/>
      <c r="E849" s="2674"/>
      <c r="F849" s="2674"/>
      <c r="G849" s="2674"/>
      <c r="H849" s="2674"/>
      <c r="I849" s="2674"/>
      <c r="J849" s="2674"/>
      <c r="K849" s="2674"/>
      <c r="L849" s="2674"/>
      <c r="M849" s="2674"/>
      <c r="N849" s="2674"/>
      <c r="O849" s="2674"/>
      <c r="P849" s="2674"/>
      <c r="Q849" s="2674"/>
      <c r="R849" s="2674"/>
      <c r="S849" s="2674"/>
      <c r="T849" s="2674"/>
      <c r="U849" s="2674"/>
    </row>
    <row r="850" spans="1:21" ht="11.25" customHeight="1" x14ac:dyDescent="0.2">
      <c r="A850" s="2674"/>
      <c r="B850" s="2674"/>
      <c r="C850" s="2674"/>
      <c r="D850" s="2674"/>
      <c r="E850" s="2674"/>
      <c r="F850" s="2674"/>
      <c r="G850" s="2674"/>
      <c r="H850" s="2674"/>
      <c r="I850" s="2674"/>
      <c r="J850" s="2674"/>
      <c r="K850" s="2674"/>
      <c r="L850" s="2674"/>
      <c r="M850" s="2674"/>
      <c r="N850" s="2674"/>
      <c r="O850" s="2674"/>
      <c r="P850" s="2674"/>
      <c r="Q850" s="2674"/>
      <c r="R850" s="2674"/>
      <c r="S850" s="2674"/>
      <c r="T850" s="2674"/>
      <c r="U850" s="2674"/>
    </row>
    <row r="851" spans="1:21" ht="11.25" customHeight="1" x14ac:dyDescent="0.2">
      <c r="A851" s="2674"/>
      <c r="B851" s="2674"/>
      <c r="C851" s="2674"/>
      <c r="D851" s="2674"/>
      <c r="E851" s="2674"/>
      <c r="F851" s="2674"/>
      <c r="G851" s="2674"/>
      <c r="H851" s="2674"/>
      <c r="I851" s="2674"/>
      <c r="J851" s="2674"/>
      <c r="K851" s="2674"/>
      <c r="L851" s="2674"/>
      <c r="M851" s="2674"/>
      <c r="N851" s="2674"/>
      <c r="O851" s="2674"/>
      <c r="P851" s="2674"/>
      <c r="Q851" s="2674"/>
      <c r="R851" s="2674"/>
      <c r="S851" s="2674"/>
      <c r="T851" s="2674"/>
      <c r="U851" s="2674"/>
    </row>
    <row r="852" spans="1:21" ht="11.25" customHeight="1" x14ac:dyDescent="0.2">
      <c r="A852" s="2674"/>
      <c r="B852" s="2674"/>
      <c r="C852" s="2674"/>
      <c r="D852" s="2674"/>
      <c r="E852" s="2674"/>
      <c r="F852" s="2674"/>
      <c r="G852" s="2674"/>
      <c r="H852" s="2674"/>
      <c r="I852" s="2674"/>
      <c r="J852" s="2674"/>
      <c r="K852" s="2674"/>
      <c r="L852" s="2674"/>
      <c r="M852" s="2674"/>
      <c r="N852" s="2674"/>
      <c r="O852" s="2674"/>
      <c r="P852" s="2674"/>
      <c r="Q852" s="2674"/>
      <c r="R852" s="2674"/>
      <c r="S852" s="2674"/>
      <c r="T852" s="2674"/>
      <c r="U852" s="2674"/>
    </row>
    <row r="853" spans="1:21" ht="11.25" customHeight="1" x14ac:dyDescent="0.2">
      <c r="A853" s="2674"/>
      <c r="B853" s="2674"/>
      <c r="C853" s="2674"/>
      <c r="D853" s="2674"/>
      <c r="E853" s="2674"/>
      <c r="F853" s="2674"/>
      <c r="G853" s="2674"/>
      <c r="H853" s="2674"/>
      <c r="I853" s="2674"/>
      <c r="J853" s="2674"/>
      <c r="K853" s="2674"/>
      <c r="L853" s="2674"/>
      <c r="M853" s="2674"/>
      <c r="N853" s="2674"/>
      <c r="O853" s="2674"/>
      <c r="P853" s="2674"/>
      <c r="Q853" s="2674"/>
      <c r="R853" s="2674"/>
      <c r="S853" s="2674"/>
      <c r="T853" s="2674"/>
      <c r="U853" s="2674"/>
    </row>
    <row r="854" spans="1:21" ht="11.25" customHeight="1" x14ac:dyDescent="0.2">
      <c r="A854" s="2674"/>
      <c r="B854" s="2674"/>
      <c r="C854" s="2674"/>
      <c r="D854" s="2674"/>
      <c r="E854" s="2674"/>
      <c r="F854" s="2674"/>
      <c r="G854" s="2674"/>
      <c r="H854" s="2674"/>
      <c r="I854" s="2674"/>
      <c r="J854" s="2674"/>
      <c r="K854" s="2674"/>
      <c r="L854" s="2674"/>
      <c r="M854" s="2674"/>
      <c r="N854" s="2674"/>
      <c r="O854" s="2674"/>
      <c r="P854" s="2674"/>
      <c r="Q854" s="2674"/>
      <c r="R854" s="2674"/>
      <c r="S854" s="2674"/>
      <c r="T854" s="2674"/>
      <c r="U854" s="2674"/>
    </row>
    <row r="855" spans="1:21" ht="11.25" customHeight="1" x14ac:dyDescent="0.2">
      <c r="A855" s="2674"/>
      <c r="B855" s="2674"/>
      <c r="C855" s="2674"/>
      <c r="D855" s="2674"/>
      <c r="E855" s="2674"/>
      <c r="F855" s="2674"/>
      <c r="G855" s="2674"/>
      <c r="H855" s="2674"/>
      <c r="I855" s="2674"/>
      <c r="J855" s="2674"/>
      <c r="K855" s="2674"/>
      <c r="L855" s="2674"/>
      <c r="M855" s="2674"/>
      <c r="N855" s="2674"/>
      <c r="O855" s="2674"/>
      <c r="P855" s="2674"/>
      <c r="Q855" s="2674"/>
      <c r="R855" s="2674"/>
      <c r="S855" s="2674"/>
      <c r="T855" s="2674"/>
      <c r="U855" s="2674"/>
    </row>
    <row r="856" spans="1:21" ht="11.25" customHeight="1" x14ac:dyDescent="0.2">
      <c r="A856" s="2674"/>
      <c r="B856" s="2674"/>
      <c r="C856" s="2674"/>
      <c r="D856" s="2674"/>
      <c r="E856" s="2674"/>
      <c r="F856" s="2674"/>
      <c r="G856" s="2674"/>
      <c r="H856" s="2674"/>
      <c r="I856" s="2674"/>
      <c r="J856" s="2674"/>
      <c r="K856" s="2674"/>
      <c r="L856" s="2674"/>
      <c r="M856" s="2674"/>
      <c r="N856" s="2674"/>
      <c r="O856" s="2674"/>
      <c r="P856" s="2674"/>
      <c r="Q856" s="2674"/>
      <c r="R856" s="2674"/>
      <c r="S856" s="2674"/>
      <c r="T856" s="2674"/>
      <c r="U856" s="2674"/>
    </row>
    <row r="857" spans="1:21" ht="11.25" customHeight="1" x14ac:dyDescent="0.2">
      <c r="A857" s="2674"/>
      <c r="B857" s="2674"/>
      <c r="C857" s="2674"/>
      <c r="D857" s="2674"/>
      <c r="E857" s="2674"/>
      <c r="F857" s="2674"/>
      <c r="G857" s="2674"/>
      <c r="H857" s="2674"/>
      <c r="I857" s="2674"/>
      <c r="J857" s="2674"/>
      <c r="K857" s="2674"/>
      <c r="L857" s="2674"/>
      <c r="M857" s="2674"/>
      <c r="N857" s="2674"/>
      <c r="O857" s="2674"/>
      <c r="P857" s="2674"/>
      <c r="Q857" s="2674"/>
      <c r="R857" s="2674"/>
      <c r="S857" s="2674"/>
      <c r="T857" s="2674"/>
      <c r="U857" s="2674"/>
    </row>
    <row r="858" spans="1:21" ht="11.25" customHeight="1" x14ac:dyDescent="0.2">
      <c r="A858" s="2674"/>
      <c r="B858" s="2674"/>
      <c r="C858" s="2674"/>
      <c r="D858" s="2674"/>
      <c r="E858" s="2674"/>
      <c r="F858" s="2674"/>
      <c r="G858" s="2674"/>
      <c r="H858" s="2674"/>
      <c r="I858" s="2674"/>
      <c r="J858" s="2674"/>
      <c r="K858" s="2674"/>
      <c r="L858" s="2674"/>
      <c r="M858" s="2674"/>
      <c r="N858" s="2674"/>
      <c r="O858" s="2674"/>
      <c r="P858" s="2674"/>
      <c r="Q858" s="2674"/>
      <c r="R858" s="2674"/>
      <c r="S858" s="2674"/>
      <c r="T858" s="2674"/>
      <c r="U858" s="2674"/>
    </row>
    <row r="859" spans="1:21" ht="11.25" customHeight="1" x14ac:dyDescent="0.2">
      <c r="A859" s="2674"/>
      <c r="B859" s="2674"/>
      <c r="C859" s="2674"/>
      <c r="D859" s="2674"/>
      <c r="E859" s="2674"/>
      <c r="F859" s="2674"/>
      <c r="G859" s="2674"/>
      <c r="H859" s="2674"/>
      <c r="I859" s="2674"/>
      <c r="J859" s="2674"/>
      <c r="K859" s="2674"/>
      <c r="L859" s="2674"/>
      <c r="M859" s="2674"/>
      <c r="N859" s="2674"/>
      <c r="O859" s="2674"/>
      <c r="P859" s="2674"/>
      <c r="Q859" s="2674"/>
      <c r="R859" s="2674"/>
      <c r="S859" s="2674"/>
      <c r="T859" s="2674"/>
      <c r="U859" s="2674"/>
    </row>
    <row r="860" spans="1:21" ht="11.25" customHeight="1" x14ac:dyDescent="0.2">
      <c r="A860" s="2674"/>
      <c r="B860" s="2674"/>
      <c r="C860" s="2674"/>
      <c r="D860" s="2674"/>
      <c r="E860" s="2674"/>
      <c r="F860" s="2674"/>
      <c r="G860" s="2674"/>
      <c r="H860" s="2674"/>
      <c r="I860" s="2674"/>
      <c r="J860" s="2674"/>
      <c r="K860" s="2674"/>
      <c r="L860" s="2674"/>
      <c r="M860" s="2674"/>
      <c r="N860" s="2674"/>
      <c r="O860" s="2674"/>
      <c r="P860" s="2674"/>
      <c r="Q860" s="2674"/>
      <c r="R860" s="2674"/>
      <c r="S860" s="2674"/>
      <c r="T860" s="2674"/>
      <c r="U860" s="2674"/>
    </row>
    <row r="861" spans="1:21" ht="11.25" customHeight="1" x14ac:dyDescent="0.2">
      <c r="A861" s="2674"/>
      <c r="B861" s="2674"/>
      <c r="C861" s="2674"/>
      <c r="D861" s="2674"/>
      <c r="E861" s="2674"/>
      <c r="F861" s="2674"/>
      <c r="G861" s="2674"/>
      <c r="H861" s="2674"/>
      <c r="I861" s="2674"/>
      <c r="J861" s="2674"/>
      <c r="K861" s="2674"/>
      <c r="L861" s="2674"/>
      <c r="M861" s="2674"/>
      <c r="N861" s="2674"/>
      <c r="O861" s="2674"/>
      <c r="P861" s="2674"/>
      <c r="Q861" s="2674"/>
      <c r="R861" s="2674"/>
      <c r="S861" s="2674"/>
      <c r="T861" s="2674"/>
      <c r="U861" s="2674"/>
    </row>
    <row r="862" spans="1:21" ht="11.25" customHeight="1" x14ac:dyDescent="0.2">
      <c r="A862" s="2674"/>
      <c r="B862" s="2674"/>
      <c r="C862" s="2674"/>
      <c r="D862" s="2674"/>
      <c r="E862" s="2674"/>
      <c r="F862" s="2674"/>
      <c r="G862" s="2674"/>
      <c r="H862" s="2674"/>
      <c r="I862" s="2674"/>
      <c r="J862" s="2674"/>
      <c r="K862" s="2674"/>
      <c r="L862" s="2674"/>
      <c r="M862" s="2674"/>
      <c r="N862" s="2674"/>
      <c r="O862" s="2674"/>
      <c r="P862" s="2674"/>
      <c r="Q862" s="2674"/>
      <c r="R862" s="2674"/>
      <c r="S862" s="2674"/>
      <c r="T862" s="2674"/>
      <c r="U862" s="2674"/>
    </row>
    <row r="863" spans="1:21" ht="11.25" customHeight="1" x14ac:dyDescent="0.2">
      <c r="A863" s="2674"/>
      <c r="B863" s="2674"/>
      <c r="C863" s="2674"/>
      <c r="D863" s="2674"/>
      <c r="E863" s="2674"/>
      <c r="F863" s="2674"/>
      <c r="G863" s="2674"/>
      <c r="H863" s="2674"/>
      <c r="I863" s="2674"/>
      <c r="J863" s="2674"/>
      <c r="K863" s="2674"/>
      <c r="L863" s="2674"/>
      <c r="M863" s="2674"/>
      <c r="N863" s="2674"/>
      <c r="O863" s="2674"/>
      <c r="P863" s="2674"/>
      <c r="Q863" s="2674"/>
      <c r="R863" s="2674"/>
      <c r="S863" s="2674"/>
      <c r="T863" s="2674"/>
      <c r="U863" s="2674"/>
    </row>
    <row r="864" spans="1:21" ht="11.25" customHeight="1" x14ac:dyDescent="0.2">
      <c r="A864" s="2674"/>
      <c r="B864" s="2674"/>
      <c r="C864" s="2674"/>
      <c r="D864" s="2674"/>
      <c r="E864" s="2674"/>
      <c r="F864" s="2674"/>
      <c r="G864" s="2674"/>
      <c r="H864" s="2674"/>
      <c r="I864" s="2674"/>
      <c r="J864" s="2674"/>
      <c r="K864" s="2674"/>
      <c r="L864" s="2674"/>
      <c r="M864" s="2674"/>
      <c r="N864" s="2674"/>
      <c r="O864" s="2674"/>
      <c r="P864" s="2674"/>
      <c r="Q864" s="2674"/>
      <c r="R864" s="2674"/>
      <c r="S864" s="2674"/>
      <c r="T864" s="2674"/>
      <c r="U864" s="2674"/>
    </row>
    <row r="865" spans="1:21" ht="11.25" customHeight="1" x14ac:dyDescent="0.2">
      <c r="A865" s="2674"/>
      <c r="B865" s="2674"/>
      <c r="C865" s="2674"/>
      <c r="D865" s="2674"/>
      <c r="E865" s="2674"/>
      <c r="F865" s="2674"/>
      <c r="G865" s="2674"/>
      <c r="H865" s="2674"/>
      <c r="I865" s="2674"/>
      <c r="J865" s="2674"/>
      <c r="K865" s="2674"/>
      <c r="L865" s="2674"/>
      <c r="M865" s="2674"/>
      <c r="N865" s="2674"/>
      <c r="O865" s="2674"/>
      <c r="P865" s="2674"/>
      <c r="Q865" s="2674"/>
      <c r="R865" s="2674"/>
      <c r="S865" s="2674"/>
      <c r="T865" s="2674"/>
      <c r="U865" s="2674"/>
    </row>
    <row r="866" spans="1:21" ht="11.25" customHeight="1" x14ac:dyDescent="0.2">
      <c r="A866" s="2674"/>
      <c r="B866" s="2674"/>
      <c r="C866" s="2674"/>
      <c r="D866" s="2674"/>
      <c r="E866" s="2674"/>
      <c r="F866" s="2674"/>
      <c r="G866" s="2674"/>
      <c r="H866" s="2674"/>
      <c r="I866" s="2674"/>
      <c r="J866" s="2674"/>
      <c r="K866" s="2674"/>
      <c r="L866" s="2674"/>
      <c r="M866" s="2674"/>
      <c r="N866" s="2674"/>
      <c r="O866" s="2674"/>
      <c r="P866" s="2674"/>
      <c r="Q866" s="2674"/>
      <c r="R866" s="2674"/>
      <c r="S866" s="2674"/>
      <c r="T866" s="2674"/>
      <c r="U866" s="2674"/>
    </row>
  </sheetData>
  <mergeCells count="13">
    <mergeCell ref="W7:X7"/>
    <mergeCell ref="H85:H87"/>
    <mergeCell ref="R9:U9"/>
    <mergeCell ref="B37:U37"/>
    <mergeCell ref="B40:U40"/>
    <mergeCell ref="I85:I87"/>
    <mergeCell ref="J85:J87"/>
    <mergeCell ref="B7:U7"/>
    <mergeCell ref="B8:U8"/>
    <mergeCell ref="C9:F9"/>
    <mergeCell ref="H9:K9"/>
    <mergeCell ref="M9:P9"/>
    <mergeCell ref="H46:J46"/>
  </mergeCells>
  <printOptions gridLines="1"/>
  <pageMargins left="0.38" right="0.7" top="0.23" bottom="0.32" header="0" footer="0"/>
  <pageSetup paperSize="5" scale="80" orientation="landscape"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4787"/>
  <sheetViews>
    <sheetView workbookViewId="0"/>
  </sheetViews>
  <sheetFormatPr defaultColWidth="16.85546875" defaultRowHeight="15" customHeight="1" x14ac:dyDescent="0.2"/>
  <cols>
    <col min="1" max="1" width="16.28515625" customWidth="1"/>
    <col min="2" max="2" width="21" customWidth="1"/>
    <col min="3" max="3" width="16.28515625" customWidth="1"/>
    <col min="4" max="4" width="24.28515625" customWidth="1"/>
    <col min="5" max="5" width="16.28515625" customWidth="1"/>
    <col min="6" max="6" width="19.140625" customWidth="1"/>
    <col min="7" max="7" width="18.28515625" customWidth="1"/>
    <col min="8" max="8" width="22.7109375" customWidth="1"/>
    <col min="9" max="9" width="37.85546875" customWidth="1"/>
    <col min="10" max="10" width="44.140625" customWidth="1"/>
    <col min="11" max="11" width="42.7109375" customWidth="1"/>
    <col min="12" max="12" width="24.42578125" customWidth="1"/>
    <col min="13" max="13" width="28.7109375" customWidth="1"/>
  </cols>
  <sheetData>
    <row r="1" spans="1:13" ht="11.25" customHeight="1" x14ac:dyDescent="0.2">
      <c r="A1" s="140"/>
      <c r="B1" s="140"/>
      <c r="C1" s="140"/>
      <c r="D1" s="140"/>
      <c r="E1" s="140"/>
      <c r="F1" s="140"/>
      <c r="G1" s="140"/>
      <c r="H1" s="140"/>
      <c r="I1" s="140"/>
      <c r="J1" s="140"/>
      <c r="K1" s="140"/>
      <c r="L1" s="140"/>
      <c r="M1" s="140"/>
    </row>
    <row r="2" spans="1:13" ht="17.25" customHeight="1" x14ac:dyDescent="0.35">
      <c r="A2" s="140"/>
      <c r="B2" s="885" t="s">
        <v>826</v>
      </c>
      <c r="C2" s="885"/>
      <c r="D2" s="886"/>
      <c r="E2" s="886"/>
      <c r="F2" s="887"/>
      <c r="G2" s="886"/>
      <c r="H2" s="888"/>
      <c r="I2" s="888"/>
      <c r="J2" s="888"/>
      <c r="K2" s="888"/>
      <c r="L2" s="888"/>
      <c r="M2" s="140"/>
    </row>
    <row r="3" spans="1:13" ht="11.25" customHeight="1" x14ac:dyDescent="0.35">
      <c r="A3" s="140"/>
      <c r="B3" s="2978"/>
      <c r="C3" s="2943"/>
      <c r="D3" s="2943"/>
      <c r="E3" s="2943"/>
      <c r="F3" s="2943"/>
      <c r="G3" s="2943"/>
      <c r="H3" s="2943"/>
      <c r="I3" s="2943"/>
      <c r="J3" s="2943"/>
      <c r="K3" s="2943"/>
      <c r="L3" s="2943"/>
      <c r="M3" s="140"/>
    </row>
    <row r="4" spans="1:13" ht="11.25" customHeight="1" x14ac:dyDescent="0.2">
      <c r="A4" s="140"/>
      <c r="B4" s="140"/>
      <c r="C4" s="140"/>
      <c r="D4" s="140"/>
      <c r="E4" s="140"/>
      <c r="F4" s="140"/>
      <c r="G4" s="140"/>
      <c r="H4" s="140"/>
      <c r="I4" s="140"/>
      <c r="J4" s="140"/>
      <c r="K4" s="140"/>
      <c r="L4" s="140"/>
      <c r="M4" s="140"/>
    </row>
    <row r="5" spans="1:13" ht="11.25" customHeight="1" x14ac:dyDescent="0.2">
      <c r="A5" s="140"/>
      <c r="B5" s="140"/>
      <c r="C5" s="140"/>
      <c r="D5" s="140"/>
      <c r="E5" s="140"/>
      <c r="F5" s="140"/>
      <c r="G5" s="140"/>
      <c r="H5" s="140"/>
      <c r="I5" s="140"/>
      <c r="J5" s="140"/>
      <c r="K5" s="140"/>
      <c r="L5" s="140"/>
      <c r="M5" s="140"/>
    </row>
    <row r="6" spans="1:13" ht="11.25" customHeight="1" x14ac:dyDescent="0.2">
      <c r="A6" s="140"/>
      <c r="B6" s="140"/>
      <c r="C6" s="140"/>
      <c r="D6" s="140"/>
      <c r="E6" s="140"/>
      <c r="F6" s="140"/>
      <c r="G6" s="140"/>
      <c r="H6" s="140"/>
      <c r="I6" s="140"/>
      <c r="J6" s="140"/>
      <c r="K6" s="140"/>
      <c r="L6" s="140"/>
      <c r="M6" s="140"/>
    </row>
    <row r="7" spans="1:13" ht="11.25" customHeight="1" x14ac:dyDescent="0.2">
      <c r="A7" s="140"/>
      <c r="B7" s="140"/>
      <c r="C7" s="140"/>
      <c r="D7" s="140"/>
      <c r="E7" s="140"/>
      <c r="F7" s="140"/>
      <c r="G7" s="140"/>
      <c r="H7" s="140"/>
      <c r="I7" s="140"/>
      <c r="J7" s="140"/>
      <c r="K7" s="140"/>
      <c r="L7" s="140"/>
      <c r="M7" s="140"/>
    </row>
    <row r="8" spans="1:13" ht="11.25" customHeight="1" x14ac:dyDescent="0.2">
      <c r="A8" s="140"/>
      <c r="B8" s="140"/>
      <c r="C8" s="140"/>
      <c r="D8" s="140"/>
      <c r="E8" s="140"/>
      <c r="F8" s="140"/>
      <c r="G8" s="140"/>
      <c r="H8" s="140"/>
      <c r="I8" s="140"/>
      <c r="J8" s="140"/>
      <c r="K8" s="140"/>
      <c r="L8" s="140"/>
      <c r="M8" s="140"/>
    </row>
    <row r="9" spans="1:13" ht="19.5" customHeight="1" x14ac:dyDescent="0.2">
      <c r="A9" s="140"/>
      <c r="B9" s="2979" t="s">
        <v>827</v>
      </c>
      <c r="C9" s="2941"/>
      <c r="D9" s="2941"/>
      <c r="E9" s="2941"/>
      <c r="F9" s="2941"/>
      <c r="G9" s="2941"/>
      <c r="H9" s="2941"/>
      <c r="I9" s="2941"/>
      <c r="J9" s="140"/>
      <c r="K9" s="140"/>
      <c r="L9" s="140"/>
      <c r="M9" s="140"/>
    </row>
    <row r="10" spans="1:13" ht="11.25" customHeight="1" x14ac:dyDescent="0.2">
      <c r="A10" s="140"/>
      <c r="B10" s="140"/>
      <c r="C10" s="140"/>
      <c r="D10" s="140"/>
      <c r="E10" s="140"/>
      <c r="F10" s="140"/>
      <c r="G10" s="140"/>
      <c r="H10" s="140"/>
      <c r="I10" s="140"/>
      <c r="J10" s="140"/>
      <c r="K10" s="140"/>
      <c r="L10" s="140"/>
      <c r="M10" s="140"/>
    </row>
    <row r="11" spans="1:13" ht="24.75" customHeight="1" x14ac:dyDescent="0.2">
      <c r="A11" s="140"/>
      <c r="B11" s="889" t="s">
        <v>828</v>
      </c>
      <c r="C11" s="2980" t="s">
        <v>829</v>
      </c>
      <c r="D11" s="2981"/>
      <c r="E11" s="890"/>
      <c r="F11" s="890" t="s">
        <v>830</v>
      </c>
      <c r="G11" s="890" t="s">
        <v>831</v>
      </c>
      <c r="H11" s="890" t="s">
        <v>832</v>
      </c>
      <c r="I11" s="891" t="s">
        <v>833</v>
      </c>
      <c r="J11" s="140"/>
      <c r="K11" s="2933" t="s">
        <v>1</v>
      </c>
      <c r="L11" s="2934"/>
      <c r="M11" s="140"/>
    </row>
    <row r="12" spans="1:13" ht="16.5" customHeight="1" x14ac:dyDescent="0.2">
      <c r="A12" s="140"/>
      <c r="B12" s="892" t="s">
        <v>665</v>
      </c>
      <c r="C12" s="2974" t="s">
        <v>834</v>
      </c>
      <c r="D12" s="2969"/>
      <c r="E12" s="893" t="s">
        <v>706</v>
      </c>
      <c r="F12" s="894">
        <f>SUMIFS(Carbon_Dioxide_ii,SCC_Level_II,"Railroad Equipment",Tier_II_Decription,"Other")</f>
        <v>3.5650410125381296</v>
      </c>
      <c r="G12" s="894">
        <f>SUMIFS(Methane,SCC_Level_II,"Railroad Equipment",Tier_II_Decription,"Other")</f>
        <v>4.4199583554638266E-4</v>
      </c>
      <c r="H12" s="895">
        <f t="shared" ref="H12:H14" si="0">F12*0.907184/1000000</f>
        <v>3.2341481659183902E-6</v>
      </c>
      <c r="I12" s="896">
        <f>G12*L14*0.907184/1000000</f>
        <v>1.1227203402080669E-8</v>
      </c>
      <c r="J12" s="140"/>
      <c r="K12" s="2641"/>
      <c r="L12" s="2641" t="str">
        <f>Summary!E3</f>
        <v>AR5 100-yr GWP</v>
      </c>
      <c r="M12" s="140"/>
    </row>
    <row r="13" spans="1:13" ht="15" customHeight="1" x14ac:dyDescent="0.2">
      <c r="A13" s="140"/>
      <c r="B13" s="892" t="s">
        <v>835</v>
      </c>
      <c r="C13" s="2974" t="s">
        <v>834</v>
      </c>
      <c r="D13" s="2969"/>
      <c r="E13" s="893"/>
      <c r="F13" s="894">
        <f>SUMIFS(Carbon_Dioxide_ii,SCC_Level_II,"Railroad Equipment",Tier_II_Decription,"Non-Road Gasoline")</f>
        <v>118.90379669121467</v>
      </c>
      <c r="G13" s="894">
        <f>SUMIFS(Methane,SCC_Level_II,"Railroad Equipment",Tier_II_Decription,"Non-Road Gasoline")</f>
        <v>7.7342012905923366E-2</v>
      </c>
      <c r="H13" s="895">
        <f t="shared" si="0"/>
        <v>1.0786762189752287E-4</v>
      </c>
      <c r="I13" s="896">
        <f>G13*L14*0.907184/1000000</f>
        <v>1.9645762258093212E-6</v>
      </c>
      <c r="J13" s="140"/>
      <c r="K13" s="2641" t="s">
        <v>521</v>
      </c>
      <c r="L13" s="2642">
        <f>Summary!E4</f>
        <v>1</v>
      </c>
      <c r="M13" s="140"/>
    </row>
    <row r="14" spans="1:13" ht="16.5" customHeight="1" x14ac:dyDescent="0.2">
      <c r="A14" s="140"/>
      <c r="B14" s="892" t="s">
        <v>836</v>
      </c>
      <c r="C14" s="2974" t="s">
        <v>834</v>
      </c>
      <c r="D14" s="2969"/>
      <c r="E14" s="893"/>
      <c r="F14" s="894">
        <f>SUMIFS(Carbon_Dioxide_ii,SCC_Level_II,"Railroad Equipment",Tier_II_Decription,"Non-Road Diesel")</f>
        <v>2015.15024888888</v>
      </c>
      <c r="G14" s="894">
        <f>SUMIFS(Methane,SCC_Level_II,"Railroad Equipment",Tier_II_Decription,"Non-Road Diesel")</f>
        <v>7.8425544464165414E-2</v>
      </c>
      <c r="H14" s="895">
        <f t="shared" si="0"/>
        <v>1.8281120633880097E-3</v>
      </c>
      <c r="I14" s="896">
        <f>G14*L14*0.907184/1000000</f>
        <v>1.9920991756170241E-6</v>
      </c>
      <c r="J14" s="140"/>
      <c r="K14" s="2641" t="s">
        <v>523</v>
      </c>
      <c r="L14" s="2642">
        <f>Summary!E5</f>
        <v>28</v>
      </c>
      <c r="M14" s="140"/>
    </row>
    <row r="15" spans="1:13" ht="11.25" customHeight="1" x14ac:dyDescent="0.2">
      <c r="A15" s="140"/>
      <c r="B15" s="892"/>
      <c r="C15" s="2974"/>
      <c r="D15" s="2969"/>
      <c r="E15" s="893"/>
      <c r="F15" s="894"/>
      <c r="G15" s="894"/>
      <c r="H15" s="895"/>
      <c r="I15" s="896"/>
      <c r="J15" s="140"/>
      <c r="K15" s="2641" t="s">
        <v>525</v>
      </c>
      <c r="L15" s="2642">
        <f>Summary!E6</f>
        <v>265</v>
      </c>
      <c r="M15" s="140"/>
    </row>
    <row r="16" spans="1:13" ht="12" customHeight="1" x14ac:dyDescent="0.2">
      <c r="A16" s="140"/>
      <c r="B16" s="892" t="s">
        <v>836</v>
      </c>
      <c r="C16" s="2974" t="s">
        <v>837</v>
      </c>
      <c r="D16" s="2969"/>
      <c r="E16" s="893"/>
      <c r="F16" s="894">
        <f>SUMIFS(Carbon_Dioxide_ii,SCC_Level_II,"Off-highway Vehicle Diesel",Tier_II_Decription,"Non-Road Diesel")</f>
        <v>1131691.9854630649</v>
      </c>
      <c r="G16" s="894">
        <f>SUMIFS(Methane,SCC_Level_II,"Off-highway Vehicle Diesel",Tier_II_Decription,"Non-Road Diesel")</f>
        <v>19.646825553107906</v>
      </c>
      <c r="H16" s="895"/>
      <c r="I16" s="896"/>
      <c r="J16" s="140"/>
      <c r="K16" s="2641" t="s">
        <v>526</v>
      </c>
      <c r="L16" s="2643">
        <f>Summary!E7</f>
        <v>23500</v>
      </c>
      <c r="M16" s="140"/>
    </row>
    <row r="17" spans="1:13" ht="15.75" customHeight="1" x14ac:dyDescent="0.2">
      <c r="A17" s="140"/>
      <c r="B17" s="892"/>
      <c r="C17" s="2977" t="s">
        <v>836</v>
      </c>
      <c r="D17" s="2969"/>
      <c r="E17" s="897"/>
      <c r="F17" s="898">
        <f t="shared" ref="F17:G17" si="1">F16</f>
        <v>1131691.9854630649</v>
      </c>
      <c r="G17" s="898">
        <f t="shared" si="1"/>
        <v>19.646825553107906</v>
      </c>
      <c r="H17" s="899">
        <f>F17*0.907184/1000000</f>
        <v>1.026652862140325</v>
      </c>
      <c r="I17" s="900">
        <f>G17*L14*0.907184/1000000</f>
        <v>4.9905200219197798E-4</v>
      </c>
      <c r="J17" s="140"/>
      <c r="M17" s="140"/>
    </row>
    <row r="18" spans="1:13" ht="11.25" customHeight="1" x14ac:dyDescent="0.2">
      <c r="A18" s="140"/>
      <c r="B18" s="892"/>
      <c r="C18" s="2974"/>
      <c r="D18" s="2969"/>
      <c r="E18" s="893"/>
      <c r="F18" s="894"/>
      <c r="G18" s="894"/>
      <c r="H18" s="895"/>
      <c r="I18" s="896"/>
      <c r="J18" s="140"/>
      <c r="K18" s="140"/>
      <c r="L18" s="140"/>
      <c r="M18" s="140"/>
    </row>
    <row r="19" spans="1:13" ht="17.25" customHeight="1" x14ac:dyDescent="0.2">
      <c r="A19" s="140"/>
      <c r="B19" s="892" t="s">
        <v>836</v>
      </c>
      <c r="C19" s="2976" t="s">
        <v>838</v>
      </c>
      <c r="D19" s="2969"/>
      <c r="E19" s="901"/>
      <c r="F19" s="902">
        <f>SUMIFS(Carbon_Dioxide_ii,SCC_Level_II,"Pleasure Craft",Tier_II_Decription,"Non-Road Diesel")</f>
        <v>58147.069293670065</v>
      </c>
      <c r="G19" s="902">
        <f>SUMIFS(Methane,SCC_Level_II,"Pleasure Craft",Tier_II_Decription,"Non-Road Diesel")</f>
        <v>1.9851548888131272</v>
      </c>
      <c r="H19" s="903">
        <f>F19*0.907184/1000000</f>
        <v>5.2750090910108779E-2</v>
      </c>
      <c r="I19" s="904">
        <f>G19*L14*0.907184/1000000</f>
        <v>5.0425221074285342E-5</v>
      </c>
      <c r="J19" s="140"/>
      <c r="K19" s="140"/>
      <c r="L19" s="140"/>
      <c r="M19" s="140"/>
    </row>
    <row r="20" spans="1:13" ht="11.25" customHeight="1" x14ac:dyDescent="0.2">
      <c r="A20" s="140"/>
      <c r="B20" s="892"/>
      <c r="C20" s="2974"/>
      <c r="D20" s="2969"/>
      <c r="E20" s="893"/>
      <c r="F20" s="894"/>
      <c r="G20" s="894"/>
      <c r="H20" s="895"/>
      <c r="I20" s="896"/>
      <c r="J20" s="140"/>
      <c r="K20" s="140"/>
      <c r="L20" s="140"/>
      <c r="M20" s="140"/>
    </row>
    <row r="21" spans="1:13" ht="11.25" customHeight="1" x14ac:dyDescent="0.2">
      <c r="A21" s="140"/>
      <c r="B21" s="905"/>
      <c r="C21" s="2968"/>
      <c r="D21" s="2969"/>
      <c r="E21" s="895"/>
      <c r="F21" s="894"/>
      <c r="G21" s="894"/>
      <c r="H21" s="895"/>
      <c r="I21" s="896"/>
      <c r="J21" s="140"/>
      <c r="K21" s="140"/>
      <c r="L21" s="140"/>
      <c r="M21" s="140"/>
    </row>
    <row r="22" spans="1:13" ht="16.5" customHeight="1" x14ac:dyDescent="0.2">
      <c r="A22" s="140"/>
      <c r="B22" s="892" t="s">
        <v>665</v>
      </c>
      <c r="C22" s="2972" t="s">
        <v>787</v>
      </c>
      <c r="D22" s="2969"/>
      <c r="E22" s="906"/>
      <c r="F22" s="907">
        <f>SUMIFS(Carbon_Dioxide_ii,SCC_Level_II,"CNG",Tier_II_Decription,"Other")</f>
        <v>17624.77730611122</v>
      </c>
      <c r="G22" s="907">
        <f>SUMIFS(Methane,SCC_Level_II,"CNG",Tier_II_Decription,"Other")</f>
        <v>121.10397592964399</v>
      </c>
      <c r="H22" s="908">
        <f t="shared" ref="H22:H23" si="2">F22*0.907184/1000000</f>
        <v>1.5988915975667203E-2</v>
      </c>
      <c r="I22" s="909">
        <f>G22*L14*0.907184/1000000</f>
        <v>3.0761805003932286E-3</v>
      </c>
      <c r="J22" s="140"/>
      <c r="K22" s="140"/>
      <c r="L22" s="140"/>
      <c r="M22" s="140"/>
    </row>
    <row r="23" spans="1:13" ht="18" customHeight="1" x14ac:dyDescent="0.2">
      <c r="A23" s="140"/>
      <c r="B23" s="892" t="s">
        <v>665</v>
      </c>
      <c r="C23" s="2973" t="s">
        <v>706</v>
      </c>
      <c r="D23" s="2969"/>
      <c r="E23" s="910"/>
      <c r="F23" s="911">
        <f>SUMIFS(Carbon_Dioxide_ii,SCC_Level_II,"LPG",Tier_II_Decription,"Other")</f>
        <v>188606.4258234227</v>
      </c>
      <c r="G23" s="911">
        <f>SUMIFS(Methane,SCC_Level_II,"LPG",Tier_II_Decription,"Other")</f>
        <v>11.332318030004236</v>
      </c>
      <c r="H23" s="912">
        <f t="shared" si="2"/>
        <v>0.17110073180419591</v>
      </c>
      <c r="I23" s="913">
        <f>G23*L14*0.907184/1000000</f>
        <v>2.8785393279247821E-4</v>
      </c>
      <c r="J23" s="140"/>
      <c r="K23" s="140"/>
      <c r="L23" s="140"/>
      <c r="M23" s="140"/>
    </row>
    <row r="24" spans="1:13" ht="11.25" customHeight="1" x14ac:dyDescent="0.2">
      <c r="A24" s="140"/>
      <c r="B24" s="905"/>
      <c r="C24" s="2968"/>
      <c r="D24" s="2969"/>
      <c r="E24" s="895"/>
      <c r="F24" s="894"/>
      <c r="G24" s="894"/>
      <c r="H24" s="895"/>
      <c r="I24" s="896"/>
      <c r="J24" s="140"/>
      <c r="K24" s="140"/>
      <c r="L24" s="140"/>
      <c r="M24" s="140"/>
    </row>
    <row r="25" spans="1:13" ht="18" customHeight="1" x14ac:dyDescent="0.2">
      <c r="A25" s="140"/>
      <c r="B25" s="892" t="s">
        <v>835</v>
      </c>
      <c r="C25" s="2974" t="s">
        <v>839</v>
      </c>
      <c r="D25" s="2969"/>
      <c r="E25" s="893"/>
      <c r="F25" s="894">
        <f>SUMIFS(Carbon_Dioxide_ii,SCC_Level_II,"Pleasure Craft",Tier_II_Decription,"Non-Road Gasoline")</f>
        <v>220896.14218415317</v>
      </c>
      <c r="G25" s="894">
        <f>SUMIFS(Methane,SCC_Level_II,"Pleasure Craft",Tier_II_Decription,"Non-Road Gasoline")</f>
        <v>204.05111264005237</v>
      </c>
      <c r="H25" s="895"/>
      <c r="I25" s="896"/>
      <c r="J25" s="140"/>
      <c r="K25" s="140"/>
      <c r="L25" s="140"/>
      <c r="M25" s="140"/>
    </row>
    <row r="26" spans="1:13" ht="17.25" customHeight="1" x14ac:dyDescent="0.2">
      <c r="A26" s="140"/>
      <c r="B26" s="892" t="s">
        <v>835</v>
      </c>
      <c r="C26" s="2974" t="s">
        <v>840</v>
      </c>
      <c r="D26" s="2969"/>
      <c r="E26" s="893"/>
      <c r="F26" s="894">
        <f>SUMIFS(Carbon_Dioxide_ii,SCC_Level_II,"Off-highway Vehicle Gasoline, 4-Stroke")</f>
        <v>775928.40047658037</v>
      </c>
      <c r="G26" s="894">
        <f>SUMIFS(Methane,SCC_Level_II,"Off-highway Vehicle Gasoline, 4-Stroke")</f>
        <v>527.76383075206491</v>
      </c>
      <c r="H26" s="895"/>
      <c r="I26" s="896"/>
      <c r="J26" s="140"/>
      <c r="K26" s="140"/>
      <c r="L26" s="140"/>
      <c r="M26" s="140"/>
    </row>
    <row r="27" spans="1:13" ht="16.5" customHeight="1" x14ac:dyDescent="0.2">
      <c r="A27" s="140"/>
      <c r="B27" s="892" t="s">
        <v>835</v>
      </c>
      <c r="C27" s="2974" t="s">
        <v>841</v>
      </c>
      <c r="D27" s="2969"/>
      <c r="E27" s="893"/>
      <c r="F27" s="894">
        <f>SUMIFS(Carbon_Dioxide_ii,SCC_Level_II,"Off-highway Vehicle Gasoline, 2-Stroke")</f>
        <v>71288.994780209512</v>
      </c>
      <c r="G27" s="894">
        <f>SUMIFS(Methane,SCC_Level_II,"Off-highway Vehicle Gasoline, 2-Stroke")</f>
        <v>161.70825757715289</v>
      </c>
      <c r="H27" s="895"/>
      <c r="I27" s="896"/>
      <c r="J27" s="140"/>
      <c r="K27" s="140"/>
      <c r="L27" s="140"/>
      <c r="M27" s="140"/>
    </row>
    <row r="28" spans="1:13" ht="20.25" customHeight="1" x14ac:dyDescent="0.2">
      <c r="A28" s="140"/>
      <c r="B28" s="905"/>
      <c r="C28" s="2975" t="s">
        <v>842</v>
      </c>
      <c r="D28" s="2969"/>
      <c r="E28" s="914"/>
      <c r="F28" s="915">
        <f t="shared" ref="F28:G28" si="3">SUM(F25:F27)</f>
        <v>1068113.5374409431</v>
      </c>
      <c r="G28" s="915">
        <f t="shared" si="3"/>
        <v>893.52320096927019</v>
      </c>
      <c r="H28" s="916">
        <f>F28*0.907184/1000000</f>
        <v>0.96897551134982451</v>
      </c>
      <c r="I28" s="917">
        <f>G28*L14*0.907184/1000000</f>
        <v>2.2696518643346979E-2</v>
      </c>
      <c r="J28" s="140"/>
      <c r="K28" s="140"/>
      <c r="L28" s="140"/>
      <c r="M28" s="140"/>
    </row>
    <row r="29" spans="1:13" ht="11.25" customHeight="1" x14ac:dyDescent="0.2">
      <c r="A29" s="140"/>
      <c r="B29" s="905"/>
      <c r="C29" s="2968"/>
      <c r="D29" s="2969"/>
      <c r="E29" s="895"/>
      <c r="F29" s="895"/>
      <c r="G29" s="895"/>
      <c r="H29" s="895"/>
      <c r="I29" s="896"/>
      <c r="J29" s="140"/>
      <c r="K29" s="140"/>
      <c r="L29" s="140"/>
      <c r="M29" s="140"/>
    </row>
    <row r="30" spans="1:13" ht="18" customHeight="1" x14ac:dyDescent="0.2">
      <c r="A30" s="140"/>
      <c r="B30" s="905"/>
      <c r="C30" s="2968" t="s">
        <v>86</v>
      </c>
      <c r="D30" s="2969"/>
      <c r="E30" s="895"/>
      <c r="F30" s="918">
        <f t="shared" ref="F30:G30" si="4">F12+F13+F14+F17+F19+F22+F23+F28</f>
        <v>2466321.4144138047</v>
      </c>
      <c r="G30" s="918">
        <f t="shared" si="4"/>
        <v>1047.7476849240452</v>
      </c>
      <c r="H30" s="895"/>
      <c r="I30" s="896"/>
      <c r="J30" s="140"/>
      <c r="K30" s="140"/>
      <c r="L30" s="140"/>
      <c r="M30" s="140"/>
    </row>
    <row r="31" spans="1:13" ht="11.25" customHeight="1" x14ac:dyDescent="0.2">
      <c r="A31" s="140"/>
      <c r="B31" s="919"/>
      <c r="C31" s="2970"/>
      <c r="D31" s="2971"/>
      <c r="E31" s="920"/>
      <c r="F31" s="920"/>
      <c r="G31" s="920"/>
      <c r="H31" s="920"/>
      <c r="I31" s="921"/>
      <c r="J31" s="140"/>
      <c r="K31" s="140"/>
      <c r="L31" s="140"/>
      <c r="M31" s="140"/>
    </row>
    <row r="32" spans="1:13" ht="11.25" customHeight="1" x14ac:dyDescent="0.2">
      <c r="A32" s="140"/>
      <c r="B32" s="140"/>
      <c r="C32" s="140"/>
      <c r="D32" s="140"/>
      <c r="E32" s="140"/>
      <c r="F32" s="140"/>
      <c r="G32" s="140"/>
      <c r="H32" s="140"/>
      <c r="I32" s="140"/>
      <c r="J32" s="140"/>
      <c r="K32" s="140"/>
      <c r="L32" s="140"/>
      <c r="M32" s="140"/>
    </row>
    <row r="33" spans="1:13" ht="11.25" customHeight="1" x14ac:dyDescent="0.2">
      <c r="A33" s="140"/>
      <c r="B33" s="140"/>
      <c r="C33" s="140"/>
      <c r="D33" s="140"/>
      <c r="E33" s="140"/>
      <c r="F33" s="140"/>
      <c r="G33" s="140"/>
      <c r="H33" s="140"/>
      <c r="I33" s="140"/>
      <c r="J33" s="140"/>
      <c r="K33" s="140"/>
      <c r="L33" s="140"/>
      <c r="M33" s="140"/>
    </row>
    <row r="34" spans="1:13" ht="15.75" customHeight="1" x14ac:dyDescent="0.2">
      <c r="A34" s="922" t="s">
        <v>843</v>
      </c>
      <c r="B34" s="922" t="s">
        <v>844</v>
      </c>
      <c r="C34" s="922" t="s">
        <v>845</v>
      </c>
      <c r="D34" s="922" t="s">
        <v>846</v>
      </c>
      <c r="E34" s="922" t="s">
        <v>847</v>
      </c>
      <c r="F34" s="922" t="s">
        <v>848</v>
      </c>
      <c r="G34" s="922" t="s">
        <v>849</v>
      </c>
      <c r="H34" s="922" t="s">
        <v>828</v>
      </c>
      <c r="I34" s="923" t="s">
        <v>850</v>
      </c>
      <c r="J34" s="922" t="s">
        <v>851</v>
      </c>
      <c r="K34" s="922" t="s">
        <v>852</v>
      </c>
      <c r="L34" s="922" t="s">
        <v>4</v>
      </c>
      <c r="M34" s="922" t="s">
        <v>5</v>
      </c>
    </row>
    <row r="35" spans="1:13" ht="11.25" customHeight="1" x14ac:dyDescent="0.2">
      <c r="A35" s="924" t="s">
        <v>853</v>
      </c>
      <c r="B35" s="924" t="s">
        <v>788</v>
      </c>
      <c r="C35" s="924" t="s">
        <v>854</v>
      </c>
      <c r="D35" s="924" t="s">
        <v>855</v>
      </c>
      <c r="E35" s="924" t="s">
        <v>856</v>
      </c>
      <c r="F35" s="924" t="s">
        <v>857</v>
      </c>
      <c r="G35" s="924" t="s">
        <v>858</v>
      </c>
      <c r="H35" s="924" t="s">
        <v>836</v>
      </c>
      <c r="I35" s="924" t="s">
        <v>837</v>
      </c>
      <c r="J35" s="924" t="s">
        <v>859</v>
      </c>
      <c r="K35" s="924" t="s">
        <v>860</v>
      </c>
      <c r="L35" s="925">
        <v>1.3197081070393299</v>
      </c>
      <c r="M35" s="925">
        <v>1.21454556121003E-4</v>
      </c>
    </row>
    <row r="36" spans="1:13" ht="11.25" customHeight="1" x14ac:dyDescent="0.2">
      <c r="A36" s="924" t="s">
        <v>853</v>
      </c>
      <c r="B36" s="924" t="s">
        <v>788</v>
      </c>
      <c r="C36" s="924" t="s">
        <v>854</v>
      </c>
      <c r="D36" s="924" t="s">
        <v>855</v>
      </c>
      <c r="E36" s="924" t="s">
        <v>856</v>
      </c>
      <c r="F36" s="924" t="s">
        <v>861</v>
      </c>
      <c r="G36" s="924" t="s">
        <v>862</v>
      </c>
      <c r="H36" s="924" t="s">
        <v>665</v>
      </c>
      <c r="I36" s="924" t="s">
        <v>787</v>
      </c>
      <c r="J36" s="924" t="s">
        <v>863</v>
      </c>
      <c r="K36" s="924" t="s">
        <v>864</v>
      </c>
      <c r="L36" s="925">
        <v>0.12290753563866</v>
      </c>
      <c r="M36" s="925">
        <v>5.0500360339356099E-4</v>
      </c>
    </row>
    <row r="37" spans="1:13" ht="11.25" customHeight="1" x14ac:dyDescent="0.2">
      <c r="A37" s="924" t="s">
        <v>853</v>
      </c>
      <c r="B37" s="924" t="s">
        <v>788</v>
      </c>
      <c r="C37" s="924" t="s">
        <v>854</v>
      </c>
      <c r="D37" s="924" t="s">
        <v>855</v>
      </c>
      <c r="E37" s="924" t="s">
        <v>856</v>
      </c>
      <c r="F37" s="924" t="s">
        <v>865</v>
      </c>
      <c r="G37" s="924" t="s">
        <v>862</v>
      </c>
      <c r="H37" s="924" t="s">
        <v>665</v>
      </c>
      <c r="I37" s="924" t="s">
        <v>787</v>
      </c>
      <c r="J37" s="924" t="s">
        <v>863</v>
      </c>
      <c r="K37" s="924" t="s">
        <v>866</v>
      </c>
      <c r="L37" s="925">
        <v>0.57118257042020604</v>
      </c>
      <c r="M37" s="925">
        <v>2.7557168389194002E-3</v>
      </c>
    </row>
    <row r="38" spans="1:13" ht="11.25" customHeight="1" x14ac:dyDescent="0.2">
      <c r="A38" s="924" t="s">
        <v>853</v>
      </c>
      <c r="B38" s="924" t="s">
        <v>788</v>
      </c>
      <c r="C38" s="924" t="s">
        <v>854</v>
      </c>
      <c r="D38" s="924" t="s">
        <v>855</v>
      </c>
      <c r="E38" s="924" t="s">
        <v>856</v>
      </c>
      <c r="F38" s="924" t="s">
        <v>867</v>
      </c>
      <c r="G38" s="924" t="s">
        <v>862</v>
      </c>
      <c r="H38" s="924" t="s">
        <v>665</v>
      </c>
      <c r="I38" s="924" t="s">
        <v>787</v>
      </c>
      <c r="J38" s="924" t="s">
        <v>863</v>
      </c>
      <c r="K38" s="924" t="s">
        <v>868</v>
      </c>
      <c r="L38" s="925">
        <v>1.5031768847256901</v>
      </c>
      <c r="M38" s="925">
        <v>6.1501207383116699E-3</v>
      </c>
    </row>
    <row r="39" spans="1:13" ht="11.25" customHeight="1" x14ac:dyDescent="0.2">
      <c r="A39" s="924" t="s">
        <v>853</v>
      </c>
      <c r="B39" s="924" t="s">
        <v>788</v>
      </c>
      <c r="C39" s="924" t="s">
        <v>854</v>
      </c>
      <c r="D39" s="924" t="s">
        <v>855</v>
      </c>
      <c r="E39" s="924" t="s">
        <v>856</v>
      </c>
      <c r="F39" s="924" t="s">
        <v>869</v>
      </c>
      <c r="G39" s="924" t="s">
        <v>862</v>
      </c>
      <c r="H39" s="924" t="s">
        <v>665</v>
      </c>
      <c r="I39" s="924" t="s">
        <v>787</v>
      </c>
      <c r="J39" s="924" t="s">
        <v>870</v>
      </c>
      <c r="K39" s="924" t="s">
        <v>871</v>
      </c>
      <c r="L39" s="925">
        <v>1.25284764908429E-2</v>
      </c>
      <c r="M39" s="925">
        <v>7.1885311967889698E-4</v>
      </c>
    </row>
    <row r="40" spans="1:13" ht="11.25" customHeight="1" x14ac:dyDescent="0.2">
      <c r="A40" s="924" t="s">
        <v>853</v>
      </c>
      <c r="B40" s="924" t="s">
        <v>788</v>
      </c>
      <c r="C40" s="924" t="s">
        <v>854</v>
      </c>
      <c r="D40" s="924" t="s">
        <v>855</v>
      </c>
      <c r="E40" s="924" t="s">
        <v>856</v>
      </c>
      <c r="F40" s="924" t="s">
        <v>872</v>
      </c>
      <c r="G40" s="924" t="s">
        <v>862</v>
      </c>
      <c r="H40" s="924" t="s">
        <v>665</v>
      </c>
      <c r="I40" s="924" t="s">
        <v>787</v>
      </c>
      <c r="J40" s="924" t="s">
        <v>870</v>
      </c>
      <c r="K40" s="924" t="s">
        <v>873</v>
      </c>
      <c r="L40" s="925">
        <v>1.37812974350527</v>
      </c>
      <c r="M40" s="925">
        <v>5.5469938833994101E-3</v>
      </c>
    </row>
    <row r="41" spans="1:13" ht="11.25" customHeight="1" x14ac:dyDescent="0.2">
      <c r="A41" s="924" t="s">
        <v>853</v>
      </c>
      <c r="B41" s="924" t="s">
        <v>788</v>
      </c>
      <c r="C41" s="924" t="s">
        <v>854</v>
      </c>
      <c r="D41" s="924" t="s">
        <v>855</v>
      </c>
      <c r="E41" s="924" t="s">
        <v>856</v>
      </c>
      <c r="F41" s="924" t="s">
        <v>874</v>
      </c>
      <c r="G41" s="924" t="s">
        <v>862</v>
      </c>
      <c r="H41" s="924" t="s">
        <v>665</v>
      </c>
      <c r="I41" s="924" t="s">
        <v>787</v>
      </c>
      <c r="J41" s="924" t="s">
        <v>875</v>
      </c>
      <c r="K41" s="924" t="s">
        <v>876</v>
      </c>
      <c r="L41" s="925">
        <v>17.5993264019489</v>
      </c>
      <c r="M41" s="925">
        <v>0.53534742514602796</v>
      </c>
    </row>
    <row r="42" spans="1:13" ht="11.25" customHeight="1" x14ac:dyDescent="0.2">
      <c r="A42" s="924" t="s">
        <v>853</v>
      </c>
      <c r="B42" s="924" t="s">
        <v>788</v>
      </c>
      <c r="C42" s="924" t="s">
        <v>854</v>
      </c>
      <c r="D42" s="924" t="s">
        <v>855</v>
      </c>
      <c r="E42" s="924" t="s">
        <v>856</v>
      </c>
      <c r="F42" s="924" t="s">
        <v>877</v>
      </c>
      <c r="G42" s="924" t="s">
        <v>862</v>
      </c>
      <c r="H42" s="924" t="s">
        <v>665</v>
      </c>
      <c r="I42" s="924" t="s">
        <v>787</v>
      </c>
      <c r="J42" s="924" t="s">
        <v>875</v>
      </c>
      <c r="K42" s="924" t="s">
        <v>878</v>
      </c>
      <c r="L42" s="925">
        <v>0.84184776712208997</v>
      </c>
      <c r="M42" s="925">
        <v>1.3791742749162899E-2</v>
      </c>
    </row>
    <row r="43" spans="1:13" ht="11.25" customHeight="1" x14ac:dyDescent="0.2">
      <c r="A43" s="924" t="s">
        <v>853</v>
      </c>
      <c r="B43" s="924" t="s">
        <v>788</v>
      </c>
      <c r="C43" s="924" t="s">
        <v>854</v>
      </c>
      <c r="D43" s="924" t="s">
        <v>855</v>
      </c>
      <c r="E43" s="924" t="s">
        <v>856</v>
      </c>
      <c r="F43" s="924" t="s">
        <v>879</v>
      </c>
      <c r="G43" s="924" t="s">
        <v>862</v>
      </c>
      <c r="H43" s="924" t="s">
        <v>665</v>
      </c>
      <c r="I43" s="924" t="s">
        <v>787</v>
      </c>
      <c r="J43" s="924" t="s">
        <v>875</v>
      </c>
      <c r="K43" s="924" t="s">
        <v>880</v>
      </c>
      <c r="L43" s="925">
        <v>1.2416900154203201</v>
      </c>
      <c r="M43" s="925">
        <v>6.9855095507591596E-3</v>
      </c>
    </row>
    <row r="44" spans="1:13" ht="11.25" customHeight="1" x14ac:dyDescent="0.2">
      <c r="A44" s="924" t="s">
        <v>853</v>
      </c>
      <c r="B44" s="924" t="s">
        <v>788</v>
      </c>
      <c r="C44" s="924" t="s">
        <v>854</v>
      </c>
      <c r="D44" s="924" t="s">
        <v>855</v>
      </c>
      <c r="E44" s="924" t="s">
        <v>856</v>
      </c>
      <c r="F44" s="924" t="s">
        <v>881</v>
      </c>
      <c r="G44" s="924" t="s">
        <v>862</v>
      </c>
      <c r="H44" s="924" t="s">
        <v>665</v>
      </c>
      <c r="I44" s="924" t="s">
        <v>787</v>
      </c>
      <c r="J44" s="924" t="s">
        <v>875</v>
      </c>
      <c r="K44" s="924" t="s">
        <v>882</v>
      </c>
      <c r="L44" s="925">
        <v>44.192416191101103</v>
      </c>
      <c r="M44" s="925">
        <v>0.21117851953022199</v>
      </c>
    </row>
    <row r="45" spans="1:13" ht="11.25" customHeight="1" x14ac:dyDescent="0.2">
      <c r="A45" s="924" t="s">
        <v>853</v>
      </c>
      <c r="B45" s="924" t="s">
        <v>788</v>
      </c>
      <c r="C45" s="924" t="s">
        <v>854</v>
      </c>
      <c r="D45" s="924" t="s">
        <v>855</v>
      </c>
      <c r="E45" s="924" t="s">
        <v>856</v>
      </c>
      <c r="F45" s="924" t="s">
        <v>883</v>
      </c>
      <c r="G45" s="924" t="s">
        <v>858</v>
      </c>
      <c r="H45" s="924" t="s">
        <v>836</v>
      </c>
      <c r="I45" s="924" t="s">
        <v>837</v>
      </c>
      <c r="J45" s="924" t="s">
        <v>884</v>
      </c>
      <c r="K45" s="924" t="s">
        <v>885</v>
      </c>
      <c r="L45" s="925">
        <v>118.161397457123</v>
      </c>
      <c r="M45" s="925">
        <v>4.5321243297848897E-3</v>
      </c>
    </row>
    <row r="46" spans="1:13" ht="11.25" customHeight="1" x14ac:dyDescent="0.2">
      <c r="A46" s="924" t="s">
        <v>853</v>
      </c>
      <c r="B46" s="924" t="s">
        <v>788</v>
      </c>
      <c r="C46" s="924" t="s">
        <v>854</v>
      </c>
      <c r="D46" s="924" t="s">
        <v>855</v>
      </c>
      <c r="E46" s="924" t="s">
        <v>856</v>
      </c>
      <c r="F46" s="924" t="s">
        <v>886</v>
      </c>
      <c r="G46" s="924" t="s">
        <v>858</v>
      </c>
      <c r="H46" s="924" t="s">
        <v>836</v>
      </c>
      <c r="I46" s="924" t="s">
        <v>837</v>
      </c>
      <c r="J46" s="924" t="s">
        <v>859</v>
      </c>
      <c r="K46" s="924" t="s">
        <v>887</v>
      </c>
      <c r="L46" s="925">
        <v>124.17462170124099</v>
      </c>
      <c r="M46" s="925">
        <v>9.1901017403017704E-4</v>
      </c>
    </row>
    <row r="47" spans="1:13" ht="11.25" customHeight="1" x14ac:dyDescent="0.2">
      <c r="A47" s="924" t="s">
        <v>853</v>
      </c>
      <c r="B47" s="924" t="s">
        <v>788</v>
      </c>
      <c r="C47" s="924" t="s">
        <v>854</v>
      </c>
      <c r="D47" s="924" t="s">
        <v>855</v>
      </c>
      <c r="E47" s="924" t="s">
        <v>856</v>
      </c>
      <c r="F47" s="924" t="s">
        <v>888</v>
      </c>
      <c r="G47" s="924" t="s">
        <v>858</v>
      </c>
      <c r="H47" s="924" t="s">
        <v>836</v>
      </c>
      <c r="I47" s="924" t="s">
        <v>837</v>
      </c>
      <c r="J47" s="924" t="s">
        <v>859</v>
      </c>
      <c r="K47" s="924" t="s">
        <v>889</v>
      </c>
      <c r="L47" s="925">
        <v>8.0104650696739596E-2</v>
      </c>
      <c r="M47" s="925">
        <v>8.8385938150636906E-6</v>
      </c>
    </row>
    <row r="48" spans="1:13" ht="11.25" customHeight="1" x14ac:dyDescent="0.2">
      <c r="A48" s="924" t="s">
        <v>853</v>
      </c>
      <c r="B48" s="924" t="s">
        <v>788</v>
      </c>
      <c r="C48" s="924" t="s">
        <v>854</v>
      </c>
      <c r="D48" s="924" t="s">
        <v>855</v>
      </c>
      <c r="E48" s="924" t="s">
        <v>856</v>
      </c>
      <c r="F48" s="924" t="s">
        <v>890</v>
      </c>
      <c r="G48" s="924" t="s">
        <v>862</v>
      </c>
      <c r="H48" s="924" t="s">
        <v>665</v>
      </c>
      <c r="I48" s="924" t="s">
        <v>787</v>
      </c>
      <c r="J48" s="924" t="s">
        <v>859</v>
      </c>
      <c r="K48" s="924" t="s">
        <v>891</v>
      </c>
      <c r="L48" s="925">
        <v>2.4003075523069101E-2</v>
      </c>
      <c r="M48" s="925">
        <v>8.5443778675653404E-4</v>
      </c>
    </row>
    <row r="49" spans="1:13" ht="11.25" customHeight="1" x14ac:dyDescent="0.2">
      <c r="A49" s="924" t="s">
        <v>853</v>
      </c>
      <c r="B49" s="924" t="s">
        <v>788</v>
      </c>
      <c r="C49" s="924" t="s">
        <v>854</v>
      </c>
      <c r="D49" s="924" t="s">
        <v>855</v>
      </c>
      <c r="E49" s="924" t="s">
        <v>856</v>
      </c>
      <c r="F49" s="924" t="s">
        <v>892</v>
      </c>
      <c r="G49" s="924" t="s">
        <v>858</v>
      </c>
      <c r="H49" s="924" t="s">
        <v>836</v>
      </c>
      <c r="I49" s="924" t="s">
        <v>837</v>
      </c>
      <c r="J49" s="924" t="s">
        <v>859</v>
      </c>
      <c r="K49" s="924" t="s">
        <v>893</v>
      </c>
      <c r="L49" s="925">
        <v>123.154520511627</v>
      </c>
      <c r="M49" s="925">
        <v>1.55788147992553E-3</v>
      </c>
    </row>
    <row r="50" spans="1:13" ht="11.25" customHeight="1" x14ac:dyDescent="0.2">
      <c r="A50" s="924" t="s">
        <v>853</v>
      </c>
      <c r="B50" s="924" t="s">
        <v>788</v>
      </c>
      <c r="C50" s="924" t="s">
        <v>854</v>
      </c>
      <c r="D50" s="924" t="s">
        <v>855</v>
      </c>
      <c r="E50" s="924" t="s">
        <v>856</v>
      </c>
      <c r="F50" s="924" t="s">
        <v>894</v>
      </c>
      <c r="G50" s="924" t="s">
        <v>858</v>
      </c>
      <c r="H50" s="924" t="s">
        <v>836</v>
      </c>
      <c r="I50" s="924" t="s">
        <v>837</v>
      </c>
      <c r="J50" s="924" t="s">
        <v>859</v>
      </c>
      <c r="K50" s="924" t="s">
        <v>895</v>
      </c>
      <c r="L50" s="925">
        <v>133.99600780010201</v>
      </c>
      <c r="M50" s="925">
        <v>8.8758133730948397E-4</v>
      </c>
    </row>
    <row r="51" spans="1:13" ht="11.25" customHeight="1" x14ac:dyDescent="0.2">
      <c r="A51" s="924" t="s">
        <v>853</v>
      </c>
      <c r="B51" s="924" t="s">
        <v>788</v>
      </c>
      <c r="C51" s="924" t="s">
        <v>854</v>
      </c>
      <c r="D51" s="924" t="s">
        <v>855</v>
      </c>
      <c r="E51" s="924" t="s">
        <v>856</v>
      </c>
      <c r="F51" s="924" t="s">
        <v>896</v>
      </c>
      <c r="G51" s="924" t="s">
        <v>858</v>
      </c>
      <c r="H51" s="924" t="s">
        <v>836</v>
      </c>
      <c r="I51" s="924" t="s">
        <v>837</v>
      </c>
      <c r="J51" s="924" t="s">
        <v>859</v>
      </c>
      <c r="K51" s="924" t="s">
        <v>897</v>
      </c>
      <c r="L51" s="925">
        <v>7.3889673650264696</v>
      </c>
      <c r="M51" s="925">
        <v>1.19655592834889E-4</v>
      </c>
    </row>
    <row r="52" spans="1:13" ht="11.25" customHeight="1" x14ac:dyDescent="0.2">
      <c r="A52" s="924" t="s">
        <v>853</v>
      </c>
      <c r="B52" s="924" t="s">
        <v>788</v>
      </c>
      <c r="C52" s="924" t="s">
        <v>854</v>
      </c>
      <c r="D52" s="924" t="s">
        <v>855</v>
      </c>
      <c r="E52" s="924" t="s">
        <v>856</v>
      </c>
      <c r="F52" s="924" t="s">
        <v>898</v>
      </c>
      <c r="G52" s="924" t="s">
        <v>858</v>
      </c>
      <c r="H52" s="924" t="s">
        <v>836</v>
      </c>
      <c r="I52" s="924" t="s">
        <v>837</v>
      </c>
      <c r="J52" s="924" t="s">
        <v>859</v>
      </c>
      <c r="K52" s="924" t="s">
        <v>899</v>
      </c>
      <c r="L52" s="925">
        <v>4.5284700728952902</v>
      </c>
      <c r="M52" s="925">
        <v>7.8768337322010495E-5</v>
      </c>
    </row>
    <row r="53" spans="1:13" ht="11.25" customHeight="1" x14ac:dyDescent="0.2">
      <c r="A53" s="924" t="s">
        <v>853</v>
      </c>
      <c r="B53" s="924" t="s">
        <v>788</v>
      </c>
      <c r="C53" s="924" t="s">
        <v>854</v>
      </c>
      <c r="D53" s="924" t="s">
        <v>855</v>
      </c>
      <c r="E53" s="924" t="s">
        <v>856</v>
      </c>
      <c r="F53" s="924" t="s">
        <v>900</v>
      </c>
      <c r="G53" s="924" t="s">
        <v>858</v>
      </c>
      <c r="H53" s="924" t="s">
        <v>836</v>
      </c>
      <c r="I53" s="924" t="s">
        <v>837</v>
      </c>
      <c r="J53" s="924" t="s">
        <v>859</v>
      </c>
      <c r="K53" s="924" t="s">
        <v>901</v>
      </c>
      <c r="L53" s="925">
        <v>13.601397573947899</v>
      </c>
      <c r="M53" s="925">
        <v>5.9278173541521496E-4</v>
      </c>
    </row>
    <row r="54" spans="1:13" ht="11.25" customHeight="1" x14ac:dyDescent="0.2">
      <c r="A54" s="924" t="s">
        <v>853</v>
      </c>
      <c r="B54" s="924" t="s">
        <v>788</v>
      </c>
      <c r="C54" s="924" t="s">
        <v>854</v>
      </c>
      <c r="D54" s="924" t="s">
        <v>855</v>
      </c>
      <c r="E54" s="924" t="s">
        <v>856</v>
      </c>
      <c r="F54" s="924" t="s">
        <v>902</v>
      </c>
      <c r="G54" s="924" t="s">
        <v>858</v>
      </c>
      <c r="H54" s="924" t="s">
        <v>836</v>
      </c>
      <c r="I54" s="924" t="s">
        <v>837</v>
      </c>
      <c r="J54" s="924" t="s">
        <v>859</v>
      </c>
      <c r="K54" s="924" t="s">
        <v>903</v>
      </c>
      <c r="L54" s="925">
        <v>58.406281232833898</v>
      </c>
      <c r="M54" s="925">
        <v>1.01532396965354E-3</v>
      </c>
    </row>
    <row r="55" spans="1:13" ht="11.25" customHeight="1" x14ac:dyDescent="0.2">
      <c r="A55" s="924" t="s">
        <v>853</v>
      </c>
      <c r="B55" s="924" t="s">
        <v>788</v>
      </c>
      <c r="C55" s="924" t="s">
        <v>854</v>
      </c>
      <c r="D55" s="924" t="s">
        <v>855</v>
      </c>
      <c r="E55" s="924" t="s">
        <v>856</v>
      </c>
      <c r="F55" s="924" t="s">
        <v>904</v>
      </c>
      <c r="G55" s="924" t="s">
        <v>858</v>
      </c>
      <c r="H55" s="924" t="s">
        <v>836</v>
      </c>
      <c r="I55" s="924" t="s">
        <v>837</v>
      </c>
      <c r="J55" s="924" t="s">
        <v>859</v>
      </c>
      <c r="K55" s="924" t="s">
        <v>905</v>
      </c>
      <c r="L55" s="925">
        <v>50.570437967777302</v>
      </c>
      <c r="M55" s="925">
        <v>9.5802880157691605E-4</v>
      </c>
    </row>
    <row r="56" spans="1:13" ht="11.25" customHeight="1" x14ac:dyDescent="0.2">
      <c r="A56" s="924" t="s">
        <v>853</v>
      </c>
      <c r="B56" s="924" t="s">
        <v>788</v>
      </c>
      <c r="C56" s="924" t="s">
        <v>854</v>
      </c>
      <c r="D56" s="924" t="s">
        <v>855</v>
      </c>
      <c r="E56" s="924" t="s">
        <v>856</v>
      </c>
      <c r="F56" s="924" t="s">
        <v>906</v>
      </c>
      <c r="G56" s="924" t="s">
        <v>858</v>
      </c>
      <c r="H56" s="924" t="s">
        <v>836</v>
      </c>
      <c r="I56" s="924" t="s">
        <v>837</v>
      </c>
      <c r="J56" s="924" t="s">
        <v>859</v>
      </c>
      <c r="K56" s="924" t="s">
        <v>907</v>
      </c>
      <c r="L56" s="925">
        <v>499.07889366149902</v>
      </c>
      <c r="M56" s="925">
        <v>3.32260265707873E-3</v>
      </c>
    </row>
    <row r="57" spans="1:13" ht="11.25" customHeight="1" x14ac:dyDescent="0.2">
      <c r="A57" s="924" t="s">
        <v>853</v>
      </c>
      <c r="B57" s="924" t="s">
        <v>788</v>
      </c>
      <c r="C57" s="924" t="s">
        <v>854</v>
      </c>
      <c r="D57" s="924" t="s">
        <v>855</v>
      </c>
      <c r="E57" s="924" t="s">
        <v>856</v>
      </c>
      <c r="F57" s="924" t="s">
        <v>908</v>
      </c>
      <c r="G57" s="924" t="s">
        <v>858</v>
      </c>
      <c r="H57" s="924" t="s">
        <v>836</v>
      </c>
      <c r="I57" s="924" t="s">
        <v>837</v>
      </c>
      <c r="J57" s="924" t="s">
        <v>859</v>
      </c>
      <c r="K57" s="924" t="s">
        <v>909</v>
      </c>
      <c r="L57" s="925">
        <v>4.15213843807578</v>
      </c>
      <c r="M57" s="925">
        <v>8.6905799153491601E-5</v>
      </c>
    </row>
    <row r="58" spans="1:13" ht="11.25" customHeight="1" x14ac:dyDescent="0.2">
      <c r="A58" s="924" t="s">
        <v>853</v>
      </c>
      <c r="B58" s="924" t="s">
        <v>788</v>
      </c>
      <c r="C58" s="924" t="s">
        <v>854</v>
      </c>
      <c r="D58" s="924" t="s">
        <v>855</v>
      </c>
      <c r="E58" s="924" t="s">
        <v>856</v>
      </c>
      <c r="F58" s="924" t="s">
        <v>910</v>
      </c>
      <c r="G58" s="924" t="s">
        <v>911</v>
      </c>
      <c r="H58" s="924" t="s">
        <v>665</v>
      </c>
      <c r="I58" s="924" t="s">
        <v>706</v>
      </c>
      <c r="J58" s="924" t="s">
        <v>859</v>
      </c>
      <c r="K58" s="924" t="s">
        <v>905</v>
      </c>
      <c r="L58" s="925">
        <v>0.49200364667922297</v>
      </c>
      <c r="M58" s="925">
        <v>4.0221124424988402E-4</v>
      </c>
    </row>
    <row r="59" spans="1:13" ht="11.25" customHeight="1" x14ac:dyDescent="0.2">
      <c r="A59" s="924" t="s">
        <v>853</v>
      </c>
      <c r="B59" s="924" t="s">
        <v>788</v>
      </c>
      <c r="C59" s="924" t="s">
        <v>854</v>
      </c>
      <c r="D59" s="924" t="s">
        <v>855</v>
      </c>
      <c r="E59" s="924" t="s">
        <v>856</v>
      </c>
      <c r="F59" s="924" t="s">
        <v>912</v>
      </c>
      <c r="G59" s="924" t="s">
        <v>858</v>
      </c>
      <c r="H59" s="924" t="s">
        <v>836</v>
      </c>
      <c r="I59" s="924" t="s">
        <v>837</v>
      </c>
      <c r="J59" s="924" t="s">
        <v>859</v>
      </c>
      <c r="K59" s="924" t="s">
        <v>913</v>
      </c>
      <c r="L59" s="925">
        <v>49.196706295013399</v>
      </c>
      <c r="M59" s="925">
        <v>5.4177580506120605E-4</v>
      </c>
    </row>
    <row r="60" spans="1:13" ht="11.25" customHeight="1" x14ac:dyDescent="0.2">
      <c r="A60" s="924" t="s">
        <v>853</v>
      </c>
      <c r="B60" s="924" t="s">
        <v>788</v>
      </c>
      <c r="C60" s="924" t="s">
        <v>854</v>
      </c>
      <c r="D60" s="924" t="s">
        <v>855</v>
      </c>
      <c r="E60" s="924" t="s">
        <v>856</v>
      </c>
      <c r="F60" s="924" t="s">
        <v>914</v>
      </c>
      <c r="G60" s="924" t="s">
        <v>911</v>
      </c>
      <c r="H60" s="924" t="s">
        <v>665</v>
      </c>
      <c r="I60" s="924" t="s">
        <v>706</v>
      </c>
      <c r="J60" s="924" t="s">
        <v>863</v>
      </c>
      <c r="K60" s="924" t="s">
        <v>915</v>
      </c>
      <c r="L60" s="925">
        <v>2.2540017813444102</v>
      </c>
      <c r="M60" s="925">
        <v>3.2161833502186699E-4</v>
      </c>
    </row>
    <row r="61" spans="1:13" ht="11.25" customHeight="1" x14ac:dyDescent="0.2">
      <c r="A61" s="924" t="s">
        <v>853</v>
      </c>
      <c r="B61" s="924" t="s">
        <v>788</v>
      </c>
      <c r="C61" s="924" t="s">
        <v>854</v>
      </c>
      <c r="D61" s="924" t="s">
        <v>855</v>
      </c>
      <c r="E61" s="924" t="s">
        <v>856</v>
      </c>
      <c r="F61" s="924" t="s">
        <v>916</v>
      </c>
      <c r="G61" s="924" t="s">
        <v>911</v>
      </c>
      <c r="H61" s="924" t="s">
        <v>665</v>
      </c>
      <c r="I61" s="924" t="s">
        <v>706</v>
      </c>
      <c r="J61" s="924" t="s">
        <v>859</v>
      </c>
      <c r="K61" s="924" t="s">
        <v>909</v>
      </c>
      <c r="L61" s="925">
        <v>1.17666800320148</v>
      </c>
      <c r="M61" s="925">
        <v>5.4460386820665001E-5</v>
      </c>
    </row>
    <row r="62" spans="1:13" ht="11.25" customHeight="1" x14ac:dyDescent="0.2">
      <c r="A62" s="924" t="s">
        <v>853</v>
      </c>
      <c r="B62" s="924" t="s">
        <v>788</v>
      </c>
      <c r="C62" s="924" t="s">
        <v>854</v>
      </c>
      <c r="D62" s="924" t="s">
        <v>855</v>
      </c>
      <c r="E62" s="924" t="s">
        <v>856</v>
      </c>
      <c r="F62" s="924" t="s">
        <v>917</v>
      </c>
      <c r="G62" s="924" t="s">
        <v>911</v>
      </c>
      <c r="H62" s="924" t="s">
        <v>665</v>
      </c>
      <c r="I62" s="924" t="s">
        <v>706</v>
      </c>
      <c r="J62" s="924" t="s">
        <v>859</v>
      </c>
      <c r="K62" s="924" t="s">
        <v>918</v>
      </c>
      <c r="L62" s="925">
        <v>0.45640609506517599</v>
      </c>
      <c r="M62" s="925">
        <v>1.47368072049403E-4</v>
      </c>
    </row>
    <row r="63" spans="1:13" ht="11.25" customHeight="1" x14ac:dyDescent="0.2">
      <c r="A63" s="924" t="s">
        <v>853</v>
      </c>
      <c r="B63" s="924" t="s">
        <v>788</v>
      </c>
      <c r="C63" s="924" t="s">
        <v>854</v>
      </c>
      <c r="D63" s="924" t="s">
        <v>855</v>
      </c>
      <c r="E63" s="924" t="s">
        <v>856</v>
      </c>
      <c r="F63" s="924" t="s">
        <v>919</v>
      </c>
      <c r="G63" s="924" t="s">
        <v>911</v>
      </c>
      <c r="H63" s="924" t="s">
        <v>665</v>
      </c>
      <c r="I63" s="924" t="s">
        <v>706</v>
      </c>
      <c r="J63" s="924" t="s">
        <v>859</v>
      </c>
      <c r="K63" s="924" t="s">
        <v>920</v>
      </c>
      <c r="L63" s="925">
        <v>7.5307407532818602E-2</v>
      </c>
      <c r="M63" s="925">
        <v>2.10983677462195E-5</v>
      </c>
    </row>
    <row r="64" spans="1:13" ht="11.25" customHeight="1" x14ac:dyDescent="0.2">
      <c r="A64" s="924" t="s">
        <v>853</v>
      </c>
      <c r="B64" s="924" t="s">
        <v>788</v>
      </c>
      <c r="C64" s="924" t="s">
        <v>854</v>
      </c>
      <c r="D64" s="924" t="s">
        <v>855</v>
      </c>
      <c r="E64" s="924" t="s">
        <v>856</v>
      </c>
      <c r="F64" s="924" t="s">
        <v>921</v>
      </c>
      <c r="G64" s="924" t="s">
        <v>911</v>
      </c>
      <c r="H64" s="924" t="s">
        <v>665</v>
      </c>
      <c r="I64" s="924" t="s">
        <v>706</v>
      </c>
      <c r="J64" s="924" t="s">
        <v>859</v>
      </c>
      <c r="K64" s="924" t="s">
        <v>922</v>
      </c>
      <c r="L64" s="925">
        <v>0.79969849903136503</v>
      </c>
      <c r="M64" s="925">
        <v>1.06811908494819E-4</v>
      </c>
    </row>
    <row r="65" spans="1:13" ht="11.25" customHeight="1" x14ac:dyDescent="0.2">
      <c r="A65" s="924" t="s">
        <v>853</v>
      </c>
      <c r="B65" s="924" t="s">
        <v>788</v>
      </c>
      <c r="C65" s="924" t="s">
        <v>854</v>
      </c>
      <c r="D65" s="924" t="s">
        <v>855</v>
      </c>
      <c r="E65" s="924" t="s">
        <v>856</v>
      </c>
      <c r="F65" s="924" t="s">
        <v>923</v>
      </c>
      <c r="G65" s="924" t="s">
        <v>911</v>
      </c>
      <c r="H65" s="924" t="s">
        <v>665</v>
      </c>
      <c r="I65" s="924" t="s">
        <v>706</v>
      </c>
      <c r="J65" s="924" t="s">
        <v>859</v>
      </c>
      <c r="K65" s="924" t="s">
        <v>924</v>
      </c>
      <c r="L65" s="925">
        <v>1.96346325613558</v>
      </c>
      <c r="M65" s="925">
        <v>1.0409513254217E-4</v>
      </c>
    </row>
    <row r="66" spans="1:13" ht="11.25" customHeight="1" x14ac:dyDescent="0.2">
      <c r="A66" s="924" t="s">
        <v>853</v>
      </c>
      <c r="B66" s="924" t="s">
        <v>788</v>
      </c>
      <c r="C66" s="924" t="s">
        <v>854</v>
      </c>
      <c r="D66" s="924" t="s">
        <v>855</v>
      </c>
      <c r="E66" s="924" t="s">
        <v>856</v>
      </c>
      <c r="F66" s="924" t="s">
        <v>925</v>
      </c>
      <c r="G66" s="924" t="s">
        <v>911</v>
      </c>
      <c r="H66" s="924" t="s">
        <v>665</v>
      </c>
      <c r="I66" s="924" t="s">
        <v>706</v>
      </c>
      <c r="J66" s="924" t="s">
        <v>859</v>
      </c>
      <c r="K66" s="924" t="s">
        <v>926</v>
      </c>
      <c r="L66" s="925">
        <v>0.20753826806321701</v>
      </c>
      <c r="M66" s="925">
        <v>9.5678385960695795E-6</v>
      </c>
    </row>
    <row r="67" spans="1:13" ht="11.25" customHeight="1" x14ac:dyDescent="0.2">
      <c r="A67" s="924" t="s">
        <v>853</v>
      </c>
      <c r="B67" s="924" t="s">
        <v>788</v>
      </c>
      <c r="C67" s="924" t="s">
        <v>854</v>
      </c>
      <c r="D67" s="924" t="s">
        <v>855</v>
      </c>
      <c r="E67" s="924" t="s">
        <v>856</v>
      </c>
      <c r="F67" s="924" t="s">
        <v>927</v>
      </c>
      <c r="G67" s="924" t="s">
        <v>911</v>
      </c>
      <c r="H67" s="924" t="s">
        <v>665</v>
      </c>
      <c r="I67" s="924" t="s">
        <v>706</v>
      </c>
      <c r="J67" s="924" t="s">
        <v>859</v>
      </c>
      <c r="K67" s="924" t="s">
        <v>928</v>
      </c>
      <c r="L67" s="925">
        <v>1.68744151853025</v>
      </c>
      <c r="M67" s="925">
        <v>5.0045901605244602E-4</v>
      </c>
    </row>
    <row r="68" spans="1:13" ht="11.25" customHeight="1" x14ac:dyDescent="0.2">
      <c r="A68" s="924" t="s">
        <v>853</v>
      </c>
      <c r="B68" s="924" t="s">
        <v>788</v>
      </c>
      <c r="C68" s="924" t="s">
        <v>854</v>
      </c>
      <c r="D68" s="924" t="s">
        <v>855</v>
      </c>
      <c r="E68" s="924" t="s">
        <v>856</v>
      </c>
      <c r="F68" s="924" t="s">
        <v>929</v>
      </c>
      <c r="G68" s="924" t="s">
        <v>911</v>
      </c>
      <c r="H68" s="924" t="s">
        <v>665</v>
      </c>
      <c r="I68" s="924" t="s">
        <v>706</v>
      </c>
      <c r="J68" s="924" t="s">
        <v>859</v>
      </c>
      <c r="K68" s="924" t="s">
        <v>891</v>
      </c>
      <c r="L68" s="925">
        <v>0.69472073297947601</v>
      </c>
      <c r="M68" s="925">
        <v>2.7835309742840802E-4</v>
      </c>
    </row>
    <row r="69" spans="1:13" ht="11.25" customHeight="1" x14ac:dyDescent="0.2">
      <c r="A69" s="924" t="s">
        <v>853</v>
      </c>
      <c r="B69" s="924" t="s">
        <v>788</v>
      </c>
      <c r="C69" s="924" t="s">
        <v>854</v>
      </c>
      <c r="D69" s="924" t="s">
        <v>855</v>
      </c>
      <c r="E69" s="924" t="s">
        <v>856</v>
      </c>
      <c r="F69" s="924" t="s">
        <v>930</v>
      </c>
      <c r="G69" s="924" t="s">
        <v>911</v>
      </c>
      <c r="H69" s="924" t="s">
        <v>665</v>
      </c>
      <c r="I69" s="924" t="s">
        <v>706</v>
      </c>
      <c r="J69" s="924" t="s">
        <v>863</v>
      </c>
      <c r="K69" s="924" t="s">
        <v>931</v>
      </c>
      <c r="L69" s="925">
        <v>42.442101776599898</v>
      </c>
      <c r="M69" s="925">
        <v>8.6493821072508598E-3</v>
      </c>
    </row>
    <row r="70" spans="1:13" ht="11.25" customHeight="1" x14ac:dyDescent="0.2">
      <c r="A70" s="924" t="s">
        <v>853</v>
      </c>
      <c r="B70" s="924" t="s">
        <v>788</v>
      </c>
      <c r="C70" s="924" t="s">
        <v>854</v>
      </c>
      <c r="D70" s="924" t="s">
        <v>855</v>
      </c>
      <c r="E70" s="924" t="s">
        <v>856</v>
      </c>
      <c r="F70" s="924" t="s">
        <v>932</v>
      </c>
      <c r="G70" s="924" t="s">
        <v>911</v>
      </c>
      <c r="H70" s="924" t="s">
        <v>665</v>
      </c>
      <c r="I70" s="924" t="s">
        <v>706</v>
      </c>
      <c r="J70" s="924" t="s">
        <v>863</v>
      </c>
      <c r="K70" s="924" t="s">
        <v>933</v>
      </c>
      <c r="L70" s="925">
        <v>3948.4627990722702</v>
      </c>
      <c r="M70" s="925">
        <v>0.190824184566736</v>
      </c>
    </row>
    <row r="71" spans="1:13" ht="11.25" customHeight="1" x14ac:dyDescent="0.2">
      <c r="A71" s="924" t="s">
        <v>853</v>
      </c>
      <c r="B71" s="924" t="s">
        <v>788</v>
      </c>
      <c r="C71" s="924" t="s">
        <v>854</v>
      </c>
      <c r="D71" s="924" t="s">
        <v>855</v>
      </c>
      <c r="E71" s="924" t="s">
        <v>856</v>
      </c>
      <c r="F71" s="924" t="s">
        <v>934</v>
      </c>
      <c r="G71" s="924" t="s">
        <v>862</v>
      </c>
      <c r="H71" s="924" t="s">
        <v>665</v>
      </c>
      <c r="I71" s="924" t="s">
        <v>787</v>
      </c>
      <c r="J71" s="924" t="s">
        <v>863</v>
      </c>
      <c r="K71" s="924" t="s">
        <v>935</v>
      </c>
      <c r="L71" s="925">
        <v>0.2255276767537</v>
      </c>
      <c r="M71" s="925">
        <v>9.4804032505635405E-4</v>
      </c>
    </row>
    <row r="72" spans="1:13" ht="11.25" customHeight="1" x14ac:dyDescent="0.2">
      <c r="A72" s="924" t="s">
        <v>853</v>
      </c>
      <c r="B72" s="924" t="s">
        <v>788</v>
      </c>
      <c r="C72" s="924" t="s">
        <v>854</v>
      </c>
      <c r="D72" s="924" t="s">
        <v>855</v>
      </c>
      <c r="E72" s="924" t="s">
        <v>856</v>
      </c>
      <c r="F72" s="924" t="s">
        <v>936</v>
      </c>
      <c r="G72" s="924" t="s">
        <v>911</v>
      </c>
      <c r="H72" s="924" t="s">
        <v>665</v>
      </c>
      <c r="I72" s="924" t="s">
        <v>706</v>
      </c>
      <c r="J72" s="924" t="s">
        <v>863</v>
      </c>
      <c r="K72" s="924" t="s">
        <v>864</v>
      </c>
      <c r="L72" s="925">
        <v>9.2926665544509905</v>
      </c>
      <c r="M72" s="925">
        <v>4.3252238037894098E-4</v>
      </c>
    </row>
    <row r="73" spans="1:13" ht="11.25" customHeight="1" x14ac:dyDescent="0.2">
      <c r="A73" s="924" t="s">
        <v>853</v>
      </c>
      <c r="B73" s="924" t="s">
        <v>788</v>
      </c>
      <c r="C73" s="924" t="s">
        <v>854</v>
      </c>
      <c r="D73" s="924" t="s">
        <v>855</v>
      </c>
      <c r="E73" s="924" t="s">
        <v>856</v>
      </c>
      <c r="F73" s="924" t="s">
        <v>937</v>
      </c>
      <c r="G73" s="924" t="s">
        <v>862</v>
      </c>
      <c r="H73" s="924" t="s">
        <v>665</v>
      </c>
      <c r="I73" s="924" t="s">
        <v>787</v>
      </c>
      <c r="J73" s="924" t="s">
        <v>863</v>
      </c>
      <c r="K73" s="924" t="s">
        <v>933</v>
      </c>
      <c r="L73" s="925">
        <v>266.17148017883301</v>
      </c>
      <c r="M73" s="925">
        <v>1.1337271053344</v>
      </c>
    </row>
    <row r="74" spans="1:13" ht="11.25" customHeight="1" x14ac:dyDescent="0.2">
      <c r="A74" s="924" t="s">
        <v>853</v>
      </c>
      <c r="B74" s="924" t="s">
        <v>788</v>
      </c>
      <c r="C74" s="924" t="s">
        <v>854</v>
      </c>
      <c r="D74" s="924" t="s">
        <v>855</v>
      </c>
      <c r="E74" s="924" t="s">
        <v>856</v>
      </c>
      <c r="F74" s="924" t="s">
        <v>938</v>
      </c>
      <c r="G74" s="924" t="s">
        <v>911</v>
      </c>
      <c r="H74" s="924" t="s">
        <v>665</v>
      </c>
      <c r="I74" s="924" t="s">
        <v>706</v>
      </c>
      <c r="J74" s="924" t="s">
        <v>863</v>
      </c>
      <c r="K74" s="924" t="s">
        <v>868</v>
      </c>
      <c r="L74" s="925">
        <v>18.2698117792606</v>
      </c>
      <c r="M74" s="925">
        <v>8.4420753228187095E-4</v>
      </c>
    </row>
    <row r="75" spans="1:13" ht="11.25" customHeight="1" x14ac:dyDescent="0.2">
      <c r="A75" s="924" t="s">
        <v>853</v>
      </c>
      <c r="B75" s="924" t="s">
        <v>788</v>
      </c>
      <c r="C75" s="924" t="s">
        <v>854</v>
      </c>
      <c r="D75" s="924" t="s">
        <v>855</v>
      </c>
      <c r="E75" s="924" t="s">
        <v>856</v>
      </c>
      <c r="F75" s="924" t="s">
        <v>939</v>
      </c>
      <c r="G75" s="924" t="s">
        <v>911</v>
      </c>
      <c r="H75" s="924" t="s">
        <v>665</v>
      </c>
      <c r="I75" s="924" t="s">
        <v>706</v>
      </c>
      <c r="J75" s="924" t="s">
        <v>940</v>
      </c>
      <c r="K75" s="924" t="s">
        <v>941</v>
      </c>
      <c r="L75" s="925">
        <v>8.2022679932415503</v>
      </c>
      <c r="M75" s="925">
        <v>3.9461895198655801E-4</v>
      </c>
    </row>
    <row r="76" spans="1:13" ht="11.25" customHeight="1" x14ac:dyDescent="0.2">
      <c r="A76" s="924" t="s">
        <v>853</v>
      </c>
      <c r="B76" s="924" t="s">
        <v>788</v>
      </c>
      <c r="C76" s="924" t="s">
        <v>854</v>
      </c>
      <c r="D76" s="924" t="s">
        <v>855</v>
      </c>
      <c r="E76" s="924" t="s">
        <v>856</v>
      </c>
      <c r="F76" s="924" t="s">
        <v>942</v>
      </c>
      <c r="G76" s="924" t="s">
        <v>911</v>
      </c>
      <c r="H76" s="924" t="s">
        <v>665</v>
      </c>
      <c r="I76" s="924" t="s">
        <v>706</v>
      </c>
      <c r="J76" s="924" t="s">
        <v>870</v>
      </c>
      <c r="K76" s="924" t="s">
        <v>871</v>
      </c>
      <c r="L76" s="925">
        <v>6.6560463455971296E-3</v>
      </c>
      <c r="M76" s="925">
        <v>4.1540918152005404E-6</v>
      </c>
    </row>
    <row r="77" spans="1:13" ht="11.25" customHeight="1" x14ac:dyDescent="0.2">
      <c r="A77" s="924" t="s">
        <v>853</v>
      </c>
      <c r="B77" s="924" t="s">
        <v>788</v>
      </c>
      <c r="C77" s="924" t="s">
        <v>854</v>
      </c>
      <c r="D77" s="924" t="s">
        <v>855</v>
      </c>
      <c r="E77" s="924" t="s">
        <v>856</v>
      </c>
      <c r="F77" s="924" t="s">
        <v>943</v>
      </c>
      <c r="G77" s="924" t="s">
        <v>911</v>
      </c>
      <c r="H77" s="924" t="s">
        <v>665</v>
      </c>
      <c r="I77" s="924" t="s">
        <v>706</v>
      </c>
      <c r="J77" s="924" t="s">
        <v>870</v>
      </c>
      <c r="K77" s="924" t="s">
        <v>873</v>
      </c>
      <c r="L77" s="925">
        <v>1.3529391657357301E-2</v>
      </c>
      <c r="M77" s="925">
        <v>6.1438108045486196E-7</v>
      </c>
    </row>
    <row r="78" spans="1:13" ht="11.25" customHeight="1" x14ac:dyDescent="0.2">
      <c r="A78" s="924" t="s">
        <v>853</v>
      </c>
      <c r="B78" s="924" t="s">
        <v>788</v>
      </c>
      <c r="C78" s="924" t="s">
        <v>854</v>
      </c>
      <c r="D78" s="924" t="s">
        <v>855</v>
      </c>
      <c r="E78" s="924" t="s">
        <v>856</v>
      </c>
      <c r="F78" s="924" t="s">
        <v>944</v>
      </c>
      <c r="G78" s="924" t="s">
        <v>911</v>
      </c>
      <c r="H78" s="924" t="s">
        <v>665</v>
      </c>
      <c r="I78" s="924" t="s">
        <v>706</v>
      </c>
      <c r="J78" s="924" t="s">
        <v>875</v>
      </c>
      <c r="K78" s="924" t="s">
        <v>876</v>
      </c>
      <c r="L78" s="925">
        <v>57.572081923484802</v>
      </c>
      <c r="M78" s="925">
        <v>1.8202290597400899E-2</v>
      </c>
    </row>
    <row r="79" spans="1:13" ht="11.25" customHeight="1" x14ac:dyDescent="0.2">
      <c r="A79" s="924" t="s">
        <v>853</v>
      </c>
      <c r="B79" s="924" t="s">
        <v>788</v>
      </c>
      <c r="C79" s="924" t="s">
        <v>854</v>
      </c>
      <c r="D79" s="924" t="s">
        <v>855</v>
      </c>
      <c r="E79" s="924" t="s">
        <v>856</v>
      </c>
      <c r="F79" s="924" t="s">
        <v>945</v>
      </c>
      <c r="G79" s="924" t="s">
        <v>911</v>
      </c>
      <c r="H79" s="924" t="s">
        <v>665</v>
      </c>
      <c r="I79" s="924" t="s">
        <v>706</v>
      </c>
      <c r="J79" s="924" t="s">
        <v>875</v>
      </c>
      <c r="K79" s="924" t="s">
        <v>878</v>
      </c>
      <c r="L79" s="925">
        <v>12.7132291346788</v>
      </c>
      <c r="M79" s="925">
        <v>1.8807947226377999E-3</v>
      </c>
    </row>
    <row r="80" spans="1:13" ht="11.25" customHeight="1" x14ac:dyDescent="0.2">
      <c r="A80" s="924" t="s">
        <v>853</v>
      </c>
      <c r="B80" s="924" t="s">
        <v>788</v>
      </c>
      <c r="C80" s="924" t="s">
        <v>854</v>
      </c>
      <c r="D80" s="924" t="s">
        <v>855</v>
      </c>
      <c r="E80" s="924" t="s">
        <v>856</v>
      </c>
      <c r="F80" s="924" t="s">
        <v>946</v>
      </c>
      <c r="G80" s="924" t="s">
        <v>911</v>
      </c>
      <c r="H80" s="924" t="s">
        <v>665</v>
      </c>
      <c r="I80" s="924" t="s">
        <v>706</v>
      </c>
      <c r="J80" s="924" t="s">
        <v>875</v>
      </c>
      <c r="K80" s="924" t="s">
        <v>880</v>
      </c>
      <c r="L80" s="925">
        <v>15.0288932025433</v>
      </c>
      <c r="M80" s="925">
        <v>9.5651178781963598E-4</v>
      </c>
    </row>
    <row r="81" spans="1:13" ht="11.25" customHeight="1" x14ac:dyDescent="0.2">
      <c r="A81" s="924" t="s">
        <v>853</v>
      </c>
      <c r="B81" s="924" t="s">
        <v>788</v>
      </c>
      <c r="C81" s="924" t="s">
        <v>854</v>
      </c>
      <c r="D81" s="924" t="s">
        <v>855</v>
      </c>
      <c r="E81" s="924" t="s">
        <v>856</v>
      </c>
      <c r="F81" s="924" t="s">
        <v>947</v>
      </c>
      <c r="G81" s="924" t="s">
        <v>911</v>
      </c>
      <c r="H81" s="924" t="s">
        <v>665</v>
      </c>
      <c r="I81" s="924" t="s">
        <v>706</v>
      </c>
      <c r="J81" s="924" t="s">
        <v>875</v>
      </c>
      <c r="K81" s="924" t="s">
        <v>948</v>
      </c>
      <c r="L81" s="925">
        <v>18.680108755827</v>
      </c>
      <c r="M81" s="925">
        <v>1.4275105120304899E-3</v>
      </c>
    </row>
    <row r="82" spans="1:13" ht="11.25" customHeight="1" x14ac:dyDescent="0.2">
      <c r="A82" s="924" t="s">
        <v>853</v>
      </c>
      <c r="B82" s="924" t="s">
        <v>788</v>
      </c>
      <c r="C82" s="924" t="s">
        <v>854</v>
      </c>
      <c r="D82" s="924" t="s">
        <v>855</v>
      </c>
      <c r="E82" s="924" t="s">
        <v>856</v>
      </c>
      <c r="F82" s="924" t="s">
        <v>949</v>
      </c>
      <c r="G82" s="924" t="s">
        <v>911</v>
      </c>
      <c r="H82" s="924" t="s">
        <v>665</v>
      </c>
      <c r="I82" s="924" t="s">
        <v>706</v>
      </c>
      <c r="J82" s="924" t="s">
        <v>875</v>
      </c>
      <c r="K82" s="924" t="s">
        <v>950</v>
      </c>
      <c r="L82" s="925">
        <v>0.25047790049575303</v>
      </c>
      <c r="M82" s="925">
        <v>5.3723107555470098E-5</v>
      </c>
    </row>
    <row r="83" spans="1:13" ht="11.25" customHeight="1" x14ac:dyDescent="0.2">
      <c r="A83" s="924" t="s">
        <v>853</v>
      </c>
      <c r="B83" s="924" t="s">
        <v>788</v>
      </c>
      <c r="C83" s="924" t="s">
        <v>854</v>
      </c>
      <c r="D83" s="924" t="s">
        <v>855</v>
      </c>
      <c r="E83" s="924" t="s">
        <v>856</v>
      </c>
      <c r="F83" s="924" t="s">
        <v>951</v>
      </c>
      <c r="G83" s="924" t="s">
        <v>911</v>
      </c>
      <c r="H83" s="924" t="s">
        <v>665</v>
      </c>
      <c r="I83" s="924" t="s">
        <v>706</v>
      </c>
      <c r="J83" s="924" t="s">
        <v>875</v>
      </c>
      <c r="K83" s="924" t="s">
        <v>952</v>
      </c>
      <c r="L83" s="925">
        <v>0.23118742438964501</v>
      </c>
      <c r="M83" s="925">
        <v>1.4374949353523899E-5</v>
      </c>
    </row>
    <row r="84" spans="1:13" ht="11.25" customHeight="1" x14ac:dyDescent="0.2">
      <c r="A84" s="924" t="s">
        <v>853</v>
      </c>
      <c r="B84" s="924" t="s">
        <v>788</v>
      </c>
      <c r="C84" s="924" t="s">
        <v>854</v>
      </c>
      <c r="D84" s="924" t="s">
        <v>855</v>
      </c>
      <c r="E84" s="924" t="s">
        <v>856</v>
      </c>
      <c r="F84" s="924" t="s">
        <v>953</v>
      </c>
      <c r="G84" s="924" t="s">
        <v>858</v>
      </c>
      <c r="H84" s="924" t="s">
        <v>836</v>
      </c>
      <c r="I84" s="924" t="s">
        <v>837</v>
      </c>
      <c r="J84" s="924" t="s">
        <v>859</v>
      </c>
      <c r="K84" s="924" t="s">
        <v>920</v>
      </c>
      <c r="L84" s="925">
        <v>20.0921324491501</v>
      </c>
      <c r="M84" s="925">
        <v>2.5916344799981099E-4</v>
      </c>
    </row>
    <row r="85" spans="1:13" ht="11.25" customHeight="1" x14ac:dyDescent="0.2">
      <c r="A85" s="924" t="s">
        <v>853</v>
      </c>
      <c r="B85" s="924" t="s">
        <v>788</v>
      </c>
      <c r="C85" s="924" t="s">
        <v>854</v>
      </c>
      <c r="D85" s="924" t="s">
        <v>855</v>
      </c>
      <c r="E85" s="924" t="s">
        <v>856</v>
      </c>
      <c r="F85" s="924" t="s">
        <v>954</v>
      </c>
      <c r="G85" s="924" t="s">
        <v>911</v>
      </c>
      <c r="H85" s="924" t="s">
        <v>665</v>
      </c>
      <c r="I85" s="924" t="s">
        <v>706</v>
      </c>
      <c r="J85" s="924" t="s">
        <v>863</v>
      </c>
      <c r="K85" s="924" t="s">
        <v>935</v>
      </c>
      <c r="L85" s="925">
        <v>29.4610867500305</v>
      </c>
      <c r="M85" s="925">
        <v>1.39101837157796E-3</v>
      </c>
    </row>
    <row r="86" spans="1:13" ht="11.25" customHeight="1" x14ac:dyDescent="0.2">
      <c r="A86" s="924" t="s">
        <v>853</v>
      </c>
      <c r="B86" s="924" t="s">
        <v>788</v>
      </c>
      <c r="C86" s="924" t="s">
        <v>854</v>
      </c>
      <c r="D86" s="924" t="s">
        <v>855</v>
      </c>
      <c r="E86" s="924" t="s">
        <v>856</v>
      </c>
      <c r="F86" s="924" t="s">
        <v>955</v>
      </c>
      <c r="G86" s="924" t="s">
        <v>858</v>
      </c>
      <c r="H86" s="924" t="s">
        <v>836</v>
      </c>
      <c r="I86" s="924" t="s">
        <v>837</v>
      </c>
      <c r="J86" s="924" t="s">
        <v>956</v>
      </c>
      <c r="K86" s="924" t="s">
        <v>957</v>
      </c>
      <c r="L86" s="925">
        <v>568.76162910461403</v>
      </c>
      <c r="M86" s="925">
        <v>3.2666015437712299E-3</v>
      </c>
    </row>
    <row r="87" spans="1:13" ht="11.25" customHeight="1" x14ac:dyDescent="0.2">
      <c r="A87" s="924" t="s">
        <v>853</v>
      </c>
      <c r="B87" s="924" t="s">
        <v>788</v>
      </c>
      <c r="C87" s="924" t="s">
        <v>854</v>
      </c>
      <c r="D87" s="924" t="s">
        <v>855</v>
      </c>
      <c r="E87" s="924" t="s">
        <v>856</v>
      </c>
      <c r="F87" s="924" t="s">
        <v>958</v>
      </c>
      <c r="G87" s="924" t="s">
        <v>858</v>
      </c>
      <c r="H87" s="924" t="s">
        <v>836</v>
      </c>
      <c r="I87" s="924" t="s">
        <v>837</v>
      </c>
      <c r="J87" s="924" t="s">
        <v>870</v>
      </c>
      <c r="K87" s="924" t="s">
        <v>959</v>
      </c>
      <c r="L87" s="925">
        <v>5.8746086244354997E-2</v>
      </c>
      <c r="M87" s="925">
        <v>5.4746794447314797E-7</v>
      </c>
    </row>
    <row r="88" spans="1:13" ht="11.25" customHeight="1" x14ac:dyDescent="0.2">
      <c r="A88" s="924" t="s">
        <v>853</v>
      </c>
      <c r="B88" s="924" t="s">
        <v>788</v>
      </c>
      <c r="C88" s="924" t="s">
        <v>854</v>
      </c>
      <c r="D88" s="924" t="s">
        <v>855</v>
      </c>
      <c r="E88" s="924" t="s">
        <v>856</v>
      </c>
      <c r="F88" s="924" t="s">
        <v>960</v>
      </c>
      <c r="G88" s="924" t="s">
        <v>858</v>
      </c>
      <c r="H88" s="924" t="s">
        <v>836</v>
      </c>
      <c r="I88" s="924" t="s">
        <v>837</v>
      </c>
      <c r="J88" s="924" t="s">
        <v>870</v>
      </c>
      <c r="K88" s="924" t="s">
        <v>961</v>
      </c>
      <c r="L88" s="925">
        <v>4.2844835827127099</v>
      </c>
      <c r="M88" s="925">
        <v>3.8014458661361799E-5</v>
      </c>
    </row>
    <row r="89" spans="1:13" ht="11.25" customHeight="1" x14ac:dyDescent="0.2">
      <c r="A89" s="924" t="s">
        <v>853</v>
      </c>
      <c r="B89" s="924" t="s">
        <v>788</v>
      </c>
      <c r="C89" s="924" t="s">
        <v>854</v>
      </c>
      <c r="D89" s="924" t="s">
        <v>855</v>
      </c>
      <c r="E89" s="924" t="s">
        <v>856</v>
      </c>
      <c r="F89" s="924" t="s">
        <v>962</v>
      </c>
      <c r="G89" s="924" t="s">
        <v>858</v>
      </c>
      <c r="H89" s="924" t="s">
        <v>836</v>
      </c>
      <c r="I89" s="924" t="s">
        <v>837</v>
      </c>
      <c r="J89" s="924" t="s">
        <v>870</v>
      </c>
      <c r="K89" s="924" t="s">
        <v>963</v>
      </c>
      <c r="L89" s="925">
        <v>1.1850169572426201E-2</v>
      </c>
      <c r="M89" s="925">
        <v>8.4226013160899199E-8</v>
      </c>
    </row>
    <row r="90" spans="1:13" ht="11.25" customHeight="1" x14ac:dyDescent="0.2">
      <c r="A90" s="924" t="s">
        <v>853</v>
      </c>
      <c r="B90" s="924" t="s">
        <v>788</v>
      </c>
      <c r="C90" s="924" t="s">
        <v>854</v>
      </c>
      <c r="D90" s="924" t="s">
        <v>855</v>
      </c>
      <c r="E90" s="924" t="s">
        <v>856</v>
      </c>
      <c r="F90" s="924" t="s">
        <v>964</v>
      </c>
      <c r="G90" s="924" t="s">
        <v>858</v>
      </c>
      <c r="H90" s="924" t="s">
        <v>836</v>
      </c>
      <c r="I90" s="924" t="s">
        <v>837</v>
      </c>
      <c r="J90" s="924" t="s">
        <v>870</v>
      </c>
      <c r="K90" s="924" t="s">
        <v>965</v>
      </c>
      <c r="L90" s="925">
        <v>3.96085184533149</v>
      </c>
      <c r="M90" s="925">
        <v>3.6366633922924099E-5</v>
      </c>
    </row>
    <row r="91" spans="1:13" ht="11.25" customHeight="1" x14ac:dyDescent="0.2">
      <c r="A91" s="924" t="s">
        <v>853</v>
      </c>
      <c r="B91" s="924" t="s">
        <v>788</v>
      </c>
      <c r="C91" s="924" t="s">
        <v>854</v>
      </c>
      <c r="D91" s="924" t="s">
        <v>855</v>
      </c>
      <c r="E91" s="924" t="s">
        <v>856</v>
      </c>
      <c r="F91" s="924" t="s">
        <v>966</v>
      </c>
      <c r="G91" s="924" t="s">
        <v>858</v>
      </c>
      <c r="H91" s="924" t="s">
        <v>836</v>
      </c>
      <c r="I91" s="924" t="s">
        <v>837</v>
      </c>
      <c r="J91" s="924" t="s">
        <v>870</v>
      </c>
      <c r="K91" s="924" t="s">
        <v>871</v>
      </c>
      <c r="L91" s="925">
        <v>11.021209206432101</v>
      </c>
      <c r="M91" s="925">
        <v>9.5765334838127103E-5</v>
      </c>
    </row>
    <row r="92" spans="1:13" ht="11.25" customHeight="1" x14ac:dyDescent="0.2">
      <c r="A92" s="924" t="s">
        <v>853</v>
      </c>
      <c r="B92" s="924" t="s">
        <v>788</v>
      </c>
      <c r="C92" s="924" t="s">
        <v>854</v>
      </c>
      <c r="D92" s="924" t="s">
        <v>855</v>
      </c>
      <c r="E92" s="924" t="s">
        <v>856</v>
      </c>
      <c r="F92" s="924" t="s">
        <v>967</v>
      </c>
      <c r="G92" s="924" t="s">
        <v>858</v>
      </c>
      <c r="H92" s="924" t="s">
        <v>836</v>
      </c>
      <c r="I92" s="924" t="s">
        <v>837</v>
      </c>
      <c r="J92" s="924" t="s">
        <v>870</v>
      </c>
      <c r="K92" s="924" t="s">
        <v>873</v>
      </c>
      <c r="L92" s="925">
        <v>8.1229472011327708</v>
      </c>
      <c r="M92" s="925">
        <v>1.37230316827441E-4</v>
      </c>
    </row>
    <row r="93" spans="1:13" ht="11.25" customHeight="1" x14ac:dyDescent="0.2">
      <c r="A93" s="924" t="s">
        <v>853</v>
      </c>
      <c r="B93" s="924" t="s">
        <v>788</v>
      </c>
      <c r="C93" s="924" t="s">
        <v>854</v>
      </c>
      <c r="D93" s="924" t="s">
        <v>855</v>
      </c>
      <c r="E93" s="924" t="s">
        <v>856</v>
      </c>
      <c r="F93" s="924" t="s">
        <v>968</v>
      </c>
      <c r="G93" s="924" t="s">
        <v>858</v>
      </c>
      <c r="H93" s="924" t="s">
        <v>836</v>
      </c>
      <c r="I93" s="924" t="s">
        <v>837</v>
      </c>
      <c r="J93" s="924" t="s">
        <v>875</v>
      </c>
      <c r="K93" s="924" t="s">
        <v>876</v>
      </c>
      <c r="L93" s="925">
        <v>450.62235689163202</v>
      </c>
      <c r="M93" s="925">
        <v>1.20784904627271E-2</v>
      </c>
    </row>
    <row r="94" spans="1:13" ht="11.25" customHeight="1" x14ac:dyDescent="0.2">
      <c r="A94" s="924" t="s">
        <v>853</v>
      </c>
      <c r="B94" s="924" t="s">
        <v>788</v>
      </c>
      <c r="C94" s="924" t="s">
        <v>854</v>
      </c>
      <c r="D94" s="924" t="s">
        <v>855</v>
      </c>
      <c r="E94" s="924" t="s">
        <v>856</v>
      </c>
      <c r="F94" s="924" t="s">
        <v>969</v>
      </c>
      <c r="G94" s="924" t="s">
        <v>858</v>
      </c>
      <c r="H94" s="924" t="s">
        <v>836</v>
      </c>
      <c r="I94" s="924" t="s">
        <v>837</v>
      </c>
      <c r="J94" s="924" t="s">
        <v>875</v>
      </c>
      <c r="K94" s="924" t="s">
        <v>878</v>
      </c>
      <c r="L94" s="925">
        <v>106.353036165237</v>
      </c>
      <c r="M94" s="925">
        <v>2.81722758646197E-3</v>
      </c>
    </row>
    <row r="95" spans="1:13" ht="11.25" customHeight="1" x14ac:dyDescent="0.2">
      <c r="A95" s="924" t="s">
        <v>853</v>
      </c>
      <c r="B95" s="924" t="s">
        <v>788</v>
      </c>
      <c r="C95" s="924" t="s">
        <v>854</v>
      </c>
      <c r="D95" s="924" t="s">
        <v>855</v>
      </c>
      <c r="E95" s="924" t="s">
        <v>856</v>
      </c>
      <c r="F95" s="924" t="s">
        <v>970</v>
      </c>
      <c r="G95" s="924" t="s">
        <v>858</v>
      </c>
      <c r="H95" s="924" t="s">
        <v>836</v>
      </c>
      <c r="I95" s="924" t="s">
        <v>837</v>
      </c>
      <c r="J95" s="924" t="s">
        <v>875</v>
      </c>
      <c r="K95" s="924" t="s">
        <v>880</v>
      </c>
      <c r="L95" s="925">
        <v>295.03424835205101</v>
      </c>
      <c r="M95" s="925">
        <v>5.7330293892619002E-3</v>
      </c>
    </row>
    <row r="96" spans="1:13" ht="11.25" customHeight="1" x14ac:dyDescent="0.2">
      <c r="A96" s="924" t="s">
        <v>853</v>
      </c>
      <c r="B96" s="924" t="s">
        <v>788</v>
      </c>
      <c r="C96" s="924" t="s">
        <v>854</v>
      </c>
      <c r="D96" s="924" t="s">
        <v>855</v>
      </c>
      <c r="E96" s="924" t="s">
        <v>856</v>
      </c>
      <c r="F96" s="924" t="s">
        <v>971</v>
      </c>
      <c r="G96" s="924" t="s">
        <v>858</v>
      </c>
      <c r="H96" s="924" t="s">
        <v>836</v>
      </c>
      <c r="I96" s="924" t="s">
        <v>837</v>
      </c>
      <c r="J96" s="924" t="s">
        <v>875</v>
      </c>
      <c r="K96" s="924" t="s">
        <v>948</v>
      </c>
      <c r="L96" s="925">
        <v>149.93983769416801</v>
      </c>
      <c r="M96" s="925">
        <v>6.4134441303167504E-3</v>
      </c>
    </row>
    <row r="97" spans="1:13" ht="11.25" customHeight="1" x14ac:dyDescent="0.2">
      <c r="A97" s="924" t="s">
        <v>853</v>
      </c>
      <c r="B97" s="924" t="s">
        <v>788</v>
      </c>
      <c r="C97" s="924" t="s">
        <v>854</v>
      </c>
      <c r="D97" s="924" t="s">
        <v>855</v>
      </c>
      <c r="E97" s="924" t="s">
        <v>856</v>
      </c>
      <c r="F97" s="924" t="s">
        <v>972</v>
      </c>
      <c r="G97" s="924" t="s">
        <v>858</v>
      </c>
      <c r="H97" s="924" t="s">
        <v>836</v>
      </c>
      <c r="I97" s="924" t="s">
        <v>837</v>
      </c>
      <c r="J97" s="924" t="s">
        <v>859</v>
      </c>
      <c r="K97" s="924" t="s">
        <v>973</v>
      </c>
      <c r="L97" s="925">
        <v>1.97414452396333</v>
      </c>
      <c r="M97" s="925">
        <v>5.0290069178338101E-5</v>
      </c>
    </row>
    <row r="98" spans="1:13" ht="11.25" customHeight="1" x14ac:dyDescent="0.2">
      <c r="A98" s="924" t="s">
        <v>853</v>
      </c>
      <c r="B98" s="924" t="s">
        <v>788</v>
      </c>
      <c r="C98" s="924" t="s">
        <v>854</v>
      </c>
      <c r="D98" s="924" t="s">
        <v>855</v>
      </c>
      <c r="E98" s="924" t="s">
        <v>856</v>
      </c>
      <c r="F98" s="924" t="s">
        <v>974</v>
      </c>
      <c r="G98" s="924" t="s">
        <v>858</v>
      </c>
      <c r="H98" s="924" t="s">
        <v>836</v>
      </c>
      <c r="I98" s="924" t="s">
        <v>837</v>
      </c>
      <c r="J98" s="924" t="s">
        <v>875</v>
      </c>
      <c r="K98" s="924" t="s">
        <v>952</v>
      </c>
      <c r="L98" s="925">
        <v>12.751227512955699</v>
      </c>
      <c r="M98" s="925">
        <v>2.88093281231028E-4</v>
      </c>
    </row>
    <row r="99" spans="1:13" ht="11.25" customHeight="1" x14ac:dyDescent="0.2">
      <c r="A99" s="924" t="s">
        <v>853</v>
      </c>
      <c r="B99" s="924" t="s">
        <v>788</v>
      </c>
      <c r="C99" s="924" t="s">
        <v>854</v>
      </c>
      <c r="D99" s="924" t="s">
        <v>855</v>
      </c>
      <c r="E99" s="924" t="s">
        <v>856</v>
      </c>
      <c r="F99" s="924" t="s">
        <v>975</v>
      </c>
      <c r="G99" s="924" t="s">
        <v>858</v>
      </c>
      <c r="H99" s="924" t="s">
        <v>836</v>
      </c>
      <c r="I99" s="924" t="s">
        <v>837</v>
      </c>
      <c r="J99" s="924" t="s">
        <v>870</v>
      </c>
      <c r="K99" s="924" t="s">
        <v>976</v>
      </c>
      <c r="L99" s="925">
        <v>563.11844384670303</v>
      </c>
      <c r="M99" s="925">
        <v>8.4278856404864707E-3</v>
      </c>
    </row>
    <row r="100" spans="1:13" ht="11.25" customHeight="1" x14ac:dyDescent="0.2">
      <c r="A100" s="924" t="s">
        <v>853</v>
      </c>
      <c r="B100" s="924" t="s">
        <v>788</v>
      </c>
      <c r="C100" s="924" t="s">
        <v>854</v>
      </c>
      <c r="D100" s="924" t="s">
        <v>855</v>
      </c>
      <c r="E100" s="924" t="s">
        <v>856</v>
      </c>
      <c r="F100" s="924" t="s">
        <v>977</v>
      </c>
      <c r="G100" s="924" t="s">
        <v>858</v>
      </c>
      <c r="H100" s="924" t="s">
        <v>836</v>
      </c>
      <c r="I100" s="924" t="s">
        <v>837</v>
      </c>
      <c r="J100" s="924" t="s">
        <v>978</v>
      </c>
      <c r="K100" s="924" t="s">
        <v>979</v>
      </c>
      <c r="L100" s="925">
        <v>6.3518990948796299</v>
      </c>
      <c r="M100" s="925">
        <v>6.8141950460187705E-4</v>
      </c>
    </row>
    <row r="101" spans="1:13" ht="11.25" customHeight="1" x14ac:dyDescent="0.2">
      <c r="A101" s="924" t="s">
        <v>853</v>
      </c>
      <c r="B101" s="924" t="s">
        <v>788</v>
      </c>
      <c r="C101" s="924" t="s">
        <v>854</v>
      </c>
      <c r="D101" s="924" t="s">
        <v>855</v>
      </c>
      <c r="E101" s="924" t="s">
        <v>856</v>
      </c>
      <c r="F101" s="924" t="s">
        <v>980</v>
      </c>
      <c r="G101" s="924" t="s">
        <v>981</v>
      </c>
      <c r="H101" s="924" t="s">
        <v>835</v>
      </c>
      <c r="I101" s="924" t="s">
        <v>839</v>
      </c>
      <c r="J101" s="924" t="s">
        <v>982</v>
      </c>
      <c r="K101" s="924" t="s">
        <v>983</v>
      </c>
      <c r="L101" s="925">
        <v>532.40324151515995</v>
      </c>
      <c r="M101" s="925">
        <v>0.60725302889477495</v>
      </c>
    </row>
    <row r="102" spans="1:13" ht="11.25" customHeight="1" x14ac:dyDescent="0.2">
      <c r="A102" s="924" t="s">
        <v>853</v>
      </c>
      <c r="B102" s="924" t="s">
        <v>788</v>
      </c>
      <c r="C102" s="924" t="s">
        <v>854</v>
      </c>
      <c r="D102" s="924" t="s">
        <v>855</v>
      </c>
      <c r="E102" s="924" t="s">
        <v>856</v>
      </c>
      <c r="F102" s="924" t="s">
        <v>984</v>
      </c>
      <c r="G102" s="924" t="s">
        <v>981</v>
      </c>
      <c r="H102" s="924" t="s">
        <v>835</v>
      </c>
      <c r="I102" s="924" t="s">
        <v>839</v>
      </c>
      <c r="J102" s="924" t="s">
        <v>982</v>
      </c>
      <c r="K102" s="924" t="s">
        <v>985</v>
      </c>
      <c r="L102" s="925">
        <v>224.92400360107399</v>
      </c>
      <c r="M102" s="925">
        <v>0.25090033985907201</v>
      </c>
    </row>
    <row r="103" spans="1:13" ht="11.25" customHeight="1" x14ac:dyDescent="0.2">
      <c r="A103" s="924" t="s">
        <v>853</v>
      </c>
      <c r="B103" s="924" t="s">
        <v>788</v>
      </c>
      <c r="C103" s="924" t="s">
        <v>854</v>
      </c>
      <c r="D103" s="924" t="s">
        <v>855</v>
      </c>
      <c r="E103" s="924" t="s">
        <v>856</v>
      </c>
      <c r="F103" s="924" t="s">
        <v>986</v>
      </c>
      <c r="G103" s="924" t="s">
        <v>981</v>
      </c>
      <c r="H103" s="924" t="s">
        <v>835</v>
      </c>
      <c r="I103" s="924" t="s">
        <v>839</v>
      </c>
      <c r="J103" s="924" t="s">
        <v>987</v>
      </c>
      <c r="K103" s="924" t="s">
        <v>988</v>
      </c>
      <c r="L103" s="925">
        <v>163.653527140617</v>
      </c>
      <c r="M103" s="925">
        <v>8.2864903073641499E-2</v>
      </c>
    </row>
    <row r="104" spans="1:13" ht="11.25" customHeight="1" x14ac:dyDescent="0.2">
      <c r="A104" s="924" t="s">
        <v>853</v>
      </c>
      <c r="B104" s="924" t="s">
        <v>788</v>
      </c>
      <c r="C104" s="924" t="s">
        <v>854</v>
      </c>
      <c r="D104" s="924" t="s">
        <v>855</v>
      </c>
      <c r="E104" s="924" t="s">
        <v>856</v>
      </c>
      <c r="F104" s="924" t="s">
        <v>989</v>
      </c>
      <c r="G104" s="924" t="s">
        <v>990</v>
      </c>
      <c r="H104" s="924" t="s">
        <v>836</v>
      </c>
      <c r="I104" s="924" t="s">
        <v>839</v>
      </c>
      <c r="J104" s="924" t="s">
        <v>224</v>
      </c>
      <c r="K104" s="924" t="s">
        <v>988</v>
      </c>
      <c r="L104" s="925">
        <v>128.88133248686799</v>
      </c>
      <c r="M104" s="925">
        <v>4.3881174654174498E-3</v>
      </c>
    </row>
    <row r="105" spans="1:13" ht="11.25" customHeight="1" x14ac:dyDescent="0.2">
      <c r="A105" s="924" t="s">
        <v>853</v>
      </c>
      <c r="B105" s="924" t="s">
        <v>788</v>
      </c>
      <c r="C105" s="924" t="s">
        <v>854</v>
      </c>
      <c r="D105" s="924" t="s">
        <v>855</v>
      </c>
      <c r="E105" s="924" t="s">
        <v>856</v>
      </c>
      <c r="F105" s="924" t="s">
        <v>991</v>
      </c>
      <c r="G105" s="924" t="s">
        <v>990</v>
      </c>
      <c r="H105" s="924" t="s">
        <v>836</v>
      </c>
      <c r="I105" s="924" t="s">
        <v>839</v>
      </c>
      <c r="J105" s="924" t="s">
        <v>224</v>
      </c>
      <c r="K105" s="924" t="s">
        <v>983</v>
      </c>
      <c r="L105" s="925">
        <v>1.07729445490986</v>
      </c>
      <c r="M105" s="925">
        <v>6.43288167632705E-5</v>
      </c>
    </row>
    <row r="106" spans="1:13" ht="11.25" customHeight="1" x14ac:dyDescent="0.2">
      <c r="A106" s="924" t="s">
        <v>853</v>
      </c>
      <c r="B106" s="924" t="s">
        <v>788</v>
      </c>
      <c r="C106" s="924" t="s">
        <v>854</v>
      </c>
      <c r="D106" s="924" t="s">
        <v>855</v>
      </c>
      <c r="E106" s="924" t="s">
        <v>856</v>
      </c>
      <c r="F106" s="924" t="s">
        <v>992</v>
      </c>
      <c r="G106" s="924" t="s">
        <v>858</v>
      </c>
      <c r="H106" s="924" t="s">
        <v>836</v>
      </c>
      <c r="I106" s="924" t="s">
        <v>834</v>
      </c>
      <c r="J106" s="924" t="s">
        <v>224</v>
      </c>
      <c r="K106" s="924" t="s">
        <v>993</v>
      </c>
      <c r="L106" s="925">
        <v>110.07174032926601</v>
      </c>
      <c r="M106" s="925">
        <v>4.2837659586325598E-3</v>
      </c>
    </row>
    <row r="107" spans="1:13" ht="11.25" customHeight="1" x14ac:dyDescent="0.2">
      <c r="A107" s="924" t="s">
        <v>853</v>
      </c>
      <c r="B107" s="924" t="s">
        <v>788</v>
      </c>
      <c r="C107" s="924" t="s">
        <v>854</v>
      </c>
      <c r="D107" s="924" t="s">
        <v>855</v>
      </c>
      <c r="E107" s="924" t="s">
        <v>856</v>
      </c>
      <c r="F107" s="924" t="s">
        <v>994</v>
      </c>
      <c r="G107" s="924" t="s">
        <v>981</v>
      </c>
      <c r="H107" s="924" t="s">
        <v>835</v>
      </c>
      <c r="I107" s="924" t="s">
        <v>834</v>
      </c>
      <c r="J107" s="924" t="s">
        <v>995</v>
      </c>
      <c r="K107" s="924" t="s">
        <v>993</v>
      </c>
      <c r="L107" s="925">
        <v>6.49477471411228</v>
      </c>
      <c r="M107" s="925">
        <v>4.2468500623584803E-3</v>
      </c>
    </row>
    <row r="108" spans="1:13" ht="11.25" customHeight="1" x14ac:dyDescent="0.2">
      <c r="A108" s="924" t="s">
        <v>853</v>
      </c>
      <c r="B108" s="924" t="s">
        <v>788</v>
      </c>
      <c r="C108" s="924" t="s">
        <v>854</v>
      </c>
      <c r="D108" s="924" t="s">
        <v>855</v>
      </c>
      <c r="E108" s="924" t="s">
        <v>856</v>
      </c>
      <c r="F108" s="924" t="s">
        <v>996</v>
      </c>
      <c r="G108" s="924" t="s">
        <v>911</v>
      </c>
      <c r="H108" s="924" t="s">
        <v>665</v>
      </c>
      <c r="I108" s="924" t="s">
        <v>834</v>
      </c>
      <c r="J108" s="924" t="s">
        <v>706</v>
      </c>
      <c r="K108" s="924" t="s">
        <v>993</v>
      </c>
      <c r="L108" s="925">
        <v>0.19473003479652101</v>
      </c>
      <c r="M108" s="925">
        <v>2.4142739954768899E-5</v>
      </c>
    </row>
    <row r="109" spans="1:13" ht="11.25" customHeight="1" x14ac:dyDescent="0.2">
      <c r="A109" s="924" t="s">
        <v>853</v>
      </c>
      <c r="B109" s="924" t="s">
        <v>788</v>
      </c>
      <c r="C109" s="924" t="s">
        <v>854</v>
      </c>
      <c r="D109" s="924" t="s">
        <v>855</v>
      </c>
      <c r="E109" s="924" t="s">
        <v>856</v>
      </c>
      <c r="F109" s="924" t="s">
        <v>997</v>
      </c>
      <c r="G109" s="924" t="s">
        <v>981</v>
      </c>
      <c r="H109" s="924" t="s">
        <v>835</v>
      </c>
      <c r="I109" s="924" t="s">
        <v>998</v>
      </c>
      <c r="J109" s="924" t="s">
        <v>884</v>
      </c>
      <c r="K109" s="924" t="s">
        <v>999</v>
      </c>
      <c r="L109" s="925">
        <v>188.889589071274</v>
      </c>
      <c r="M109" s="925">
        <v>0.60174027550965503</v>
      </c>
    </row>
    <row r="110" spans="1:13" ht="11.25" customHeight="1" x14ac:dyDescent="0.2">
      <c r="A110" s="924" t="s">
        <v>853</v>
      </c>
      <c r="B110" s="924" t="s">
        <v>788</v>
      </c>
      <c r="C110" s="924" t="s">
        <v>854</v>
      </c>
      <c r="D110" s="924" t="s">
        <v>855</v>
      </c>
      <c r="E110" s="924" t="s">
        <v>856</v>
      </c>
      <c r="F110" s="924" t="s">
        <v>1000</v>
      </c>
      <c r="G110" s="924" t="s">
        <v>858</v>
      </c>
      <c r="H110" s="924" t="s">
        <v>836</v>
      </c>
      <c r="I110" s="924" t="s">
        <v>837</v>
      </c>
      <c r="J110" s="924" t="s">
        <v>875</v>
      </c>
      <c r="K110" s="924" t="s">
        <v>950</v>
      </c>
      <c r="L110" s="925">
        <v>14.4093676060438</v>
      </c>
      <c r="M110" s="925">
        <v>3.3846085432642802E-4</v>
      </c>
    </row>
    <row r="111" spans="1:13" ht="11.25" customHeight="1" x14ac:dyDescent="0.2">
      <c r="A111" s="924" t="s">
        <v>853</v>
      </c>
      <c r="B111" s="924" t="s">
        <v>788</v>
      </c>
      <c r="C111" s="924" t="s">
        <v>854</v>
      </c>
      <c r="D111" s="924" t="s">
        <v>855</v>
      </c>
      <c r="E111" s="924" t="s">
        <v>856</v>
      </c>
      <c r="F111" s="924" t="s">
        <v>1001</v>
      </c>
      <c r="G111" s="924" t="s">
        <v>858</v>
      </c>
      <c r="H111" s="924" t="s">
        <v>836</v>
      </c>
      <c r="I111" s="924" t="s">
        <v>837</v>
      </c>
      <c r="J111" s="924" t="s">
        <v>863</v>
      </c>
      <c r="K111" s="924" t="s">
        <v>915</v>
      </c>
      <c r="L111" s="925">
        <v>17.650105342268901</v>
      </c>
      <c r="M111" s="925">
        <v>5.3928592883778503E-4</v>
      </c>
    </row>
    <row r="112" spans="1:13" ht="11.25" customHeight="1" x14ac:dyDescent="0.2">
      <c r="A112" s="924" t="s">
        <v>853</v>
      </c>
      <c r="B112" s="924" t="s">
        <v>788</v>
      </c>
      <c r="C112" s="924" t="s">
        <v>854</v>
      </c>
      <c r="D112" s="924" t="s">
        <v>855</v>
      </c>
      <c r="E112" s="924" t="s">
        <v>856</v>
      </c>
      <c r="F112" s="924" t="s">
        <v>1002</v>
      </c>
      <c r="G112" s="924" t="s">
        <v>858</v>
      </c>
      <c r="H112" s="924" t="s">
        <v>836</v>
      </c>
      <c r="I112" s="924" t="s">
        <v>837</v>
      </c>
      <c r="J112" s="924" t="s">
        <v>859</v>
      </c>
      <c r="K112" s="924" t="s">
        <v>922</v>
      </c>
      <c r="L112" s="925">
        <v>159.791471004486</v>
      </c>
      <c r="M112" s="925">
        <v>1.8269014140912499E-3</v>
      </c>
    </row>
    <row r="113" spans="1:13" ht="11.25" customHeight="1" x14ac:dyDescent="0.2">
      <c r="A113" s="924" t="s">
        <v>853</v>
      </c>
      <c r="B113" s="924" t="s">
        <v>788</v>
      </c>
      <c r="C113" s="924" t="s">
        <v>854</v>
      </c>
      <c r="D113" s="924" t="s">
        <v>855</v>
      </c>
      <c r="E113" s="924" t="s">
        <v>856</v>
      </c>
      <c r="F113" s="924" t="s">
        <v>1003</v>
      </c>
      <c r="G113" s="924" t="s">
        <v>858</v>
      </c>
      <c r="H113" s="924" t="s">
        <v>836</v>
      </c>
      <c r="I113" s="924" t="s">
        <v>837</v>
      </c>
      <c r="J113" s="924" t="s">
        <v>859</v>
      </c>
      <c r="K113" s="924" t="s">
        <v>924</v>
      </c>
      <c r="L113" s="925">
        <v>543.29284954070999</v>
      </c>
      <c r="M113" s="925">
        <v>5.1818151134739301E-3</v>
      </c>
    </row>
    <row r="114" spans="1:13" ht="11.25" customHeight="1" x14ac:dyDescent="0.2">
      <c r="A114" s="924" t="s">
        <v>853</v>
      </c>
      <c r="B114" s="924" t="s">
        <v>788</v>
      </c>
      <c r="C114" s="924" t="s">
        <v>854</v>
      </c>
      <c r="D114" s="924" t="s">
        <v>855</v>
      </c>
      <c r="E114" s="924" t="s">
        <v>856</v>
      </c>
      <c r="F114" s="924" t="s">
        <v>1004</v>
      </c>
      <c r="G114" s="924" t="s">
        <v>858</v>
      </c>
      <c r="H114" s="924" t="s">
        <v>836</v>
      </c>
      <c r="I114" s="924" t="s">
        <v>837</v>
      </c>
      <c r="J114" s="924" t="s">
        <v>859</v>
      </c>
      <c r="K114" s="924" t="s">
        <v>926</v>
      </c>
      <c r="L114" s="925">
        <v>329.255383491516</v>
      </c>
      <c r="M114" s="925">
        <v>1.34361583275222E-2</v>
      </c>
    </row>
    <row r="115" spans="1:13" ht="11.25" customHeight="1" x14ac:dyDescent="0.2">
      <c r="A115" s="924" t="s">
        <v>853</v>
      </c>
      <c r="B115" s="924" t="s">
        <v>788</v>
      </c>
      <c r="C115" s="924" t="s">
        <v>854</v>
      </c>
      <c r="D115" s="924" t="s">
        <v>855</v>
      </c>
      <c r="E115" s="924" t="s">
        <v>856</v>
      </c>
      <c r="F115" s="924" t="s">
        <v>1005</v>
      </c>
      <c r="G115" s="924" t="s">
        <v>858</v>
      </c>
      <c r="H115" s="924" t="s">
        <v>836</v>
      </c>
      <c r="I115" s="924" t="s">
        <v>837</v>
      </c>
      <c r="J115" s="924" t="s">
        <v>859</v>
      </c>
      <c r="K115" s="924" t="s">
        <v>1006</v>
      </c>
      <c r="L115" s="925">
        <v>496.94239950180099</v>
      </c>
      <c r="M115" s="925">
        <v>3.8490718768571198E-3</v>
      </c>
    </row>
    <row r="116" spans="1:13" ht="11.25" customHeight="1" x14ac:dyDescent="0.2">
      <c r="A116" s="924" t="s">
        <v>853</v>
      </c>
      <c r="B116" s="924" t="s">
        <v>788</v>
      </c>
      <c r="C116" s="924" t="s">
        <v>854</v>
      </c>
      <c r="D116" s="924" t="s">
        <v>855</v>
      </c>
      <c r="E116" s="924" t="s">
        <v>856</v>
      </c>
      <c r="F116" s="924" t="s">
        <v>1007</v>
      </c>
      <c r="G116" s="924" t="s">
        <v>858</v>
      </c>
      <c r="H116" s="924" t="s">
        <v>836</v>
      </c>
      <c r="I116" s="924" t="s">
        <v>837</v>
      </c>
      <c r="J116" s="924" t="s">
        <v>859</v>
      </c>
      <c r="K116" s="924" t="s">
        <v>928</v>
      </c>
      <c r="L116" s="925">
        <v>228.78469157218899</v>
      </c>
      <c r="M116" s="925">
        <v>9.9762670733980503E-3</v>
      </c>
    </row>
    <row r="117" spans="1:13" ht="11.25" customHeight="1" x14ac:dyDescent="0.2">
      <c r="A117" s="924" t="s">
        <v>853</v>
      </c>
      <c r="B117" s="924" t="s">
        <v>788</v>
      </c>
      <c r="C117" s="924" t="s">
        <v>854</v>
      </c>
      <c r="D117" s="924" t="s">
        <v>855</v>
      </c>
      <c r="E117" s="924" t="s">
        <v>856</v>
      </c>
      <c r="F117" s="924" t="s">
        <v>1008</v>
      </c>
      <c r="G117" s="924" t="s">
        <v>858</v>
      </c>
      <c r="H117" s="924" t="s">
        <v>836</v>
      </c>
      <c r="I117" s="924" t="s">
        <v>837</v>
      </c>
      <c r="J117" s="924" t="s">
        <v>859</v>
      </c>
      <c r="K117" s="924" t="s">
        <v>1009</v>
      </c>
      <c r="L117" s="925">
        <v>53.334415078163097</v>
      </c>
      <c r="M117" s="925">
        <v>4.3449903130721201E-4</v>
      </c>
    </row>
    <row r="118" spans="1:13" ht="11.25" customHeight="1" x14ac:dyDescent="0.2">
      <c r="A118" s="924" t="s">
        <v>853</v>
      </c>
      <c r="B118" s="924" t="s">
        <v>788</v>
      </c>
      <c r="C118" s="924" t="s">
        <v>854</v>
      </c>
      <c r="D118" s="924" t="s">
        <v>855</v>
      </c>
      <c r="E118" s="924" t="s">
        <v>856</v>
      </c>
      <c r="F118" s="924" t="s">
        <v>1010</v>
      </c>
      <c r="G118" s="924" t="s">
        <v>858</v>
      </c>
      <c r="H118" s="924" t="s">
        <v>836</v>
      </c>
      <c r="I118" s="924" t="s">
        <v>837</v>
      </c>
      <c r="J118" s="924" t="s">
        <v>859</v>
      </c>
      <c r="K118" s="924" t="s">
        <v>1011</v>
      </c>
      <c r="L118" s="925">
        <v>0.69997323397546996</v>
      </c>
      <c r="M118" s="925">
        <v>3.2208763640184697E-5</v>
      </c>
    </row>
    <row r="119" spans="1:13" ht="11.25" customHeight="1" x14ac:dyDescent="0.2">
      <c r="A119" s="924" t="s">
        <v>853</v>
      </c>
      <c r="B119" s="924" t="s">
        <v>788</v>
      </c>
      <c r="C119" s="924" t="s">
        <v>854</v>
      </c>
      <c r="D119" s="924" t="s">
        <v>855</v>
      </c>
      <c r="E119" s="924" t="s">
        <v>856</v>
      </c>
      <c r="F119" s="924" t="s">
        <v>1012</v>
      </c>
      <c r="G119" s="924" t="s">
        <v>858</v>
      </c>
      <c r="H119" s="924" t="s">
        <v>836</v>
      </c>
      <c r="I119" s="924" t="s">
        <v>837</v>
      </c>
      <c r="J119" s="924" t="s">
        <v>859</v>
      </c>
      <c r="K119" s="924" t="s">
        <v>891</v>
      </c>
      <c r="L119" s="925">
        <v>51.298212289810202</v>
      </c>
      <c r="M119" s="925">
        <v>6.7991929189759005E-4</v>
      </c>
    </row>
    <row r="120" spans="1:13" ht="11.25" customHeight="1" x14ac:dyDescent="0.2">
      <c r="A120" s="924" t="s">
        <v>853</v>
      </c>
      <c r="B120" s="924" t="s">
        <v>788</v>
      </c>
      <c r="C120" s="924" t="s">
        <v>854</v>
      </c>
      <c r="D120" s="924" t="s">
        <v>855</v>
      </c>
      <c r="E120" s="924" t="s">
        <v>856</v>
      </c>
      <c r="F120" s="924" t="s">
        <v>1013</v>
      </c>
      <c r="G120" s="924" t="s">
        <v>858</v>
      </c>
      <c r="H120" s="924" t="s">
        <v>836</v>
      </c>
      <c r="I120" s="924" t="s">
        <v>837</v>
      </c>
      <c r="J120" s="924" t="s">
        <v>863</v>
      </c>
      <c r="K120" s="924" t="s">
        <v>931</v>
      </c>
      <c r="L120" s="925">
        <v>71.256856024265304</v>
      </c>
      <c r="M120" s="925">
        <v>2.60469581769485E-3</v>
      </c>
    </row>
    <row r="121" spans="1:13" ht="11.25" customHeight="1" x14ac:dyDescent="0.2">
      <c r="A121" s="924" t="s">
        <v>853</v>
      </c>
      <c r="B121" s="924" t="s">
        <v>788</v>
      </c>
      <c r="C121" s="924" t="s">
        <v>854</v>
      </c>
      <c r="D121" s="924" t="s">
        <v>855</v>
      </c>
      <c r="E121" s="924" t="s">
        <v>856</v>
      </c>
      <c r="F121" s="924" t="s">
        <v>1014</v>
      </c>
      <c r="G121" s="924" t="s">
        <v>858</v>
      </c>
      <c r="H121" s="924" t="s">
        <v>836</v>
      </c>
      <c r="I121" s="924" t="s">
        <v>837</v>
      </c>
      <c r="J121" s="924" t="s">
        <v>863</v>
      </c>
      <c r="K121" s="924" t="s">
        <v>933</v>
      </c>
      <c r="L121" s="925">
        <v>1032.3093290329</v>
      </c>
      <c r="M121" s="925">
        <v>7.3082827080952501E-3</v>
      </c>
    </row>
    <row r="122" spans="1:13" ht="11.25" customHeight="1" x14ac:dyDescent="0.2">
      <c r="A122" s="924" t="s">
        <v>853</v>
      </c>
      <c r="B122" s="924" t="s">
        <v>788</v>
      </c>
      <c r="C122" s="924" t="s">
        <v>854</v>
      </c>
      <c r="D122" s="924" t="s">
        <v>855</v>
      </c>
      <c r="E122" s="924" t="s">
        <v>856</v>
      </c>
      <c r="F122" s="924" t="s">
        <v>1015</v>
      </c>
      <c r="G122" s="924" t="s">
        <v>858</v>
      </c>
      <c r="H122" s="924" t="s">
        <v>836</v>
      </c>
      <c r="I122" s="924" t="s">
        <v>837</v>
      </c>
      <c r="J122" s="924" t="s">
        <v>870</v>
      </c>
      <c r="K122" s="924" t="s">
        <v>1016</v>
      </c>
      <c r="L122" s="925">
        <v>0.27967265975894401</v>
      </c>
      <c r="M122" s="925">
        <v>3.3979539696416E-6</v>
      </c>
    </row>
    <row r="123" spans="1:13" ht="11.25" customHeight="1" x14ac:dyDescent="0.2">
      <c r="A123" s="924" t="s">
        <v>853</v>
      </c>
      <c r="B123" s="924" t="s">
        <v>788</v>
      </c>
      <c r="C123" s="924" t="s">
        <v>854</v>
      </c>
      <c r="D123" s="924" t="s">
        <v>855</v>
      </c>
      <c r="E123" s="924" t="s">
        <v>856</v>
      </c>
      <c r="F123" s="924" t="s">
        <v>1017</v>
      </c>
      <c r="G123" s="924" t="s">
        <v>858</v>
      </c>
      <c r="H123" s="924" t="s">
        <v>836</v>
      </c>
      <c r="I123" s="924" t="s">
        <v>837</v>
      </c>
      <c r="J123" s="924" t="s">
        <v>863</v>
      </c>
      <c r="K123" s="924" t="s">
        <v>864</v>
      </c>
      <c r="L123" s="925">
        <v>457.30850410461397</v>
      </c>
      <c r="M123" s="925">
        <v>6.2020143163863404E-3</v>
      </c>
    </row>
    <row r="124" spans="1:13" ht="11.25" customHeight="1" x14ac:dyDescent="0.2">
      <c r="A124" s="924" t="s">
        <v>853</v>
      </c>
      <c r="B124" s="924" t="s">
        <v>788</v>
      </c>
      <c r="C124" s="924" t="s">
        <v>854</v>
      </c>
      <c r="D124" s="924" t="s">
        <v>855</v>
      </c>
      <c r="E124" s="924" t="s">
        <v>856</v>
      </c>
      <c r="F124" s="924" t="s">
        <v>1018</v>
      </c>
      <c r="G124" s="924" t="s">
        <v>858</v>
      </c>
      <c r="H124" s="924" t="s">
        <v>836</v>
      </c>
      <c r="I124" s="924" t="s">
        <v>837</v>
      </c>
      <c r="J124" s="924" t="s">
        <v>870</v>
      </c>
      <c r="K124" s="924" t="s">
        <v>1019</v>
      </c>
      <c r="L124" s="925">
        <v>50.504137992858901</v>
      </c>
      <c r="M124" s="925">
        <v>3.7956039657416303E-4</v>
      </c>
    </row>
    <row r="125" spans="1:13" ht="11.25" customHeight="1" x14ac:dyDescent="0.2">
      <c r="A125" s="924" t="s">
        <v>853</v>
      </c>
      <c r="B125" s="924" t="s">
        <v>788</v>
      </c>
      <c r="C125" s="924" t="s">
        <v>854</v>
      </c>
      <c r="D125" s="924" t="s">
        <v>855</v>
      </c>
      <c r="E125" s="924" t="s">
        <v>856</v>
      </c>
      <c r="F125" s="924" t="s">
        <v>1020</v>
      </c>
      <c r="G125" s="924" t="s">
        <v>858</v>
      </c>
      <c r="H125" s="924" t="s">
        <v>836</v>
      </c>
      <c r="I125" s="924" t="s">
        <v>837</v>
      </c>
      <c r="J125" s="924" t="s">
        <v>863</v>
      </c>
      <c r="K125" s="924" t="s">
        <v>866</v>
      </c>
      <c r="L125" s="925">
        <v>1490.1319236755401</v>
      </c>
      <c r="M125" s="925">
        <v>3.6169335246540903E-2</v>
      </c>
    </row>
    <row r="126" spans="1:13" ht="11.25" customHeight="1" x14ac:dyDescent="0.2">
      <c r="A126" s="924" t="s">
        <v>853</v>
      </c>
      <c r="B126" s="924" t="s">
        <v>788</v>
      </c>
      <c r="C126" s="924" t="s">
        <v>854</v>
      </c>
      <c r="D126" s="924" t="s">
        <v>855</v>
      </c>
      <c r="E126" s="924" t="s">
        <v>856</v>
      </c>
      <c r="F126" s="924" t="s">
        <v>1021</v>
      </c>
      <c r="G126" s="924" t="s">
        <v>858</v>
      </c>
      <c r="H126" s="924" t="s">
        <v>836</v>
      </c>
      <c r="I126" s="924" t="s">
        <v>837</v>
      </c>
      <c r="J126" s="924" t="s">
        <v>863</v>
      </c>
      <c r="K126" s="924" t="s">
        <v>868</v>
      </c>
      <c r="L126" s="925">
        <v>650.61268997192406</v>
      </c>
      <c r="M126" s="925">
        <v>3.49715906259007E-3</v>
      </c>
    </row>
    <row r="127" spans="1:13" ht="11.25" customHeight="1" x14ac:dyDescent="0.2">
      <c r="A127" s="924" t="s">
        <v>853</v>
      </c>
      <c r="B127" s="924" t="s">
        <v>788</v>
      </c>
      <c r="C127" s="924" t="s">
        <v>854</v>
      </c>
      <c r="D127" s="924" t="s">
        <v>855</v>
      </c>
      <c r="E127" s="924" t="s">
        <v>856</v>
      </c>
      <c r="F127" s="924" t="s">
        <v>1022</v>
      </c>
      <c r="G127" s="924" t="s">
        <v>858</v>
      </c>
      <c r="H127" s="924" t="s">
        <v>836</v>
      </c>
      <c r="I127" s="924" t="s">
        <v>837</v>
      </c>
      <c r="J127" s="924" t="s">
        <v>940</v>
      </c>
      <c r="K127" s="924" t="s">
        <v>1023</v>
      </c>
      <c r="L127" s="925">
        <v>9.6489134230068902E-3</v>
      </c>
      <c r="M127" s="925">
        <v>4.3342015416947298E-7</v>
      </c>
    </row>
    <row r="128" spans="1:13" ht="11.25" customHeight="1" x14ac:dyDescent="0.2">
      <c r="A128" s="924" t="s">
        <v>853</v>
      </c>
      <c r="B128" s="924" t="s">
        <v>788</v>
      </c>
      <c r="C128" s="924" t="s">
        <v>854</v>
      </c>
      <c r="D128" s="924" t="s">
        <v>855</v>
      </c>
      <c r="E128" s="924" t="s">
        <v>856</v>
      </c>
      <c r="F128" s="924" t="s">
        <v>1024</v>
      </c>
      <c r="G128" s="924" t="s">
        <v>858</v>
      </c>
      <c r="H128" s="924" t="s">
        <v>836</v>
      </c>
      <c r="I128" s="924" t="s">
        <v>837</v>
      </c>
      <c r="J128" s="924" t="s">
        <v>940</v>
      </c>
      <c r="K128" s="924" t="s">
        <v>1025</v>
      </c>
      <c r="L128" s="925">
        <v>2.5622187703847898</v>
      </c>
      <c r="M128" s="925">
        <v>4.2148589251667097E-5</v>
      </c>
    </row>
    <row r="129" spans="1:13" ht="11.25" customHeight="1" x14ac:dyDescent="0.2">
      <c r="A129" s="924" t="s">
        <v>853</v>
      </c>
      <c r="B129" s="924" t="s">
        <v>788</v>
      </c>
      <c r="C129" s="924" t="s">
        <v>854</v>
      </c>
      <c r="D129" s="924" t="s">
        <v>855</v>
      </c>
      <c r="E129" s="924" t="s">
        <v>856</v>
      </c>
      <c r="F129" s="924" t="s">
        <v>1026</v>
      </c>
      <c r="G129" s="924" t="s">
        <v>858</v>
      </c>
      <c r="H129" s="924" t="s">
        <v>836</v>
      </c>
      <c r="I129" s="924" t="s">
        <v>837</v>
      </c>
      <c r="J129" s="924" t="s">
        <v>940</v>
      </c>
      <c r="K129" s="924" t="s">
        <v>1027</v>
      </c>
      <c r="L129" s="925">
        <v>67.630815386772198</v>
      </c>
      <c r="M129" s="925">
        <v>2.8544377174739601E-3</v>
      </c>
    </row>
    <row r="130" spans="1:13" ht="11.25" customHeight="1" x14ac:dyDescent="0.2">
      <c r="A130" s="924" t="s">
        <v>853</v>
      </c>
      <c r="B130" s="924" t="s">
        <v>788</v>
      </c>
      <c r="C130" s="924" t="s">
        <v>854</v>
      </c>
      <c r="D130" s="924" t="s">
        <v>855</v>
      </c>
      <c r="E130" s="924" t="s">
        <v>856</v>
      </c>
      <c r="F130" s="924" t="s">
        <v>1028</v>
      </c>
      <c r="G130" s="924" t="s">
        <v>858</v>
      </c>
      <c r="H130" s="924" t="s">
        <v>836</v>
      </c>
      <c r="I130" s="924" t="s">
        <v>837</v>
      </c>
      <c r="J130" s="924" t="s">
        <v>940</v>
      </c>
      <c r="K130" s="924" t="s">
        <v>1029</v>
      </c>
      <c r="L130" s="925">
        <v>13.9590050391853</v>
      </c>
      <c r="M130" s="925">
        <v>7.5719412965780098E-4</v>
      </c>
    </row>
    <row r="131" spans="1:13" ht="11.25" customHeight="1" x14ac:dyDescent="0.2">
      <c r="A131" s="924" t="s">
        <v>853</v>
      </c>
      <c r="B131" s="924" t="s">
        <v>788</v>
      </c>
      <c r="C131" s="924" t="s">
        <v>854</v>
      </c>
      <c r="D131" s="924" t="s">
        <v>855</v>
      </c>
      <c r="E131" s="924" t="s">
        <v>856</v>
      </c>
      <c r="F131" s="924" t="s">
        <v>1030</v>
      </c>
      <c r="G131" s="924" t="s">
        <v>858</v>
      </c>
      <c r="H131" s="924" t="s">
        <v>836</v>
      </c>
      <c r="I131" s="924" t="s">
        <v>837</v>
      </c>
      <c r="J131" s="924" t="s">
        <v>940</v>
      </c>
      <c r="K131" s="924" t="s">
        <v>941</v>
      </c>
      <c r="L131" s="925">
        <v>92.195638120174394</v>
      </c>
      <c r="M131" s="925">
        <v>1.73185472466741E-3</v>
      </c>
    </row>
    <row r="132" spans="1:13" ht="11.25" customHeight="1" x14ac:dyDescent="0.2">
      <c r="A132" s="924" t="s">
        <v>853</v>
      </c>
      <c r="B132" s="924" t="s">
        <v>788</v>
      </c>
      <c r="C132" s="924" t="s">
        <v>854</v>
      </c>
      <c r="D132" s="924" t="s">
        <v>855</v>
      </c>
      <c r="E132" s="924" t="s">
        <v>856</v>
      </c>
      <c r="F132" s="924" t="s">
        <v>1031</v>
      </c>
      <c r="G132" s="924" t="s">
        <v>858</v>
      </c>
      <c r="H132" s="924" t="s">
        <v>836</v>
      </c>
      <c r="I132" s="924" t="s">
        <v>837</v>
      </c>
      <c r="J132" s="924" t="s">
        <v>940</v>
      </c>
      <c r="K132" s="924" t="s">
        <v>1032</v>
      </c>
      <c r="L132" s="925">
        <v>10.8614383526146</v>
      </c>
      <c r="M132" s="925">
        <v>2.2662492361513701E-4</v>
      </c>
    </row>
    <row r="133" spans="1:13" ht="11.25" customHeight="1" x14ac:dyDescent="0.2">
      <c r="A133" s="924" t="s">
        <v>853</v>
      </c>
      <c r="B133" s="924" t="s">
        <v>788</v>
      </c>
      <c r="C133" s="924" t="s">
        <v>854</v>
      </c>
      <c r="D133" s="924" t="s">
        <v>855</v>
      </c>
      <c r="E133" s="924" t="s">
        <v>856</v>
      </c>
      <c r="F133" s="924" t="s">
        <v>1033</v>
      </c>
      <c r="G133" s="924" t="s">
        <v>858</v>
      </c>
      <c r="H133" s="924" t="s">
        <v>836</v>
      </c>
      <c r="I133" s="924" t="s">
        <v>837</v>
      </c>
      <c r="J133" s="924" t="s">
        <v>940</v>
      </c>
      <c r="K133" s="924" t="s">
        <v>1034</v>
      </c>
      <c r="L133" s="925">
        <v>0.27582301513757601</v>
      </c>
      <c r="M133" s="925">
        <v>9.0449474782761108E-6</v>
      </c>
    </row>
    <row r="134" spans="1:13" ht="11.25" customHeight="1" x14ac:dyDescent="0.2">
      <c r="A134" s="924" t="s">
        <v>853</v>
      </c>
      <c r="B134" s="924" t="s">
        <v>788</v>
      </c>
      <c r="C134" s="924" t="s">
        <v>854</v>
      </c>
      <c r="D134" s="924" t="s">
        <v>855</v>
      </c>
      <c r="E134" s="924" t="s">
        <v>856</v>
      </c>
      <c r="F134" s="924" t="s">
        <v>1035</v>
      </c>
      <c r="G134" s="924" t="s">
        <v>858</v>
      </c>
      <c r="H134" s="924" t="s">
        <v>836</v>
      </c>
      <c r="I134" s="924" t="s">
        <v>837</v>
      </c>
      <c r="J134" s="924" t="s">
        <v>870</v>
      </c>
      <c r="K134" s="924" t="s">
        <v>1036</v>
      </c>
      <c r="L134" s="925">
        <v>1.3552829190302901E-2</v>
      </c>
      <c r="M134" s="925">
        <v>1.65983824000756E-6</v>
      </c>
    </row>
    <row r="135" spans="1:13" ht="11.25" customHeight="1" x14ac:dyDescent="0.2">
      <c r="A135" s="924" t="s">
        <v>853</v>
      </c>
      <c r="B135" s="924" t="s">
        <v>788</v>
      </c>
      <c r="C135" s="924" t="s">
        <v>854</v>
      </c>
      <c r="D135" s="924" t="s">
        <v>855</v>
      </c>
      <c r="E135" s="924" t="s">
        <v>856</v>
      </c>
      <c r="F135" s="924" t="s">
        <v>1037</v>
      </c>
      <c r="G135" s="924" t="s">
        <v>858</v>
      </c>
      <c r="H135" s="924" t="s">
        <v>836</v>
      </c>
      <c r="I135" s="924" t="s">
        <v>837</v>
      </c>
      <c r="J135" s="924" t="s">
        <v>859</v>
      </c>
      <c r="K135" s="924" t="s">
        <v>918</v>
      </c>
      <c r="L135" s="925">
        <v>114.103557705879</v>
      </c>
      <c r="M135" s="925">
        <v>1.10427614325204E-3</v>
      </c>
    </row>
    <row r="136" spans="1:13" ht="11.25" customHeight="1" x14ac:dyDescent="0.2">
      <c r="A136" s="924" t="s">
        <v>853</v>
      </c>
      <c r="B136" s="924" t="s">
        <v>788</v>
      </c>
      <c r="C136" s="924" t="s">
        <v>854</v>
      </c>
      <c r="D136" s="924" t="s">
        <v>855</v>
      </c>
      <c r="E136" s="924" t="s">
        <v>856</v>
      </c>
      <c r="F136" s="924" t="s">
        <v>1038</v>
      </c>
      <c r="G136" s="924" t="s">
        <v>858</v>
      </c>
      <c r="H136" s="924" t="s">
        <v>836</v>
      </c>
      <c r="I136" s="924" t="s">
        <v>837</v>
      </c>
      <c r="J136" s="924" t="s">
        <v>863</v>
      </c>
      <c r="K136" s="924" t="s">
        <v>935</v>
      </c>
      <c r="L136" s="925">
        <v>450.93041944503801</v>
      </c>
      <c r="M136" s="925">
        <v>4.8803553528955499E-3</v>
      </c>
    </row>
    <row r="137" spans="1:13" ht="11.25" customHeight="1" x14ac:dyDescent="0.2">
      <c r="A137" s="924" t="s">
        <v>853</v>
      </c>
      <c r="B137" s="924" t="s">
        <v>788</v>
      </c>
      <c r="C137" s="924" t="s">
        <v>854</v>
      </c>
      <c r="D137" s="924" t="s">
        <v>855</v>
      </c>
      <c r="E137" s="924" t="s">
        <v>856</v>
      </c>
      <c r="F137" s="924" t="s">
        <v>1039</v>
      </c>
      <c r="G137" s="924" t="s">
        <v>981</v>
      </c>
      <c r="H137" s="924" t="s">
        <v>835</v>
      </c>
      <c r="I137" s="924" t="s">
        <v>1040</v>
      </c>
      <c r="J137" s="924" t="s">
        <v>859</v>
      </c>
      <c r="K137" s="924" t="s">
        <v>901</v>
      </c>
      <c r="L137" s="925">
        <v>0.217186476336792</v>
      </c>
      <c r="M137" s="925">
        <v>1.61463050972088E-4</v>
      </c>
    </row>
    <row r="138" spans="1:13" ht="11.25" customHeight="1" x14ac:dyDescent="0.2">
      <c r="A138" s="924" t="s">
        <v>853</v>
      </c>
      <c r="B138" s="924" t="s">
        <v>788</v>
      </c>
      <c r="C138" s="924" t="s">
        <v>854</v>
      </c>
      <c r="D138" s="924" t="s">
        <v>855</v>
      </c>
      <c r="E138" s="924" t="s">
        <v>856</v>
      </c>
      <c r="F138" s="924" t="s">
        <v>1041</v>
      </c>
      <c r="G138" s="924" t="s">
        <v>981</v>
      </c>
      <c r="H138" s="924" t="s">
        <v>835</v>
      </c>
      <c r="I138" s="924" t="s">
        <v>1040</v>
      </c>
      <c r="J138" s="924" t="s">
        <v>859</v>
      </c>
      <c r="K138" s="924" t="s">
        <v>891</v>
      </c>
      <c r="L138" s="925">
        <v>0.93064952548593305</v>
      </c>
      <c r="M138" s="925">
        <v>4.6890592329873498E-4</v>
      </c>
    </row>
    <row r="139" spans="1:13" ht="11.25" customHeight="1" x14ac:dyDescent="0.2">
      <c r="A139" s="924" t="s">
        <v>853</v>
      </c>
      <c r="B139" s="924" t="s">
        <v>788</v>
      </c>
      <c r="C139" s="924" t="s">
        <v>854</v>
      </c>
      <c r="D139" s="924" t="s">
        <v>855</v>
      </c>
      <c r="E139" s="924" t="s">
        <v>856</v>
      </c>
      <c r="F139" s="924" t="s">
        <v>1042</v>
      </c>
      <c r="G139" s="924" t="s">
        <v>981</v>
      </c>
      <c r="H139" s="924" t="s">
        <v>835</v>
      </c>
      <c r="I139" s="924" t="s">
        <v>998</v>
      </c>
      <c r="J139" s="924" t="s">
        <v>956</v>
      </c>
      <c r="K139" s="924" t="s">
        <v>1043</v>
      </c>
      <c r="L139" s="925">
        <v>10.4584049880505</v>
      </c>
      <c r="M139" s="925">
        <v>1.8115150596713599E-2</v>
      </c>
    </row>
    <row r="140" spans="1:13" ht="11.25" customHeight="1" x14ac:dyDescent="0.2">
      <c r="A140" s="924" t="s">
        <v>853</v>
      </c>
      <c r="B140" s="924" t="s">
        <v>788</v>
      </c>
      <c r="C140" s="924" t="s">
        <v>854</v>
      </c>
      <c r="D140" s="924" t="s">
        <v>855</v>
      </c>
      <c r="E140" s="924" t="s">
        <v>856</v>
      </c>
      <c r="F140" s="924" t="s">
        <v>1044</v>
      </c>
      <c r="G140" s="924" t="s">
        <v>981</v>
      </c>
      <c r="H140" s="924" t="s">
        <v>835</v>
      </c>
      <c r="I140" s="924" t="s">
        <v>1040</v>
      </c>
      <c r="J140" s="924" t="s">
        <v>884</v>
      </c>
      <c r="K140" s="924" t="s">
        <v>999</v>
      </c>
      <c r="L140" s="925">
        <v>86.059841752052293</v>
      </c>
      <c r="M140" s="925">
        <v>0.119139388051735</v>
      </c>
    </row>
    <row r="141" spans="1:13" ht="11.25" customHeight="1" x14ac:dyDescent="0.2">
      <c r="A141" s="924" t="s">
        <v>853</v>
      </c>
      <c r="B141" s="924" t="s">
        <v>788</v>
      </c>
      <c r="C141" s="924" t="s">
        <v>854</v>
      </c>
      <c r="D141" s="924" t="s">
        <v>855</v>
      </c>
      <c r="E141" s="924" t="s">
        <v>856</v>
      </c>
      <c r="F141" s="924" t="s">
        <v>1045</v>
      </c>
      <c r="G141" s="924" t="s">
        <v>981</v>
      </c>
      <c r="H141" s="924" t="s">
        <v>835</v>
      </c>
      <c r="I141" s="924" t="s">
        <v>1040</v>
      </c>
      <c r="J141" s="924" t="s">
        <v>884</v>
      </c>
      <c r="K141" s="924" t="s">
        <v>1046</v>
      </c>
      <c r="L141" s="925">
        <v>818.88962554931595</v>
      </c>
      <c r="M141" s="925">
        <v>0.84046787851548299</v>
      </c>
    </row>
    <row r="142" spans="1:13" ht="11.25" customHeight="1" x14ac:dyDescent="0.2">
      <c r="A142" s="924" t="s">
        <v>853</v>
      </c>
      <c r="B142" s="924" t="s">
        <v>788</v>
      </c>
      <c r="C142" s="924" t="s">
        <v>854</v>
      </c>
      <c r="D142" s="924" t="s">
        <v>855</v>
      </c>
      <c r="E142" s="924" t="s">
        <v>856</v>
      </c>
      <c r="F142" s="924" t="s">
        <v>1047</v>
      </c>
      <c r="G142" s="924" t="s">
        <v>981</v>
      </c>
      <c r="H142" s="924" t="s">
        <v>835</v>
      </c>
      <c r="I142" s="924" t="s">
        <v>1040</v>
      </c>
      <c r="J142" s="924" t="s">
        <v>884</v>
      </c>
      <c r="K142" s="924" t="s">
        <v>1048</v>
      </c>
      <c r="L142" s="925">
        <v>279.72468614578202</v>
      </c>
      <c r="M142" s="925">
        <v>0.21145338844507899</v>
      </c>
    </row>
    <row r="143" spans="1:13" ht="11.25" customHeight="1" x14ac:dyDescent="0.2">
      <c r="A143" s="924" t="s">
        <v>853</v>
      </c>
      <c r="B143" s="924" t="s">
        <v>788</v>
      </c>
      <c r="C143" s="924" t="s">
        <v>854</v>
      </c>
      <c r="D143" s="924" t="s">
        <v>855</v>
      </c>
      <c r="E143" s="924" t="s">
        <v>856</v>
      </c>
      <c r="F143" s="924" t="s">
        <v>1049</v>
      </c>
      <c r="G143" s="924" t="s">
        <v>981</v>
      </c>
      <c r="H143" s="924" t="s">
        <v>835</v>
      </c>
      <c r="I143" s="924" t="s">
        <v>1040</v>
      </c>
      <c r="J143" s="924" t="s">
        <v>884</v>
      </c>
      <c r="K143" s="924" t="s">
        <v>885</v>
      </c>
      <c r="L143" s="925">
        <v>107.823253512383</v>
      </c>
      <c r="M143" s="925">
        <v>0.103005012046196</v>
      </c>
    </row>
    <row r="144" spans="1:13" ht="11.25" customHeight="1" x14ac:dyDescent="0.2">
      <c r="A144" s="924" t="s">
        <v>853</v>
      </c>
      <c r="B144" s="924" t="s">
        <v>788</v>
      </c>
      <c r="C144" s="924" t="s">
        <v>854</v>
      </c>
      <c r="D144" s="924" t="s">
        <v>855</v>
      </c>
      <c r="E144" s="924" t="s">
        <v>856</v>
      </c>
      <c r="F144" s="924" t="s">
        <v>1050</v>
      </c>
      <c r="G144" s="924" t="s">
        <v>981</v>
      </c>
      <c r="H144" s="924" t="s">
        <v>835</v>
      </c>
      <c r="I144" s="924" t="s">
        <v>1040</v>
      </c>
      <c r="J144" s="924" t="s">
        <v>859</v>
      </c>
      <c r="K144" s="924" t="s">
        <v>913</v>
      </c>
      <c r="L144" s="925">
        <v>2.7961448319256301</v>
      </c>
      <c r="M144" s="925">
        <v>1.6682373155134701E-3</v>
      </c>
    </row>
    <row r="145" spans="1:13" ht="11.25" customHeight="1" x14ac:dyDescent="0.2">
      <c r="A145" s="924" t="s">
        <v>853</v>
      </c>
      <c r="B145" s="924" t="s">
        <v>788</v>
      </c>
      <c r="C145" s="924" t="s">
        <v>854</v>
      </c>
      <c r="D145" s="924" t="s">
        <v>855</v>
      </c>
      <c r="E145" s="924" t="s">
        <v>856</v>
      </c>
      <c r="F145" s="924" t="s">
        <v>1051</v>
      </c>
      <c r="G145" s="924" t="s">
        <v>981</v>
      </c>
      <c r="H145" s="924" t="s">
        <v>835</v>
      </c>
      <c r="I145" s="924" t="s">
        <v>1040</v>
      </c>
      <c r="J145" s="924" t="s">
        <v>859</v>
      </c>
      <c r="K145" s="924" t="s">
        <v>889</v>
      </c>
      <c r="L145" s="925">
        <v>2.0924092503264501E-2</v>
      </c>
      <c r="M145" s="925">
        <v>1.3704165567674E-5</v>
      </c>
    </row>
    <row r="146" spans="1:13" ht="11.25" customHeight="1" x14ac:dyDescent="0.2">
      <c r="A146" s="924" t="s">
        <v>853</v>
      </c>
      <c r="B146" s="924" t="s">
        <v>788</v>
      </c>
      <c r="C146" s="924" t="s">
        <v>854</v>
      </c>
      <c r="D146" s="924" t="s">
        <v>855</v>
      </c>
      <c r="E146" s="924" t="s">
        <v>856</v>
      </c>
      <c r="F146" s="924" t="s">
        <v>1052</v>
      </c>
      <c r="G146" s="924" t="s">
        <v>981</v>
      </c>
      <c r="H146" s="924" t="s">
        <v>835</v>
      </c>
      <c r="I146" s="924" t="s">
        <v>1040</v>
      </c>
      <c r="J146" s="924" t="s">
        <v>859</v>
      </c>
      <c r="K146" s="924" t="s">
        <v>860</v>
      </c>
      <c r="L146" s="925">
        <v>5.2666406482458097</v>
      </c>
      <c r="M146" s="925">
        <v>3.7435580743476701E-3</v>
      </c>
    </row>
    <row r="147" spans="1:13" ht="11.25" customHeight="1" x14ac:dyDescent="0.2">
      <c r="A147" s="924" t="s">
        <v>853</v>
      </c>
      <c r="B147" s="924" t="s">
        <v>788</v>
      </c>
      <c r="C147" s="924" t="s">
        <v>854</v>
      </c>
      <c r="D147" s="924" t="s">
        <v>855</v>
      </c>
      <c r="E147" s="924" t="s">
        <v>856</v>
      </c>
      <c r="F147" s="924" t="s">
        <v>1053</v>
      </c>
      <c r="G147" s="924" t="s">
        <v>981</v>
      </c>
      <c r="H147" s="924" t="s">
        <v>835</v>
      </c>
      <c r="I147" s="924" t="s">
        <v>1040</v>
      </c>
      <c r="J147" s="924" t="s">
        <v>859</v>
      </c>
      <c r="K147" s="924" t="s">
        <v>893</v>
      </c>
      <c r="L147" s="925">
        <v>4.9577084816992301</v>
      </c>
      <c r="M147" s="925">
        <v>3.0398461822187502E-3</v>
      </c>
    </row>
    <row r="148" spans="1:13" ht="11.25" customHeight="1" x14ac:dyDescent="0.2">
      <c r="A148" s="924" t="s">
        <v>853</v>
      </c>
      <c r="B148" s="924" t="s">
        <v>788</v>
      </c>
      <c r="C148" s="924" t="s">
        <v>854</v>
      </c>
      <c r="D148" s="924" t="s">
        <v>855</v>
      </c>
      <c r="E148" s="924" t="s">
        <v>856</v>
      </c>
      <c r="F148" s="924" t="s">
        <v>1054</v>
      </c>
      <c r="G148" s="924" t="s">
        <v>981</v>
      </c>
      <c r="H148" s="924" t="s">
        <v>835</v>
      </c>
      <c r="I148" s="924" t="s">
        <v>998</v>
      </c>
      <c r="J148" s="924" t="s">
        <v>875</v>
      </c>
      <c r="K148" s="924" t="s">
        <v>880</v>
      </c>
      <c r="L148" s="925">
        <v>6.9360918714664902E-3</v>
      </c>
      <c r="M148" s="925">
        <v>1.5498033860694701E-5</v>
      </c>
    </row>
    <row r="149" spans="1:13" ht="11.25" customHeight="1" x14ac:dyDescent="0.2">
      <c r="A149" s="924" t="s">
        <v>853</v>
      </c>
      <c r="B149" s="924" t="s">
        <v>788</v>
      </c>
      <c r="C149" s="924" t="s">
        <v>854</v>
      </c>
      <c r="D149" s="924" t="s">
        <v>855</v>
      </c>
      <c r="E149" s="924" t="s">
        <v>856</v>
      </c>
      <c r="F149" s="924" t="s">
        <v>1055</v>
      </c>
      <c r="G149" s="924" t="s">
        <v>981</v>
      </c>
      <c r="H149" s="924" t="s">
        <v>835</v>
      </c>
      <c r="I149" s="924" t="s">
        <v>1040</v>
      </c>
      <c r="J149" s="924" t="s">
        <v>859</v>
      </c>
      <c r="K149" s="924" t="s">
        <v>899</v>
      </c>
      <c r="L149" s="925">
        <v>4.1662896461784804</v>
      </c>
      <c r="M149" s="925">
        <v>2.95526373520971E-3</v>
      </c>
    </row>
    <row r="150" spans="1:13" ht="11.25" customHeight="1" x14ac:dyDescent="0.2">
      <c r="A150" s="924" t="s">
        <v>853</v>
      </c>
      <c r="B150" s="924" t="s">
        <v>788</v>
      </c>
      <c r="C150" s="924" t="s">
        <v>854</v>
      </c>
      <c r="D150" s="924" t="s">
        <v>855</v>
      </c>
      <c r="E150" s="924" t="s">
        <v>856</v>
      </c>
      <c r="F150" s="924" t="s">
        <v>1056</v>
      </c>
      <c r="G150" s="924" t="s">
        <v>981</v>
      </c>
      <c r="H150" s="924" t="s">
        <v>835</v>
      </c>
      <c r="I150" s="924" t="s">
        <v>998</v>
      </c>
      <c r="J150" s="924" t="s">
        <v>875</v>
      </c>
      <c r="K150" s="924" t="s">
        <v>878</v>
      </c>
      <c r="L150" s="925">
        <v>19.996700674295401</v>
      </c>
      <c r="M150" s="925">
        <v>3.8566635805182201E-2</v>
      </c>
    </row>
    <row r="151" spans="1:13" ht="11.25" customHeight="1" x14ac:dyDescent="0.2">
      <c r="A151" s="924" t="s">
        <v>853</v>
      </c>
      <c r="B151" s="924" t="s">
        <v>788</v>
      </c>
      <c r="C151" s="924" t="s">
        <v>854</v>
      </c>
      <c r="D151" s="924" t="s">
        <v>855</v>
      </c>
      <c r="E151" s="924" t="s">
        <v>856</v>
      </c>
      <c r="F151" s="924" t="s">
        <v>1057</v>
      </c>
      <c r="G151" s="924" t="s">
        <v>981</v>
      </c>
      <c r="H151" s="924" t="s">
        <v>835</v>
      </c>
      <c r="I151" s="924" t="s">
        <v>1040</v>
      </c>
      <c r="J151" s="924" t="s">
        <v>859</v>
      </c>
      <c r="K151" s="924" t="s">
        <v>903</v>
      </c>
      <c r="L151" s="925">
        <v>8.6950975507497805</v>
      </c>
      <c r="M151" s="925">
        <v>5.4040262464525304E-3</v>
      </c>
    </row>
    <row r="152" spans="1:13" ht="11.25" customHeight="1" x14ac:dyDescent="0.2">
      <c r="A152" s="924" t="s">
        <v>853</v>
      </c>
      <c r="B152" s="924" t="s">
        <v>788</v>
      </c>
      <c r="C152" s="924" t="s">
        <v>854</v>
      </c>
      <c r="D152" s="924" t="s">
        <v>855</v>
      </c>
      <c r="E152" s="924" t="s">
        <v>856</v>
      </c>
      <c r="F152" s="924" t="s">
        <v>1058</v>
      </c>
      <c r="G152" s="924" t="s">
        <v>981</v>
      </c>
      <c r="H152" s="924" t="s">
        <v>835</v>
      </c>
      <c r="I152" s="924" t="s">
        <v>1040</v>
      </c>
      <c r="J152" s="924" t="s">
        <v>859</v>
      </c>
      <c r="K152" s="924" t="s">
        <v>905</v>
      </c>
      <c r="L152" s="925">
        <v>3.0492468811571598</v>
      </c>
      <c r="M152" s="925">
        <v>2.43024797828184E-3</v>
      </c>
    </row>
    <row r="153" spans="1:13" ht="11.25" customHeight="1" x14ac:dyDescent="0.2">
      <c r="A153" s="924" t="s">
        <v>853</v>
      </c>
      <c r="B153" s="924" t="s">
        <v>788</v>
      </c>
      <c r="C153" s="924" t="s">
        <v>854</v>
      </c>
      <c r="D153" s="924" t="s">
        <v>855</v>
      </c>
      <c r="E153" s="924" t="s">
        <v>856</v>
      </c>
      <c r="F153" s="924" t="s">
        <v>1059</v>
      </c>
      <c r="G153" s="924" t="s">
        <v>981</v>
      </c>
      <c r="H153" s="924" t="s">
        <v>835</v>
      </c>
      <c r="I153" s="924" t="s">
        <v>1040</v>
      </c>
      <c r="J153" s="924" t="s">
        <v>859</v>
      </c>
      <c r="K153" s="924" t="s">
        <v>909</v>
      </c>
      <c r="L153" s="925">
        <v>18.1722901463509</v>
      </c>
      <c r="M153" s="925">
        <v>1.2654903839575101E-2</v>
      </c>
    </row>
    <row r="154" spans="1:13" ht="11.25" customHeight="1" x14ac:dyDescent="0.2">
      <c r="A154" s="924" t="s">
        <v>853</v>
      </c>
      <c r="B154" s="924" t="s">
        <v>788</v>
      </c>
      <c r="C154" s="924" t="s">
        <v>854</v>
      </c>
      <c r="D154" s="924" t="s">
        <v>855</v>
      </c>
      <c r="E154" s="924" t="s">
        <v>856</v>
      </c>
      <c r="F154" s="924" t="s">
        <v>1060</v>
      </c>
      <c r="G154" s="924" t="s">
        <v>981</v>
      </c>
      <c r="H154" s="924" t="s">
        <v>835</v>
      </c>
      <c r="I154" s="924" t="s">
        <v>1040</v>
      </c>
      <c r="J154" s="924" t="s">
        <v>859</v>
      </c>
      <c r="K154" s="924" t="s">
        <v>973</v>
      </c>
      <c r="L154" s="925">
        <v>8.7164518684148806</v>
      </c>
      <c r="M154" s="925">
        <v>5.9751436751938102E-3</v>
      </c>
    </row>
    <row r="155" spans="1:13" ht="11.25" customHeight="1" x14ac:dyDescent="0.2">
      <c r="A155" s="924" t="s">
        <v>853</v>
      </c>
      <c r="B155" s="924" t="s">
        <v>788</v>
      </c>
      <c r="C155" s="924" t="s">
        <v>854</v>
      </c>
      <c r="D155" s="924" t="s">
        <v>855</v>
      </c>
      <c r="E155" s="924" t="s">
        <v>856</v>
      </c>
      <c r="F155" s="924" t="s">
        <v>1061</v>
      </c>
      <c r="G155" s="924" t="s">
        <v>981</v>
      </c>
      <c r="H155" s="924" t="s">
        <v>835</v>
      </c>
      <c r="I155" s="924" t="s">
        <v>1040</v>
      </c>
      <c r="J155" s="924" t="s">
        <v>859</v>
      </c>
      <c r="K155" s="924" t="s">
        <v>918</v>
      </c>
      <c r="L155" s="925">
        <v>0.67520182207226798</v>
      </c>
      <c r="M155" s="925">
        <v>2.99249600629992E-4</v>
      </c>
    </row>
    <row r="156" spans="1:13" ht="11.25" customHeight="1" x14ac:dyDescent="0.2">
      <c r="A156" s="924" t="s">
        <v>853</v>
      </c>
      <c r="B156" s="924" t="s">
        <v>788</v>
      </c>
      <c r="C156" s="924" t="s">
        <v>854</v>
      </c>
      <c r="D156" s="924" t="s">
        <v>855</v>
      </c>
      <c r="E156" s="924" t="s">
        <v>856</v>
      </c>
      <c r="F156" s="924" t="s">
        <v>1062</v>
      </c>
      <c r="G156" s="924" t="s">
        <v>981</v>
      </c>
      <c r="H156" s="924" t="s">
        <v>835</v>
      </c>
      <c r="I156" s="924" t="s">
        <v>1040</v>
      </c>
      <c r="J156" s="924" t="s">
        <v>859</v>
      </c>
      <c r="K156" s="924" t="s">
        <v>920</v>
      </c>
      <c r="L156" s="925">
        <v>1.17642403393984</v>
      </c>
      <c r="M156" s="925">
        <v>8.0246784782644898E-4</v>
      </c>
    </row>
    <row r="157" spans="1:13" ht="11.25" customHeight="1" x14ac:dyDescent="0.2">
      <c r="A157" s="924" t="s">
        <v>853</v>
      </c>
      <c r="B157" s="924" t="s">
        <v>788</v>
      </c>
      <c r="C157" s="924" t="s">
        <v>854</v>
      </c>
      <c r="D157" s="924" t="s">
        <v>855</v>
      </c>
      <c r="E157" s="924" t="s">
        <v>856</v>
      </c>
      <c r="F157" s="924" t="s">
        <v>1063</v>
      </c>
      <c r="G157" s="924" t="s">
        <v>981</v>
      </c>
      <c r="H157" s="924" t="s">
        <v>835</v>
      </c>
      <c r="I157" s="924" t="s">
        <v>1040</v>
      </c>
      <c r="J157" s="924" t="s">
        <v>859</v>
      </c>
      <c r="K157" s="924" t="s">
        <v>922</v>
      </c>
      <c r="L157" s="925">
        <v>1.0338681209832401</v>
      </c>
      <c r="M157" s="925">
        <v>1.88221646851616E-4</v>
      </c>
    </row>
    <row r="158" spans="1:13" ht="11.25" customHeight="1" x14ac:dyDescent="0.2">
      <c r="A158" s="924" t="s">
        <v>853</v>
      </c>
      <c r="B158" s="924" t="s">
        <v>788</v>
      </c>
      <c r="C158" s="924" t="s">
        <v>854</v>
      </c>
      <c r="D158" s="924" t="s">
        <v>855</v>
      </c>
      <c r="E158" s="924" t="s">
        <v>856</v>
      </c>
      <c r="F158" s="924" t="s">
        <v>1064</v>
      </c>
      <c r="G158" s="924" t="s">
        <v>981</v>
      </c>
      <c r="H158" s="924" t="s">
        <v>835</v>
      </c>
      <c r="I158" s="924" t="s">
        <v>1040</v>
      </c>
      <c r="J158" s="924" t="s">
        <v>859</v>
      </c>
      <c r="K158" s="924" t="s">
        <v>924</v>
      </c>
      <c r="L158" s="925">
        <v>2.4901320151984701</v>
      </c>
      <c r="M158" s="925">
        <v>1.8757078714770601E-4</v>
      </c>
    </row>
    <row r="159" spans="1:13" ht="11.25" customHeight="1" x14ac:dyDescent="0.2">
      <c r="A159" s="924" t="s">
        <v>853</v>
      </c>
      <c r="B159" s="924" t="s">
        <v>788</v>
      </c>
      <c r="C159" s="924" t="s">
        <v>854</v>
      </c>
      <c r="D159" s="924" t="s">
        <v>855</v>
      </c>
      <c r="E159" s="924" t="s">
        <v>856</v>
      </c>
      <c r="F159" s="924" t="s">
        <v>1065</v>
      </c>
      <c r="G159" s="924" t="s">
        <v>981</v>
      </c>
      <c r="H159" s="924" t="s">
        <v>835</v>
      </c>
      <c r="I159" s="924" t="s">
        <v>1040</v>
      </c>
      <c r="J159" s="924" t="s">
        <v>859</v>
      </c>
      <c r="K159" s="924" t="s">
        <v>926</v>
      </c>
      <c r="L159" s="925">
        <v>5.9651020914316204</v>
      </c>
      <c r="M159" s="925">
        <v>3.99219502287451E-3</v>
      </c>
    </row>
    <row r="160" spans="1:13" ht="11.25" customHeight="1" x14ac:dyDescent="0.2">
      <c r="A160" s="924" t="s">
        <v>853</v>
      </c>
      <c r="B160" s="924" t="s">
        <v>788</v>
      </c>
      <c r="C160" s="924" t="s">
        <v>854</v>
      </c>
      <c r="D160" s="924" t="s">
        <v>855</v>
      </c>
      <c r="E160" s="924" t="s">
        <v>856</v>
      </c>
      <c r="F160" s="924" t="s">
        <v>1066</v>
      </c>
      <c r="G160" s="924" t="s">
        <v>981</v>
      </c>
      <c r="H160" s="924" t="s">
        <v>835</v>
      </c>
      <c r="I160" s="924" t="s">
        <v>1040</v>
      </c>
      <c r="J160" s="924" t="s">
        <v>859</v>
      </c>
      <c r="K160" s="924" t="s">
        <v>928</v>
      </c>
      <c r="L160" s="925">
        <v>4.0491278022527704</v>
      </c>
      <c r="M160" s="925">
        <v>2.0617943348497599E-3</v>
      </c>
    </row>
    <row r="161" spans="1:13" ht="11.25" customHeight="1" x14ac:dyDescent="0.2">
      <c r="A161" s="924" t="s">
        <v>853</v>
      </c>
      <c r="B161" s="924" t="s">
        <v>788</v>
      </c>
      <c r="C161" s="924" t="s">
        <v>854</v>
      </c>
      <c r="D161" s="924" t="s">
        <v>855</v>
      </c>
      <c r="E161" s="924" t="s">
        <v>856</v>
      </c>
      <c r="F161" s="924" t="s">
        <v>1067</v>
      </c>
      <c r="G161" s="924" t="s">
        <v>981</v>
      </c>
      <c r="H161" s="924" t="s">
        <v>835</v>
      </c>
      <c r="I161" s="924" t="s">
        <v>1040</v>
      </c>
      <c r="J161" s="924" t="s">
        <v>859</v>
      </c>
      <c r="K161" s="924" t="s">
        <v>1011</v>
      </c>
      <c r="L161" s="925">
        <v>1.3460126407444499</v>
      </c>
      <c r="M161" s="925">
        <v>9.6214947733130895E-4</v>
      </c>
    </row>
    <row r="162" spans="1:13" ht="11.25" customHeight="1" x14ac:dyDescent="0.2">
      <c r="A162" s="924" t="s">
        <v>853</v>
      </c>
      <c r="B162" s="924" t="s">
        <v>788</v>
      </c>
      <c r="C162" s="924" t="s">
        <v>854</v>
      </c>
      <c r="D162" s="924" t="s">
        <v>855</v>
      </c>
      <c r="E162" s="924" t="s">
        <v>856</v>
      </c>
      <c r="F162" s="924" t="s">
        <v>1068</v>
      </c>
      <c r="G162" s="924" t="s">
        <v>981</v>
      </c>
      <c r="H162" s="924" t="s">
        <v>835</v>
      </c>
      <c r="I162" s="924" t="s">
        <v>1040</v>
      </c>
      <c r="J162" s="924" t="s">
        <v>859</v>
      </c>
      <c r="K162" s="924" t="s">
        <v>897</v>
      </c>
      <c r="L162" s="925">
        <v>9.8846785277128202</v>
      </c>
      <c r="M162" s="925">
        <v>6.6500455918401301E-3</v>
      </c>
    </row>
    <row r="163" spans="1:13" ht="11.25" customHeight="1" x14ac:dyDescent="0.2">
      <c r="A163" s="924" t="s">
        <v>853</v>
      </c>
      <c r="B163" s="924" t="s">
        <v>788</v>
      </c>
      <c r="C163" s="924" t="s">
        <v>854</v>
      </c>
      <c r="D163" s="924" t="s">
        <v>855</v>
      </c>
      <c r="E163" s="924" t="s">
        <v>856</v>
      </c>
      <c r="F163" s="924" t="s">
        <v>1069</v>
      </c>
      <c r="G163" s="924" t="s">
        <v>981</v>
      </c>
      <c r="H163" s="924" t="s">
        <v>835</v>
      </c>
      <c r="I163" s="924" t="s">
        <v>998</v>
      </c>
      <c r="J163" s="924" t="s">
        <v>940</v>
      </c>
      <c r="K163" s="924" t="s">
        <v>1070</v>
      </c>
      <c r="L163" s="925">
        <v>3.5126244146376799</v>
      </c>
      <c r="M163" s="925">
        <v>6.5218591535085597E-3</v>
      </c>
    </row>
    <row r="164" spans="1:13" ht="11.25" customHeight="1" x14ac:dyDescent="0.2">
      <c r="A164" s="924" t="s">
        <v>853</v>
      </c>
      <c r="B164" s="924" t="s">
        <v>788</v>
      </c>
      <c r="C164" s="924" t="s">
        <v>854</v>
      </c>
      <c r="D164" s="924" t="s">
        <v>855</v>
      </c>
      <c r="E164" s="924" t="s">
        <v>856</v>
      </c>
      <c r="F164" s="924" t="s">
        <v>1071</v>
      </c>
      <c r="G164" s="924" t="s">
        <v>858</v>
      </c>
      <c r="H164" s="924" t="s">
        <v>836</v>
      </c>
      <c r="I164" s="924" t="s">
        <v>837</v>
      </c>
      <c r="J164" s="924" t="s">
        <v>859</v>
      </c>
      <c r="K164" s="924" t="s">
        <v>1072</v>
      </c>
      <c r="L164" s="925">
        <v>427.12961339950601</v>
      </c>
      <c r="M164" s="925">
        <v>3.7987633221234799E-3</v>
      </c>
    </row>
    <row r="165" spans="1:13" ht="11.25" customHeight="1" x14ac:dyDescent="0.2">
      <c r="A165" s="924" t="s">
        <v>853</v>
      </c>
      <c r="B165" s="924" t="s">
        <v>788</v>
      </c>
      <c r="C165" s="924" t="s">
        <v>854</v>
      </c>
      <c r="D165" s="924" t="s">
        <v>855</v>
      </c>
      <c r="E165" s="924" t="s">
        <v>856</v>
      </c>
      <c r="F165" s="924" t="s">
        <v>1073</v>
      </c>
      <c r="G165" s="924" t="s">
        <v>981</v>
      </c>
      <c r="H165" s="924" t="s">
        <v>835</v>
      </c>
      <c r="I165" s="924" t="s">
        <v>998</v>
      </c>
      <c r="J165" s="924" t="s">
        <v>884</v>
      </c>
      <c r="K165" s="924" t="s">
        <v>1046</v>
      </c>
      <c r="L165" s="925">
        <v>85.588096857070894</v>
      </c>
      <c r="M165" s="925">
        <v>0.144509856123477</v>
      </c>
    </row>
    <row r="166" spans="1:13" ht="11.25" customHeight="1" x14ac:dyDescent="0.2">
      <c r="A166" s="924" t="s">
        <v>853</v>
      </c>
      <c r="B166" s="924" t="s">
        <v>788</v>
      </c>
      <c r="C166" s="924" t="s">
        <v>854</v>
      </c>
      <c r="D166" s="924" t="s">
        <v>855</v>
      </c>
      <c r="E166" s="924" t="s">
        <v>856</v>
      </c>
      <c r="F166" s="924" t="s">
        <v>1074</v>
      </c>
      <c r="G166" s="924" t="s">
        <v>911</v>
      </c>
      <c r="H166" s="924" t="s">
        <v>665</v>
      </c>
      <c r="I166" s="924" t="s">
        <v>706</v>
      </c>
      <c r="J166" s="924" t="s">
        <v>859</v>
      </c>
      <c r="K166" s="924" t="s">
        <v>903</v>
      </c>
      <c r="L166" s="925">
        <v>1.2505507376045</v>
      </c>
      <c r="M166" s="925">
        <v>1.3966497273543201E-4</v>
      </c>
    </row>
    <row r="167" spans="1:13" ht="11.25" customHeight="1" x14ac:dyDescent="0.2">
      <c r="A167" s="924" t="s">
        <v>853</v>
      </c>
      <c r="B167" s="924" t="s">
        <v>788</v>
      </c>
      <c r="C167" s="924" t="s">
        <v>854</v>
      </c>
      <c r="D167" s="924" t="s">
        <v>855</v>
      </c>
      <c r="E167" s="924" t="s">
        <v>856</v>
      </c>
      <c r="F167" s="924" t="s">
        <v>1075</v>
      </c>
      <c r="G167" s="924" t="s">
        <v>981</v>
      </c>
      <c r="H167" s="924" t="s">
        <v>835</v>
      </c>
      <c r="I167" s="924" t="s">
        <v>998</v>
      </c>
      <c r="J167" s="924" t="s">
        <v>859</v>
      </c>
      <c r="K167" s="924" t="s">
        <v>889</v>
      </c>
      <c r="L167" s="925">
        <v>3.1602104939520399</v>
      </c>
      <c r="M167" s="925">
        <v>5.1146560217603101E-3</v>
      </c>
    </row>
    <row r="168" spans="1:13" ht="11.25" customHeight="1" x14ac:dyDescent="0.2">
      <c r="A168" s="924" t="s">
        <v>853</v>
      </c>
      <c r="B168" s="924" t="s">
        <v>788</v>
      </c>
      <c r="C168" s="924" t="s">
        <v>854</v>
      </c>
      <c r="D168" s="924" t="s">
        <v>855</v>
      </c>
      <c r="E168" s="924" t="s">
        <v>856</v>
      </c>
      <c r="F168" s="924" t="s">
        <v>1076</v>
      </c>
      <c r="G168" s="924" t="s">
        <v>981</v>
      </c>
      <c r="H168" s="924" t="s">
        <v>835</v>
      </c>
      <c r="I168" s="924" t="s">
        <v>998</v>
      </c>
      <c r="J168" s="924" t="s">
        <v>859</v>
      </c>
      <c r="K168" s="924" t="s">
        <v>860</v>
      </c>
      <c r="L168" s="925">
        <v>0.204869507579133</v>
      </c>
      <c r="M168" s="925">
        <v>4.2325685262767398E-4</v>
      </c>
    </row>
    <row r="169" spans="1:13" ht="11.25" customHeight="1" x14ac:dyDescent="0.2">
      <c r="A169" s="924" t="s">
        <v>853</v>
      </c>
      <c r="B169" s="924" t="s">
        <v>788</v>
      </c>
      <c r="C169" s="924" t="s">
        <v>854</v>
      </c>
      <c r="D169" s="924" t="s">
        <v>855</v>
      </c>
      <c r="E169" s="924" t="s">
        <v>856</v>
      </c>
      <c r="F169" s="924" t="s">
        <v>1077</v>
      </c>
      <c r="G169" s="924" t="s">
        <v>981</v>
      </c>
      <c r="H169" s="924" t="s">
        <v>835</v>
      </c>
      <c r="I169" s="924" t="s">
        <v>998</v>
      </c>
      <c r="J169" s="924" t="s">
        <v>859</v>
      </c>
      <c r="K169" s="924" t="s">
        <v>897</v>
      </c>
      <c r="L169" s="925">
        <v>0.24488527514040501</v>
      </c>
      <c r="M169" s="925">
        <v>5.1282641607031099E-4</v>
      </c>
    </row>
    <row r="170" spans="1:13" ht="11.25" customHeight="1" x14ac:dyDescent="0.2">
      <c r="A170" s="924" t="s">
        <v>853</v>
      </c>
      <c r="B170" s="924" t="s">
        <v>788</v>
      </c>
      <c r="C170" s="924" t="s">
        <v>854</v>
      </c>
      <c r="D170" s="924" t="s">
        <v>855</v>
      </c>
      <c r="E170" s="924" t="s">
        <v>856</v>
      </c>
      <c r="F170" s="924" t="s">
        <v>1078</v>
      </c>
      <c r="G170" s="924" t="s">
        <v>981</v>
      </c>
      <c r="H170" s="924" t="s">
        <v>835</v>
      </c>
      <c r="I170" s="924" t="s">
        <v>998</v>
      </c>
      <c r="J170" s="924" t="s">
        <v>859</v>
      </c>
      <c r="K170" s="924" t="s">
        <v>901</v>
      </c>
      <c r="L170" s="925">
        <v>1.6968720156000901E-3</v>
      </c>
      <c r="M170" s="925">
        <v>3.7915021380285899E-6</v>
      </c>
    </row>
    <row r="171" spans="1:13" ht="11.25" customHeight="1" x14ac:dyDescent="0.2">
      <c r="A171" s="924" t="s">
        <v>853</v>
      </c>
      <c r="B171" s="924" t="s">
        <v>788</v>
      </c>
      <c r="C171" s="924" t="s">
        <v>854</v>
      </c>
      <c r="D171" s="924" t="s">
        <v>855</v>
      </c>
      <c r="E171" s="924" t="s">
        <v>856</v>
      </c>
      <c r="F171" s="924" t="s">
        <v>1079</v>
      </c>
      <c r="G171" s="924" t="s">
        <v>981</v>
      </c>
      <c r="H171" s="924" t="s">
        <v>835</v>
      </c>
      <c r="I171" s="924" t="s">
        <v>998</v>
      </c>
      <c r="J171" s="924" t="s">
        <v>859</v>
      </c>
      <c r="K171" s="924" t="s">
        <v>909</v>
      </c>
      <c r="L171" s="925">
        <v>8.1604485511779803</v>
      </c>
      <c r="M171" s="925">
        <v>1.4614408981287901E-2</v>
      </c>
    </row>
    <row r="172" spans="1:13" ht="11.25" customHeight="1" x14ac:dyDescent="0.2">
      <c r="A172" s="924" t="s">
        <v>853</v>
      </c>
      <c r="B172" s="924" t="s">
        <v>788</v>
      </c>
      <c r="C172" s="924" t="s">
        <v>854</v>
      </c>
      <c r="D172" s="924" t="s">
        <v>855</v>
      </c>
      <c r="E172" s="924" t="s">
        <v>856</v>
      </c>
      <c r="F172" s="924" t="s">
        <v>1080</v>
      </c>
      <c r="G172" s="924" t="s">
        <v>981</v>
      </c>
      <c r="H172" s="924" t="s">
        <v>835</v>
      </c>
      <c r="I172" s="924" t="s">
        <v>998</v>
      </c>
      <c r="J172" s="924" t="s">
        <v>859</v>
      </c>
      <c r="K172" s="924" t="s">
        <v>920</v>
      </c>
      <c r="L172" s="925">
        <v>4.7822918510064497E-2</v>
      </c>
      <c r="M172" s="925">
        <v>1.0685578047287E-4</v>
      </c>
    </row>
    <row r="173" spans="1:13" ht="11.25" customHeight="1" x14ac:dyDescent="0.2">
      <c r="A173" s="924" t="s">
        <v>853</v>
      </c>
      <c r="B173" s="924" t="s">
        <v>788</v>
      </c>
      <c r="C173" s="924" t="s">
        <v>854</v>
      </c>
      <c r="D173" s="924" t="s">
        <v>855</v>
      </c>
      <c r="E173" s="924" t="s">
        <v>856</v>
      </c>
      <c r="F173" s="924" t="s">
        <v>1081</v>
      </c>
      <c r="G173" s="924" t="s">
        <v>981</v>
      </c>
      <c r="H173" s="924" t="s">
        <v>835</v>
      </c>
      <c r="I173" s="924" t="s">
        <v>998</v>
      </c>
      <c r="J173" s="924" t="s">
        <v>863</v>
      </c>
      <c r="K173" s="924" t="s">
        <v>935</v>
      </c>
      <c r="L173" s="925">
        <v>0.72515154536813498</v>
      </c>
      <c r="M173" s="925">
        <v>1.6202857968892199E-3</v>
      </c>
    </row>
    <row r="174" spans="1:13" ht="11.25" customHeight="1" x14ac:dyDescent="0.2">
      <c r="A174" s="924" t="s">
        <v>853</v>
      </c>
      <c r="B174" s="924" t="s">
        <v>788</v>
      </c>
      <c r="C174" s="924" t="s">
        <v>854</v>
      </c>
      <c r="D174" s="924" t="s">
        <v>855</v>
      </c>
      <c r="E174" s="924" t="s">
        <v>856</v>
      </c>
      <c r="F174" s="924" t="s">
        <v>1082</v>
      </c>
      <c r="G174" s="924" t="s">
        <v>981</v>
      </c>
      <c r="H174" s="924" t="s">
        <v>835</v>
      </c>
      <c r="I174" s="924" t="s">
        <v>998</v>
      </c>
      <c r="J174" s="924" t="s">
        <v>875</v>
      </c>
      <c r="K174" s="924" t="s">
        <v>952</v>
      </c>
      <c r="L174" s="925">
        <v>0.12098734464961999</v>
      </c>
      <c r="M174" s="925">
        <v>2.7033450214730698E-4</v>
      </c>
    </row>
    <row r="175" spans="1:13" ht="11.25" customHeight="1" x14ac:dyDescent="0.2">
      <c r="A175" s="924" t="s">
        <v>853</v>
      </c>
      <c r="B175" s="924" t="s">
        <v>788</v>
      </c>
      <c r="C175" s="924" t="s">
        <v>854</v>
      </c>
      <c r="D175" s="924" t="s">
        <v>855</v>
      </c>
      <c r="E175" s="924" t="s">
        <v>856</v>
      </c>
      <c r="F175" s="924" t="s">
        <v>1083</v>
      </c>
      <c r="G175" s="924" t="s">
        <v>981</v>
      </c>
      <c r="H175" s="924" t="s">
        <v>835</v>
      </c>
      <c r="I175" s="924" t="s">
        <v>998</v>
      </c>
      <c r="J175" s="924" t="s">
        <v>940</v>
      </c>
      <c r="K175" s="924" t="s">
        <v>1084</v>
      </c>
      <c r="L175" s="925">
        <v>2.9040875155478698</v>
      </c>
      <c r="M175" s="925">
        <v>5.3055739845149202E-3</v>
      </c>
    </row>
    <row r="176" spans="1:13" ht="11.25" customHeight="1" x14ac:dyDescent="0.2">
      <c r="A176" s="924" t="s">
        <v>853</v>
      </c>
      <c r="B176" s="924" t="s">
        <v>788</v>
      </c>
      <c r="C176" s="924" t="s">
        <v>854</v>
      </c>
      <c r="D176" s="924" t="s">
        <v>855</v>
      </c>
      <c r="E176" s="924" t="s">
        <v>856</v>
      </c>
      <c r="F176" s="924" t="s">
        <v>1085</v>
      </c>
      <c r="G176" s="924" t="s">
        <v>981</v>
      </c>
      <c r="H176" s="924" t="s">
        <v>835</v>
      </c>
      <c r="I176" s="924" t="s">
        <v>998</v>
      </c>
      <c r="J176" s="924" t="s">
        <v>884</v>
      </c>
      <c r="K176" s="924" t="s">
        <v>885</v>
      </c>
      <c r="L176" s="925">
        <v>114.79876971244801</v>
      </c>
      <c r="M176" s="925">
        <v>8.4323944291099906E-2</v>
      </c>
    </row>
    <row r="177" spans="1:13" ht="11.25" customHeight="1" x14ac:dyDescent="0.2">
      <c r="A177" s="924" t="s">
        <v>853</v>
      </c>
      <c r="B177" s="924" t="s">
        <v>788</v>
      </c>
      <c r="C177" s="924" t="s">
        <v>854</v>
      </c>
      <c r="D177" s="924" t="s">
        <v>855</v>
      </c>
      <c r="E177" s="924" t="s">
        <v>856</v>
      </c>
      <c r="F177" s="924" t="s">
        <v>1086</v>
      </c>
      <c r="G177" s="924" t="s">
        <v>981</v>
      </c>
      <c r="H177" s="924" t="s">
        <v>835</v>
      </c>
      <c r="I177" s="924" t="s">
        <v>998</v>
      </c>
      <c r="J177" s="924" t="s">
        <v>940</v>
      </c>
      <c r="K177" s="924" t="s">
        <v>1087</v>
      </c>
      <c r="L177" s="925">
        <v>38.863482356071501</v>
      </c>
      <c r="M177" s="925">
        <v>7.4825167655944796E-2</v>
      </c>
    </row>
    <row r="178" spans="1:13" ht="11.25" customHeight="1" x14ac:dyDescent="0.2">
      <c r="A178" s="924" t="s">
        <v>853</v>
      </c>
      <c r="B178" s="924" t="s">
        <v>788</v>
      </c>
      <c r="C178" s="924" t="s">
        <v>854</v>
      </c>
      <c r="D178" s="924" t="s">
        <v>855</v>
      </c>
      <c r="E178" s="924" t="s">
        <v>856</v>
      </c>
      <c r="F178" s="924" t="s">
        <v>1088</v>
      </c>
      <c r="G178" s="924" t="s">
        <v>981</v>
      </c>
      <c r="H178" s="924" t="s">
        <v>835</v>
      </c>
      <c r="I178" s="924" t="s">
        <v>998</v>
      </c>
      <c r="J178" s="924" t="s">
        <v>940</v>
      </c>
      <c r="K178" s="924" t="s">
        <v>1089</v>
      </c>
      <c r="L178" s="925">
        <v>33.896967649459803</v>
      </c>
      <c r="M178" s="925">
        <v>6.1923143221065402E-2</v>
      </c>
    </row>
    <row r="179" spans="1:13" ht="11.25" customHeight="1" x14ac:dyDescent="0.2">
      <c r="A179" s="924" t="s">
        <v>853</v>
      </c>
      <c r="B179" s="924" t="s">
        <v>788</v>
      </c>
      <c r="C179" s="924" t="s">
        <v>854</v>
      </c>
      <c r="D179" s="924" t="s">
        <v>855</v>
      </c>
      <c r="E179" s="924" t="s">
        <v>856</v>
      </c>
      <c r="F179" s="924" t="s">
        <v>1090</v>
      </c>
      <c r="G179" s="924" t="s">
        <v>981</v>
      </c>
      <c r="H179" s="924" t="s">
        <v>835</v>
      </c>
      <c r="I179" s="924" t="s">
        <v>998</v>
      </c>
      <c r="J179" s="924" t="s">
        <v>940</v>
      </c>
      <c r="K179" s="924" t="s">
        <v>1091</v>
      </c>
      <c r="L179" s="925">
        <v>53.8512930572033</v>
      </c>
      <c r="M179" s="925">
        <v>9.1711784480139599E-2</v>
      </c>
    </row>
    <row r="180" spans="1:13" ht="11.25" customHeight="1" x14ac:dyDescent="0.2">
      <c r="A180" s="924" t="s">
        <v>853</v>
      </c>
      <c r="B180" s="924" t="s">
        <v>788</v>
      </c>
      <c r="C180" s="924" t="s">
        <v>854</v>
      </c>
      <c r="D180" s="924" t="s">
        <v>855</v>
      </c>
      <c r="E180" s="924" t="s">
        <v>856</v>
      </c>
      <c r="F180" s="924" t="s">
        <v>1092</v>
      </c>
      <c r="G180" s="924" t="s">
        <v>981</v>
      </c>
      <c r="H180" s="924" t="s">
        <v>835</v>
      </c>
      <c r="I180" s="924" t="s">
        <v>998</v>
      </c>
      <c r="J180" s="924" t="s">
        <v>940</v>
      </c>
      <c r="K180" s="924" t="s">
        <v>1093</v>
      </c>
      <c r="L180" s="925">
        <v>29.553097903728499</v>
      </c>
      <c r="M180" s="925">
        <v>5.8480836232774898E-2</v>
      </c>
    </row>
    <row r="181" spans="1:13" ht="11.25" customHeight="1" x14ac:dyDescent="0.2">
      <c r="A181" s="924" t="s">
        <v>853</v>
      </c>
      <c r="B181" s="924" t="s">
        <v>788</v>
      </c>
      <c r="C181" s="924" t="s">
        <v>854</v>
      </c>
      <c r="D181" s="924" t="s">
        <v>855</v>
      </c>
      <c r="E181" s="924" t="s">
        <v>856</v>
      </c>
      <c r="F181" s="924" t="s">
        <v>1094</v>
      </c>
      <c r="G181" s="924" t="s">
        <v>981</v>
      </c>
      <c r="H181" s="924" t="s">
        <v>835</v>
      </c>
      <c r="I181" s="924" t="s">
        <v>998</v>
      </c>
      <c r="J181" s="924" t="s">
        <v>940</v>
      </c>
      <c r="K181" s="924" t="s">
        <v>1095</v>
      </c>
      <c r="L181" s="925">
        <v>34.658548891544299</v>
      </c>
      <c r="M181" s="925">
        <v>6.4642710378393503E-2</v>
      </c>
    </row>
    <row r="182" spans="1:13" ht="11.25" customHeight="1" x14ac:dyDescent="0.2">
      <c r="A182" s="924" t="s">
        <v>853</v>
      </c>
      <c r="B182" s="924" t="s">
        <v>788</v>
      </c>
      <c r="C182" s="924" t="s">
        <v>854</v>
      </c>
      <c r="D182" s="924" t="s">
        <v>855</v>
      </c>
      <c r="E182" s="924" t="s">
        <v>856</v>
      </c>
      <c r="F182" s="924" t="s">
        <v>1096</v>
      </c>
      <c r="G182" s="924" t="s">
        <v>981</v>
      </c>
      <c r="H182" s="924" t="s">
        <v>835</v>
      </c>
      <c r="I182" s="924" t="s">
        <v>998</v>
      </c>
      <c r="J182" s="924" t="s">
        <v>940</v>
      </c>
      <c r="K182" s="924" t="s">
        <v>1023</v>
      </c>
      <c r="L182" s="925">
        <v>27.595537610352</v>
      </c>
      <c r="M182" s="925">
        <v>5.1612982249935199E-2</v>
      </c>
    </row>
    <row r="183" spans="1:13" ht="11.25" customHeight="1" x14ac:dyDescent="0.2">
      <c r="A183" s="924" t="s">
        <v>853</v>
      </c>
      <c r="B183" s="924" t="s">
        <v>788</v>
      </c>
      <c r="C183" s="924" t="s">
        <v>854</v>
      </c>
      <c r="D183" s="924" t="s">
        <v>855</v>
      </c>
      <c r="E183" s="924" t="s">
        <v>856</v>
      </c>
      <c r="F183" s="924" t="s">
        <v>1097</v>
      </c>
      <c r="G183" s="924" t="s">
        <v>981</v>
      </c>
      <c r="H183" s="924" t="s">
        <v>835</v>
      </c>
      <c r="I183" s="924" t="s">
        <v>998</v>
      </c>
      <c r="J183" s="924" t="s">
        <v>940</v>
      </c>
      <c r="K183" s="924" t="s">
        <v>1098</v>
      </c>
      <c r="L183" s="925">
        <v>17.339584589004499</v>
      </c>
      <c r="M183" s="925">
        <v>0.118454895913601</v>
      </c>
    </row>
    <row r="184" spans="1:13" ht="11.25" customHeight="1" x14ac:dyDescent="0.2">
      <c r="A184" s="924" t="s">
        <v>853</v>
      </c>
      <c r="B184" s="924" t="s">
        <v>788</v>
      </c>
      <c r="C184" s="924" t="s">
        <v>854</v>
      </c>
      <c r="D184" s="924" t="s">
        <v>855</v>
      </c>
      <c r="E184" s="924" t="s">
        <v>856</v>
      </c>
      <c r="F184" s="924" t="s">
        <v>1099</v>
      </c>
      <c r="G184" s="924" t="s">
        <v>981</v>
      </c>
      <c r="H184" s="924" t="s">
        <v>835</v>
      </c>
      <c r="I184" s="924" t="s">
        <v>998</v>
      </c>
      <c r="J184" s="924" t="s">
        <v>940</v>
      </c>
      <c r="K184" s="924" t="s">
        <v>1025</v>
      </c>
      <c r="L184" s="925">
        <v>10.163582623004899</v>
      </c>
      <c r="M184" s="925">
        <v>6.9341373164206702E-2</v>
      </c>
    </row>
    <row r="185" spans="1:13" ht="11.25" customHeight="1" x14ac:dyDescent="0.2">
      <c r="A185" s="924" t="s">
        <v>853</v>
      </c>
      <c r="B185" s="924" t="s">
        <v>788</v>
      </c>
      <c r="C185" s="924" t="s">
        <v>854</v>
      </c>
      <c r="D185" s="924" t="s">
        <v>855</v>
      </c>
      <c r="E185" s="924" t="s">
        <v>856</v>
      </c>
      <c r="F185" s="924" t="s">
        <v>1100</v>
      </c>
      <c r="G185" s="924" t="s">
        <v>981</v>
      </c>
      <c r="H185" s="924" t="s">
        <v>835</v>
      </c>
      <c r="I185" s="924" t="s">
        <v>998</v>
      </c>
      <c r="J185" s="924" t="s">
        <v>940</v>
      </c>
      <c r="K185" s="924" t="s">
        <v>1032</v>
      </c>
      <c r="L185" s="925">
        <v>1.47251585513004E-2</v>
      </c>
      <c r="M185" s="925">
        <v>2.95224619719647E-5</v>
      </c>
    </row>
    <row r="186" spans="1:13" ht="11.25" customHeight="1" x14ac:dyDescent="0.2">
      <c r="A186" s="924" t="s">
        <v>853</v>
      </c>
      <c r="B186" s="924" t="s">
        <v>788</v>
      </c>
      <c r="C186" s="924" t="s">
        <v>854</v>
      </c>
      <c r="D186" s="924" t="s">
        <v>855</v>
      </c>
      <c r="E186" s="924" t="s">
        <v>856</v>
      </c>
      <c r="F186" s="924" t="s">
        <v>1101</v>
      </c>
      <c r="G186" s="924" t="s">
        <v>981</v>
      </c>
      <c r="H186" s="924" t="s">
        <v>835</v>
      </c>
      <c r="I186" s="924" t="s">
        <v>998</v>
      </c>
      <c r="J186" s="924" t="s">
        <v>870</v>
      </c>
      <c r="K186" s="924" t="s">
        <v>961</v>
      </c>
      <c r="L186" s="925">
        <v>7.1948450407944606E-2</v>
      </c>
      <c r="M186" s="925">
        <v>1.1846135188875499E-4</v>
      </c>
    </row>
    <row r="187" spans="1:13" ht="11.25" customHeight="1" x14ac:dyDescent="0.2">
      <c r="A187" s="924" t="s">
        <v>853</v>
      </c>
      <c r="B187" s="924" t="s">
        <v>788</v>
      </c>
      <c r="C187" s="924" t="s">
        <v>854</v>
      </c>
      <c r="D187" s="924" t="s">
        <v>855</v>
      </c>
      <c r="E187" s="924" t="s">
        <v>856</v>
      </c>
      <c r="F187" s="924" t="s">
        <v>1102</v>
      </c>
      <c r="G187" s="924" t="s">
        <v>981</v>
      </c>
      <c r="H187" s="924" t="s">
        <v>835</v>
      </c>
      <c r="I187" s="924" t="s">
        <v>998</v>
      </c>
      <c r="J187" s="924" t="s">
        <v>875</v>
      </c>
      <c r="K187" s="924" t="s">
        <v>876</v>
      </c>
      <c r="L187" s="925">
        <v>2.9970068261027301</v>
      </c>
      <c r="M187" s="925">
        <v>6.0643074175459298E-3</v>
      </c>
    </row>
    <row r="188" spans="1:13" ht="11.25" customHeight="1" x14ac:dyDescent="0.2">
      <c r="A188" s="924" t="s">
        <v>853</v>
      </c>
      <c r="B188" s="924" t="s">
        <v>788</v>
      </c>
      <c r="C188" s="924" t="s">
        <v>854</v>
      </c>
      <c r="D188" s="924" t="s">
        <v>855</v>
      </c>
      <c r="E188" s="924" t="s">
        <v>856</v>
      </c>
      <c r="F188" s="924" t="s">
        <v>1103</v>
      </c>
      <c r="G188" s="924" t="s">
        <v>981</v>
      </c>
      <c r="H188" s="924" t="s">
        <v>835</v>
      </c>
      <c r="I188" s="924" t="s">
        <v>998</v>
      </c>
      <c r="J188" s="924" t="s">
        <v>863</v>
      </c>
      <c r="K188" s="924" t="s">
        <v>864</v>
      </c>
      <c r="L188" s="925">
        <v>5.5489642312750199E-2</v>
      </c>
      <c r="M188" s="925">
        <v>1.2398648755151999E-4</v>
      </c>
    </row>
    <row r="189" spans="1:13" ht="11.25" customHeight="1" x14ac:dyDescent="0.2">
      <c r="A189" s="924" t="s">
        <v>853</v>
      </c>
      <c r="B189" s="924" t="s">
        <v>788</v>
      </c>
      <c r="C189" s="924" t="s">
        <v>854</v>
      </c>
      <c r="D189" s="924" t="s">
        <v>855</v>
      </c>
      <c r="E189" s="924" t="s">
        <v>856</v>
      </c>
      <c r="F189" s="924" t="s">
        <v>1104</v>
      </c>
      <c r="G189" s="924" t="s">
        <v>981</v>
      </c>
      <c r="H189" s="924" t="s">
        <v>835</v>
      </c>
      <c r="I189" s="924" t="s">
        <v>1040</v>
      </c>
      <c r="J189" s="924" t="s">
        <v>875</v>
      </c>
      <c r="K189" s="924" t="s">
        <v>876</v>
      </c>
      <c r="L189" s="925">
        <v>616.57417201995804</v>
      </c>
      <c r="M189" s="925">
        <v>0.41809379076585201</v>
      </c>
    </row>
    <row r="190" spans="1:13" ht="11.25" customHeight="1" x14ac:dyDescent="0.2">
      <c r="A190" s="924" t="s">
        <v>853</v>
      </c>
      <c r="B190" s="924" t="s">
        <v>788</v>
      </c>
      <c r="C190" s="924" t="s">
        <v>854</v>
      </c>
      <c r="D190" s="924" t="s">
        <v>855</v>
      </c>
      <c r="E190" s="924" t="s">
        <v>856</v>
      </c>
      <c r="F190" s="924" t="s">
        <v>1105</v>
      </c>
      <c r="G190" s="924" t="s">
        <v>981</v>
      </c>
      <c r="H190" s="924" t="s">
        <v>835</v>
      </c>
      <c r="I190" s="924" t="s">
        <v>1040</v>
      </c>
      <c r="J190" s="924" t="s">
        <v>940</v>
      </c>
      <c r="K190" s="924" t="s">
        <v>1106</v>
      </c>
      <c r="L190" s="925">
        <v>47.425902575254398</v>
      </c>
      <c r="M190" s="925">
        <v>3.49166535146423E-2</v>
      </c>
    </row>
    <row r="191" spans="1:13" ht="11.25" customHeight="1" x14ac:dyDescent="0.2">
      <c r="A191" s="924" t="s">
        <v>853</v>
      </c>
      <c r="B191" s="924" t="s">
        <v>788</v>
      </c>
      <c r="C191" s="924" t="s">
        <v>854</v>
      </c>
      <c r="D191" s="924" t="s">
        <v>855</v>
      </c>
      <c r="E191" s="924" t="s">
        <v>856</v>
      </c>
      <c r="F191" s="924" t="s">
        <v>1107</v>
      </c>
      <c r="G191" s="924" t="s">
        <v>981</v>
      </c>
      <c r="H191" s="924" t="s">
        <v>835</v>
      </c>
      <c r="I191" s="924" t="s">
        <v>1040</v>
      </c>
      <c r="J191" s="924" t="s">
        <v>940</v>
      </c>
      <c r="K191" s="924" t="s">
        <v>1034</v>
      </c>
      <c r="L191" s="925">
        <v>14.8017024062574</v>
      </c>
      <c r="M191" s="925">
        <v>1.08120554451752E-2</v>
      </c>
    </row>
    <row r="192" spans="1:13" ht="11.25" customHeight="1" x14ac:dyDescent="0.2">
      <c r="A192" s="924" t="s">
        <v>853</v>
      </c>
      <c r="B192" s="924" t="s">
        <v>788</v>
      </c>
      <c r="C192" s="924" t="s">
        <v>854</v>
      </c>
      <c r="D192" s="924" t="s">
        <v>855</v>
      </c>
      <c r="E192" s="924" t="s">
        <v>856</v>
      </c>
      <c r="F192" s="924" t="s">
        <v>1108</v>
      </c>
      <c r="G192" s="924" t="s">
        <v>981</v>
      </c>
      <c r="H192" s="924" t="s">
        <v>835</v>
      </c>
      <c r="I192" s="924" t="s">
        <v>1040</v>
      </c>
      <c r="J192" s="924" t="s">
        <v>870</v>
      </c>
      <c r="K192" s="924" t="s">
        <v>1036</v>
      </c>
      <c r="L192" s="925">
        <v>0.175048539531417</v>
      </c>
      <c r="M192" s="925">
        <v>1.19031416431881E-4</v>
      </c>
    </row>
    <row r="193" spans="1:13" ht="11.25" customHeight="1" x14ac:dyDescent="0.2">
      <c r="A193" s="924" t="s">
        <v>853</v>
      </c>
      <c r="B193" s="924" t="s">
        <v>788</v>
      </c>
      <c r="C193" s="924" t="s">
        <v>854</v>
      </c>
      <c r="D193" s="924" t="s">
        <v>855</v>
      </c>
      <c r="E193" s="924" t="s">
        <v>856</v>
      </c>
      <c r="F193" s="924" t="s">
        <v>1109</v>
      </c>
      <c r="G193" s="924" t="s">
        <v>981</v>
      </c>
      <c r="H193" s="924" t="s">
        <v>835</v>
      </c>
      <c r="I193" s="924" t="s">
        <v>1040</v>
      </c>
      <c r="J193" s="924" t="s">
        <v>870</v>
      </c>
      <c r="K193" s="924" t="s">
        <v>976</v>
      </c>
      <c r="L193" s="925">
        <v>0.67546519776806202</v>
      </c>
      <c r="M193" s="925">
        <v>1.38917879862976E-4</v>
      </c>
    </row>
    <row r="194" spans="1:13" ht="11.25" customHeight="1" x14ac:dyDescent="0.2">
      <c r="A194" s="924" t="s">
        <v>853</v>
      </c>
      <c r="B194" s="924" t="s">
        <v>788</v>
      </c>
      <c r="C194" s="924" t="s">
        <v>854</v>
      </c>
      <c r="D194" s="924" t="s">
        <v>855</v>
      </c>
      <c r="E194" s="924" t="s">
        <v>856</v>
      </c>
      <c r="F194" s="924" t="s">
        <v>1110</v>
      </c>
      <c r="G194" s="924" t="s">
        <v>981</v>
      </c>
      <c r="H194" s="924" t="s">
        <v>835</v>
      </c>
      <c r="I194" s="924" t="s">
        <v>1040</v>
      </c>
      <c r="J194" s="924" t="s">
        <v>870</v>
      </c>
      <c r="K194" s="924" t="s">
        <v>1019</v>
      </c>
      <c r="L194" s="925">
        <v>5.2162810552545099E-3</v>
      </c>
      <c r="M194" s="925">
        <v>4.3861703713510297E-6</v>
      </c>
    </row>
    <row r="195" spans="1:13" ht="11.25" customHeight="1" x14ac:dyDescent="0.2">
      <c r="A195" s="924" t="s">
        <v>853</v>
      </c>
      <c r="B195" s="924" t="s">
        <v>788</v>
      </c>
      <c r="C195" s="924" t="s">
        <v>854</v>
      </c>
      <c r="D195" s="924" t="s">
        <v>855</v>
      </c>
      <c r="E195" s="924" t="s">
        <v>856</v>
      </c>
      <c r="F195" s="924" t="s">
        <v>1111</v>
      </c>
      <c r="G195" s="924" t="s">
        <v>981</v>
      </c>
      <c r="H195" s="924" t="s">
        <v>835</v>
      </c>
      <c r="I195" s="924" t="s">
        <v>1040</v>
      </c>
      <c r="J195" s="924" t="s">
        <v>870</v>
      </c>
      <c r="K195" s="924" t="s">
        <v>1016</v>
      </c>
      <c r="L195" s="925">
        <v>0.46699961356352998</v>
      </c>
      <c r="M195" s="925">
        <v>3.9395669790565102E-4</v>
      </c>
    </row>
    <row r="196" spans="1:13" ht="11.25" customHeight="1" x14ac:dyDescent="0.2">
      <c r="A196" s="924" t="s">
        <v>853</v>
      </c>
      <c r="B196" s="924" t="s">
        <v>788</v>
      </c>
      <c r="C196" s="924" t="s">
        <v>854</v>
      </c>
      <c r="D196" s="924" t="s">
        <v>855</v>
      </c>
      <c r="E196" s="924" t="s">
        <v>856</v>
      </c>
      <c r="F196" s="924" t="s">
        <v>1112</v>
      </c>
      <c r="G196" s="924" t="s">
        <v>981</v>
      </c>
      <c r="H196" s="924" t="s">
        <v>835</v>
      </c>
      <c r="I196" s="924" t="s">
        <v>1040</v>
      </c>
      <c r="J196" s="924" t="s">
        <v>870</v>
      </c>
      <c r="K196" s="924" t="s">
        <v>959</v>
      </c>
      <c r="L196" s="925">
        <v>0.14387782663106899</v>
      </c>
      <c r="M196" s="925">
        <v>9.5320217326388997E-5</v>
      </c>
    </row>
    <row r="197" spans="1:13" ht="11.25" customHeight="1" x14ac:dyDescent="0.2">
      <c r="A197" s="924" t="s">
        <v>853</v>
      </c>
      <c r="B197" s="924" t="s">
        <v>788</v>
      </c>
      <c r="C197" s="924" t="s">
        <v>854</v>
      </c>
      <c r="D197" s="924" t="s">
        <v>855</v>
      </c>
      <c r="E197" s="924" t="s">
        <v>856</v>
      </c>
      <c r="F197" s="924" t="s">
        <v>1113</v>
      </c>
      <c r="G197" s="924" t="s">
        <v>981</v>
      </c>
      <c r="H197" s="924" t="s">
        <v>835</v>
      </c>
      <c r="I197" s="924" t="s">
        <v>1040</v>
      </c>
      <c r="J197" s="924" t="s">
        <v>870</v>
      </c>
      <c r="K197" s="924" t="s">
        <v>961</v>
      </c>
      <c r="L197" s="925">
        <v>1.57225441280752</v>
      </c>
      <c r="M197" s="925">
        <v>1.19613150462783E-3</v>
      </c>
    </row>
    <row r="198" spans="1:13" ht="11.25" customHeight="1" x14ac:dyDescent="0.2">
      <c r="A198" s="924" t="s">
        <v>853</v>
      </c>
      <c r="B198" s="924" t="s">
        <v>788</v>
      </c>
      <c r="C198" s="924" t="s">
        <v>854</v>
      </c>
      <c r="D198" s="924" t="s">
        <v>855</v>
      </c>
      <c r="E198" s="924" t="s">
        <v>856</v>
      </c>
      <c r="F198" s="924" t="s">
        <v>1114</v>
      </c>
      <c r="G198" s="924" t="s">
        <v>981</v>
      </c>
      <c r="H198" s="924" t="s">
        <v>835</v>
      </c>
      <c r="I198" s="924" t="s">
        <v>1040</v>
      </c>
      <c r="J198" s="924" t="s">
        <v>870</v>
      </c>
      <c r="K198" s="924" t="s">
        <v>963</v>
      </c>
      <c r="L198" s="925">
        <v>3.4288915861397999</v>
      </c>
      <c r="M198" s="925">
        <v>5.7202603959467498E-3</v>
      </c>
    </row>
    <row r="199" spans="1:13" ht="11.25" customHeight="1" x14ac:dyDescent="0.2">
      <c r="A199" s="924" t="s">
        <v>853</v>
      </c>
      <c r="B199" s="924" t="s">
        <v>788</v>
      </c>
      <c r="C199" s="924" t="s">
        <v>854</v>
      </c>
      <c r="D199" s="924" t="s">
        <v>855</v>
      </c>
      <c r="E199" s="924" t="s">
        <v>856</v>
      </c>
      <c r="F199" s="924" t="s">
        <v>1115</v>
      </c>
      <c r="G199" s="924" t="s">
        <v>981</v>
      </c>
      <c r="H199" s="924" t="s">
        <v>835</v>
      </c>
      <c r="I199" s="924" t="s">
        <v>1040</v>
      </c>
      <c r="J199" s="924" t="s">
        <v>870</v>
      </c>
      <c r="K199" s="924" t="s">
        <v>965</v>
      </c>
      <c r="L199" s="925">
        <v>0.73958370927721295</v>
      </c>
      <c r="M199" s="925">
        <v>6.2390614129981302E-4</v>
      </c>
    </row>
    <row r="200" spans="1:13" ht="11.25" customHeight="1" x14ac:dyDescent="0.2">
      <c r="A200" s="924" t="s">
        <v>853</v>
      </c>
      <c r="B200" s="924" t="s">
        <v>788</v>
      </c>
      <c r="C200" s="924" t="s">
        <v>854</v>
      </c>
      <c r="D200" s="924" t="s">
        <v>855</v>
      </c>
      <c r="E200" s="924" t="s">
        <v>856</v>
      </c>
      <c r="F200" s="924" t="s">
        <v>1116</v>
      </c>
      <c r="G200" s="924" t="s">
        <v>981</v>
      </c>
      <c r="H200" s="924" t="s">
        <v>835</v>
      </c>
      <c r="I200" s="924" t="s">
        <v>1040</v>
      </c>
      <c r="J200" s="924" t="s">
        <v>940</v>
      </c>
      <c r="K200" s="924" t="s">
        <v>1032</v>
      </c>
      <c r="L200" s="925">
        <v>481.52265036106098</v>
      </c>
      <c r="M200" s="925">
        <v>0.30488829908426901</v>
      </c>
    </row>
    <row r="201" spans="1:13" ht="11.25" customHeight="1" x14ac:dyDescent="0.2">
      <c r="A201" s="924" t="s">
        <v>853</v>
      </c>
      <c r="B201" s="924" t="s">
        <v>788</v>
      </c>
      <c r="C201" s="924" t="s">
        <v>854</v>
      </c>
      <c r="D201" s="924" t="s">
        <v>855</v>
      </c>
      <c r="E201" s="924" t="s">
        <v>856</v>
      </c>
      <c r="F201" s="924" t="s">
        <v>1117</v>
      </c>
      <c r="G201" s="924" t="s">
        <v>981</v>
      </c>
      <c r="H201" s="924" t="s">
        <v>835</v>
      </c>
      <c r="I201" s="924" t="s">
        <v>1040</v>
      </c>
      <c r="J201" s="924" t="s">
        <v>870</v>
      </c>
      <c r="K201" s="924" t="s">
        <v>873</v>
      </c>
      <c r="L201" s="925">
        <v>1.17511981166899</v>
      </c>
      <c r="M201" s="925">
        <v>1.1847024313738101E-4</v>
      </c>
    </row>
    <row r="202" spans="1:13" ht="11.25" customHeight="1" x14ac:dyDescent="0.2">
      <c r="A202" s="924" t="s">
        <v>853</v>
      </c>
      <c r="B202" s="924" t="s">
        <v>788</v>
      </c>
      <c r="C202" s="924" t="s">
        <v>854</v>
      </c>
      <c r="D202" s="924" t="s">
        <v>855</v>
      </c>
      <c r="E202" s="924" t="s">
        <v>856</v>
      </c>
      <c r="F202" s="924" t="s">
        <v>1118</v>
      </c>
      <c r="G202" s="924" t="s">
        <v>911</v>
      </c>
      <c r="H202" s="924" t="s">
        <v>665</v>
      </c>
      <c r="I202" s="924" t="s">
        <v>706</v>
      </c>
      <c r="J202" s="924" t="s">
        <v>859</v>
      </c>
      <c r="K202" s="924" t="s">
        <v>893</v>
      </c>
      <c r="L202" s="925">
        <v>0.68662619497626998</v>
      </c>
      <c r="M202" s="925">
        <v>3.3219874040924003E-5</v>
      </c>
    </row>
    <row r="203" spans="1:13" ht="11.25" customHeight="1" x14ac:dyDescent="0.2">
      <c r="A203" s="924" t="s">
        <v>853</v>
      </c>
      <c r="B203" s="924" t="s">
        <v>788</v>
      </c>
      <c r="C203" s="924" t="s">
        <v>854</v>
      </c>
      <c r="D203" s="924" t="s">
        <v>855</v>
      </c>
      <c r="E203" s="924" t="s">
        <v>856</v>
      </c>
      <c r="F203" s="924" t="s">
        <v>1119</v>
      </c>
      <c r="G203" s="924" t="s">
        <v>981</v>
      </c>
      <c r="H203" s="924" t="s">
        <v>835</v>
      </c>
      <c r="I203" s="924" t="s">
        <v>1040</v>
      </c>
      <c r="J203" s="924" t="s">
        <v>875</v>
      </c>
      <c r="K203" s="924" t="s">
        <v>878</v>
      </c>
      <c r="L203" s="925">
        <v>153.98472642898599</v>
      </c>
      <c r="M203" s="925">
        <v>0.103277835666631</v>
      </c>
    </row>
    <row r="204" spans="1:13" ht="11.25" customHeight="1" x14ac:dyDescent="0.2">
      <c r="A204" s="924" t="s">
        <v>853</v>
      </c>
      <c r="B204" s="924" t="s">
        <v>788</v>
      </c>
      <c r="C204" s="924" t="s">
        <v>854</v>
      </c>
      <c r="D204" s="924" t="s">
        <v>855</v>
      </c>
      <c r="E204" s="924" t="s">
        <v>856</v>
      </c>
      <c r="F204" s="924" t="s">
        <v>1120</v>
      </c>
      <c r="G204" s="924" t="s">
        <v>981</v>
      </c>
      <c r="H204" s="924" t="s">
        <v>835</v>
      </c>
      <c r="I204" s="924" t="s">
        <v>1040</v>
      </c>
      <c r="J204" s="924" t="s">
        <v>875</v>
      </c>
      <c r="K204" s="924" t="s">
        <v>880</v>
      </c>
      <c r="L204" s="925">
        <v>81.439384341239901</v>
      </c>
      <c r="M204" s="925">
        <v>4.7639936523523801E-2</v>
      </c>
    </row>
    <row r="205" spans="1:13" ht="11.25" customHeight="1" x14ac:dyDescent="0.2">
      <c r="A205" s="924" t="s">
        <v>853</v>
      </c>
      <c r="B205" s="924" t="s">
        <v>788</v>
      </c>
      <c r="C205" s="924" t="s">
        <v>854</v>
      </c>
      <c r="D205" s="924" t="s">
        <v>855</v>
      </c>
      <c r="E205" s="924" t="s">
        <v>856</v>
      </c>
      <c r="F205" s="924" t="s">
        <v>1121</v>
      </c>
      <c r="G205" s="924" t="s">
        <v>981</v>
      </c>
      <c r="H205" s="924" t="s">
        <v>835</v>
      </c>
      <c r="I205" s="924" t="s">
        <v>1040</v>
      </c>
      <c r="J205" s="924" t="s">
        <v>875</v>
      </c>
      <c r="K205" s="924" t="s">
        <v>948</v>
      </c>
      <c r="L205" s="925">
        <v>175.238370895386</v>
      </c>
      <c r="M205" s="925">
        <v>0.110451472527984</v>
      </c>
    </row>
    <row r="206" spans="1:13" ht="11.25" customHeight="1" x14ac:dyDescent="0.2">
      <c r="A206" s="924" t="s">
        <v>853</v>
      </c>
      <c r="B206" s="924" t="s">
        <v>788</v>
      </c>
      <c r="C206" s="924" t="s">
        <v>854</v>
      </c>
      <c r="D206" s="924" t="s">
        <v>855</v>
      </c>
      <c r="E206" s="924" t="s">
        <v>856</v>
      </c>
      <c r="F206" s="924" t="s">
        <v>1122</v>
      </c>
      <c r="G206" s="924" t="s">
        <v>981</v>
      </c>
      <c r="H206" s="924" t="s">
        <v>835</v>
      </c>
      <c r="I206" s="924" t="s">
        <v>1040</v>
      </c>
      <c r="J206" s="924" t="s">
        <v>875</v>
      </c>
      <c r="K206" s="924" t="s">
        <v>950</v>
      </c>
      <c r="L206" s="925">
        <v>277.17241239547701</v>
      </c>
      <c r="M206" s="925">
        <v>0.19369501549061899</v>
      </c>
    </row>
    <row r="207" spans="1:13" ht="11.25" customHeight="1" x14ac:dyDescent="0.2">
      <c r="A207" s="924" t="s">
        <v>853</v>
      </c>
      <c r="B207" s="924" t="s">
        <v>788</v>
      </c>
      <c r="C207" s="924" t="s">
        <v>854</v>
      </c>
      <c r="D207" s="924" t="s">
        <v>855</v>
      </c>
      <c r="E207" s="924" t="s">
        <v>856</v>
      </c>
      <c r="F207" s="924" t="s">
        <v>1123</v>
      </c>
      <c r="G207" s="924" t="s">
        <v>981</v>
      </c>
      <c r="H207" s="924" t="s">
        <v>835</v>
      </c>
      <c r="I207" s="924" t="s">
        <v>1040</v>
      </c>
      <c r="J207" s="924" t="s">
        <v>875</v>
      </c>
      <c r="K207" s="924" t="s">
        <v>952</v>
      </c>
      <c r="L207" s="925">
        <v>13.002251073718099</v>
      </c>
      <c r="M207" s="925">
        <v>9.1136911428133498E-3</v>
      </c>
    </row>
    <row r="208" spans="1:13" ht="11.25" customHeight="1" x14ac:dyDescent="0.2">
      <c r="A208" s="924" t="s">
        <v>853</v>
      </c>
      <c r="B208" s="924" t="s">
        <v>788</v>
      </c>
      <c r="C208" s="924" t="s">
        <v>854</v>
      </c>
      <c r="D208" s="924" t="s">
        <v>855</v>
      </c>
      <c r="E208" s="924" t="s">
        <v>856</v>
      </c>
      <c r="F208" s="924" t="s">
        <v>1124</v>
      </c>
      <c r="G208" s="924" t="s">
        <v>981</v>
      </c>
      <c r="H208" s="924" t="s">
        <v>835</v>
      </c>
      <c r="I208" s="924" t="s">
        <v>1040</v>
      </c>
      <c r="J208" s="924" t="s">
        <v>956</v>
      </c>
      <c r="K208" s="924" t="s">
        <v>1125</v>
      </c>
      <c r="L208" s="925">
        <v>23.3117018938065</v>
      </c>
      <c r="M208" s="925">
        <v>1.8798271334048901E-2</v>
      </c>
    </row>
    <row r="209" spans="1:13" ht="11.25" customHeight="1" x14ac:dyDescent="0.2">
      <c r="A209" s="924" t="s">
        <v>853</v>
      </c>
      <c r="B209" s="924" t="s">
        <v>788</v>
      </c>
      <c r="C209" s="924" t="s">
        <v>854</v>
      </c>
      <c r="D209" s="924" t="s">
        <v>855</v>
      </c>
      <c r="E209" s="924" t="s">
        <v>856</v>
      </c>
      <c r="F209" s="924" t="s">
        <v>1126</v>
      </c>
      <c r="G209" s="924" t="s">
        <v>981</v>
      </c>
      <c r="H209" s="924" t="s">
        <v>835</v>
      </c>
      <c r="I209" s="924" t="s">
        <v>1040</v>
      </c>
      <c r="J209" s="924" t="s">
        <v>956</v>
      </c>
      <c r="K209" s="924" t="s">
        <v>957</v>
      </c>
      <c r="L209" s="925">
        <v>0.268593006767333</v>
      </c>
      <c r="M209" s="925">
        <v>2.1239699526631701E-4</v>
      </c>
    </row>
    <row r="210" spans="1:13" ht="11.25" customHeight="1" x14ac:dyDescent="0.2">
      <c r="A210" s="924" t="s">
        <v>853</v>
      </c>
      <c r="B210" s="924" t="s">
        <v>788</v>
      </c>
      <c r="C210" s="924" t="s">
        <v>854</v>
      </c>
      <c r="D210" s="924" t="s">
        <v>855</v>
      </c>
      <c r="E210" s="924" t="s">
        <v>856</v>
      </c>
      <c r="F210" s="924" t="s">
        <v>1127</v>
      </c>
      <c r="G210" s="924" t="s">
        <v>911</v>
      </c>
      <c r="H210" s="924" t="s">
        <v>665</v>
      </c>
      <c r="I210" s="924" t="s">
        <v>706</v>
      </c>
      <c r="J210" s="924" t="s">
        <v>884</v>
      </c>
      <c r="K210" s="924" t="s">
        <v>885</v>
      </c>
      <c r="L210" s="925">
        <v>7.3753137737512597</v>
      </c>
      <c r="M210" s="925">
        <v>3.2048308439698299E-3</v>
      </c>
    </row>
    <row r="211" spans="1:13" ht="11.25" customHeight="1" x14ac:dyDescent="0.2">
      <c r="A211" s="924" t="s">
        <v>853</v>
      </c>
      <c r="B211" s="924" t="s">
        <v>788</v>
      </c>
      <c r="C211" s="924" t="s">
        <v>854</v>
      </c>
      <c r="D211" s="924" t="s">
        <v>855</v>
      </c>
      <c r="E211" s="924" t="s">
        <v>856</v>
      </c>
      <c r="F211" s="924" t="s">
        <v>1128</v>
      </c>
      <c r="G211" s="924" t="s">
        <v>911</v>
      </c>
      <c r="H211" s="924" t="s">
        <v>665</v>
      </c>
      <c r="I211" s="924" t="s">
        <v>706</v>
      </c>
      <c r="J211" s="924" t="s">
        <v>859</v>
      </c>
      <c r="K211" s="924" t="s">
        <v>913</v>
      </c>
      <c r="L211" s="925">
        <v>0.40492461761459703</v>
      </c>
      <c r="M211" s="925">
        <v>4.4648205204111898E-5</v>
      </c>
    </row>
    <row r="212" spans="1:13" ht="11.25" customHeight="1" x14ac:dyDescent="0.2">
      <c r="A212" s="924" t="s">
        <v>853</v>
      </c>
      <c r="B212" s="924" t="s">
        <v>788</v>
      </c>
      <c r="C212" s="924" t="s">
        <v>854</v>
      </c>
      <c r="D212" s="924" t="s">
        <v>855</v>
      </c>
      <c r="E212" s="924" t="s">
        <v>856</v>
      </c>
      <c r="F212" s="924" t="s">
        <v>1129</v>
      </c>
      <c r="G212" s="924" t="s">
        <v>911</v>
      </c>
      <c r="H212" s="924" t="s">
        <v>665</v>
      </c>
      <c r="I212" s="924" t="s">
        <v>706</v>
      </c>
      <c r="J212" s="924" t="s">
        <v>859</v>
      </c>
      <c r="K212" s="924" t="s">
        <v>897</v>
      </c>
      <c r="L212" s="925">
        <v>0.11182559421285999</v>
      </c>
      <c r="M212" s="925">
        <v>4.0644715241455702E-5</v>
      </c>
    </row>
    <row r="213" spans="1:13" ht="11.25" customHeight="1" x14ac:dyDescent="0.2">
      <c r="A213" s="924" t="s">
        <v>853</v>
      </c>
      <c r="B213" s="924" t="s">
        <v>788</v>
      </c>
      <c r="C213" s="924" t="s">
        <v>854</v>
      </c>
      <c r="D213" s="924" t="s">
        <v>855</v>
      </c>
      <c r="E213" s="924" t="s">
        <v>856</v>
      </c>
      <c r="F213" s="924" t="s">
        <v>1130</v>
      </c>
      <c r="G213" s="924" t="s">
        <v>981</v>
      </c>
      <c r="H213" s="924" t="s">
        <v>835</v>
      </c>
      <c r="I213" s="924" t="s">
        <v>1040</v>
      </c>
      <c r="J213" s="924" t="s">
        <v>870</v>
      </c>
      <c r="K213" s="924" t="s">
        <v>871</v>
      </c>
      <c r="L213" s="925">
        <v>1.0657428619451801</v>
      </c>
      <c r="M213" s="925">
        <v>8.5195999508869103E-4</v>
      </c>
    </row>
    <row r="214" spans="1:13" ht="11.25" customHeight="1" x14ac:dyDescent="0.2">
      <c r="A214" s="924" t="s">
        <v>853</v>
      </c>
      <c r="B214" s="924" t="s">
        <v>788</v>
      </c>
      <c r="C214" s="924" t="s">
        <v>854</v>
      </c>
      <c r="D214" s="924" t="s">
        <v>855</v>
      </c>
      <c r="E214" s="924" t="s">
        <v>856</v>
      </c>
      <c r="F214" s="924" t="s">
        <v>1131</v>
      </c>
      <c r="G214" s="924" t="s">
        <v>981</v>
      </c>
      <c r="H214" s="924" t="s">
        <v>835</v>
      </c>
      <c r="I214" s="924" t="s">
        <v>1040</v>
      </c>
      <c r="J214" s="924" t="s">
        <v>863</v>
      </c>
      <c r="K214" s="924" t="s">
        <v>868</v>
      </c>
      <c r="L214" s="925">
        <v>26.864936828613299</v>
      </c>
      <c r="M214" s="925">
        <v>1.91575489952811E-3</v>
      </c>
    </row>
    <row r="215" spans="1:13" ht="11.25" customHeight="1" x14ac:dyDescent="0.2">
      <c r="A215" s="924" t="s">
        <v>853</v>
      </c>
      <c r="B215" s="924" t="s">
        <v>788</v>
      </c>
      <c r="C215" s="924" t="s">
        <v>854</v>
      </c>
      <c r="D215" s="924" t="s">
        <v>855</v>
      </c>
      <c r="E215" s="924" t="s">
        <v>856</v>
      </c>
      <c r="F215" s="924" t="s">
        <v>1132</v>
      </c>
      <c r="G215" s="924" t="s">
        <v>981</v>
      </c>
      <c r="H215" s="924" t="s">
        <v>835</v>
      </c>
      <c r="I215" s="924" t="s">
        <v>1040</v>
      </c>
      <c r="J215" s="924" t="s">
        <v>940</v>
      </c>
      <c r="K215" s="924" t="s">
        <v>941</v>
      </c>
      <c r="L215" s="925">
        <v>24.891296349465801</v>
      </c>
      <c r="M215" s="925">
        <v>1.09171021213115E-2</v>
      </c>
    </row>
    <row r="216" spans="1:13" ht="11.25" customHeight="1" x14ac:dyDescent="0.2">
      <c r="A216" s="924" t="s">
        <v>853</v>
      </c>
      <c r="B216" s="924" t="s">
        <v>788</v>
      </c>
      <c r="C216" s="924" t="s">
        <v>854</v>
      </c>
      <c r="D216" s="924" t="s">
        <v>855</v>
      </c>
      <c r="E216" s="924" t="s">
        <v>856</v>
      </c>
      <c r="F216" s="924" t="s">
        <v>1133</v>
      </c>
      <c r="G216" s="924" t="s">
        <v>911</v>
      </c>
      <c r="H216" s="924" t="s">
        <v>665</v>
      </c>
      <c r="I216" s="924" t="s">
        <v>706</v>
      </c>
      <c r="J216" s="924" t="s">
        <v>859</v>
      </c>
      <c r="K216" s="924" t="s">
        <v>899</v>
      </c>
      <c r="L216" s="925">
        <v>6.9656671781558502E-2</v>
      </c>
      <c r="M216" s="925">
        <v>6.9396373234553704E-6</v>
      </c>
    </row>
    <row r="217" spans="1:13" ht="11.25" customHeight="1" x14ac:dyDescent="0.2">
      <c r="A217" s="924" t="s">
        <v>853</v>
      </c>
      <c r="B217" s="924" t="s">
        <v>788</v>
      </c>
      <c r="C217" s="924" t="s">
        <v>854</v>
      </c>
      <c r="D217" s="924" t="s">
        <v>855</v>
      </c>
      <c r="E217" s="924" t="s">
        <v>856</v>
      </c>
      <c r="F217" s="924" t="s">
        <v>1134</v>
      </c>
      <c r="G217" s="924" t="s">
        <v>981</v>
      </c>
      <c r="H217" s="924" t="s">
        <v>835</v>
      </c>
      <c r="I217" s="924" t="s">
        <v>1040</v>
      </c>
      <c r="J217" s="924" t="s">
        <v>863</v>
      </c>
      <c r="K217" s="924" t="s">
        <v>933</v>
      </c>
      <c r="L217" s="925">
        <v>303.46500825881998</v>
      </c>
      <c r="M217" s="925">
        <v>2.16514327039476E-2</v>
      </c>
    </row>
    <row r="218" spans="1:13" ht="11.25" customHeight="1" x14ac:dyDescent="0.2">
      <c r="A218" s="924" t="s">
        <v>853</v>
      </c>
      <c r="B218" s="924" t="s">
        <v>788</v>
      </c>
      <c r="C218" s="924" t="s">
        <v>854</v>
      </c>
      <c r="D218" s="924" t="s">
        <v>855</v>
      </c>
      <c r="E218" s="924" t="s">
        <v>856</v>
      </c>
      <c r="F218" s="924" t="s">
        <v>1135</v>
      </c>
      <c r="G218" s="924" t="s">
        <v>981</v>
      </c>
      <c r="H218" s="924" t="s">
        <v>835</v>
      </c>
      <c r="I218" s="924" t="s">
        <v>1040</v>
      </c>
      <c r="J218" s="924" t="s">
        <v>863</v>
      </c>
      <c r="K218" s="924" t="s">
        <v>935</v>
      </c>
      <c r="L218" s="925">
        <v>65.331618785858197</v>
      </c>
      <c r="M218" s="925">
        <v>2.3750705760903702E-2</v>
      </c>
    </row>
    <row r="219" spans="1:13" ht="11.25" customHeight="1" x14ac:dyDescent="0.2">
      <c r="A219" s="924" t="s">
        <v>853</v>
      </c>
      <c r="B219" s="924" t="s">
        <v>788</v>
      </c>
      <c r="C219" s="924" t="s">
        <v>854</v>
      </c>
      <c r="D219" s="924" t="s">
        <v>855</v>
      </c>
      <c r="E219" s="924" t="s">
        <v>856</v>
      </c>
      <c r="F219" s="924" t="s">
        <v>1136</v>
      </c>
      <c r="G219" s="924" t="s">
        <v>981</v>
      </c>
      <c r="H219" s="924" t="s">
        <v>835</v>
      </c>
      <c r="I219" s="924" t="s">
        <v>1040</v>
      </c>
      <c r="J219" s="924" t="s">
        <v>863</v>
      </c>
      <c r="K219" s="924" t="s">
        <v>864</v>
      </c>
      <c r="L219" s="925">
        <v>122.762836098671</v>
      </c>
      <c r="M219" s="925">
        <v>9.2567921266891104E-2</v>
      </c>
    </row>
    <row r="220" spans="1:13" ht="11.25" customHeight="1" x14ac:dyDescent="0.2">
      <c r="A220" s="924" t="s">
        <v>853</v>
      </c>
      <c r="B220" s="924" t="s">
        <v>788</v>
      </c>
      <c r="C220" s="924" t="s">
        <v>854</v>
      </c>
      <c r="D220" s="924" t="s">
        <v>855</v>
      </c>
      <c r="E220" s="924" t="s">
        <v>856</v>
      </c>
      <c r="F220" s="924" t="s">
        <v>1137</v>
      </c>
      <c r="G220" s="924" t="s">
        <v>981</v>
      </c>
      <c r="H220" s="924" t="s">
        <v>835</v>
      </c>
      <c r="I220" s="924" t="s">
        <v>1040</v>
      </c>
      <c r="J220" s="924" t="s">
        <v>863</v>
      </c>
      <c r="K220" s="924" t="s">
        <v>866</v>
      </c>
      <c r="L220" s="925">
        <v>2.7738309800624799</v>
      </c>
      <c r="M220" s="925">
        <v>1.87735764484387E-3</v>
      </c>
    </row>
    <row r="221" spans="1:13" ht="11.25" customHeight="1" x14ac:dyDescent="0.2">
      <c r="A221" s="924" t="s">
        <v>853</v>
      </c>
      <c r="B221" s="924" t="s">
        <v>788</v>
      </c>
      <c r="C221" s="924" t="s">
        <v>854</v>
      </c>
      <c r="D221" s="924" t="s">
        <v>855</v>
      </c>
      <c r="E221" s="924" t="s">
        <v>856</v>
      </c>
      <c r="F221" s="924" t="s">
        <v>1138</v>
      </c>
      <c r="G221" s="924" t="s">
        <v>981</v>
      </c>
      <c r="H221" s="924" t="s">
        <v>835</v>
      </c>
      <c r="I221" s="924" t="s">
        <v>1040</v>
      </c>
      <c r="J221" s="924" t="s">
        <v>863</v>
      </c>
      <c r="K221" s="924" t="s">
        <v>931</v>
      </c>
      <c r="L221" s="925">
        <v>79.082885265350299</v>
      </c>
      <c r="M221" s="925">
        <v>3.07383835315704E-2</v>
      </c>
    </row>
    <row r="222" spans="1:13" ht="11.25" customHeight="1" x14ac:dyDescent="0.2">
      <c r="A222" s="924" t="s">
        <v>853</v>
      </c>
      <c r="B222" s="924" t="s">
        <v>788</v>
      </c>
      <c r="C222" s="924" t="s">
        <v>854</v>
      </c>
      <c r="D222" s="924" t="s">
        <v>855</v>
      </c>
      <c r="E222" s="924" t="s">
        <v>856</v>
      </c>
      <c r="F222" s="924" t="s">
        <v>1139</v>
      </c>
      <c r="G222" s="924" t="s">
        <v>981</v>
      </c>
      <c r="H222" s="924" t="s">
        <v>835</v>
      </c>
      <c r="I222" s="924" t="s">
        <v>1040</v>
      </c>
      <c r="J222" s="924" t="s">
        <v>940</v>
      </c>
      <c r="K222" s="924" t="s">
        <v>1140</v>
      </c>
      <c r="L222" s="925">
        <v>492.14183139801003</v>
      </c>
      <c r="M222" s="925">
        <v>0.36219871681683502</v>
      </c>
    </row>
    <row r="223" spans="1:13" ht="11.25" customHeight="1" x14ac:dyDescent="0.2">
      <c r="A223" s="924" t="s">
        <v>853</v>
      </c>
      <c r="B223" s="924" t="s">
        <v>788</v>
      </c>
      <c r="C223" s="924" t="s">
        <v>854</v>
      </c>
      <c r="D223" s="924" t="s">
        <v>855</v>
      </c>
      <c r="E223" s="924" t="s">
        <v>856</v>
      </c>
      <c r="F223" s="924" t="s">
        <v>1141</v>
      </c>
      <c r="G223" s="924" t="s">
        <v>981</v>
      </c>
      <c r="H223" s="924" t="s">
        <v>835</v>
      </c>
      <c r="I223" s="924" t="s">
        <v>1040</v>
      </c>
      <c r="J223" s="924" t="s">
        <v>940</v>
      </c>
      <c r="K223" s="924" t="s">
        <v>1142</v>
      </c>
      <c r="L223" s="925">
        <v>86.391287207603497</v>
      </c>
      <c r="M223" s="925">
        <v>6.4029174827737706E-2</v>
      </c>
    </row>
    <row r="224" spans="1:13" ht="11.25" customHeight="1" x14ac:dyDescent="0.2">
      <c r="A224" s="924" t="s">
        <v>853</v>
      </c>
      <c r="B224" s="924" t="s">
        <v>788</v>
      </c>
      <c r="C224" s="924" t="s">
        <v>854</v>
      </c>
      <c r="D224" s="924" t="s">
        <v>855</v>
      </c>
      <c r="E224" s="924" t="s">
        <v>856</v>
      </c>
      <c r="F224" s="924" t="s">
        <v>1143</v>
      </c>
      <c r="G224" s="924" t="s">
        <v>981</v>
      </c>
      <c r="H224" s="924" t="s">
        <v>835</v>
      </c>
      <c r="I224" s="924" t="s">
        <v>1040</v>
      </c>
      <c r="J224" s="924" t="s">
        <v>940</v>
      </c>
      <c r="K224" s="924" t="s">
        <v>1084</v>
      </c>
      <c r="L224" s="925">
        <v>42.349727183580399</v>
      </c>
      <c r="M224" s="925">
        <v>3.11181587749161E-2</v>
      </c>
    </row>
    <row r="225" spans="1:13" ht="11.25" customHeight="1" x14ac:dyDescent="0.2">
      <c r="A225" s="924" t="s">
        <v>853</v>
      </c>
      <c r="B225" s="924" t="s">
        <v>788</v>
      </c>
      <c r="C225" s="924" t="s">
        <v>854</v>
      </c>
      <c r="D225" s="924" t="s">
        <v>855</v>
      </c>
      <c r="E225" s="924" t="s">
        <v>856</v>
      </c>
      <c r="F225" s="924" t="s">
        <v>1144</v>
      </c>
      <c r="G225" s="924" t="s">
        <v>981</v>
      </c>
      <c r="H225" s="924" t="s">
        <v>835</v>
      </c>
      <c r="I225" s="924" t="s">
        <v>1040</v>
      </c>
      <c r="J225" s="924" t="s">
        <v>940</v>
      </c>
      <c r="K225" s="924" t="s">
        <v>1070</v>
      </c>
      <c r="L225" s="925">
        <v>51.364628002047503</v>
      </c>
      <c r="M225" s="925">
        <v>3.5936784392106298E-2</v>
      </c>
    </row>
    <row r="226" spans="1:13" ht="11.25" customHeight="1" x14ac:dyDescent="0.2">
      <c r="A226" s="924" t="s">
        <v>853</v>
      </c>
      <c r="B226" s="924" t="s">
        <v>788</v>
      </c>
      <c r="C226" s="924" t="s">
        <v>854</v>
      </c>
      <c r="D226" s="924" t="s">
        <v>855</v>
      </c>
      <c r="E226" s="924" t="s">
        <v>856</v>
      </c>
      <c r="F226" s="924" t="s">
        <v>1145</v>
      </c>
      <c r="G226" s="924" t="s">
        <v>981</v>
      </c>
      <c r="H226" s="924" t="s">
        <v>835</v>
      </c>
      <c r="I226" s="924" t="s">
        <v>1040</v>
      </c>
      <c r="J226" s="924" t="s">
        <v>940</v>
      </c>
      <c r="K226" s="924" t="s">
        <v>1029</v>
      </c>
      <c r="L226" s="925">
        <v>149.17139065265701</v>
      </c>
      <c r="M226" s="925">
        <v>9.8510322452057195E-2</v>
      </c>
    </row>
    <row r="227" spans="1:13" ht="11.25" customHeight="1" x14ac:dyDescent="0.2">
      <c r="A227" s="924" t="s">
        <v>853</v>
      </c>
      <c r="B227" s="924" t="s">
        <v>788</v>
      </c>
      <c r="C227" s="924" t="s">
        <v>854</v>
      </c>
      <c r="D227" s="924" t="s">
        <v>855</v>
      </c>
      <c r="E227" s="924" t="s">
        <v>856</v>
      </c>
      <c r="F227" s="924" t="s">
        <v>1146</v>
      </c>
      <c r="G227" s="924" t="s">
        <v>981</v>
      </c>
      <c r="H227" s="924" t="s">
        <v>835</v>
      </c>
      <c r="I227" s="924" t="s">
        <v>1040</v>
      </c>
      <c r="J227" s="924" t="s">
        <v>940</v>
      </c>
      <c r="K227" s="924" t="s">
        <v>1147</v>
      </c>
      <c r="L227" s="925">
        <v>1334.0573358535801</v>
      </c>
      <c r="M227" s="925">
        <v>0.86251105088740598</v>
      </c>
    </row>
    <row r="228" spans="1:13" ht="11.25" customHeight="1" x14ac:dyDescent="0.2">
      <c r="A228" s="924" t="s">
        <v>853</v>
      </c>
      <c r="B228" s="924" t="s">
        <v>788</v>
      </c>
      <c r="C228" s="924" t="s">
        <v>854</v>
      </c>
      <c r="D228" s="924" t="s">
        <v>855</v>
      </c>
      <c r="E228" s="924" t="s">
        <v>856</v>
      </c>
      <c r="F228" s="924" t="s">
        <v>1148</v>
      </c>
      <c r="G228" s="924" t="s">
        <v>981</v>
      </c>
      <c r="H228" s="924" t="s">
        <v>835</v>
      </c>
      <c r="I228" s="924" t="s">
        <v>1040</v>
      </c>
      <c r="J228" s="924" t="s">
        <v>863</v>
      </c>
      <c r="K228" s="924" t="s">
        <v>915</v>
      </c>
      <c r="L228" s="925">
        <v>5.57280430942774</v>
      </c>
      <c r="M228" s="925">
        <v>2.09775217865626E-3</v>
      </c>
    </row>
    <row r="229" spans="1:13" ht="11.25" customHeight="1" x14ac:dyDescent="0.2">
      <c r="A229" s="924" t="s">
        <v>853</v>
      </c>
      <c r="B229" s="924" t="s">
        <v>788</v>
      </c>
      <c r="C229" s="924" t="s">
        <v>854</v>
      </c>
      <c r="D229" s="924" t="s">
        <v>855</v>
      </c>
      <c r="E229" s="924" t="s">
        <v>856</v>
      </c>
      <c r="F229" s="924" t="s">
        <v>1149</v>
      </c>
      <c r="G229" s="924" t="s">
        <v>981</v>
      </c>
      <c r="H229" s="924" t="s">
        <v>835</v>
      </c>
      <c r="I229" s="924" t="s">
        <v>1040</v>
      </c>
      <c r="J229" s="924" t="s">
        <v>940</v>
      </c>
      <c r="K229" s="924" t="s">
        <v>1091</v>
      </c>
      <c r="L229" s="925">
        <v>2.7291362434625599</v>
      </c>
      <c r="M229" s="925">
        <v>1.9147927450831E-3</v>
      </c>
    </row>
    <row r="230" spans="1:13" ht="11.25" customHeight="1" x14ac:dyDescent="0.2">
      <c r="A230" s="924" t="s">
        <v>853</v>
      </c>
      <c r="B230" s="924" t="s">
        <v>788</v>
      </c>
      <c r="C230" s="924" t="s">
        <v>854</v>
      </c>
      <c r="D230" s="924" t="s">
        <v>855</v>
      </c>
      <c r="E230" s="924" t="s">
        <v>856</v>
      </c>
      <c r="F230" s="924" t="s">
        <v>1150</v>
      </c>
      <c r="G230" s="924" t="s">
        <v>981</v>
      </c>
      <c r="H230" s="924" t="s">
        <v>835</v>
      </c>
      <c r="I230" s="924" t="s">
        <v>1040</v>
      </c>
      <c r="J230" s="924" t="s">
        <v>940</v>
      </c>
      <c r="K230" s="924" t="s">
        <v>1151</v>
      </c>
      <c r="L230" s="925">
        <v>5.91698471643031</v>
      </c>
      <c r="M230" s="925">
        <v>4.1843289800453896E-3</v>
      </c>
    </row>
    <row r="231" spans="1:13" ht="11.25" customHeight="1" x14ac:dyDescent="0.2">
      <c r="A231" s="924" t="s">
        <v>853</v>
      </c>
      <c r="B231" s="924" t="s">
        <v>788</v>
      </c>
      <c r="C231" s="924" t="s">
        <v>854</v>
      </c>
      <c r="D231" s="924" t="s">
        <v>855</v>
      </c>
      <c r="E231" s="924" t="s">
        <v>856</v>
      </c>
      <c r="F231" s="924" t="s">
        <v>1152</v>
      </c>
      <c r="G231" s="924" t="s">
        <v>981</v>
      </c>
      <c r="H231" s="924" t="s">
        <v>835</v>
      </c>
      <c r="I231" s="924" t="s">
        <v>1040</v>
      </c>
      <c r="J231" s="924" t="s">
        <v>940</v>
      </c>
      <c r="K231" s="924" t="s">
        <v>1153</v>
      </c>
      <c r="L231" s="925">
        <v>10.9765237718821</v>
      </c>
      <c r="M231" s="925">
        <v>7.2502314287703502E-3</v>
      </c>
    </row>
    <row r="232" spans="1:13" ht="11.25" customHeight="1" x14ac:dyDescent="0.2">
      <c r="A232" s="924" t="s">
        <v>853</v>
      </c>
      <c r="B232" s="924" t="s">
        <v>788</v>
      </c>
      <c r="C232" s="924" t="s">
        <v>854</v>
      </c>
      <c r="D232" s="924" t="s">
        <v>855</v>
      </c>
      <c r="E232" s="924" t="s">
        <v>856</v>
      </c>
      <c r="F232" s="924" t="s">
        <v>1154</v>
      </c>
      <c r="G232" s="924" t="s">
        <v>981</v>
      </c>
      <c r="H232" s="924" t="s">
        <v>835</v>
      </c>
      <c r="I232" s="924" t="s">
        <v>1040</v>
      </c>
      <c r="J232" s="924" t="s">
        <v>940</v>
      </c>
      <c r="K232" s="924" t="s">
        <v>1155</v>
      </c>
      <c r="L232" s="925">
        <v>99.5181210041046</v>
      </c>
      <c r="M232" s="925">
        <v>6.4453341779248802E-2</v>
      </c>
    </row>
    <row r="233" spans="1:13" ht="11.25" customHeight="1" x14ac:dyDescent="0.2">
      <c r="A233" s="924" t="s">
        <v>853</v>
      </c>
      <c r="B233" s="924" t="s">
        <v>788</v>
      </c>
      <c r="C233" s="924" t="s">
        <v>854</v>
      </c>
      <c r="D233" s="924" t="s">
        <v>855</v>
      </c>
      <c r="E233" s="924" t="s">
        <v>856</v>
      </c>
      <c r="F233" s="924" t="s">
        <v>1156</v>
      </c>
      <c r="G233" s="924" t="s">
        <v>981</v>
      </c>
      <c r="H233" s="924" t="s">
        <v>835</v>
      </c>
      <c r="I233" s="924" t="s">
        <v>1040</v>
      </c>
      <c r="J233" s="924" t="s">
        <v>940</v>
      </c>
      <c r="K233" s="924" t="s">
        <v>1025</v>
      </c>
      <c r="L233" s="925">
        <v>32.850059509277301</v>
      </c>
      <c r="M233" s="925">
        <v>6.2334045185707503E-2</v>
      </c>
    </row>
    <row r="234" spans="1:13" ht="11.25" customHeight="1" x14ac:dyDescent="0.2">
      <c r="A234" s="924" t="s">
        <v>853</v>
      </c>
      <c r="B234" s="924" t="s">
        <v>788</v>
      </c>
      <c r="C234" s="924" t="s">
        <v>854</v>
      </c>
      <c r="D234" s="924" t="s">
        <v>855</v>
      </c>
      <c r="E234" s="924" t="s">
        <v>856</v>
      </c>
      <c r="F234" s="924" t="s">
        <v>1157</v>
      </c>
      <c r="G234" s="924" t="s">
        <v>981</v>
      </c>
      <c r="H234" s="924" t="s">
        <v>835</v>
      </c>
      <c r="I234" s="924" t="s">
        <v>1040</v>
      </c>
      <c r="J234" s="924" t="s">
        <v>940</v>
      </c>
      <c r="K234" s="924" t="s">
        <v>1098</v>
      </c>
      <c r="L234" s="925">
        <v>56.060824394226103</v>
      </c>
      <c r="M234" s="925">
        <v>0.10651619732379899</v>
      </c>
    </row>
    <row r="235" spans="1:13" ht="11.25" customHeight="1" x14ac:dyDescent="0.2">
      <c r="A235" s="924" t="s">
        <v>853</v>
      </c>
      <c r="B235" s="924" t="s">
        <v>788</v>
      </c>
      <c r="C235" s="924" t="s">
        <v>854</v>
      </c>
      <c r="D235" s="924" t="s">
        <v>855</v>
      </c>
      <c r="E235" s="924" t="s">
        <v>856</v>
      </c>
      <c r="F235" s="924" t="s">
        <v>1158</v>
      </c>
      <c r="G235" s="924" t="s">
        <v>981</v>
      </c>
      <c r="H235" s="924" t="s">
        <v>835</v>
      </c>
      <c r="I235" s="924" t="s">
        <v>1040</v>
      </c>
      <c r="J235" s="924" t="s">
        <v>940</v>
      </c>
      <c r="K235" s="924" t="s">
        <v>1023</v>
      </c>
      <c r="L235" s="925">
        <v>81.990742594003706</v>
      </c>
      <c r="M235" s="925">
        <v>4.7335043712791999E-2</v>
      </c>
    </row>
    <row r="236" spans="1:13" ht="11.25" customHeight="1" x14ac:dyDescent="0.2">
      <c r="A236" s="924" t="s">
        <v>853</v>
      </c>
      <c r="B236" s="924" t="s">
        <v>788</v>
      </c>
      <c r="C236" s="924" t="s">
        <v>854</v>
      </c>
      <c r="D236" s="924" t="s">
        <v>855</v>
      </c>
      <c r="E236" s="924" t="s">
        <v>856</v>
      </c>
      <c r="F236" s="924" t="s">
        <v>1159</v>
      </c>
      <c r="G236" s="924" t="s">
        <v>981</v>
      </c>
      <c r="H236" s="924" t="s">
        <v>835</v>
      </c>
      <c r="I236" s="924" t="s">
        <v>1040</v>
      </c>
      <c r="J236" s="924" t="s">
        <v>940</v>
      </c>
      <c r="K236" s="924" t="s">
        <v>1095</v>
      </c>
      <c r="L236" s="925">
        <v>5.2063901312649303</v>
      </c>
      <c r="M236" s="925">
        <v>3.6534902137645999E-3</v>
      </c>
    </row>
    <row r="237" spans="1:13" ht="11.25" customHeight="1" x14ac:dyDescent="0.2">
      <c r="A237" s="924" t="s">
        <v>853</v>
      </c>
      <c r="B237" s="924" t="s">
        <v>788</v>
      </c>
      <c r="C237" s="924" t="s">
        <v>854</v>
      </c>
      <c r="D237" s="924" t="s">
        <v>855</v>
      </c>
      <c r="E237" s="924" t="s">
        <v>856</v>
      </c>
      <c r="F237" s="924" t="s">
        <v>1160</v>
      </c>
      <c r="G237" s="924" t="s">
        <v>981</v>
      </c>
      <c r="H237" s="924" t="s">
        <v>835</v>
      </c>
      <c r="I237" s="924" t="s">
        <v>1040</v>
      </c>
      <c r="J237" s="924" t="s">
        <v>940</v>
      </c>
      <c r="K237" s="924" t="s">
        <v>1093</v>
      </c>
      <c r="L237" s="925">
        <v>2.0010922243818601</v>
      </c>
      <c r="M237" s="925">
        <v>1.4181294477566601E-3</v>
      </c>
    </row>
    <row r="238" spans="1:13" ht="11.25" customHeight="1" x14ac:dyDescent="0.2">
      <c r="A238" s="924" t="s">
        <v>853</v>
      </c>
      <c r="B238" s="924" t="s">
        <v>788</v>
      </c>
      <c r="C238" s="924" t="s">
        <v>854</v>
      </c>
      <c r="D238" s="924" t="s">
        <v>855</v>
      </c>
      <c r="E238" s="924" t="s">
        <v>856</v>
      </c>
      <c r="F238" s="924" t="s">
        <v>1161</v>
      </c>
      <c r="G238" s="924" t="s">
        <v>981</v>
      </c>
      <c r="H238" s="924" t="s">
        <v>835</v>
      </c>
      <c r="I238" s="924" t="s">
        <v>1040</v>
      </c>
      <c r="J238" s="924" t="s">
        <v>940</v>
      </c>
      <c r="K238" s="924" t="s">
        <v>1027</v>
      </c>
      <c r="L238" s="925">
        <v>12.3987928591669</v>
      </c>
      <c r="M238" s="925">
        <v>8.6086833520546708E-3</v>
      </c>
    </row>
    <row r="239" spans="1:13" ht="11.25" customHeight="1" x14ac:dyDescent="0.2">
      <c r="A239" s="924" t="s">
        <v>853</v>
      </c>
      <c r="B239" s="924" t="s">
        <v>789</v>
      </c>
      <c r="C239" s="924" t="s">
        <v>1162</v>
      </c>
      <c r="D239" s="924" t="s">
        <v>1163</v>
      </c>
      <c r="E239" s="924" t="s">
        <v>856</v>
      </c>
      <c r="F239" s="924" t="s">
        <v>867</v>
      </c>
      <c r="G239" s="924" t="s">
        <v>862</v>
      </c>
      <c r="H239" s="924" t="s">
        <v>665</v>
      </c>
      <c r="I239" s="924" t="s">
        <v>787</v>
      </c>
      <c r="J239" s="924" t="s">
        <v>863</v>
      </c>
      <c r="K239" s="924" t="s">
        <v>868</v>
      </c>
      <c r="L239" s="925">
        <v>6.3692667409777597</v>
      </c>
      <c r="M239" s="925">
        <v>2.6059321215143399E-2</v>
      </c>
    </row>
    <row r="240" spans="1:13" ht="11.25" customHeight="1" x14ac:dyDescent="0.2">
      <c r="A240" s="924" t="s">
        <v>853</v>
      </c>
      <c r="B240" s="924" t="s">
        <v>789</v>
      </c>
      <c r="C240" s="924" t="s">
        <v>1162</v>
      </c>
      <c r="D240" s="924" t="s">
        <v>1163</v>
      </c>
      <c r="E240" s="924" t="s">
        <v>856</v>
      </c>
      <c r="F240" s="924" t="s">
        <v>883</v>
      </c>
      <c r="G240" s="924" t="s">
        <v>858</v>
      </c>
      <c r="H240" s="924" t="s">
        <v>836</v>
      </c>
      <c r="I240" s="924" t="s">
        <v>837</v>
      </c>
      <c r="J240" s="924" t="s">
        <v>884</v>
      </c>
      <c r="K240" s="924" t="s">
        <v>885</v>
      </c>
      <c r="L240" s="925">
        <v>236.32279443740799</v>
      </c>
      <c r="M240" s="925">
        <v>9.0642483992269297E-3</v>
      </c>
    </row>
    <row r="241" spans="1:13" ht="11.25" customHeight="1" x14ac:dyDescent="0.2">
      <c r="A241" s="924" t="s">
        <v>853</v>
      </c>
      <c r="B241" s="924" t="s">
        <v>789</v>
      </c>
      <c r="C241" s="924" t="s">
        <v>1162</v>
      </c>
      <c r="D241" s="924" t="s">
        <v>1163</v>
      </c>
      <c r="E241" s="924" t="s">
        <v>856</v>
      </c>
      <c r="F241" s="924" t="s">
        <v>888</v>
      </c>
      <c r="G241" s="924" t="s">
        <v>858</v>
      </c>
      <c r="H241" s="924" t="s">
        <v>836</v>
      </c>
      <c r="I241" s="924" t="s">
        <v>837</v>
      </c>
      <c r="J241" s="924" t="s">
        <v>859</v>
      </c>
      <c r="K241" s="924" t="s">
        <v>889</v>
      </c>
      <c r="L241" s="925">
        <v>1.32932407222688</v>
      </c>
      <c r="M241" s="925">
        <v>1.4667504428977901E-4</v>
      </c>
    </row>
    <row r="242" spans="1:13" ht="11.25" customHeight="1" x14ac:dyDescent="0.2">
      <c r="A242" s="924" t="s">
        <v>853</v>
      </c>
      <c r="B242" s="924" t="s">
        <v>789</v>
      </c>
      <c r="C242" s="924" t="s">
        <v>1162</v>
      </c>
      <c r="D242" s="924" t="s">
        <v>1163</v>
      </c>
      <c r="E242" s="924" t="s">
        <v>856</v>
      </c>
      <c r="F242" s="924" t="s">
        <v>912</v>
      </c>
      <c r="G242" s="924" t="s">
        <v>858</v>
      </c>
      <c r="H242" s="924" t="s">
        <v>836</v>
      </c>
      <c r="I242" s="924" t="s">
        <v>837</v>
      </c>
      <c r="J242" s="924" t="s">
        <v>859</v>
      </c>
      <c r="K242" s="924" t="s">
        <v>913</v>
      </c>
      <c r="L242" s="925">
        <v>816.41146373748802</v>
      </c>
      <c r="M242" s="925">
        <v>8.9906821904151002E-3</v>
      </c>
    </row>
    <row r="243" spans="1:13" ht="11.25" customHeight="1" x14ac:dyDescent="0.2">
      <c r="A243" s="924" t="s">
        <v>853</v>
      </c>
      <c r="B243" s="924" t="s">
        <v>789</v>
      </c>
      <c r="C243" s="924" t="s">
        <v>1162</v>
      </c>
      <c r="D243" s="924" t="s">
        <v>1163</v>
      </c>
      <c r="E243" s="924" t="s">
        <v>856</v>
      </c>
      <c r="F243" s="924" t="s">
        <v>881</v>
      </c>
      <c r="G243" s="924" t="s">
        <v>862</v>
      </c>
      <c r="H243" s="924" t="s">
        <v>665</v>
      </c>
      <c r="I243" s="924" t="s">
        <v>787</v>
      </c>
      <c r="J243" s="924" t="s">
        <v>875</v>
      </c>
      <c r="K243" s="924" t="s">
        <v>882</v>
      </c>
      <c r="L243" s="925">
        <v>448.04342174530001</v>
      </c>
      <c r="M243" s="925">
        <v>2.14102741517127</v>
      </c>
    </row>
    <row r="244" spans="1:13" ht="11.25" customHeight="1" x14ac:dyDescent="0.2">
      <c r="A244" s="924" t="s">
        <v>853</v>
      </c>
      <c r="B244" s="924" t="s">
        <v>789</v>
      </c>
      <c r="C244" s="924" t="s">
        <v>1162</v>
      </c>
      <c r="D244" s="924" t="s">
        <v>1163</v>
      </c>
      <c r="E244" s="924" t="s">
        <v>856</v>
      </c>
      <c r="F244" s="924" t="s">
        <v>879</v>
      </c>
      <c r="G244" s="924" t="s">
        <v>862</v>
      </c>
      <c r="H244" s="924" t="s">
        <v>665</v>
      </c>
      <c r="I244" s="924" t="s">
        <v>787</v>
      </c>
      <c r="J244" s="924" t="s">
        <v>875</v>
      </c>
      <c r="K244" s="924" t="s">
        <v>880</v>
      </c>
      <c r="L244" s="925">
        <v>12.5888227522373</v>
      </c>
      <c r="M244" s="925">
        <v>7.0822332265379401E-2</v>
      </c>
    </row>
    <row r="245" spans="1:13" ht="11.25" customHeight="1" x14ac:dyDescent="0.2">
      <c r="A245" s="924" t="s">
        <v>853</v>
      </c>
      <c r="B245" s="924" t="s">
        <v>789</v>
      </c>
      <c r="C245" s="924" t="s">
        <v>1162</v>
      </c>
      <c r="D245" s="924" t="s">
        <v>1163</v>
      </c>
      <c r="E245" s="924" t="s">
        <v>856</v>
      </c>
      <c r="F245" s="924" t="s">
        <v>877</v>
      </c>
      <c r="G245" s="924" t="s">
        <v>862</v>
      </c>
      <c r="H245" s="924" t="s">
        <v>665</v>
      </c>
      <c r="I245" s="924" t="s">
        <v>787</v>
      </c>
      <c r="J245" s="924" t="s">
        <v>875</v>
      </c>
      <c r="K245" s="924" t="s">
        <v>878</v>
      </c>
      <c r="L245" s="925">
        <v>8.5350420847535098</v>
      </c>
      <c r="M245" s="925">
        <v>0.13982706566457601</v>
      </c>
    </row>
    <row r="246" spans="1:13" ht="11.25" customHeight="1" x14ac:dyDescent="0.2">
      <c r="A246" s="924" t="s">
        <v>853</v>
      </c>
      <c r="B246" s="924" t="s">
        <v>789</v>
      </c>
      <c r="C246" s="924" t="s">
        <v>1162</v>
      </c>
      <c r="D246" s="924" t="s">
        <v>1163</v>
      </c>
      <c r="E246" s="924" t="s">
        <v>856</v>
      </c>
      <c r="F246" s="924" t="s">
        <v>874</v>
      </c>
      <c r="G246" s="924" t="s">
        <v>862</v>
      </c>
      <c r="H246" s="924" t="s">
        <v>665</v>
      </c>
      <c r="I246" s="924" t="s">
        <v>787</v>
      </c>
      <c r="J246" s="924" t="s">
        <v>875</v>
      </c>
      <c r="K246" s="924" t="s">
        <v>876</v>
      </c>
      <c r="L246" s="925">
        <v>178.43009018897999</v>
      </c>
      <c r="M246" s="925">
        <v>5.42759981565177</v>
      </c>
    </row>
    <row r="247" spans="1:13" ht="11.25" customHeight="1" x14ac:dyDescent="0.2">
      <c r="A247" s="924" t="s">
        <v>853</v>
      </c>
      <c r="B247" s="924" t="s">
        <v>789</v>
      </c>
      <c r="C247" s="924" t="s">
        <v>1162</v>
      </c>
      <c r="D247" s="924" t="s">
        <v>1163</v>
      </c>
      <c r="E247" s="924" t="s">
        <v>856</v>
      </c>
      <c r="F247" s="924" t="s">
        <v>869</v>
      </c>
      <c r="G247" s="924" t="s">
        <v>862</v>
      </c>
      <c r="H247" s="924" t="s">
        <v>665</v>
      </c>
      <c r="I247" s="924" t="s">
        <v>787</v>
      </c>
      <c r="J247" s="924" t="s">
        <v>870</v>
      </c>
      <c r="K247" s="924" t="s">
        <v>871</v>
      </c>
      <c r="L247" s="925">
        <v>2.32883856078843E-2</v>
      </c>
      <c r="M247" s="925">
        <v>1.3362300079506899E-3</v>
      </c>
    </row>
    <row r="248" spans="1:13" ht="11.25" customHeight="1" x14ac:dyDescent="0.2">
      <c r="A248" s="924" t="s">
        <v>853</v>
      </c>
      <c r="B248" s="924" t="s">
        <v>789</v>
      </c>
      <c r="C248" s="924" t="s">
        <v>1162</v>
      </c>
      <c r="D248" s="924" t="s">
        <v>1163</v>
      </c>
      <c r="E248" s="924" t="s">
        <v>856</v>
      </c>
      <c r="F248" s="924" t="s">
        <v>857</v>
      </c>
      <c r="G248" s="924" t="s">
        <v>858</v>
      </c>
      <c r="H248" s="924" t="s">
        <v>836</v>
      </c>
      <c r="I248" s="924" t="s">
        <v>837</v>
      </c>
      <c r="J248" s="924" t="s">
        <v>859</v>
      </c>
      <c r="K248" s="924" t="s">
        <v>860</v>
      </c>
      <c r="L248" s="925">
        <v>21.900340527296098</v>
      </c>
      <c r="M248" s="925">
        <v>2.0155191726516399E-3</v>
      </c>
    </row>
    <row r="249" spans="1:13" ht="11.25" customHeight="1" x14ac:dyDescent="0.2">
      <c r="A249" s="924" t="s">
        <v>853</v>
      </c>
      <c r="B249" s="924" t="s">
        <v>789</v>
      </c>
      <c r="C249" s="924" t="s">
        <v>1162</v>
      </c>
      <c r="D249" s="924" t="s">
        <v>1163</v>
      </c>
      <c r="E249" s="924" t="s">
        <v>856</v>
      </c>
      <c r="F249" s="924" t="s">
        <v>872</v>
      </c>
      <c r="G249" s="924" t="s">
        <v>862</v>
      </c>
      <c r="H249" s="924" t="s">
        <v>665</v>
      </c>
      <c r="I249" s="924" t="s">
        <v>787</v>
      </c>
      <c r="J249" s="924" t="s">
        <v>870</v>
      </c>
      <c r="K249" s="924" t="s">
        <v>873</v>
      </c>
      <c r="L249" s="925">
        <v>2.5617175288498402</v>
      </c>
      <c r="M249" s="925">
        <v>1.03109480260173E-2</v>
      </c>
    </row>
    <row r="250" spans="1:13" ht="11.25" customHeight="1" x14ac:dyDescent="0.2">
      <c r="A250" s="924" t="s">
        <v>853</v>
      </c>
      <c r="B250" s="924" t="s">
        <v>789</v>
      </c>
      <c r="C250" s="924" t="s">
        <v>1162</v>
      </c>
      <c r="D250" s="924" t="s">
        <v>1163</v>
      </c>
      <c r="E250" s="924" t="s">
        <v>856</v>
      </c>
      <c r="F250" s="924" t="s">
        <v>892</v>
      </c>
      <c r="G250" s="924" t="s">
        <v>858</v>
      </c>
      <c r="H250" s="924" t="s">
        <v>836</v>
      </c>
      <c r="I250" s="924" t="s">
        <v>837</v>
      </c>
      <c r="J250" s="924" t="s">
        <v>859</v>
      </c>
      <c r="K250" s="924" t="s">
        <v>893</v>
      </c>
      <c r="L250" s="925">
        <v>2043.72950744629</v>
      </c>
      <c r="M250" s="925">
        <v>2.5852789349983099E-2</v>
      </c>
    </row>
    <row r="251" spans="1:13" ht="11.25" customHeight="1" x14ac:dyDescent="0.2">
      <c r="A251" s="924" t="s">
        <v>853</v>
      </c>
      <c r="B251" s="924" t="s">
        <v>789</v>
      </c>
      <c r="C251" s="924" t="s">
        <v>1162</v>
      </c>
      <c r="D251" s="924" t="s">
        <v>1163</v>
      </c>
      <c r="E251" s="924" t="s">
        <v>856</v>
      </c>
      <c r="F251" s="924" t="s">
        <v>894</v>
      </c>
      <c r="G251" s="924" t="s">
        <v>858</v>
      </c>
      <c r="H251" s="924" t="s">
        <v>836</v>
      </c>
      <c r="I251" s="924" t="s">
        <v>837</v>
      </c>
      <c r="J251" s="924" t="s">
        <v>859</v>
      </c>
      <c r="K251" s="924" t="s">
        <v>895</v>
      </c>
      <c r="L251" s="925">
        <v>2223.6419010162399</v>
      </c>
      <c r="M251" s="925">
        <v>1.4729271441865401E-2</v>
      </c>
    </row>
    <row r="252" spans="1:13" ht="11.25" customHeight="1" x14ac:dyDescent="0.2">
      <c r="A252" s="924" t="s">
        <v>853</v>
      </c>
      <c r="B252" s="924" t="s">
        <v>789</v>
      </c>
      <c r="C252" s="924" t="s">
        <v>1162</v>
      </c>
      <c r="D252" s="924" t="s">
        <v>1163</v>
      </c>
      <c r="E252" s="924" t="s">
        <v>856</v>
      </c>
      <c r="F252" s="924" t="s">
        <v>896</v>
      </c>
      <c r="G252" s="924" t="s">
        <v>858</v>
      </c>
      <c r="H252" s="924" t="s">
        <v>836</v>
      </c>
      <c r="I252" s="924" t="s">
        <v>837</v>
      </c>
      <c r="J252" s="924" t="s">
        <v>859</v>
      </c>
      <c r="K252" s="924" t="s">
        <v>897</v>
      </c>
      <c r="L252" s="925">
        <v>122.618711829185</v>
      </c>
      <c r="M252" s="925">
        <v>1.9856656228114402E-3</v>
      </c>
    </row>
    <row r="253" spans="1:13" ht="11.25" customHeight="1" x14ac:dyDescent="0.2">
      <c r="A253" s="924" t="s">
        <v>853</v>
      </c>
      <c r="B253" s="924" t="s">
        <v>789</v>
      </c>
      <c r="C253" s="924" t="s">
        <v>1162</v>
      </c>
      <c r="D253" s="924" t="s">
        <v>1163</v>
      </c>
      <c r="E253" s="924" t="s">
        <v>856</v>
      </c>
      <c r="F253" s="924" t="s">
        <v>898</v>
      </c>
      <c r="G253" s="924" t="s">
        <v>858</v>
      </c>
      <c r="H253" s="924" t="s">
        <v>836</v>
      </c>
      <c r="I253" s="924" t="s">
        <v>837</v>
      </c>
      <c r="J253" s="924" t="s">
        <v>859</v>
      </c>
      <c r="K253" s="924" t="s">
        <v>899</v>
      </c>
      <c r="L253" s="925">
        <v>75.149234473705306</v>
      </c>
      <c r="M253" s="925">
        <v>1.3071476214463499E-3</v>
      </c>
    </row>
    <row r="254" spans="1:13" ht="11.25" customHeight="1" x14ac:dyDescent="0.2">
      <c r="A254" s="924" t="s">
        <v>853</v>
      </c>
      <c r="B254" s="924" t="s">
        <v>789</v>
      </c>
      <c r="C254" s="924" t="s">
        <v>1162</v>
      </c>
      <c r="D254" s="924" t="s">
        <v>1163</v>
      </c>
      <c r="E254" s="924" t="s">
        <v>856</v>
      </c>
      <c r="F254" s="924" t="s">
        <v>900</v>
      </c>
      <c r="G254" s="924" t="s">
        <v>858</v>
      </c>
      <c r="H254" s="924" t="s">
        <v>836</v>
      </c>
      <c r="I254" s="924" t="s">
        <v>837</v>
      </c>
      <c r="J254" s="924" t="s">
        <v>859</v>
      </c>
      <c r="K254" s="924" t="s">
        <v>901</v>
      </c>
      <c r="L254" s="925">
        <v>225.713001728058</v>
      </c>
      <c r="M254" s="925">
        <v>9.8371200018903E-3</v>
      </c>
    </row>
    <row r="255" spans="1:13" ht="11.25" customHeight="1" x14ac:dyDescent="0.2">
      <c r="A255" s="924" t="s">
        <v>853</v>
      </c>
      <c r="B255" s="924" t="s">
        <v>789</v>
      </c>
      <c r="C255" s="924" t="s">
        <v>1162</v>
      </c>
      <c r="D255" s="924" t="s">
        <v>1163</v>
      </c>
      <c r="E255" s="924" t="s">
        <v>856</v>
      </c>
      <c r="F255" s="924" t="s">
        <v>902</v>
      </c>
      <c r="G255" s="924" t="s">
        <v>858</v>
      </c>
      <c r="H255" s="924" t="s">
        <v>836</v>
      </c>
      <c r="I255" s="924" t="s">
        <v>837</v>
      </c>
      <c r="J255" s="924" t="s">
        <v>859</v>
      </c>
      <c r="K255" s="924" t="s">
        <v>903</v>
      </c>
      <c r="L255" s="925">
        <v>969.24282169341996</v>
      </c>
      <c r="M255" s="925">
        <v>1.6849136944301801E-2</v>
      </c>
    </row>
    <row r="256" spans="1:13" ht="11.25" customHeight="1" x14ac:dyDescent="0.2">
      <c r="A256" s="924" t="s">
        <v>853</v>
      </c>
      <c r="B256" s="924" t="s">
        <v>789</v>
      </c>
      <c r="C256" s="924" t="s">
        <v>1162</v>
      </c>
      <c r="D256" s="924" t="s">
        <v>1163</v>
      </c>
      <c r="E256" s="924" t="s">
        <v>856</v>
      </c>
      <c r="F256" s="924" t="s">
        <v>904</v>
      </c>
      <c r="G256" s="924" t="s">
        <v>858</v>
      </c>
      <c r="H256" s="924" t="s">
        <v>836</v>
      </c>
      <c r="I256" s="924" t="s">
        <v>837</v>
      </c>
      <c r="J256" s="924" t="s">
        <v>859</v>
      </c>
      <c r="K256" s="924" t="s">
        <v>905</v>
      </c>
      <c r="L256" s="925">
        <v>839.20820617675804</v>
      </c>
      <c r="M256" s="925">
        <v>1.58983322205586E-2</v>
      </c>
    </row>
    <row r="257" spans="1:13" ht="11.25" customHeight="1" x14ac:dyDescent="0.2">
      <c r="A257" s="924" t="s">
        <v>853</v>
      </c>
      <c r="B257" s="924" t="s">
        <v>789</v>
      </c>
      <c r="C257" s="924" t="s">
        <v>1162</v>
      </c>
      <c r="D257" s="924" t="s">
        <v>1163</v>
      </c>
      <c r="E257" s="924" t="s">
        <v>856</v>
      </c>
      <c r="F257" s="924" t="s">
        <v>906</v>
      </c>
      <c r="G257" s="924" t="s">
        <v>858</v>
      </c>
      <c r="H257" s="924" t="s">
        <v>836</v>
      </c>
      <c r="I257" s="924" t="s">
        <v>837</v>
      </c>
      <c r="J257" s="924" t="s">
        <v>859</v>
      </c>
      <c r="K257" s="924" t="s">
        <v>907</v>
      </c>
      <c r="L257" s="925">
        <v>8282.1336975097693</v>
      </c>
      <c r="M257" s="925">
        <v>5.5138062370133398E-2</v>
      </c>
    </row>
    <row r="258" spans="1:13" ht="11.25" customHeight="1" x14ac:dyDescent="0.2">
      <c r="A258" s="924" t="s">
        <v>853</v>
      </c>
      <c r="B258" s="924" t="s">
        <v>789</v>
      </c>
      <c r="C258" s="924" t="s">
        <v>1162</v>
      </c>
      <c r="D258" s="924" t="s">
        <v>1163</v>
      </c>
      <c r="E258" s="924" t="s">
        <v>856</v>
      </c>
      <c r="F258" s="924" t="s">
        <v>908</v>
      </c>
      <c r="G258" s="924" t="s">
        <v>858</v>
      </c>
      <c r="H258" s="924" t="s">
        <v>836</v>
      </c>
      <c r="I258" s="924" t="s">
        <v>837</v>
      </c>
      <c r="J258" s="924" t="s">
        <v>859</v>
      </c>
      <c r="K258" s="924" t="s">
        <v>909</v>
      </c>
      <c r="L258" s="925">
        <v>68.904060184955597</v>
      </c>
      <c r="M258" s="925">
        <v>1.44218785656847E-3</v>
      </c>
    </row>
    <row r="259" spans="1:13" ht="11.25" customHeight="1" x14ac:dyDescent="0.2">
      <c r="A259" s="924" t="s">
        <v>853</v>
      </c>
      <c r="B259" s="924" t="s">
        <v>789</v>
      </c>
      <c r="C259" s="924" t="s">
        <v>1162</v>
      </c>
      <c r="D259" s="924" t="s">
        <v>1163</v>
      </c>
      <c r="E259" s="924" t="s">
        <v>856</v>
      </c>
      <c r="F259" s="924" t="s">
        <v>865</v>
      </c>
      <c r="G259" s="924" t="s">
        <v>862</v>
      </c>
      <c r="H259" s="924" t="s">
        <v>665</v>
      </c>
      <c r="I259" s="924" t="s">
        <v>787</v>
      </c>
      <c r="J259" s="924" t="s">
        <v>863</v>
      </c>
      <c r="K259" s="924" t="s">
        <v>866</v>
      </c>
      <c r="L259" s="925">
        <v>3.8754563033580798</v>
      </c>
      <c r="M259" s="925">
        <v>1.8697452731430499E-2</v>
      </c>
    </row>
    <row r="260" spans="1:13" ht="11.25" customHeight="1" x14ac:dyDescent="0.2">
      <c r="A260" s="924" t="s">
        <v>853</v>
      </c>
      <c r="B260" s="924" t="s">
        <v>789</v>
      </c>
      <c r="C260" s="924" t="s">
        <v>1162</v>
      </c>
      <c r="D260" s="924" t="s">
        <v>1163</v>
      </c>
      <c r="E260" s="924" t="s">
        <v>856</v>
      </c>
      <c r="F260" s="924" t="s">
        <v>1037</v>
      </c>
      <c r="G260" s="924" t="s">
        <v>858</v>
      </c>
      <c r="H260" s="924" t="s">
        <v>836</v>
      </c>
      <c r="I260" s="924" t="s">
        <v>837</v>
      </c>
      <c r="J260" s="924" t="s">
        <v>859</v>
      </c>
      <c r="K260" s="924" t="s">
        <v>918</v>
      </c>
      <c r="L260" s="925">
        <v>1893.5302181243901</v>
      </c>
      <c r="M260" s="925">
        <v>1.8325279126202101E-2</v>
      </c>
    </row>
    <row r="261" spans="1:13" ht="11.25" customHeight="1" x14ac:dyDescent="0.2">
      <c r="A261" s="924" t="s">
        <v>853</v>
      </c>
      <c r="B261" s="924" t="s">
        <v>789</v>
      </c>
      <c r="C261" s="924" t="s">
        <v>1162</v>
      </c>
      <c r="D261" s="924" t="s">
        <v>1163</v>
      </c>
      <c r="E261" s="924" t="s">
        <v>856</v>
      </c>
      <c r="F261" s="924" t="s">
        <v>938</v>
      </c>
      <c r="G261" s="924" t="s">
        <v>911</v>
      </c>
      <c r="H261" s="924" t="s">
        <v>665</v>
      </c>
      <c r="I261" s="924" t="s">
        <v>706</v>
      </c>
      <c r="J261" s="924" t="s">
        <v>863</v>
      </c>
      <c r="K261" s="924" t="s">
        <v>868</v>
      </c>
      <c r="L261" s="925">
        <v>77.412874698638902</v>
      </c>
      <c r="M261" s="925">
        <v>3.5770806425716702E-3</v>
      </c>
    </row>
    <row r="262" spans="1:13" ht="11.25" customHeight="1" x14ac:dyDescent="0.2">
      <c r="A262" s="924" t="s">
        <v>853</v>
      </c>
      <c r="B262" s="924" t="s">
        <v>789</v>
      </c>
      <c r="C262" s="924" t="s">
        <v>1162</v>
      </c>
      <c r="D262" s="924" t="s">
        <v>1163</v>
      </c>
      <c r="E262" s="924" t="s">
        <v>856</v>
      </c>
      <c r="F262" s="924" t="s">
        <v>886</v>
      </c>
      <c r="G262" s="924" t="s">
        <v>858</v>
      </c>
      <c r="H262" s="924" t="s">
        <v>836</v>
      </c>
      <c r="I262" s="924" t="s">
        <v>837</v>
      </c>
      <c r="J262" s="924" t="s">
        <v>859</v>
      </c>
      <c r="K262" s="924" t="s">
        <v>887</v>
      </c>
      <c r="L262" s="925">
        <v>2060.6578388214102</v>
      </c>
      <c r="M262" s="925">
        <v>1.52508280591519E-2</v>
      </c>
    </row>
    <row r="263" spans="1:13" ht="11.25" customHeight="1" x14ac:dyDescent="0.2">
      <c r="A263" s="924" t="s">
        <v>853</v>
      </c>
      <c r="B263" s="924" t="s">
        <v>789</v>
      </c>
      <c r="C263" s="924" t="s">
        <v>1162</v>
      </c>
      <c r="D263" s="924" t="s">
        <v>1163</v>
      </c>
      <c r="E263" s="924" t="s">
        <v>856</v>
      </c>
      <c r="F263" s="924" t="s">
        <v>972</v>
      </c>
      <c r="G263" s="924" t="s">
        <v>858</v>
      </c>
      <c r="H263" s="924" t="s">
        <v>836</v>
      </c>
      <c r="I263" s="924" t="s">
        <v>837</v>
      </c>
      <c r="J263" s="924" t="s">
        <v>859</v>
      </c>
      <c r="K263" s="924" t="s">
        <v>973</v>
      </c>
      <c r="L263" s="925">
        <v>32.760612100362799</v>
      </c>
      <c r="M263" s="925">
        <v>8.3455558463185796E-4</v>
      </c>
    </row>
    <row r="264" spans="1:13" ht="11.25" customHeight="1" x14ac:dyDescent="0.2">
      <c r="A264" s="924" t="s">
        <v>853</v>
      </c>
      <c r="B264" s="924" t="s">
        <v>789</v>
      </c>
      <c r="C264" s="924" t="s">
        <v>1162</v>
      </c>
      <c r="D264" s="924" t="s">
        <v>1163</v>
      </c>
      <c r="E264" s="924" t="s">
        <v>856</v>
      </c>
      <c r="F264" s="924" t="s">
        <v>914</v>
      </c>
      <c r="G264" s="924" t="s">
        <v>911</v>
      </c>
      <c r="H264" s="924" t="s">
        <v>665</v>
      </c>
      <c r="I264" s="924" t="s">
        <v>706</v>
      </c>
      <c r="J264" s="924" t="s">
        <v>863</v>
      </c>
      <c r="K264" s="924" t="s">
        <v>915</v>
      </c>
      <c r="L264" s="925">
        <v>9.5506611764431</v>
      </c>
      <c r="M264" s="925">
        <v>1.3627623425236401E-3</v>
      </c>
    </row>
    <row r="265" spans="1:13" ht="11.25" customHeight="1" x14ac:dyDescent="0.2">
      <c r="A265" s="924" t="s">
        <v>853</v>
      </c>
      <c r="B265" s="924" t="s">
        <v>789</v>
      </c>
      <c r="C265" s="924" t="s">
        <v>1162</v>
      </c>
      <c r="D265" s="924" t="s">
        <v>1163</v>
      </c>
      <c r="E265" s="924" t="s">
        <v>856</v>
      </c>
      <c r="F265" s="924" t="s">
        <v>919</v>
      </c>
      <c r="G265" s="924" t="s">
        <v>911</v>
      </c>
      <c r="H265" s="924" t="s">
        <v>665</v>
      </c>
      <c r="I265" s="924" t="s">
        <v>706</v>
      </c>
      <c r="J265" s="924" t="s">
        <v>859</v>
      </c>
      <c r="K265" s="924" t="s">
        <v>920</v>
      </c>
      <c r="L265" s="925">
        <v>1.2497141724452401</v>
      </c>
      <c r="M265" s="925">
        <v>3.5012396784850401E-4</v>
      </c>
    </row>
    <row r="266" spans="1:13" ht="11.25" customHeight="1" x14ac:dyDescent="0.2">
      <c r="A266" s="924" t="s">
        <v>853</v>
      </c>
      <c r="B266" s="924" t="s">
        <v>789</v>
      </c>
      <c r="C266" s="924" t="s">
        <v>1162</v>
      </c>
      <c r="D266" s="924" t="s">
        <v>1163</v>
      </c>
      <c r="E266" s="924" t="s">
        <v>856</v>
      </c>
      <c r="F266" s="924" t="s">
        <v>1015</v>
      </c>
      <c r="G266" s="924" t="s">
        <v>858</v>
      </c>
      <c r="H266" s="924" t="s">
        <v>836</v>
      </c>
      <c r="I266" s="924" t="s">
        <v>837</v>
      </c>
      <c r="J266" s="924" t="s">
        <v>870</v>
      </c>
      <c r="K266" s="924" t="s">
        <v>1016</v>
      </c>
      <c r="L266" s="925">
        <v>0.51986571040470198</v>
      </c>
      <c r="M266" s="925">
        <v>6.3162393008353596E-6</v>
      </c>
    </row>
    <row r="267" spans="1:13" ht="11.25" customHeight="1" x14ac:dyDescent="0.2">
      <c r="A267" s="924" t="s">
        <v>853</v>
      </c>
      <c r="B267" s="924" t="s">
        <v>789</v>
      </c>
      <c r="C267" s="924" t="s">
        <v>1162</v>
      </c>
      <c r="D267" s="924" t="s">
        <v>1163</v>
      </c>
      <c r="E267" s="924" t="s">
        <v>856</v>
      </c>
      <c r="F267" s="924" t="s">
        <v>1071</v>
      </c>
      <c r="G267" s="924" t="s">
        <v>858</v>
      </c>
      <c r="H267" s="924" t="s">
        <v>836</v>
      </c>
      <c r="I267" s="924" t="s">
        <v>837</v>
      </c>
      <c r="J267" s="924" t="s">
        <v>859</v>
      </c>
      <c r="K267" s="924" t="s">
        <v>1072</v>
      </c>
      <c r="L267" s="925">
        <v>7088.1466827392596</v>
      </c>
      <c r="M267" s="925">
        <v>6.3039859087439296E-2</v>
      </c>
    </row>
    <row r="268" spans="1:13" ht="11.25" customHeight="1" x14ac:dyDescent="0.2">
      <c r="A268" s="924" t="s">
        <v>853</v>
      </c>
      <c r="B268" s="924" t="s">
        <v>789</v>
      </c>
      <c r="C268" s="924" t="s">
        <v>1162</v>
      </c>
      <c r="D268" s="924" t="s">
        <v>1163</v>
      </c>
      <c r="E268" s="924" t="s">
        <v>856</v>
      </c>
      <c r="F268" s="924" t="s">
        <v>921</v>
      </c>
      <c r="G268" s="924" t="s">
        <v>911</v>
      </c>
      <c r="H268" s="924" t="s">
        <v>665</v>
      </c>
      <c r="I268" s="924" t="s">
        <v>706</v>
      </c>
      <c r="J268" s="924" t="s">
        <v>859</v>
      </c>
      <c r="K268" s="924" t="s">
        <v>922</v>
      </c>
      <c r="L268" s="925">
        <v>13.270868599414801</v>
      </c>
      <c r="M268" s="925">
        <v>1.7725257291658599E-3</v>
      </c>
    </row>
    <row r="269" spans="1:13" ht="11.25" customHeight="1" x14ac:dyDescent="0.2">
      <c r="A269" s="924" t="s">
        <v>853</v>
      </c>
      <c r="B269" s="924" t="s">
        <v>789</v>
      </c>
      <c r="C269" s="924" t="s">
        <v>1162</v>
      </c>
      <c r="D269" s="924" t="s">
        <v>1163</v>
      </c>
      <c r="E269" s="924" t="s">
        <v>856</v>
      </c>
      <c r="F269" s="924" t="s">
        <v>923</v>
      </c>
      <c r="G269" s="924" t="s">
        <v>911</v>
      </c>
      <c r="H269" s="924" t="s">
        <v>665</v>
      </c>
      <c r="I269" s="924" t="s">
        <v>706</v>
      </c>
      <c r="J269" s="924" t="s">
        <v>859</v>
      </c>
      <c r="K269" s="924" t="s">
        <v>924</v>
      </c>
      <c r="L269" s="925">
        <v>32.583355277776697</v>
      </c>
      <c r="M269" s="925">
        <v>1.72744163137395E-3</v>
      </c>
    </row>
    <row r="270" spans="1:13" ht="11.25" customHeight="1" x14ac:dyDescent="0.2">
      <c r="A270" s="924" t="s">
        <v>853</v>
      </c>
      <c r="B270" s="924" t="s">
        <v>789</v>
      </c>
      <c r="C270" s="924" t="s">
        <v>1162</v>
      </c>
      <c r="D270" s="924" t="s">
        <v>1163</v>
      </c>
      <c r="E270" s="924" t="s">
        <v>856</v>
      </c>
      <c r="F270" s="924" t="s">
        <v>925</v>
      </c>
      <c r="G270" s="924" t="s">
        <v>911</v>
      </c>
      <c r="H270" s="924" t="s">
        <v>665</v>
      </c>
      <c r="I270" s="924" t="s">
        <v>706</v>
      </c>
      <c r="J270" s="924" t="s">
        <v>859</v>
      </c>
      <c r="K270" s="924" t="s">
        <v>926</v>
      </c>
      <c r="L270" s="925">
        <v>3.44406382739544</v>
      </c>
      <c r="M270" s="925">
        <v>1.5877668897701399E-4</v>
      </c>
    </row>
    <row r="271" spans="1:13" ht="11.25" customHeight="1" x14ac:dyDescent="0.2">
      <c r="A271" s="924" t="s">
        <v>853</v>
      </c>
      <c r="B271" s="924" t="s">
        <v>789</v>
      </c>
      <c r="C271" s="924" t="s">
        <v>1162</v>
      </c>
      <c r="D271" s="924" t="s">
        <v>1163</v>
      </c>
      <c r="E271" s="924" t="s">
        <v>856</v>
      </c>
      <c r="F271" s="924" t="s">
        <v>927</v>
      </c>
      <c r="G271" s="924" t="s">
        <v>911</v>
      </c>
      <c r="H271" s="924" t="s">
        <v>665</v>
      </c>
      <c r="I271" s="924" t="s">
        <v>706</v>
      </c>
      <c r="J271" s="924" t="s">
        <v>859</v>
      </c>
      <c r="K271" s="924" t="s">
        <v>928</v>
      </c>
      <c r="L271" s="925">
        <v>28.002822458743999</v>
      </c>
      <c r="M271" s="925">
        <v>8.3050354987790308E-3</v>
      </c>
    </row>
    <row r="272" spans="1:13" ht="11.25" customHeight="1" x14ac:dyDescent="0.2">
      <c r="A272" s="924" t="s">
        <v>853</v>
      </c>
      <c r="B272" s="924" t="s">
        <v>789</v>
      </c>
      <c r="C272" s="924" t="s">
        <v>1162</v>
      </c>
      <c r="D272" s="924" t="s">
        <v>1163</v>
      </c>
      <c r="E272" s="924" t="s">
        <v>856</v>
      </c>
      <c r="F272" s="924" t="s">
        <v>929</v>
      </c>
      <c r="G272" s="924" t="s">
        <v>911</v>
      </c>
      <c r="H272" s="924" t="s">
        <v>665</v>
      </c>
      <c r="I272" s="924" t="s">
        <v>706</v>
      </c>
      <c r="J272" s="924" t="s">
        <v>859</v>
      </c>
      <c r="K272" s="924" t="s">
        <v>891</v>
      </c>
      <c r="L272" s="925">
        <v>11.5287813991308</v>
      </c>
      <c r="M272" s="925">
        <v>4.6192242662073096E-3</v>
      </c>
    </row>
    <row r="273" spans="1:13" ht="11.25" customHeight="1" x14ac:dyDescent="0.2">
      <c r="A273" s="924" t="s">
        <v>853</v>
      </c>
      <c r="B273" s="924" t="s">
        <v>789</v>
      </c>
      <c r="C273" s="924" t="s">
        <v>1162</v>
      </c>
      <c r="D273" s="924" t="s">
        <v>1163</v>
      </c>
      <c r="E273" s="924" t="s">
        <v>856</v>
      </c>
      <c r="F273" s="924" t="s">
        <v>930</v>
      </c>
      <c r="G273" s="924" t="s">
        <v>911</v>
      </c>
      <c r="H273" s="924" t="s">
        <v>665</v>
      </c>
      <c r="I273" s="924" t="s">
        <v>706</v>
      </c>
      <c r="J273" s="924" t="s">
        <v>863</v>
      </c>
      <c r="K273" s="924" t="s">
        <v>931</v>
      </c>
      <c r="L273" s="925">
        <v>179.83581995964099</v>
      </c>
      <c r="M273" s="925">
        <v>3.6649194502388099E-2</v>
      </c>
    </row>
    <row r="274" spans="1:13" ht="11.25" customHeight="1" x14ac:dyDescent="0.2">
      <c r="A274" s="924" t="s">
        <v>853</v>
      </c>
      <c r="B274" s="924" t="s">
        <v>789</v>
      </c>
      <c r="C274" s="924" t="s">
        <v>1162</v>
      </c>
      <c r="D274" s="924" t="s">
        <v>1163</v>
      </c>
      <c r="E274" s="924" t="s">
        <v>856</v>
      </c>
      <c r="F274" s="924" t="s">
        <v>932</v>
      </c>
      <c r="G274" s="924" t="s">
        <v>911</v>
      </c>
      <c r="H274" s="924" t="s">
        <v>665</v>
      </c>
      <c r="I274" s="924" t="s">
        <v>706</v>
      </c>
      <c r="J274" s="924" t="s">
        <v>863</v>
      </c>
      <c r="K274" s="924" t="s">
        <v>933</v>
      </c>
      <c r="L274" s="925">
        <v>16730.441558837902</v>
      </c>
      <c r="M274" s="925">
        <v>0.80856097210198596</v>
      </c>
    </row>
    <row r="275" spans="1:13" ht="11.25" customHeight="1" x14ac:dyDescent="0.2">
      <c r="A275" s="924" t="s">
        <v>853</v>
      </c>
      <c r="B275" s="924" t="s">
        <v>789</v>
      </c>
      <c r="C275" s="924" t="s">
        <v>1162</v>
      </c>
      <c r="D275" s="924" t="s">
        <v>1163</v>
      </c>
      <c r="E275" s="924" t="s">
        <v>856</v>
      </c>
      <c r="F275" s="924" t="s">
        <v>942</v>
      </c>
      <c r="G275" s="924" t="s">
        <v>911</v>
      </c>
      <c r="H275" s="924" t="s">
        <v>665</v>
      </c>
      <c r="I275" s="924" t="s">
        <v>706</v>
      </c>
      <c r="J275" s="924" t="s">
        <v>870</v>
      </c>
      <c r="K275" s="924" t="s">
        <v>871</v>
      </c>
      <c r="L275" s="925">
        <v>1.2372495952149599E-2</v>
      </c>
      <c r="M275" s="925">
        <v>7.7217761118575401E-6</v>
      </c>
    </row>
    <row r="276" spans="1:13" ht="11.25" customHeight="1" x14ac:dyDescent="0.2">
      <c r="A276" s="924" t="s">
        <v>853</v>
      </c>
      <c r="B276" s="924" t="s">
        <v>789</v>
      </c>
      <c r="C276" s="924" t="s">
        <v>1162</v>
      </c>
      <c r="D276" s="924" t="s">
        <v>1163</v>
      </c>
      <c r="E276" s="924" t="s">
        <v>856</v>
      </c>
      <c r="F276" s="924" t="s">
        <v>936</v>
      </c>
      <c r="G276" s="924" t="s">
        <v>911</v>
      </c>
      <c r="H276" s="924" t="s">
        <v>665</v>
      </c>
      <c r="I276" s="924" t="s">
        <v>706</v>
      </c>
      <c r="J276" s="924" t="s">
        <v>863</v>
      </c>
      <c r="K276" s="924" t="s">
        <v>864</v>
      </c>
      <c r="L276" s="925">
        <v>39.374926388263702</v>
      </c>
      <c r="M276" s="925">
        <v>1.8326859626540701E-3</v>
      </c>
    </row>
    <row r="277" spans="1:13" ht="11.25" customHeight="1" x14ac:dyDescent="0.2">
      <c r="A277" s="924" t="s">
        <v>853</v>
      </c>
      <c r="B277" s="924" t="s">
        <v>789</v>
      </c>
      <c r="C277" s="924" t="s">
        <v>1162</v>
      </c>
      <c r="D277" s="924" t="s">
        <v>1163</v>
      </c>
      <c r="E277" s="924" t="s">
        <v>856</v>
      </c>
      <c r="F277" s="924" t="s">
        <v>861</v>
      </c>
      <c r="G277" s="924" t="s">
        <v>862</v>
      </c>
      <c r="H277" s="924" t="s">
        <v>665</v>
      </c>
      <c r="I277" s="924" t="s">
        <v>787</v>
      </c>
      <c r="J277" s="924" t="s">
        <v>863</v>
      </c>
      <c r="K277" s="924" t="s">
        <v>864</v>
      </c>
      <c r="L277" s="925">
        <v>0.52078428678214606</v>
      </c>
      <c r="M277" s="925">
        <v>2.13980186526896E-3</v>
      </c>
    </row>
    <row r="278" spans="1:13" ht="11.25" customHeight="1" x14ac:dyDescent="0.2">
      <c r="A278" s="924" t="s">
        <v>853</v>
      </c>
      <c r="B278" s="924" t="s">
        <v>789</v>
      </c>
      <c r="C278" s="924" t="s">
        <v>1162</v>
      </c>
      <c r="D278" s="924" t="s">
        <v>1163</v>
      </c>
      <c r="E278" s="924" t="s">
        <v>856</v>
      </c>
      <c r="F278" s="924" t="s">
        <v>939</v>
      </c>
      <c r="G278" s="924" t="s">
        <v>911</v>
      </c>
      <c r="H278" s="924" t="s">
        <v>665</v>
      </c>
      <c r="I278" s="924" t="s">
        <v>706</v>
      </c>
      <c r="J278" s="924" t="s">
        <v>940</v>
      </c>
      <c r="K278" s="924" t="s">
        <v>941</v>
      </c>
      <c r="L278" s="925">
        <v>393.05259680747997</v>
      </c>
      <c r="M278" s="925">
        <v>1.8910143924585999E-2</v>
      </c>
    </row>
    <row r="279" spans="1:13" ht="11.25" customHeight="1" x14ac:dyDescent="0.2">
      <c r="A279" s="924" t="s">
        <v>853</v>
      </c>
      <c r="B279" s="924" t="s">
        <v>789</v>
      </c>
      <c r="C279" s="924" t="s">
        <v>1162</v>
      </c>
      <c r="D279" s="924" t="s">
        <v>1163</v>
      </c>
      <c r="E279" s="924" t="s">
        <v>856</v>
      </c>
      <c r="F279" s="924" t="s">
        <v>943</v>
      </c>
      <c r="G279" s="924" t="s">
        <v>911</v>
      </c>
      <c r="H279" s="924" t="s">
        <v>665</v>
      </c>
      <c r="I279" s="924" t="s">
        <v>706</v>
      </c>
      <c r="J279" s="924" t="s">
        <v>870</v>
      </c>
      <c r="K279" s="924" t="s">
        <v>873</v>
      </c>
      <c r="L279" s="925">
        <v>2.5148927736154299E-2</v>
      </c>
      <c r="M279" s="925">
        <v>1.1420328194233801E-6</v>
      </c>
    </row>
    <row r="280" spans="1:13" ht="11.25" customHeight="1" x14ac:dyDescent="0.2">
      <c r="A280" s="924" t="s">
        <v>853</v>
      </c>
      <c r="B280" s="924" t="s">
        <v>789</v>
      </c>
      <c r="C280" s="924" t="s">
        <v>1162</v>
      </c>
      <c r="D280" s="924" t="s">
        <v>1163</v>
      </c>
      <c r="E280" s="924" t="s">
        <v>856</v>
      </c>
      <c r="F280" s="924" t="s">
        <v>944</v>
      </c>
      <c r="G280" s="924" t="s">
        <v>911</v>
      </c>
      <c r="H280" s="924" t="s">
        <v>665</v>
      </c>
      <c r="I280" s="924" t="s">
        <v>706</v>
      </c>
      <c r="J280" s="924" t="s">
        <v>875</v>
      </c>
      <c r="K280" s="924" t="s">
        <v>876</v>
      </c>
      <c r="L280" s="925">
        <v>583.69226741790806</v>
      </c>
      <c r="M280" s="925">
        <v>0.18454321648459901</v>
      </c>
    </row>
    <row r="281" spans="1:13" ht="11.25" customHeight="1" x14ac:dyDescent="0.2">
      <c r="A281" s="924" t="s">
        <v>853</v>
      </c>
      <c r="B281" s="924" t="s">
        <v>789</v>
      </c>
      <c r="C281" s="924" t="s">
        <v>1162</v>
      </c>
      <c r="D281" s="924" t="s">
        <v>1163</v>
      </c>
      <c r="E281" s="924" t="s">
        <v>856</v>
      </c>
      <c r="F281" s="924" t="s">
        <v>945</v>
      </c>
      <c r="G281" s="924" t="s">
        <v>911</v>
      </c>
      <c r="H281" s="924" t="s">
        <v>665</v>
      </c>
      <c r="I281" s="924" t="s">
        <v>706</v>
      </c>
      <c r="J281" s="924" t="s">
        <v>875</v>
      </c>
      <c r="K281" s="924" t="s">
        <v>878</v>
      </c>
      <c r="L281" s="925">
        <v>128.892580032349</v>
      </c>
      <c r="M281" s="925">
        <v>1.9068363522819699E-2</v>
      </c>
    </row>
    <row r="282" spans="1:13" ht="11.25" customHeight="1" x14ac:dyDescent="0.2">
      <c r="A282" s="924" t="s">
        <v>853</v>
      </c>
      <c r="B282" s="924" t="s">
        <v>789</v>
      </c>
      <c r="C282" s="924" t="s">
        <v>1162</v>
      </c>
      <c r="D282" s="924" t="s">
        <v>1163</v>
      </c>
      <c r="E282" s="924" t="s">
        <v>856</v>
      </c>
      <c r="F282" s="924" t="s">
        <v>946</v>
      </c>
      <c r="G282" s="924" t="s">
        <v>911</v>
      </c>
      <c r="H282" s="924" t="s">
        <v>665</v>
      </c>
      <c r="I282" s="924" t="s">
        <v>706</v>
      </c>
      <c r="J282" s="924" t="s">
        <v>875</v>
      </c>
      <c r="K282" s="924" t="s">
        <v>880</v>
      </c>
      <c r="L282" s="925">
        <v>152.369866847992</v>
      </c>
      <c r="M282" s="925">
        <v>9.6975531323551002E-3</v>
      </c>
    </row>
    <row r="283" spans="1:13" ht="11.25" customHeight="1" x14ac:dyDescent="0.2">
      <c r="A283" s="924" t="s">
        <v>853</v>
      </c>
      <c r="B283" s="924" t="s">
        <v>789</v>
      </c>
      <c r="C283" s="924" t="s">
        <v>1162</v>
      </c>
      <c r="D283" s="924" t="s">
        <v>1163</v>
      </c>
      <c r="E283" s="924" t="s">
        <v>856</v>
      </c>
      <c r="F283" s="924" t="s">
        <v>947</v>
      </c>
      <c r="G283" s="924" t="s">
        <v>911</v>
      </c>
      <c r="H283" s="924" t="s">
        <v>665</v>
      </c>
      <c r="I283" s="924" t="s">
        <v>706</v>
      </c>
      <c r="J283" s="924" t="s">
        <v>875</v>
      </c>
      <c r="K283" s="924" t="s">
        <v>948</v>
      </c>
      <c r="L283" s="925">
        <v>189.387555837631</v>
      </c>
      <c r="M283" s="925">
        <v>1.44727565702851E-2</v>
      </c>
    </row>
    <row r="284" spans="1:13" ht="11.25" customHeight="1" x14ac:dyDescent="0.2">
      <c r="A284" s="924" t="s">
        <v>853</v>
      </c>
      <c r="B284" s="924" t="s">
        <v>789</v>
      </c>
      <c r="C284" s="924" t="s">
        <v>1162</v>
      </c>
      <c r="D284" s="924" t="s">
        <v>1163</v>
      </c>
      <c r="E284" s="924" t="s">
        <v>856</v>
      </c>
      <c r="F284" s="924" t="s">
        <v>949</v>
      </c>
      <c r="G284" s="924" t="s">
        <v>911</v>
      </c>
      <c r="H284" s="924" t="s">
        <v>665</v>
      </c>
      <c r="I284" s="924" t="s">
        <v>706</v>
      </c>
      <c r="J284" s="924" t="s">
        <v>875</v>
      </c>
      <c r="K284" s="924" t="s">
        <v>950</v>
      </c>
      <c r="L284" s="925">
        <v>2.5394605100154899</v>
      </c>
      <c r="M284" s="925">
        <v>5.44669564533251E-4</v>
      </c>
    </row>
    <row r="285" spans="1:13" ht="11.25" customHeight="1" x14ac:dyDescent="0.2">
      <c r="A285" s="924" t="s">
        <v>853</v>
      </c>
      <c r="B285" s="924" t="s">
        <v>789</v>
      </c>
      <c r="C285" s="924" t="s">
        <v>1162</v>
      </c>
      <c r="D285" s="924" t="s">
        <v>1163</v>
      </c>
      <c r="E285" s="924" t="s">
        <v>856</v>
      </c>
      <c r="F285" s="924" t="s">
        <v>951</v>
      </c>
      <c r="G285" s="924" t="s">
        <v>911</v>
      </c>
      <c r="H285" s="924" t="s">
        <v>665</v>
      </c>
      <c r="I285" s="924" t="s">
        <v>706</v>
      </c>
      <c r="J285" s="924" t="s">
        <v>875</v>
      </c>
      <c r="K285" s="924" t="s">
        <v>952</v>
      </c>
      <c r="L285" s="925">
        <v>2.3438846804201598</v>
      </c>
      <c r="M285" s="925">
        <v>1.45739799037869E-4</v>
      </c>
    </row>
    <row r="286" spans="1:13" ht="11.25" customHeight="1" x14ac:dyDescent="0.2">
      <c r="A286" s="924" t="s">
        <v>853</v>
      </c>
      <c r="B286" s="924" t="s">
        <v>789</v>
      </c>
      <c r="C286" s="924" t="s">
        <v>1162</v>
      </c>
      <c r="D286" s="924" t="s">
        <v>1163</v>
      </c>
      <c r="E286" s="924" t="s">
        <v>856</v>
      </c>
      <c r="F286" s="924" t="s">
        <v>890</v>
      </c>
      <c r="G286" s="924" t="s">
        <v>862</v>
      </c>
      <c r="H286" s="924" t="s">
        <v>665</v>
      </c>
      <c r="I286" s="924" t="s">
        <v>787</v>
      </c>
      <c r="J286" s="924" t="s">
        <v>859</v>
      </c>
      <c r="K286" s="924" t="s">
        <v>891</v>
      </c>
      <c r="L286" s="925">
        <v>0.39832717413082702</v>
      </c>
      <c r="M286" s="925">
        <v>1.4179258003423499E-2</v>
      </c>
    </row>
    <row r="287" spans="1:13" ht="11.25" customHeight="1" x14ac:dyDescent="0.2">
      <c r="A287" s="924" t="s">
        <v>853</v>
      </c>
      <c r="B287" s="924" t="s">
        <v>789</v>
      </c>
      <c r="C287" s="924" t="s">
        <v>1162</v>
      </c>
      <c r="D287" s="924" t="s">
        <v>1163</v>
      </c>
      <c r="E287" s="924" t="s">
        <v>856</v>
      </c>
      <c r="F287" s="924" t="s">
        <v>937</v>
      </c>
      <c r="G287" s="924" t="s">
        <v>862</v>
      </c>
      <c r="H287" s="924" t="s">
        <v>665</v>
      </c>
      <c r="I287" s="924" t="s">
        <v>787</v>
      </c>
      <c r="J287" s="924" t="s">
        <v>863</v>
      </c>
      <c r="K287" s="924" t="s">
        <v>933</v>
      </c>
      <c r="L287" s="925">
        <v>1127.82262325287</v>
      </c>
      <c r="M287" s="925">
        <v>4.8038368299603498</v>
      </c>
    </row>
    <row r="288" spans="1:13" ht="11.25" customHeight="1" x14ac:dyDescent="0.2">
      <c r="A288" s="924" t="s">
        <v>853</v>
      </c>
      <c r="B288" s="924" t="s">
        <v>789</v>
      </c>
      <c r="C288" s="924" t="s">
        <v>1162</v>
      </c>
      <c r="D288" s="924" t="s">
        <v>1163</v>
      </c>
      <c r="E288" s="924" t="s">
        <v>856</v>
      </c>
      <c r="F288" s="924" t="s">
        <v>934</v>
      </c>
      <c r="G288" s="924" t="s">
        <v>862</v>
      </c>
      <c r="H288" s="924" t="s">
        <v>665</v>
      </c>
      <c r="I288" s="924" t="s">
        <v>787</v>
      </c>
      <c r="J288" s="924" t="s">
        <v>863</v>
      </c>
      <c r="K288" s="924" t="s">
        <v>935</v>
      </c>
      <c r="L288" s="925">
        <v>0.95560659375041701</v>
      </c>
      <c r="M288" s="925">
        <v>4.0170388529077198E-3</v>
      </c>
    </row>
    <row r="289" spans="1:13" ht="11.25" customHeight="1" x14ac:dyDescent="0.2">
      <c r="A289" s="924" t="s">
        <v>853</v>
      </c>
      <c r="B289" s="924" t="s">
        <v>789</v>
      </c>
      <c r="C289" s="924" t="s">
        <v>1162</v>
      </c>
      <c r="D289" s="924" t="s">
        <v>1163</v>
      </c>
      <c r="E289" s="924" t="s">
        <v>856</v>
      </c>
      <c r="F289" s="924" t="s">
        <v>954</v>
      </c>
      <c r="G289" s="924" t="s">
        <v>911</v>
      </c>
      <c r="H289" s="924" t="s">
        <v>665</v>
      </c>
      <c r="I289" s="924" t="s">
        <v>706</v>
      </c>
      <c r="J289" s="924" t="s">
        <v>863</v>
      </c>
      <c r="K289" s="924" t="s">
        <v>935</v>
      </c>
      <c r="L289" s="925">
        <v>124.83261787891399</v>
      </c>
      <c r="M289" s="925">
        <v>5.8940284652635498E-3</v>
      </c>
    </row>
    <row r="290" spans="1:13" ht="11.25" customHeight="1" x14ac:dyDescent="0.2">
      <c r="A290" s="924" t="s">
        <v>853</v>
      </c>
      <c r="B290" s="924" t="s">
        <v>789</v>
      </c>
      <c r="C290" s="924" t="s">
        <v>1162</v>
      </c>
      <c r="D290" s="924" t="s">
        <v>1163</v>
      </c>
      <c r="E290" s="924" t="s">
        <v>856</v>
      </c>
      <c r="F290" s="924" t="s">
        <v>955</v>
      </c>
      <c r="G290" s="924" t="s">
        <v>858</v>
      </c>
      <c r="H290" s="924" t="s">
        <v>836</v>
      </c>
      <c r="I290" s="924" t="s">
        <v>837</v>
      </c>
      <c r="J290" s="924" t="s">
        <v>956</v>
      </c>
      <c r="K290" s="924" t="s">
        <v>957</v>
      </c>
      <c r="L290" s="925">
        <v>520.39539146423294</v>
      </c>
      <c r="M290" s="925">
        <v>2.98881755196589E-3</v>
      </c>
    </row>
    <row r="291" spans="1:13" ht="11.25" customHeight="1" x14ac:dyDescent="0.2">
      <c r="A291" s="924" t="s">
        <v>853</v>
      </c>
      <c r="B291" s="924" t="s">
        <v>789</v>
      </c>
      <c r="C291" s="924" t="s">
        <v>1162</v>
      </c>
      <c r="D291" s="924" t="s">
        <v>1163</v>
      </c>
      <c r="E291" s="924" t="s">
        <v>856</v>
      </c>
      <c r="F291" s="924" t="s">
        <v>975</v>
      </c>
      <c r="G291" s="924" t="s">
        <v>858</v>
      </c>
      <c r="H291" s="924" t="s">
        <v>836</v>
      </c>
      <c r="I291" s="924" t="s">
        <v>837</v>
      </c>
      <c r="J291" s="924" t="s">
        <v>870</v>
      </c>
      <c r="K291" s="924" t="s">
        <v>976</v>
      </c>
      <c r="L291" s="925">
        <v>1046.7449991702999</v>
      </c>
      <c r="M291" s="925">
        <v>1.56660563267224E-2</v>
      </c>
    </row>
    <row r="292" spans="1:13" ht="11.25" customHeight="1" x14ac:dyDescent="0.2">
      <c r="A292" s="924" t="s">
        <v>853</v>
      </c>
      <c r="B292" s="924" t="s">
        <v>789</v>
      </c>
      <c r="C292" s="924" t="s">
        <v>1162</v>
      </c>
      <c r="D292" s="924" t="s">
        <v>1163</v>
      </c>
      <c r="E292" s="924" t="s">
        <v>856</v>
      </c>
      <c r="F292" s="924" t="s">
        <v>960</v>
      </c>
      <c r="G292" s="924" t="s">
        <v>858</v>
      </c>
      <c r="H292" s="924" t="s">
        <v>836</v>
      </c>
      <c r="I292" s="924" t="s">
        <v>837</v>
      </c>
      <c r="J292" s="924" t="s">
        <v>870</v>
      </c>
      <c r="K292" s="924" t="s">
        <v>961</v>
      </c>
      <c r="L292" s="925">
        <v>7.9641527887433803</v>
      </c>
      <c r="M292" s="925">
        <v>7.0662672632337804E-5</v>
      </c>
    </row>
    <row r="293" spans="1:13" ht="11.25" customHeight="1" x14ac:dyDescent="0.2">
      <c r="A293" s="924" t="s">
        <v>853</v>
      </c>
      <c r="B293" s="924" t="s">
        <v>789</v>
      </c>
      <c r="C293" s="924" t="s">
        <v>1162</v>
      </c>
      <c r="D293" s="924" t="s">
        <v>1163</v>
      </c>
      <c r="E293" s="924" t="s">
        <v>856</v>
      </c>
      <c r="F293" s="924" t="s">
        <v>962</v>
      </c>
      <c r="G293" s="924" t="s">
        <v>858</v>
      </c>
      <c r="H293" s="924" t="s">
        <v>836</v>
      </c>
      <c r="I293" s="924" t="s">
        <v>837</v>
      </c>
      <c r="J293" s="924" t="s">
        <v>870</v>
      </c>
      <c r="K293" s="924" t="s">
        <v>963</v>
      </c>
      <c r="L293" s="925">
        <v>2.2027528379112499E-2</v>
      </c>
      <c r="M293" s="925">
        <v>1.5656236123685901E-7</v>
      </c>
    </row>
    <row r="294" spans="1:13" ht="11.25" customHeight="1" x14ac:dyDescent="0.2">
      <c r="A294" s="924" t="s">
        <v>853</v>
      </c>
      <c r="B294" s="924" t="s">
        <v>789</v>
      </c>
      <c r="C294" s="924" t="s">
        <v>1162</v>
      </c>
      <c r="D294" s="924" t="s">
        <v>1163</v>
      </c>
      <c r="E294" s="924" t="s">
        <v>856</v>
      </c>
      <c r="F294" s="924" t="s">
        <v>964</v>
      </c>
      <c r="G294" s="924" t="s">
        <v>858</v>
      </c>
      <c r="H294" s="924" t="s">
        <v>836</v>
      </c>
      <c r="I294" s="924" t="s">
        <v>837</v>
      </c>
      <c r="J294" s="924" t="s">
        <v>870</v>
      </c>
      <c r="K294" s="924" t="s">
        <v>965</v>
      </c>
      <c r="L294" s="925">
        <v>7.3625761941075298</v>
      </c>
      <c r="M294" s="925">
        <v>6.7599637204374105E-5</v>
      </c>
    </row>
    <row r="295" spans="1:13" ht="11.25" customHeight="1" x14ac:dyDescent="0.2">
      <c r="A295" s="924" t="s">
        <v>853</v>
      </c>
      <c r="B295" s="924" t="s">
        <v>789</v>
      </c>
      <c r="C295" s="924" t="s">
        <v>1162</v>
      </c>
      <c r="D295" s="924" t="s">
        <v>1163</v>
      </c>
      <c r="E295" s="924" t="s">
        <v>856</v>
      </c>
      <c r="F295" s="924" t="s">
        <v>966</v>
      </c>
      <c r="G295" s="924" t="s">
        <v>858</v>
      </c>
      <c r="H295" s="924" t="s">
        <v>836</v>
      </c>
      <c r="I295" s="924" t="s">
        <v>837</v>
      </c>
      <c r="J295" s="924" t="s">
        <v>870</v>
      </c>
      <c r="K295" s="924" t="s">
        <v>871</v>
      </c>
      <c r="L295" s="925">
        <v>20.4866246283054</v>
      </c>
      <c r="M295" s="925">
        <v>1.7801204952849799E-4</v>
      </c>
    </row>
    <row r="296" spans="1:13" ht="11.25" customHeight="1" x14ac:dyDescent="0.2">
      <c r="A296" s="924" t="s">
        <v>853</v>
      </c>
      <c r="B296" s="924" t="s">
        <v>789</v>
      </c>
      <c r="C296" s="924" t="s">
        <v>1162</v>
      </c>
      <c r="D296" s="924" t="s">
        <v>1163</v>
      </c>
      <c r="E296" s="924" t="s">
        <v>856</v>
      </c>
      <c r="F296" s="924" t="s">
        <v>967</v>
      </c>
      <c r="G296" s="924" t="s">
        <v>858</v>
      </c>
      <c r="H296" s="924" t="s">
        <v>836</v>
      </c>
      <c r="I296" s="924" t="s">
        <v>837</v>
      </c>
      <c r="J296" s="924" t="s">
        <v>870</v>
      </c>
      <c r="K296" s="924" t="s">
        <v>873</v>
      </c>
      <c r="L296" s="925">
        <v>15.0992295518517</v>
      </c>
      <c r="M296" s="925">
        <v>2.5508869328127998E-4</v>
      </c>
    </row>
    <row r="297" spans="1:13" ht="11.25" customHeight="1" x14ac:dyDescent="0.2">
      <c r="A297" s="924" t="s">
        <v>853</v>
      </c>
      <c r="B297" s="924" t="s">
        <v>789</v>
      </c>
      <c r="C297" s="924" t="s">
        <v>1162</v>
      </c>
      <c r="D297" s="924" t="s">
        <v>1163</v>
      </c>
      <c r="E297" s="924" t="s">
        <v>856</v>
      </c>
      <c r="F297" s="924" t="s">
        <v>968</v>
      </c>
      <c r="G297" s="924" t="s">
        <v>858</v>
      </c>
      <c r="H297" s="924" t="s">
        <v>836</v>
      </c>
      <c r="I297" s="924" t="s">
        <v>837</v>
      </c>
      <c r="J297" s="924" t="s">
        <v>875</v>
      </c>
      <c r="K297" s="924" t="s">
        <v>876</v>
      </c>
      <c r="L297" s="925">
        <v>4568.6174583435104</v>
      </c>
      <c r="M297" s="925">
        <v>0.122457304347336</v>
      </c>
    </row>
    <row r="298" spans="1:13" ht="11.25" customHeight="1" x14ac:dyDescent="0.2">
      <c r="A298" s="924" t="s">
        <v>853</v>
      </c>
      <c r="B298" s="924" t="s">
        <v>789</v>
      </c>
      <c r="C298" s="924" t="s">
        <v>1162</v>
      </c>
      <c r="D298" s="924" t="s">
        <v>1163</v>
      </c>
      <c r="E298" s="924" t="s">
        <v>856</v>
      </c>
      <c r="F298" s="924" t="s">
        <v>969</v>
      </c>
      <c r="G298" s="924" t="s">
        <v>858</v>
      </c>
      <c r="H298" s="924" t="s">
        <v>836</v>
      </c>
      <c r="I298" s="924" t="s">
        <v>837</v>
      </c>
      <c r="J298" s="924" t="s">
        <v>875</v>
      </c>
      <c r="K298" s="924" t="s">
        <v>878</v>
      </c>
      <c r="L298" s="925">
        <v>1078.2562685012799</v>
      </c>
      <c r="M298" s="925">
        <v>2.8562357426380899E-2</v>
      </c>
    </row>
    <row r="299" spans="1:13" ht="11.25" customHeight="1" x14ac:dyDescent="0.2">
      <c r="A299" s="924" t="s">
        <v>853</v>
      </c>
      <c r="B299" s="924" t="s">
        <v>789</v>
      </c>
      <c r="C299" s="924" t="s">
        <v>1162</v>
      </c>
      <c r="D299" s="924" t="s">
        <v>1163</v>
      </c>
      <c r="E299" s="924" t="s">
        <v>856</v>
      </c>
      <c r="F299" s="924" t="s">
        <v>970</v>
      </c>
      <c r="G299" s="924" t="s">
        <v>858</v>
      </c>
      <c r="H299" s="924" t="s">
        <v>836</v>
      </c>
      <c r="I299" s="924" t="s">
        <v>837</v>
      </c>
      <c r="J299" s="924" t="s">
        <v>875</v>
      </c>
      <c r="K299" s="924" t="s">
        <v>880</v>
      </c>
      <c r="L299" s="925">
        <v>2991.1929206848099</v>
      </c>
      <c r="M299" s="925">
        <v>5.8124081776441003E-2</v>
      </c>
    </row>
    <row r="300" spans="1:13" ht="11.25" customHeight="1" x14ac:dyDescent="0.2">
      <c r="A300" s="924" t="s">
        <v>853</v>
      </c>
      <c r="B300" s="924" t="s">
        <v>789</v>
      </c>
      <c r="C300" s="924" t="s">
        <v>1162</v>
      </c>
      <c r="D300" s="924" t="s">
        <v>1163</v>
      </c>
      <c r="E300" s="924" t="s">
        <v>856</v>
      </c>
      <c r="F300" s="924" t="s">
        <v>971</v>
      </c>
      <c r="G300" s="924" t="s">
        <v>858</v>
      </c>
      <c r="H300" s="924" t="s">
        <v>836</v>
      </c>
      <c r="I300" s="924" t="s">
        <v>837</v>
      </c>
      <c r="J300" s="924" t="s">
        <v>875</v>
      </c>
      <c r="K300" s="924" t="s">
        <v>948</v>
      </c>
      <c r="L300" s="925">
        <v>1520.15932273865</v>
      </c>
      <c r="M300" s="925">
        <v>6.5022448839044997E-2</v>
      </c>
    </row>
    <row r="301" spans="1:13" ht="11.25" customHeight="1" x14ac:dyDescent="0.2">
      <c r="A301" s="924" t="s">
        <v>853</v>
      </c>
      <c r="B301" s="924" t="s">
        <v>789</v>
      </c>
      <c r="C301" s="924" t="s">
        <v>1162</v>
      </c>
      <c r="D301" s="924" t="s">
        <v>1163</v>
      </c>
      <c r="E301" s="924" t="s">
        <v>856</v>
      </c>
      <c r="F301" s="924" t="s">
        <v>917</v>
      </c>
      <c r="G301" s="924" t="s">
        <v>911</v>
      </c>
      <c r="H301" s="924" t="s">
        <v>665</v>
      </c>
      <c r="I301" s="924" t="s">
        <v>706</v>
      </c>
      <c r="J301" s="924" t="s">
        <v>859</v>
      </c>
      <c r="K301" s="924" t="s">
        <v>918</v>
      </c>
      <c r="L301" s="925">
        <v>7.5739860758185404</v>
      </c>
      <c r="M301" s="925">
        <v>2.4455491934531901E-3</v>
      </c>
    </row>
    <row r="302" spans="1:13" ht="11.25" customHeight="1" x14ac:dyDescent="0.2">
      <c r="A302" s="924" t="s">
        <v>853</v>
      </c>
      <c r="B302" s="924" t="s">
        <v>789</v>
      </c>
      <c r="C302" s="924" t="s">
        <v>1162</v>
      </c>
      <c r="D302" s="924" t="s">
        <v>1163</v>
      </c>
      <c r="E302" s="924" t="s">
        <v>856</v>
      </c>
      <c r="F302" s="924" t="s">
        <v>974</v>
      </c>
      <c r="G302" s="924" t="s">
        <v>858</v>
      </c>
      <c r="H302" s="924" t="s">
        <v>836</v>
      </c>
      <c r="I302" s="924" t="s">
        <v>837</v>
      </c>
      <c r="J302" s="924" t="s">
        <v>875</v>
      </c>
      <c r="K302" s="924" t="s">
        <v>952</v>
      </c>
      <c r="L302" s="925">
        <v>129.27782905101799</v>
      </c>
      <c r="M302" s="925">
        <v>2.9208225983552399E-3</v>
      </c>
    </row>
    <row r="303" spans="1:13" ht="11.25" customHeight="1" x14ac:dyDescent="0.2">
      <c r="A303" s="924" t="s">
        <v>853</v>
      </c>
      <c r="B303" s="924" t="s">
        <v>789</v>
      </c>
      <c r="C303" s="924" t="s">
        <v>1162</v>
      </c>
      <c r="D303" s="924" t="s">
        <v>1163</v>
      </c>
      <c r="E303" s="924" t="s">
        <v>856</v>
      </c>
      <c r="F303" s="924" t="s">
        <v>1018</v>
      </c>
      <c r="G303" s="924" t="s">
        <v>858</v>
      </c>
      <c r="H303" s="924" t="s">
        <v>836</v>
      </c>
      <c r="I303" s="924" t="s">
        <v>837</v>
      </c>
      <c r="J303" s="924" t="s">
        <v>870</v>
      </c>
      <c r="K303" s="924" t="s">
        <v>1019</v>
      </c>
      <c r="L303" s="925">
        <v>93.878924459218993</v>
      </c>
      <c r="M303" s="925">
        <v>7.0554056885541205E-4</v>
      </c>
    </row>
    <row r="304" spans="1:13" ht="11.25" customHeight="1" x14ac:dyDescent="0.2">
      <c r="A304" s="924" t="s">
        <v>853</v>
      </c>
      <c r="B304" s="924" t="s">
        <v>789</v>
      </c>
      <c r="C304" s="924" t="s">
        <v>1162</v>
      </c>
      <c r="D304" s="924" t="s">
        <v>1163</v>
      </c>
      <c r="E304" s="924" t="s">
        <v>856</v>
      </c>
      <c r="F304" s="924" t="s">
        <v>980</v>
      </c>
      <c r="G304" s="924" t="s">
        <v>981</v>
      </c>
      <c r="H304" s="924" t="s">
        <v>835</v>
      </c>
      <c r="I304" s="924" t="s">
        <v>839</v>
      </c>
      <c r="J304" s="924" t="s">
        <v>982</v>
      </c>
      <c r="K304" s="924" t="s">
        <v>983</v>
      </c>
      <c r="L304" s="925">
        <v>6098.4377717971802</v>
      </c>
      <c r="M304" s="925">
        <v>6.95580785162747</v>
      </c>
    </row>
    <row r="305" spans="1:13" ht="11.25" customHeight="1" x14ac:dyDescent="0.2">
      <c r="A305" s="924" t="s">
        <v>853</v>
      </c>
      <c r="B305" s="924" t="s">
        <v>789</v>
      </c>
      <c r="C305" s="924" t="s">
        <v>1162</v>
      </c>
      <c r="D305" s="924" t="s">
        <v>1163</v>
      </c>
      <c r="E305" s="924" t="s">
        <v>856</v>
      </c>
      <c r="F305" s="924" t="s">
        <v>984</v>
      </c>
      <c r="G305" s="924" t="s">
        <v>981</v>
      </c>
      <c r="H305" s="924" t="s">
        <v>835</v>
      </c>
      <c r="I305" s="924" t="s">
        <v>839</v>
      </c>
      <c r="J305" s="924" t="s">
        <v>982</v>
      </c>
      <c r="K305" s="924" t="s">
        <v>985</v>
      </c>
      <c r="L305" s="925">
        <v>2576.4018888473502</v>
      </c>
      <c r="M305" s="925">
        <v>2.8739488497376402</v>
      </c>
    </row>
    <row r="306" spans="1:13" ht="11.25" customHeight="1" x14ac:dyDescent="0.2">
      <c r="A306" s="924" t="s">
        <v>853</v>
      </c>
      <c r="B306" s="924" t="s">
        <v>789</v>
      </c>
      <c r="C306" s="924" t="s">
        <v>1162</v>
      </c>
      <c r="D306" s="924" t="s">
        <v>1163</v>
      </c>
      <c r="E306" s="924" t="s">
        <v>856</v>
      </c>
      <c r="F306" s="924" t="s">
        <v>986</v>
      </c>
      <c r="G306" s="924" t="s">
        <v>981</v>
      </c>
      <c r="H306" s="924" t="s">
        <v>835</v>
      </c>
      <c r="I306" s="924" t="s">
        <v>839</v>
      </c>
      <c r="J306" s="924" t="s">
        <v>987</v>
      </c>
      <c r="K306" s="924" t="s">
        <v>988</v>
      </c>
      <c r="L306" s="925">
        <v>4805.4623193740799</v>
      </c>
      <c r="M306" s="925">
        <v>2.4256102386862</v>
      </c>
    </row>
    <row r="307" spans="1:13" ht="11.25" customHeight="1" x14ac:dyDescent="0.2">
      <c r="A307" s="924" t="s">
        <v>853</v>
      </c>
      <c r="B307" s="924" t="s">
        <v>789</v>
      </c>
      <c r="C307" s="924" t="s">
        <v>1162</v>
      </c>
      <c r="D307" s="924" t="s">
        <v>1163</v>
      </c>
      <c r="E307" s="924" t="s">
        <v>856</v>
      </c>
      <c r="F307" s="924" t="s">
        <v>989</v>
      </c>
      <c r="G307" s="924" t="s">
        <v>990</v>
      </c>
      <c r="H307" s="924" t="s">
        <v>836</v>
      </c>
      <c r="I307" s="924" t="s">
        <v>839</v>
      </c>
      <c r="J307" s="924" t="s">
        <v>224</v>
      </c>
      <c r="K307" s="924" t="s">
        <v>988</v>
      </c>
      <c r="L307" s="925">
        <v>3784.4253711700399</v>
      </c>
      <c r="M307" s="925">
        <v>0.12885109080365001</v>
      </c>
    </row>
    <row r="308" spans="1:13" ht="11.25" customHeight="1" x14ac:dyDescent="0.2">
      <c r="A308" s="924" t="s">
        <v>853</v>
      </c>
      <c r="B308" s="924" t="s">
        <v>789</v>
      </c>
      <c r="C308" s="924" t="s">
        <v>1162</v>
      </c>
      <c r="D308" s="924" t="s">
        <v>1163</v>
      </c>
      <c r="E308" s="924" t="s">
        <v>856</v>
      </c>
      <c r="F308" s="924" t="s">
        <v>991</v>
      </c>
      <c r="G308" s="924" t="s">
        <v>990</v>
      </c>
      <c r="H308" s="924" t="s">
        <v>836</v>
      </c>
      <c r="I308" s="924" t="s">
        <v>839</v>
      </c>
      <c r="J308" s="924" t="s">
        <v>224</v>
      </c>
      <c r="K308" s="924" t="s">
        <v>983</v>
      </c>
      <c r="L308" s="925">
        <v>12.339919451624199</v>
      </c>
      <c r="M308" s="925">
        <v>7.3685746938956199E-4</v>
      </c>
    </row>
    <row r="309" spans="1:13" ht="11.25" customHeight="1" x14ac:dyDescent="0.2">
      <c r="A309" s="924" t="s">
        <v>853</v>
      </c>
      <c r="B309" s="924" t="s">
        <v>789</v>
      </c>
      <c r="C309" s="924" t="s">
        <v>1162</v>
      </c>
      <c r="D309" s="924" t="s">
        <v>1163</v>
      </c>
      <c r="E309" s="924" t="s">
        <v>856</v>
      </c>
      <c r="F309" s="924" t="s">
        <v>992</v>
      </c>
      <c r="G309" s="924" t="s">
        <v>858</v>
      </c>
      <c r="H309" s="924" t="s">
        <v>836</v>
      </c>
      <c r="I309" s="924" t="s">
        <v>834</v>
      </c>
      <c r="J309" s="924" t="s">
        <v>224</v>
      </c>
      <c r="K309" s="924" t="s">
        <v>993</v>
      </c>
      <c r="L309" s="925">
        <v>136.50037407875101</v>
      </c>
      <c r="M309" s="925">
        <v>5.3123147761766597E-3</v>
      </c>
    </row>
    <row r="310" spans="1:13" ht="11.25" customHeight="1" x14ac:dyDescent="0.2">
      <c r="A310" s="924" t="s">
        <v>853</v>
      </c>
      <c r="B310" s="924" t="s">
        <v>789</v>
      </c>
      <c r="C310" s="924" t="s">
        <v>1162</v>
      </c>
      <c r="D310" s="924" t="s">
        <v>1163</v>
      </c>
      <c r="E310" s="924" t="s">
        <v>856</v>
      </c>
      <c r="F310" s="924" t="s">
        <v>994</v>
      </c>
      <c r="G310" s="924" t="s">
        <v>981</v>
      </c>
      <c r="H310" s="924" t="s">
        <v>835</v>
      </c>
      <c r="I310" s="924" t="s">
        <v>834</v>
      </c>
      <c r="J310" s="924" t="s">
        <v>995</v>
      </c>
      <c r="K310" s="924" t="s">
        <v>993</v>
      </c>
      <c r="L310" s="925">
        <v>8.0541930496692693</v>
      </c>
      <c r="M310" s="925">
        <v>5.22422649785881E-3</v>
      </c>
    </row>
    <row r="311" spans="1:13" ht="11.25" customHeight="1" x14ac:dyDescent="0.2">
      <c r="A311" s="924" t="s">
        <v>853</v>
      </c>
      <c r="B311" s="924" t="s">
        <v>789</v>
      </c>
      <c r="C311" s="924" t="s">
        <v>1162</v>
      </c>
      <c r="D311" s="924" t="s">
        <v>1163</v>
      </c>
      <c r="E311" s="924" t="s">
        <v>856</v>
      </c>
      <c r="F311" s="924" t="s">
        <v>996</v>
      </c>
      <c r="G311" s="924" t="s">
        <v>911</v>
      </c>
      <c r="H311" s="924" t="s">
        <v>665</v>
      </c>
      <c r="I311" s="924" t="s">
        <v>834</v>
      </c>
      <c r="J311" s="924" t="s">
        <v>706</v>
      </c>
      <c r="K311" s="924" t="s">
        <v>993</v>
      </c>
      <c r="L311" s="925">
        <v>0.241485465550795</v>
      </c>
      <c r="M311" s="925">
        <v>2.9939521013489001E-5</v>
      </c>
    </row>
    <row r="312" spans="1:13" ht="11.25" customHeight="1" x14ac:dyDescent="0.2">
      <c r="A312" s="924" t="s">
        <v>853</v>
      </c>
      <c r="B312" s="924" t="s">
        <v>789</v>
      </c>
      <c r="C312" s="924" t="s">
        <v>1162</v>
      </c>
      <c r="D312" s="924" t="s">
        <v>1163</v>
      </c>
      <c r="E312" s="924" t="s">
        <v>1164</v>
      </c>
      <c r="F312" s="924" t="s">
        <v>1165</v>
      </c>
      <c r="G312" s="924" t="s">
        <v>981</v>
      </c>
      <c r="H312" s="924" t="s">
        <v>835</v>
      </c>
      <c r="I312" s="924" t="s">
        <v>1040</v>
      </c>
      <c r="J312" s="924" t="s">
        <v>1166</v>
      </c>
      <c r="K312" s="924" t="s">
        <v>1166</v>
      </c>
      <c r="L312" s="925">
        <v>388.29216957092302</v>
      </c>
      <c r="M312" s="925">
        <v>0.111501757055521</v>
      </c>
    </row>
    <row r="313" spans="1:13" ht="11.25" customHeight="1" x14ac:dyDescent="0.2">
      <c r="A313" s="924" t="s">
        <v>853</v>
      </c>
      <c r="B313" s="924" t="s">
        <v>789</v>
      </c>
      <c r="C313" s="924" t="s">
        <v>1162</v>
      </c>
      <c r="D313" s="924" t="s">
        <v>1163</v>
      </c>
      <c r="E313" s="924" t="s">
        <v>1164</v>
      </c>
      <c r="F313" s="924" t="s">
        <v>1167</v>
      </c>
      <c r="G313" s="924" t="s">
        <v>911</v>
      </c>
      <c r="H313" s="924" t="s">
        <v>665</v>
      </c>
      <c r="I313" s="924" t="s">
        <v>706</v>
      </c>
      <c r="J313" s="924" t="s">
        <v>1166</v>
      </c>
      <c r="K313" s="924" t="s">
        <v>1166</v>
      </c>
      <c r="L313" s="925">
        <v>216.604658126831</v>
      </c>
      <c r="M313" s="925">
        <v>1.0039831962785699E-2</v>
      </c>
    </row>
    <row r="314" spans="1:13" ht="11.25" customHeight="1" x14ac:dyDescent="0.2">
      <c r="A314" s="924" t="s">
        <v>853</v>
      </c>
      <c r="B314" s="924" t="s">
        <v>789</v>
      </c>
      <c r="C314" s="924" t="s">
        <v>1162</v>
      </c>
      <c r="D314" s="924" t="s">
        <v>1163</v>
      </c>
      <c r="E314" s="924" t="s">
        <v>856</v>
      </c>
      <c r="F314" s="924" t="s">
        <v>1134</v>
      </c>
      <c r="G314" s="924" t="s">
        <v>981</v>
      </c>
      <c r="H314" s="924" t="s">
        <v>835</v>
      </c>
      <c r="I314" s="924" t="s">
        <v>1040</v>
      </c>
      <c r="J314" s="924" t="s">
        <v>863</v>
      </c>
      <c r="K314" s="924" t="s">
        <v>933</v>
      </c>
      <c r="L314" s="925">
        <v>1285.8433303833001</v>
      </c>
      <c r="M314" s="925">
        <v>9.1003568726591794E-2</v>
      </c>
    </row>
    <row r="315" spans="1:13" ht="11.25" customHeight="1" x14ac:dyDescent="0.2">
      <c r="A315" s="924" t="s">
        <v>853</v>
      </c>
      <c r="B315" s="924" t="s">
        <v>789</v>
      </c>
      <c r="C315" s="924" t="s">
        <v>1162</v>
      </c>
      <c r="D315" s="924" t="s">
        <v>1163</v>
      </c>
      <c r="E315" s="924" t="s">
        <v>856</v>
      </c>
      <c r="F315" s="924" t="s">
        <v>1000</v>
      </c>
      <c r="G315" s="924" t="s">
        <v>858</v>
      </c>
      <c r="H315" s="924" t="s">
        <v>836</v>
      </c>
      <c r="I315" s="924" t="s">
        <v>837</v>
      </c>
      <c r="J315" s="924" t="s">
        <v>875</v>
      </c>
      <c r="K315" s="924" t="s">
        <v>950</v>
      </c>
      <c r="L315" s="925">
        <v>146.08879899978601</v>
      </c>
      <c r="M315" s="925">
        <v>3.43147329562044E-3</v>
      </c>
    </row>
    <row r="316" spans="1:13" ht="11.25" customHeight="1" x14ac:dyDescent="0.2">
      <c r="A316" s="924" t="s">
        <v>853</v>
      </c>
      <c r="B316" s="924" t="s">
        <v>789</v>
      </c>
      <c r="C316" s="924" t="s">
        <v>1162</v>
      </c>
      <c r="D316" s="924" t="s">
        <v>1163</v>
      </c>
      <c r="E316" s="924" t="s">
        <v>856</v>
      </c>
      <c r="F316" s="924" t="s">
        <v>1001</v>
      </c>
      <c r="G316" s="924" t="s">
        <v>858</v>
      </c>
      <c r="H316" s="924" t="s">
        <v>836</v>
      </c>
      <c r="I316" s="924" t="s">
        <v>837</v>
      </c>
      <c r="J316" s="924" t="s">
        <v>863</v>
      </c>
      <c r="K316" s="924" t="s">
        <v>915</v>
      </c>
      <c r="L316" s="925">
        <v>74.787071585655198</v>
      </c>
      <c r="M316" s="925">
        <v>2.28506328755884E-3</v>
      </c>
    </row>
    <row r="317" spans="1:13" ht="11.25" customHeight="1" x14ac:dyDescent="0.2">
      <c r="A317" s="924" t="s">
        <v>853</v>
      </c>
      <c r="B317" s="924" t="s">
        <v>789</v>
      </c>
      <c r="C317" s="924" t="s">
        <v>1162</v>
      </c>
      <c r="D317" s="924" t="s">
        <v>1163</v>
      </c>
      <c r="E317" s="924" t="s">
        <v>856</v>
      </c>
      <c r="F317" s="924" t="s">
        <v>1002</v>
      </c>
      <c r="G317" s="924" t="s">
        <v>858</v>
      </c>
      <c r="H317" s="924" t="s">
        <v>836</v>
      </c>
      <c r="I317" s="924" t="s">
        <v>837</v>
      </c>
      <c r="J317" s="924" t="s">
        <v>859</v>
      </c>
      <c r="K317" s="924" t="s">
        <v>922</v>
      </c>
      <c r="L317" s="925">
        <v>2651.7133140564001</v>
      </c>
      <c r="M317" s="925">
        <v>3.031713445489E-2</v>
      </c>
    </row>
    <row r="318" spans="1:13" ht="11.25" customHeight="1" x14ac:dyDescent="0.2">
      <c r="A318" s="924" t="s">
        <v>853</v>
      </c>
      <c r="B318" s="924" t="s">
        <v>789</v>
      </c>
      <c r="C318" s="924" t="s">
        <v>1162</v>
      </c>
      <c r="D318" s="924" t="s">
        <v>1163</v>
      </c>
      <c r="E318" s="924" t="s">
        <v>856</v>
      </c>
      <c r="F318" s="924" t="s">
        <v>1003</v>
      </c>
      <c r="G318" s="924" t="s">
        <v>858</v>
      </c>
      <c r="H318" s="924" t="s">
        <v>836</v>
      </c>
      <c r="I318" s="924" t="s">
        <v>837</v>
      </c>
      <c r="J318" s="924" t="s">
        <v>859</v>
      </c>
      <c r="K318" s="924" t="s">
        <v>924</v>
      </c>
      <c r="L318" s="925">
        <v>9015.8577194213904</v>
      </c>
      <c r="M318" s="925">
        <v>8.5991364076107898E-2</v>
      </c>
    </row>
    <row r="319" spans="1:13" ht="11.25" customHeight="1" x14ac:dyDescent="0.2">
      <c r="A319" s="924" t="s">
        <v>853</v>
      </c>
      <c r="B319" s="924" t="s">
        <v>789</v>
      </c>
      <c r="C319" s="924" t="s">
        <v>1162</v>
      </c>
      <c r="D319" s="924" t="s">
        <v>1163</v>
      </c>
      <c r="E319" s="924" t="s">
        <v>856</v>
      </c>
      <c r="F319" s="924" t="s">
        <v>1004</v>
      </c>
      <c r="G319" s="924" t="s">
        <v>858</v>
      </c>
      <c r="H319" s="924" t="s">
        <v>836</v>
      </c>
      <c r="I319" s="924" t="s">
        <v>837</v>
      </c>
      <c r="J319" s="924" t="s">
        <v>859</v>
      </c>
      <c r="K319" s="924" t="s">
        <v>926</v>
      </c>
      <c r="L319" s="925">
        <v>5463.9402694702103</v>
      </c>
      <c r="M319" s="925">
        <v>0.222970866314427</v>
      </c>
    </row>
    <row r="320" spans="1:13" ht="11.25" customHeight="1" x14ac:dyDescent="0.2">
      <c r="A320" s="924" t="s">
        <v>853</v>
      </c>
      <c r="B320" s="924" t="s">
        <v>789</v>
      </c>
      <c r="C320" s="924" t="s">
        <v>1162</v>
      </c>
      <c r="D320" s="924" t="s">
        <v>1163</v>
      </c>
      <c r="E320" s="924" t="s">
        <v>856</v>
      </c>
      <c r="F320" s="924" t="s">
        <v>1005</v>
      </c>
      <c r="G320" s="924" t="s">
        <v>858</v>
      </c>
      <c r="H320" s="924" t="s">
        <v>836</v>
      </c>
      <c r="I320" s="924" t="s">
        <v>837</v>
      </c>
      <c r="J320" s="924" t="s">
        <v>859</v>
      </c>
      <c r="K320" s="924" t="s">
        <v>1006</v>
      </c>
      <c r="L320" s="925">
        <v>8246.6776733398401</v>
      </c>
      <c r="M320" s="925">
        <v>6.3874724085508205E-2</v>
      </c>
    </row>
    <row r="321" spans="1:13" ht="11.25" customHeight="1" x14ac:dyDescent="0.2">
      <c r="A321" s="924" t="s">
        <v>853</v>
      </c>
      <c r="B321" s="924" t="s">
        <v>789</v>
      </c>
      <c r="C321" s="924" t="s">
        <v>1162</v>
      </c>
      <c r="D321" s="924" t="s">
        <v>1163</v>
      </c>
      <c r="E321" s="924" t="s">
        <v>856</v>
      </c>
      <c r="F321" s="924" t="s">
        <v>1007</v>
      </c>
      <c r="G321" s="924" t="s">
        <v>858</v>
      </c>
      <c r="H321" s="924" t="s">
        <v>836</v>
      </c>
      <c r="I321" s="924" t="s">
        <v>837</v>
      </c>
      <c r="J321" s="924" t="s">
        <v>859</v>
      </c>
      <c r="K321" s="924" t="s">
        <v>928</v>
      </c>
      <c r="L321" s="925">
        <v>3796.6446418762198</v>
      </c>
      <c r="M321" s="925">
        <v>0.16555448859435301</v>
      </c>
    </row>
    <row r="322" spans="1:13" ht="11.25" customHeight="1" x14ac:dyDescent="0.2">
      <c r="A322" s="924" t="s">
        <v>853</v>
      </c>
      <c r="B322" s="924" t="s">
        <v>789</v>
      </c>
      <c r="C322" s="924" t="s">
        <v>1162</v>
      </c>
      <c r="D322" s="924" t="s">
        <v>1163</v>
      </c>
      <c r="E322" s="924" t="s">
        <v>856</v>
      </c>
      <c r="F322" s="924" t="s">
        <v>1008</v>
      </c>
      <c r="G322" s="924" t="s">
        <v>858</v>
      </c>
      <c r="H322" s="924" t="s">
        <v>836</v>
      </c>
      <c r="I322" s="924" t="s">
        <v>837</v>
      </c>
      <c r="J322" s="924" t="s">
        <v>859</v>
      </c>
      <c r="K322" s="924" t="s">
        <v>1009</v>
      </c>
      <c r="L322" s="925">
        <v>885.07600021362305</v>
      </c>
      <c r="M322" s="925">
        <v>7.2104426438954804E-3</v>
      </c>
    </row>
    <row r="323" spans="1:13" ht="11.25" customHeight="1" x14ac:dyDescent="0.2">
      <c r="A323" s="924" t="s">
        <v>853</v>
      </c>
      <c r="B323" s="924" t="s">
        <v>789</v>
      </c>
      <c r="C323" s="924" t="s">
        <v>1162</v>
      </c>
      <c r="D323" s="924" t="s">
        <v>1163</v>
      </c>
      <c r="E323" s="924" t="s">
        <v>856</v>
      </c>
      <c r="F323" s="924" t="s">
        <v>1010</v>
      </c>
      <c r="G323" s="924" t="s">
        <v>858</v>
      </c>
      <c r="H323" s="924" t="s">
        <v>836</v>
      </c>
      <c r="I323" s="924" t="s">
        <v>837</v>
      </c>
      <c r="J323" s="924" t="s">
        <v>859</v>
      </c>
      <c r="K323" s="924" t="s">
        <v>1011</v>
      </c>
      <c r="L323" s="925">
        <v>11.615942314267199</v>
      </c>
      <c r="M323" s="925">
        <v>5.3449919010972703E-4</v>
      </c>
    </row>
    <row r="324" spans="1:13" ht="11.25" customHeight="1" x14ac:dyDescent="0.2">
      <c r="A324" s="924" t="s">
        <v>853</v>
      </c>
      <c r="B324" s="924" t="s">
        <v>789</v>
      </c>
      <c r="C324" s="924" t="s">
        <v>1162</v>
      </c>
      <c r="D324" s="924" t="s">
        <v>1163</v>
      </c>
      <c r="E324" s="924" t="s">
        <v>856</v>
      </c>
      <c r="F324" s="924" t="s">
        <v>1012</v>
      </c>
      <c r="G324" s="924" t="s">
        <v>858</v>
      </c>
      <c r="H324" s="924" t="s">
        <v>836</v>
      </c>
      <c r="I324" s="924" t="s">
        <v>837</v>
      </c>
      <c r="J324" s="924" t="s">
        <v>859</v>
      </c>
      <c r="K324" s="924" t="s">
        <v>891</v>
      </c>
      <c r="L324" s="925">
        <v>851.28549003601097</v>
      </c>
      <c r="M324" s="925">
        <v>1.1283146614005099E-2</v>
      </c>
    </row>
    <row r="325" spans="1:13" ht="11.25" customHeight="1" x14ac:dyDescent="0.2">
      <c r="A325" s="924" t="s">
        <v>853</v>
      </c>
      <c r="B325" s="924" t="s">
        <v>789</v>
      </c>
      <c r="C325" s="924" t="s">
        <v>1162</v>
      </c>
      <c r="D325" s="924" t="s">
        <v>1163</v>
      </c>
      <c r="E325" s="924" t="s">
        <v>856</v>
      </c>
      <c r="F325" s="924" t="s">
        <v>1013</v>
      </c>
      <c r="G325" s="924" t="s">
        <v>858</v>
      </c>
      <c r="H325" s="924" t="s">
        <v>836</v>
      </c>
      <c r="I325" s="924" t="s">
        <v>837</v>
      </c>
      <c r="J325" s="924" t="s">
        <v>863</v>
      </c>
      <c r="K325" s="924" t="s">
        <v>931</v>
      </c>
      <c r="L325" s="925">
        <v>301.92973041534401</v>
      </c>
      <c r="M325" s="925">
        <v>1.10366206533854E-2</v>
      </c>
    </row>
    <row r="326" spans="1:13" ht="11.25" customHeight="1" x14ac:dyDescent="0.2">
      <c r="A326" s="924" t="s">
        <v>853</v>
      </c>
      <c r="B326" s="924" t="s">
        <v>789</v>
      </c>
      <c r="C326" s="924" t="s">
        <v>1162</v>
      </c>
      <c r="D326" s="924" t="s">
        <v>1163</v>
      </c>
      <c r="E326" s="924" t="s">
        <v>856</v>
      </c>
      <c r="F326" s="924" t="s">
        <v>1014</v>
      </c>
      <c r="G326" s="924" t="s">
        <v>858</v>
      </c>
      <c r="H326" s="924" t="s">
        <v>836</v>
      </c>
      <c r="I326" s="924" t="s">
        <v>837</v>
      </c>
      <c r="J326" s="924" t="s">
        <v>863</v>
      </c>
      <c r="K326" s="924" t="s">
        <v>933</v>
      </c>
      <c r="L326" s="925">
        <v>4374.10446929932</v>
      </c>
      <c r="M326" s="925">
        <v>3.09666715543244E-2</v>
      </c>
    </row>
    <row r="327" spans="1:13" ht="11.25" customHeight="1" x14ac:dyDescent="0.2">
      <c r="A327" s="924" t="s">
        <v>853</v>
      </c>
      <c r="B327" s="924" t="s">
        <v>789</v>
      </c>
      <c r="C327" s="924" t="s">
        <v>1162</v>
      </c>
      <c r="D327" s="924" t="s">
        <v>1163</v>
      </c>
      <c r="E327" s="924" t="s">
        <v>856</v>
      </c>
      <c r="F327" s="924" t="s">
        <v>958</v>
      </c>
      <c r="G327" s="924" t="s">
        <v>858</v>
      </c>
      <c r="H327" s="924" t="s">
        <v>836</v>
      </c>
      <c r="I327" s="924" t="s">
        <v>837</v>
      </c>
      <c r="J327" s="924" t="s">
        <v>870</v>
      </c>
      <c r="K327" s="924" t="s">
        <v>959</v>
      </c>
      <c r="L327" s="925">
        <v>0.109199324913789</v>
      </c>
      <c r="M327" s="925">
        <v>1.0176526698581199E-6</v>
      </c>
    </row>
    <row r="328" spans="1:13" ht="11.25" customHeight="1" x14ac:dyDescent="0.2">
      <c r="A328" s="924" t="s">
        <v>853</v>
      </c>
      <c r="B328" s="924" t="s">
        <v>789</v>
      </c>
      <c r="C328" s="924" t="s">
        <v>1162</v>
      </c>
      <c r="D328" s="924" t="s">
        <v>1163</v>
      </c>
      <c r="E328" s="924" t="s">
        <v>856</v>
      </c>
      <c r="F328" s="924" t="s">
        <v>1017</v>
      </c>
      <c r="G328" s="924" t="s">
        <v>858</v>
      </c>
      <c r="H328" s="924" t="s">
        <v>836</v>
      </c>
      <c r="I328" s="924" t="s">
        <v>837</v>
      </c>
      <c r="J328" s="924" t="s">
        <v>863</v>
      </c>
      <c r="K328" s="924" t="s">
        <v>864</v>
      </c>
      <c r="L328" s="925">
        <v>1937.7088966369599</v>
      </c>
      <c r="M328" s="925">
        <v>2.6279194240032701E-2</v>
      </c>
    </row>
    <row r="329" spans="1:13" ht="11.25" customHeight="1" x14ac:dyDescent="0.2">
      <c r="A329" s="924" t="s">
        <v>853</v>
      </c>
      <c r="B329" s="924" t="s">
        <v>789</v>
      </c>
      <c r="C329" s="924" t="s">
        <v>1162</v>
      </c>
      <c r="D329" s="924" t="s">
        <v>1163</v>
      </c>
      <c r="E329" s="924" t="s">
        <v>856</v>
      </c>
      <c r="F329" s="924" t="s">
        <v>953</v>
      </c>
      <c r="G329" s="924" t="s">
        <v>858</v>
      </c>
      <c r="H329" s="924" t="s">
        <v>836</v>
      </c>
      <c r="I329" s="924" t="s">
        <v>837</v>
      </c>
      <c r="J329" s="924" t="s">
        <v>859</v>
      </c>
      <c r="K329" s="924" t="s">
        <v>920</v>
      </c>
      <c r="L329" s="925">
        <v>333.42565202713001</v>
      </c>
      <c r="M329" s="925">
        <v>4.3007765774518703E-3</v>
      </c>
    </row>
    <row r="330" spans="1:13" ht="11.25" customHeight="1" x14ac:dyDescent="0.2">
      <c r="A330" s="924" t="s">
        <v>853</v>
      </c>
      <c r="B330" s="924" t="s">
        <v>789</v>
      </c>
      <c r="C330" s="924" t="s">
        <v>1162</v>
      </c>
      <c r="D330" s="924" t="s">
        <v>1163</v>
      </c>
      <c r="E330" s="924" t="s">
        <v>856</v>
      </c>
      <c r="F330" s="924" t="s">
        <v>1020</v>
      </c>
      <c r="G330" s="924" t="s">
        <v>858</v>
      </c>
      <c r="H330" s="924" t="s">
        <v>836</v>
      </c>
      <c r="I330" s="924" t="s">
        <v>837</v>
      </c>
      <c r="J330" s="924" t="s">
        <v>863</v>
      </c>
      <c r="K330" s="924" t="s">
        <v>866</v>
      </c>
      <c r="L330" s="925">
        <v>10110.500289916999</v>
      </c>
      <c r="M330" s="925">
        <v>0.24540780678034901</v>
      </c>
    </row>
    <row r="331" spans="1:13" ht="11.25" customHeight="1" x14ac:dyDescent="0.2">
      <c r="A331" s="924" t="s">
        <v>853</v>
      </c>
      <c r="B331" s="924" t="s">
        <v>789</v>
      </c>
      <c r="C331" s="924" t="s">
        <v>1162</v>
      </c>
      <c r="D331" s="924" t="s">
        <v>1163</v>
      </c>
      <c r="E331" s="924" t="s">
        <v>856</v>
      </c>
      <c r="F331" s="924" t="s">
        <v>1021</v>
      </c>
      <c r="G331" s="924" t="s">
        <v>858</v>
      </c>
      <c r="H331" s="924" t="s">
        <v>836</v>
      </c>
      <c r="I331" s="924" t="s">
        <v>837</v>
      </c>
      <c r="J331" s="924" t="s">
        <v>863</v>
      </c>
      <c r="K331" s="924" t="s">
        <v>868</v>
      </c>
      <c r="L331" s="925">
        <v>2756.7777976989701</v>
      </c>
      <c r="M331" s="925">
        <v>1.4818172315699501E-2</v>
      </c>
    </row>
    <row r="332" spans="1:13" ht="11.25" customHeight="1" x14ac:dyDescent="0.2">
      <c r="A332" s="924" t="s">
        <v>853</v>
      </c>
      <c r="B332" s="924" t="s">
        <v>789</v>
      </c>
      <c r="C332" s="924" t="s">
        <v>1162</v>
      </c>
      <c r="D332" s="924" t="s">
        <v>1163</v>
      </c>
      <c r="E332" s="924" t="s">
        <v>856</v>
      </c>
      <c r="F332" s="924" t="s">
        <v>1022</v>
      </c>
      <c r="G332" s="924" t="s">
        <v>858</v>
      </c>
      <c r="H332" s="924" t="s">
        <v>836</v>
      </c>
      <c r="I332" s="924" t="s">
        <v>837</v>
      </c>
      <c r="J332" s="924" t="s">
        <v>940</v>
      </c>
      <c r="K332" s="924" t="s">
        <v>1023</v>
      </c>
      <c r="L332" s="925">
        <v>0.46237595647107799</v>
      </c>
      <c r="M332" s="925">
        <v>2.07694964935445E-5</v>
      </c>
    </row>
    <row r="333" spans="1:13" ht="11.25" customHeight="1" x14ac:dyDescent="0.2">
      <c r="A333" s="924" t="s">
        <v>853</v>
      </c>
      <c r="B333" s="924" t="s">
        <v>789</v>
      </c>
      <c r="C333" s="924" t="s">
        <v>1162</v>
      </c>
      <c r="D333" s="924" t="s">
        <v>1163</v>
      </c>
      <c r="E333" s="924" t="s">
        <v>856</v>
      </c>
      <c r="F333" s="924" t="s">
        <v>1024</v>
      </c>
      <c r="G333" s="924" t="s">
        <v>858</v>
      </c>
      <c r="H333" s="924" t="s">
        <v>836</v>
      </c>
      <c r="I333" s="924" t="s">
        <v>837</v>
      </c>
      <c r="J333" s="924" t="s">
        <v>940</v>
      </c>
      <c r="K333" s="924" t="s">
        <v>1025</v>
      </c>
      <c r="L333" s="925">
        <v>122.781504631042</v>
      </c>
      <c r="M333" s="925">
        <v>2.0197597334572501E-3</v>
      </c>
    </row>
    <row r="334" spans="1:13" ht="11.25" customHeight="1" x14ac:dyDescent="0.2">
      <c r="A334" s="924" t="s">
        <v>853</v>
      </c>
      <c r="B334" s="924" t="s">
        <v>789</v>
      </c>
      <c r="C334" s="924" t="s">
        <v>1162</v>
      </c>
      <c r="D334" s="924" t="s">
        <v>1163</v>
      </c>
      <c r="E334" s="924" t="s">
        <v>856</v>
      </c>
      <c r="F334" s="924" t="s">
        <v>1026</v>
      </c>
      <c r="G334" s="924" t="s">
        <v>858</v>
      </c>
      <c r="H334" s="924" t="s">
        <v>836</v>
      </c>
      <c r="I334" s="924" t="s">
        <v>837</v>
      </c>
      <c r="J334" s="924" t="s">
        <v>940</v>
      </c>
      <c r="K334" s="924" t="s">
        <v>1027</v>
      </c>
      <c r="L334" s="925">
        <v>3240.86902523041</v>
      </c>
      <c r="M334" s="925">
        <v>0.13678466366604899</v>
      </c>
    </row>
    <row r="335" spans="1:13" ht="11.25" customHeight="1" x14ac:dyDescent="0.2">
      <c r="A335" s="924" t="s">
        <v>853</v>
      </c>
      <c r="B335" s="924" t="s">
        <v>789</v>
      </c>
      <c r="C335" s="924" t="s">
        <v>1162</v>
      </c>
      <c r="D335" s="924" t="s">
        <v>1163</v>
      </c>
      <c r="E335" s="924" t="s">
        <v>856</v>
      </c>
      <c r="F335" s="924" t="s">
        <v>1028</v>
      </c>
      <c r="G335" s="924" t="s">
        <v>858</v>
      </c>
      <c r="H335" s="924" t="s">
        <v>836</v>
      </c>
      <c r="I335" s="924" t="s">
        <v>837</v>
      </c>
      <c r="J335" s="924" t="s">
        <v>940</v>
      </c>
      <c r="K335" s="924" t="s">
        <v>1029</v>
      </c>
      <c r="L335" s="925">
        <v>668.91539120674099</v>
      </c>
      <c r="M335" s="925">
        <v>3.6284750598213102E-2</v>
      </c>
    </row>
    <row r="336" spans="1:13" ht="11.25" customHeight="1" x14ac:dyDescent="0.2">
      <c r="A336" s="924" t="s">
        <v>853</v>
      </c>
      <c r="B336" s="924" t="s">
        <v>789</v>
      </c>
      <c r="C336" s="924" t="s">
        <v>1162</v>
      </c>
      <c r="D336" s="924" t="s">
        <v>1163</v>
      </c>
      <c r="E336" s="924" t="s">
        <v>856</v>
      </c>
      <c r="F336" s="924" t="s">
        <v>1030</v>
      </c>
      <c r="G336" s="924" t="s">
        <v>858</v>
      </c>
      <c r="H336" s="924" t="s">
        <v>836</v>
      </c>
      <c r="I336" s="924" t="s">
        <v>837</v>
      </c>
      <c r="J336" s="924" t="s">
        <v>940</v>
      </c>
      <c r="K336" s="924" t="s">
        <v>941</v>
      </c>
      <c r="L336" s="925">
        <v>4418.0149269104004</v>
      </c>
      <c r="M336" s="925">
        <v>8.2990469158175997E-2</v>
      </c>
    </row>
    <row r="337" spans="1:13" ht="11.25" customHeight="1" x14ac:dyDescent="0.2">
      <c r="A337" s="924" t="s">
        <v>853</v>
      </c>
      <c r="B337" s="924" t="s">
        <v>789</v>
      </c>
      <c r="C337" s="924" t="s">
        <v>1162</v>
      </c>
      <c r="D337" s="924" t="s">
        <v>1163</v>
      </c>
      <c r="E337" s="924" t="s">
        <v>856</v>
      </c>
      <c r="F337" s="924" t="s">
        <v>1031</v>
      </c>
      <c r="G337" s="924" t="s">
        <v>858</v>
      </c>
      <c r="H337" s="924" t="s">
        <v>836</v>
      </c>
      <c r="I337" s="924" t="s">
        <v>837</v>
      </c>
      <c r="J337" s="924" t="s">
        <v>940</v>
      </c>
      <c r="K337" s="924" t="s">
        <v>1032</v>
      </c>
      <c r="L337" s="925">
        <v>520.48016047477699</v>
      </c>
      <c r="M337" s="925">
        <v>1.0859866752326801E-2</v>
      </c>
    </row>
    <row r="338" spans="1:13" ht="11.25" customHeight="1" x14ac:dyDescent="0.2">
      <c r="A338" s="924" t="s">
        <v>853</v>
      </c>
      <c r="B338" s="924" t="s">
        <v>789</v>
      </c>
      <c r="C338" s="924" t="s">
        <v>1162</v>
      </c>
      <c r="D338" s="924" t="s">
        <v>1163</v>
      </c>
      <c r="E338" s="924" t="s">
        <v>856</v>
      </c>
      <c r="F338" s="924" t="s">
        <v>1033</v>
      </c>
      <c r="G338" s="924" t="s">
        <v>858</v>
      </c>
      <c r="H338" s="924" t="s">
        <v>836</v>
      </c>
      <c r="I338" s="924" t="s">
        <v>837</v>
      </c>
      <c r="J338" s="924" t="s">
        <v>940</v>
      </c>
      <c r="K338" s="924" t="s">
        <v>1034</v>
      </c>
      <c r="L338" s="925">
        <v>13.217437256127599</v>
      </c>
      <c r="M338" s="925">
        <v>4.3343388623107198E-4</v>
      </c>
    </row>
    <row r="339" spans="1:13" ht="11.25" customHeight="1" x14ac:dyDescent="0.2">
      <c r="A339" s="924" t="s">
        <v>853</v>
      </c>
      <c r="B339" s="924" t="s">
        <v>789</v>
      </c>
      <c r="C339" s="924" t="s">
        <v>1162</v>
      </c>
      <c r="D339" s="924" t="s">
        <v>1163</v>
      </c>
      <c r="E339" s="924" t="s">
        <v>856</v>
      </c>
      <c r="F339" s="924" t="s">
        <v>1035</v>
      </c>
      <c r="G339" s="924" t="s">
        <v>858</v>
      </c>
      <c r="H339" s="924" t="s">
        <v>836</v>
      </c>
      <c r="I339" s="924" t="s">
        <v>837</v>
      </c>
      <c r="J339" s="924" t="s">
        <v>870</v>
      </c>
      <c r="K339" s="924" t="s">
        <v>1036</v>
      </c>
      <c r="L339" s="925">
        <v>2.5192489578330399E-2</v>
      </c>
      <c r="M339" s="925">
        <v>3.0853678205022502E-6</v>
      </c>
    </row>
    <row r="340" spans="1:13" ht="11.25" customHeight="1" x14ac:dyDescent="0.2">
      <c r="A340" s="924" t="s">
        <v>853</v>
      </c>
      <c r="B340" s="924" t="s">
        <v>789</v>
      </c>
      <c r="C340" s="924" t="s">
        <v>1162</v>
      </c>
      <c r="D340" s="924" t="s">
        <v>1163</v>
      </c>
      <c r="E340" s="924" t="s">
        <v>1164</v>
      </c>
      <c r="F340" s="924" t="s">
        <v>1168</v>
      </c>
      <c r="G340" s="924" t="s">
        <v>858</v>
      </c>
      <c r="H340" s="924" t="s">
        <v>836</v>
      </c>
      <c r="I340" s="924" t="s">
        <v>837</v>
      </c>
      <c r="J340" s="924" t="s">
        <v>1166</v>
      </c>
      <c r="K340" s="924" t="s">
        <v>1166</v>
      </c>
      <c r="L340" s="925">
        <v>11998.1486206055</v>
      </c>
      <c r="M340" s="925">
        <v>0.15348398040441699</v>
      </c>
    </row>
    <row r="341" spans="1:13" ht="11.25" customHeight="1" x14ac:dyDescent="0.2">
      <c r="A341" s="924" t="s">
        <v>853</v>
      </c>
      <c r="B341" s="924" t="s">
        <v>789</v>
      </c>
      <c r="C341" s="924" t="s">
        <v>1162</v>
      </c>
      <c r="D341" s="924" t="s">
        <v>1163</v>
      </c>
      <c r="E341" s="924" t="s">
        <v>856</v>
      </c>
      <c r="F341" s="924" t="s">
        <v>1038</v>
      </c>
      <c r="G341" s="924" t="s">
        <v>858</v>
      </c>
      <c r="H341" s="924" t="s">
        <v>836</v>
      </c>
      <c r="I341" s="924" t="s">
        <v>837</v>
      </c>
      <c r="J341" s="924" t="s">
        <v>863</v>
      </c>
      <c r="K341" s="924" t="s">
        <v>935</v>
      </c>
      <c r="L341" s="925">
        <v>1910.68370819092</v>
      </c>
      <c r="M341" s="925">
        <v>2.0679057430015701E-2</v>
      </c>
    </row>
    <row r="342" spans="1:13" ht="11.25" customHeight="1" x14ac:dyDescent="0.2">
      <c r="A342" s="924" t="s">
        <v>853</v>
      </c>
      <c r="B342" s="924" t="s">
        <v>789</v>
      </c>
      <c r="C342" s="924" t="s">
        <v>1162</v>
      </c>
      <c r="D342" s="924" t="s">
        <v>1163</v>
      </c>
      <c r="E342" s="924" t="s">
        <v>856</v>
      </c>
      <c r="F342" s="924" t="s">
        <v>1039</v>
      </c>
      <c r="G342" s="924" t="s">
        <v>981</v>
      </c>
      <c r="H342" s="924" t="s">
        <v>835</v>
      </c>
      <c r="I342" s="924" t="s">
        <v>1040</v>
      </c>
      <c r="J342" s="924" t="s">
        <v>859</v>
      </c>
      <c r="K342" s="924" t="s">
        <v>901</v>
      </c>
      <c r="L342" s="925">
        <v>3.6041744872927701</v>
      </c>
      <c r="M342" s="925">
        <v>2.6595803174131998E-3</v>
      </c>
    </row>
    <row r="343" spans="1:13" ht="11.25" customHeight="1" x14ac:dyDescent="0.2">
      <c r="A343" s="924" t="s">
        <v>853</v>
      </c>
      <c r="B343" s="924" t="s">
        <v>789</v>
      </c>
      <c r="C343" s="924" t="s">
        <v>1162</v>
      </c>
      <c r="D343" s="924" t="s">
        <v>1163</v>
      </c>
      <c r="E343" s="924" t="s">
        <v>856</v>
      </c>
      <c r="F343" s="924" t="s">
        <v>1041</v>
      </c>
      <c r="G343" s="924" t="s">
        <v>981</v>
      </c>
      <c r="H343" s="924" t="s">
        <v>835</v>
      </c>
      <c r="I343" s="924" t="s">
        <v>1040</v>
      </c>
      <c r="J343" s="924" t="s">
        <v>859</v>
      </c>
      <c r="K343" s="924" t="s">
        <v>891</v>
      </c>
      <c r="L343" s="925">
        <v>15.4439793229103</v>
      </c>
      <c r="M343" s="925">
        <v>7.7365683609969E-3</v>
      </c>
    </row>
    <row r="344" spans="1:13" ht="11.25" customHeight="1" x14ac:dyDescent="0.2">
      <c r="A344" s="924" t="s">
        <v>853</v>
      </c>
      <c r="B344" s="924" t="s">
        <v>789</v>
      </c>
      <c r="C344" s="924" t="s">
        <v>1162</v>
      </c>
      <c r="D344" s="924" t="s">
        <v>1163</v>
      </c>
      <c r="E344" s="924" t="s">
        <v>856</v>
      </c>
      <c r="F344" s="924" t="s">
        <v>997</v>
      </c>
      <c r="G344" s="924" t="s">
        <v>981</v>
      </c>
      <c r="H344" s="924" t="s">
        <v>835</v>
      </c>
      <c r="I344" s="924" t="s">
        <v>998</v>
      </c>
      <c r="J344" s="924" t="s">
        <v>884</v>
      </c>
      <c r="K344" s="924" t="s">
        <v>999</v>
      </c>
      <c r="L344" s="925">
        <v>377.779256820679</v>
      </c>
      <c r="M344" s="925">
        <v>1.2034804895520199</v>
      </c>
    </row>
    <row r="345" spans="1:13" ht="11.25" customHeight="1" x14ac:dyDescent="0.2">
      <c r="A345" s="924" t="s">
        <v>853</v>
      </c>
      <c r="B345" s="924" t="s">
        <v>789</v>
      </c>
      <c r="C345" s="924" t="s">
        <v>1162</v>
      </c>
      <c r="D345" s="924" t="s">
        <v>1163</v>
      </c>
      <c r="E345" s="924" t="s">
        <v>856</v>
      </c>
      <c r="F345" s="924" t="s">
        <v>1044</v>
      </c>
      <c r="G345" s="924" t="s">
        <v>981</v>
      </c>
      <c r="H345" s="924" t="s">
        <v>835</v>
      </c>
      <c r="I345" s="924" t="s">
        <v>1040</v>
      </c>
      <c r="J345" s="924" t="s">
        <v>884</v>
      </c>
      <c r="K345" s="924" t="s">
        <v>999</v>
      </c>
      <c r="L345" s="925">
        <v>172.119700908661</v>
      </c>
      <c r="M345" s="925">
        <v>0.236960683683719</v>
      </c>
    </row>
    <row r="346" spans="1:13" ht="11.25" customHeight="1" x14ac:dyDescent="0.2">
      <c r="A346" s="924" t="s">
        <v>853</v>
      </c>
      <c r="B346" s="924" t="s">
        <v>789</v>
      </c>
      <c r="C346" s="924" t="s">
        <v>1162</v>
      </c>
      <c r="D346" s="924" t="s">
        <v>1163</v>
      </c>
      <c r="E346" s="924" t="s">
        <v>856</v>
      </c>
      <c r="F346" s="924" t="s">
        <v>1045</v>
      </c>
      <c r="G346" s="924" t="s">
        <v>981</v>
      </c>
      <c r="H346" s="924" t="s">
        <v>835</v>
      </c>
      <c r="I346" s="924" t="s">
        <v>1040</v>
      </c>
      <c r="J346" s="924" t="s">
        <v>884</v>
      </c>
      <c r="K346" s="924" t="s">
        <v>1046</v>
      </c>
      <c r="L346" s="925">
        <v>1637.77943992615</v>
      </c>
      <c r="M346" s="925">
        <v>1.6716878558509101</v>
      </c>
    </row>
    <row r="347" spans="1:13" ht="11.25" customHeight="1" x14ac:dyDescent="0.2">
      <c r="A347" s="924" t="s">
        <v>853</v>
      </c>
      <c r="B347" s="924" t="s">
        <v>789</v>
      </c>
      <c r="C347" s="924" t="s">
        <v>1162</v>
      </c>
      <c r="D347" s="924" t="s">
        <v>1163</v>
      </c>
      <c r="E347" s="924" t="s">
        <v>856</v>
      </c>
      <c r="F347" s="924" t="s">
        <v>1047</v>
      </c>
      <c r="G347" s="924" t="s">
        <v>981</v>
      </c>
      <c r="H347" s="924" t="s">
        <v>835</v>
      </c>
      <c r="I347" s="924" t="s">
        <v>1040</v>
      </c>
      <c r="J347" s="924" t="s">
        <v>884</v>
      </c>
      <c r="K347" s="924" t="s">
        <v>1048</v>
      </c>
      <c r="L347" s="925">
        <v>839.17388439178501</v>
      </c>
      <c r="M347" s="925">
        <v>0.63082997780293204</v>
      </c>
    </row>
    <row r="348" spans="1:13" ht="11.25" customHeight="1" x14ac:dyDescent="0.2">
      <c r="A348" s="924" t="s">
        <v>853</v>
      </c>
      <c r="B348" s="924" t="s">
        <v>789</v>
      </c>
      <c r="C348" s="924" t="s">
        <v>1162</v>
      </c>
      <c r="D348" s="924" t="s">
        <v>1163</v>
      </c>
      <c r="E348" s="924" t="s">
        <v>856</v>
      </c>
      <c r="F348" s="924" t="s">
        <v>1049</v>
      </c>
      <c r="G348" s="924" t="s">
        <v>981</v>
      </c>
      <c r="H348" s="924" t="s">
        <v>835</v>
      </c>
      <c r="I348" s="924" t="s">
        <v>1040</v>
      </c>
      <c r="J348" s="924" t="s">
        <v>884</v>
      </c>
      <c r="K348" s="924" t="s">
        <v>885</v>
      </c>
      <c r="L348" s="925">
        <v>215.64652657508901</v>
      </c>
      <c r="M348" s="925">
        <v>0.204936972397263</v>
      </c>
    </row>
    <row r="349" spans="1:13" ht="11.25" customHeight="1" x14ac:dyDescent="0.2">
      <c r="A349" s="924" t="s">
        <v>853</v>
      </c>
      <c r="B349" s="924" t="s">
        <v>789</v>
      </c>
      <c r="C349" s="924" t="s">
        <v>1162</v>
      </c>
      <c r="D349" s="924" t="s">
        <v>1163</v>
      </c>
      <c r="E349" s="924" t="s">
        <v>856</v>
      </c>
      <c r="F349" s="924" t="s">
        <v>1050</v>
      </c>
      <c r="G349" s="924" t="s">
        <v>981</v>
      </c>
      <c r="H349" s="924" t="s">
        <v>835</v>
      </c>
      <c r="I349" s="924" t="s">
        <v>1040</v>
      </c>
      <c r="J349" s="924" t="s">
        <v>859</v>
      </c>
      <c r="K349" s="924" t="s">
        <v>913</v>
      </c>
      <c r="L349" s="925">
        <v>46.4015862345695</v>
      </c>
      <c r="M349" s="925">
        <v>2.7480062070253601E-2</v>
      </c>
    </row>
    <row r="350" spans="1:13" ht="11.25" customHeight="1" x14ac:dyDescent="0.2">
      <c r="A350" s="924" t="s">
        <v>853</v>
      </c>
      <c r="B350" s="924" t="s">
        <v>789</v>
      </c>
      <c r="C350" s="924" t="s">
        <v>1162</v>
      </c>
      <c r="D350" s="924" t="s">
        <v>1163</v>
      </c>
      <c r="E350" s="924" t="s">
        <v>856</v>
      </c>
      <c r="F350" s="924" t="s">
        <v>1051</v>
      </c>
      <c r="G350" s="924" t="s">
        <v>981</v>
      </c>
      <c r="H350" s="924" t="s">
        <v>835</v>
      </c>
      <c r="I350" s="924" t="s">
        <v>1040</v>
      </c>
      <c r="J350" s="924" t="s">
        <v>859</v>
      </c>
      <c r="K350" s="924" t="s">
        <v>889</v>
      </c>
      <c r="L350" s="925">
        <v>0.34723195619881198</v>
      </c>
      <c r="M350" s="925">
        <v>2.2573173691853299E-4</v>
      </c>
    </row>
    <row r="351" spans="1:13" ht="11.25" customHeight="1" x14ac:dyDescent="0.2">
      <c r="A351" s="924" t="s">
        <v>853</v>
      </c>
      <c r="B351" s="924" t="s">
        <v>789</v>
      </c>
      <c r="C351" s="924" t="s">
        <v>1162</v>
      </c>
      <c r="D351" s="924" t="s">
        <v>1163</v>
      </c>
      <c r="E351" s="924" t="s">
        <v>856</v>
      </c>
      <c r="F351" s="924" t="s">
        <v>1052</v>
      </c>
      <c r="G351" s="924" t="s">
        <v>981</v>
      </c>
      <c r="H351" s="924" t="s">
        <v>835</v>
      </c>
      <c r="I351" s="924" t="s">
        <v>1040</v>
      </c>
      <c r="J351" s="924" t="s">
        <v>859</v>
      </c>
      <c r="K351" s="924" t="s">
        <v>860</v>
      </c>
      <c r="L351" s="925">
        <v>87.399042487144499</v>
      </c>
      <c r="M351" s="925">
        <v>6.1662978085223599E-2</v>
      </c>
    </row>
    <row r="352" spans="1:13" ht="11.25" customHeight="1" x14ac:dyDescent="0.2">
      <c r="A352" s="924" t="s">
        <v>853</v>
      </c>
      <c r="B352" s="924" t="s">
        <v>789</v>
      </c>
      <c r="C352" s="924" t="s">
        <v>1162</v>
      </c>
      <c r="D352" s="924" t="s">
        <v>1163</v>
      </c>
      <c r="E352" s="924" t="s">
        <v>856</v>
      </c>
      <c r="F352" s="924" t="s">
        <v>1053</v>
      </c>
      <c r="G352" s="924" t="s">
        <v>981</v>
      </c>
      <c r="H352" s="924" t="s">
        <v>835</v>
      </c>
      <c r="I352" s="924" t="s">
        <v>1040</v>
      </c>
      <c r="J352" s="924" t="s">
        <v>859</v>
      </c>
      <c r="K352" s="924" t="s">
        <v>893</v>
      </c>
      <c r="L352" s="925">
        <v>82.272353053092999</v>
      </c>
      <c r="M352" s="925">
        <v>5.0071591802407098E-2</v>
      </c>
    </row>
    <row r="353" spans="1:13" ht="11.25" customHeight="1" x14ac:dyDescent="0.2">
      <c r="A353" s="924" t="s">
        <v>853</v>
      </c>
      <c r="B353" s="924" t="s">
        <v>789</v>
      </c>
      <c r="C353" s="924" t="s">
        <v>1162</v>
      </c>
      <c r="D353" s="924" t="s">
        <v>1163</v>
      </c>
      <c r="E353" s="924" t="s">
        <v>856</v>
      </c>
      <c r="F353" s="924" t="s">
        <v>1056</v>
      </c>
      <c r="G353" s="924" t="s">
        <v>981</v>
      </c>
      <c r="H353" s="924" t="s">
        <v>835</v>
      </c>
      <c r="I353" s="924" t="s">
        <v>998</v>
      </c>
      <c r="J353" s="924" t="s">
        <v>875</v>
      </c>
      <c r="K353" s="924" t="s">
        <v>878</v>
      </c>
      <c r="L353" s="925">
        <v>202.735774040222</v>
      </c>
      <c r="M353" s="925">
        <v>0.39100654795765899</v>
      </c>
    </row>
    <row r="354" spans="1:13" ht="11.25" customHeight="1" x14ac:dyDescent="0.2">
      <c r="A354" s="924" t="s">
        <v>853</v>
      </c>
      <c r="B354" s="924" t="s">
        <v>789</v>
      </c>
      <c r="C354" s="924" t="s">
        <v>1162</v>
      </c>
      <c r="D354" s="924" t="s">
        <v>1163</v>
      </c>
      <c r="E354" s="924" t="s">
        <v>856</v>
      </c>
      <c r="F354" s="924" t="s">
        <v>1055</v>
      </c>
      <c r="G354" s="924" t="s">
        <v>981</v>
      </c>
      <c r="H354" s="924" t="s">
        <v>835</v>
      </c>
      <c r="I354" s="924" t="s">
        <v>1040</v>
      </c>
      <c r="J354" s="924" t="s">
        <v>859</v>
      </c>
      <c r="K354" s="924" t="s">
        <v>899</v>
      </c>
      <c r="L354" s="925">
        <v>69.138911545276599</v>
      </c>
      <c r="M354" s="925">
        <v>4.8678577141203001E-2</v>
      </c>
    </row>
    <row r="355" spans="1:13" ht="11.25" customHeight="1" x14ac:dyDescent="0.2">
      <c r="A355" s="924" t="s">
        <v>853</v>
      </c>
      <c r="B355" s="924" t="s">
        <v>789</v>
      </c>
      <c r="C355" s="924" t="s">
        <v>1162</v>
      </c>
      <c r="D355" s="924" t="s">
        <v>1163</v>
      </c>
      <c r="E355" s="924" t="s">
        <v>856</v>
      </c>
      <c r="F355" s="924" t="s">
        <v>1102</v>
      </c>
      <c r="G355" s="924" t="s">
        <v>981</v>
      </c>
      <c r="H355" s="924" t="s">
        <v>835</v>
      </c>
      <c r="I355" s="924" t="s">
        <v>998</v>
      </c>
      <c r="J355" s="924" t="s">
        <v>875</v>
      </c>
      <c r="K355" s="924" t="s">
        <v>876</v>
      </c>
      <c r="L355" s="925">
        <v>30.385041415691401</v>
      </c>
      <c r="M355" s="925">
        <v>6.1482773860916502E-2</v>
      </c>
    </row>
    <row r="356" spans="1:13" ht="11.25" customHeight="1" x14ac:dyDescent="0.2">
      <c r="A356" s="924" t="s">
        <v>853</v>
      </c>
      <c r="B356" s="924" t="s">
        <v>789</v>
      </c>
      <c r="C356" s="924" t="s">
        <v>1162</v>
      </c>
      <c r="D356" s="924" t="s">
        <v>1163</v>
      </c>
      <c r="E356" s="924" t="s">
        <v>856</v>
      </c>
      <c r="F356" s="924" t="s">
        <v>1057</v>
      </c>
      <c r="G356" s="924" t="s">
        <v>981</v>
      </c>
      <c r="H356" s="924" t="s">
        <v>835</v>
      </c>
      <c r="I356" s="924" t="s">
        <v>1040</v>
      </c>
      <c r="J356" s="924" t="s">
        <v>859</v>
      </c>
      <c r="K356" s="924" t="s">
        <v>903</v>
      </c>
      <c r="L356" s="925">
        <v>144.29374265670799</v>
      </c>
      <c r="M356" s="925">
        <v>8.9017673956732296E-2</v>
      </c>
    </row>
    <row r="357" spans="1:13" ht="11.25" customHeight="1" x14ac:dyDescent="0.2">
      <c r="A357" s="924" t="s">
        <v>853</v>
      </c>
      <c r="B357" s="924" t="s">
        <v>789</v>
      </c>
      <c r="C357" s="924" t="s">
        <v>1162</v>
      </c>
      <c r="D357" s="924" t="s">
        <v>1163</v>
      </c>
      <c r="E357" s="924" t="s">
        <v>856</v>
      </c>
      <c r="F357" s="924" t="s">
        <v>1058</v>
      </c>
      <c r="G357" s="924" t="s">
        <v>981</v>
      </c>
      <c r="H357" s="924" t="s">
        <v>835</v>
      </c>
      <c r="I357" s="924" t="s">
        <v>1040</v>
      </c>
      <c r="J357" s="924" t="s">
        <v>859</v>
      </c>
      <c r="K357" s="924" t="s">
        <v>905</v>
      </c>
      <c r="L357" s="925">
        <v>50.601759612560301</v>
      </c>
      <c r="M357" s="925">
        <v>4.0052181651844897E-2</v>
      </c>
    </row>
    <row r="358" spans="1:13" ht="11.25" customHeight="1" x14ac:dyDescent="0.2">
      <c r="A358" s="924" t="s">
        <v>853</v>
      </c>
      <c r="B358" s="924" t="s">
        <v>789</v>
      </c>
      <c r="C358" s="924" t="s">
        <v>1162</v>
      </c>
      <c r="D358" s="924" t="s">
        <v>1163</v>
      </c>
      <c r="E358" s="924" t="s">
        <v>856</v>
      </c>
      <c r="F358" s="924" t="s">
        <v>1059</v>
      </c>
      <c r="G358" s="924" t="s">
        <v>981</v>
      </c>
      <c r="H358" s="924" t="s">
        <v>835</v>
      </c>
      <c r="I358" s="924" t="s">
        <v>1040</v>
      </c>
      <c r="J358" s="924" t="s">
        <v>859</v>
      </c>
      <c r="K358" s="924" t="s">
        <v>909</v>
      </c>
      <c r="L358" s="925">
        <v>301.56621313095098</v>
      </c>
      <c r="M358" s="925">
        <v>0.20844851434230799</v>
      </c>
    </row>
    <row r="359" spans="1:13" ht="11.25" customHeight="1" x14ac:dyDescent="0.2">
      <c r="A359" s="924" t="s">
        <v>853</v>
      </c>
      <c r="B359" s="924" t="s">
        <v>789</v>
      </c>
      <c r="C359" s="924" t="s">
        <v>1162</v>
      </c>
      <c r="D359" s="924" t="s">
        <v>1163</v>
      </c>
      <c r="E359" s="924" t="s">
        <v>856</v>
      </c>
      <c r="F359" s="924" t="s">
        <v>1060</v>
      </c>
      <c r="G359" s="924" t="s">
        <v>981</v>
      </c>
      <c r="H359" s="924" t="s">
        <v>835</v>
      </c>
      <c r="I359" s="924" t="s">
        <v>1040</v>
      </c>
      <c r="J359" s="924" t="s">
        <v>859</v>
      </c>
      <c r="K359" s="924" t="s">
        <v>973</v>
      </c>
      <c r="L359" s="925">
        <v>144.64810514450099</v>
      </c>
      <c r="M359" s="925">
        <v>9.8422169155014699E-2</v>
      </c>
    </row>
    <row r="360" spans="1:13" ht="11.25" customHeight="1" x14ac:dyDescent="0.2">
      <c r="A360" s="924" t="s">
        <v>853</v>
      </c>
      <c r="B360" s="924" t="s">
        <v>789</v>
      </c>
      <c r="C360" s="924" t="s">
        <v>1162</v>
      </c>
      <c r="D360" s="924" t="s">
        <v>1163</v>
      </c>
      <c r="E360" s="924" t="s">
        <v>856</v>
      </c>
      <c r="F360" s="924" t="s">
        <v>1061</v>
      </c>
      <c r="G360" s="924" t="s">
        <v>981</v>
      </c>
      <c r="H360" s="924" t="s">
        <v>835</v>
      </c>
      <c r="I360" s="924" t="s">
        <v>1040</v>
      </c>
      <c r="J360" s="924" t="s">
        <v>859</v>
      </c>
      <c r="K360" s="924" t="s">
        <v>918</v>
      </c>
      <c r="L360" s="925">
        <v>11.2048657238483</v>
      </c>
      <c r="M360" s="925">
        <v>4.9352752503182299E-3</v>
      </c>
    </row>
    <row r="361" spans="1:13" ht="11.25" customHeight="1" x14ac:dyDescent="0.2">
      <c r="A361" s="924" t="s">
        <v>853</v>
      </c>
      <c r="B361" s="924" t="s">
        <v>789</v>
      </c>
      <c r="C361" s="924" t="s">
        <v>1162</v>
      </c>
      <c r="D361" s="924" t="s">
        <v>1163</v>
      </c>
      <c r="E361" s="924" t="s">
        <v>856</v>
      </c>
      <c r="F361" s="924" t="s">
        <v>1062</v>
      </c>
      <c r="G361" s="924" t="s">
        <v>981</v>
      </c>
      <c r="H361" s="924" t="s">
        <v>835</v>
      </c>
      <c r="I361" s="924" t="s">
        <v>1040</v>
      </c>
      <c r="J361" s="924" t="s">
        <v>859</v>
      </c>
      <c r="K361" s="924" t="s">
        <v>920</v>
      </c>
      <c r="L361" s="925">
        <v>19.522578209638599</v>
      </c>
      <c r="M361" s="925">
        <v>1.3218932822269399E-2</v>
      </c>
    </row>
    <row r="362" spans="1:13" ht="11.25" customHeight="1" x14ac:dyDescent="0.2">
      <c r="A362" s="924" t="s">
        <v>853</v>
      </c>
      <c r="B362" s="924" t="s">
        <v>789</v>
      </c>
      <c r="C362" s="924" t="s">
        <v>1162</v>
      </c>
      <c r="D362" s="924" t="s">
        <v>1163</v>
      </c>
      <c r="E362" s="924" t="s">
        <v>856</v>
      </c>
      <c r="F362" s="924" t="s">
        <v>1063</v>
      </c>
      <c r="G362" s="924" t="s">
        <v>981</v>
      </c>
      <c r="H362" s="924" t="s">
        <v>835</v>
      </c>
      <c r="I362" s="924" t="s">
        <v>1040</v>
      </c>
      <c r="J362" s="924" t="s">
        <v>859</v>
      </c>
      <c r="K362" s="924" t="s">
        <v>922</v>
      </c>
      <c r="L362" s="925">
        <v>17.156875804066701</v>
      </c>
      <c r="M362" s="925">
        <v>3.1036815034895002E-3</v>
      </c>
    </row>
    <row r="363" spans="1:13" ht="11.25" customHeight="1" x14ac:dyDescent="0.2">
      <c r="A363" s="924" t="s">
        <v>853</v>
      </c>
      <c r="B363" s="924" t="s">
        <v>789</v>
      </c>
      <c r="C363" s="924" t="s">
        <v>1162</v>
      </c>
      <c r="D363" s="924" t="s">
        <v>1163</v>
      </c>
      <c r="E363" s="924" t="s">
        <v>856</v>
      </c>
      <c r="F363" s="924" t="s">
        <v>1064</v>
      </c>
      <c r="G363" s="924" t="s">
        <v>981</v>
      </c>
      <c r="H363" s="924" t="s">
        <v>835</v>
      </c>
      <c r="I363" s="924" t="s">
        <v>1040</v>
      </c>
      <c r="J363" s="924" t="s">
        <v>859</v>
      </c>
      <c r="K363" s="924" t="s">
        <v>924</v>
      </c>
      <c r="L363" s="925">
        <v>41.323347091674798</v>
      </c>
      <c r="M363" s="925">
        <v>3.0896205680619499E-3</v>
      </c>
    </row>
    <row r="364" spans="1:13" ht="11.25" customHeight="1" x14ac:dyDescent="0.2">
      <c r="A364" s="924" t="s">
        <v>853</v>
      </c>
      <c r="B364" s="924" t="s">
        <v>789</v>
      </c>
      <c r="C364" s="924" t="s">
        <v>1162</v>
      </c>
      <c r="D364" s="924" t="s">
        <v>1163</v>
      </c>
      <c r="E364" s="924" t="s">
        <v>856</v>
      </c>
      <c r="F364" s="924" t="s">
        <v>1065</v>
      </c>
      <c r="G364" s="924" t="s">
        <v>981</v>
      </c>
      <c r="H364" s="924" t="s">
        <v>835</v>
      </c>
      <c r="I364" s="924" t="s">
        <v>1040</v>
      </c>
      <c r="J364" s="924" t="s">
        <v>859</v>
      </c>
      <c r="K364" s="924" t="s">
        <v>926</v>
      </c>
      <c r="L364" s="925">
        <v>98.989887595176697</v>
      </c>
      <c r="M364" s="925">
        <v>6.5758461598306894E-2</v>
      </c>
    </row>
    <row r="365" spans="1:13" ht="11.25" customHeight="1" x14ac:dyDescent="0.2">
      <c r="A365" s="924" t="s">
        <v>853</v>
      </c>
      <c r="B365" s="924" t="s">
        <v>789</v>
      </c>
      <c r="C365" s="924" t="s">
        <v>1162</v>
      </c>
      <c r="D365" s="924" t="s">
        <v>1163</v>
      </c>
      <c r="E365" s="924" t="s">
        <v>856</v>
      </c>
      <c r="F365" s="924" t="s">
        <v>1066</v>
      </c>
      <c r="G365" s="924" t="s">
        <v>981</v>
      </c>
      <c r="H365" s="924" t="s">
        <v>835</v>
      </c>
      <c r="I365" s="924" t="s">
        <v>1040</v>
      </c>
      <c r="J365" s="924" t="s">
        <v>859</v>
      </c>
      <c r="K365" s="924" t="s">
        <v>928</v>
      </c>
      <c r="L365" s="925">
        <v>67.194619357585907</v>
      </c>
      <c r="M365" s="925">
        <v>3.3982058059336899E-2</v>
      </c>
    </row>
    <row r="366" spans="1:13" ht="11.25" customHeight="1" x14ac:dyDescent="0.2">
      <c r="A366" s="924" t="s">
        <v>853</v>
      </c>
      <c r="B366" s="924" t="s">
        <v>789</v>
      </c>
      <c r="C366" s="924" t="s">
        <v>1162</v>
      </c>
      <c r="D366" s="924" t="s">
        <v>1163</v>
      </c>
      <c r="E366" s="924" t="s">
        <v>856</v>
      </c>
      <c r="F366" s="924" t="s">
        <v>1067</v>
      </c>
      <c r="G366" s="924" t="s">
        <v>981</v>
      </c>
      <c r="H366" s="924" t="s">
        <v>835</v>
      </c>
      <c r="I366" s="924" t="s">
        <v>1040</v>
      </c>
      <c r="J366" s="924" t="s">
        <v>859</v>
      </c>
      <c r="K366" s="924" t="s">
        <v>1011</v>
      </c>
      <c r="L366" s="925">
        <v>22.3368643522263</v>
      </c>
      <c r="M366" s="925">
        <v>1.5850081107373602E-2</v>
      </c>
    </row>
    <row r="367" spans="1:13" ht="11.25" customHeight="1" x14ac:dyDescent="0.2">
      <c r="A367" s="924" t="s">
        <v>853</v>
      </c>
      <c r="B367" s="924" t="s">
        <v>789</v>
      </c>
      <c r="C367" s="924" t="s">
        <v>1162</v>
      </c>
      <c r="D367" s="924" t="s">
        <v>1163</v>
      </c>
      <c r="E367" s="924" t="s">
        <v>856</v>
      </c>
      <c r="F367" s="924" t="s">
        <v>1068</v>
      </c>
      <c r="G367" s="924" t="s">
        <v>981</v>
      </c>
      <c r="H367" s="924" t="s">
        <v>835</v>
      </c>
      <c r="I367" s="924" t="s">
        <v>1040</v>
      </c>
      <c r="J367" s="924" t="s">
        <v>859</v>
      </c>
      <c r="K367" s="924" t="s">
        <v>897</v>
      </c>
      <c r="L367" s="925">
        <v>164.03466629982</v>
      </c>
      <c r="M367" s="925">
        <v>0.10953980360341101</v>
      </c>
    </row>
    <row r="368" spans="1:13" ht="11.25" customHeight="1" x14ac:dyDescent="0.2">
      <c r="A368" s="924" t="s">
        <v>853</v>
      </c>
      <c r="B368" s="924" t="s">
        <v>789</v>
      </c>
      <c r="C368" s="924" t="s">
        <v>1162</v>
      </c>
      <c r="D368" s="924" t="s">
        <v>1163</v>
      </c>
      <c r="E368" s="924" t="s">
        <v>856</v>
      </c>
      <c r="F368" s="924" t="s">
        <v>1083</v>
      </c>
      <c r="G368" s="924" t="s">
        <v>981</v>
      </c>
      <c r="H368" s="924" t="s">
        <v>835</v>
      </c>
      <c r="I368" s="924" t="s">
        <v>998</v>
      </c>
      <c r="J368" s="924" t="s">
        <v>940</v>
      </c>
      <c r="K368" s="924" t="s">
        <v>1084</v>
      </c>
      <c r="L368" s="925">
        <v>17.111090168356899</v>
      </c>
      <c r="M368" s="925">
        <v>3.1260806688806E-2</v>
      </c>
    </row>
    <row r="369" spans="1:13" ht="11.25" customHeight="1" x14ac:dyDescent="0.2">
      <c r="A369" s="924" t="s">
        <v>853</v>
      </c>
      <c r="B369" s="924" t="s">
        <v>789</v>
      </c>
      <c r="C369" s="924" t="s">
        <v>1162</v>
      </c>
      <c r="D369" s="924" t="s">
        <v>1163</v>
      </c>
      <c r="E369" s="924" t="s">
        <v>856</v>
      </c>
      <c r="F369" s="924" t="s">
        <v>1136</v>
      </c>
      <c r="G369" s="924" t="s">
        <v>981</v>
      </c>
      <c r="H369" s="924" t="s">
        <v>835</v>
      </c>
      <c r="I369" s="924" t="s">
        <v>1040</v>
      </c>
      <c r="J369" s="924" t="s">
        <v>863</v>
      </c>
      <c r="K369" s="924" t="s">
        <v>864</v>
      </c>
      <c r="L369" s="925">
        <v>520.17128801345802</v>
      </c>
      <c r="M369" s="925">
        <v>0.38907404290512199</v>
      </c>
    </row>
    <row r="370" spans="1:13" ht="11.25" customHeight="1" x14ac:dyDescent="0.2">
      <c r="A370" s="924" t="s">
        <v>853</v>
      </c>
      <c r="B370" s="924" t="s">
        <v>789</v>
      </c>
      <c r="C370" s="924" t="s">
        <v>1162</v>
      </c>
      <c r="D370" s="924" t="s">
        <v>1163</v>
      </c>
      <c r="E370" s="924" t="s">
        <v>856</v>
      </c>
      <c r="F370" s="924" t="s">
        <v>916</v>
      </c>
      <c r="G370" s="924" t="s">
        <v>911</v>
      </c>
      <c r="H370" s="924" t="s">
        <v>665</v>
      </c>
      <c r="I370" s="924" t="s">
        <v>706</v>
      </c>
      <c r="J370" s="924" t="s">
        <v>859</v>
      </c>
      <c r="K370" s="924" t="s">
        <v>909</v>
      </c>
      <c r="L370" s="925">
        <v>19.5266147702932</v>
      </c>
      <c r="M370" s="925">
        <v>9.03761770132405E-4</v>
      </c>
    </row>
    <row r="371" spans="1:13" ht="11.25" customHeight="1" x14ac:dyDescent="0.2">
      <c r="A371" s="924" t="s">
        <v>853</v>
      </c>
      <c r="B371" s="924" t="s">
        <v>789</v>
      </c>
      <c r="C371" s="924" t="s">
        <v>1162</v>
      </c>
      <c r="D371" s="924" t="s">
        <v>1163</v>
      </c>
      <c r="E371" s="924" t="s">
        <v>856</v>
      </c>
      <c r="F371" s="924" t="s">
        <v>1073</v>
      </c>
      <c r="G371" s="924" t="s">
        <v>981</v>
      </c>
      <c r="H371" s="924" t="s">
        <v>835</v>
      </c>
      <c r="I371" s="924" t="s">
        <v>998</v>
      </c>
      <c r="J371" s="924" t="s">
        <v>884</v>
      </c>
      <c r="K371" s="924" t="s">
        <v>1046</v>
      </c>
      <c r="L371" s="925">
        <v>171.17619609832801</v>
      </c>
      <c r="M371" s="925">
        <v>0.28901968756690599</v>
      </c>
    </row>
    <row r="372" spans="1:13" ht="11.25" customHeight="1" x14ac:dyDescent="0.2">
      <c r="A372" s="924" t="s">
        <v>853</v>
      </c>
      <c r="B372" s="924" t="s">
        <v>789</v>
      </c>
      <c r="C372" s="924" t="s">
        <v>1162</v>
      </c>
      <c r="D372" s="924" t="s">
        <v>1163</v>
      </c>
      <c r="E372" s="924" t="s">
        <v>856</v>
      </c>
      <c r="F372" s="924" t="s">
        <v>1085</v>
      </c>
      <c r="G372" s="924" t="s">
        <v>981</v>
      </c>
      <c r="H372" s="924" t="s">
        <v>835</v>
      </c>
      <c r="I372" s="924" t="s">
        <v>998</v>
      </c>
      <c r="J372" s="924" t="s">
        <v>884</v>
      </c>
      <c r="K372" s="924" t="s">
        <v>885</v>
      </c>
      <c r="L372" s="925">
        <v>229.59753370285</v>
      </c>
      <c r="M372" s="925">
        <v>0.16864788136445</v>
      </c>
    </row>
    <row r="373" spans="1:13" ht="11.25" customHeight="1" x14ac:dyDescent="0.2">
      <c r="A373" s="924" t="s">
        <v>853</v>
      </c>
      <c r="B373" s="924" t="s">
        <v>789</v>
      </c>
      <c r="C373" s="924" t="s">
        <v>1162</v>
      </c>
      <c r="D373" s="924" t="s">
        <v>1163</v>
      </c>
      <c r="E373" s="924" t="s">
        <v>856</v>
      </c>
      <c r="F373" s="924" t="s">
        <v>1075</v>
      </c>
      <c r="G373" s="924" t="s">
        <v>981</v>
      </c>
      <c r="H373" s="924" t="s">
        <v>835</v>
      </c>
      <c r="I373" s="924" t="s">
        <v>998</v>
      </c>
      <c r="J373" s="924" t="s">
        <v>859</v>
      </c>
      <c r="K373" s="924" t="s">
        <v>889</v>
      </c>
      <c r="L373" s="925">
        <v>52.443178236484499</v>
      </c>
      <c r="M373" s="925">
        <v>8.4876909386366606E-2</v>
      </c>
    </row>
    <row r="374" spans="1:13" ht="11.25" customHeight="1" x14ac:dyDescent="0.2">
      <c r="A374" s="924" t="s">
        <v>853</v>
      </c>
      <c r="B374" s="924" t="s">
        <v>789</v>
      </c>
      <c r="C374" s="924" t="s">
        <v>1162</v>
      </c>
      <c r="D374" s="924" t="s">
        <v>1163</v>
      </c>
      <c r="E374" s="924" t="s">
        <v>856</v>
      </c>
      <c r="F374" s="924" t="s">
        <v>1076</v>
      </c>
      <c r="G374" s="924" t="s">
        <v>981</v>
      </c>
      <c r="H374" s="924" t="s">
        <v>835</v>
      </c>
      <c r="I374" s="924" t="s">
        <v>998</v>
      </c>
      <c r="J374" s="924" t="s">
        <v>859</v>
      </c>
      <c r="K374" s="924" t="s">
        <v>860</v>
      </c>
      <c r="L374" s="925">
        <v>3.3997763730585602</v>
      </c>
      <c r="M374" s="925">
        <v>7.0238788903225196E-3</v>
      </c>
    </row>
    <row r="375" spans="1:13" ht="11.25" customHeight="1" x14ac:dyDescent="0.2">
      <c r="A375" s="924" t="s">
        <v>853</v>
      </c>
      <c r="B375" s="924" t="s">
        <v>789</v>
      </c>
      <c r="C375" s="924" t="s">
        <v>1162</v>
      </c>
      <c r="D375" s="924" t="s">
        <v>1163</v>
      </c>
      <c r="E375" s="924" t="s">
        <v>856</v>
      </c>
      <c r="F375" s="924" t="s">
        <v>1077</v>
      </c>
      <c r="G375" s="924" t="s">
        <v>981</v>
      </c>
      <c r="H375" s="924" t="s">
        <v>835</v>
      </c>
      <c r="I375" s="924" t="s">
        <v>998</v>
      </c>
      <c r="J375" s="924" t="s">
        <v>859</v>
      </c>
      <c r="K375" s="924" t="s">
        <v>897</v>
      </c>
      <c r="L375" s="925">
        <v>4.0638314411044103</v>
      </c>
      <c r="M375" s="925">
        <v>8.5102705488679896E-3</v>
      </c>
    </row>
    <row r="376" spans="1:13" ht="11.25" customHeight="1" x14ac:dyDescent="0.2">
      <c r="A376" s="924" t="s">
        <v>853</v>
      </c>
      <c r="B376" s="924" t="s">
        <v>789</v>
      </c>
      <c r="C376" s="924" t="s">
        <v>1162</v>
      </c>
      <c r="D376" s="924" t="s">
        <v>1163</v>
      </c>
      <c r="E376" s="924" t="s">
        <v>856</v>
      </c>
      <c r="F376" s="924" t="s">
        <v>1078</v>
      </c>
      <c r="G376" s="924" t="s">
        <v>981</v>
      </c>
      <c r="H376" s="924" t="s">
        <v>835</v>
      </c>
      <c r="I376" s="924" t="s">
        <v>998</v>
      </c>
      <c r="J376" s="924" t="s">
        <v>859</v>
      </c>
      <c r="K376" s="924" t="s">
        <v>901</v>
      </c>
      <c r="L376" s="925">
        <v>2.81593298132066E-2</v>
      </c>
      <c r="M376" s="925">
        <v>6.2919372965097905E-5</v>
      </c>
    </row>
    <row r="377" spans="1:13" ht="11.25" customHeight="1" x14ac:dyDescent="0.2">
      <c r="A377" s="924" t="s">
        <v>853</v>
      </c>
      <c r="B377" s="924" t="s">
        <v>789</v>
      </c>
      <c r="C377" s="924" t="s">
        <v>1162</v>
      </c>
      <c r="D377" s="924" t="s">
        <v>1163</v>
      </c>
      <c r="E377" s="924" t="s">
        <v>856</v>
      </c>
      <c r="F377" s="924" t="s">
        <v>1079</v>
      </c>
      <c r="G377" s="924" t="s">
        <v>981</v>
      </c>
      <c r="H377" s="924" t="s">
        <v>835</v>
      </c>
      <c r="I377" s="924" t="s">
        <v>998</v>
      </c>
      <c r="J377" s="924" t="s">
        <v>859</v>
      </c>
      <c r="K377" s="924" t="s">
        <v>909</v>
      </c>
      <c r="L377" s="925">
        <v>135.421303391457</v>
      </c>
      <c r="M377" s="925">
        <v>0.242523699533194</v>
      </c>
    </row>
    <row r="378" spans="1:13" ht="11.25" customHeight="1" x14ac:dyDescent="0.2">
      <c r="A378" s="924" t="s">
        <v>853</v>
      </c>
      <c r="B378" s="924" t="s">
        <v>789</v>
      </c>
      <c r="C378" s="924" t="s">
        <v>1162</v>
      </c>
      <c r="D378" s="924" t="s">
        <v>1163</v>
      </c>
      <c r="E378" s="924" t="s">
        <v>856</v>
      </c>
      <c r="F378" s="924" t="s">
        <v>1080</v>
      </c>
      <c r="G378" s="924" t="s">
        <v>981</v>
      </c>
      <c r="H378" s="924" t="s">
        <v>835</v>
      </c>
      <c r="I378" s="924" t="s">
        <v>998</v>
      </c>
      <c r="J378" s="924" t="s">
        <v>859</v>
      </c>
      <c r="K378" s="924" t="s">
        <v>920</v>
      </c>
      <c r="L378" s="925">
        <v>0.79361356329172805</v>
      </c>
      <c r="M378" s="925">
        <v>1.7732541673467501E-3</v>
      </c>
    </row>
    <row r="379" spans="1:13" ht="11.25" customHeight="1" x14ac:dyDescent="0.2">
      <c r="A379" s="924" t="s">
        <v>853</v>
      </c>
      <c r="B379" s="924" t="s">
        <v>789</v>
      </c>
      <c r="C379" s="924" t="s">
        <v>1162</v>
      </c>
      <c r="D379" s="924" t="s">
        <v>1163</v>
      </c>
      <c r="E379" s="924" t="s">
        <v>856</v>
      </c>
      <c r="F379" s="924" t="s">
        <v>1082</v>
      </c>
      <c r="G379" s="924" t="s">
        <v>981</v>
      </c>
      <c r="H379" s="924" t="s">
        <v>835</v>
      </c>
      <c r="I379" s="924" t="s">
        <v>998</v>
      </c>
      <c r="J379" s="924" t="s">
        <v>875</v>
      </c>
      <c r="K379" s="924" t="s">
        <v>952</v>
      </c>
      <c r="L379" s="925">
        <v>1.22662402316928</v>
      </c>
      <c r="M379" s="925">
        <v>2.7407787929405502E-3</v>
      </c>
    </row>
    <row r="380" spans="1:13" ht="11.25" customHeight="1" x14ac:dyDescent="0.2">
      <c r="A380" s="924" t="s">
        <v>853</v>
      </c>
      <c r="B380" s="924" t="s">
        <v>789</v>
      </c>
      <c r="C380" s="924" t="s">
        <v>1162</v>
      </c>
      <c r="D380" s="924" t="s">
        <v>1163</v>
      </c>
      <c r="E380" s="924" t="s">
        <v>856</v>
      </c>
      <c r="F380" s="924" t="s">
        <v>1103</v>
      </c>
      <c r="G380" s="924" t="s">
        <v>981</v>
      </c>
      <c r="H380" s="924" t="s">
        <v>835</v>
      </c>
      <c r="I380" s="924" t="s">
        <v>998</v>
      </c>
      <c r="J380" s="924" t="s">
        <v>863</v>
      </c>
      <c r="K380" s="924" t="s">
        <v>864</v>
      </c>
      <c r="L380" s="925">
        <v>0.23512090183794501</v>
      </c>
      <c r="M380" s="925">
        <v>5.2535464374159303E-4</v>
      </c>
    </row>
    <row r="381" spans="1:13" ht="11.25" customHeight="1" x14ac:dyDescent="0.2">
      <c r="A381" s="924" t="s">
        <v>853</v>
      </c>
      <c r="B381" s="924" t="s">
        <v>789</v>
      </c>
      <c r="C381" s="924" t="s">
        <v>1162</v>
      </c>
      <c r="D381" s="924" t="s">
        <v>1163</v>
      </c>
      <c r="E381" s="924" t="s">
        <v>856</v>
      </c>
      <c r="F381" s="924" t="s">
        <v>1042</v>
      </c>
      <c r="G381" s="924" t="s">
        <v>981</v>
      </c>
      <c r="H381" s="924" t="s">
        <v>835</v>
      </c>
      <c r="I381" s="924" t="s">
        <v>998</v>
      </c>
      <c r="J381" s="924" t="s">
        <v>956</v>
      </c>
      <c r="K381" s="924" t="s">
        <v>1043</v>
      </c>
      <c r="L381" s="925">
        <v>9.5690287500619906</v>
      </c>
      <c r="M381" s="925">
        <v>1.6574686218518798E-2</v>
      </c>
    </row>
    <row r="382" spans="1:13" ht="11.25" customHeight="1" x14ac:dyDescent="0.2">
      <c r="A382" s="924" t="s">
        <v>853</v>
      </c>
      <c r="B382" s="924" t="s">
        <v>789</v>
      </c>
      <c r="C382" s="924" t="s">
        <v>1162</v>
      </c>
      <c r="D382" s="924" t="s">
        <v>1163</v>
      </c>
      <c r="E382" s="924" t="s">
        <v>856</v>
      </c>
      <c r="F382" s="924" t="s">
        <v>1069</v>
      </c>
      <c r="G382" s="924" t="s">
        <v>981</v>
      </c>
      <c r="H382" s="924" t="s">
        <v>835</v>
      </c>
      <c r="I382" s="924" t="s">
        <v>998</v>
      </c>
      <c r="J382" s="924" t="s">
        <v>940</v>
      </c>
      <c r="K382" s="924" t="s">
        <v>1070</v>
      </c>
      <c r="L382" s="925">
        <v>168.32498759031299</v>
      </c>
      <c r="M382" s="925">
        <v>0.312527626287192</v>
      </c>
    </row>
    <row r="383" spans="1:13" ht="11.25" customHeight="1" x14ac:dyDescent="0.2">
      <c r="A383" s="924" t="s">
        <v>853</v>
      </c>
      <c r="B383" s="924" t="s">
        <v>789</v>
      </c>
      <c r="C383" s="924" t="s">
        <v>1162</v>
      </c>
      <c r="D383" s="924" t="s">
        <v>1163</v>
      </c>
      <c r="E383" s="924" t="s">
        <v>856</v>
      </c>
      <c r="F383" s="924" t="s">
        <v>1086</v>
      </c>
      <c r="G383" s="924" t="s">
        <v>981</v>
      </c>
      <c r="H383" s="924" t="s">
        <v>835</v>
      </c>
      <c r="I383" s="924" t="s">
        <v>998</v>
      </c>
      <c r="J383" s="924" t="s">
        <v>940</v>
      </c>
      <c r="K383" s="924" t="s">
        <v>1087</v>
      </c>
      <c r="L383" s="925">
        <v>228.98645019531301</v>
      </c>
      <c r="M383" s="925">
        <v>0.44087526947259897</v>
      </c>
    </row>
    <row r="384" spans="1:13" ht="11.25" customHeight="1" x14ac:dyDescent="0.2">
      <c r="A384" s="924" t="s">
        <v>853</v>
      </c>
      <c r="B384" s="924" t="s">
        <v>789</v>
      </c>
      <c r="C384" s="924" t="s">
        <v>1162</v>
      </c>
      <c r="D384" s="924" t="s">
        <v>1163</v>
      </c>
      <c r="E384" s="924" t="s">
        <v>856</v>
      </c>
      <c r="F384" s="924" t="s">
        <v>1088</v>
      </c>
      <c r="G384" s="924" t="s">
        <v>981</v>
      </c>
      <c r="H384" s="924" t="s">
        <v>835</v>
      </c>
      <c r="I384" s="924" t="s">
        <v>998</v>
      </c>
      <c r="J384" s="924" t="s">
        <v>940</v>
      </c>
      <c r="K384" s="924" t="s">
        <v>1089</v>
      </c>
      <c r="L384" s="925">
        <v>1624.3427238464401</v>
      </c>
      <c r="M384" s="925">
        <v>2.9673613235354401</v>
      </c>
    </row>
    <row r="385" spans="1:13" ht="11.25" customHeight="1" x14ac:dyDescent="0.2">
      <c r="A385" s="924" t="s">
        <v>853</v>
      </c>
      <c r="B385" s="924" t="s">
        <v>789</v>
      </c>
      <c r="C385" s="924" t="s">
        <v>1162</v>
      </c>
      <c r="D385" s="924" t="s">
        <v>1163</v>
      </c>
      <c r="E385" s="924" t="s">
        <v>856</v>
      </c>
      <c r="F385" s="924" t="s">
        <v>1090</v>
      </c>
      <c r="G385" s="924" t="s">
        <v>981</v>
      </c>
      <c r="H385" s="924" t="s">
        <v>835</v>
      </c>
      <c r="I385" s="924" t="s">
        <v>998</v>
      </c>
      <c r="J385" s="924" t="s">
        <v>940</v>
      </c>
      <c r="K385" s="924" t="s">
        <v>1091</v>
      </c>
      <c r="L385" s="925">
        <v>317.29564666748001</v>
      </c>
      <c r="M385" s="925">
        <v>0.54037254583090499</v>
      </c>
    </row>
    <row r="386" spans="1:13" ht="11.25" customHeight="1" x14ac:dyDescent="0.2">
      <c r="A386" s="924" t="s">
        <v>853</v>
      </c>
      <c r="B386" s="924" t="s">
        <v>789</v>
      </c>
      <c r="C386" s="924" t="s">
        <v>1162</v>
      </c>
      <c r="D386" s="924" t="s">
        <v>1163</v>
      </c>
      <c r="E386" s="924" t="s">
        <v>856</v>
      </c>
      <c r="F386" s="924" t="s">
        <v>1092</v>
      </c>
      <c r="G386" s="924" t="s">
        <v>981</v>
      </c>
      <c r="H386" s="924" t="s">
        <v>835</v>
      </c>
      <c r="I386" s="924" t="s">
        <v>998</v>
      </c>
      <c r="J386" s="924" t="s">
        <v>940</v>
      </c>
      <c r="K386" s="924" t="s">
        <v>1093</v>
      </c>
      <c r="L386" s="925">
        <v>1416.18462133408</v>
      </c>
      <c r="M386" s="925">
        <v>2.8024016274139298</v>
      </c>
    </row>
    <row r="387" spans="1:13" ht="11.25" customHeight="1" x14ac:dyDescent="0.2">
      <c r="A387" s="924" t="s">
        <v>853</v>
      </c>
      <c r="B387" s="924" t="s">
        <v>789</v>
      </c>
      <c r="C387" s="924" t="s">
        <v>1162</v>
      </c>
      <c r="D387" s="924" t="s">
        <v>1163</v>
      </c>
      <c r="E387" s="924" t="s">
        <v>856</v>
      </c>
      <c r="F387" s="924" t="s">
        <v>1094</v>
      </c>
      <c r="G387" s="924" t="s">
        <v>981</v>
      </c>
      <c r="H387" s="924" t="s">
        <v>835</v>
      </c>
      <c r="I387" s="924" t="s">
        <v>998</v>
      </c>
      <c r="J387" s="924" t="s">
        <v>940</v>
      </c>
      <c r="K387" s="924" t="s">
        <v>1095</v>
      </c>
      <c r="L387" s="925">
        <v>204.21056616306299</v>
      </c>
      <c r="M387" s="925">
        <v>0.38087924779392801</v>
      </c>
    </row>
    <row r="388" spans="1:13" ht="11.25" customHeight="1" x14ac:dyDescent="0.2">
      <c r="A388" s="924" t="s">
        <v>853</v>
      </c>
      <c r="B388" s="924" t="s">
        <v>789</v>
      </c>
      <c r="C388" s="924" t="s">
        <v>1162</v>
      </c>
      <c r="D388" s="924" t="s">
        <v>1163</v>
      </c>
      <c r="E388" s="924" t="s">
        <v>856</v>
      </c>
      <c r="F388" s="924" t="s">
        <v>1096</v>
      </c>
      <c r="G388" s="924" t="s">
        <v>981</v>
      </c>
      <c r="H388" s="924" t="s">
        <v>835</v>
      </c>
      <c r="I388" s="924" t="s">
        <v>998</v>
      </c>
      <c r="J388" s="924" t="s">
        <v>940</v>
      </c>
      <c r="K388" s="924" t="s">
        <v>1023</v>
      </c>
      <c r="L388" s="925">
        <v>1322.3781099319499</v>
      </c>
      <c r="M388" s="925">
        <v>2.4732939563691598</v>
      </c>
    </row>
    <row r="389" spans="1:13" ht="11.25" customHeight="1" x14ac:dyDescent="0.2">
      <c r="A389" s="924" t="s">
        <v>853</v>
      </c>
      <c r="B389" s="924" t="s">
        <v>789</v>
      </c>
      <c r="C389" s="924" t="s">
        <v>1162</v>
      </c>
      <c r="D389" s="924" t="s">
        <v>1163</v>
      </c>
      <c r="E389" s="924" t="s">
        <v>856</v>
      </c>
      <c r="F389" s="924" t="s">
        <v>1097</v>
      </c>
      <c r="G389" s="924" t="s">
        <v>981</v>
      </c>
      <c r="H389" s="924" t="s">
        <v>835</v>
      </c>
      <c r="I389" s="924" t="s">
        <v>998</v>
      </c>
      <c r="J389" s="924" t="s">
        <v>940</v>
      </c>
      <c r="K389" s="924" t="s">
        <v>1098</v>
      </c>
      <c r="L389" s="925">
        <v>102.166026115417</v>
      </c>
      <c r="M389" s="925">
        <v>0.69794469326734498</v>
      </c>
    </row>
    <row r="390" spans="1:13" ht="11.25" customHeight="1" x14ac:dyDescent="0.2">
      <c r="A390" s="924" t="s">
        <v>853</v>
      </c>
      <c r="B390" s="924" t="s">
        <v>789</v>
      </c>
      <c r="C390" s="924" t="s">
        <v>1162</v>
      </c>
      <c r="D390" s="924" t="s">
        <v>1163</v>
      </c>
      <c r="E390" s="924" t="s">
        <v>856</v>
      </c>
      <c r="F390" s="924" t="s">
        <v>1099</v>
      </c>
      <c r="G390" s="924" t="s">
        <v>981</v>
      </c>
      <c r="H390" s="924" t="s">
        <v>835</v>
      </c>
      <c r="I390" s="924" t="s">
        <v>998</v>
      </c>
      <c r="J390" s="924" t="s">
        <v>940</v>
      </c>
      <c r="K390" s="924" t="s">
        <v>1025</v>
      </c>
      <c r="L390" s="925">
        <v>487.038867950439</v>
      </c>
      <c r="M390" s="925">
        <v>3.32283911108971</v>
      </c>
    </row>
    <row r="391" spans="1:13" ht="11.25" customHeight="1" x14ac:dyDescent="0.2">
      <c r="A391" s="924" t="s">
        <v>853</v>
      </c>
      <c r="B391" s="924" t="s">
        <v>789</v>
      </c>
      <c r="C391" s="924" t="s">
        <v>1162</v>
      </c>
      <c r="D391" s="924" t="s">
        <v>1163</v>
      </c>
      <c r="E391" s="924" t="s">
        <v>856</v>
      </c>
      <c r="F391" s="924" t="s">
        <v>1100</v>
      </c>
      <c r="G391" s="924" t="s">
        <v>981</v>
      </c>
      <c r="H391" s="924" t="s">
        <v>835</v>
      </c>
      <c r="I391" s="924" t="s">
        <v>998</v>
      </c>
      <c r="J391" s="924" t="s">
        <v>940</v>
      </c>
      <c r="K391" s="924" t="s">
        <v>1032</v>
      </c>
      <c r="L391" s="925">
        <v>0.705629464937374</v>
      </c>
      <c r="M391" s="925">
        <v>1.4147161782602799E-3</v>
      </c>
    </row>
    <row r="392" spans="1:13" ht="11.25" customHeight="1" x14ac:dyDescent="0.2">
      <c r="A392" s="924" t="s">
        <v>853</v>
      </c>
      <c r="B392" s="924" t="s">
        <v>789</v>
      </c>
      <c r="C392" s="924" t="s">
        <v>1162</v>
      </c>
      <c r="D392" s="924" t="s">
        <v>1163</v>
      </c>
      <c r="E392" s="924" t="s">
        <v>856</v>
      </c>
      <c r="F392" s="924" t="s">
        <v>1101</v>
      </c>
      <c r="G392" s="924" t="s">
        <v>981</v>
      </c>
      <c r="H392" s="924" t="s">
        <v>835</v>
      </c>
      <c r="I392" s="924" t="s">
        <v>998</v>
      </c>
      <c r="J392" s="924" t="s">
        <v>870</v>
      </c>
      <c r="K392" s="924" t="s">
        <v>961</v>
      </c>
      <c r="L392" s="925">
        <v>0.133740347315324</v>
      </c>
      <c r="M392" s="925">
        <v>2.20200302806006E-4</v>
      </c>
    </row>
    <row r="393" spans="1:13" ht="11.25" customHeight="1" x14ac:dyDescent="0.2">
      <c r="A393" s="924" t="s">
        <v>853</v>
      </c>
      <c r="B393" s="924" t="s">
        <v>789</v>
      </c>
      <c r="C393" s="924" t="s">
        <v>1162</v>
      </c>
      <c r="D393" s="924" t="s">
        <v>1163</v>
      </c>
      <c r="E393" s="924" t="s">
        <v>856</v>
      </c>
      <c r="F393" s="924" t="s">
        <v>1081</v>
      </c>
      <c r="G393" s="924" t="s">
        <v>981</v>
      </c>
      <c r="H393" s="924" t="s">
        <v>835</v>
      </c>
      <c r="I393" s="924" t="s">
        <v>998</v>
      </c>
      <c r="J393" s="924" t="s">
        <v>863</v>
      </c>
      <c r="K393" s="924" t="s">
        <v>935</v>
      </c>
      <c r="L393" s="925">
        <v>3.0726180896163</v>
      </c>
      <c r="M393" s="925">
        <v>6.8654866117867598E-3</v>
      </c>
    </row>
    <row r="394" spans="1:13" ht="11.25" customHeight="1" x14ac:dyDescent="0.2">
      <c r="A394" s="924" t="s">
        <v>853</v>
      </c>
      <c r="B394" s="924" t="s">
        <v>789</v>
      </c>
      <c r="C394" s="924" t="s">
        <v>1162</v>
      </c>
      <c r="D394" s="924" t="s">
        <v>1163</v>
      </c>
      <c r="E394" s="924" t="s">
        <v>856</v>
      </c>
      <c r="F394" s="924" t="s">
        <v>1122</v>
      </c>
      <c r="G394" s="924" t="s">
        <v>981</v>
      </c>
      <c r="H394" s="924" t="s">
        <v>835</v>
      </c>
      <c r="I394" s="924" t="s">
        <v>1040</v>
      </c>
      <c r="J394" s="924" t="s">
        <v>875</v>
      </c>
      <c r="K394" s="924" t="s">
        <v>950</v>
      </c>
      <c r="L394" s="925">
        <v>2810.1017227172902</v>
      </c>
      <c r="M394" s="925">
        <v>1.9479748233227401</v>
      </c>
    </row>
    <row r="395" spans="1:13" ht="11.25" customHeight="1" x14ac:dyDescent="0.2">
      <c r="A395" s="924" t="s">
        <v>853</v>
      </c>
      <c r="B395" s="924" t="s">
        <v>789</v>
      </c>
      <c r="C395" s="924" t="s">
        <v>1162</v>
      </c>
      <c r="D395" s="924" t="s">
        <v>1163</v>
      </c>
      <c r="E395" s="924" t="s">
        <v>856</v>
      </c>
      <c r="F395" s="924" t="s">
        <v>1109</v>
      </c>
      <c r="G395" s="924" t="s">
        <v>981</v>
      </c>
      <c r="H395" s="924" t="s">
        <v>835</v>
      </c>
      <c r="I395" s="924" t="s">
        <v>1040</v>
      </c>
      <c r="J395" s="924" t="s">
        <v>870</v>
      </c>
      <c r="K395" s="924" t="s">
        <v>976</v>
      </c>
      <c r="L395" s="925">
        <v>1.25557922571898</v>
      </c>
      <c r="M395" s="925">
        <v>2.5679643317966201E-4</v>
      </c>
    </row>
    <row r="396" spans="1:13" ht="11.25" customHeight="1" x14ac:dyDescent="0.2">
      <c r="A396" s="924" t="s">
        <v>853</v>
      </c>
      <c r="B396" s="924" t="s">
        <v>789</v>
      </c>
      <c r="C396" s="924" t="s">
        <v>1162</v>
      </c>
      <c r="D396" s="924" t="s">
        <v>1163</v>
      </c>
      <c r="E396" s="924" t="s">
        <v>856</v>
      </c>
      <c r="F396" s="924" t="s">
        <v>1110</v>
      </c>
      <c r="G396" s="924" t="s">
        <v>981</v>
      </c>
      <c r="H396" s="924" t="s">
        <v>835</v>
      </c>
      <c r="I396" s="924" t="s">
        <v>1040</v>
      </c>
      <c r="J396" s="924" t="s">
        <v>870</v>
      </c>
      <c r="K396" s="924" t="s">
        <v>1019</v>
      </c>
      <c r="L396" s="925">
        <v>9.6962103452824504E-3</v>
      </c>
      <c r="M396" s="925">
        <v>8.1200672079617692E-6</v>
      </c>
    </row>
    <row r="397" spans="1:13" ht="11.25" customHeight="1" x14ac:dyDescent="0.2">
      <c r="A397" s="924" t="s">
        <v>853</v>
      </c>
      <c r="B397" s="924" t="s">
        <v>789</v>
      </c>
      <c r="C397" s="924" t="s">
        <v>1162</v>
      </c>
      <c r="D397" s="924" t="s">
        <v>1163</v>
      </c>
      <c r="E397" s="924" t="s">
        <v>856</v>
      </c>
      <c r="F397" s="924" t="s">
        <v>1111</v>
      </c>
      <c r="G397" s="924" t="s">
        <v>981</v>
      </c>
      <c r="H397" s="924" t="s">
        <v>835</v>
      </c>
      <c r="I397" s="924" t="s">
        <v>1040</v>
      </c>
      <c r="J397" s="924" t="s">
        <v>870</v>
      </c>
      <c r="K397" s="924" t="s">
        <v>1016</v>
      </c>
      <c r="L397" s="925">
        <v>0.86807573656551495</v>
      </c>
      <c r="M397" s="925">
        <v>7.2932733343122902E-4</v>
      </c>
    </row>
    <row r="398" spans="1:13" ht="11.25" customHeight="1" x14ac:dyDescent="0.2">
      <c r="A398" s="924" t="s">
        <v>853</v>
      </c>
      <c r="B398" s="924" t="s">
        <v>789</v>
      </c>
      <c r="C398" s="924" t="s">
        <v>1162</v>
      </c>
      <c r="D398" s="924" t="s">
        <v>1163</v>
      </c>
      <c r="E398" s="924" t="s">
        <v>856</v>
      </c>
      <c r="F398" s="924" t="s">
        <v>1112</v>
      </c>
      <c r="G398" s="924" t="s">
        <v>981</v>
      </c>
      <c r="H398" s="924" t="s">
        <v>835</v>
      </c>
      <c r="I398" s="924" t="s">
        <v>1040</v>
      </c>
      <c r="J398" s="924" t="s">
        <v>870</v>
      </c>
      <c r="K398" s="924" t="s">
        <v>959</v>
      </c>
      <c r="L398" s="925">
        <v>0.26744537340709901</v>
      </c>
      <c r="M398" s="925">
        <v>1.7619967934479099E-4</v>
      </c>
    </row>
    <row r="399" spans="1:13" ht="11.25" customHeight="1" x14ac:dyDescent="0.2">
      <c r="A399" s="924" t="s">
        <v>853</v>
      </c>
      <c r="B399" s="924" t="s">
        <v>789</v>
      </c>
      <c r="C399" s="924" t="s">
        <v>1162</v>
      </c>
      <c r="D399" s="924" t="s">
        <v>1163</v>
      </c>
      <c r="E399" s="924" t="s">
        <v>856</v>
      </c>
      <c r="F399" s="924" t="s">
        <v>1113</v>
      </c>
      <c r="G399" s="924" t="s">
        <v>981</v>
      </c>
      <c r="H399" s="924" t="s">
        <v>835</v>
      </c>
      <c r="I399" s="924" t="s">
        <v>1040</v>
      </c>
      <c r="J399" s="924" t="s">
        <v>870</v>
      </c>
      <c r="K399" s="924" t="s">
        <v>961</v>
      </c>
      <c r="L399" s="925">
        <v>2.9225632678717401</v>
      </c>
      <c r="M399" s="925">
        <v>2.2121667664123401E-3</v>
      </c>
    </row>
    <row r="400" spans="1:13" ht="11.25" customHeight="1" x14ac:dyDescent="0.2">
      <c r="A400" s="924" t="s">
        <v>853</v>
      </c>
      <c r="B400" s="924" t="s">
        <v>789</v>
      </c>
      <c r="C400" s="924" t="s">
        <v>1162</v>
      </c>
      <c r="D400" s="924" t="s">
        <v>1163</v>
      </c>
      <c r="E400" s="924" t="s">
        <v>856</v>
      </c>
      <c r="F400" s="924" t="s">
        <v>1114</v>
      </c>
      <c r="G400" s="924" t="s">
        <v>981</v>
      </c>
      <c r="H400" s="924" t="s">
        <v>835</v>
      </c>
      <c r="I400" s="924" t="s">
        <v>1040</v>
      </c>
      <c r="J400" s="924" t="s">
        <v>870</v>
      </c>
      <c r="K400" s="924" t="s">
        <v>963</v>
      </c>
      <c r="L400" s="925">
        <v>6.3737474624067501</v>
      </c>
      <c r="M400" s="925">
        <v>1.05841913991753E-2</v>
      </c>
    </row>
    <row r="401" spans="1:13" ht="11.25" customHeight="1" x14ac:dyDescent="0.2">
      <c r="A401" s="924" t="s">
        <v>853</v>
      </c>
      <c r="B401" s="924" t="s">
        <v>789</v>
      </c>
      <c r="C401" s="924" t="s">
        <v>1162</v>
      </c>
      <c r="D401" s="924" t="s">
        <v>1163</v>
      </c>
      <c r="E401" s="924" t="s">
        <v>856</v>
      </c>
      <c r="F401" s="924" t="s">
        <v>1115</v>
      </c>
      <c r="G401" s="924" t="s">
        <v>981</v>
      </c>
      <c r="H401" s="924" t="s">
        <v>835</v>
      </c>
      <c r="I401" s="924" t="s">
        <v>1040</v>
      </c>
      <c r="J401" s="924" t="s">
        <v>870</v>
      </c>
      <c r="K401" s="924" t="s">
        <v>965</v>
      </c>
      <c r="L401" s="925">
        <v>1.37476520985365</v>
      </c>
      <c r="M401" s="925">
        <v>1.1550299429927699E-3</v>
      </c>
    </row>
    <row r="402" spans="1:13" ht="11.25" customHeight="1" x14ac:dyDescent="0.2">
      <c r="A402" s="924" t="s">
        <v>853</v>
      </c>
      <c r="B402" s="924" t="s">
        <v>789</v>
      </c>
      <c r="C402" s="924" t="s">
        <v>1162</v>
      </c>
      <c r="D402" s="924" t="s">
        <v>1163</v>
      </c>
      <c r="E402" s="924" t="s">
        <v>856</v>
      </c>
      <c r="F402" s="924" t="s">
        <v>1130</v>
      </c>
      <c r="G402" s="924" t="s">
        <v>981</v>
      </c>
      <c r="H402" s="924" t="s">
        <v>835</v>
      </c>
      <c r="I402" s="924" t="s">
        <v>1040</v>
      </c>
      <c r="J402" s="924" t="s">
        <v>870</v>
      </c>
      <c r="K402" s="924" t="s">
        <v>871</v>
      </c>
      <c r="L402" s="925">
        <v>1.98104195436463</v>
      </c>
      <c r="M402" s="925">
        <v>1.5767120028158401E-3</v>
      </c>
    </row>
    <row r="403" spans="1:13" ht="11.25" customHeight="1" x14ac:dyDescent="0.2">
      <c r="A403" s="924" t="s">
        <v>853</v>
      </c>
      <c r="B403" s="924" t="s">
        <v>789</v>
      </c>
      <c r="C403" s="924" t="s">
        <v>1162</v>
      </c>
      <c r="D403" s="924" t="s">
        <v>1163</v>
      </c>
      <c r="E403" s="924" t="s">
        <v>856</v>
      </c>
      <c r="F403" s="924" t="s">
        <v>1117</v>
      </c>
      <c r="G403" s="924" t="s">
        <v>981</v>
      </c>
      <c r="H403" s="924" t="s">
        <v>835</v>
      </c>
      <c r="I403" s="924" t="s">
        <v>1040</v>
      </c>
      <c r="J403" s="924" t="s">
        <v>870</v>
      </c>
      <c r="K403" s="924" t="s">
        <v>873</v>
      </c>
      <c r="L403" s="925">
        <v>2.1843552258796999</v>
      </c>
      <c r="M403" s="925">
        <v>2.1899249418311199E-4</v>
      </c>
    </row>
    <row r="404" spans="1:13" ht="11.25" customHeight="1" x14ac:dyDescent="0.2">
      <c r="A404" s="924" t="s">
        <v>853</v>
      </c>
      <c r="B404" s="924" t="s">
        <v>789</v>
      </c>
      <c r="C404" s="924" t="s">
        <v>1162</v>
      </c>
      <c r="D404" s="924" t="s">
        <v>1163</v>
      </c>
      <c r="E404" s="924" t="s">
        <v>856</v>
      </c>
      <c r="F404" s="924" t="s">
        <v>1104</v>
      </c>
      <c r="G404" s="924" t="s">
        <v>981</v>
      </c>
      <c r="H404" s="924" t="s">
        <v>835</v>
      </c>
      <c r="I404" s="924" t="s">
        <v>1040</v>
      </c>
      <c r="J404" s="924" t="s">
        <v>875</v>
      </c>
      <c r="K404" s="924" t="s">
        <v>876</v>
      </c>
      <c r="L404" s="925">
        <v>6251.1146545410202</v>
      </c>
      <c r="M404" s="925">
        <v>4.2047316916286901</v>
      </c>
    </row>
    <row r="405" spans="1:13" ht="11.25" customHeight="1" x14ac:dyDescent="0.2">
      <c r="A405" s="924" t="s">
        <v>853</v>
      </c>
      <c r="B405" s="924" t="s">
        <v>789</v>
      </c>
      <c r="C405" s="924" t="s">
        <v>1162</v>
      </c>
      <c r="D405" s="924" t="s">
        <v>1163</v>
      </c>
      <c r="E405" s="924" t="s">
        <v>856</v>
      </c>
      <c r="F405" s="924" t="s">
        <v>1119</v>
      </c>
      <c r="G405" s="924" t="s">
        <v>981</v>
      </c>
      <c r="H405" s="924" t="s">
        <v>835</v>
      </c>
      <c r="I405" s="924" t="s">
        <v>1040</v>
      </c>
      <c r="J405" s="924" t="s">
        <v>875</v>
      </c>
      <c r="K405" s="924" t="s">
        <v>878</v>
      </c>
      <c r="L405" s="925">
        <v>1561.16843223572</v>
      </c>
      <c r="M405" s="925">
        <v>1.0387098160863399</v>
      </c>
    </row>
    <row r="406" spans="1:13" ht="11.25" customHeight="1" x14ac:dyDescent="0.2">
      <c r="A406" s="924" t="s">
        <v>853</v>
      </c>
      <c r="B406" s="924" t="s">
        <v>789</v>
      </c>
      <c r="C406" s="924" t="s">
        <v>1162</v>
      </c>
      <c r="D406" s="924" t="s">
        <v>1163</v>
      </c>
      <c r="E406" s="924" t="s">
        <v>856</v>
      </c>
      <c r="F406" s="924" t="s">
        <v>1108</v>
      </c>
      <c r="G406" s="924" t="s">
        <v>981</v>
      </c>
      <c r="H406" s="924" t="s">
        <v>835</v>
      </c>
      <c r="I406" s="924" t="s">
        <v>1040</v>
      </c>
      <c r="J406" s="924" t="s">
        <v>870</v>
      </c>
      <c r="K406" s="924" t="s">
        <v>1036</v>
      </c>
      <c r="L406" s="925">
        <v>0.32538662257138601</v>
      </c>
      <c r="M406" s="925">
        <v>2.2002982620961101E-4</v>
      </c>
    </row>
    <row r="407" spans="1:13" ht="11.25" customHeight="1" x14ac:dyDescent="0.2">
      <c r="A407" s="924" t="s">
        <v>853</v>
      </c>
      <c r="B407" s="924" t="s">
        <v>789</v>
      </c>
      <c r="C407" s="924" t="s">
        <v>1162</v>
      </c>
      <c r="D407" s="924" t="s">
        <v>1163</v>
      </c>
      <c r="E407" s="924" t="s">
        <v>856</v>
      </c>
      <c r="F407" s="924" t="s">
        <v>1121</v>
      </c>
      <c r="G407" s="924" t="s">
        <v>981</v>
      </c>
      <c r="H407" s="924" t="s">
        <v>835</v>
      </c>
      <c r="I407" s="924" t="s">
        <v>1040</v>
      </c>
      <c r="J407" s="924" t="s">
        <v>875</v>
      </c>
      <c r="K407" s="924" t="s">
        <v>948</v>
      </c>
      <c r="L407" s="925">
        <v>1776.6466865539601</v>
      </c>
      <c r="M407" s="925">
        <v>1.1108145397120099</v>
      </c>
    </row>
    <row r="408" spans="1:13" ht="11.25" customHeight="1" x14ac:dyDescent="0.2">
      <c r="A408" s="924" t="s">
        <v>853</v>
      </c>
      <c r="B408" s="924" t="s">
        <v>789</v>
      </c>
      <c r="C408" s="924" t="s">
        <v>1162</v>
      </c>
      <c r="D408" s="924" t="s">
        <v>1163</v>
      </c>
      <c r="E408" s="924" t="s">
        <v>856</v>
      </c>
      <c r="F408" s="924" t="s">
        <v>1133</v>
      </c>
      <c r="G408" s="924" t="s">
        <v>911</v>
      </c>
      <c r="H408" s="924" t="s">
        <v>665</v>
      </c>
      <c r="I408" s="924" t="s">
        <v>706</v>
      </c>
      <c r="J408" s="924" t="s">
        <v>859</v>
      </c>
      <c r="K408" s="924" t="s">
        <v>899</v>
      </c>
      <c r="L408" s="925">
        <v>1.15594115946442</v>
      </c>
      <c r="M408" s="925">
        <v>1.15162154628479E-4</v>
      </c>
    </row>
    <row r="409" spans="1:13" ht="11.25" customHeight="1" x14ac:dyDescent="0.2">
      <c r="A409" s="924" t="s">
        <v>853</v>
      </c>
      <c r="B409" s="924" t="s">
        <v>789</v>
      </c>
      <c r="C409" s="924" t="s">
        <v>1162</v>
      </c>
      <c r="D409" s="924" t="s">
        <v>1163</v>
      </c>
      <c r="E409" s="924" t="s">
        <v>856</v>
      </c>
      <c r="F409" s="924" t="s">
        <v>1123</v>
      </c>
      <c r="G409" s="924" t="s">
        <v>981</v>
      </c>
      <c r="H409" s="924" t="s">
        <v>835</v>
      </c>
      <c r="I409" s="924" t="s">
        <v>1040</v>
      </c>
      <c r="J409" s="924" t="s">
        <v>875</v>
      </c>
      <c r="K409" s="924" t="s">
        <v>952</v>
      </c>
      <c r="L409" s="925">
        <v>131.82285368442501</v>
      </c>
      <c r="M409" s="925">
        <v>9.1655699023846196E-2</v>
      </c>
    </row>
    <row r="410" spans="1:13" ht="11.25" customHeight="1" x14ac:dyDescent="0.2">
      <c r="A410" s="924" t="s">
        <v>853</v>
      </c>
      <c r="B410" s="924" t="s">
        <v>789</v>
      </c>
      <c r="C410" s="924" t="s">
        <v>1162</v>
      </c>
      <c r="D410" s="924" t="s">
        <v>1163</v>
      </c>
      <c r="E410" s="924" t="s">
        <v>856</v>
      </c>
      <c r="F410" s="924" t="s">
        <v>1124</v>
      </c>
      <c r="G410" s="924" t="s">
        <v>981</v>
      </c>
      <c r="H410" s="924" t="s">
        <v>835</v>
      </c>
      <c r="I410" s="924" t="s">
        <v>1040</v>
      </c>
      <c r="J410" s="924" t="s">
        <v>956</v>
      </c>
      <c r="K410" s="924" t="s">
        <v>1125</v>
      </c>
      <c r="L410" s="925">
        <v>21.329330921173099</v>
      </c>
      <c r="M410" s="925">
        <v>1.7061999022985198E-2</v>
      </c>
    </row>
    <row r="411" spans="1:13" ht="11.25" customHeight="1" x14ac:dyDescent="0.2">
      <c r="A411" s="924" t="s">
        <v>853</v>
      </c>
      <c r="B411" s="924" t="s">
        <v>789</v>
      </c>
      <c r="C411" s="924" t="s">
        <v>1162</v>
      </c>
      <c r="D411" s="924" t="s">
        <v>1163</v>
      </c>
      <c r="E411" s="924" t="s">
        <v>856</v>
      </c>
      <c r="F411" s="924" t="s">
        <v>1126</v>
      </c>
      <c r="G411" s="924" t="s">
        <v>981</v>
      </c>
      <c r="H411" s="924" t="s">
        <v>835</v>
      </c>
      <c r="I411" s="924" t="s">
        <v>1040</v>
      </c>
      <c r="J411" s="924" t="s">
        <v>956</v>
      </c>
      <c r="K411" s="924" t="s">
        <v>957</v>
      </c>
      <c r="L411" s="925">
        <v>0.24575243354775</v>
      </c>
      <c r="M411" s="925">
        <v>1.92772083210002E-4</v>
      </c>
    </row>
    <row r="412" spans="1:13" ht="11.25" customHeight="1" x14ac:dyDescent="0.2">
      <c r="A412" s="924" t="s">
        <v>853</v>
      </c>
      <c r="B412" s="924" t="s">
        <v>789</v>
      </c>
      <c r="C412" s="924" t="s">
        <v>1162</v>
      </c>
      <c r="D412" s="924" t="s">
        <v>1163</v>
      </c>
      <c r="E412" s="924" t="s">
        <v>856</v>
      </c>
      <c r="F412" s="924" t="s">
        <v>1127</v>
      </c>
      <c r="G412" s="924" t="s">
        <v>911</v>
      </c>
      <c r="H412" s="924" t="s">
        <v>665</v>
      </c>
      <c r="I412" s="924" t="s">
        <v>706</v>
      </c>
      <c r="J412" s="924" t="s">
        <v>884</v>
      </c>
      <c r="K412" s="924" t="s">
        <v>885</v>
      </c>
      <c r="L412" s="925">
        <v>14.7506283223629</v>
      </c>
      <c r="M412" s="925">
        <v>6.4096613587025803E-3</v>
      </c>
    </row>
    <row r="413" spans="1:13" ht="11.25" customHeight="1" x14ac:dyDescent="0.2">
      <c r="A413" s="924" t="s">
        <v>853</v>
      </c>
      <c r="B413" s="924" t="s">
        <v>789</v>
      </c>
      <c r="C413" s="924" t="s">
        <v>1162</v>
      </c>
      <c r="D413" s="924" t="s">
        <v>1163</v>
      </c>
      <c r="E413" s="924" t="s">
        <v>856</v>
      </c>
      <c r="F413" s="924" t="s">
        <v>1128</v>
      </c>
      <c r="G413" s="924" t="s">
        <v>911</v>
      </c>
      <c r="H413" s="924" t="s">
        <v>665</v>
      </c>
      <c r="I413" s="924" t="s">
        <v>706</v>
      </c>
      <c r="J413" s="924" t="s">
        <v>859</v>
      </c>
      <c r="K413" s="924" t="s">
        <v>913</v>
      </c>
      <c r="L413" s="925">
        <v>6.71965743601322</v>
      </c>
      <c r="M413" s="925">
        <v>7.4092966735861399E-4</v>
      </c>
    </row>
    <row r="414" spans="1:13" ht="11.25" customHeight="1" x14ac:dyDescent="0.2">
      <c r="A414" s="924" t="s">
        <v>853</v>
      </c>
      <c r="B414" s="924" t="s">
        <v>789</v>
      </c>
      <c r="C414" s="924" t="s">
        <v>1162</v>
      </c>
      <c r="D414" s="924" t="s">
        <v>1163</v>
      </c>
      <c r="E414" s="924" t="s">
        <v>856</v>
      </c>
      <c r="F414" s="924" t="s">
        <v>1118</v>
      </c>
      <c r="G414" s="924" t="s">
        <v>911</v>
      </c>
      <c r="H414" s="924" t="s">
        <v>665</v>
      </c>
      <c r="I414" s="924" t="s">
        <v>706</v>
      </c>
      <c r="J414" s="924" t="s">
        <v>859</v>
      </c>
      <c r="K414" s="924" t="s">
        <v>893</v>
      </c>
      <c r="L414" s="925">
        <v>11.394451752305001</v>
      </c>
      <c r="M414" s="925">
        <v>5.5127836048996003E-4</v>
      </c>
    </row>
    <row r="415" spans="1:13" ht="11.25" customHeight="1" x14ac:dyDescent="0.2">
      <c r="A415" s="924" t="s">
        <v>853</v>
      </c>
      <c r="B415" s="924" t="s">
        <v>789</v>
      </c>
      <c r="C415" s="924" t="s">
        <v>1162</v>
      </c>
      <c r="D415" s="924" t="s">
        <v>1163</v>
      </c>
      <c r="E415" s="924" t="s">
        <v>856</v>
      </c>
      <c r="F415" s="924" t="s">
        <v>1129</v>
      </c>
      <c r="G415" s="924" t="s">
        <v>911</v>
      </c>
      <c r="H415" s="924" t="s">
        <v>665</v>
      </c>
      <c r="I415" s="924" t="s">
        <v>706</v>
      </c>
      <c r="J415" s="924" t="s">
        <v>859</v>
      </c>
      <c r="K415" s="924" t="s">
        <v>897</v>
      </c>
      <c r="L415" s="925">
        <v>1.8557276222854899</v>
      </c>
      <c r="M415" s="925">
        <v>6.7449238110839404E-4</v>
      </c>
    </row>
    <row r="416" spans="1:13" ht="11.25" customHeight="1" x14ac:dyDescent="0.2">
      <c r="A416" s="924" t="s">
        <v>853</v>
      </c>
      <c r="B416" s="924" t="s">
        <v>789</v>
      </c>
      <c r="C416" s="924" t="s">
        <v>1162</v>
      </c>
      <c r="D416" s="924" t="s">
        <v>1163</v>
      </c>
      <c r="E416" s="924" t="s">
        <v>856</v>
      </c>
      <c r="F416" s="924" t="s">
        <v>1138</v>
      </c>
      <c r="G416" s="924" t="s">
        <v>981</v>
      </c>
      <c r="H416" s="924" t="s">
        <v>835</v>
      </c>
      <c r="I416" s="924" t="s">
        <v>1040</v>
      </c>
      <c r="J416" s="924" t="s">
        <v>863</v>
      </c>
      <c r="K416" s="924" t="s">
        <v>931</v>
      </c>
      <c r="L416" s="925">
        <v>335.090198040009</v>
      </c>
      <c r="M416" s="925">
        <v>0.129289887379855</v>
      </c>
    </row>
    <row r="417" spans="1:13" ht="11.25" customHeight="1" x14ac:dyDescent="0.2">
      <c r="A417" s="924" t="s">
        <v>853</v>
      </c>
      <c r="B417" s="924" t="s">
        <v>789</v>
      </c>
      <c r="C417" s="924" t="s">
        <v>1162</v>
      </c>
      <c r="D417" s="924" t="s">
        <v>1163</v>
      </c>
      <c r="E417" s="924" t="s">
        <v>856</v>
      </c>
      <c r="F417" s="924" t="s">
        <v>1074</v>
      </c>
      <c r="G417" s="924" t="s">
        <v>911</v>
      </c>
      <c r="H417" s="924" t="s">
        <v>665</v>
      </c>
      <c r="I417" s="924" t="s">
        <v>706</v>
      </c>
      <c r="J417" s="924" t="s">
        <v>859</v>
      </c>
      <c r="K417" s="924" t="s">
        <v>903</v>
      </c>
      <c r="L417" s="925">
        <v>20.752687841653799</v>
      </c>
      <c r="M417" s="925">
        <v>2.3177178500191102E-3</v>
      </c>
    </row>
    <row r="418" spans="1:13" ht="11.25" customHeight="1" x14ac:dyDescent="0.2">
      <c r="A418" s="924" t="s">
        <v>853</v>
      </c>
      <c r="B418" s="924" t="s">
        <v>789</v>
      </c>
      <c r="C418" s="924" t="s">
        <v>1162</v>
      </c>
      <c r="D418" s="924" t="s">
        <v>1163</v>
      </c>
      <c r="E418" s="924" t="s">
        <v>856</v>
      </c>
      <c r="F418" s="924" t="s">
        <v>1054</v>
      </c>
      <c r="G418" s="924" t="s">
        <v>981</v>
      </c>
      <c r="H418" s="924" t="s">
        <v>835</v>
      </c>
      <c r="I418" s="924" t="s">
        <v>998</v>
      </c>
      <c r="J418" s="924" t="s">
        <v>875</v>
      </c>
      <c r="K418" s="924" t="s">
        <v>880</v>
      </c>
      <c r="L418" s="925">
        <v>7.0321291859727394E-2</v>
      </c>
      <c r="M418" s="925">
        <v>1.5712589924987699E-4</v>
      </c>
    </row>
    <row r="419" spans="1:13" ht="11.25" customHeight="1" x14ac:dyDescent="0.2">
      <c r="A419" s="924" t="s">
        <v>853</v>
      </c>
      <c r="B419" s="924" t="s">
        <v>789</v>
      </c>
      <c r="C419" s="924" t="s">
        <v>1162</v>
      </c>
      <c r="D419" s="924" t="s">
        <v>1163</v>
      </c>
      <c r="E419" s="924" t="s">
        <v>856</v>
      </c>
      <c r="F419" s="924" t="s">
        <v>910</v>
      </c>
      <c r="G419" s="924" t="s">
        <v>911</v>
      </c>
      <c r="H419" s="924" t="s">
        <v>665</v>
      </c>
      <c r="I419" s="924" t="s">
        <v>706</v>
      </c>
      <c r="J419" s="924" t="s">
        <v>859</v>
      </c>
      <c r="K419" s="924" t="s">
        <v>905</v>
      </c>
      <c r="L419" s="925">
        <v>8.1647201851010305</v>
      </c>
      <c r="M419" s="925">
        <v>6.67462904493732E-3</v>
      </c>
    </row>
    <row r="420" spans="1:13" ht="11.25" customHeight="1" x14ac:dyDescent="0.2">
      <c r="A420" s="924" t="s">
        <v>853</v>
      </c>
      <c r="B420" s="924" t="s">
        <v>789</v>
      </c>
      <c r="C420" s="924" t="s">
        <v>1162</v>
      </c>
      <c r="D420" s="924" t="s">
        <v>1163</v>
      </c>
      <c r="E420" s="924" t="s">
        <v>856</v>
      </c>
      <c r="F420" s="924" t="s">
        <v>1120</v>
      </c>
      <c r="G420" s="924" t="s">
        <v>981</v>
      </c>
      <c r="H420" s="924" t="s">
        <v>835</v>
      </c>
      <c r="I420" s="924" t="s">
        <v>1040</v>
      </c>
      <c r="J420" s="924" t="s">
        <v>875</v>
      </c>
      <c r="K420" s="924" t="s">
        <v>880</v>
      </c>
      <c r="L420" s="925">
        <v>825.67019367217995</v>
      </c>
      <c r="M420" s="925">
        <v>0.47912141454799001</v>
      </c>
    </row>
    <row r="421" spans="1:13" ht="11.25" customHeight="1" x14ac:dyDescent="0.2">
      <c r="A421" s="924" t="s">
        <v>853</v>
      </c>
      <c r="B421" s="924" t="s">
        <v>789</v>
      </c>
      <c r="C421" s="924" t="s">
        <v>1162</v>
      </c>
      <c r="D421" s="924" t="s">
        <v>1163</v>
      </c>
      <c r="E421" s="924" t="s">
        <v>856</v>
      </c>
      <c r="F421" s="924" t="s">
        <v>1144</v>
      </c>
      <c r="G421" s="924" t="s">
        <v>981</v>
      </c>
      <c r="H421" s="924" t="s">
        <v>835</v>
      </c>
      <c r="I421" s="924" t="s">
        <v>1040</v>
      </c>
      <c r="J421" s="924" t="s">
        <v>940</v>
      </c>
      <c r="K421" s="924" t="s">
        <v>1070</v>
      </c>
      <c r="L421" s="925">
        <v>2461.3936958313002</v>
      </c>
      <c r="M421" s="925">
        <v>1.7125160447321801</v>
      </c>
    </row>
    <row r="422" spans="1:13" ht="11.25" customHeight="1" x14ac:dyDescent="0.2">
      <c r="A422" s="924" t="s">
        <v>853</v>
      </c>
      <c r="B422" s="924" t="s">
        <v>789</v>
      </c>
      <c r="C422" s="924" t="s">
        <v>1162</v>
      </c>
      <c r="D422" s="924" t="s">
        <v>1163</v>
      </c>
      <c r="E422" s="924" t="s">
        <v>856</v>
      </c>
      <c r="F422" s="924" t="s">
        <v>1107</v>
      </c>
      <c r="G422" s="924" t="s">
        <v>981</v>
      </c>
      <c r="H422" s="924" t="s">
        <v>835</v>
      </c>
      <c r="I422" s="924" t="s">
        <v>1040</v>
      </c>
      <c r="J422" s="924" t="s">
        <v>940</v>
      </c>
      <c r="K422" s="924" t="s">
        <v>1034</v>
      </c>
      <c r="L422" s="925">
        <v>709.29765129089401</v>
      </c>
      <c r="M422" s="925">
        <v>0.51523607370700097</v>
      </c>
    </row>
    <row r="423" spans="1:13" ht="11.25" customHeight="1" x14ac:dyDescent="0.2">
      <c r="A423" s="924" t="s">
        <v>853</v>
      </c>
      <c r="B423" s="924" t="s">
        <v>789</v>
      </c>
      <c r="C423" s="924" t="s">
        <v>1162</v>
      </c>
      <c r="D423" s="924" t="s">
        <v>1163</v>
      </c>
      <c r="E423" s="924" t="s">
        <v>856</v>
      </c>
      <c r="F423" s="924" t="s">
        <v>1148</v>
      </c>
      <c r="G423" s="924" t="s">
        <v>981</v>
      </c>
      <c r="H423" s="924" t="s">
        <v>835</v>
      </c>
      <c r="I423" s="924" t="s">
        <v>1040</v>
      </c>
      <c r="J423" s="924" t="s">
        <v>863</v>
      </c>
      <c r="K423" s="924" t="s">
        <v>915</v>
      </c>
      <c r="L423" s="925">
        <v>23.613098323345199</v>
      </c>
      <c r="M423" s="925">
        <v>8.8203952900585102E-3</v>
      </c>
    </row>
    <row r="424" spans="1:13" ht="11.25" customHeight="1" x14ac:dyDescent="0.2">
      <c r="A424" s="924" t="s">
        <v>853</v>
      </c>
      <c r="B424" s="924" t="s">
        <v>789</v>
      </c>
      <c r="C424" s="924" t="s">
        <v>1162</v>
      </c>
      <c r="D424" s="924" t="s">
        <v>1163</v>
      </c>
      <c r="E424" s="924" t="s">
        <v>856</v>
      </c>
      <c r="F424" s="924" t="s">
        <v>1137</v>
      </c>
      <c r="G424" s="924" t="s">
        <v>981</v>
      </c>
      <c r="H424" s="924" t="s">
        <v>835</v>
      </c>
      <c r="I424" s="924" t="s">
        <v>1040</v>
      </c>
      <c r="J424" s="924" t="s">
        <v>863</v>
      </c>
      <c r="K424" s="924" t="s">
        <v>866</v>
      </c>
      <c r="L424" s="925">
        <v>18.820362508296999</v>
      </c>
      <c r="M424" s="925">
        <v>1.26353532541543E-2</v>
      </c>
    </row>
    <row r="425" spans="1:13" ht="11.25" customHeight="1" x14ac:dyDescent="0.2">
      <c r="A425" s="924" t="s">
        <v>853</v>
      </c>
      <c r="B425" s="924" t="s">
        <v>789</v>
      </c>
      <c r="C425" s="924" t="s">
        <v>1162</v>
      </c>
      <c r="D425" s="924" t="s">
        <v>1163</v>
      </c>
      <c r="E425" s="924" t="s">
        <v>856</v>
      </c>
      <c r="F425" s="924" t="s">
        <v>1131</v>
      </c>
      <c r="G425" s="924" t="s">
        <v>981</v>
      </c>
      <c r="H425" s="924" t="s">
        <v>835</v>
      </c>
      <c r="I425" s="924" t="s">
        <v>1040</v>
      </c>
      <c r="J425" s="924" t="s">
        <v>863</v>
      </c>
      <c r="K425" s="924" t="s">
        <v>868</v>
      </c>
      <c r="L425" s="925">
        <v>113.832181453705</v>
      </c>
      <c r="M425" s="925">
        <v>8.0521456402493606E-3</v>
      </c>
    </row>
    <row r="426" spans="1:13" ht="11.25" customHeight="1" x14ac:dyDescent="0.2">
      <c r="A426" s="924" t="s">
        <v>853</v>
      </c>
      <c r="B426" s="924" t="s">
        <v>789</v>
      </c>
      <c r="C426" s="924" t="s">
        <v>1162</v>
      </c>
      <c r="D426" s="924" t="s">
        <v>1163</v>
      </c>
      <c r="E426" s="924" t="s">
        <v>856</v>
      </c>
      <c r="F426" s="924" t="s">
        <v>1139</v>
      </c>
      <c r="G426" s="924" t="s">
        <v>981</v>
      </c>
      <c r="H426" s="924" t="s">
        <v>835</v>
      </c>
      <c r="I426" s="924" t="s">
        <v>1040</v>
      </c>
      <c r="J426" s="924" t="s">
        <v>940</v>
      </c>
      <c r="K426" s="924" t="s">
        <v>1140</v>
      </c>
      <c r="L426" s="925">
        <v>2899.7332191467299</v>
      </c>
      <c r="M426" s="925">
        <v>2.1222356257681301</v>
      </c>
    </row>
    <row r="427" spans="1:13" ht="11.25" customHeight="1" x14ac:dyDescent="0.2">
      <c r="A427" s="924" t="s">
        <v>853</v>
      </c>
      <c r="B427" s="924" t="s">
        <v>789</v>
      </c>
      <c r="C427" s="924" t="s">
        <v>1162</v>
      </c>
      <c r="D427" s="924" t="s">
        <v>1163</v>
      </c>
      <c r="E427" s="924" t="s">
        <v>856</v>
      </c>
      <c r="F427" s="924" t="s">
        <v>1143</v>
      </c>
      <c r="G427" s="924" t="s">
        <v>981</v>
      </c>
      <c r="H427" s="924" t="s">
        <v>835</v>
      </c>
      <c r="I427" s="924" t="s">
        <v>1040</v>
      </c>
      <c r="J427" s="924" t="s">
        <v>940</v>
      </c>
      <c r="K427" s="924" t="s">
        <v>1084</v>
      </c>
      <c r="L427" s="925">
        <v>249.52759432792701</v>
      </c>
      <c r="M427" s="925">
        <v>0.18233103433158199</v>
      </c>
    </row>
    <row r="428" spans="1:13" ht="11.25" customHeight="1" x14ac:dyDescent="0.2">
      <c r="A428" s="924" t="s">
        <v>853</v>
      </c>
      <c r="B428" s="924" t="s">
        <v>789</v>
      </c>
      <c r="C428" s="924" t="s">
        <v>1162</v>
      </c>
      <c r="D428" s="924" t="s">
        <v>1163</v>
      </c>
      <c r="E428" s="924" t="s">
        <v>856</v>
      </c>
      <c r="F428" s="924" t="s">
        <v>1135</v>
      </c>
      <c r="G428" s="924" t="s">
        <v>981</v>
      </c>
      <c r="H428" s="924" t="s">
        <v>835</v>
      </c>
      <c r="I428" s="924" t="s">
        <v>1040</v>
      </c>
      <c r="J428" s="924" t="s">
        <v>863</v>
      </c>
      <c r="K428" s="924" t="s">
        <v>935</v>
      </c>
      <c r="L428" s="925">
        <v>276.82336521148699</v>
      </c>
      <c r="M428" s="925">
        <v>9.9827061872929307E-2</v>
      </c>
    </row>
    <row r="429" spans="1:13" ht="11.25" customHeight="1" x14ac:dyDescent="0.2">
      <c r="A429" s="924" t="s">
        <v>853</v>
      </c>
      <c r="B429" s="924" t="s">
        <v>789</v>
      </c>
      <c r="C429" s="924" t="s">
        <v>1162</v>
      </c>
      <c r="D429" s="924" t="s">
        <v>1163</v>
      </c>
      <c r="E429" s="924" t="s">
        <v>856</v>
      </c>
      <c r="F429" s="924" t="s">
        <v>1149</v>
      </c>
      <c r="G429" s="924" t="s">
        <v>981</v>
      </c>
      <c r="H429" s="924" t="s">
        <v>835</v>
      </c>
      <c r="I429" s="924" t="s">
        <v>1040</v>
      </c>
      <c r="J429" s="924" t="s">
        <v>940</v>
      </c>
      <c r="K429" s="924" t="s">
        <v>1091</v>
      </c>
      <c r="L429" s="925">
        <v>16.080265194177599</v>
      </c>
      <c r="M429" s="925">
        <v>1.1219369305763401E-2</v>
      </c>
    </row>
    <row r="430" spans="1:13" ht="11.25" customHeight="1" x14ac:dyDescent="0.2">
      <c r="A430" s="924" t="s">
        <v>853</v>
      </c>
      <c r="B430" s="924" t="s">
        <v>789</v>
      </c>
      <c r="C430" s="924" t="s">
        <v>1162</v>
      </c>
      <c r="D430" s="924" t="s">
        <v>1163</v>
      </c>
      <c r="E430" s="924" t="s">
        <v>856</v>
      </c>
      <c r="F430" s="924" t="s">
        <v>1160</v>
      </c>
      <c r="G430" s="924" t="s">
        <v>981</v>
      </c>
      <c r="H430" s="924" t="s">
        <v>835</v>
      </c>
      <c r="I430" s="924" t="s">
        <v>1040</v>
      </c>
      <c r="J430" s="924" t="s">
        <v>940</v>
      </c>
      <c r="K430" s="924" t="s">
        <v>1093</v>
      </c>
      <c r="L430" s="925">
        <v>95.892335116863293</v>
      </c>
      <c r="M430" s="925">
        <v>6.7578982445411398E-2</v>
      </c>
    </row>
    <row r="431" spans="1:13" ht="11.25" customHeight="1" x14ac:dyDescent="0.2">
      <c r="A431" s="924" t="s">
        <v>853</v>
      </c>
      <c r="B431" s="924" t="s">
        <v>789</v>
      </c>
      <c r="C431" s="924" t="s">
        <v>1162</v>
      </c>
      <c r="D431" s="924" t="s">
        <v>1163</v>
      </c>
      <c r="E431" s="924" t="s">
        <v>856</v>
      </c>
      <c r="F431" s="924" t="s">
        <v>1159</v>
      </c>
      <c r="G431" s="924" t="s">
        <v>981</v>
      </c>
      <c r="H431" s="924" t="s">
        <v>835</v>
      </c>
      <c r="I431" s="924" t="s">
        <v>1040</v>
      </c>
      <c r="J431" s="924" t="s">
        <v>940</v>
      </c>
      <c r="K431" s="924" t="s">
        <v>1095</v>
      </c>
      <c r="L431" s="925">
        <v>30.676422297954598</v>
      </c>
      <c r="M431" s="925">
        <v>2.1406943531474099E-2</v>
      </c>
    </row>
    <row r="432" spans="1:13" ht="11.25" customHeight="1" x14ac:dyDescent="0.2">
      <c r="A432" s="924" t="s">
        <v>853</v>
      </c>
      <c r="B432" s="924" t="s">
        <v>789</v>
      </c>
      <c r="C432" s="924" t="s">
        <v>1162</v>
      </c>
      <c r="D432" s="924" t="s">
        <v>1163</v>
      </c>
      <c r="E432" s="924" t="s">
        <v>856</v>
      </c>
      <c r="F432" s="924" t="s">
        <v>1158</v>
      </c>
      <c r="G432" s="924" t="s">
        <v>981</v>
      </c>
      <c r="H432" s="924" t="s">
        <v>835</v>
      </c>
      <c r="I432" s="924" t="s">
        <v>1040</v>
      </c>
      <c r="J432" s="924" t="s">
        <v>940</v>
      </c>
      <c r="K432" s="924" t="s">
        <v>1023</v>
      </c>
      <c r="L432" s="925">
        <v>3928.9954090118399</v>
      </c>
      <c r="M432" s="925">
        <v>2.2557366437395099</v>
      </c>
    </row>
    <row r="433" spans="1:13" ht="11.25" customHeight="1" x14ac:dyDescent="0.2">
      <c r="A433" s="924" t="s">
        <v>853</v>
      </c>
      <c r="B433" s="924" t="s">
        <v>789</v>
      </c>
      <c r="C433" s="924" t="s">
        <v>1162</v>
      </c>
      <c r="D433" s="924" t="s">
        <v>1163</v>
      </c>
      <c r="E433" s="924" t="s">
        <v>856</v>
      </c>
      <c r="F433" s="924" t="s">
        <v>1145</v>
      </c>
      <c r="G433" s="924" t="s">
        <v>981</v>
      </c>
      <c r="H433" s="924" t="s">
        <v>835</v>
      </c>
      <c r="I433" s="924" t="s">
        <v>1040</v>
      </c>
      <c r="J433" s="924" t="s">
        <v>940</v>
      </c>
      <c r="K433" s="924" t="s">
        <v>1029</v>
      </c>
      <c r="L433" s="925">
        <v>7148.2924442291296</v>
      </c>
      <c r="M433" s="925">
        <v>4.69437156617641</v>
      </c>
    </row>
    <row r="434" spans="1:13" ht="11.25" customHeight="1" x14ac:dyDescent="0.2">
      <c r="A434" s="924" t="s">
        <v>853</v>
      </c>
      <c r="B434" s="924" t="s">
        <v>789</v>
      </c>
      <c r="C434" s="924" t="s">
        <v>1162</v>
      </c>
      <c r="D434" s="924" t="s">
        <v>1163</v>
      </c>
      <c r="E434" s="924" t="s">
        <v>856</v>
      </c>
      <c r="F434" s="924" t="s">
        <v>1141</v>
      </c>
      <c r="G434" s="924" t="s">
        <v>981</v>
      </c>
      <c r="H434" s="924" t="s">
        <v>835</v>
      </c>
      <c r="I434" s="924" t="s">
        <v>1040</v>
      </c>
      <c r="J434" s="924" t="s">
        <v>940</v>
      </c>
      <c r="K434" s="924" t="s">
        <v>1142</v>
      </c>
      <c r="L434" s="925">
        <v>4139.87034416199</v>
      </c>
      <c r="M434" s="925">
        <v>3.05121858697385</v>
      </c>
    </row>
    <row r="435" spans="1:13" ht="11.25" customHeight="1" x14ac:dyDescent="0.2">
      <c r="A435" s="924" t="s">
        <v>853</v>
      </c>
      <c r="B435" s="924" t="s">
        <v>789</v>
      </c>
      <c r="C435" s="924" t="s">
        <v>1162</v>
      </c>
      <c r="D435" s="924" t="s">
        <v>1163</v>
      </c>
      <c r="E435" s="924" t="s">
        <v>856</v>
      </c>
      <c r="F435" s="924" t="s">
        <v>1157</v>
      </c>
      <c r="G435" s="924" t="s">
        <v>981</v>
      </c>
      <c r="H435" s="924" t="s">
        <v>835</v>
      </c>
      <c r="I435" s="924" t="s">
        <v>1040</v>
      </c>
      <c r="J435" s="924" t="s">
        <v>940</v>
      </c>
      <c r="K435" s="924" t="s">
        <v>1098</v>
      </c>
      <c r="L435" s="925">
        <v>330.31437683105497</v>
      </c>
      <c r="M435" s="925">
        <v>0.62006172211840704</v>
      </c>
    </row>
    <row r="436" spans="1:13" ht="11.25" customHeight="1" x14ac:dyDescent="0.2">
      <c r="A436" s="924" t="s">
        <v>853</v>
      </c>
      <c r="B436" s="924" t="s">
        <v>789</v>
      </c>
      <c r="C436" s="924" t="s">
        <v>1162</v>
      </c>
      <c r="D436" s="924" t="s">
        <v>1163</v>
      </c>
      <c r="E436" s="924" t="s">
        <v>856</v>
      </c>
      <c r="F436" s="924" t="s">
        <v>1116</v>
      </c>
      <c r="G436" s="924" t="s">
        <v>981</v>
      </c>
      <c r="H436" s="924" t="s">
        <v>835</v>
      </c>
      <c r="I436" s="924" t="s">
        <v>1040</v>
      </c>
      <c r="J436" s="924" t="s">
        <v>940</v>
      </c>
      <c r="K436" s="924" t="s">
        <v>1032</v>
      </c>
      <c r="L436" s="925">
        <v>23074.576225280802</v>
      </c>
      <c r="M436" s="925">
        <v>14.529019020497801</v>
      </c>
    </row>
    <row r="437" spans="1:13" ht="11.25" customHeight="1" x14ac:dyDescent="0.2">
      <c r="A437" s="924" t="s">
        <v>853</v>
      </c>
      <c r="B437" s="924" t="s">
        <v>789</v>
      </c>
      <c r="C437" s="924" t="s">
        <v>1162</v>
      </c>
      <c r="D437" s="924" t="s">
        <v>1163</v>
      </c>
      <c r="E437" s="924" t="s">
        <v>856</v>
      </c>
      <c r="F437" s="924" t="s">
        <v>1132</v>
      </c>
      <c r="G437" s="924" t="s">
        <v>981</v>
      </c>
      <c r="H437" s="924" t="s">
        <v>835</v>
      </c>
      <c r="I437" s="924" t="s">
        <v>1040</v>
      </c>
      <c r="J437" s="924" t="s">
        <v>940</v>
      </c>
      <c r="K437" s="924" t="s">
        <v>941</v>
      </c>
      <c r="L437" s="925">
        <v>1192.7908468246501</v>
      </c>
      <c r="M437" s="925">
        <v>0.52023919718339995</v>
      </c>
    </row>
    <row r="438" spans="1:13" ht="11.25" customHeight="1" x14ac:dyDescent="0.2">
      <c r="A438" s="924" t="s">
        <v>853</v>
      </c>
      <c r="B438" s="924" t="s">
        <v>789</v>
      </c>
      <c r="C438" s="924" t="s">
        <v>1162</v>
      </c>
      <c r="D438" s="924" t="s">
        <v>1163</v>
      </c>
      <c r="E438" s="924" t="s">
        <v>856</v>
      </c>
      <c r="F438" s="924" t="s">
        <v>1105</v>
      </c>
      <c r="G438" s="924" t="s">
        <v>981</v>
      </c>
      <c r="H438" s="924" t="s">
        <v>835</v>
      </c>
      <c r="I438" s="924" t="s">
        <v>1040</v>
      </c>
      <c r="J438" s="924" t="s">
        <v>940</v>
      </c>
      <c r="K438" s="924" t="s">
        <v>1106</v>
      </c>
      <c r="L438" s="925">
        <v>279.43675708770797</v>
      </c>
      <c r="M438" s="925">
        <v>0.20458787661095801</v>
      </c>
    </row>
    <row r="439" spans="1:13" ht="11.25" customHeight="1" x14ac:dyDescent="0.2">
      <c r="A439" s="924" t="s">
        <v>853</v>
      </c>
      <c r="B439" s="924" t="s">
        <v>789</v>
      </c>
      <c r="C439" s="924" t="s">
        <v>1162</v>
      </c>
      <c r="D439" s="924" t="s">
        <v>1163</v>
      </c>
      <c r="E439" s="924" t="s">
        <v>856</v>
      </c>
      <c r="F439" s="924" t="s">
        <v>1146</v>
      </c>
      <c r="G439" s="924" t="s">
        <v>981</v>
      </c>
      <c r="H439" s="924" t="s">
        <v>835</v>
      </c>
      <c r="I439" s="924" t="s">
        <v>1040</v>
      </c>
      <c r="J439" s="924" t="s">
        <v>940</v>
      </c>
      <c r="K439" s="924" t="s">
        <v>1147</v>
      </c>
      <c r="L439" s="925">
        <v>7860.3597106933603</v>
      </c>
      <c r="M439" s="925">
        <v>5.0537227690219897</v>
      </c>
    </row>
    <row r="440" spans="1:13" ht="11.25" customHeight="1" x14ac:dyDescent="0.2">
      <c r="A440" s="924" t="s">
        <v>853</v>
      </c>
      <c r="B440" s="924" t="s">
        <v>789</v>
      </c>
      <c r="C440" s="924" t="s">
        <v>1162</v>
      </c>
      <c r="D440" s="924" t="s">
        <v>1163</v>
      </c>
      <c r="E440" s="924" t="s">
        <v>856</v>
      </c>
      <c r="F440" s="924" t="s">
        <v>1150</v>
      </c>
      <c r="G440" s="924" t="s">
        <v>981</v>
      </c>
      <c r="H440" s="924" t="s">
        <v>835</v>
      </c>
      <c r="I440" s="924" t="s">
        <v>1040</v>
      </c>
      <c r="J440" s="924" t="s">
        <v>940</v>
      </c>
      <c r="K440" s="924" t="s">
        <v>1151</v>
      </c>
      <c r="L440" s="925">
        <v>283.54187285900099</v>
      </c>
      <c r="M440" s="925">
        <v>0.199398309283424</v>
      </c>
    </row>
    <row r="441" spans="1:13" ht="11.25" customHeight="1" x14ac:dyDescent="0.2">
      <c r="A441" s="924" t="s">
        <v>853</v>
      </c>
      <c r="B441" s="924" t="s">
        <v>789</v>
      </c>
      <c r="C441" s="924" t="s">
        <v>1162</v>
      </c>
      <c r="D441" s="924" t="s">
        <v>1163</v>
      </c>
      <c r="E441" s="924" t="s">
        <v>856</v>
      </c>
      <c r="F441" s="924" t="s">
        <v>1161</v>
      </c>
      <c r="G441" s="924" t="s">
        <v>981</v>
      </c>
      <c r="H441" s="924" t="s">
        <v>835</v>
      </c>
      <c r="I441" s="924" t="s">
        <v>1040</v>
      </c>
      <c r="J441" s="924" t="s">
        <v>940</v>
      </c>
      <c r="K441" s="924" t="s">
        <v>1027</v>
      </c>
      <c r="L441" s="925">
        <v>594.14998769760098</v>
      </c>
      <c r="M441" s="925">
        <v>0.41023851206932699</v>
      </c>
    </row>
    <row r="442" spans="1:13" ht="11.25" customHeight="1" x14ac:dyDescent="0.2">
      <c r="A442" s="924" t="s">
        <v>853</v>
      </c>
      <c r="B442" s="924" t="s">
        <v>789</v>
      </c>
      <c r="C442" s="924" t="s">
        <v>1162</v>
      </c>
      <c r="D442" s="924" t="s">
        <v>1163</v>
      </c>
      <c r="E442" s="924" t="s">
        <v>856</v>
      </c>
      <c r="F442" s="924" t="s">
        <v>1152</v>
      </c>
      <c r="G442" s="924" t="s">
        <v>981</v>
      </c>
      <c r="H442" s="924" t="s">
        <v>835</v>
      </c>
      <c r="I442" s="924" t="s">
        <v>1040</v>
      </c>
      <c r="J442" s="924" t="s">
        <v>940</v>
      </c>
      <c r="K442" s="924" t="s">
        <v>1153</v>
      </c>
      <c r="L442" s="925">
        <v>525.99504685401905</v>
      </c>
      <c r="M442" s="925">
        <v>0.34549951006192697</v>
      </c>
    </row>
    <row r="443" spans="1:13" ht="11.25" customHeight="1" x14ac:dyDescent="0.2">
      <c r="A443" s="924" t="s">
        <v>853</v>
      </c>
      <c r="B443" s="924" t="s">
        <v>789</v>
      </c>
      <c r="C443" s="924" t="s">
        <v>1162</v>
      </c>
      <c r="D443" s="924" t="s">
        <v>1163</v>
      </c>
      <c r="E443" s="924" t="s">
        <v>856</v>
      </c>
      <c r="F443" s="924" t="s">
        <v>1154</v>
      </c>
      <c r="G443" s="924" t="s">
        <v>981</v>
      </c>
      <c r="H443" s="924" t="s">
        <v>835</v>
      </c>
      <c r="I443" s="924" t="s">
        <v>1040</v>
      </c>
      <c r="J443" s="924" t="s">
        <v>940</v>
      </c>
      <c r="K443" s="924" t="s">
        <v>1155</v>
      </c>
      <c r="L443" s="925">
        <v>586.36768150329601</v>
      </c>
      <c r="M443" s="925">
        <v>0.377652464130875</v>
      </c>
    </row>
    <row r="444" spans="1:13" ht="11.25" customHeight="1" x14ac:dyDescent="0.2">
      <c r="A444" s="924" t="s">
        <v>853</v>
      </c>
      <c r="B444" s="924" t="s">
        <v>789</v>
      </c>
      <c r="C444" s="924" t="s">
        <v>1162</v>
      </c>
      <c r="D444" s="924" t="s">
        <v>1163</v>
      </c>
      <c r="E444" s="924" t="s">
        <v>856</v>
      </c>
      <c r="F444" s="924" t="s">
        <v>1156</v>
      </c>
      <c r="G444" s="924" t="s">
        <v>981</v>
      </c>
      <c r="H444" s="924" t="s">
        <v>835</v>
      </c>
      <c r="I444" s="924" t="s">
        <v>1040</v>
      </c>
      <c r="J444" s="924" t="s">
        <v>940</v>
      </c>
      <c r="K444" s="924" t="s">
        <v>1025</v>
      </c>
      <c r="L444" s="925">
        <v>1574.17527770996</v>
      </c>
      <c r="M444" s="925">
        <v>2.9511625915765798</v>
      </c>
    </row>
    <row r="445" spans="1:13" ht="11.25" customHeight="1" x14ac:dyDescent="0.2">
      <c r="A445" s="924" t="s">
        <v>853</v>
      </c>
      <c r="B445" s="924" t="s">
        <v>790</v>
      </c>
      <c r="C445" s="924" t="s">
        <v>1169</v>
      </c>
      <c r="D445" s="924" t="s">
        <v>1163</v>
      </c>
      <c r="E445" s="924" t="s">
        <v>856</v>
      </c>
      <c r="F445" s="924" t="s">
        <v>883</v>
      </c>
      <c r="G445" s="924" t="s">
        <v>858</v>
      </c>
      <c r="H445" s="924" t="s">
        <v>836</v>
      </c>
      <c r="I445" s="924" t="s">
        <v>837</v>
      </c>
      <c r="J445" s="924" t="s">
        <v>884</v>
      </c>
      <c r="K445" s="924" t="s">
        <v>885</v>
      </c>
      <c r="L445" s="925">
        <v>118.161397457123</v>
      </c>
      <c r="M445" s="925">
        <v>4.5321243297848897E-3</v>
      </c>
    </row>
    <row r="446" spans="1:13" ht="11.25" customHeight="1" x14ac:dyDescent="0.2">
      <c r="A446" s="924" t="s">
        <v>853</v>
      </c>
      <c r="B446" s="924" t="s">
        <v>790</v>
      </c>
      <c r="C446" s="924" t="s">
        <v>1169</v>
      </c>
      <c r="D446" s="924" t="s">
        <v>1163</v>
      </c>
      <c r="E446" s="924" t="s">
        <v>856</v>
      </c>
      <c r="F446" s="924" t="s">
        <v>857</v>
      </c>
      <c r="G446" s="924" t="s">
        <v>858</v>
      </c>
      <c r="H446" s="924" t="s">
        <v>836</v>
      </c>
      <c r="I446" s="924" t="s">
        <v>837</v>
      </c>
      <c r="J446" s="924" t="s">
        <v>859</v>
      </c>
      <c r="K446" s="924" t="s">
        <v>860</v>
      </c>
      <c r="L446" s="925">
        <v>50.728088498115497</v>
      </c>
      <c r="M446" s="925">
        <v>4.6685764574618798E-3</v>
      </c>
    </row>
    <row r="447" spans="1:13" ht="11.25" customHeight="1" x14ac:dyDescent="0.2">
      <c r="A447" s="924" t="s">
        <v>853</v>
      </c>
      <c r="B447" s="924" t="s">
        <v>790</v>
      </c>
      <c r="C447" s="924" t="s">
        <v>1169</v>
      </c>
      <c r="D447" s="924" t="s">
        <v>1163</v>
      </c>
      <c r="E447" s="924" t="s">
        <v>856</v>
      </c>
      <c r="F447" s="924" t="s">
        <v>888</v>
      </c>
      <c r="G447" s="924" t="s">
        <v>858</v>
      </c>
      <c r="H447" s="924" t="s">
        <v>836</v>
      </c>
      <c r="I447" s="924" t="s">
        <v>837</v>
      </c>
      <c r="J447" s="924" t="s">
        <v>859</v>
      </c>
      <c r="K447" s="924" t="s">
        <v>889</v>
      </c>
      <c r="L447" s="925">
        <v>3.0791325345635401</v>
      </c>
      <c r="M447" s="925">
        <v>3.39745535742342E-4</v>
      </c>
    </row>
    <row r="448" spans="1:13" ht="11.25" customHeight="1" x14ac:dyDescent="0.2">
      <c r="A448" s="924" t="s">
        <v>853</v>
      </c>
      <c r="B448" s="924" t="s">
        <v>790</v>
      </c>
      <c r="C448" s="924" t="s">
        <v>1169</v>
      </c>
      <c r="D448" s="924" t="s">
        <v>1163</v>
      </c>
      <c r="E448" s="924" t="s">
        <v>856</v>
      </c>
      <c r="F448" s="924" t="s">
        <v>912</v>
      </c>
      <c r="G448" s="924" t="s">
        <v>858</v>
      </c>
      <c r="H448" s="924" t="s">
        <v>836</v>
      </c>
      <c r="I448" s="924" t="s">
        <v>837</v>
      </c>
      <c r="J448" s="924" t="s">
        <v>859</v>
      </c>
      <c r="K448" s="924" t="s">
        <v>913</v>
      </c>
      <c r="L448" s="925">
        <v>1891.0658493041999</v>
      </c>
      <c r="M448" s="925">
        <v>2.0825252961458301E-2</v>
      </c>
    </row>
    <row r="449" spans="1:13" ht="11.25" customHeight="1" x14ac:dyDescent="0.2">
      <c r="A449" s="924" t="s">
        <v>853</v>
      </c>
      <c r="B449" s="924" t="s">
        <v>790</v>
      </c>
      <c r="C449" s="924" t="s">
        <v>1169</v>
      </c>
      <c r="D449" s="924" t="s">
        <v>1163</v>
      </c>
      <c r="E449" s="924" t="s">
        <v>856</v>
      </c>
      <c r="F449" s="924" t="s">
        <v>869</v>
      </c>
      <c r="G449" s="924" t="s">
        <v>862</v>
      </c>
      <c r="H449" s="924" t="s">
        <v>665</v>
      </c>
      <c r="I449" s="924" t="s">
        <v>787</v>
      </c>
      <c r="J449" s="924" t="s">
        <v>870</v>
      </c>
      <c r="K449" s="924" t="s">
        <v>871</v>
      </c>
      <c r="L449" s="925">
        <v>4.7642363133491003E-2</v>
      </c>
      <c r="M449" s="925">
        <v>2.7336021880728402E-3</v>
      </c>
    </row>
    <row r="450" spans="1:13" ht="11.25" customHeight="1" x14ac:dyDescent="0.2">
      <c r="A450" s="924" t="s">
        <v>853</v>
      </c>
      <c r="B450" s="924" t="s">
        <v>790</v>
      </c>
      <c r="C450" s="924" t="s">
        <v>1169</v>
      </c>
      <c r="D450" s="924" t="s">
        <v>1163</v>
      </c>
      <c r="E450" s="924" t="s">
        <v>856</v>
      </c>
      <c r="F450" s="924" t="s">
        <v>1170</v>
      </c>
      <c r="G450" s="924" t="s">
        <v>862</v>
      </c>
      <c r="H450" s="924" t="s">
        <v>665</v>
      </c>
      <c r="I450" s="924" t="s">
        <v>787</v>
      </c>
      <c r="J450" s="924" t="s">
        <v>863</v>
      </c>
      <c r="K450" s="924" t="s">
        <v>1171</v>
      </c>
      <c r="L450" s="925">
        <v>7.9815600812435203</v>
      </c>
      <c r="M450" s="925">
        <v>3.4847707836888703E-2</v>
      </c>
    </row>
    <row r="451" spans="1:13" ht="11.25" customHeight="1" x14ac:dyDescent="0.2">
      <c r="A451" s="924" t="s">
        <v>853</v>
      </c>
      <c r="B451" s="924" t="s">
        <v>790</v>
      </c>
      <c r="C451" s="924" t="s">
        <v>1169</v>
      </c>
      <c r="D451" s="924" t="s">
        <v>1163</v>
      </c>
      <c r="E451" s="924" t="s">
        <v>856</v>
      </c>
      <c r="F451" s="924" t="s">
        <v>881</v>
      </c>
      <c r="G451" s="924" t="s">
        <v>862</v>
      </c>
      <c r="H451" s="924" t="s">
        <v>665</v>
      </c>
      <c r="I451" s="924" t="s">
        <v>787</v>
      </c>
      <c r="J451" s="924" t="s">
        <v>875</v>
      </c>
      <c r="K451" s="924" t="s">
        <v>882</v>
      </c>
      <c r="L451" s="925">
        <v>685.322190284729</v>
      </c>
      <c r="M451" s="925">
        <v>3.2748952358961101</v>
      </c>
    </row>
    <row r="452" spans="1:13" ht="11.25" customHeight="1" x14ac:dyDescent="0.2">
      <c r="A452" s="924" t="s">
        <v>853</v>
      </c>
      <c r="B452" s="924" t="s">
        <v>790</v>
      </c>
      <c r="C452" s="924" t="s">
        <v>1169</v>
      </c>
      <c r="D452" s="924" t="s">
        <v>1163</v>
      </c>
      <c r="E452" s="924" t="s">
        <v>856</v>
      </c>
      <c r="F452" s="924" t="s">
        <v>879</v>
      </c>
      <c r="G452" s="924" t="s">
        <v>862</v>
      </c>
      <c r="H452" s="924" t="s">
        <v>665</v>
      </c>
      <c r="I452" s="924" t="s">
        <v>787</v>
      </c>
      <c r="J452" s="924" t="s">
        <v>875</v>
      </c>
      <c r="K452" s="924" t="s">
        <v>880</v>
      </c>
      <c r="L452" s="925">
        <v>19.2557383179665</v>
      </c>
      <c r="M452" s="925">
        <v>0.108329092036001</v>
      </c>
    </row>
    <row r="453" spans="1:13" ht="11.25" customHeight="1" x14ac:dyDescent="0.2">
      <c r="A453" s="924" t="s">
        <v>853</v>
      </c>
      <c r="B453" s="924" t="s">
        <v>790</v>
      </c>
      <c r="C453" s="924" t="s">
        <v>1169</v>
      </c>
      <c r="D453" s="924" t="s">
        <v>1163</v>
      </c>
      <c r="E453" s="924" t="s">
        <v>856</v>
      </c>
      <c r="F453" s="924" t="s">
        <v>877</v>
      </c>
      <c r="G453" s="924" t="s">
        <v>862</v>
      </c>
      <c r="H453" s="924" t="s">
        <v>665</v>
      </c>
      <c r="I453" s="924" t="s">
        <v>787</v>
      </c>
      <c r="J453" s="924" t="s">
        <v>875</v>
      </c>
      <c r="K453" s="924" t="s">
        <v>878</v>
      </c>
      <c r="L453" s="925">
        <v>13.055118605494499</v>
      </c>
      <c r="M453" s="925">
        <v>0.21387812512693899</v>
      </c>
    </row>
    <row r="454" spans="1:13" ht="11.25" customHeight="1" x14ac:dyDescent="0.2">
      <c r="A454" s="924" t="s">
        <v>853</v>
      </c>
      <c r="B454" s="924" t="s">
        <v>790</v>
      </c>
      <c r="C454" s="924" t="s">
        <v>1169</v>
      </c>
      <c r="D454" s="924" t="s">
        <v>1163</v>
      </c>
      <c r="E454" s="924" t="s">
        <v>856</v>
      </c>
      <c r="F454" s="924" t="s">
        <v>872</v>
      </c>
      <c r="G454" s="924" t="s">
        <v>862</v>
      </c>
      <c r="H454" s="924" t="s">
        <v>665</v>
      </c>
      <c r="I454" s="924" t="s">
        <v>787</v>
      </c>
      <c r="J454" s="924" t="s">
        <v>870</v>
      </c>
      <c r="K454" s="924" t="s">
        <v>873</v>
      </c>
      <c r="L454" s="925">
        <v>5.2406506091356304</v>
      </c>
      <c r="M454" s="925">
        <v>2.1093694893352201E-2</v>
      </c>
    </row>
    <row r="455" spans="1:13" ht="11.25" customHeight="1" x14ac:dyDescent="0.2">
      <c r="A455" s="924" t="s">
        <v>853</v>
      </c>
      <c r="B455" s="924" t="s">
        <v>790</v>
      </c>
      <c r="C455" s="924" t="s">
        <v>1169</v>
      </c>
      <c r="D455" s="924" t="s">
        <v>1163</v>
      </c>
      <c r="E455" s="924" t="s">
        <v>856</v>
      </c>
      <c r="F455" s="924" t="s">
        <v>892</v>
      </c>
      <c r="G455" s="924" t="s">
        <v>858</v>
      </c>
      <c r="H455" s="924" t="s">
        <v>836</v>
      </c>
      <c r="I455" s="924" t="s">
        <v>837</v>
      </c>
      <c r="J455" s="924" t="s">
        <v>859</v>
      </c>
      <c r="K455" s="924" t="s">
        <v>893</v>
      </c>
      <c r="L455" s="925">
        <v>4733.9207229614303</v>
      </c>
      <c r="M455" s="925">
        <v>5.9883218295908598E-2</v>
      </c>
    </row>
    <row r="456" spans="1:13" ht="11.25" customHeight="1" x14ac:dyDescent="0.2">
      <c r="A456" s="924" t="s">
        <v>853</v>
      </c>
      <c r="B456" s="924" t="s">
        <v>790</v>
      </c>
      <c r="C456" s="924" t="s">
        <v>1169</v>
      </c>
      <c r="D456" s="924" t="s">
        <v>1163</v>
      </c>
      <c r="E456" s="924" t="s">
        <v>856</v>
      </c>
      <c r="F456" s="924" t="s">
        <v>874</v>
      </c>
      <c r="G456" s="924" t="s">
        <v>862</v>
      </c>
      <c r="H456" s="924" t="s">
        <v>665</v>
      </c>
      <c r="I456" s="924" t="s">
        <v>787</v>
      </c>
      <c r="J456" s="924" t="s">
        <v>875</v>
      </c>
      <c r="K456" s="924" t="s">
        <v>876</v>
      </c>
      <c r="L456" s="925">
        <v>272.92497205734298</v>
      </c>
      <c r="M456" s="925">
        <v>8.3020036295056308</v>
      </c>
    </row>
    <row r="457" spans="1:13" ht="11.25" customHeight="1" x14ac:dyDescent="0.2">
      <c r="A457" s="924" t="s">
        <v>853</v>
      </c>
      <c r="B457" s="924" t="s">
        <v>790</v>
      </c>
      <c r="C457" s="924" t="s">
        <v>1169</v>
      </c>
      <c r="D457" s="924" t="s">
        <v>1163</v>
      </c>
      <c r="E457" s="924" t="s">
        <v>856</v>
      </c>
      <c r="F457" s="924" t="s">
        <v>894</v>
      </c>
      <c r="G457" s="924" t="s">
        <v>858</v>
      </c>
      <c r="H457" s="924" t="s">
        <v>836</v>
      </c>
      <c r="I457" s="924" t="s">
        <v>837</v>
      </c>
      <c r="J457" s="924" t="s">
        <v>859</v>
      </c>
      <c r="K457" s="924" t="s">
        <v>895</v>
      </c>
      <c r="L457" s="925">
        <v>5150.6552276611301</v>
      </c>
      <c r="M457" s="925">
        <v>3.41176372239715E-2</v>
      </c>
    </row>
    <row r="458" spans="1:13" ht="11.25" customHeight="1" x14ac:dyDescent="0.2">
      <c r="A458" s="924" t="s">
        <v>853</v>
      </c>
      <c r="B458" s="924" t="s">
        <v>790</v>
      </c>
      <c r="C458" s="924" t="s">
        <v>1169</v>
      </c>
      <c r="D458" s="924" t="s">
        <v>1163</v>
      </c>
      <c r="E458" s="924" t="s">
        <v>856</v>
      </c>
      <c r="F458" s="924" t="s">
        <v>896</v>
      </c>
      <c r="G458" s="924" t="s">
        <v>858</v>
      </c>
      <c r="H458" s="924" t="s">
        <v>836</v>
      </c>
      <c r="I458" s="924" t="s">
        <v>837</v>
      </c>
      <c r="J458" s="924" t="s">
        <v>859</v>
      </c>
      <c r="K458" s="924" t="s">
        <v>897</v>
      </c>
      <c r="L458" s="925">
        <v>284.02363705635099</v>
      </c>
      <c r="M458" s="925">
        <v>4.5994268070330699E-3</v>
      </c>
    </row>
    <row r="459" spans="1:13" ht="11.25" customHeight="1" x14ac:dyDescent="0.2">
      <c r="A459" s="924" t="s">
        <v>853</v>
      </c>
      <c r="B459" s="924" t="s">
        <v>790</v>
      </c>
      <c r="C459" s="924" t="s">
        <v>1169</v>
      </c>
      <c r="D459" s="924" t="s">
        <v>1163</v>
      </c>
      <c r="E459" s="924" t="s">
        <v>856</v>
      </c>
      <c r="F459" s="924" t="s">
        <v>898</v>
      </c>
      <c r="G459" s="924" t="s">
        <v>858</v>
      </c>
      <c r="H459" s="924" t="s">
        <v>836</v>
      </c>
      <c r="I459" s="924" t="s">
        <v>837</v>
      </c>
      <c r="J459" s="924" t="s">
        <v>859</v>
      </c>
      <c r="K459" s="924" t="s">
        <v>899</v>
      </c>
      <c r="L459" s="925">
        <v>174.06930637359599</v>
      </c>
      <c r="M459" s="925">
        <v>3.0277660987394501E-3</v>
      </c>
    </row>
    <row r="460" spans="1:13" ht="11.25" customHeight="1" x14ac:dyDescent="0.2">
      <c r="A460" s="924" t="s">
        <v>853</v>
      </c>
      <c r="B460" s="924" t="s">
        <v>790</v>
      </c>
      <c r="C460" s="924" t="s">
        <v>1169</v>
      </c>
      <c r="D460" s="924" t="s">
        <v>1163</v>
      </c>
      <c r="E460" s="924" t="s">
        <v>856</v>
      </c>
      <c r="F460" s="924" t="s">
        <v>900</v>
      </c>
      <c r="G460" s="924" t="s">
        <v>858</v>
      </c>
      <c r="H460" s="924" t="s">
        <v>836</v>
      </c>
      <c r="I460" s="924" t="s">
        <v>837</v>
      </c>
      <c r="J460" s="924" t="s">
        <v>859</v>
      </c>
      <c r="K460" s="924" t="s">
        <v>901</v>
      </c>
      <c r="L460" s="925">
        <v>522.82241344451904</v>
      </c>
      <c r="M460" s="925">
        <v>2.27858640929526E-2</v>
      </c>
    </row>
    <row r="461" spans="1:13" ht="11.25" customHeight="1" x14ac:dyDescent="0.2">
      <c r="A461" s="924" t="s">
        <v>853</v>
      </c>
      <c r="B461" s="924" t="s">
        <v>790</v>
      </c>
      <c r="C461" s="924" t="s">
        <v>1169</v>
      </c>
      <c r="D461" s="924" t="s">
        <v>1163</v>
      </c>
      <c r="E461" s="924" t="s">
        <v>856</v>
      </c>
      <c r="F461" s="924" t="s">
        <v>902</v>
      </c>
      <c r="G461" s="924" t="s">
        <v>858</v>
      </c>
      <c r="H461" s="924" t="s">
        <v>836</v>
      </c>
      <c r="I461" s="924" t="s">
        <v>837</v>
      </c>
      <c r="J461" s="924" t="s">
        <v>859</v>
      </c>
      <c r="K461" s="924" t="s">
        <v>903</v>
      </c>
      <c r="L461" s="925">
        <v>2245.0716590881302</v>
      </c>
      <c r="M461" s="925">
        <v>3.9027905751026999E-2</v>
      </c>
    </row>
    <row r="462" spans="1:13" ht="11.25" customHeight="1" x14ac:dyDescent="0.2">
      <c r="A462" s="924" t="s">
        <v>853</v>
      </c>
      <c r="B462" s="924" t="s">
        <v>790</v>
      </c>
      <c r="C462" s="924" t="s">
        <v>1169</v>
      </c>
      <c r="D462" s="924" t="s">
        <v>1163</v>
      </c>
      <c r="E462" s="924" t="s">
        <v>856</v>
      </c>
      <c r="F462" s="924" t="s">
        <v>904</v>
      </c>
      <c r="G462" s="924" t="s">
        <v>858</v>
      </c>
      <c r="H462" s="924" t="s">
        <v>836</v>
      </c>
      <c r="I462" s="924" t="s">
        <v>837</v>
      </c>
      <c r="J462" s="924" t="s">
        <v>859</v>
      </c>
      <c r="K462" s="924" t="s">
        <v>905</v>
      </c>
      <c r="L462" s="925">
        <v>1943.87062454224</v>
      </c>
      <c r="M462" s="925">
        <v>3.6825546246291203E-2</v>
      </c>
    </row>
    <row r="463" spans="1:13" ht="11.25" customHeight="1" x14ac:dyDescent="0.2">
      <c r="A463" s="924" t="s">
        <v>853</v>
      </c>
      <c r="B463" s="924" t="s">
        <v>790</v>
      </c>
      <c r="C463" s="924" t="s">
        <v>1169</v>
      </c>
      <c r="D463" s="924" t="s">
        <v>1163</v>
      </c>
      <c r="E463" s="924" t="s">
        <v>856</v>
      </c>
      <c r="F463" s="924" t="s">
        <v>906</v>
      </c>
      <c r="G463" s="924" t="s">
        <v>858</v>
      </c>
      <c r="H463" s="924" t="s">
        <v>836</v>
      </c>
      <c r="I463" s="924" t="s">
        <v>837</v>
      </c>
      <c r="J463" s="924" t="s">
        <v>859</v>
      </c>
      <c r="K463" s="924" t="s">
        <v>907</v>
      </c>
      <c r="L463" s="925">
        <v>19184.032394409202</v>
      </c>
      <c r="M463" s="925">
        <v>0.12771709803018899</v>
      </c>
    </row>
    <row r="464" spans="1:13" ht="11.25" customHeight="1" x14ac:dyDescent="0.2">
      <c r="A464" s="924" t="s">
        <v>853</v>
      </c>
      <c r="B464" s="924" t="s">
        <v>790</v>
      </c>
      <c r="C464" s="924" t="s">
        <v>1169</v>
      </c>
      <c r="D464" s="924" t="s">
        <v>1163</v>
      </c>
      <c r="E464" s="924" t="s">
        <v>856</v>
      </c>
      <c r="F464" s="924" t="s">
        <v>908</v>
      </c>
      <c r="G464" s="924" t="s">
        <v>858</v>
      </c>
      <c r="H464" s="924" t="s">
        <v>836</v>
      </c>
      <c r="I464" s="924" t="s">
        <v>837</v>
      </c>
      <c r="J464" s="924" t="s">
        <v>859</v>
      </c>
      <c r="K464" s="924" t="s">
        <v>909</v>
      </c>
      <c r="L464" s="925">
        <v>159.60351276397699</v>
      </c>
      <c r="M464" s="925">
        <v>3.3405616622985699E-3</v>
      </c>
    </row>
    <row r="465" spans="1:13" ht="11.25" customHeight="1" x14ac:dyDescent="0.2">
      <c r="A465" s="924" t="s">
        <v>853</v>
      </c>
      <c r="B465" s="924" t="s">
        <v>790</v>
      </c>
      <c r="C465" s="924" t="s">
        <v>1169</v>
      </c>
      <c r="D465" s="924" t="s">
        <v>1163</v>
      </c>
      <c r="E465" s="924" t="s">
        <v>856</v>
      </c>
      <c r="F465" s="924" t="s">
        <v>972</v>
      </c>
      <c r="G465" s="924" t="s">
        <v>858</v>
      </c>
      <c r="H465" s="924" t="s">
        <v>836</v>
      </c>
      <c r="I465" s="924" t="s">
        <v>837</v>
      </c>
      <c r="J465" s="924" t="s">
        <v>859</v>
      </c>
      <c r="K465" s="924" t="s">
        <v>973</v>
      </c>
      <c r="L465" s="925">
        <v>75.883892118930802</v>
      </c>
      <c r="M465" s="925">
        <v>1.9330940348254401E-3</v>
      </c>
    </row>
    <row r="466" spans="1:13" ht="11.25" customHeight="1" x14ac:dyDescent="0.2">
      <c r="A466" s="924" t="s">
        <v>853</v>
      </c>
      <c r="B466" s="924" t="s">
        <v>790</v>
      </c>
      <c r="C466" s="924" t="s">
        <v>1169</v>
      </c>
      <c r="D466" s="924" t="s">
        <v>1163</v>
      </c>
      <c r="E466" s="924" t="s">
        <v>856</v>
      </c>
      <c r="F466" s="924" t="s">
        <v>867</v>
      </c>
      <c r="G466" s="924" t="s">
        <v>862</v>
      </c>
      <c r="H466" s="924" t="s">
        <v>665</v>
      </c>
      <c r="I466" s="924" t="s">
        <v>787</v>
      </c>
      <c r="J466" s="924" t="s">
        <v>863</v>
      </c>
      <c r="K466" s="924" t="s">
        <v>868</v>
      </c>
      <c r="L466" s="925">
        <v>11.6562583297491</v>
      </c>
      <c r="M466" s="925">
        <v>4.7690644336398698E-2</v>
      </c>
    </row>
    <row r="467" spans="1:13" ht="11.25" customHeight="1" x14ac:dyDescent="0.2">
      <c r="A467" s="924" t="s">
        <v>853</v>
      </c>
      <c r="B467" s="924" t="s">
        <v>790</v>
      </c>
      <c r="C467" s="924" t="s">
        <v>1169</v>
      </c>
      <c r="D467" s="924" t="s">
        <v>1163</v>
      </c>
      <c r="E467" s="924" t="s">
        <v>856</v>
      </c>
      <c r="F467" s="924" t="s">
        <v>886</v>
      </c>
      <c r="G467" s="924" t="s">
        <v>858</v>
      </c>
      <c r="H467" s="924" t="s">
        <v>836</v>
      </c>
      <c r="I467" s="924" t="s">
        <v>837</v>
      </c>
      <c r="J467" s="924" t="s">
        <v>859</v>
      </c>
      <c r="K467" s="924" t="s">
        <v>887</v>
      </c>
      <c r="L467" s="925">
        <v>4773.13282775879</v>
      </c>
      <c r="M467" s="925">
        <v>3.5325722676134298E-2</v>
      </c>
    </row>
    <row r="468" spans="1:13" ht="11.25" customHeight="1" x14ac:dyDescent="0.2">
      <c r="A468" s="924" t="s">
        <v>853</v>
      </c>
      <c r="B468" s="924" t="s">
        <v>790</v>
      </c>
      <c r="C468" s="924" t="s">
        <v>1169</v>
      </c>
      <c r="D468" s="924" t="s">
        <v>1163</v>
      </c>
      <c r="E468" s="924" t="s">
        <v>856</v>
      </c>
      <c r="F468" s="924" t="s">
        <v>942</v>
      </c>
      <c r="G468" s="924" t="s">
        <v>911</v>
      </c>
      <c r="H468" s="924" t="s">
        <v>665</v>
      </c>
      <c r="I468" s="924" t="s">
        <v>706</v>
      </c>
      <c r="J468" s="924" t="s">
        <v>870</v>
      </c>
      <c r="K468" s="924" t="s">
        <v>871</v>
      </c>
      <c r="L468" s="925">
        <v>2.53111113415798E-2</v>
      </c>
      <c r="M468" s="925">
        <v>1.5796873391593602E-5</v>
      </c>
    </row>
    <row r="469" spans="1:13" ht="11.25" customHeight="1" x14ac:dyDescent="0.2">
      <c r="A469" s="924" t="s">
        <v>853</v>
      </c>
      <c r="B469" s="924" t="s">
        <v>790</v>
      </c>
      <c r="C469" s="924" t="s">
        <v>1169</v>
      </c>
      <c r="D469" s="924" t="s">
        <v>1163</v>
      </c>
      <c r="E469" s="924" t="s">
        <v>856</v>
      </c>
      <c r="F469" s="924" t="s">
        <v>1071</v>
      </c>
      <c r="G469" s="924" t="s">
        <v>858</v>
      </c>
      <c r="H469" s="924" t="s">
        <v>836</v>
      </c>
      <c r="I469" s="924" t="s">
        <v>837</v>
      </c>
      <c r="J469" s="924" t="s">
        <v>859</v>
      </c>
      <c r="K469" s="924" t="s">
        <v>1072</v>
      </c>
      <c r="L469" s="925">
        <v>16418.379364013701</v>
      </c>
      <c r="M469" s="925">
        <v>0.14602016702883699</v>
      </c>
    </row>
    <row r="470" spans="1:13" ht="11.25" customHeight="1" x14ac:dyDescent="0.2">
      <c r="A470" s="924" t="s">
        <v>853</v>
      </c>
      <c r="B470" s="924" t="s">
        <v>790</v>
      </c>
      <c r="C470" s="924" t="s">
        <v>1169</v>
      </c>
      <c r="D470" s="924" t="s">
        <v>1163</v>
      </c>
      <c r="E470" s="924" t="s">
        <v>856</v>
      </c>
      <c r="F470" s="924" t="s">
        <v>1037</v>
      </c>
      <c r="G470" s="924" t="s">
        <v>858</v>
      </c>
      <c r="H470" s="924" t="s">
        <v>836</v>
      </c>
      <c r="I470" s="924" t="s">
        <v>837</v>
      </c>
      <c r="J470" s="924" t="s">
        <v>859</v>
      </c>
      <c r="K470" s="924" t="s">
        <v>918</v>
      </c>
      <c r="L470" s="925">
        <v>4386.0124588012704</v>
      </c>
      <c r="M470" s="925">
        <v>4.24471109763545E-2</v>
      </c>
    </row>
    <row r="471" spans="1:13" ht="11.25" customHeight="1" x14ac:dyDescent="0.2">
      <c r="A471" s="924" t="s">
        <v>853</v>
      </c>
      <c r="B471" s="924" t="s">
        <v>790</v>
      </c>
      <c r="C471" s="924" t="s">
        <v>1169</v>
      </c>
      <c r="D471" s="924" t="s">
        <v>1163</v>
      </c>
      <c r="E471" s="924" t="s">
        <v>856</v>
      </c>
      <c r="F471" s="924" t="s">
        <v>939</v>
      </c>
      <c r="G471" s="924" t="s">
        <v>911</v>
      </c>
      <c r="H471" s="924" t="s">
        <v>665</v>
      </c>
      <c r="I471" s="924" t="s">
        <v>706</v>
      </c>
      <c r="J471" s="924" t="s">
        <v>940</v>
      </c>
      <c r="K471" s="924" t="s">
        <v>941</v>
      </c>
      <c r="L471" s="925">
        <v>472.45054626464798</v>
      </c>
      <c r="M471" s="925">
        <v>2.27300460828701E-2</v>
      </c>
    </row>
    <row r="472" spans="1:13" ht="11.25" customHeight="1" x14ac:dyDescent="0.2">
      <c r="A472" s="924" t="s">
        <v>853</v>
      </c>
      <c r="B472" s="924" t="s">
        <v>790</v>
      </c>
      <c r="C472" s="924" t="s">
        <v>1169</v>
      </c>
      <c r="D472" s="924" t="s">
        <v>1163</v>
      </c>
      <c r="E472" s="924" t="s">
        <v>856</v>
      </c>
      <c r="F472" s="924" t="s">
        <v>953</v>
      </c>
      <c r="G472" s="924" t="s">
        <v>858</v>
      </c>
      <c r="H472" s="924" t="s">
        <v>836</v>
      </c>
      <c r="I472" s="924" t="s">
        <v>837</v>
      </c>
      <c r="J472" s="924" t="s">
        <v>859</v>
      </c>
      <c r="K472" s="924" t="s">
        <v>920</v>
      </c>
      <c r="L472" s="925">
        <v>772.31883239746105</v>
      </c>
      <c r="M472" s="925">
        <v>9.9619515212907607E-3</v>
      </c>
    </row>
    <row r="473" spans="1:13" ht="11.25" customHeight="1" x14ac:dyDescent="0.2">
      <c r="A473" s="924" t="s">
        <v>853</v>
      </c>
      <c r="B473" s="924" t="s">
        <v>790</v>
      </c>
      <c r="C473" s="924" t="s">
        <v>1169</v>
      </c>
      <c r="D473" s="924" t="s">
        <v>1163</v>
      </c>
      <c r="E473" s="924" t="s">
        <v>856</v>
      </c>
      <c r="F473" s="924" t="s">
        <v>919</v>
      </c>
      <c r="G473" s="924" t="s">
        <v>911</v>
      </c>
      <c r="H473" s="924" t="s">
        <v>665</v>
      </c>
      <c r="I473" s="924" t="s">
        <v>706</v>
      </c>
      <c r="J473" s="924" t="s">
        <v>859</v>
      </c>
      <c r="K473" s="924" t="s">
        <v>920</v>
      </c>
      <c r="L473" s="925">
        <v>2.8947311230003798</v>
      </c>
      <c r="M473" s="925">
        <v>8.1099740759782402E-4</v>
      </c>
    </row>
    <row r="474" spans="1:13" ht="11.25" customHeight="1" x14ac:dyDescent="0.2">
      <c r="A474" s="924" t="s">
        <v>853</v>
      </c>
      <c r="B474" s="924" t="s">
        <v>790</v>
      </c>
      <c r="C474" s="924" t="s">
        <v>1169</v>
      </c>
      <c r="D474" s="924" t="s">
        <v>1163</v>
      </c>
      <c r="E474" s="924" t="s">
        <v>856</v>
      </c>
      <c r="F474" s="924" t="s">
        <v>921</v>
      </c>
      <c r="G474" s="924" t="s">
        <v>911</v>
      </c>
      <c r="H474" s="924" t="s">
        <v>665</v>
      </c>
      <c r="I474" s="924" t="s">
        <v>706</v>
      </c>
      <c r="J474" s="924" t="s">
        <v>859</v>
      </c>
      <c r="K474" s="924" t="s">
        <v>922</v>
      </c>
      <c r="L474" s="925">
        <v>30.7395213842392</v>
      </c>
      <c r="M474" s="925">
        <v>4.1057292269215404E-3</v>
      </c>
    </row>
    <row r="475" spans="1:13" ht="11.25" customHeight="1" x14ac:dyDescent="0.2">
      <c r="A475" s="924" t="s">
        <v>853</v>
      </c>
      <c r="B475" s="924" t="s">
        <v>790</v>
      </c>
      <c r="C475" s="924" t="s">
        <v>1169</v>
      </c>
      <c r="D475" s="924" t="s">
        <v>1163</v>
      </c>
      <c r="E475" s="924" t="s">
        <v>856</v>
      </c>
      <c r="F475" s="924" t="s">
        <v>925</v>
      </c>
      <c r="G475" s="924" t="s">
        <v>911</v>
      </c>
      <c r="H475" s="924" t="s">
        <v>665</v>
      </c>
      <c r="I475" s="924" t="s">
        <v>706</v>
      </c>
      <c r="J475" s="924" t="s">
        <v>859</v>
      </c>
      <c r="K475" s="924" t="s">
        <v>926</v>
      </c>
      <c r="L475" s="925">
        <v>7.9775367230176899</v>
      </c>
      <c r="M475" s="925">
        <v>3.6777692912437498E-4</v>
      </c>
    </row>
    <row r="476" spans="1:13" ht="11.25" customHeight="1" x14ac:dyDescent="0.2">
      <c r="A476" s="924" t="s">
        <v>853</v>
      </c>
      <c r="B476" s="924" t="s">
        <v>790</v>
      </c>
      <c r="C476" s="924" t="s">
        <v>1169</v>
      </c>
      <c r="D476" s="924" t="s">
        <v>1163</v>
      </c>
      <c r="E476" s="924" t="s">
        <v>856</v>
      </c>
      <c r="F476" s="924" t="s">
        <v>927</v>
      </c>
      <c r="G476" s="924" t="s">
        <v>911</v>
      </c>
      <c r="H476" s="924" t="s">
        <v>665</v>
      </c>
      <c r="I476" s="924" t="s">
        <v>706</v>
      </c>
      <c r="J476" s="924" t="s">
        <v>859</v>
      </c>
      <c r="K476" s="924" t="s">
        <v>928</v>
      </c>
      <c r="L476" s="925">
        <v>64.863356351852403</v>
      </c>
      <c r="M476" s="925">
        <v>1.9237079926824701E-2</v>
      </c>
    </row>
    <row r="477" spans="1:13" ht="11.25" customHeight="1" x14ac:dyDescent="0.2">
      <c r="A477" s="924" t="s">
        <v>853</v>
      </c>
      <c r="B477" s="924" t="s">
        <v>790</v>
      </c>
      <c r="C477" s="924" t="s">
        <v>1169</v>
      </c>
      <c r="D477" s="924" t="s">
        <v>1163</v>
      </c>
      <c r="E477" s="924" t="s">
        <v>856</v>
      </c>
      <c r="F477" s="924" t="s">
        <v>929</v>
      </c>
      <c r="G477" s="924" t="s">
        <v>911</v>
      </c>
      <c r="H477" s="924" t="s">
        <v>665</v>
      </c>
      <c r="I477" s="924" t="s">
        <v>706</v>
      </c>
      <c r="J477" s="924" t="s">
        <v>859</v>
      </c>
      <c r="K477" s="924" t="s">
        <v>891</v>
      </c>
      <c r="L477" s="925">
        <v>26.7042853236198</v>
      </c>
      <c r="M477" s="925">
        <v>1.0699578544517901E-2</v>
      </c>
    </row>
    <row r="478" spans="1:13" ht="11.25" customHeight="1" x14ac:dyDescent="0.2">
      <c r="A478" s="924" t="s">
        <v>853</v>
      </c>
      <c r="B478" s="924" t="s">
        <v>790</v>
      </c>
      <c r="C478" s="924" t="s">
        <v>1169</v>
      </c>
      <c r="D478" s="924" t="s">
        <v>1163</v>
      </c>
      <c r="E478" s="924" t="s">
        <v>856</v>
      </c>
      <c r="F478" s="924" t="s">
        <v>930</v>
      </c>
      <c r="G478" s="924" t="s">
        <v>911</v>
      </c>
      <c r="H478" s="924" t="s">
        <v>665</v>
      </c>
      <c r="I478" s="924" t="s">
        <v>706</v>
      </c>
      <c r="J478" s="924" t="s">
        <v>863</v>
      </c>
      <c r="K478" s="924" t="s">
        <v>931</v>
      </c>
      <c r="L478" s="925">
        <v>329.11384582519503</v>
      </c>
      <c r="M478" s="925">
        <v>6.7070919831167003E-2</v>
      </c>
    </row>
    <row r="479" spans="1:13" ht="11.25" customHeight="1" x14ac:dyDescent="0.2">
      <c r="A479" s="924" t="s">
        <v>853</v>
      </c>
      <c r="B479" s="924" t="s">
        <v>790</v>
      </c>
      <c r="C479" s="924" t="s">
        <v>1169</v>
      </c>
      <c r="D479" s="924" t="s">
        <v>1163</v>
      </c>
      <c r="E479" s="924" t="s">
        <v>856</v>
      </c>
      <c r="F479" s="924" t="s">
        <v>932</v>
      </c>
      <c r="G479" s="924" t="s">
        <v>911</v>
      </c>
      <c r="H479" s="924" t="s">
        <v>665</v>
      </c>
      <c r="I479" s="924" t="s">
        <v>706</v>
      </c>
      <c r="J479" s="924" t="s">
        <v>863</v>
      </c>
      <c r="K479" s="924" t="s">
        <v>933</v>
      </c>
      <c r="L479" s="925">
        <v>30618.0314941406</v>
      </c>
      <c r="M479" s="925">
        <v>1.47972973622382</v>
      </c>
    </row>
    <row r="480" spans="1:13" ht="11.25" customHeight="1" x14ac:dyDescent="0.2">
      <c r="A480" s="924" t="s">
        <v>853</v>
      </c>
      <c r="B480" s="924" t="s">
        <v>790</v>
      </c>
      <c r="C480" s="924" t="s">
        <v>1169</v>
      </c>
      <c r="D480" s="924" t="s">
        <v>1163</v>
      </c>
      <c r="E480" s="924" t="s">
        <v>856</v>
      </c>
      <c r="F480" s="924" t="s">
        <v>954</v>
      </c>
      <c r="G480" s="924" t="s">
        <v>911</v>
      </c>
      <c r="H480" s="924" t="s">
        <v>665</v>
      </c>
      <c r="I480" s="924" t="s">
        <v>706</v>
      </c>
      <c r="J480" s="924" t="s">
        <v>863</v>
      </c>
      <c r="K480" s="924" t="s">
        <v>935</v>
      </c>
      <c r="L480" s="925">
        <v>228.453552961349</v>
      </c>
      <c r="M480" s="925">
        <v>1.0786541432025801E-2</v>
      </c>
    </row>
    <row r="481" spans="1:13" ht="11.25" customHeight="1" x14ac:dyDescent="0.2">
      <c r="A481" s="924" t="s">
        <v>853</v>
      </c>
      <c r="B481" s="924" t="s">
        <v>790</v>
      </c>
      <c r="C481" s="924" t="s">
        <v>1169</v>
      </c>
      <c r="D481" s="924" t="s">
        <v>1163</v>
      </c>
      <c r="E481" s="924" t="s">
        <v>856</v>
      </c>
      <c r="F481" s="924" t="s">
        <v>936</v>
      </c>
      <c r="G481" s="924" t="s">
        <v>911</v>
      </c>
      <c r="H481" s="924" t="s">
        <v>665</v>
      </c>
      <c r="I481" s="924" t="s">
        <v>706</v>
      </c>
      <c r="J481" s="924" t="s">
        <v>863</v>
      </c>
      <c r="K481" s="924" t="s">
        <v>864</v>
      </c>
      <c r="L481" s="925">
        <v>72.059235036373096</v>
      </c>
      <c r="M481" s="925">
        <v>3.3539590403961501E-3</v>
      </c>
    </row>
    <row r="482" spans="1:13" ht="11.25" customHeight="1" x14ac:dyDescent="0.2">
      <c r="A482" s="924" t="s">
        <v>853</v>
      </c>
      <c r="B482" s="924" t="s">
        <v>790</v>
      </c>
      <c r="C482" s="924" t="s">
        <v>1169</v>
      </c>
      <c r="D482" s="924" t="s">
        <v>1163</v>
      </c>
      <c r="E482" s="924" t="s">
        <v>856</v>
      </c>
      <c r="F482" s="924" t="s">
        <v>944</v>
      </c>
      <c r="G482" s="924" t="s">
        <v>911</v>
      </c>
      <c r="H482" s="924" t="s">
        <v>665</v>
      </c>
      <c r="I482" s="924" t="s">
        <v>706</v>
      </c>
      <c r="J482" s="924" t="s">
        <v>875</v>
      </c>
      <c r="K482" s="924" t="s">
        <v>876</v>
      </c>
      <c r="L482" s="925">
        <v>892.81005573272705</v>
      </c>
      <c r="M482" s="925">
        <v>0.28227553155738899</v>
      </c>
    </row>
    <row r="483" spans="1:13" ht="11.25" customHeight="1" x14ac:dyDescent="0.2">
      <c r="A483" s="924" t="s">
        <v>853</v>
      </c>
      <c r="B483" s="924" t="s">
        <v>790</v>
      </c>
      <c r="C483" s="924" t="s">
        <v>1169</v>
      </c>
      <c r="D483" s="924" t="s">
        <v>1163</v>
      </c>
      <c r="E483" s="924" t="s">
        <v>856</v>
      </c>
      <c r="F483" s="924" t="s">
        <v>938</v>
      </c>
      <c r="G483" s="924" t="s">
        <v>911</v>
      </c>
      <c r="H483" s="924" t="s">
        <v>665</v>
      </c>
      <c r="I483" s="924" t="s">
        <v>706</v>
      </c>
      <c r="J483" s="924" t="s">
        <v>863</v>
      </c>
      <c r="K483" s="924" t="s">
        <v>868</v>
      </c>
      <c r="L483" s="925">
        <v>141.67170131206501</v>
      </c>
      <c r="M483" s="925">
        <v>6.54633811791427E-3</v>
      </c>
    </row>
    <row r="484" spans="1:13" ht="11.25" customHeight="1" x14ac:dyDescent="0.2">
      <c r="A484" s="924" t="s">
        <v>853</v>
      </c>
      <c r="B484" s="924" t="s">
        <v>790</v>
      </c>
      <c r="C484" s="924" t="s">
        <v>1169</v>
      </c>
      <c r="D484" s="924" t="s">
        <v>1163</v>
      </c>
      <c r="E484" s="924" t="s">
        <v>856</v>
      </c>
      <c r="F484" s="924" t="s">
        <v>865</v>
      </c>
      <c r="G484" s="924" t="s">
        <v>862</v>
      </c>
      <c r="H484" s="924" t="s">
        <v>665</v>
      </c>
      <c r="I484" s="924" t="s">
        <v>787</v>
      </c>
      <c r="J484" s="924" t="s">
        <v>863</v>
      </c>
      <c r="K484" s="924" t="s">
        <v>866</v>
      </c>
      <c r="L484" s="925">
        <v>5.93283958733082</v>
      </c>
      <c r="M484" s="925">
        <v>2.8623461384995601E-2</v>
      </c>
    </row>
    <row r="485" spans="1:13" ht="11.25" customHeight="1" x14ac:dyDescent="0.2">
      <c r="A485" s="924" t="s">
        <v>853</v>
      </c>
      <c r="B485" s="924" t="s">
        <v>790</v>
      </c>
      <c r="C485" s="924" t="s">
        <v>1169</v>
      </c>
      <c r="D485" s="924" t="s">
        <v>1163</v>
      </c>
      <c r="E485" s="924" t="s">
        <v>856</v>
      </c>
      <c r="F485" s="924" t="s">
        <v>943</v>
      </c>
      <c r="G485" s="924" t="s">
        <v>911</v>
      </c>
      <c r="H485" s="924" t="s">
        <v>665</v>
      </c>
      <c r="I485" s="924" t="s">
        <v>706</v>
      </c>
      <c r="J485" s="924" t="s">
        <v>870</v>
      </c>
      <c r="K485" s="924" t="s">
        <v>873</v>
      </c>
      <c r="L485" s="925">
        <v>5.1448567595798501E-2</v>
      </c>
      <c r="M485" s="925">
        <v>2.3363207128923599E-6</v>
      </c>
    </row>
    <row r="486" spans="1:13" ht="11.25" customHeight="1" x14ac:dyDescent="0.2">
      <c r="A486" s="924" t="s">
        <v>853</v>
      </c>
      <c r="B486" s="924" t="s">
        <v>790</v>
      </c>
      <c r="C486" s="924" t="s">
        <v>1169</v>
      </c>
      <c r="D486" s="924" t="s">
        <v>1163</v>
      </c>
      <c r="E486" s="924" t="s">
        <v>856</v>
      </c>
      <c r="F486" s="924" t="s">
        <v>923</v>
      </c>
      <c r="G486" s="924" t="s">
        <v>911</v>
      </c>
      <c r="H486" s="924" t="s">
        <v>665</v>
      </c>
      <c r="I486" s="924" t="s">
        <v>706</v>
      </c>
      <c r="J486" s="924" t="s">
        <v>859</v>
      </c>
      <c r="K486" s="924" t="s">
        <v>924</v>
      </c>
      <c r="L486" s="925">
        <v>75.473309934139294</v>
      </c>
      <c r="M486" s="925">
        <v>4.0013000325416197E-3</v>
      </c>
    </row>
    <row r="487" spans="1:13" ht="11.25" customHeight="1" x14ac:dyDescent="0.2">
      <c r="A487" s="924" t="s">
        <v>853</v>
      </c>
      <c r="B487" s="924" t="s">
        <v>790</v>
      </c>
      <c r="C487" s="924" t="s">
        <v>1169</v>
      </c>
      <c r="D487" s="924" t="s">
        <v>1163</v>
      </c>
      <c r="E487" s="924" t="s">
        <v>856</v>
      </c>
      <c r="F487" s="924" t="s">
        <v>945</v>
      </c>
      <c r="G487" s="924" t="s">
        <v>911</v>
      </c>
      <c r="H487" s="924" t="s">
        <v>665</v>
      </c>
      <c r="I487" s="924" t="s">
        <v>706</v>
      </c>
      <c r="J487" s="924" t="s">
        <v>875</v>
      </c>
      <c r="K487" s="924" t="s">
        <v>878</v>
      </c>
      <c r="L487" s="925">
        <v>197.15285968780501</v>
      </c>
      <c r="M487" s="925">
        <v>2.9166784799599599E-2</v>
      </c>
    </row>
    <row r="488" spans="1:13" ht="11.25" customHeight="1" x14ac:dyDescent="0.2">
      <c r="A488" s="924" t="s">
        <v>853</v>
      </c>
      <c r="B488" s="924" t="s">
        <v>790</v>
      </c>
      <c r="C488" s="924" t="s">
        <v>1169</v>
      </c>
      <c r="D488" s="924" t="s">
        <v>1163</v>
      </c>
      <c r="E488" s="924" t="s">
        <v>856</v>
      </c>
      <c r="F488" s="924" t="s">
        <v>946</v>
      </c>
      <c r="G488" s="924" t="s">
        <v>911</v>
      </c>
      <c r="H488" s="924" t="s">
        <v>665</v>
      </c>
      <c r="I488" s="924" t="s">
        <v>706</v>
      </c>
      <c r="J488" s="924" t="s">
        <v>875</v>
      </c>
      <c r="K488" s="924" t="s">
        <v>880</v>
      </c>
      <c r="L488" s="925">
        <v>233.06349921226499</v>
      </c>
      <c r="M488" s="925">
        <v>1.48332859107541E-2</v>
      </c>
    </row>
    <row r="489" spans="1:13" ht="11.25" customHeight="1" x14ac:dyDescent="0.2">
      <c r="A489" s="924" t="s">
        <v>853</v>
      </c>
      <c r="B489" s="924" t="s">
        <v>790</v>
      </c>
      <c r="C489" s="924" t="s">
        <v>1169</v>
      </c>
      <c r="D489" s="924" t="s">
        <v>1163</v>
      </c>
      <c r="E489" s="924" t="s">
        <v>856</v>
      </c>
      <c r="F489" s="924" t="s">
        <v>947</v>
      </c>
      <c r="G489" s="924" t="s">
        <v>911</v>
      </c>
      <c r="H489" s="924" t="s">
        <v>665</v>
      </c>
      <c r="I489" s="924" t="s">
        <v>706</v>
      </c>
      <c r="J489" s="924" t="s">
        <v>875</v>
      </c>
      <c r="K489" s="924" t="s">
        <v>948</v>
      </c>
      <c r="L489" s="925">
        <v>289.68534469604498</v>
      </c>
      <c r="M489" s="925">
        <v>2.21373942931677E-2</v>
      </c>
    </row>
    <row r="490" spans="1:13" ht="11.25" customHeight="1" x14ac:dyDescent="0.2">
      <c r="A490" s="924" t="s">
        <v>853</v>
      </c>
      <c r="B490" s="924" t="s">
        <v>790</v>
      </c>
      <c r="C490" s="924" t="s">
        <v>1169</v>
      </c>
      <c r="D490" s="924" t="s">
        <v>1163</v>
      </c>
      <c r="E490" s="924" t="s">
        <v>856</v>
      </c>
      <c r="F490" s="924" t="s">
        <v>949</v>
      </c>
      <c r="G490" s="924" t="s">
        <v>911</v>
      </c>
      <c r="H490" s="924" t="s">
        <v>665</v>
      </c>
      <c r="I490" s="924" t="s">
        <v>706</v>
      </c>
      <c r="J490" s="924" t="s">
        <v>875</v>
      </c>
      <c r="K490" s="924" t="s">
        <v>950</v>
      </c>
      <c r="L490" s="925">
        <v>3.88433410227299</v>
      </c>
      <c r="M490" s="925">
        <v>8.3312119818401698E-4</v>
      </c>
    </row>
    <row r="491" spans="1:13" ht="11.25" customHeight="1" x14ac:dyDescent="0.2">
      <c r="A491" s="924" t="s">
        <v>853</v>
      </c>
      <c r="B491" s="924" t="s">
        <v>790</v>
      </c>
      <c r="C491" s="924" t="s">
        <v>1169</v>
      </c>
      <c r="D491" s="924" t="s">
        <v>1163</v>
      </c>
      <c r="E491" s="924" t="s">
        <v>856</v>
      </c>
      <c r="F491" s="924" t="s">
        <v>951</v>
      </c>
      <c r="G491" s="924" t="s">
        <v>911</v>
      </c>
      <c r="H491" s="924" t="s">
        <v>665</v>
      </c>
      <c r="I491" s="924" t="s">
        <v>706</v>
      </c>
      <c r="J491" s="924" t="s">
        <v>875</v>
      </c>
      <c r="K491" s="924" t="s">
        <v>952</v>
      </c>
      <c r="L491" s="925">
        <v>3.5851835310459101</v>
      </c>
      <c r="M491" s="925">
        <v>2.2292217710173599E-4</v>
      </c>
    </row>
    <row r="492" spans="1:13" ht="11.25" customHeight="1" x14ac:dyDescent="0.2">
      <c r="A492" s="924" t="s">
        <v>853</v>
      </c>
      <c r="B492" s="924" t="s">
        <v>790</v>
      </c>
      <c r="C492" s="924" t="s">
        <v>1169</v>
      </c>
      <c r="D492" s="924" t="s">
        <v>1163</v>
      </c>
      <c r="E492" s="924" t="s">
        <v>856</v>
      </c>
      <c r="F492" s="924" t="s">
        <v>890</v>
      </c>
      <c r="G492" s="924" t="s">
        <v>862</v>
      </c>
      <c r="H492" s="924" t="s">
        <v>665</v>
      </c>
      <c r="I492" s="924" t="s">
        <v>787</v>
      </c>
      <c r="J492" s="924" t="s">
        <v>859</v>
      </c>
      <c r="K492" s="924" t="s">
        <v>891</v>
      </c>
      <c r="L492" s="925">
        <v>0.92265106830745902</v>
      </c>
      <c r="M492" s="925">
        <v>3.2843629043782102E-2</v>
      </c>
    </row>
    <row r="493" spans="1:13" ht="11.25" customHeight="1" x14ac:dyDescent="0.2">
      <c r="A493" s="924" t="s">
        <v>853</v>
      </c>
      <c r="B493" s="924" t="s">
        <v>790</v>
      </c>
      <c r="C493" s="924" t="s">
        <v>1169</v>
      </c>
      <c r="D493" s="924" t="s">
        <v>1163</v>
      </c>
      <c r="E493" s="924" t="s">
        <v>856</v>
      </c>
      <c r="F493" s="924" t="s">
        <v>937</v>
      </c>
      <c r="G493" s="924" t="s">
        <v>862</v>
      </c>
      <c r="H493" s="924" t="s">
        <v>665</v>
      </c>
      <c r="I493" s="924" t="s">
        <v>787</v>
      </c>
      <c r="J493" s="924" t="s">
        <v>863</v>
      </c>
      <c r="K493" s="924" t="s">
        <v>933</v>
      </c>
      <c r="L493" s="925">
        <v>2064.0050525665301</v>
      </c>
      <c r="M493" s="925">
        <v>8.7913895845413208</v>
      </c>
    </row>
    <row r="494" spans="1:13" ht="11.25" customHeight="1" x14ac:dyDescent="0.2">
      <c r="A494" s="924" t="s">
        <v>853</v>
      </c>
      <c r="B494" s="924" t="s">
        <v>790</v>
      </c>
      <c r="C494" s="924" t="s">
        <v>1169</v>
      </c>
      <c r="D494" s="924" t="s">
        <v>1163</v>
      </c>
      <c r="E494" s="924" t="s">
        <v>856</v>
      </c>
      <c r="F494" s="924" t="s">
        <v>934</v>
      </c>
      <c r="G494" s="924" t="s">
        <v>862</v>
      </c>
      <c r="H494" s="924" t="s">
        <v>665</v>
      </c>
      <c r="I494" s="924" t="s">
        <v>787</v>
      </c>
      <c r="J494" s="924" t="s">
        <v>863</v>
      </c>
      <c r="K494" s="924" t="s">
        <v>935</v>
      </c>
      <c r="L494" s="925">
        <v>1.7488362528383701</v>
      </c>
      <c r="M494" s="925">
        <v>7.3515011463314303E-3</v>
      </c>
    </row>
    <row r="495" spans="1:13" ht="11.25" customHeight="1" x14ac:dyDescent="0.2">
      <c r="A495" s="924" t="s">
        <v>853</v>
      </c>
      <c r="B495" s="924" t="s">
        <v>790</v>
      </c>
      <c r="C495" s="924" t="s">
        <v>1169</v>
      </c>
      <c r="D495" s="924" t="s">
        <v>1163</v>
      </c>
      <c r="E495" s="924" t="s">
        <v>856</v>
      </c>
      <c r="F495" s="924" t="s">
        <v>861</v>
      </c>
      <c r="G495" s="924" t="s">
        <v>862</v>
      </c>
      <c r="H495" s="924" t="s">
        <v>665</v>
      </c>
      <c r="I495" s="924" t="s">
        <v>787</v>
      </c>
      <c r="J495" s="924" t="s">
        <v>863</v>
      </c>
      <c r="K495" s="924" t="s">
        <v>864</v>
      </c>
      <c r="L495" s="925">
        <v>0.95307602360844601</v>
      </c>
      <c r="M495" s="925">
        <v>3.9160094747785496E-3</v>
      </c>
    </row>
    <row r="496" spans="1:13" ht="11.25" customHeight="1" x14ac:dyDescent="0.2">
      <c r="A496" s="924" t="s">
        <v>853</v>
      </c>
      <c r="B496" s="924" t="s">
        <v>790</v>
      </c>
      <c r="C496" s="924" t="s">
        <v>1169</v>
      </c>
      <c r="D496" s="924" t="s">
        <v>1163</v>
      </c>
      <c r="E496" s="924" t="s">
        <v>856</v>
      </c>
      <c r="F496" s="924" t="s">
        <v>914</v>
      </c>
      <c r="G496" s="924" t="s">
        <v>911</v>
      </c>
      <c r="H496" s="924" t="s">
        <v>665</v>
      </c>
      <c r="I496" s="924" t="s">
        <v>706</v>
      </c>
      <c r="J496" s="924" t="s">
        <v>863</v>
      </c>
      <c r="K496" s="924" t="s">
        <v>915</v>
      </c>
      <c r="L496" s="925">
        <v>17.478466808795901</v>
      </c>
      <c r="M496" s="925">
        <v>2.49396375420474E-3</v>
      </c>
    </row>
    <row r="497" spans="1:13" ht="11.25" customHeight="1" x14ac:dyDescent="0.2">
      <c r="A497" s="924" t="s">
        <v>853</v>
      </c>
      <c r="B497" s="924" t="s">
        <v>790</v>
      </c>
      <c r="C497" s="924" t="s">
        <v>1169</v>
      </c>
      <c r="D497" s="924" t="s">
        <v>1163</v>
      </c>
      <c r="E497" s="924" t="s">
        <v>856</v>
      </c>
      <c r="F497" s="924" t="s">
        <v>980</v>
      </c>
      <c r="G497" s="924" t="s">
        <v>981</v>
      </c>
      <c r="H497" s="924" t="s">
        <v>835</v>
      </c>
      <c r="I497" s="924" t="s">
        <v>839</v>
      </c>
      <c r="J497" s="924" t="s">
        <v>982</v>
      </c>
      <c r="K497" s="924" t="s">
        <v>983</v>
      </c>
      <c r="L497" s="925">
        <v>4694.8290262222299</v>
      </c>
      <c r="M497" s="925">
        <v>5.3548675198108002</v>
      </c>
    </row>
    <row r="498" spans="1:13" ht="11.25" customHeight="1" x14ac:dyDescent="0.2">
      <c r="A498" s="924" t="s">
        <v>853</v>
      </c>
      <c r="B498" s="924" t="s">
        <v>790</v>
      </c>
      <c r="C498" s="924" t="s">
        <v>1169</v>
      </c>
      <c r="D498" s="924" t="s">
        <v>1163</v>
      </c>
      <c r="E498" s="924" t="s">
        <v>856</v>
      </c>
      <c r="F498" s="924" t="s">
        <v>962</v>
      </c>
      <c r="G498" s="924" t="s">
        <v>858</v>
      </c>
      <c r="H498" s="924" t="s">
        <v>836</v>
      </c>
      <c r="I498" s="924" t="s">
        <v>837</v>
      </c>
      <c r="J498" s="924" t="s">
        <v>870</v>
      </c>
      <c r="K498" s="924" t="s">
        <v>963</v>
      </c>
      <c r="L498" s="925">
        <v>4.50629643892171E-2</v>
      </c>
      <c r="M498" s="925">
        <v>3.2028851471542502E-7</v>
      </c>
    </row>
    <row r="499" spans="1:13" ht="11.25" customHeight="1" x14ac:dyDescent="0.2">
      <c r="A499" s="924" t="s">
        <v>853</v>
      </c>
      <c r="B499" s="924" t="s">
        <v>790</v>
      </c>
      <c r="C499" s="924" t="s">
        <v>1169</v>
      </c>
      <c r="D499" s="924" t="s">
        <v>1163</v>
      </c>
      <c r="E499" s="924" t="s">
        <v>856</v>
      </c>
      <c r="F499" s="924" t="s">
        <v>964</v>
      </c>
      <c r="G499" s="924" t="s">
        <v>858</v>
      </c>
      <c r="H499" s="924" t="s">
        <v>836</v>
      </c>
      <c r="I499" s="924" t="s">
        <v>837</v>
      </c>
      <c r="J499" s="924" t="s">
        <v>870</v>
      </c>
      <c r="K499" s="924" t="s">
        <v>965</v>
      </c>
      <c r="L499" s="925">
        <v>15.0620371587574</v>
      </c>
      <c r="M499" s="925">
        <v>1.3829237181717201E-4</v>
      </c>
    </row>
    <row r="500" spans="1:13" ht="11.25" customHeight="1" x14ac:dyDescent="0.2">
      <c r="A500" s="924" t="s">
        <v>853</v>
      </c>
      <c r="B500" s="924" t="s">
        <v>790</v>
      </c>
      <c r="C500" s="924" t="s">
        <v>1169</v>
      </c>
      <c r="D500" s="924" t="s">
        <v>1163</v>
      </c>
      <c r="E500" s="924" t="s">
        <v>856</v>
      </c>
      <c r="F500" s="924" t="s">
        <v>966</v>
      </c>
      <c r="G500" s="924" t="s">
        <v>858</v>
      </c>
      <c r="H500" s="924" t="s">
        <v>836</v>
      </c>
      <c r="I500" s="924" t="s">
        <v>837</v>
      </c>
      <c r="J500" s="924" t="s">
        <v>870</v>
      </c>
      <c r="K500" s="924" t="s">
        <v>871</v>
      </c>
      <c r="L500" s="925">
        <v>41.910645931959202</v>
      </c>
      <c r="M500" s="925">
        <v>3.6416931187410701E-4</v>
      </c>
    </row>
    <row r="501" spans="1:13" ht="11.25" customHeight="1" x14ac:dyDescent="0.2">
      <c r="A501" s="924" t="s">
        <v>853</v>
      </c>
      <c r="B501" s="924" t="s">
        <v>790</v>
      </c>
      <c r="C501" s="924" t="s">
        <v>1169</v>
      </c>
      <c r="D501" s="924" t="s">
        <v>1163</v>
      </c>
      <c r="E501" s="924" t="s">
        <v>856</v>
      </c>
      <c r="F501" s="924" t="s">
        <v>967</v>
      </c>
      <c r="G501" s="924" t="s">
        <v>858</v>
      </c>
      <c r="H501" s="924" t="s">
        <v>836</v>
      </c>
      <c r="I501" s="924" t="s">
        <v>837</v>
      </c>
      <c r="J501" s="924" t="s">
        <v>870</v>
      </c>
      <c r="K501" s="924" t="s">
        <v>873</v>
      </c>
      <c r="L501" s="925">
        <v>30.889345660805699</v>
      </c>
      <c r="M501" s="925">
        <v>5.2184925783649305E-4</v>
      </c>
    </row>
    <row r="502" spans="1:13" ht="11.25" customHeight="1" x14ac:dyDescent="0.2">
      <c r="A502" s="924" t="s">
        <v>853</v>
      </c>
      <c r="B502" s="924" t="s">
        <v>790</v>
      </c>
      <c r="C502" s="924" t="s">
        <v>1169</v>
      </c>
      <c r="D502" s="924" t="s">
        <v>1163</v>
      </c>
      <c r="E502" s="924" t="s">
        <v>856</v>
      </c>
      <c r="F502" s="924" t="s">
        <v>968</v>
      </c>
      <c r="G502" s="924" t="s">
        <v>858</v>
      </c>
      <c r="H502" s="924" t="s">
        <v>836</v>
      </c>
      <c r="I502" s="924" t="s">
        <v>837</v>
      </c>
      <c r="J502" s="924" t="s">
        <v>875</v>
      </c>
      <c r="K502" s="924" t="s">
        <v>876</v>
      </c>
      <c r="L502" s="925">
        <v>6988.1130218505896</v>
      </c>
      <c r="M502" s="925">
        <v>0.18730948300981301</v>
      </c>
    </row>
    <row r="503" spans="1:13" ht="11.25" customHeight="1" x14ac:dyDescent="0.2">
      <c r="A503" s="924" t="s">
        <v>853</v>
      </c>
      <c r="B503" s="924" t="s">
        <v>790</v>
      </c>
      <c r="C503" s="924" t="s">
        <v>1169</v>
      </c>
      <c r="D503" s="924" t="s">
        <v>1163</v>
      </c>
      <c r="E503" s="924" t="s">
        <v>856</v>
      </c>
      <c r="F503" s="924" t="s">
        <v>969</v>
      </c>
      <c r="G503" s="924" t="s">
        <v>858</v>
      </c>
      <c r="H503" s="924" t="s">
        <v>836</v>
      </c>
      <c r="I503" s="924" t="s">
        <v>837</v>
      </c>
      <c r="J503" s="924" t="s">
        <v>875</v>
      </c>
      <c r="K503" s="924" t="s">
        <v>878</v>
      </c>
      <c r="L503" s="925">
        <v>1649.2901935577399</v>
      </c>
      <c r="M503" s="925">
        <v>4.3688710979495199E-2</v>
      </c>
    </row>
    <row r="504" spans="1:13" ht="11.25" customHeight="1" x14ac:dyDescent="0.2">
      <c r="A504" s="924" t="s">
        <v>853</v>
      </c>
      <c r="B504" s="924" t="s">
        <v>790</v>
      </c>
      <c r="C504" s="924" t="s">
        <v>1169</v>
      </c>
      <c r="D504" s="924" t="s">
        <v>1163</v>
      </c>
      <c r="E504" s="924" t="s">
        <v>856</v>
      </c>
      <c r="F504" s="924" t="s">
        <v>970</v>
      </c>
      <c r="G504" s="924" t="s">
        <v>858</v>
      </c>
      <c r="H504" s="924" t="s">
        <v>836</v>
      </c>
      <c r="I504" s="924" t="s">
        <v>837</v>
      </c>
      <c r="J504" s="924" t="s">
        <v>875</v>
      </c>
      <c r="K504" s="924" t="s">
        <v>880</v>
      </c>
      <c r="L504" s="925">
        <v>4575.2999725341797</v>
      </c>
      <c r="M504" s="925">
        <v>8.8906011396829895E-2</v>
      </c>
    </row>
    <row r="505" spans="1:13" ht="11.25" customHeight="1" x14ac:dyDescent="0.2">
      <c r="A505" s="924" t="s">
        <v>853</v>
      </c>
      <c r="B505" s="924" t="s">
        <v>790</v>
      </c>
      <c r="C505" s="924" t="s">
        <v>1169</v>
      </c>
      <c r="D505" s="924" t="s">
        <v>1163</v>
      </c>
      <c r="E505" s="924" t="s">
        <v>856</v>
      </c>
      <c r="F505" s="924" t="s">
        <v>971</v>
      </c>
      <c r="G505" s="924" t="s">
        <v>858</v>
      </c>
      <c r="H505" s="924" t="s">
        <v>836</v>
      </c>
      <c r="I505" s="924" t="s">
        <v>837</v>
      </c>
      <c r="J505" s="924" t="s">
        <v>875</v>
      </c>
      <c r="K505" s="924" t="s">
        <v>948</v>
      </c>
      <c r="L505" s="925">
        <v>2325.22094726563</v>
      </c>
      <c r="M505" s="925">
        <v>9.9457705215172595E-2</v>
      </c>
    </row>
    <row r="506" spans="1:13" ht="11.25" customHeight="1" x14ac:dyDescent="0.2">
      <c r="A506" s="924" t="s">
        <v>853</v>
      </c>
      <c r="B506" s="924" t="s">
        <v>790</v>
      </c>
      <c r="C506" s="924" t="s">
        <v>1169</v>
      </c>
      <c r="D506" s="924" t="s">
        <v>1163</v>
      </c>
      <c r="E506" s="924" t="s">
        <v>856</v>
      </c>
      <c r="F506" s="924" t="s">
        <v>1000</v>
      </c>
      <c r="G506" s="924" t="s">
        <v>858</v>
      </c>
      <c r="H506" s="924" t="s">
        <v>836</v>
      </c>
      <c r="I506" s="924" t="s">
        <v>837</v>
      </c>
      <c r="J506" s="924" t="s">
        <v>875</v>
      </c>
      <c r="K506" s="924" t="s">
        <v>950</v>
      </c>
      <c r="L506" s="925">
        <v>223.456035852432</v>
      </c>
      <c r="M506" s="925">
        <v>5.2487474732743102E-3</v>
      </c>
    </row>
    <row r="507" spans="1:13" ht="11.25" customHeight="1" x14ac:dyDescent="0.2">
      <c r="A507" s="924" t="s">
        <v>853</v>
      </c>
      <c r="B507" s="924" t="s">
        <v>790</v>
      </c>
      <c r="C507" s="924" t="s">
        <v>1169</v>
      </c>
      <c r="D507" s="924" t="s">
        <v>1163</v>
      </c>
      <c r="E507" s="924" t="s">
        <v>856</v>
      </c>
      <c r="F507" s="924" t="s">
        <v>974</v>
      </c>
      <c r="G507" s="924" t="s">
        <v>858</v>
      </c>
      <c r="H507" s="924" t="s">
        <v>836</v>
      </c>
      <c r="I507" s="924" t="s">
        <v>837</v>
      </c>
      <c r="J507" s="924" t="s">
        <v>875</v>
      </c>
      <c r="K507" s="924" t="s">
        <v>952</v>
      </c>
      <c r="L507" s="925">
        <v>197.742123603821</v>
      </c>
      <c r="M507" s="925">
        <v>4.4676613983938296E-3</v>
      </c>
    </row>
    <row r="508" spans="1:13" ht="11.25" customHeight="1" x14ac:dyDescent="0.2">
      <c r="A508" s="924" t="s">
        <v>853</v>
      </c>
      <c r="B508" s="924" t="s">
        <v>790</v>
      </c>
      <c r="C508" s="924" t="s">
        <v>1169</v>
      </c>
      <c r="D508" s="924" t="s">
        <v>1163</v>
      </c>
      <c r="E508" s="924" t="s">
        <v>1164</v>
      </c>
      <c r="F508" s="924" t="s">
        <v>1167</v>
      </c>
      <c r="G508" s="924" t="s">
        <v>911</v>
      </c>
      <c r="H508" s="924" t="s">
        <v>665</v>
      </c>
      <c r="I508" s="924" t="s">
        <v>706</v>
      </c>
      <c r="J508" s="924" t="s">
        <v>1166</v>
      </c>
      <c r="K508" s="924" t="s">
        <v>1166</v>
      </c>
      <c r="L508" s="925">
        <v>0.155526957241818</v>
      </c>
      <c r="M508" s="925">
        <v>7.2088254370328303E-6</v>
      </c>
    </row>
    <row r="509" spans="1:13" ht="11.25" customHeight="1" x14ac:dyDescent="0.2">
      <c r="A509" s="924" t="s">
        <v>853</v>
      </c>
      <c r="B509" s="924" t="s">
        <v>790</v>
      </c>
      <c r="C509" s="924" t="s">
        <v>1169</v>
      </c>
      <c r="D509" s="924" t="s">
        <v>1163</v>
      </c>
      <c r="E509" s="924" t="s">
        <v>856</v>
      </c>
      <c r="F509" s="924" t="s">
        <v>1172</v>
      </c>
      <c r="G509" s="924" t="s">
        <v>858</v>
      </c>
      <c r="H509" s="924" t="s">
        <v>836</v>
      </c>
      <c r="I509" s="924" t="s">
        <v>837</v>
      </c>
      <c r="J509" s="924" t="s">
        <v>863</v>
      </c>
      <c r="K509" s="924" t="s">
        <v>1171</v>
      </c>
      <c r="L509" s="925">
        <v>128.42545127868701</v>
      </c>
      <c r="M509" s="925">
        <v>3.7333092172957502E-3</v>
      </c>
    </row>
    <row r="510" spans="1:13" ht="11.25" customHeight="1" x14ac:dyDescent="0.2">
      <c r="A510" s="924" t="s">
        <v>853</v>
      </c>
      <c r="B510" s="924" t="s">
        <v>790</v>
      </c>
      <c r="C510" s="924" t="s">
        <v>1169</v>
      </c>
      <c r="D510" s="924" t="s">
        <v>1163</v>
      </c>
      <c r="E510" s="924" t="s">
        <v>856</v>
      </c>
      <c r="F510" s="924" t="s">
        <v>1015</v>
      </c>
      <c r="G510" s="924" t="s">
        <v>858</v>
      </c>
      <c r="H510" s="924" t="s">
        <v>836</v>
      </c>
      <c r="I510" s="924" t="s">
        <v>837</v>
      </c>
      <c r="J510" s="924" t="s">
        <v>870</v>
      </c>
      <c r="K510" s="924" t="s">
        <v>1016</v>
      </c>
      <c r="L510" s="925">
        <v>1.0635186652652899</v>
      </c>
      <c r="M510" s="925">
        <v>1.29214897989227E-5</v>
      </c>
    </row>
    <row r="511" spans="1:13" ht="11.25" customHeight="1" x14ac:dyDescent="0.2">
      <c r="A511" s="924" t="s">
        <v>853</v>
      </c>
      <c r="B511" s="924" t="s">
        <v>790</v>
      </c>
      <c r="C511" s="924" t="s">
        <v>1169</v>
      </c>
      <c r="D511" s="924" t="s">
        <v>1163</v>
      </c>
      <c r="E511" s="924" t="s">
        <v>856</v>
      </c>
      <c r="F511" s="924" t="s">
        <v>984</v>
      </c>
      <c r="G511" s="924" t="s">
        <v>981</v>
      </c>
      <c r="H511" s="924" t="s">
        <v>835</v>
      </c>
      <c r="I511" s="924" t="s">
        <v>839</v>
      </c>
      <c r="J511" s="924" t="s">
        <v>982</v>
      </c>
      <c r="K511" s="924" t="s">
        <v>985</v>
      </c>
      <c r="L511" s="925">
        <v>1983.4207730293299</v>
      </c>
      <c r="M511" s="925">
        <v>2.2124840961769201</v>
      </c>
    </row>
    <row r="512" spans="1:13" ht="11.25" customHeight="1" x14ac:dyDescent="0.2">
      <c r="A512" s="924" t="s">
        <v>853</v>
      </c>
      <c r="B512" s="924" t="s">
        <v>790</v>
      </c>
      <c r="C512" s="924" t="s">
        <v>1169</v>
      </c>
      <c r="D512" s="924" t="s">
        <v>1163</v>
      </c>
      <c r="E512" s="924" t="s">
        <v>856</v>
      </c>
      <c r="F512" s="924" t="s">
        <v>986</v>
      </c>
      <c r="G512" s="924" t="s">
        <v>981</v>
      </c>
      <c r="H512" s="924" t="s">
        <v>835</v>
      </c>
      <c r="I512" s="924" t="s">
        <v>839</v>
      </c>
      <c r="J512" s="924" t="s">
        <v>987</v>
      </c>
      <c r="K512" s="924" t="s">
        <v>988</v>
      </c>
      <c r="L512" s="925">
        <v>2752.3550729751601</v>
      </c>
      <c r="M512" s="925">
        <v>1.38992186426185</v>
      </c>
    </row>
    <row r="513" spans="1:13" ht="11.25" customHeight="1" x14ac:dyDescent="0.2">
      <c r="A513" s="924" t="s">
        <v>853</v>
      </c>
      <c r="B513" s="924" t="s">
        <v>790</v>
      </c>
      <c r="C513" s="924" t="s">
        <v>1169</v>
      </c>
      <c r="D513" s="924" t="s">
        <v>1163</v>
      </c>
      <c r="E513" s="924" t="s">
        <v>856</v>
      </c>
      <c r="F513" s="924" t="s">
        <v>989</v>
      </c>
      <c r="G513" s="924" t="s">
        <v>990</v>
      </c>
      <c r="H513" s="924" t="s">
        <v>836</v>
      </c>
      <c r="I513" s="924" t="s">
        <v>839</v>
      </c>
      <c r="J513" s="924" t="s">
        <v>224</v>
      </c>
      <c r="K513" s="924" t="s">
        <v>988</v>
      </c>
      <c r="L513" s="925">
        <v>2167.5499548911998</v>
      </c>
      <c r="M513" s="925">
        <v>7.3800155482970795E-2</v>
      </c>
    </row>
    <row r="514" spans="1:13" ht="11.25" customHeight="1" x14ac:dyDescent="0.2">
      <c r="A514" s="924" t="s">
        <v>853</v>
      </c>
      <c r="B514" s="924" t="s">
        <v>790</v>
      </c>
      <c r="C514" s="924" t="s">
        <v>1169</v>
      </c>
      <c r="D514" s="924" t="s">
        <v>1163</v>
      </c>
      <c r="E514" s="924" t="s">
        <v>856</v>
      </c>
      <c r="F514" s="924" t="s">
        <v>991</v>
      </c>
      <c r="G514" s="924" t="s">
        <v>990</v>
      </c>
      <c r="H514" s="924" t="s">
        <v>836</v>
      </c>
      <c r="I514" s="924" t="s">
        <v>839</v>
      </c>
      <c r="J514" s="924" t="s">
        <v>224</v>
      </c>
      <c r="K514" s="924" t="s">
        <v>983</v>
      </c>
      <c r="L514" s="925">
        <v>9.4997795391827804</v>
      </c>
      <c r="M514" s="925">
        <v>5.6726331554557397E-4</v>
      </c>
    </row>
    <row r="515" spans="1:13" ht="11.25" customHeight="1" x14ac:dyDescent="0.2">
      <c r="A515" s="924" t="s">
        <v>853</v>
      </c>
      <c r="B515" s="924" t="s">
        <v>790</v>
      </c>
      <c r="C515" s="924" t="s">
        <v>1169</v>
      </c>
      <c r="D515" s="924" t="s">
        <v>1163</v>
      </c>
      <c r="E515" s="924" t="s">
        <v>856</v>
      </c>
      <c r="F515" s="924" t="s">
        <v>992</v>
      </c>
      <c r="G515" s="924" t="s">
        <v>858</v>
      </c>
      <c r="H515" s="924" t="s">
        <v>836</v>
      </c>
      <c r="I515" s="924" t="s">
        <v>834</v>
      </c>
      <c r="J515" s="924" t="s">
        <v>224</v>
      </c>
      <c r="K515" s="924" t="s">
        <v>993</v>
      </c>
      <c r="L515" s="925">
        <v>263.57437252998398</v>
      </c>
      <c r="M515" s="925">
        <v>1.02577774291603E-2</v>
      </c>
    </row>
    <row r="516" spans="1:13" ht="11.25" customHeight="1" x14ac:dyDescent="0.2">
      <c r="A516" s="924" t="s">
        <v>853</v>
      </c>
      <c r="B516" s="924" t="s">
        <v>790</v>
      </c>
      <c r="C516" s="924" t="s">
        <v>1169</v>
      </c>
      <c r="D516" s="924" t="s">
        <v>1163</v>
      </c>
      <c r="E516" s="924" t="s">
        <v>856</v>
      </c>
      <c r="F516" s="924" t="s">
        <v>994</v>
      </c>
      <c r="G516" s="924" t="s">
        <v>981</v>
      </c>
      <c r="H516" s="924" t="s">
        <v>835</v>
      </c>
      <c r="I516" s="924" t="s">
        <v>834</v>
      </c>
      <c r="J516" s="924" t="s">
        <v>995</v>
      </c>
      <c r="K516" s="924" t="s">
        <v>993</v>
      </c>
      <c r="L516" s="925">
        <v>15.552181705832499</v>
      </c>
      <c r="M516" s="925">
        <v>1.01039186007057E-2</v>
      </c>
    </row>
    <row r="517" spans="1:13" ht="11.25" customHeight="1" x14ac:dyDescent="0.2">
      <c r="A517" s="924" t="s">
        <v>853</v>
      </c>
      <c r="B517" s="924" t="s">
        <v>790</v>
      </c>
      <c r="C517" s="924" t="s">
        <v>1169</v>
      </c>
      <c r="D517" s="924" t="s">
        <v>1163</v>
      </c>
      <c r="E517" s="924" t="s">
        <v>856</v>
      </c>
      <c r="F517" s="924" t="s">
        <v>996</v>
      </c>
      <c r="G517" s="924" t="s">
        <v>911</v>
      </c>
      <c r="H517" s="924" t="s">
        <v>665</v>
      </c>
      <c r="I517" s="924" t="s">
        <v>834</v>
      </c>
      <c r="J517" s="924" t="s">
        <v>706</v>
      </c>
      <c r="K517" s="924" t="s">
        <v>993</v>
      </c>
      <c r="L517" s="925">
        <v>0.466294368030503</v>
      </c>
      <c r="M517" s="925">
        <v>5.7811471254609601E-5</v>
      </c>
    </row>
    <row r="518" spans="1:13" ht="11.25" customHeight="1" x14ac:dyDescent="0.2">
      <c r="A518" s="924" t="s">
        <v>853</v>
      </c>
      <c r="B518" s="924" t="s">
        <v>790</v>
      </c>
      <c r="C518" s="924" t="s">
        <v>1169</v>
      </c>
      <c r="D518" s="924" t="s">
        <v>1163</v>
      </c>
      <c r="E518" s="924" t="s">
        <v>1164</v>
      </c>
      <c r="F518" s="924" t="s">
        <v>1165</v>
      </c>
      <c r="G518" s="924" t="s">
        <v>981</v>
      </c>
      <c r="H518" s="924" t="s">
        <v>835</v>
      </c>
      <c r="I518" s="924" t="s">
        <v>1040</v>
      </c>
      <c r="J518" s="924" t="s">
        <v>1166</v>
      </c>
      <c r="K518" s="924" t="s">
        <v>1166</v>
      </c>
      <c r="L518" s="925">
        <v>0.27880250802263601</v>
      </c>
      <c r="M518" s="925">
        <v>8.0189825325760494E-5</v>
      </c>
    </row>
    <row r="519" spans="1:13" ht="11.25" customHeight="1" x14ac:dyDescent="0.2">
      <c r="A519" s="924" t="s">
        <v>853</v>
      </c>
      <c r="B519" s="924" t="s">
        <v>790</v>
      </c>
      <c r="C519" s="924" t="s">
        <v>1169</v>
      </c>
      <c r="D519" s="924" t="s">
        <v>1163</v>
      </c>
      <c r="E519" s="924" t="s">
        <v>1164</v>
      </c>
      <c r="F519" s="924" t="s">
        <v>1168</v>
      </c>
      <c r="G519" s="924" t="s">
        <v>858</v>
      </c>
      <c r="H519" s="924" t="s">
        <v>836</v>
      </c>
      <c r="I519" s="924" t="s">
        <v>837</v>
      </c>
      <c r="J519" s="924" t="s">
        <v>1166</v>
      </c>
      <c r="K519" s="924" t="s">
        <v>1166</v>
      </c>
      <c r="L519" s="925">
        <v>8.6149382591247594</v>
      </c>
      <c r="M519" s="925">
        <v>1.10204935083402E-4</v>
      </c>
    </row>
    <row r="520" spans="1:13" ht="11.25" customHeight="1" x14ac:dyDescent="0.2">
      <c r="A520" s="924" t="s">
        <v>853</v>
      </c>
      <c r="B520" s="924" t="s">
        <v>790</v>
      </c>
      <c r="C520" s="924" t="s">
        <v>1169</v>
      </c>
      <c r="D520" s="924" t="s">
        <v>1163</v>
      </c>
      <c r="E520" s="924" t="s">
        <v>856</v>
      </c>
      <c r="F520" s="924" t="s">
        <v>1126</v>
      </c>
      <c r="G520" s="924" t="s">
        <v>981</v>
      </c>
      <c r="H520" s="924" t="s">
        <v>835</v>
      </c>
      <c r="I520" s="924" t="s">
        <v>1040</v>
      </c>
      <c r="J520" s="924" t="s">
        <v>956</v>
      </c>
      <c r="K520" s="924" t="s">
        <v>957</v>
      </c>
      <c r="L520" s="925">
        <v>0.13682449061889199</v>
      </c>
      <c r="M520" s="925">
        <v>1.07500225453805E-4</v>
      </c>
    </row>
    <row r="521" spans="1:13" ht="11.25" customHeight="1" x14ac:dyDescent="0.2">
      <c r="A521" s="924" t="s">
        <v>853</v>
      </c>
      <c r="B521" s="924" t="s">
        <v>790</v>
      </c>
      <c r="C521" s="924" t="s">
        <v>1169</v>
      </c>
      <c r="D521" s="924" t="s">
        <v>1163</v>
      </c>
      <c r="E521" s="924" t="s">
        <v>856</v>
      </c>
      <c r="F521" s="924" t="s">
        <v>917</v>
      </c>
      <c r="G521" s="924" t="s">
        <v>911</v>
      </c>
      <c r="H521" s="924" t="s">
        <v>665</v>
      </c>
      <c r="I521" s="924" t="s">
        <v>706</v>
      </c>
      <c r="J521" s="924" t="s">
        <v>859</v>
      </c>
      <c r="K521" s="924" t="s">
        <v>918</v>
      </c>
      <c r="L521" s="925">
        <v>17.5437355935574</v>
      </c>
      <c r="M521" s="925">
        <v>5.6646612601980503E-3</v>
      </c>
    </row>
    <row r="522" spans="1:13" ht="11.25" customHeight="1" x14ac:dyDescent="0.2">
      <c r="A522" s="924" t="s">
        <v>853</v>
      </c>
      <c r="B522" s="924" t="s">
        <v>790</v>
      </c>
      <c r="C522" s="924" t="s">
        <v>1169</v>
      </c>
      <c r="D522" s="924" t="s">
        <v>1163</v>
      </c>
      <c r="E522" s="924" t="s">
        <v>856</v>
      </c>
      <c r="F522" s="924" t="s">
        <v>955</v>
      </c>
      <c r="G522" s="924" t="s">
        <v>858</v>
      </c>
      <c r="H522" s="924" t="s">
        <v>836</v>
      </c>
      <c r="I522" s="924" t="s">
        <v>837</v>
      </c>
      <c r="J522" s="924" t="s">
        <v>956</v>
      </c>
      <c r="K522" s="924" t="s">
        <v>957</v>
      </c>
      <c r="L522" s="925">
        <v>289.733912467957</v>
      </c>
      <c r="M522" s="925">
        <v>1.6640453273737399E-3</v>
      </c>
    </row>
    <row r="523" spans="1:13" ht="11.25" customHeight="1" x14ac:dyDescent="0.2">
      <c r="A523" s="924" t="s">
        <v>853</v>
      </c>
      <c r="B523" s="924" t="s">
        <v>790</v>
      </c>
      <c r="C523" s="924" t="s">
        <v>1169</v>
      </c>
      <c r="D523" s="924" t="s">
        <v>1163</v>
      </c>
      <c r="E523" s="924" t="s">
        <v>856</v>
      </c>
      <c r="F523" s="924" t="s">
        <v>1021</v>
      </c>
      <c r="G523" s="924" t="s">
        <v>858</v>
      </c>
      <c r="H523" s="924" t="s">
        <v>836</v>
      </c>
      <c r="I523" s="924" t="s">
        <v>837</v>
      </c>
      <c r="J523" s="924" t="s">
        <v>863</v>
      </c>
      <c r="K523" s="924" t="s">
        <v>868</v>
      </c>
      <c r="L523" s="925">
        <v>5045.1231460571298</v>
      </c>
      <c r="M523" s="925">
        <v>2.7118433693885901E-2</v>
      </c>
    </row>
    <row r="524" spans="1:13" ht="11.25" customHeight="1" x14ac:dyDescent="0.2">
      <c r="A524" s="924" t="s">
        <v>853</v>
      </c>
      <c r="B524" s="924" t="s">
        <v>790</v>
      </c>
      <c r="C524" s="924" t="s">
        <v>1169</v>
      </c>
      <c r="D524" s="924" t="s">
        <v>1163</v>
      </c>
      <c r="E524" s="924" t="s">
        <v>856</v>
      </c>
      <c r="F524" s="924" t="s">
        <v>1003</v>
      </c>
      <c r="G524" s="924" t="s">
        <v>858</v>
      </c>
      <c r="H524" s="924" t="s">
        <v>836</v>
      </c>
      <c r="I524" s="924" t="s">
        <v>837</v>
      </c>
      <c r="J524" s="924" t="s">
        <v>859</v>
      </c>
      <c r="K524" s="924" t="s">
        <v>924</v>
      </c>
      <c r="L524" s="925">
        <v>20883.565063476599</v>
      </c>
      <c r="M524" s="925">
        <v>0.19918312212030301</v>
      </c>
    </row>
    <row r="525" spans="1:13" ht="11.25" customHeight="1" x14ac:dyDescent="0.2">
      <c r="A525" s="924" t="s">
        <v>853</v>
      </c>
      <c r="B525" s="924" t="s">
        <v>790</v>
      </c>
      <c r="C525" s="924" t="s">
        <v>1169</v>
      </c>
      <c r="D525" s="924" t="s">
        <v>1163</v>
      </c>
      <c r="E525" s="924" t="s">
        <v>856</v>
      </c>
      <c r="F525" s="924" t="s">
        <v>1004</v>
      </c>
      <c r="G525" s="924" t="s">
        <v>858</v>
      </c>
      <c r="H525" s="924" t="s">
        <v>836</v>
      </c>
      <c r="I525" s="924" t="s">
        <v>837</v>
      </c>
      <c r="J525" s="924" t="s">
        <v>859</v>
      </c>
      <c r="K525" s="924" t="s">
        <v>926</v>
      </c>
      <c r="L525" s="925">
        <v>12656.206390380899</v>
      </c>
      <c r="M525" s="925">
        <v>0.51647073069761995</v>
      </c>
    </row>
    <row r="526" spans="1:13" ht="11.25" customHeight="1" x14ac:dyDescent="0.2">
      <c r="A526" s="924" t="s">
        <v>853</v>
      </c>
      <c r="B526" s="924" t="s">
        <v>790</v>
      </c>
      <c r="C526" s="924" t="s">
        <v>1169</v>
      </c>
      <c r="D526" s="924" t="s">
        <v>1163</v>
      </c>
      <c r="E526" s="924" t="s">
        <v>856</v>
      </c>
      <c r="F526" s="924" t="s">
        <v>1005</v>
      </c>
      <c r="G526" s="924" t="s">
        <v>858</v>
      </c>
      <c r="H526" s="924" t="s">
        <v>836</v>
      </c>
      <c r="I526" s="924" t="s">
        <v>837</v>
      </c>
      <c r="J526" s="924" t="s">
        <v>859</v>
      </c>
      <c r="K526" s="924" t="s">
        <v>1006</v>
      </c>
      <c r="L526" s="925">
        <v>19101.904129028298</v>
      </c>
      <c r="M526" s="925">
        <v>0.14795399161994299</v>
      </c>
    </row>
    <row r="527" spans="1:13" ht="11.25" customHeight="1" x14ac:dyDescent="0.2">
      <c r="A527" s="924" t="s">
        <v>853</v>
      </c>
      <c r="B527" s="924" t="s">
        <v>790</v>
      </c>
      <c r="C527" s="924" t="s">
        <v>1169</v>
      </c>
      <c r="D527" s="924" t="s">
        <v>1163</v>
      </c>
      <c r="E527" s="924" t="s">
        <v>856</v>
      </c>
      <c r="F527" s="924" t="s">
        <v>1007</v>
      </c>
      <c r="G527" s="924" t="s">
        <v>858</v>
      </c>
      <c r="H527" s="924" t="s">
        <v>836</v>
      </c>
      <c r="I527" s="924" t="s">
        <v>837</v>
      </c>
      <c r="J527" s="924" t="s">
        <v>859</v>
      </c>
      <c r="K527" s="924" t="s">
        <v>928</v>
      </c>
      <c r="L527" s="925">
        <v>8794.2259826660193</v>
      </c>
      <c r="M527" s="925">
        <v>0.38347636296384702</v>
      </c>
    </row>
    <row r="528" spans="1:13" ht="11.25" customHeight="1" x14ac:dyDescent="0.2">
      <c r="A528" s="924" t="s">
        <v>853</v>
      </c>
      <c r="B528" s="924" t="s">
        <v>790</v>
      </c>
      <c r="C528" s="924" t="s">
        <v>1169</v>
      </c>
      <c r="D528" s="924" t="s">
        <v>1163</v>
      </c>
      <c r="E528" s="924" t="s">
        <v>856</v>
      </c>
      <c r="F528" s="924" t="s">
        <v>1008</v>
      </c>
      <c r="G528" s="924" t="s">
        <v>858</v>
      </c>
      <c r="H528" s="924" t="s">
        <v>836</v>
      </c>
      <c r="I528" s="924" t="s">
        <v>837</v>
      </c>
      <c r="J528" s="924" t="s">
        <v>859</v>
      </c>
      <c r="K528" s="924" t="s">
        <v>1009</v>
      </c>
      <c r="L528" s="925">
        <v>2050.1146144866898</v>
      </c>
      <c r="M528" s="925">
        <v>1.6701656480563501E-2</v>
      </c>
    </row>
    <row r="529" spans="1:13" ht="11.25" customHeight="1" x14ac:dyDescent="0.2">
      <c r="A529" s="924" t="s">
        <v>853</v>
      </c>
      <c r="B529" s="924" t="s">
        <v>790</v>
      </c>
      <c r="C529" s="924" t="s">
        <v>1169</v>
      </c>
      <c r="D529" s="924" t="s">
        <v>1163</v>
      </c>
      <c r="E529" s="924" t="s">
        <v>856</v>
      </c>
      <c r="F529" s="924" t="s">
        <v>1010</v>
      </c>
      <c r="G529" s="924" t="s">
        <v>858</v>
      </c>
      <c r="H529" s="924" t="s">
        <v>836</v>
      </c>
      <c r="I529" s="924" t="s">
        <v>837</v>
      </c>
      <c r="J529" s="924" t="s">
        <v>859</v>
      </c>
      <c r="K529" s="924" t="s">
        <v>1011</v>
      </c>
      <c r="L529" s="925">
        <v>26.9061797559261</v>
      </c>
      <c r="M529" s="925">
        <v>1.2380686985977701E-3</v>
      </c>
    </row>
    <row r="530" spans="1:13" ht="11.25" customHeight="1" x14ac:dyDescent="0.2">
      <c r="A530" s="924" t="s">
        <v>853</v>
      </c>
      <c r="B530" s="924" t="s">
        <v>790</v>
      </c>
      <c r="C530" s="924" t="s">
        <v>1169</v>
      </c>
      <c r="D530" s="924" t="s">
        <v>1163</v>
      </c>
      <c r="E530" s="924" t="s">
        <v>856</v>
      </c>
      <c r="F530" s="924" t="s">
        <v>1012</v>
      </c>
      <c r="G530" s="924" t="s">
        <v>858</v>
      </c>
      <c r="H530" s="924" t="s">
        <v>836</v>
      </c>
      <c r="I530" s="924" t="s">
        <v>837</v>
      </c>
      <c r="J530" s="924" t="s">
        <v>859</v>
      </c>
      <c r="K530" s="924" t="s">
        <v>891</v>
      </c>
      <c r="L530" s="925">
        <v>1971.8453979492199</v>
      </c>
      <c r="M530" s="925">
        <v>2.6135328546388299E-2</v>
      </c>
    </row>
    <row r="531" spans="1:13" ht="11.25" customHeight="1" x14ac:dyDescent="0.2">
      <c r="A531" s="924" t="s">
        <v>853</v>
      </c>
      <c r="B531" s="924" t="s">
        <v>790</v>
      </c>
      <c r="C531" s="924" t="s">
        <v>1169</v>
      </c>
      <c r="D531" s="924" t="s">
        <v>1163</v>
      </c>
      <c r="E531" s="924" t="s">
        <v>856</v>
      </c>
      <c r="F531" s="924" t="s">
        <v>1013</v>
      </c>
      <c r="G531" s="924" t="s">
        <v>858</v>
      </c>
      <c r="H531" s="924" t="s">
        <v>836</v>
      </c>
      <c r="I531" s="924" t="s">
        <v>837</v>
      </c>
      <c r="J531" s="924" t="s">
        <v>863</v>
      </c>
      <c r="K531" s="924" t="s">
        <v>931</v>
      </c>
      <c r="L531" s="925">
        <v>552.55535984039295</v>
      </c>
      <c r="M531" s="925">
        <v>2.0197896057197798E-2</v>
      </c>
    </row>
    <row r="532" spans="1:13" ht="11.25" customHeight="1" x14ac:dyDescent="0.2">
      <c r="A532" s="924" t="s">
        <v>853</v>
      </c>
      <c r="B532" s="924" t="s">
        <v>790</v>
      </c>
      <c r="C532" s="924" t="s">
        <v>1169</v>
      </c>
      <c r="D532" s="924" t="s">
        <v>1163</v>
      </c>
      <c r="E532" s="924" t="s">
        <v>856</v>
      </c>
      <c r="F532" s="924" t="s">
        <v>1014</v>
      </c>
      <c r="G532" s="924" t="s">
        <v>858</v>
      </c>
      <c r="H532" s="924" t="s">
        <v>836</v>
      </c>
      <c r="I532" s="924" t="s">
        <v>837</v>
      </c>
      <c r="J532" s="924" t="s">
        <v>863</v>
      </c>
      <c r="K532" s="924" t="s">
        <v>933</v>
      </c>
      <c r="L532" s="925">
        <v>8004.9579162597702</v>
      </c>
      <c r="M532" s="925">
        <v>5.6671477064355699E-2</v>
      </c>
    </row>
    <row r="533" spans="1:13" ht="11.25" customHeight="1" x14ac:dyDescent="0.2">
      <c r="A533" s="924" t="s">
        <v>853</v>
      </c>
      <c r="B533" s="924" t="s">
        <v>790</v>
      </c>
      <c r="C533" s="924" t="s">
        <v>1169</v>
      </c>
      <c r="D533" s="924" t="s">
        <v>1163</v>
      </c>
      <c r="E533" s="924" t="s">
        <v>856</v>
      </c>
      <c r="F533" s="924" t="s">
        <v>1038</v>
      </c>
      <c r="G533" s="924" t="s">
        <v>858</v>
      </c>
      <c r="H533" s="924" t="s">
        <v>836</v>
      </c>
      <c r="I533" s="924" t="s">
        <v>837</v>
      </c>
      <c r="J533" s="924" t="s">
        <v>863</v>
      </c>
      <c r="K533" s="924" t="s">
        <v>935</v>
      </c>
      <c r="L533" s="925">
        <v>3496.70313644409</v>
      </c>
      <c r="M533" s="925">
        <v>3.78443132935899E-2</v>
      </c>
    </row>
    <row r="534" spans="1:13" ht="11.25" customHeight="1" x14ac:dyDescent="0.2">
      <c r="A534" s="924" t="s">
        <v>853</v>
      </c>
      <c r="B534" s="924" t="s">
        <v>790</v>
      </c>
      <c r="C534" s="924" t="s">
        <v>1169</v>
      </c>
      <c r="D534" s="924" t="s">
        <v>1163</v>
      </c>
      <c r="E534" s="924" t="s">
        <v>856</v>
      </c>
      <c r="F534" s="924" t="s">
        <v>1017</v>
      </c>
      <c r="G534" s="924" t="s">
        <v>858</v>
      </c>
      <c r="H534" s="924" t="s">
        <v>836</v>
      </c>
      <c r="I534" s="924" t="s">
        <v>837</v>
      </c>
      <c r="J534" s="924" t="s">
        <v>863</v>
      </c>
      <c r="K534" s="924" t="s">
        <v>864</v>
      </c>
      <c r="L534" s="925">
        <v>3546.1613388061501</v>
      </c>
      <c r="M534" s="925">
        <v>4.8093017869177898E-2</v>
      </c>
    </row>
    <row r="535" spans="1:13" ht="11.25" customHeight="1" x14ac:dyDescent="0.2">
      <c r="A535" s="924" t="s">
        <v>853</v>
      </c>
      <c r="B535" s="924" t="s">
        <v>790</v>
      </c>
      <c r="C535" s="924" t="s">
        <v>1169</v>
      </c>
      <c r="D535" s="924" t="s">
        <v>1163</v>
      </c>
      <c r="E535" s="924" t="s">
        <v>856</v>
      </c>
      <c r="F535" s="924" t="s">
        <v>960</v>
      </c>
      <c r="G535" s="924" t="s">
        <v>858</v>
      </c>
      <c r="H535" s="924" t="s">
        <v>836</v>
      </c>
      <c r="I535" s="924" t="s">
        <v>837</v>
      </c>
      <c r="J535" s="924" t="s">
        <v>870</v>
      </c>
      <c r="K535" s="924" t="s">
        <v>961</v>
      </c>
      <c r="L535" s="925">
        <v>16.292719203978798</v>
      </c>
      <c r="M535" s="925">
        <v>1.4455860674011901E-4</v>
      </c>
    </row>
    <row r="536" spans="1:13" ht="11.25" customHeight="1" x14ac:dyDescent="0.2">
      <c r="A536" s="924" t="s">
        <v>853</v>
      </c>
      <c r="B536" s="924" t="s">
        <v>790</v>
      </c>
      <c r="C536" s="924" t="s">
        <v>1169</v>
      </c>
      <c r="D536" s="924" t="s">
        <v>1163</v>
      </c>
      <c r="E536" s="924" t="s">
        <v>856</v>
      </c>
      <c r="F536" s="924" t="s">
        <v>1020</v>
      </c>
      <c r="G536" s="924" t="s">
        <v>858</v>
      </c>
      <c r="H536" s="924" t="s">
        <v>836</v>
      </c>
      <c r="I536" s="924" t="s">
        <v>837</v>
      </c>
      <c r="J536" s="924" t="s">
        <v>863</v>
      </c>
      <c r="K536" s="924" t="s">
        <v>866</v>
      </c>
      <c r="L536" s="925">
        <v>15477.913604736301</v>
      </c>
      <c r="M536" s="925">
        <v>0.37568851292598998</v>
      </c>
    </row>
    <row r="537" spans="1:13" ht="11.25" customHeight="1" x14ac:dyDescent="0.2">
      <c r="A537" s="924" t="s">
        <v>853</v>
      </c>
      <c r="B537" s="924" t="s">
        <v>790</v>
      </c>
      <c r="C537" s="924" t="s">
        <v>1169</v>
      </c>
      <c r="D537" s="924" t="s">
        <v>1163</v>
      </c>
      <c r="E537" s="924" t="s">
        <v>856</v>
      </c>
      <c r="F537" s="924" t="s">
        <v>958</v>
      </c>
      <c r="G537" s="924" t="s">
        <v>858</v>
      </c>
      <c r="H537" s="924" t="s">
        <v>836</v>
      </c>
      <c r="I537" s="924" t="s">
        <v>837</v>
      </c>
      <c r="J537" s="924" t="s">
        <v>870</v>
      </c>
      <c r="K537" s="924" t="s">
        <v>959</v>
      </c>
      <c r="L537" s="925">
        <v>0.22339527204167101</v>
      </c>
      <c r="M537" s="925">
        <v>2.0818702202926599E-6</v>
      </c>
    </row>
    <row r="538" spans="1:13" ht="11.25" customHeight="1" x14ac:dyDescent="0.2">
      <c r="A538" s="924" t="s">
        <v>853</v>
      </c>
      <c r="B538" s="924" t="s">
        <v>790</v>
      </c>
      <c r="C538" s="924" t="s">
        <v>1169</v>
      </c>
      <c r="D538" s="924" t="s">
        <v>1163</v>
      </c>
      <c r="E538" s="924" t="s">
        <v>856</v>
      </c>
      <c r="F538" s="924" t="s">
        <v>1022</v>
      </c>
      <c r="G538" s="924" t="s">
        <v>858</v>
      </c>
      <c r="H538" s="924" t="s">
        <v>836</v>
      </c>
      <c r="I538" s="924" t="s">
        <v>837</v>
      </c>
      <c r="J538" s="924" t="s">
        <v>940</v>
      </c>
      <c r="K538" s="924" t="s">
        <v>1023</v>
      </c>
      <c r="L538" s="925">
        <v>0.55577746033668496</v>
      </c>
      <c r="M538" s="925">
        <v>2.4964999230603402E-5</v>
      </c>
    </row>
    <row r="539" spans="1:13" ht="11.25" customHeight="1" x14ac:dyDescent="0.2">
      <c r="A539" s="924" t="s">
        <v>853</v>
      </c>
      <c r="B539" s="924" t="s">
        <v>790</v>
      </c>
      <c r="C539" s="924" t="s">
        <v>1169</v>
      </c>
      <c r="D539" s="924" t="s">
        <v>1163</v>
      </c>
      <c r="E539" s="924" t="s">
        <v>856</v>
      </c>
      <c r="F539" s="924" t="s">
        <v>1024</v>
      </c>
      <c r="G539" s="924" t="s">
        <v>858</v>
      </c>
      <c r="H539" s="924" t="s">
        <v>836</v>
      </c>
      <c r="I539" s="924" t="s">
        <v>837</v>
      </c>
      <c r="J539" s="924" t="s">
        <v>940</v>
      </c>
      <c r="K539" s="924" t="s">
        <v>1025</v>
      </c>
      <c r="L539" s="925">
        <v>147.583806037903</v>
      </c>
      <c r="M539" s="925">
        <v>2.4277561726648899E-3</v>
      </c>
    </row>
    <row r="540" spans="1:13" ht="11.25" customHeight="1" x14ac:dyDescent="0.2">
      <c r="A540" s="924" t="s">
        <v>853</v>
      </c>
      <c r="B540" s="924" t="s">
        <v>790</v>
      </c>
      <c r="C540" s="924" t="s">
        <v>1169</v>
      </c>
      <c r="D540" s="924" t="s">
        <v>1163</v>
      </c>
      <c r="E540" s="924" t="s">
        <v>856</v>
      </c>
      <c r="F540" s="924" t="s">
        <v>1026</v>
      </c>
      <c r="G540" s="924" t="s">
        <v>858</v>
      </c>
      <c r="H540" s="924" t="s">
        <v>836</v>
      </c>
      <c r="I540" s="924" t="s">
        <v>837</v>
      </c>
      <c r="J540" s="924" t="s">
        <v>940</v>
      </c>
      <c r="K540" s="924" t="s">
        <v>1027</v>
      </c>
      <c r="L540" s="925">
        <v>3895.53540229797</v>
      </c>
      <c r="M540" s="925">
        <v>0.16441564951128401</v>
      </c>
    </row>
    <row r="541" spans="1:13" ht="11.25" customHeight="1" x14ac:dyDescent="0.2">
      <c r="A541" s="924" t="s">
        <v>853</v>
      </c>
      <c r="B541" s="924" t="s">
        <v>790</v>
      </c>
      <c r="C541" s="924" t="s">
        <v>1169</v>
      </c>
      <c r="D541" s="924" t="s">
        <v>1163</v>
      </c>
      <c r="E541" s="924" t="s">
        <v>856</v>
      </c>
      <c r="F541" s="924" t="s">
        <v>1028</v>
      </c>
      <c r="G541" s="924" t="s">
        <v>858</v>
      </c>
      <c r="H541" s="924" t="s">
        <v>836</v>
      </c>
      <c r="I541" s="924" t="s">
        <v>837</v>
      </c>
      <c r="J541" s="924" t="s">
        <v>940</v>
      </c>
      <c r="K541" s="924" t="s">
        <v>1029</v>
      </c>
      <c r="L541" s="925">
        <v>804.03870487213101</v>
      </c>
      <c r="M541" s="925">
        <v>4.36144208919984E-2</v>
      </c>
    </row>
    <row r="542" spans="1:13" ht="11.25" customHeight="1" x14ac:dyDescent="0.2">
      <c r="A542" s="924" t="s">
        <v>853</v>
      </c>
      <c r="B542" s="924" t="s">
        <v>790</v>
      </c>
      <c r="C542" s="924" t="s">
        <v>1169</v>
      </c>
      <c r="D542" s="924" t="s">
        <v>1163</v>
      </c>
      <c r="E542" s="924" t="s">
        <v>856</v>
      </c>
      <c r="F542" s="924" t="s">
        <v>1030</v>
      </c>
      <c r="G542" s="924" t="s">
        <v>858</v>
      </c>
      <c r="H542" s="924" t="s">
        <v>836</v>
      </c>
      <c r="I542" s="924" t="s">
        <v>837</v>
      </c>
      <c r="J542" s="924" t="s">
        <v>940</v>
      </c>
      <c r="K542" s="924" t="s">
        <v>941</v>
      </c>
      <c r="L542" s="925">
        <v>5310.4681282043503</v>
      </c>
      <c r="M542" s="925">
        <v>9.9754817556458902E-2</v>
      </c>
    </row>
    <row r="543" spans="1:13" ht="11.25" customHeight="1" x14ac:dyDescent="0.2">
      <c r="A543" s="924" t="s">
        <v>853</v>
      </c>
      <c r="B543" s="924" t="s">
        <v>790</v>
      </c>
      <c r="C543" s="924" t="s">
        <v>1169</v>
      </c>
      <c r="D543" s="924" t="s">
        <v>1163</v>
      </c>
      <c r="E543" s="924" t="s">
        <v>856</v>
      </c>
      <c r="F543" s="924" t="s">
        <v>1031</v>
      </c>
      <c r="G543" s="924" t="s">
        <v>858</v>
      </c>
      <c r="H543" s="924" t="s">
        <v>836</v>
      </c>
      <c r="I543" s="924" t="s">
        <v>837</v>
      </c>
      <c r="J543" s="924" t="s">
        <v>940</v>
      </c>
      <c r="K543" s="924" t="s">
        <v>1032</v>
      </c>
      <c r="L543" s="925">
        <v>625.61886715889</v>
      </c>
      <c r="M543" s="925">
        <v>1.3053596294128099E-2</v>
      </c>
    </row>
    <row r="544" spans="1:13" ht="11.25" customHeight="1" x14ac:dyDescent="0.2">
      <c r="A544" s="924" t="s">
        <v>853</v>
      </c>
      <c r="B544" s="924" t="s">
        <v>790</v>
      </c>
      <c r="C544" s="924" t="s">
        <v>1169</v>
      </c>
      <c r="D544" s="924" t="s">
        <v>1163</v>
      </c>
      <c r="E544" s="924" t="s">
        <v>856</v>
      </c>
      <c r="F544" s="924" t="s">
        <v>1033</v>
      </c>
      <c r="G544" s="924" t="s">
        <v>858</v>
      </c>
      <c r="H544" s="924" t="s">
        <v>836</v>
      </c>
      <c r="I544" s="924" t="s">
        <v>837</v>
      </c>
      <c r="J544" s="924" t="s">
        <v>940</v>
      </c>
      <c r="K544" s="924" t="s">
        <v>1034</v>
      </c>
      <c r="L544" s="925">
        <v>15.887405090033999</v>
      </c>
      <c r="M544" s="925">
        <v>5.2098902338038001E-4</v>
      </c>
    </row>
    <row r="545" spans="1:13" ht="11.25" customHeight="1" x14ac:dyDescent="0.2">
      <c r="A545" s="924" t="s">
        <v>853</v>
      </c>
      <c r="B545" s="924" t="s">
        <v>790</v>
      </c>
      <c r="C545" s="924" t="s">
        <v>1169</v>
      </c>
      <c r="D545" s="924" t="s">
        <v>1163</v>
      </c>
      <c r="E545" s="924" t="s">
        <v>856</v>
      </c>
      <c r="F545" s="924" t="s">
        <v>1035</v>
      </c>
      <c r="G545" s="924" t="s">
        <v>858</v>
      </c>
      <c r="H545" s="924" t="s">
        <v>836</v>
      </c>
      <c r="I545" s="924" t="s">
        <v>837</v>
      </c>
      <c r="J545" s="924" t="s">
        <v>870</v>
      </c>
      <c r="K545" s="924" t="s">
        <v>1036</v>
      </c>
      <c r="L545" s="925">
        <v>5.1537713254219901E-2</v>
      </c>
      <c r="M545" s="925">
        <v>6.31191100511873E-6</v>
      </c>
    </row>
    <row r="546" spans="1:13" ht="11.25" customHeight="1" x14ac:dyDescent="0.2">
      <c r="A546" s="924" t="s">
        <v>853</v>
      </c>
      <c r="B546" s="924" t="s">
        <v>790</v>
      </c>
      <c r="C546" s="924" t="s">
        <v>1169</v>
      </c>
      <c r="D546" s="924" t="s">
        <v>1163</v>
      </c>
      <c r="E546" s="924" t="s">
        <v>856</v>
      </c>
      <c r="F546" s="924" t="s">
        <v>975</v>
      </c>
      <c r="G546" s="924" t="s">
        <v>858</v>
      </c>
      <c r="H546" s="924" t="s">
        <v>836</v>
      </c>
      <c r="I546" s="924" t="s">
        <v>837</v>
      </c>
      <c r="J546" s="924" t="s">
        <v>870</v>
      </c>
      <c r="K546" s="924" t="s">
        <v>976</v>
      </c>
      <c r="L546" s="925">
        <v>2141.3852882385299</v>
      </c>
      <c r="M546" s="925">
        <v>3.2048940644358502E-2</v>
      </c>
    </row>
    <row r="547" spans="1:13" ht="11.25" customHeight="1" x14ac:dyDescent="0.2">
      <c r="A547" s="924" t="s">
        <v>853</v>
      </c>
      <c r="B547" s="924" t="s">
        <v>790</v>
      </c>
      <c r="C547" s="924" t="s">
        <v>1169</v>
      </c>
      <c r="D547" s="924" t="s">
        <v>1163</v>
      </c>
      <c r="E547" s="924" t="s">
        <v>856</v>
      </c>
      <c r="F547" s="924" t="s">
        <v>1018</v>
      </c>
      <c r="G547" s="924" t="s">
        <v>858</v>
      </c>
      <c r="H547" s="924" t="s">
        <v>836</v>
      </c>
      <c r="I547" s="924" t="s">
        <v>837</v>
      </c>
      <c r="J547" s="924" t="s">
        <v>870</v>
      </c>
      <c r="K547" s="924" t="s">
        <v>1019</v>
      </c>
      <c r="L547" s="925">
        <v>192.05342471599599</v>
      </c>
      <c r="M547" s="925">
        <v>1.4433641110045399E-3</v>
      </c>
    </row>
    <row r="548" spans="1:13" ht="11.25" customHeight="1" x14ac:dyDescent="0.2">
      <c r="A548" s="924" t="s">
        <v>853</v>
      </c>
      <c r="B548" s="924" t="s">
        <v>790</v>
      </c>
      <c r="C548" s="924" t="s">
        <v>1169</v>
      </c>
      <c r="D548" s="924" t="s">
        <v>1163</v>
      </c>
      <c r="E548" s="924" t="s">
        <v>856</v>
      </c>
      <c r="F548" s="924" t="s">
        <v>1002</v>
      </c>
      <c r="G548" s="924" t="s">
        <v>858</v>
      </c>
      <c r="H548" s="924" t="s">
        <v>836</v>
      </c>
      <c r="I548" s="924" t="s">
        <v>837</v>
      </c>
      <c r="J548" s="924" t="s">
        <v>859</v>
      </c>
      <c r="K548" s="924" t="s">
        <v>922</v>
      </c>
      <c r="L548" s="925">
        <v>6142.2034530639603</v>
      </c>
      <c r="M548" s="925">
        <v>7.0224011281425205E-2</v>
      </c>
    </row>
    <row r="549" spans="1:13" ht="11.25" customHeight="1" x14ac:dyDescent="0.2">
      <c r="A549" s="924" t="s">
        <v>853</v>
      </c>
      <c r="B549" s="924" t="s">
        <v>790</v>
      </c>
      <c r="C549" s="924" t="s">
        <v>1169</v>
      </c>
      <c r="D549" s="924" t="s">
        <v>1163</v>
      </c>
      <c r="E549" s="924" t="s">
        <v>856</v>
      </c>
      <c r="F549" s="924" t="s">
        <v>1001</v>
      </c>
      <c r="G549" s="924" t="s">
        <v>858</v>
      </c>
      <c r="H549" s="924" t="s">
        <v>836</v>
      </c>
      <c r="I549" s="924" t="s">
        <v>837</v>
      </c>
      <c r="J549" s="924" t="s">
        <v>863</v>
      </c>
      <c r="K549" s="924" t="s">
        <v>915</v>
      </c>
      <c r="L549" s="925">
        <v>136.86626636982001</v>
      </c>
      <c r="M549" s="925">
        <v>4.1818476862545096E-3</v>
      </c>
    </row>
    <row r="550" spans="1:13" ht="11.25" customHeight="1" x14ac:dyDescent="0.2">
      <c r="A550" s="924" t="s">
        <v>853</v>
      </c>
      <c r="B550" s="924" t="s">
        <v>790</v>
      </c>
      <c r="C550" s="924" t="s">
        <v>1169</v>
      </c>
      <c r="D550" s="924" t="s">
        <v>1163</v>
      </c>
      <c r="E550" s="924" t="s">
        <v>856</v>
      </c>
      <c r="F550" s="924" t="s">
        <v>1058</v>
      </c>
      <c r="G550" s="924" t="s">
        <v>981</v>
      </c>
      <c r="H550" s="924" t="s">
        <v>835</v>
      </c>
      <c r="I550" s="924" t="s">
        <v>1040</v>
      </c>
      <c r="J550" s="924" t="s">
        <v>859</v>
      </c>
      <c r="K550" s="924" t="s">
        <v>905</v>
      </c>
      <c r="L550" s="925">
        <v>117.209625601768</v>
      </c>
      <c r="M550" s="925">
        <v>9.2899127434066003E-2</v>
      </c>
    </row>
    <row r="551" spans="1:13" ht="11.25" customHeight="1" x14ac:dyDescent="0.2">
      <c r="A551" s="924" t="s">
        <v>853</v>
      </c>
      <c r="B551" s="924" t="s">
        <v>790</v>
      </c>
      <c r="C551" s="924" t="s">
        <v>1169</v>
      </c>
      <c r="D551" s="924" t="s">
        <v>1163</v>
      </c>
      <c r="E551" s="924" t="s">
        <v>856</v>
      </c>
      <c r="F551" s="924" t="s">
        <v>1134</v>
      </c>
      <c r="G551" s="924" t="s">
        <v>981</v>
      </c>
      <c r="H551" s="924" t="s">
        <v>835</v>
      </c>
      <c r="I551" s="924" t="s">
        <v>1040</v>
      </c>
      <c r="J551" s="924" t="s">
        <v>863</v>
      </c>
      <c r="K551" s="924" t="s">
        <v>933</v>
      </c>
      <c r="L551" s="925">
        <v>2353.1949234008798</v>
      </c>
      <c r="M551" s="925">
        <v>0.16681222361512499</v>
      </c>
    </row>
    <row r="552" spans="1:13" ht="11.25" customHeight="1" x14ac:dyDescent="0.2">
      <c r="A552" s="924" t="s">
        <v>853</v>
      </c>
      <c r="B552" s="924" t="s">
        <v>790</v>
      </c>
      <c r="C552" s="924" t="s">
        <v>1169</v>
      </c>
      <c r="D552" s="924" t="s">
        <v>1163</v>
      </c>
      <c r="E552" s="924" t="s">
        <v>856</v>
      </c>
      <c r="F552" s="924" t="s">
        <v>1045</v>
      </c>
      <c r="G552" s="924" t="s">
        <v>981</v>
      </c>
      <c r="H552" s="924" t="s">
        <v>835</v>
      </c>
      <c r="I552" s="924" t="s">
        <v>1040</v>
      </c>
      <c r="J552" s="924" t="s">
        <v>884</v>
      </c>
      <c r="K552" s="924" t="s">
        <v>1046</v>
      </c>
      <c r="L552" s="925">
        <v>818.88962554931595</v>
      </c>
      <c r="M552" s="925">
        <v>0.83670528222865004</v>
      </c>
    </row>
    <row r="553" spans="1:13" ht="11.25" customHeight="1" x14ac:dyDescent="0.2">
      <c r="A553" s="924" t="s">
        <v>853</v>
      </c>
      <c r="B553" s="924" t="s">
        <v>790</v>
      </c>
      <c r="C553" s="924" t="s">
        <v>1169</v>
      </c>
      <c r="D553" s="924" t="s">
        <v>1163</v>
      </c>
      <c r="E553" s="924" t="s">
        <v>856</v>
      </c>
      <c r="F553" s="924" t="s">
        <v>1047</v>
      </c>
      <c r="G553" s="924" t="s">
        <v>981</v>
      </c>
      <c r="H553" s="924" t="s">
        <v>835</v>
      </c>
      <c r="I553" s="924" t="s">
        <v>1040</v>
      </c>
      <c r="J553" s="924" t="s">
        <v>884</v>
      </c>
      <c r="K553" s="924" t="s">
        <v>1048</v>
      </c>
      <c r="L553" s="925">
        <v>1771.58924865723</v>
      </c>
      <c r="M553" s="925">
        <v>1.33314013108611</v>
      </c>
    </row>
    <row r="554" spans="1:13" ht="11.25" customHeight="1" x14ac:dyDescent="0.2">
      <c r="A554" s="924" t="s">
        <v>853</v>
      </c>
      <c r="B554" s="924" t="s">
        <v>790</v>
      </c>
      <c r="C554" s="924" t="s">
        <v>1169</v>
      </c>
      <c r="D554" s="924" t="s">
        <v>1163</v>
      </c>
      <c r="E554" s="924" t="s">
        <v>856</v>
      </c>
      <c r="F554" s="924" t="s">
        <v>1049</v>
      </c>
      <c r="G554" s="924" t="s">
        <v>981</v>
      </c>
      <c r="H554" s="924" t="s">
        <v>835</v>
      </c>
      <c r="I554" s="924" t="s">
        <v>1040</v>
      </c>
      <c r="J554" s="924" t="s">
        <v>884</v>
      </c>
      <c r="K554" s="924" t="s">
        <v>885</v>
      </c>
      <c r="L554" s="925">
        <v>107.823253512383</v>
      </c>
      <c r="M554" s="925">
        <v>0.102568444228382</v>
      </c>
    </row>
    <row r="555" spans="1:13" ht="11.25" customHeight="1" x14ac:dyDescent="0.2">
      <c r="A555" s="924" t="s">
        <v>853</v>
      </c>
      <c r="B555" s="924" t="s">
        <v>790</v>
      </c>
      <c r="C555" s="924" t="s">
        <v>1169</v>
      </c>
      <c r="D555" s="924" t="s">
        <v>1163</v>
      </c>
      <c r="E555" s="924" t="s">
        <v>856</v>
      </c>
      <c r="F555" s="924" t="s">
        <v>1050</v>
      </c>
      <c r="G555" s="924" t="s">
        <v>981</v>
      </c>
      <c r="H555" s="924" t="s">
        <v>835</v>
      </c>
      <c r="I555" s="924" t="s">
        <v>1040</v>
      </c>
      <c r="J555" s="924" t="s">
        <v>859</v>
      </c>
      <c r="K555" s="924" t="s">
        <v>913</v>
      </c>
      <c r="L555" s="925">
        <v>107.48071002960199</v>
      </c>
      <c r="M555" s="925">
        <v>6.37449002924768E-2</v>
      </c>
    </row>
    <row r="556" spans="1:13" ht="11.25" customHeight="1" x14ac:dyDescent="0.2">
      <c r="A556" s="924" t="s">
        <v>853</v>
      </c>
      <c r="B556" s="924" t="s">
        <v>790</v>
      </c>
      <c r="C556" s="924" t="s">
        <v>1169</v>
      </c>
      <c r="D556" s="924" t="s">
        <v>1163</v>
      </c>
      <c r="E556" s="924" t="s">
        <v>856</v>
      </c>
      <c r="F556" s="924" t="s">
        <v>1051</v>
      </c>
      <c r="G556" s="924" t="s">
        <v>981</v>
      </c>
      <c r="H556" s="924" t="s">
        <v>835</v>
      </c>
      <c r="I556" s="924" t="s">
        <v>1040</v>
      </c>
      <c r="J556" s="924" t="s">
        <v>859</v>
      </c>
      <c r="K556" s="924" t="s">
        <v>889</v>
      </c>
      <c r="L556" s="925">
        <v>0.80429841671139002</v>
      </c>
      <c r="M556" s="925">
        <v>5.2362993665155998E-4</v>
      </c>
    </row>
    <row r="557" spans="1:13" ht="11.25" customHeight="1" x14ac:dyDescent="0.2">
      <c r="A557" s="924" t="s">
        <v>853</v>
      </c>
      <c r="B557" s="924" t="s">
        <v>790</v>
      </c>
      <c r="C557" s="924" t="s">
        <v>1169</v>
      </c>
      <c r="D557" s="924" t="s">
        <v>1163</v>
      </c>
      <c r="E557" s="924" t="s">
        <v>856</v>
      </c>
      <c r="F557" s="924" t="s">
        <v>1052</v>
      </c>
      <c r="G557" s="924" t="s">
        <v>981</v>
      </c>
      <c r="H557" s="924" t="s">
        <v>835</v>
      </c>
      <c r="I557" s="924" t="s">
        <v>1040</v>
      </c>
      <c r="J557" s="924" t="s">
        <v>859</v>
      </c>
      <c r="K557" s="924" t="s">
        <v>860</v>
      </c>
      <c r="L557" s="925">
        <v>202.44370460510299</v>
      </c>
      <c r="M557" s="925">
        <v>0.14303962711710499</v>
      </c>
    </row>
    <row r="558" spans="1:13" ht="11.25" customHeight="1" x14ac:dyDescent="0.2">
      <c r="A558" s="924" t="s">
        <v>853</v>
      </c>
      <c r="B558" s="924" t="s">
        <v>790</v>
      </c>
      <c r="C558" s="924" t="s">
        <v>1169</v>
      </c>
      <c r="D558" s="924" t="s">
        <v>1163</v>
      </c>
      <c r="E558" s="924" t="s">
        <v>856</v>
      </c>
      <c r="F558" s="924" t="s">
        <v>1053</v>
      </c>
      <c r="G558" s="924" t="s">
        <v>981</v>
      </c>
      <c r="H558" s="924" t="s">
        <v>835</v>
      </c>
      <c r="I558" s="924" t="s">
        <v>1040</v>
      </c>
      <c r="J558" s="924" t="s">
        <v>859</v>
      </c>
      <c r="K558" s="924" t="s">
        <v>893</v>
      </c>
      <c r="L558" s="925">
        <v>190.56867861747699</v>
      </c>
      <c r="M558" s="925">
        <v>0.116151070338674</v>
      </c>
    </row>
    <row r="559" spans="1:13" ht="11.25" customHeight="1" x14ac:dyDescent="0.2">
      <c r="A559" s="924" t="s">
        <v>853</v>
      </c>
      <c r="B559" s="924" t="s">
        <v>790</v>
      </c>
      <c r="C559" s="924" t="s">
        <v>1169</v>
      </c>
      <c r="D559" s="924" t="s">
        <v>1163</v>
      </c>
      <c r="E559" s="924" t="s">
        <v>856</v>
      </c>
      <c r="F559" s="924" t="s">
        <v>1068</v>
      </c>
      <c r="G559" s="924" t="s">
        <v>981</v>
      </c>
      <c r="H559" s="924" t="s">
        <v>835</v>
      </c>
      <c r="I559" s="924" t="s">
        <v>1040</v>
      </c>
      <c r="J559" s="924" t="s">
        <v>859</v>
      </c>
      <c r="K559" s="924" t="s">
        <v>897</v>
      </c>
      <c r="L559" s="925">
        <v>379.95593786239601</v>
      </c>
      <c r="M559" s="925">
        <v>0.25409862957940299</v>
      </c>
    </row>
    <row r="560" spans="1:13" ht="11.25" customHeight="1" x14ac:dyDescent="0.2">
      <c r="A560" s="924" t="s">
        <v>853</v>
      </c>
      <c r="B560" s="924" t="s">
        <v>790</v>
      </c>
      <c r="C560" s="924" t="s">
        <v>1169</v>
      </c>
      <c r="D560" s="924" t="s">
        <v>1163</v>
      </c>
      <c r="E560" s="924" t="s">
        <v>856</v>
      </c>
      <c r="F560" s="924" t="s">
        <v>1055</v>
      </c>
      <c r="G560" s="924" t="s">
        <v>981</v>
      </c>
      <c r="H560" s="924" t="s">
        <v>835</v>
      </c>
      <c r="I560" s="924" t="s">
        <v>1040</v>
      </c>
      <c r="J560" s="924" t="s">
        <v>859</v>
      </c>
      <c r="K560" s="924" t="s">
        <v>899</v>
      </c>
      <c r="L560" s="925">
        <v>160.147446632385</v>
      </c>
      <c r="M560" s="925">
        <v>0.11291962152085901</v>
      </c>
    </row>
    <row r="561" spans="1:13" ht="11.25" customHeight="1" x14ac:dyDescent="0.2">
      <c r="A561" s="924" t="s">
        <v>853</v>
      </c>
      <c r="B561" s="924" t="s">
        <v>790</v>
      </c>
      <c r="C561" s="924" t="s">
        <v>1169</v>
      </c>
      <c r="D561" s="924" t="s">
        <v>1163</v>
      </c>
      <c r="E561" s="924" t="s">
        <v>856</v>
      </c>
      <c r="F561" s="924" t="s">
        <v>1082</v>
      </c>
      <c r="G561" s="924" t="s">
        <v>981</v>
      </c>
      <c r="H561" s="924" t="s">
        <v>835</v>
      </c>
      <c r="I561" s="924" t="s">
        <v>998</v>
      </c>
      <c r="J561" s="924" t="s">
        <v>875</v>
      </c>
      <c r="K561" s="924" t="s">
        <v>952</v>
      </c>
      <c r="L561" s="925">
        <v>1.87623337469995</v>
      </c>
      <c r="M561" s="925">
        <v>4.1922678283299302E-3</v>
      </c>
    </row>
    <row r="562" spans="1:13" ht="11.25" customHeight="1" x14ac:dyDescent="0.2">
      <c r="A562" s="924" t="s">
        <v>853</v>
      </c>
      <c r="B562" s="924" t="s">
        <v>790</v>
      </c>
      <c r="C562" s="924" t="s">
        <v>1169</v>
      </c>
      <c r="D562" s="924" t="s">
        <v>1163</v>
      </c>
      <c r="E562" s="924" t="s">
        <v>856</v>
      </c>
      <c r="F562" s="924" t="s">
        <v>1057</v>
      </c>
      <c r="G562" s="924" t="s">
        <v>981</v>
      </c>
      <c r="H562" s="924" t="s">
        <v>835</v>
      </c>
      <c r="I562" s="924" t="s">
        <v>1040</v>
      </c>
      <c r="J562" s="924" t="s">
        <v>859</v>
      </c>
      <c r="K562" s="924" t="s">
        <v>903</v>
      </c>
      <c r="L562" s="925">
        <v>334.22976350784302</v>
      </c>
      <c r="M562" s="925">
        <v>0.206492570646333</v>
      </c>
    </row>
    <row r="563" spans="1:13" ht="11.25" customHeight="1" x14ac:dyDescent="0.2">
      <c r="A563" s="924" t="s">
        <v>853</v>
      </c>
      <c r="B563" s="924" t="s">
        <v>790</v>
      </c>
      <c r="C563" s="924" t="s">
        <v>1169</v>
      </c>
      <c r="D563" s="924" t="s">
        <v>1163</v>
      </c>
      <c r="E563" s="924" t="s">
        <v>856</v>
      </c>
      <c r="F563" s="924" t="s">
        <v>1056</v>
      </c>
      <c r="G563" s="924" t="s">
        <v>981</v>
      </c>
      <c r="H563" s="924" t="s">
        <v>835</v>
      </c>
      <c r="I563" s="924" t="s">
        <v>998</v>
      </c>
      <c r="J563" s="924" t="s">
        <v>875</v>
      </c>
      <c r="K563" s="924" t="s">
        <v>878</v>
      </c>
      <c r="L563" s="925">
        <v>310.10251045227102</v>
      </c>
      <c r="M563" s="925">
        <v>0.59807980339974198</v>
      </c>
    </row>
    <row r="564" spans="1:13" ht="11.25" customHeight="1" x14ac:dyDescent="0.2">
      <c r="A564" s="924" t="s">
        <v>853</v>
      </c>
      <c r="B564" s="924" t="s">
        <v>790</v>
      </c>
      <c r="C564" s="924" t="s">
        <v>1169</v>
      </c>
      <c r="D564" s="924" t="s">
        <v>1163</v>
      </c>
      <c r="E564" s="924" t="s">
        <v>856</v>
      </c>
      <c r="F564" s="924" t="s">
        <v>1059</v>
      </c>
      <c r="G564" s="924" t="s">
        <v>981</v>
      </c>
      <c r="H564" s="924" t="s">
        <v>835</v>
      </c>
      <c r="I564" s="924" t="s">
        <v>1040</v>
      </c>
      <c r="J564" s="924" t="s">
        <v>859</v>
      </c>
      <c r="K564" s="924" t="s">
        <v>909</v>
      </c>
      <c r="L564" s="925">
        <v>698.52213191986095</v>
      </c>
      <c r="M564" s="925">
        <v>0.48353809490799898</v>
      </c>
    </row>
    <row r="565" spans="1:13" ht="11.25" customHeight="1" x14ac:dyDescent="0.2">
      <c r="A565" s="924" t="s">
        <v>853</v>
      </c>
      <c r="B565" s="924" t="s">
        <v>790</v>
      </c>
      <c r="C565" s="924" t="s">
        <v>1169</v>
      </c>
      <c r="D565" s="924" t="s">
        <v>1163</v>
      </c>
      <c r="E565" s="924" t="s">
        <v>856</v>
      </c>
      <c r="F565" s="924" t="s">
        <v>1060</v>
      </c>
      <c r="G565" s="924" t="s">
        <v>981</v>
      </c>
      <c r="H565" s="924" t="s">
        <v>835</v>
      </c>
      <c r="I565" s="924" t="s">
        <v>1040</v>
      </c>
      <c r="J565" s="924" t="s">
        <v>859</v>
      </c>
      <c r="K565" s="924" t="s">
        <v>973</v>
      </c>
      <c r="L565" s="925">
        <v>335.05061388015702</v>
      </c>
      <c r="M565" s="925">
        <v>0.22830943478538801</v>
      </c>
    </row>
    <row r="566" spans="1:13" ht="11.25" customHeight="1" x14ac:dyDescent="0.2">
      <c r="A566" s="924" t="s">
        <v>853</v>
      </c>
      <c r="B566" s="924" t="s">
        <v>790</v>
      </c>
      <c r="C566" s="924" t="s">
        <v>1169</v>
      </c>
      <c r="D566" s="924" t="s">
        <v>1163</v>
      </c>
      <c r="E566" s="924" t="s">
        <v>856</v>
      </c>
      <c r="F566" s="924" t="s">
        <v>1061</v>
      </c>
      <c r="G566" s="924" t="s">
        <v>981</v>
      </c>
      <c r="H566" s="924" t="s">
        <v>835</v>
      </c>
      <c r="I566" s="924" t="s">
        <v>1040</v>
      </c>
      <c r="J566" s="924" t="s">
        <v>859</v>
      </c>
      <c r="K566" s="924" t="s">
        <v>918</v>
      </c>
      <c r="L566" s="925">
        <v>25.9540047943592</v>
      </c>
      <c r="M566" s="925">
        <v>1.14455699385871E-2</v>
      </c>
    </row>
    <row r="567" spans="1:13" ht="11.25" customHeight="1" x14ac:dyDescent="0.2">
      <c r="A567" s="924" t="s">
        <v>853</v>
      </c>
      <c r="B567" s="924" t="s">
        <v>790</v>
      </c>
      <c r="C567" s="924" t="s">
        <v>1169</v>
      </c>
      <c r="D567" s="924" t="s">
        <v>1163</v>
      </c>
      <c r="E567" s="924" t="s">
        <v>856</v>
      </c>
      <c r="F567" s="924" t="s">
        <v>1062</v>
      </c>
      <c r="G567" s="924" t="s">
        <v>981</v>
      </c>
      <c r="H567" s="924" t="s">
        <v>835</v>
      </c>
      <c r="I567" s="924" t="s">
        <v>1040</v>
      </c>
      <c r="J567" s="924" t="s">
        <v>859</v>
      </c>
      <c r="K567" s="924" t="s">
        <v>920</v>
      </c>
      <c r="L567" s="925">
        <v>45.220412850379901</v>
      </c>
      <c r="M567" s="925">
        <v>3.06635593638021E-2</v>
      </c>
    </row>
    <row r="568" spans="1:13" ht="11.25" customHeight="1" x14ac:dyDescent="0.2">
      <c r="A568" s="924" t="s">
        <v>853</v>
      </c>
      <c r="B568" s="924" t="s">
        <v>790</v>
      </c>
      <c r="C568" s="924" t="s">
        <v>1169</v>
      </c>
      <c r="D568" s="924" t="s">
        <v>1163</v>
      </c>
      <c r="E568" s="924" t="s">
        <v>856</v>
      </c>
      <c r="F568" s="924" t="s">
        <v>1063</v>
      </c>
      <c r="G568" s="924" t="s">
        <v>981</v>
      </c>
      <c r="H568" s="924" t="s">
        <v>835</v>
      </c>
      <c r="I568" s="924" t="s">
        <v>1040</v>
      </c>
      <c r="J568" s="924" t="s">
        <v>859</v>
      </c>
      <c r="K568" s="924" t="s">
        <v>922</v>
      </c>
      <c r="L568" s="925">
        <v>39.740736693143802</v>
      </c>
      <c r="M568" s="925">
        <v>7.1980875836743499E-3</v>
      </c>
    </row>
    <row r="569" spans="1:13" ht="11.25" customHeight="1" x14ac:dyDescent="0.2">
      <c r="A569" s="924" t="s">
        <v>853</v>
      </c>
      <c r="B569" s="924" t="s">
        <v>790</v>
      </c>
      <c r="C569" s="924" t="s">
        <v>1169</v>
      </c>
      <c r="D569" s="924" t="s">
        <v>1163</v>
      </c>
      <c r="E569" s="924" t="s">
        <v>856</v>
      </c>
      <c r="F569" s="924" t="s">
        <v>1064</v>
      </c>
      <c r="G569" s="924" t="s">
        <v>981</v>
      </c>
      <c r="H569" s="924" t="s">
        <v>835</v>
      </c>
      <c r="I569" s="924" t="s">
        <v>1040</v>
      </c>
      <c r="J569" s="924" t="s">
        <v>859</v>
      </c>
      <c r="K569" s="924" t="s">
        <v>924</v>
      </c>
      <c r="L569" s="925">
        <v>95.717879652977004</v>
      </c>
      <c r="M569" s="925">
        <v>7.1669954704702797E-3</v>
      </c>
    </row>
    <row r="570" spans="1:13" ht="11.25" customHeight="1" x14ac:dyDescent="0.2">
      <c r="A570" s="924" t="s">
        <v>853</v>
      </c>
      <c r="B570" s="924" t="s">
        <v>790</v>
      </c>
      <c r="C570" s="924" t="s">
        <v>1169</v>
      </c>
      <c r="D570" s="924" t="s">
        <v>1163</v>
      </c>
      <c r="E570" s="924" t="s">
        <v>856</v>
      </c>
      <c r="F570" s="924" t="s">
        <v>1065</v>
      </c>
      <c r="G570" s="924" t="s">
        <v>981</v>
      </c>
      <c r="H570" s="924" t="s">
        <v>835</v>
      </c>
      <c r="I570" s="924" t="s">
        <v>1040</v>
      </c>
      <c r="J570" s="924" t="s">
        <v>859</v>
      </c>
      <c r="K570" s="924" t="s">
        <v>926</v>
      </c>
      <c r="L570" s="925">
        <v>229.291864395142</v>
      </c>
      <c r="M570" s="925">
        <v>0.15253987093456101</v>
      </c>
    </row>
    <row r="571" spans="1:13" ht="11.25" customHeight="1" x14ac:dyDescent="0.2">
      <c r="A571" s="924" t="s">
        <v>853</v>
      </c>
      <c r="B571" s="924" t="s">
        <v>790</v>
      </c>
      <c r="C571" s="924" t="s">
        <v>1169</v>
      </c>
      <c r="D571" s="924" t="s">
        <v>1163</v>
      </c>
      <c r="E571" s="924" t="s">
        <v>856</v>
      </c>
      <c r="F571" s="924" t="s">
        <v>1066</v>
      </c>
      <c r="G571" s="924" t="s">
        <v>981</v>
      </c>
      <c r="H571" s="924" t="s">
        <v>835</v>
      </c>
      <c r="I571" s="924" t="s">
        <v>1040</v>
      </c>
      <c r="J571" s="924" t="s">
        <v>859</v>
      </c>
      <c r="K571" s="924" t="s">
        <v>928</v>
      </c>
      <c r="L571" s="925">
        <v>155.64390695095099</v>
      </c>
      <c r="M571" s="925">
        <v>7.8818733869411503E-2</v>
      </c>
    </row>
    <row r="572" spans="1:13" ht="11.25" customHeight="1" x14ac:dyDescent="0.2">
      <c r="A572" s="924" t="s">
        <v>853</v>
      </c>
      <c r="B572" s="924" t="s">
        <v>790</v>
      </c>
      <c r="C572" s="924" t="s">
        <v>1169</v>
      </c>
      <c r="D572" s="924" t="s">
        <v>1163</v>
      </c>
      <c r="E572" s="924" t="s">
        <v>856</v>
      </c>
      <c r="F572" s="924" t="s">
        <v>1067</v>
      </c>
      <c r="G572" s="924" t="s">
        <v>981</v>
      </c>
      <c r="H572" s="924" t="s">
        <v>835</v>
      </c>
      <c r="I572" s="924" t="s">
        <v>1040</v>
      </c>
      <c r="J572" s="924" t="s">
        <v>859</v>
      </c>
      <c r="K572" s="924" t="s">
        <v>1011</v>
      </c>
      <c r="L572" s="925">
        <v>51.739214122295401</v>
      </c>
      <c r="M572" s="925">
        <v>3.6766619575701001E-2</v>
      </c>
    </row>
    <row r="573" spans="1:13" ht="11.25" customHeight="1" x14ac:dyDescent="0.2">
      <c r="A573" s="924" t="s">
        <v>853</v>
      </c>
      <c r="B573" s="924" t="s">
        <v>790</v>
      </c>
      <c r="C573" s="924" t="s">
        <v>1169</v>
      </c>
      <c r="D573" s="924" t="s">
        <v>1163</v>
      </c>
      <c r="E573" s="924" t="s">
        <v>856</v>
      </c>
      <c r="F573" s="924" t="s">
        <v>1041</v>
      </c>
      <c r="G573" s="924" t="s">
        <v>981</v>
      </c>
      <c r="H573" s="924" t="s">
        <v>835</v>
      </c>
      <c r="I573" s="924" t="s">
        <v>1040</v>
      </c>
      <c r="J573" s="924" t="s">
        <v>859</v>
      </c>
      <c r="K573" s="924" t="s">
        <v>891</v>
      </c>
      <c r="L573" s="925">
        <v>35.773106873035402</v>
      </c>
      <c r="M573" s="925">
        <v>1.7940649198862998E-2</v>
      </c>
    </row>
    <row r="574" spans="1:13" ht="11.25" customHeight="1" x14ac:dyDescent="0.2">
      <c r="A574" s="924" t="s">
        <v>853</v>
      </c>
      <c r="B574" s="924" t="s">
        <v>790</v>
      </c>
      <c r="C574" s="924" t="s">
        <v>1169</v>
      </c>
      <c r="D574" s="924" t="s">
        <v>1163</v>
      </c>
      <c r="E574" s="924" t="s">
        <v>856</v>
      </c>
      <c r="F574" s="924" t="s">
        <v>1138</v>
      </c>
      <c r="G574" s="924" t="s">
        <v>981</v>
      </c>
      <c r="H574" s="924" t="s">
        <v>835</v>
      </c>
      <c r="I574" s="924" t="s">
        <v>1040</v>
      </c>
      <c r="J574" s="924" t="s">
        <v>863</v>
      </c>
      <c r="K574" s="924" t="s">
        <v>931</v>
      </c>
      <c r="L574" s="925">
        <v>613.24178981780994</v>
      </c>
      <c r="M574" s="925">
        <v>0.23695815194514599</v>
      </c>
    </row>
    <row r="575" spans="1:13" ht="11.25" customHeight="1" x14ac:dyDescent="0.2">
      <c r="A575" s="924" t="s">
        <v>853</v>
      </c>
      <c r="B575" s="924" t="s">
        <v>790</v>
      </c>
      <c r="C575" s="924" t="s">
        <v>1169</v>
      </c>
      <c r="D575" s="924" t="s">
        <v>1163</v>
      </c>
      <c r="E575" s="924" t="s">
        <v>856</v>
      </c>
      <c r="F575" s="924" t="s">
        <v>1039</v>
      </c>
      <c r="G575" s="924" t="s">
        <v>981</v>
      </c>
      <c r="H575" s="924" t="s">
        <v>835</v>
      </c>
      <c r="I575" s="924" t="s">
        <v>1040</v>
      </c>
      <c r="J575" s="924" t="s">
        <v>859</v>
      </c>
      <c r="K575" s="924" t="s">
        <v>901</v>
      </c>
      <c r="L575" s="925">
        <v>8.3484025672078097</v>
      </c>
      <c r="M575" s="925">
        <v>6.1694293181062702E-3</v>
      </c>
    </row>
    <row r="576" spans="1:13" ht="11.25" customHeight="1" x14ac:dyDescent="0.2">
      <c r="A576" s="924" t="s">
        <v>853</v>
      </c>
      <c r="B576" s="924" t="s">
        <v>790</v>
      </c>
      <c r="C576" s="924" t="s">
        <v>1169</v>
      </c>
      <c r="D576" s="924" t="s">
        <v>1163</v>
      </c>
      <c r="E576" s="924" t="s">
        <v>856</v>
      </c>
      <c r="F576" s="924" t="s">
        <v>1069</v>
      </c>
      <c r="G576" s="924" t="s">
        <v>981</v>
      </c>
      <c r="H576" s="924" t="s">
        <v>835</v>
      </c>
      <c r="I576" s="924" t="s">
        <v>998</v>
      </c>
      <c r="J576" s="924" t="s">
        <v>940</v>
      </c>
      <c r="K576" s="924" t="s">
        <v>1070</v>
      </c>
      <c r="L576" s="925">
        <v>202.32716852426501</v>
      </c>
      <c r="M576" s="925">
        <v>0.37565903656650301</v>
      </c>
    </row>
    <row r="577" spans="1:13" ht="11.25" customHeight="1" x14ac:dyDescent="0.2">
      <c r="A577" s="924" t="s">
        <v>853</v>
      </c>
      <c r="B577" s="924" t="s">
        <v>790</v>
      </c>
      <c r="C577" s="924" t="s">
        <v>1169</v>
      </c>
      <c r="D577" s="924" t="s">
        <v>1163</v>
      </c>
      <c r="E577" s="924" t="s">
        <v>856</v>
      </c>
      <c r="F577" s="924" t="s">
        <v>916</v>
      </c>
      <c r="G577" s="924" t="s">
        <v>911</v>
      </c>
      <c r="H577" s="924" t="s">
        <v>665</v>
      </c>
      <c r="I577" s="924" t="s">
        <v>706</v>
      </c>
      <c r="J577" s="924" t="s">
        <v>859</v>
      </c>
      <c r="K577" s="924" t="s">
        <v>909</v>
      </c>
      <c r="L577" s="925">
        <v>45.229786992073102</v>
      </c>
      <c r="M577" s="925">
        <v>2.0933962841809301E-3</v>
      </c>
    </row>
    <row r="578" spans="1:13" ht="11.25" customHeight="1" x14ac:dyDescent="0.2">
      <c r="A578" s="924" t="s">
        <v>853</v>
      </c>
      <c r="B578" s="924" t="s">
        <v>790</v>
      </c>
      <c r="C578" s="924" t="s">
        <v>1169</v>
      </c>
      <c r="D578" s="924" t="s">
        <v>1163</v>
      </c>
      <c r="E578" s="924" t="s">
        <v>856</v>
      </c>
      <c r="F578" s="924" t="s">
        <v>1073</v>
      </c>
      <c r="G578" s="924" t="s">
        <v>981</v>
      </c>
      <c r="H578" s="924" t="s">
        <v>835</v>
      </c>
      <c r="I578" s="924" t="s">
        <v>998</v>
      </c>
      <c r="J578" s="924" t="s">
        <v>884</v>
      </c>
      <c r="K578" s="924" t="s">
        <v>1046</v>
      </c>
      <c r="L578" s="925">
        <v>85.588096857070894</v>
      </c>
      <c r="M578" s="925">
        <v>0.144509856123477</v>
      </c>
    </row>
    <row r="579" spans="1:13" ht="11.25" customHeight="1" x14ac:dyDescent="0.2">
      <c r="A579" s="924" t="s">
        <v>853</v>
      </c>
      <c r="B579" s="924" t="s">
        <v>790</v>
      </c>
      <c r="C579" s="924" t="s">
        <v>1169</v>
      </c>
      <c r="D579" s="924" t="s">
        <v>1163</v>
      </c>
      <c r="E579" s="924" t="s">
        <v>856</v>
      </c>
      <c r="F579" s="924" t="s">
        <v>1085</v>
      </c>
      <c r="G579" s="924" t="s">
        <v>981</v>
      </c>
      <c r="H579" s="924" t="s">
        <v>835</v>
      </c>
      <c r="I579" s="924" t="s">
        <v>998</v>
      </c>
      <c r="J579" s="924" t="s">
        <v>884</v>
      </c>
      <c r="K579" s="924" t="s">
        <v>885</v>
      </c>
      <c r="L579" s="925">
        <v>114.79876971244801</v>
      </c>
      <c r="M579" s="925">
        <v>8.4323944291099906E-2</v>
      </c>
    </row>
    <row r="580" spans="1:13" ht="11.25" customHeight="1" x14ac:dyDescent="0.2">
      <c r="A580" s="924" t="s">
        <v>853</v>
      </c>
      <c r="B580" s="924" t="s">
        <v>790</v>
      </c>
      <c r="C580" s="924" t="s">
        <v>1169</v>
      </c>
      <c r="D580" s="924" t="s">
        <v>1163</v>
      </c>
      <c r="E580" s="924" t="s">
        <v>856</v>
      </c>
      <c r="F580" s="924" t="s">
        <v>1075</v>
      </c>
      <c r="G580" s="924" t="s">
        <v>981</v>
      </c>
      <c r="H580" s="924" t="s">
        <v>835</v>
      </c>
      <c r="I580" s="924" t="s">
        <v>998</v>
      </c>
      <c r="J580" s="924" t="s">
        <v>859</v>
      </c>
      <c r="K580" s="924" t="s">
        <v>889</v>
      </c>
      <c r="L580" s="925">
        <v>121.474968791008</v>
      </c>
      <c r="M580" s="925">
        <v>0.196601685602218</v>
      </c>
    </row>
    <row r="581" spans="1:13" ht="11.25" customHeight="1" x14ac:dyDescent="0.2">
      <c r="A581" s="924" t="s">
        <v>853</v>
      </c>
      <c r="B581" s="924" t="s">
        <v>790</v>
      </c>
      <c r="C581" s="924" t="s">
        <v>1169</v>
      </c>
      <c r="D581" s="924" t="s">
        <v>1163</v>
      </c>
      <c r="E581" s="924" t="s">
        <v>856</v>
      </c>
      <c r="F581" s="924" t="s">
        <v>1076</v>
      </c>
      <c r="G581" s="924" t="s">
        <v>981</v>
      </c>
      <c r="H581" s="924" t="s">
        <v>835</v>
      </c>
      <c r="I581" s="924" t="s">
        <v>998</v>
      </c>
      <c r="J581" s="924" t="s">
        <v>859</v>
      </c>
      <c r="K581" s="924" t="s">
        <v>860</v>
      </c>
      <c r="L581" s="925">
        <v>7.8749529421329498</v>
      </c>
      <c r="M581" s="925">
        <v>1.6269514904706701E-2</v>
      </c>
    </row>
    <row r="582" spans="1:13" ht="11.25" customHeight="1" x14ac:dyDescent="0.2">
      <c r="A582" s="924" t="s">
        <v>853</v>
      </c>
      <c r="B582" s="924" t="s">
        <v>790</v>
      </c>
      <c r="C582" s="924" t="s">
        <v>1169</v>
      </c>
      <c r="D582" s="924" t="s">
        <v>1163</v>
      </c>
      <c r="E582" s="924" t="s">
        <v>856</v>
      </c>
      <c r="F582" s="924" t="s">
        <v>1077</v>
      </c>
      <c r="G582" s="924" t="s">
        <v>981</v>
      </c>
      <c r="H582" s="924" t="s">
        <v>835</v>
      </c>
      <c r="I582" s="924" t="s">
        <v>998</v>
      </c>
      <c r="J582" s="924" t="s">
        <v>859</v>
      </c>
      <c r="K582" s="924" t="s">
        <v>897</v>
      </c>
      <c r="L582" s="925">
        <v>9.4131165593862498</v>
      </c>
      <c r="M582" s="925">
        <v>1.9712457607965899E-2</v>
      </c>
    </row>
    <row r="583" spans="1:13" ht="11.25" customHeight="1" x14ac:dyDescent="0.2">
      <c r="A583" s="924" t="s">
        <v>853</v>
      </c>
      <c r="B583" s="924" t="s">
        <v>790</v>
      </c>
      <c r="C583" s="924" t="s">
        <v>1169</v>
      </c>
      <c r="D583" s="924" t="s">
        <v>1163</v>
      </c>
      <c r="E583" s="924" t="s">
        <v>856</v>
      </c>
      <c r="F583" s="924" t="s">
        <v>1078</v>
      </c>
      <c r="G583" s="924" t="s">
        <v>981</v>
      </c>
      <c r="H583" s="924" t="s">
        <v>835</v>
      </c>
      <c r="I583" s="924" t="s">
        <v>998</v>
      </c>
      <c r="J583" s="924" t="s">
        <v>859</v>
      </c>
      <c r="K583" s="924" t="s">
        <v>901</v>
      </c>
      <c r="L583" s="925">
        <v>6.5225782454945105E-2</v>
      </c>
      <c r="M583" s="925">
        <v>1.45741071492012E-4</v>
      </c>
    </row>
    <row r="584" spans="1:13" ht="11.25" customHeight="1" x14ac:dyDescent="0.2">
      <c r="A584" s="924" t="s">
        <v>853</v>
      </c>
      <c r="B584" s="924" t="s">
        <v>790</v>
      </c>
      <c r="C584" s="924" t="s">
        <v>1169</v>
      </c>
      <c r="D584" s="924" t="s">
        <v>1163</v>
      </c>
      <c r="E584" s="924" t="s">
        <v>856</v>
      </c>
      <c r="F584" s="924" t="s">
        <v>1079</v>
      </c>
      <c r="G584" s="924" t="s">
        <v>981</v>
      </c>
      <c r="H584" s="924" t="s">
        <v>835</v>
      </c>
      <c r="I584" s="924" t="s">
        <v>998</v>
      </c>
      <c r="J584" s="924" t="s">
        <v>859</v>
      </c>
      <c r="K584" s="924" t="s">
        <v>909</v>
      </c>
      <c r="L584" s="925">
        <v>313.678525447845</v>
      </c>
      <c r="M584" s="925">
        <v>0.56176105095073603</v>
      </c>
    </row>
    <row r="585" spans="1:13" ht="11.25" customHeight="1" x14ac:dyDescent="0.2">
      <c r="A585" s="924" t="s">
        <v>853</v>
      </c>
      <c r="B585" s="924" t="s">
        <v>790</v>
      </c>
      <c r="C585" s="924" t="s">
        <v>1169</v>
      </c>
      <c r="D585" s="924" t="s">
        <v>1163</v>
      </c>
      <c r="E585" s="924" t="s">
        <v>856</v>
      </c>
      <c r="F585" s="924" t="s">
        <v>1080</v>
      </c>
      <c r="G585" s="924" t="s">
        <v>981</v>
      </c>
      <c r="H585" s="924" t="s">
        <v>835</v>
      </c>
      <c r="I585" s="924" t="s">
        <v>998</v>
      </c>
      <c r="J585" s="924" t="s">
        <v>859</v>
      </c>
      <c r="K585" s="924" t="s">
        <v>920</v>
      </c>
      <c r="L585" s="925">
        <v>1.8382592927664501</v>
      </c>
      <c r="M585" s="925">
        <v>4.1074149703490496E-3</v>
      </c>
    </row>
    <row r="586" spans="1:13" ht="11.25" customHeight="1" x14ac:dyDescent="0.2">
      <c r="A586" s="924" t="s">
        <v>853</v>
      </c>
      <c r="B586" s="924" t="s">
        <v>790</v>
      </c>
      <c r="C586" s="924" t="s">
        <v>1169</v>
      </c>
      <c r="D586" s="924" t="s">
        <v>1163</v>
      </c>
      <c r="E586" s="924" t="s">
        <v>856</v>
      </c>
      <c r="F586" s="924" t="s">
        <v>1081</v>
      </c>
      <c r="G586" s="924" t="s">
        <v>981</v>
      </c>
      <c r="H586" s="924" t="s">
        <v>835</v>
      </c>
      <c r="I586" s="924" t="s">
        <v>998</v>
      </c>
      <c r="J586" s="924" t="s">
        <v>863</v>
      </c>
      <c r="K586" s="924" t="s">
        <v>935</v>
      </c>
      <c r="L586" s="925">
        <v>5.6231381446123097</v>
      </c>
      <c r="M586" s="925">
        <v>1.2564368575112899E-2</v>
      </c>
    </row>
    <row r="587" spans="1:13" ht="11.25" customHeight="1" x14ac:dyDescent="0.2">
      <c r="A587" s="924" t="s">
        <v>853</v>
      </c>
      <c r="B587" s="924" t="s">
        <v>790</v>
      </c>
      <c r="C587" s="924" t="s">
        <v>1169</v>
      </c>
      <c r="D587" s="924" t="s">
        <v>1163</v>
      </c>
      <c r="E587" s="924" t="s">
        <v>856</v>
      </c>
      <c r="F587" s="924" t="s">
        <v>1044</v>
      </c>
      <c r="G587" s="924" t="s">
        <v>981</v>
      </c>
      <c r="H587" s="924" t="s">
        <v>835</v>
      </c>
      <c r="I587" s="924" t="s">
        <v>1040</v>
      </c>
      <c r="J587" s="924" t="s">
        <v>884</v>
      </c>
      <c r="K587" s="924" t="s">
        <v>999</v>
      </c>
      <c r="L587" s="925">
        <v>86.059841752052293</v>
      </c>
      <c r="M587" s="925">
        <v>0.11860309106941699</v>
      </c>
    </row>
    <row r="588" spans="1:13" ht="11.25" customHeight="1" x14ac:dyDescent="0.2">
      <c r="A588" s="924" t="s">
        <v>853</v>
      </c>
      <c r="B588" s="924" t="s">
        <v>790</v>
      </c>
      <c r="C588" s="924" t="s">
        <v>1169</v>
      </c>
      <c r="D588" s="924" t="s">
        <v>1163</v>
      </c>
      <c r="E588" s="924" t="s">
        <v>856</v>
      </c>
      <c r="F588" s="924" t="s">
        <v>1083</v>
      </c>
      <c r="G588" s="924" t="s">
        <v>981</v>
      </c>
      <c r="H588" s="924" t="s">
        <v>835</v>
      </c>
      <c r="I588" s="924" t="s">
        <v>998</v>
      </c>
      <c r="J588" s="924" t="s">
        <v>940</v>
      </c>
      <c r="K588" s="924" t="s">
        <v>1084</v>
      </c>
      <c r="L588" s="925">
        <v>28.351224631071101</v>
      </c>
      <c r="M588" s="925">
        <v>5.1795771491015302E-2</v>
      </c>
    </row>
    <row r="589" spans="1:13" ht="11.25" customHeight="1" x14ac:dyDescent="0.2">
      <c r="A589" s="924" t="s">
        <v>853</v>
      </c>
      <c r="B589" s="924" t="s">
        <v>790</v>
      </c>
      <c r="C589" s="924" t="s">
        <v>1169</v>
      </c>
      <c r="D589" s="924" t="s">
        <v>1163</v>
      </c>
      <c r="E589" s="924" t="s">
        <v>856</v>
      </c>
      <c r="F589" s="924" t="s">
        <v>1042</v>
      </c>
      <c r="G589" s="924" t="s">
        <v>981</v>
      </c>
      <c r="H589" s="924" t="s">
        <v>835</v>
      </c>
      <c r="I589" s="924" t="s">
        <v>998</v>
      </c>
      <c r="J589" s="924" t="s">
        <v>956</v>
      </c>
      <c r="K589" s="924" t="s">
        <v>1043</v>
      </c>
      <c r="L589" s="925">
        <v>5.3276316598057702</v>
      </c>
      <c r="M589" s="925">
        <v>9.2280744720483199E-3</v>
      </c>
    </row>
    <row r="590" spans="1:13" ht="11.25" customHeight="1" x14ac:dyDescent="0.2">
      <c r="A590" s="924" t="s">
        <v>853</v>
      </c>
      <c r="B590" s="924" t="s">
        <v>790</v>
      </c>
      <c r="C590" s="924" t="s">
        <v>1169</v>
      </c>
      <c r="D590" s="924" t="s">
        <v>1163</v>
      </c>
      <c r="E590" s="924" t="s">
        <v>856</v>
      </c>
      <c r="F590" s="924" t="s">
        <v>1086</v>
      </c>
      <c r="G590" s="924" t="s">
        <v>981</v>
      </c>
      <c r="H590" s="924" t="s">
        <v>835</v>
      </c>
      <c r="I590" s="924" t="s">
        <v>998</v>
      </c>
      <c r="J590" s="924" t="s">
        <v>940</v>
      </c>
      <c r="K590" s="924" t="s">
        <v>1087</v>
      </c>
      <c r="L590" s="925">
        <v>379.40585517883301</v>
      </c>
      <c r="M590" s="925">
        <v>0.73048274591565099</v>
      </c>
    </row>
    <row r="591" spans="1:13" ht="11.25" customHeight="1" x14ac:dyDescent="0.2">
      <c r="A591" s="924" t="s">
        <v>853</v>
      </c>
      <c r="B591" s="924" t="s">
        <v>790</v>
      </c>
      <c r="C591" s="924" t="s">
        <v>1169</v>
      </c>
      <c r="D591" s="924" t="s">
        <v>1163</v>
      </c>
      <c r="E591" s="924" t="s">
        <v>856</v>
      </c>
      <c r="F591" s="924" t="s">
        <v>1088</v>
      </c>
      <c r="G591" s="924" t="s">
        <v>981</v>
      </c>
      <c r="H591" s="924" t="s">
        <v>835</v>
      </c>
      <c r="I591" s="924" t="s">
        <v>998</v>
      </c>
      <c r="J591" s="924" t="s">
        <v>940</v>
      </c>
      <c r="K591" s="924" t="s">
        <v>1089</v>
      </c>
      <c r="L591" s="925">
        <v>1952.46530914307</v>
      </c>
      <c r="M591" s="925">
        <v>3.56677418574691</v>
      </c>
    </row>
    <row r="592" spans="1:13" ht="11.25" customHeight="1" x14ac:dyDescent="0.2">
      <c r="A592" s="924" t="s">
        <v>853</v>
      </c>
      <c r="B592" s="924" t="s">
        <v>790</v>
      </c>
      <c r="C592" s="924" t="s">
        <v>1169</v>
      </c>
      <c r="D592" s="924" t="s">
        <v>1163</v>
      </c>
      <c r="E592" s="924" t="s">
        <v>856</v>
      </c>
      <c r="F592" s="924" t="s">
        <v>1090</v>
      </c>
      <c r="G592" s="924" t="s">
        <v>981</v>
      </c>
      <c r="H592" s="924" t="s">
        <v>835</v>
      </c>
      <c r="I592" s="924" t="s">
        <v>998</v>
      </c>
      <c r="J592" s="924" t="s">
        <v>940</v>
      </c>
      <c r="K592" s="924" t="s">
        <v>1091</v>
      </c>
      <c r="L592" s="925">
        <v>525.72454404830899</v>
      </c>
      <c r="M592" s="925">
        <v>0.89533817768096902</v>
      </c>
    </row>
    <row r="593" spans="1:13" ht="11.25" customHeight="1" x14ac:dyDescent="0.2">
      <c r="A593" s="924" t="s">
        <v>853</v>
      </c>
      <c r="B593" s="924" t="s">
        <v>790</v>
      </c>
      <c r="C593" s="924" t="s">
        <v>1169</v>
      </c>
      <c r="D593" s="924" t="s">
        <v>1163</v>
      </c>
      <c r="E593" s="924" t="s">
        <v>856</v>
      </c>
      <c r="F593" s="924" t="s">
        <v>1092</v>
      </c>
      <c r="G593" s="924" t="s">
        <v>981</v>
      </c>
      <c r="H593" s="924" t="s">
        <v>835</v>
      </c>
      <c r="I593" s="924" t="s">
        <v>998</v>
      </c>
      <c r="J593" s="924" t="s">
        <v>940</v>
      </c>
      <c r="K593" s="924" t="s">
        <v>1093</v>
      </c>
      <c r="L593" s="925">
        <v>1702.2576265335099</v>
      </c>
      <c r="M593" s="925">
        <v>3.3684956533834298</v>
      </c>
    </row>
    <row r="594" spans="1:13" ht="11.25" customHeight="1" x14ac:dyDescent="0.2">
      <c r="A594" s="924" t="s">
        <v>853</v>
      </c>
      <c r="B594" s="924" t="s">
        <v>790</v>
      </c>
      <c r="C594" s="924" t="s">
        <v>1169</v>
      </c>
      <c r="D594" s="924" t="s">
        <v>1163</v>
      </c>
      <c r="E594" s="924" t="s">
        <v>856</v>
      </c>
      <c r="F594" s="924" t="s">
        <v>1094</v>
      </c>
      <c r="G594" s="924" t="s">
        <v>981</v>
      </c>
      <c r="H594" s="924" t="s">
        <v>835</v>
      </c>
      <c r="I594" s="924" t="s">
        <v>998</v>
      </c>
      <c r="J594" s="924" t="s">
        <v>940</v>
      </c>
      <c r="K594" s="924" t="s">
        <v>1095</v>
      </c>
      <c r="L594" s="925">
        <v>338.35475873947098</v>
      </c>
      <c r="M594" s="925">
        <v>0.63107572123408295</v>
      </c>
    </row>
    <row r="595" spans="1:13" ht="11.25" customHeight="1" x14ac:dyDescent="0.2">
      <c r="A595" s="924" t="s">
        <v>853</v>
      </c>
      <c r="B595" s="924" t="s">
        <v>790</v>
      </c>
      <c r="C595" s="924" t="s">
        <v>1169</v>
      </c>
      <c r="D595" s="924" t="s">
        <v>1163</v>
      </c>
      <c r="E595" s="924" t="s">
        <v>856</v>
      </c>
      <c r="F595" s="924" t="s">
        <v>1096</v>
      </c>
      <c r="G595" s="924" t="s">
        <v>981</v>
      </c>
      <c r="H595" s="924" t="s">
        <v>835</v>
      </c>
      <c r="I595" s="924" t="s">
        <v>998</v>
      </c>
      <c r="J595" s="924" t="s">
        <v>940</v>
      </c>
      <c r="K595" s="924" t="s">
        <v>1023</v>
      </c>
      <c r="L595" s="925">
        <v>1589.5026044845599</v>
      </c>
      <c r="M595" s="925">
        <v>2.9729062793776402</v>
      </c>
    </row>
    <row r="596" spans="1:13" ht="11.25" customHeight="1" x14ac:dyDescent="0.2">
      <c r="A596" s="924" t="s">
        <v>853</v>
      </c>
      <c r="B596" s="924" t="s">
        <v>790</v>
      </c>
      <c r="C596" s="924" t="s">
        <v>1169</v>
      </c>
      <c r="D596" s="924" t="s">
        <v>1163</v>
      </c>
      <c r="E596" s="924" t="s">
        <v>856</v>
      </c>
      <c r="F596" s="924" t="s">
        <v>1097</v>
      </c>
      <c r="G596" s="924" t="s">
        <v>981</v>
      </c>
      <c r="H596" s="924" t="s">
        <v>835</v>
      </c>
      <c r="I596" s="924" t="s">
        <v>998</v>
      </c>
      <c r="J596" s="924" t="s">
        <v>940</v>
      </c>
      <c r="K596" s="924" t="s">
        <v>1098</v>
      </c>
      <c r="L596" s="925">
        <v>169.27806663513201</v>
      </c>
      <c r="M596" s="925">
        <v>1.15641897916794</v>
      </c>
    </row>
    <row r="597" spans="1:13" ht="11.25" customHeight="1" x14ac:dyDescent="0.2">
      <c r="A597" s="924" t="s">
        <v>853</v>
      </c>
      <c r="B597" s="924" t="s">
        <v>790</v>
      </c>
      <c r="C597" s="924" t="s">
        <v>1169</v>
      </c>
      <c r="D597" s="924" t="s">
        <v>1163</v>
      </c>
      <c r="E597" s="924" t="s">
        <v>856</v>
      </c>
      <c r="F597" s="924" t="s">
        <v>1099</v>
      </c>
      <c r="G597" s="924" t="s">
        <v>981</v>
      </c>
      <c r="H597" s="924" t="s">
        <v>835</v>
      </c>
      <c r="I597" s="924" t="s">
        <v>998</v>
      </c>
      <c r="J597" s="924" t="s">
        <v>940</v>
      </c>
      <c r="K597" s="924" t="s">
        <v>1025</v>
      </c>
      <c r="L597" s="925">
        <v>585.42227172851597</v>
      </c>
      <c r="M597" s="925">
        <v>3.9940653741359702</v>
      </c>
    </row>
    <row r="598" spans="1:13" ht="11.25" customHeight="1" x14ac:dyDescent="0.2">
      <c r="A598" s="924" t="s">
        <v>853</v>
      </c>
      <c r="B598" s="924" t="s">
        <v>790</v>
      </c>
      <c r="C598" s="924" t="s">
        <v>1169</v>
      </c>
      <c r="D598" s="924" t="s">
        <v>1163</v>
      </c>
      <c r="E598" s="924" t="s">
        <v>856</v>
      </c>
      <c r="F598" s="924" t="s">
        <v>1100</v>
      </c>
      <c r="G598" s="924" t="s">
        <v>981</v>
      </c>
      <c r="H598" s="924" t="s">
        <v>835</v>
      </c>
      <c r="I598" s="924" t="s">
        <v>998</v>
      </c>
      <c r="J598" s="924" t="s">
        <v>940</v>
      </c>
      <c r="K598" s="924" t="s">
        <v>1032</v>
      </c>
      <c r="L598" s="925">
        <v>0.84816928370855704</v>
      </c>
      <c r="M598" s="925">
        <v>1.70049351208945E-3</v>
      </c>
    </row>
    <row r="599" spans="1:13" ht="11.25" customHeight="1" x14ac:dyDescent="0.2">
      <c r="A599" s="924" t="s">
        <v>853</v>
      </c>
      <c r="B599" s="924" t="s">
        <v>790</v>
      </c>
      <c r="C599" s="924" t="s">
        <v>1169</v>
      </c>
      <c r="D599" s="924" t="s">
        <v>1163</v>
      </c>
      <c r="E599" s="924" t="s">
        <v>856</v>
      </c>
      <c r="F599" s="924" t="s">
        <v>1101</v>
      </c>
      <c r="G599" s="924" t="s">
        <v>981</v>
      </c>
      <c r="H599" s="924" t="s">
        <v>835</v>
      </c>
      <c r="I599" s="924" t="s">
        <v>998</v>
      </c>
      <c r="J599" s="924" t="s">
        <v>870</v>
      </c>
      <c r="K599" s="924" t="s">
        <v>961</v>
      </c>
      <c r="L599" s="925">
        <v>0.27360032149590602</v>
      </c>
      <c r="M599" s="925">
        <v>4.5047633750527899E-4</v>
      </c>
    </row>
    <row r="600" spans="1:13" ht="11.25" customHeight="1" x14ac:dyDescent="0.2">
      <c r="A600" s="924" t="s">
        <v>853</v>
      </c>
      <c r="B600" s="924" t="s">
        <v>790</v>
      </c>
      <c r="C600" s="924" t="s">
        <v>1169</v>
      </c>
      <c r="D600" s="924" t="s">
        <v>1163</v>
      </c>
      <c r="E600" s="924" t="s">
        <v>856</v>
      </c>
      <c r="F600" s="924" t="s">
        <v>1102</v>
      </c>
      <c r="G600" s="924" t="s">
        <v>981</v>
      </c>
      <c r="H600" s="924" t="s">
        <v>835</v>
      </c>
      <c r="I600" s="924" t="s">
        <v>998</v>
      </c>
      <c r="J600" s="924" t="s">
        <v>875</v>
      </c>
      <c r="K600" s="924" t="s">
        <v>876</v>
      </c>
      <c r="L600" s="925">
        <v>46.476641356945002</v>
      </c>
      <c r="M600" s="925">
        <v>9.4043400371447206E-2</v>
      </c>
    </row>
    <row r="601" spans="1:13" ht="11.25" customHeight="1" x14ac:dyDescent="0.2">
      <c r="A601" s="924" t="s">
        <v>853</v>
      </c>
      <c r="B601" s="924" t="s">
        <v>790</v>
      </c>
      <c r="C601" s="924" t="s">
        <v>1169</v>
      </c>
      <c r="D601" s="924" t="s">
        <v>1163</v>
      </c>
      <c r="E601" s="924" t="s">
        <v>856</v>
      </c>
      <c r="F601" s="924" t="s">
        <v>1103</v>
      </c>
      <c r="G601" s="924" t="s">
        <v>981</v>
      </c>
      <c r="H601" s="924" t="s">
        <v>835</v>
      </c>
      <c r="I601" s="924" t="s">
        <v>998</v>
      </c>
      <c r="J601" s="924" t="s">
        <v>863</v>
      </c>
      <c r="K601" s="924" t="s">
        <v>864</v>
      </c>
      <c r="L601" s="925">
        <v>0.43029013089835599</v>
      </c>
      <c r="M601" s="925">
        <v>9.6144192229985503E-4</v>
      </c>
    </row>
    <row r="602" spans="1:13" ht="11.25" customHeight="1" x14ac:dyDescent="0.2">
      <c r="A602" s="924" t="s">
        <v>853</v>
      </c>
      <c r="B602" s="924" t="s">
        <v>790</v>
      </c>
      <c r="C602" s="924" t="s">
        <v>1169</v>
      </c>
      <c r="D602" s="924" t="s">
        <v>1163</v>
      </c>
      <c r="E602" s="924" t="s">
        <v>856</v>
      </c>
      <c r="F602" s="924" t="s">
        <v>1123</v>
      </c>
      <c r="G602" s="924" t="s">
        <v>981</v>
      </c>
      <c r="H602" s="924" t="s">
        <v>835</v>
      </c>
      <c r="I602" s="924" t="s">
        <v>1040</v>
      </c>
      <c r="J602" s="924" t="s">
        <v>875</v>
      </c>
      <c r="K602" s="924" t="s">
        <v>952</v>
      </c>
      <c r="L602" s="925">
        <v>201.63492941856401</v>
      </c>
      <c r="M602" s="925">
        <v>0.14042163606518401</v>
      </c>
    </row>
    <row r="603" spans="1:13" ht="11.25" customHeight="1" x14ac:dyDescent="0.2">
      <c r="A603" s="924" t="s">
        <v>853</v>
      </c>
      <c r="B603" s="924" t="s">
        <v>790</v>
      </c>
      <c r="C603" s="924" t="s">
        <v>1169</v>
      </c>
      <c r="D603" s="924" t="s">
        <v>1163</v>
      </c>
      <c r="E603" s="924" t="s">
        <v>856</v>
      </c>
      <c r="F603" s="924" t="s">
        <v>1110</v>
      </c>
      <c r="G603" s="924" t="s">
        <v>981</v>
      </c>
      <c r="H603" s="924" t="s">
        <v>835</v>
      </c>
      <c r="I603" s="924" t="s">
        <v>1040</v>
      </c>
      <c r="J603" s="924" t="s">
        <v>870</v>
      </c>
      <c r="K603" s="924" t="s">
        <v>1019</v>
      </c>
      <c r="L603" s="925">
        <v>1.9836088446027099E-2</v>
      </c>
      <c r="M603" s="925">
        <v>1.66249792119544E-5</v>
      </c>
    </row>
    <row r="604" spans="1:13" ht="11.25" customHeight="1" x14ac:dyDescent="0.2">
      <c r="A604" s="924" t="s">
        <v>853</v>
      </c>
      <c r="B604" s="924" t="s">
        <v>790</v>
      </c>
      <c r="C604" s="924" t="s">
        <v>1169</v>
      </c>
      <c r="D604" s="924" t="s">
        <v>1163</v>
      </c>
      <c r="E604" s="924" t="s">
        <v>856</v>
      </c>
      <c r="F604" s="924" t="s">
        <v>1111</v>
      </c>
      <c r="G604" s="924" t="s">
        <v>981</v>
      </c>
      <c r="H604" s="924" t="s">
        <v>835</v>
      </c>
      <c r="I604" s="924" t="s">
        <v>1040</v>
      </c>
      <c r="J604" s="924" t="s">
        <v>870</v>
      </c>
      <c r="K604" s="924" t="s">
        <v>1016</v>
      </c>
      <c r="L604" s="925">
        <v>1.77587180351838</v>
      </c>
      <c r="M604" s="925">
        <v>1.4932210374354301E-3</v>
      </c>
    </row>
    <row r="605" spans="1:13" ht="11.25" customHeight="1" x14ac:dyDescent="0.2">
      <c r="A605" s="924" t="s">
        <v>853</v>
      </c>
      <c r="B605" s="924" t="s">
        <v>790</v>
      </c>
      <c r="C605" s="924" t="s">
        <v>1169</v>
      </c>
      <c r="D605" s="924" t="s">
        <v>1163</v>
      </c>
      <c r="E605" s="924" t="s">
        <v>856</v>
      </c>
      <c r="F605" s="924" t="s">
        <v>1112</v>
      </c>
      <c r="G605" s="924" t="s">
        <v>981</v>
      </c>
      <c r="H605" s="924" t="s">
        <v>835</v>
      </c>
      <c r="I605" s="924" t="s">
        <v>1040</v>
      </c>
      <c r="J605" s="924" t="s">
        <v>870</v>
      </c>
      <c r="K605" s="924" t="s">
        <v>959</v>
      </c>
      <c r="L605" s="925">
        <v>0.54712808434851501</v>
      </c>
      <c r="M605" s="925">
        <v>3.60857466262132E-4</v>
      </c>
    </row>
    <row r="606" spans="1:13" ht="11.25" customHeight="1" x14ac:dyDescent="0.2">
      <c r="A606" s="924" t="s">
        <v>853</v>
      </c>
      <c r="B606" s="924" t="s">
        <v>790</v>
      </c>
      <c r="C606" s="924" t="s">
        <v>1169</v>
      </c>
      <c r="D606" s="924" t="s">
        <v>1163</v>
      </c>
      <c r="E606" s="924" t="s">
        <v>856</v>
      </c>
      <c r="F606" s="924" t="s">
        <v>1113</v>
      </c>
      <c r="G606" s="924" t="s">
        <v>981</v>
      </c>
      <c r="H606" s="924" t="s">
        <v>835</v>
      </c>
      <c r="I606" s="924" t="s">
        <v>1040</v>
      </c>
      <c r="J606" s="924" t="s">
        <v>870</v>
      </c>
      <c r="K606" s="924" t="s">
        <v>961</v>
      </c>
      <c r="L606" s="925">
        <v>5.9788532853126499</v>
      </c>
      <c r="M606" s="925">
        <v>4.5300735083628803E-3</v>
      </c>
    </row>
    <row r="607" spans="1:13" ht="11.25" customHeight="1" x14ac:dyDescent="0.2">
      <c r="A607" s="924" t="s">
        <v>853</v>
      </c>
      <c r="B607" s="924" t="s">
        <v>790</v>
      </c>
      <c r="C607" s="924" t="s">
        <v>1169</v>
      </c>
      <c r="D607" s="924" t="s">
        <v>1163</v>
      </c>
      <c r="E607" s="924" t="s">
        <v>856</v>
      </c>
      <c r="F607" s="924" t="s">
        <v>1114</v>
      </c>
      <c r="G607" s="924" t="s">
        <v>981</v>
      </c>
      <c r="H607" s="924" t="s">
        <v>835</v>
      </c>
      <c r="I607" s="924" t="s">
        <v>1040</v>
      </c>
      <c r="J607" s="924" t="s">
        <v>870</v>
      </c>
      <c r="K607" s="924" t="s">
        <v>963</v>
      </c>
      <c r="L607" s="925">
        <v>13.039139736443801</v>
      </c>
      <c r="M607" s="925">
        <v>2.1672303040759299E-2</v>
      </c>
    </row>
    <row r="608" spans="1:13" ht="11.25" customHeight="1" x14ac:dyDescent="0.2">
      <c r="A608" s="924" t="s">
        <v>853</v>
      </c>
      <c r="B608" s="924" t="s">
        <v>790</v>
      </c>
      <c r="C608" s="924" t="s">
        <v>1169</v>
      </c>
      <c r="D608" s="924" t="s">
        <v>1163</v>
      </c>
      <c r="E608" s="924" t="s">
        <v>856</v>
      </c>
      <c r="F608" s="924" t="s">
        <v>1115</v>
      </c>
      <c r="G608" s="924" t="s">
        <v>981</v>
      </c>
      <c r="H608" s="924" t="s">
        <v>835</v>
      </c>
      <c r="I608" s="924" t="s">
        <v>1040</v>
      </c>
      <c r="J608" s="924" t="s">
        <v>870</v>
      </c>
      <c r="K608" s="924" t="s">
        <v>965</v>
      </c>
      <c r="L608" s="925">
        <v>2.81243494711816</v>
      </c>
      <c r="M608" s="925">
        <v>2.36480249213855E-3</v>
      </c>
    </row>
    <row r="609" spans="1:13" ht="11.25" customHeight="1" x14ac:dyDescent="0.2">
      <c r="A609" s="924" t="s">
        <v>853</v>
      </c>
      <c r="B609" s="924" t="s">
        <v>790</v>
      </c>
      <c r="C609" s="924" t="s">
        <v>1169</v>
      </c>
      <c r="D609" s="924" t="s">
        <v>1163</v>
      </c>
      <c r="E609" s="924" t="s">
        <v>856</v>
      </c>
      <c r="F609" s="924" t="s">
        <v>1130</v>
      </c>
      <c r="G609" s="924" t="s">
        <v>981</v>
      </c>
      <c r="H609" s="924" t="s">
        <v>835</v>
      </c>
      <c r="I609" s="924" t="s">
        <v>1040</v>
      </c>
      <c r="J609" s="924" t="s">
        <v>870</v>
      </c>
      <c r="K609" s="924" t="s">
        <v>871</v>
      </c>
      <c r="L609" s="925">
        <v>4.0527287330478403</v>
      </c>
      <c r="M609" s="925">
        <v>3.2283572043070299E-3</v>
      </c>
    </row>
    <row r="610" spans="1:13" ht="11.25" customHeight="1" x14ac:dyDescent="0.2">
      <c r="A610" s="924" t="s">
        <v>853</v>
      </c>
      <c r="B610" s="924" t="s">
        <v>790</v>
      </c>
      <c r="C610" s="924" t="s">
        <v>1169</v>
      </c>
      <c r="D610" s="924" t="s">
        <v>1163</v>
      </c>
      <c r="E610" s="924" t="s">
        <v>856</v>
      </c>
      <c r="F610" s="924" t="s">
        <v>1117</v>
      </c>
      <c r="G610" s="924" t="s">
        <v>981</v>
      </c>
      <c r="H610" s="924" t="s">
        <v>835</v>
      </c>
      <c r="I610" s="924" t="s">
        <v>1040</v>
      </c>
      <c r="J610" s="924" t="s">
        <v>870</v>
      </c>
      <c r="K610" s="924" t="s">
        <v>873</v>
      </c>
      <c r="L610" s="925">
        <v>4.4686589501798197</v>
      </c>
      <c r="M610" s="925">
        <v>4.4849721791706499E-4</v>
      </c>
    </row>
    <row r="611" spans="1:13" ht="11.25" customHeight="1" x14ac:dyDescent="0.2">
      <c r="A611" s="924" t="s">
        <v>853</v>
      </c>
      <c r="B611" s="924" t="s">
        <v>790</v>
      </c>
      <c r="C611" s="924" t="s">
        <v>1169</v>
      </c>
      <c r="D611" s="924" t="s">
        <v>1163</v>
      </c>
      <c r="E611" s="924" t="s">
        <v>856</v>
      </c>
      <c r="F611" s="924" t="s">
        <v>1104</v>
      </c>
      <c r="G611" s="924" t="s">
        <v>981</v>
      </c>
      <c r="H611" s="924" t="s">
        <v>835</v>
      </c>
      <c r="I611" s="924" t="s">
        <v>1040</v>
      </c>
      <c r="J611" s="924" t="s">
        <v>875</v>
      </c>
      <c r="K611" s="924" t="s">
        <v>876</v>
      </c>
      <c r="L611" s="925">
        <v>9561.6449432372992</v>
      </c>
      <c r="M611" s="925">
        <v>6.44188368320465</v>
      </c>
    </row>
    <row r="612" spans="1:13" ht="11.25" customHeight="1" x14ac:dyDescent="0.2">
      <c r="A612" s="924" t="s">
        <v>853</v>
      </c>
      <c r="B612" s="924" t="s">
        <v>790</v>
      </c>
      <c r="C612" s="924" t="s">
        <v>1169</v>
      </c>
      <c r="D612" s="924" t="s">
        <v>1163</v>
      </c>
      <c r="E612" s="924" t="s">
        <v>856</v>
      </c>
      <c r="F612" s="924" t="s">
        <v>1119</v>
      </c>
      <c r="G612" s="924" t="s">
        <v>981</v>
      </c>
      <c r="H612" s="924" t="s">
        <v>835</v>
      </c>
      <c r="I612" s="924" t="s">
        <v>1040</v>
      </c>
      <c r="J612" s="924" t="s">
        <v>875</v>
      </c>
      <c r="K612" s="924" t="s">
        <v>878</v>
      </c>
      <c r="L612" s="925">
        <v>2387.9486961364701</v>
      </c>
      <c r="M612" s="925">
        <v>1.5913451300002599</v>
      </c>
    </row>
    <row r="613" spans="1:13" ht="11.25" customHeight="1" x14ac:dyDescent="0.2">
      <c r="A613" s="924" t="s">
        <v>853</v>
      </c>
      <c r="B613" s="924" t="s">
        <v>790</v>
      </c>
      <c r="C613" s="924" t="s">
        <v>1169</v>
      </c>
      <c r="D613" s="924" t="s">
        <v>1163</v>
      </c>
      <c r="E613" s="924" t="s">
        <v>856</v>
      </c>
      <c r="F613" s="924" t="s">
        <v>1120</v>
      </c>
      <c r="G613" s="924" t="s">
        <v>981</v>
      </c>
      <c r="H613" s="924" t="s">
        <v>835</v>
      </c>
      <c r="I613" s="924" t="s">
        <v>1040</v>
      </c>
      <c r="J613" s="924" t="s">
        <v>875</v>
      </c>
      <c r="K613" s="924" t="s">
        <v>880</v>
      </c>
      <c r="L613" s="925">
        <v>1262.93676567078</v>
      </c>
      <c r="M613" s="925">
        <v>0.73403748196506102</v>
      </c>
    </row>
    <row r="614" spans="1:13" ht="11.25" customHeight="1" x14ac:dyDescent="0.2">
      <c r="A614" s="924" t="s">
        <v>853</v>
      </c>
      <c r="B614" s="924" t="s">
        <v>790</v>
      </c>
      <c r="C614" s="924" t="s">
        <v>1169</v>
      </c>
      <c r="D614" s="924" t="s">
        <v>1163</v>
      </c>
      <c r="E614" s="924" t="s">
        <v>856</v>
      </c>
      <c r="F614" s="924" t="s">
        <v>1109</v>
      </c>
      <c r="G614" s="924" t="s">
        <v>981</v>
      </c>
      <c r="H614" s="924" t="s">
        <v>835</v>
      </c>
      <c r="I614" s="924" t="s">
        <v>1040</v>
      </c>
      <c r="J614" s="924" t="s">
        <v>870</v>
      </c>
      <c r="K614" s="924" t="s">
        <v>976</v>
      </c>
      <c r="L614" s="925">
        <v>2.5686092907562901</v>
      </c>
      <c r="M614" s="925">
        <v>5.2591732117157597E-4</v>
      </c>
    </row>
    <row r="615" spans="1:13" ht="11.25" customHeight="1" x14ac:dyDescent="0.2">
      <c r="A615" s="924" t="s">
        <v>853</v>
      </c>
      <c r="B615" s="924" t="s">
        <v>790</v>
      </c>
      <c r="C615" s="924" t="s">
        <v>1169</v>
      </c>
      <c r="D615" s="924" t="s">
        <v>1163</v>
      </c>
      <c r="E615" s="924" t="s">
        <v>856</v>
      </c>
      <c r="F615" s="924" t="s">
        <v>1122</v>
      </c>
      <c r="G615" s="924" t="s">
        <v>981</v>
      </c>
      <c r="H615" s="924" t="s">
        <v>835</v>
      </c>
      <c r="I615" s="924" t="s">
        <v>1040</v>
      </c>
      <c r="J615" s="924" t="s">
        <v>875</v>
      </c>
      <c r="K615" s="924" t="s">
        <v>950</v>
      </c>
      <c r="L615" s="925">
        <v>4298.3057250976599</v>
      </c>
      <c r="M615" s="925">
        <v>2.98440596695445</v>
      </c>
    </row>
    <row r="616" spans="1:13" ht="11.25" customHeight="1" x14ac:dyDescent="0.2">
      <c r="A616" s="924" t="s">
        <v>853</v>
      </c>
      <c r="B616" s="924" t="s">
        <v>790</v>
      </c>
      <c r="C616" s="924" t="s">
        <v>1169</v>
      </c>
      <c r="D616" s="924" t="s">
        <v>1163</v>
      </c>
      <c r="E616" s="924" t="s">
        <v>856</v>
      </c>
      <c r="F616" s="924" t="s">
        <v>1074</v>
      </c>
      <c r="G616" s="924" t="s">
        <v>911</v>
      </c>
      <c r="H616" s="924" t="s">
        <v>665</v>
      </c>
      <c r="I616" s="924" t="s">
        <v>706</v>
      </c>
      <c r="J616" s="924" t="s">
        <v>859</v>
      </c>
      <c r="K616" s="924" t="s">
        <v>903</v>
      </c>
      <c r="L616" s="925">
        <v>48.069764435291297</v>
      </c>
      <c r="M616" s="925">
        <v>5.3685647790189302E-3</v>
      </c>
    </row>
    <row r="617" spans="1:13" ht="11.25" customHeight="1" x14ac:dyDescent="0.2">
      <c r="A617" s="924" t="s">
        <v>853</v>
      </c>
      <c r="B617" s="924" t="s">
        <v>790</v>
      </c>
      <c r="C617" s="924" t="s">
        <v>1169</v>
      </c>
      <c r="D617" s="924" t="s">
        <v>1163</v>
      </c>
      <c r="E617" s="924" t="s">
        <v>856</v>
      </c>
      <c r="F617" s="924" t="s">
        <v>1124</v>
      </c>
      <c r="G617" s="924" t="s">
        <v>981</v>
      </c>
      <c r="H617" s="924" t="s">
        <v>835</v>
      </c>
      <c r="I617" s="924" t="s">
        <v>1040</v>
      </c>
      <c r="J617" s="924" t="s">
        <v>956</v>
      </c>
      <c r="K617" s="924" t="s">
        <v>1125</v>
      </c>
      <c r="L617" s="925">
        <v>11.875254601240201</v>
      </c>
      <c r="M617" s="925">
        <v>9.5146283421172501E-3</v>
      </c>
    </row>
    <row r="618" spans="1:13" ht="11.25" customHeight="1" x14ac:dyDescent="0.2">
      <c r="A618" s="924" t="s">
        <v>853</v>
      </c>
      <c r="B618" s="924" t="s">
        <v>790</v>
      </c>
      <c r="C618" s="924" t="s">
        <v>1169</v>
      </c>
      <c r="D618" s="924" t="s">
        <v>1163</v>
      </c>
      <c r="E618" s="924" t="s">
        <v>856</v>
      </c>
      <c r="F618" s="924" t="s">
        <v>1127</v>
      </c>
      <c r="G618" s="924" t="s">
        <v>911</v>
      </c>
      <c r="H618" s="924" t="s">
        <v>665</v>
      </c>
      <c r="I618" s="924" t="s">
        <v>706</v>
      </c>
      <c r="J618" s="924" t="s">
        <v>884</v>
      </c>
      <c r="K618" s="924" t="s">
        <v>885</v>
      </c>
      <c r="L618" s="925">
        <v>7.3753137737512597</v>
      </c>
      <c r="M618" s="925">
        <v>3.2048308439698299E-3</v>
      </c>
    </row>
    <row r="619" spans="1:13" ht="11.25" customHeight="1" x14ac:dyDescent="0.2">
      <c r="A619" s="924" t="s">
        <v>853</v>
      </c>
      <c r="B619" s="924" t="s">
        <v>790</v>
      </c>
      <c r="C619" s="924" t="s">
        <v>1169</v>
      </c>
      <c r="D619" s="924" t="s">
        <v>1163</v>
      </c>
      <c r="E619" s="924" t="s">
        <v>856</v>
      </c>
      <c r="F619" s="924" t="s">
        <v>1173</v>
      </c>
      <c r="G619" s="924" t="s">
        <v>981</v>
      </c>
      <c r="H619" s="924" t="s">
        <v>835</v>
      </c>
      <c r="I619" s="924" t="s">
        <v>1040</v>
      </c>
      <c r="J619" s="924" t="s">
        <v>863</v>
      </c>
      <c r="K619" s="924" t="s">
        <v>1171</v>
      </c>
      <c r="L619" s="925">
        <v>11.7631330490112</v>
      </c>
      <c r="M619" s="925">
        <v>9.53093248244841E-3</v>
      </c>
    </row>
    <row r="620" spans="1:13" ht="11.25" customHeight="1" x14ac:dyDescent="0.2">
      <c r="A620" s="924" t="s">
        <v>853</v>
      </c>
      <c r="B620" s="924" t="s">
        <v>790</v>
      </c>
      <c r="C620" s="924" t="s">
        <v>1169</v>
      </c>
      <c r="D620" s="924" t="s">
        <v>1163</v>
      </c>
      <c r="E620" s="924" t="s">
        <v>856</v>
      </c>
      <c r="F620" s="924" t="s">
        <v>997</v>
      </c>
      <c r="G620" s="924" t="s">
        <v>981</v>
      </c>
      <c r="H620" s="924" t="s">
        <v>835</v>
      </c>
      <c r="I620" s="924" t="s">
        <v>998</v>
      </c>
      <c r="J620" s="924" t="s">
        <v>884</v>
      </c>
      <c r="K620" s="924" t="s">
        <v>999</v>
      </c>
      <c r="L620" s="925">
        <v>188.889589071274</v>
      </c>
      <c r="M620" s="925">
        <v>0.60174027550965503</v>
      </c>
    </row>
    <row r="621" spans="1:13" ht="11.25" customHeight="1" x14ac:dyDescent="0.2">
      <c r="A621" s="924" t="s">
        <v>853</v>
      </c>
      <c r="B621" s="924" t="s">
        <v>790</v>
      </c>
      <c r="C621" s="924" t="s">
        <v>1169</v>
      </c>
      <c r="D621" s="924" t="s">
        <v>1163</v>
      </c>
      <c r="E621" s="924" t="s">
        <v>856</v>
      </c>
      <c r="F621" s="924" t="s">
        <v>1128</v>
      </c>
      <c r="G621" s="924" t="s">
        <v>911</v>
      </c>
      <c r="H621" s="924" t="s">
        <v>665</v>
      </c>
      <c r="I621" s="924" t="s">
        <v>706</v>
      </c>
      <c r="J621" s="924" t="s">
        <v>859</v>
      </c>
      <c r="K621" s="924" t="s">
        <v>913</v>
      </c>
      <c r="L621" s="925">
        <v>15.5648446977139</v>
      </c>
      <c r="M621" s="925">
        <v>1.7162266192372001E-3</v>
      </c>
    </row>
    <row r="622" spans="1:13" ht="11.25" customHeight="1" x14ac:dyDescent="0.2">
      <c r="A622" s="924" t="s">
        <v>853</v>
      </c>
      <c r="B622" s="924" t="s">
        <v>790</v>
      </c>
      <c r="C622" s="924" t="s">
        <v>1169</v>
      </c>
      <c r="D622" s="924" t="s">
        <v>1163</v>
      </c>
      <c r="E622" s="924" t="s">
        <v>856</v>
      </c>
      <c r="F622" s="924" t="s">
        <v>1118</v>
      </c>
      <c r="G622" s="924" t="s">
        <v>911</v>
      </c>
      <c r="H622" s="924" t="s">
        <v>665</v>
      </c>
      <c r="I622" s="924" t="s">
        <v>706</v>
      </c>
      <c r="J622" s="924" t="s">
        <v>859</v>
      </c>
      <c r="K622" s="924" t="s">
        <v>893</v>
      </c>
      <c r="L622" s="925">
        <v>26.393133819103198</v>
      </c>
      <c r="M622" s="925">
        <v>1.2769346394634301E-3</v>
      </c>
    </row>
    <row r="623" spans="1:13" ht="11.25" customHeight="1" x14ac:dyDescent="0.2">
      <c r="A623" s="924" t="s">
        <v>853</v>
      </c>
      <c r="B623" s="924" t="s">
        <v>790</v>
      </c>
      <c r="C623" s="924" t="s">
        <v>1169</v>
      </c>
      <c r="D623" s="924" t="s">
        <v>1163</v>
      </c>
      <c r="E623" s="924" t="s">
        <v>856</v>
      </c>
      <c r="F623" s="924" t="s">
        <v>1129</v>
      </c>
      <c r="G623" s="924" t="s">
        <v>911</v>
      </c>
      <c r="H623" s="924" t="s">
        <v>665</v>
      </c>
      <c r="I623" s="924" t="s">
        <v>706</v>
      </c>
      <c r="J623" s="924" t="s">
        <v>859</v>
      </c>
      <c r="K623" s="924" t="s">
        <v>897</v>
      </c>
      <c r="L623" s="925">
        <v>4.2984502390027002</v>
      </c>
      <c r="M623" s="925">
        <v>1.5623371100446099E-3</v>
      </c>
    </row>
    <row r="624" spans="1:13" ht="11.25" customHeight="1" x14ac:dyDescent="0.2">
      <c r="A624" s="924" t="s">
        <v>853</v>
      </c>
      <c r="B624" s="924" t="s">
        <v>790</v>
      </c>
      <c r="C624" s="924" t="s">
        <v>1169</v>
      </c>
      <c r="D624" s="924" t="s">
        <v>1163</v>
      </c>
      <c r="E624" s="924" t="s">
        <v>856</v>
      </c>
      <c r="F624" s="924" t="s">
        <v>1133</v>
      </c>
      <c r="G624" s="924" t="s">
        <v>911</v>
      </c>
      <c r="H624" s="924" t="s">
        <v>665</v>
      </c>
      <c r="I624" s="924" t="s">
        <v>706</v>
      </c>
      <c r="J624" s="924" t="s">
        <v>859</v>
      </c>
      <c r="K624" s="924" t="s">
        <v>899</v>
      </c>
      <c r="L624" s="925">
        <v>2.6775240227580102</v>
      </c>
      <c r="M624" s="925">
        <v>2.6675181214841403E-4</v>
      </c>
    </row>
    <row r="625" spans="1:13" ht="11.25" customHeight="1" x14ac:dyDescent="0.2">
      <c r="A625" s="924" t="s">
        <v>853</v>
      </c>
      <c r="B625" s="924" t="s">
        <v>790</v>
      </c>
      <c r="C625" s="924" t="s">
        <v>1169</v>
      </c>
      <c r="D625" s="924" t="s">
        <v>1163</v>
      </c>
      <c r="E625" s="924" t="s">
        <v>856</v>
      </c>
      <c r="F625" s="924" t="s">
        <v>1135</v>
      </c>
      <c r="G625" s="924" t="s">
        <v>981</v>
      </c>
      <c r="H625" s="924" t="s">
        <v>835</v>
      </c>
      <c r="I625" s="924" t="s">
        <v>1040</v>
      </c>
      <c r="J625" s="924" t="s">
        <v>863</v>
      </c>
      <c r="K625" s="924" t="s">
        <v>935</v>
      </c>
      <c r="L625" s="925">
        <v>506.60882759094198</v>
      </c>
      <c r="M625" s="925">
        <v>0.182985978666693</v>
      </c>
    </row>
    <row r="626" spans="1:13" ht="11.25" customHeight="1" x14ac:dyDescent="0.2">
      <c r="A626" s="924" t="s">
        <v>853</v>
      </c>
      <c r="B626" s="924" t="s">
        <v>790</v>
      </c>
      <c r="C626" s="924" t="s">
        <v>1169</v>
      </c>
      <c r="D626" s="924" t="s">
        <v>1163</v>
      </c>
      <c r="E626" s="924" t="s">
        <v>856</v>
      </c>
      <c r="F626" s="924" t="s">
        <v>910</v>
      </c>
      <c r="G626" s="924" t="s">
        <v>911</v>
      </c>
      <c r="H626" s="924" t="s">
        <v>665</v>
      </c>
      <c r="I626" s="924" t="s">
        <v>706</v>
      </c>
      <c r="J626" s="924" t="s">
        <v>859</v>
      </c>
      <c r="K626" s="924" t="s">
        <v>905</v>
      </c>
      <c r="L626" s="925">
        <v>18.9120626449585</v>
      </c>
      <c r="M626" s="925">
        <v>1.54605415555125E-2</v>
      </c>
    </row>
    <row r="627" spans="1:13" ht="11.25" customHeight="1" x14ac:dyDescent="0.2">
      <c r="A627" s="924" t="s">
        <v>853</v>
      </c>
      <c r="B627" s="924" t="s">
        <v>790</v>
      </c>
      <c r="C627" s="924" t="s">
        <v>1169</v>
      </c>
      <c r="D627" s="924" t="s">
        <v>1163</v>
      </c>
      <c r="E627" s="924" t="s">
        <v>856</v>
      </c>
      <c r="F627" s="924" t="s">
        <v>1054</v>
      </c>
      <c r="G627" s="924" t="s">
        <v>981</v>
      </c>
      <c r="H627" s="924" t="s">
        <v>835</v>
      </c>
      <c r="I627" s="924" t="s">
        <v>998</v>
      </c>
      <c r="J627" s="924" t="s">
        <v>875</v>
      </c>
      <c r="K627" s="924" t="s">
        <v>880</v>
      </c>
      <c r="L627" s="925">
        <v>0.107562761637382</v>
      </c>
      <c r="M627" s="925">
        <v>2.40338673847873E-4</v>
      </c>
    </row>
    <row r="628" spans="1:13" ht="11.25" customHeight="1" x14ac:dyDescent="0.2">
      <c r="A628" s="924" t="s">
        <v>853</v>
      </c>
      <c r="B628" s="924" t="s">
        <v>790</v>
      </c>
      <c r="C628" s="924" t="s">
        <v>1169</v>
      </c>
      <c r="D628" s="924" t="s">
        <v>1163</v>
      </c>
      <c r="E628" s="924" t="s">
        <v>856</v>
      </c>
      <c r="F628" s="924" t="s">
        <v>1121</v>
      </c>
      <c r="G628" s="924" t="s">
        <v>981</v>
      </c>
      <c r="H628" s="924" t="s">
        <v>835</v>
      </c>
      <c r="I628" s="924" t="s">
        <v>1040</v>
      </c>
      <c r="J628" s="924" t="s">
        <v>875</v>
      </c>
      <c r="K628" s="924" t="s">
        <v>948</v>
      </c>
      <c r="L628" s="925">
        <v>2717.5413894653302</v>
      </c>
      <c r="M628" s="925">
        <v>1.701826026052</v>
      </c>
    </row>
    <row r="629" spans="1:13" ht="11.25" customHeight="1" x14ac:dyDescent="0.2">
      <c r="A629" s="924" t="s">
        <v>853</v>
      </c>
      <c r="B629" s="924" t="s">
        <v>790</v>
      </c>
      <c r="C629" s="924" t="s">
        <v>1169</v>
      </c>
      <c r="D629" s="924" t="s">
        <v>1163</v>
      </c>
      <c r="E629" s="924" t="s">
        <v>856</v>
      </c>
      <c r="F629" s="924" t="s">
        <v>1137</v>
      </c>
      <c r="G629" s="924" t="s">
        <v>981</v>
      </c>
      <c r="H629" s="924" t="s">
        <v>835</v>
      </c>
      <c r="I629" s="924" t="s">
        <v>1040</v>
      </c>
      <c r="J629" s="924" t="s">
        <v>863</v>
      </c>
      <c r="K629" s="924" t="s">
        <v>866</v>
      </c>
      <c r="L629" s="925">
        <v>28.811601579189301</v>
      </c>
      <c r="M629" s="925">
        <v>1.9374319002963599E-2</v>
      </c>
    </row>
    <row r="630" spans="1:13" ht="11.25" customHeight="1" x14ac:dyDescent="0.2">
      <c r="A630" s="924" t="s">
        <v>853</v>
      </c>
      <c r="B630" s="924" t="s">
        <v>790</v>
      </c>
      <c r="C630" s="924" t="s">
        <v>1169</v>
      </c>
      <c r="D630" s="924" t="s">
        <v>1163</v>
      </c>
      <c r="E630" s="924" t="s">
        <v>856</v>
      </c>
      <c r="F630" s="924" t="s">
        <v>1148</v>
      </c>
      <c r="G630" s="924" t="s">
        <v>981</v>
      </c>
      <c r="H630" s="924" t="s">
        <v>835</v>
      </c>
      <c r="I630" s="924" t="s">
        <v>1040</v>
      </c>
      <c r="J630" s="924" t="s">
        <v>863</v>
      </c>
      <c r="K630" s="924" t="s">
        <v>915</v>
      </c>
      <c r="L630" s="925">
        <v>43.213837146758998</v>
      </c>
      <c r="M630" s="925">
        <v>1.6166839172910799E-2</v>
      </c>
    </row>
    <row r="631" spans="1:13" ht="11.25" customHeight="1" x14ac:dyDescent="0.2">
      <c r="A631" s="924" t="s">
        <v>853</v>
      </c>
      <c r="B631" s="924" t="s">
        <v>790</v>
      </c>
      <c r="C631" s="924" t="s">
        <v>1169</v>
      </c>
      <c r="D631" s="924" t="s">
        <v>1163</v>
      </c>
      <c r="E631" s="924" t="s">
        <v>856</v>
      </c>
      <c r="F631" s="924" t="s">
        <v>1131</v>
      </c>
      <c r="G631" s="924" t="s">
        <v>981</v>
      </c>
      <c r="H631" s="924" t="s">
        <v>835</v>
      </c>
      <c r="I631" s="924" t="s">
        <v>1040</v>
      </c>
      <c r="J631" s="924" t="s">
        <v>863</v>
      </c>
      <c r="K631" s="924" t="s">
        <v>868</v>
      </c>
      <c r="L631" s="925">
        <v>208.321940660477</v>
      </c>
      <c r="M631" s="925">
        <v>1.4759822806809099E-2</v>
      </c>
    </row>
    <row r="632" spans="1:13" ht="11.25" customHeight="1" x14ac:dyDescent="0.2">
      <c r="A632" s="924" t="s">
        <v>853</v>
      </c>
      <c r="B632" s="924" t="s">
        <v>790</v>
      </c>
      <c r="C632" s="924" t="s">
        <v>1169</v>
      </c>
      <c r="D632" s="924" t="s">
        <v>1163</v>
      </c>
      <c r="E632" s="924" t="s">
        <v>856</v>
      </c>
      <c r="F632" s="924" t="s">
        <v>1139</v>
      </c>
      <c r="G632" s="924" t="s">
        <v>981</v>
      </c>
      <c r="H632" s="924" t="s">
        <v>835</v>
      </c>
      <c r="I632" s="924" t="s">
        <v>1040</v>
      </c>
      <c r="J632" s="924" t="s">
        <v>940</v>
      </c>
      <c r="K632" s="924" t="s">
        <v>1140</v>
      </c>
      <c r="L632" s="925">
        <v>4804.5462722778302</v>
      </c>
      <c r="M632" s="925">
        <v>3.5201761758208399</v>
      </c>
    </row>
    <row r="633" spans="1:13" ht="11.25" customHeight="1" x14ac:dyDescent="0.2">
      <c r="A633" s="924" t="s">
        <v>853</v>
      </c>
      <c r="B633" s="924" t="s">
        <v>790</v>
      </c>
      <c r="C633" s="924" t="s">
        <v>1169</v>
      </c>
      <c r="D633" s="924" t="s">
        <v>1163</v>
      </c>
      <c r="E633" s="924" t="s">
        <v>856</v>
      </c>
      <c r="F633" s="924" t="s">
        <v>1141</v>
      </c>
      <c r="G633" s="924" t="s">
        <v>981</v>
      </c>
      <c r="H633" s="924" t="s">
        <v>835</v>
      </c>
      <c r="I633" s="924" t="s">
        <v>1040</v>
      </c>
      <c r="J633" s="924" t="s">
        <v>940</v>
      </c>
      <c r="K633" s="924" t="s">
        <v>1142</v>
      </c>
      <c r="L633" s="925">
        <v>4976.1389904022199</v>
      </c>
      <c r="M633" s="925">
        <v>3.6716042514890401</v>
      </c>
    </row>
    <row r="634" spans="1:13" ht="11.25" customHeight="1" x14ac:dyDescent="0.2">
      <c r="A634" s="924" t="s">
        <v>853</v>
      </c>
      <c r="B634" s="924" t="s">
        <v>790</v>
      </c>
      <c r="C634" s="924" t="s">
        <v>1169</v>
      </c>
      <c r="D634" s="924" t="s">
        <v>1163</v>
      </c>
      <c r="E634" s="924" t="s">
        <v>856</v>
      </c>
      <c r="F634" s="924" t="s">
        <v>1143</v>
      </c>
      <c r="G634" s="924" t="s">
        <v>981</v>
      </c>
      <c r="H634" s="924" t="s">
        <v>835</v>
      </c>
      <c r="I634" s="924" t="s">
        <v>1040</v>
      </c>
      <c r="J634" s="924" t="s">
        <v>940</v>
      </c>
      <c r="K634" s="924" t="s">
        <v>1084</v>
      </c>
      <c r="L634" s="925">
        <v>413.44020104408298</v>
      </c>
      <c r="M634" s="925">
        <v>0.30243458808399698</v>
      </c>
    </row>
    <row r="635" spans="1:13" ht="11.25" customHeight="1" x14ac:dyDescent="0.2">
      <c r="A635" s="924" t="s">
        <v>853</v>
      </c>
      <c r="B635" s="924" t="s">
        <v>790</v>
      </c>
      <c r="C635" s="924" t="s">
        <v>1169</v>
      </c>
      <c r="D635" s="924" t="s">
        <v>1163</v>
      </c>
      <c r="E635" s="924" t="s">
        <v>856</v>
      </c>
      <c r="F635" s="924" t="s">
        <v>1144</v>
      </c>
      <c r="G635" s="924" t="s">
        <v>981</v>
      </c>
      <c r="H635" s="924" t="s">
        <v>835</v>
      </c>
      <c r="I635" s="924" t="s">
        <v>1040</v>
      </c>
      <c r="J635" s="924" t="s">
        <v>940</v>
      </c>
      <c r="K635" s="924" t="s">
        <v>1070</v>
      </c>
      <c r="L635" s="925">
        <v>2958.60206413269</v>
      </c>
      <c r="M635" s="925">
        <v>2.0607106313109398</v>
      </c>
    </row>
    <row r="636" spans="1:13" ht="11.25" customHeight="1" x14ac:dyDescent="0.2">
      <c r="A636" s="924" t="s">
        <v>853</v>
      </c>
      <c r="B636" s="924" t="s">
        <v>790</v>
      </c>
      <c r="C636" s="924" t="s">
        <v>1169</v>
      </c>
      <c r="D636" s="924" t="s">
        <v>1163</v>
      </c>
      <c r="E636" s="924" t="s">
        <v>856</v>
      </c>
      <c r="F636" s="924" t="s">
        <v>1149</v>
      </c>
      <c r="G636" s="924" t="s">
        <v>981</v>
      </c>
      <c r="H636" s="924" t="s">
        <v>835</v>
      </c>
      <c r="I636" s="924" t="s">
        <v>1040</v>
      </c>
      <c r="J636" s="924" t="s">
        <v>940</v>
      </c>
      <c r="K636" s="924" t="s">
        <v>1091</v>
      </c>
      <c r="L636" s="925">
        <v>26.643258333206202</v>
      </c>
      <c r="M636" s="925">
        <v>1.8609694117912998E-2</v>
      </c>
    </row>
    <row r="637" spans="1:13" ht="11.25" customHeight="1" x14ac:dyDescent="0.2">
      <c r="A637" s="924" t="s">
        <v>853</v>
      </c>
      <c r="B637" s="924" t="s">
        <v>790</v>
      </c>
      <c r="C637" s="924" t="s">
        <v>1169</v>
      </c>
      <c r="D637" s="924" t="s">
        <v>1163</v>
      </c>
      <c r="E637" s="924" t="s">
        <v>856</v>
      </c>
      <c r="F637" s="924" t="s">
        <v>1160</v>
      </c>
      <c r="G637" s="924" t="s">
        <v>981</v>
      </c>
      <c r="H637" s="924" t="s">
        <v>835</v>
      </c>
      <c r="I637" s="924" t="s">
        <v>1040</v>
      </c>
      <c r="J637" s="924" t="s">
        <v>940</v>
      </c>
      <c r="K637" s="924" t="s">
        <v>1093</v>
      </c>
      <c r="L637" s="925">
        <v>115.262903988361</v>
      </c>
      <c r="M637" s="925">
        <v>8.1319322489434895E-2</v>
      </c>
    </row>
    <row r="638" spans="1:13" ht="11.25" customHeight="1" x14ac:dyDescent="0.2">
      <c r="A638" s="924" t="s">
        <v>853</v>
      </c>
      <c r="B638" s="924" t="s">
        <v>790</v>
      </c>
      <c r="C638" s="924" t="s">
        <v>1169</v>
      </c>
      <c r="D638" s="924" t="s">
        <v>1163</v>
      </c>
      <c r="E638" s="924" t="s">
        <v>856</v>
      </c>
      <c r="F638" s="924" t="s">
        <v>1159</v>
      </c>
      <c r="G638" s="924" t="s">
        <v>981</v>
      </c>
      <c r="H638" s="924" t="s">
        <v>835</v>
      </c>
      <c r="I638" s="924" t="s">
        <v>1040</v>
      </c>
      <c r="J638" s="924" t="s">
        <v>940</v>
      </c>
      <c r="K638" s="924" t="s">
        <v>1095</v>
      </c>
      <c r="L638" s="925">
        <v>50.827512055635502</v>
      </c>
      <c r="M638" s="925">
        <v>3.55079396977089E-2</v>
      </c>
    </row>
    <row r="639" spans="1:13" ht="11.25" customHeight="1" x14ac:dyDescent="0.2">
      <c r="A639" s="924" t="s">
        <v>853</v>
      </c>
      <c r="B639" s="924" t="s">
        <v>790</v>
      </c>
      <c r="C639" s="924" t="s">
        <v>1169</v>
      </c>
      <c r="D639" s="924" t="s">
        <v>1163</v>
      </c>
      <c r="E639" s="924" t="s">
        <v>856</v>
      </c>
      <c r="F639" s="924" t="s">
        <v>1158</v>
      </c>
      <c r="G639" s="924" t="s">
        <v>981</v>
      </c>
      <c r="H639" s="924" t="s">
        <v>835</v>
      </c>
      <c r="I639" s="924" t="s">
        <v>1040</v>
      </c>
      <c r="J639" s="924" t="s">
        <v>940</v>
      </c>
      <c r="K639" s="924" t="s">
        <v>1023</v>
      </c>
      <c r="L639" s="925">
        <v>4722.6664142608597</v>
      </c>
      <c r="M639" s="925">
        <v>2.71436853578416</v>
      </c>
    </row>
    <row r="640" spans="1:13" ht="11.25" customHeight="1" x14ac:dyDescent="0.2">
      <c r="A640" s="924" t="s">
        <v>853</v>
      </c>
      <c r="B640" s="924" t="s">
        <v>790</v>
      </c>
      <c r="C640" s="924" t="s">
        <v>1169</v>
      </c>
      <c r="D640" s="924" t="s">
        <v>1163</v>
      </c>
      <c r="E640" s="924" t="s">
        <v>856</v>
      </c>
      <c r="F640" s="924" t="s">
        <v>1157</v>
      </c>
      <c r="G640" s="924" t="s">
        <v>981</v>
      </c>
      <c r="H640" s="924" t="s">
        <v>835</v>
      </c>
      <c r="I640" s="924" t="s">
        <v>1040</v>
      </c>
      <c r="J640" s="924" t="s">
        <v>940</v>
      </c>
      <c r="K640" s="924" t="s">
        <v>1098</v>
      </c>
      <c r="L640" s="925">
        <v>547.29528808593795</v>
      </c>
      <c r="M640" s="925">
        <v>1.02959408983588</v>
      </c>
    </row>
    <row r="641" spans="1:13" ht="11.25" customHeight="1" x14ac:dyDescent="0.2">
      <c r="A641" s="924" t="s">
        <v>853</v>
      </c>
      <c r="B641" s="924" t="s">
        <v>790</v>
      </c>
      <c r="C641" s="924" t="s">
        <v>1169</v>
      </c>
      <c r="D641" s="924" t="s">
        <v>1163</v>
      </c>
      <c r="E641" s="924" t="s">
        <v>856</v>
      </c>
      <c r="F641" s="924" t="s">
        <v>1156</v>
      </c>
      <c r="G641" s="924" t="s">
        <v>981</v>
      </c>
      <c r="H641" s="924" t="s">
        <v>835</v>
      </c>
      <c r="I641" s="924" t="s">
        <v>1040</v>
      </c>
      <c r="J641" s="924" t="s">
        <v>940</v>
      </c>
      <c r="K641" s="924" t="s">
        <v>1025</v>
      </c>
      <c r="L641" s="925">
        <v>1892.1630401611301</v>
      </c>
      <c r="M641" s="925">
        <v>3.5549683701246999</v>
      </c>
    </row>
    <row r="642" spans="1:13" ht="11.25" customHeight="1" x14ac:dyDescent="0.2">
      <c r="A642" s="924" t="s">
        <v>853</v>
      </c>
      <c r="B642" s="924" t="s">
        <v>790</v>
      </c>
      <c r="C642" s="924" t="s">
        <v>1169</v>
      </c>
      <c r="D642" s="924" t="s">
        <v>1163</v>
      </c>
      <c r="E642" s="924" t="s">
        <v>856</v>
      </c>
      <c r="F642" s="924" t="s">
        <v>1116</v>
      </c>
      <c r="G642" s="924" t="s">
        <v>981</v>
      </c>
      <c r="H642" s="924" t="s">
        <v>835</v>
      </c>
      <c r="I642" s="924" t="s">
        <v>1040</v>
      </c>
      <c r="J642" s="924" t="s">
        <v>940</v>
      </c>
      <c r="K642" s="924" t="s">
        <v>1032</v>
      </c>
      <c r="L642" s="925">
        <v>27735.713226318399</v>
      </c>
      <c r="M642" s="925">
        <v>17.483111172914501</v>
      </c>
    </row>
    <row r="643" spans="1:13" ht="11.25" customHeight="1" x14ac:dyDescent="0.2">
      <c r="A643" s="924" t="s">
        <v>853</v>
      </c>
      <c r="B643" s="924" t="s">
        <v>790</v>
      </c>
      <c r="C643" s="924" t="s">
        <v>1169</v>
      </c>
      <c r="D643" s="924" t="s">
        <v>1163</v>
      </c>
      <c r="E643" s="924" t="s">
        <v>856</v>
      </c>
      <c r="F643" s="924" t="s">
        <v>1154</v>
      </c>
      <c r="G643" s="924" t="s">
        <v>981</v>
      </c>
      <c r="H643" s="924" t="s">
        <v>835</v>
      </c>
      <c r="I643" s="924" t="s">
        <v>1040</v>
      </c>
      <c r="J643" s="924" t="s">
        <v>940</v>
      </c>
      <c r="K643" s="924" t="s">
        <v>1155</v>
      </c>
      <c r="L643" s="925">
        <v>971.54798603057895</v>
      </c>
      <c r="M643" s="925">
        <v>0.62641637388895799</v>
      </c>
    </row>
    <row r="644" spans="1:13" ht="11.25" customHeight="1" x14ac:dyDescent="0.2">
      <c r="A644" s="924" t="s">
        <v>853</v>
      </c>
      <c r="B644" s="924" t="s">
        <v>790</v>
      </c>
      <c r="C644" s="924" t="s">
        <v>1169</v>
      </c>
      <c r="D644" s="924" t="s">
        <v>1163</v>
      </c>
      <c r="E644" s="924" t="s">
        <v>856</v>
      </c>
      <c r="F644" s="924" t="s">
        <v>1136</v>
      </c>
      <c r="G644" s="924" t="s">
        <v>981</v>
      </c>
      <c r="H644" s="924" t="s">
        <v>835</v>
      </c>
      <c r="I644" s="924" t="s">
        <v>1040</v>
      </c>
      <c r="J644" s="924" t="s">
        <v>863</v>
      </c>
      <c r="K644" s="924" t="s">
        <v>864</v>
      </c>
      <c r="L644" s="925">
        <v>951.95486259460404</v>
      </c>
      <c r="M644" s="925">
        <v>0.71318416483700298</v>
      </c>
    </row>
    <row r="645" spans="1:13" ht="11.25" customHeight="1" x14ac:dyDescent="0.2">
      <c r="A645" s="924" t="s">
        <v>853</v>
      </c>
      <c r="B645" s="924" t="s">
        <v>790</v>
      </c>
      <c r="C645" s="924" t="s">
        <v>1169</v>
      </c>
      <c r="D645" s="924" t="s">
        <v>1163</v>
      </c>
      <c r="E645" s="924" t="s">
        <v>856</v>
      </c>
      <c r="F645" s="924" t="s">
        <v>1105</v>
      </c>
      <c r="G645" s="924" t="s">
        <v>981</v>
      </c>
      <c r="H645" s="924" t="s">
        <v>835</v>
      </c>
      <c r="I645" s="924" t="s">
        <v>1040</v>
      </c>
      <c r="J645" s="924" t="s">
        <v>940</v>
      </c>
      <c r="K645" s="924" t="s">
        <v>1106</v>
      </c>
      <c r="L645" s="925">
        <v>462.99645757675199</v>
      </c>
      <c r="M645" s="925">
        <v>0.339352138505774</v>
      </c>
    </row>
    <row r="646" spans="1:13" ht="11.25" customHeight="1" x14ac:dyDescent="0.2">
      <c r="A646" s="924" t="s">
        <v>853</v>
      </c>
      <c r="B646" s="924" t="s">
        <v>790</v>
      </c>
      <c r="C646" s="924" t="s">
        <v>1169</v>
      </c>
      <c r="D646" s="924" t="s">
        <v>1163</v>
      </c>
      <c r="E646" s="924" t="s">
        <v>856</v>
      </c>
      <c r="F646" s="924" t="s">
        <v>1108</v>
      </c>
      <c r="G646" s="924" t="s">
        <v>981</v>
      </c>
      <c r="H646" s="924" t="s">
        <v>835</v>
      </c>
      <c r="I646" s="924" t="s">
        <v>1040</v>
      </c>
      <c r="J646" s="924" t="s">
        <v>870</v>
      </c>
      <c r="K646" s="924" t="s">
        <v>1036</v>
      </c>
      <c r="L646" s="925">
        <v>0.66566186863929</v>
      </c>
      <c r="M646" s="925">
        <v>4.5062159131248298E-4</v>
      </c>
    </row>
    <row r="647" spans="1:13" ht="11.25" customHeight="1" x14ac:dyDescent="0.2">
      <c r="A647" s="924" t="s">
        <v>853</v>
      </c>
      <c r="B647" s="924" t="s">
        <v>790</v>
      </c>
      <c r="C647" s="924" t="s">
        <v>1169</v>
      </c>
      <c r="D647" s="924" t="s">
        <v>1163</v>
      </c>
      <c r="E647" s="924" t="s">
        <v>856</v>
      </c>
      <c r="F647" s="924" t="s">
        <v>1132</v>
      </c>
      <c r="G647" s="924" t="s">
        <v>981</v>
      </c>
      <c r="H647" s="924" t="s">
        <v>835</v>
      </c>
      <c r="I647" s="924" t="s">
        <v>1040</v>
      </c>
      <c r="J647" s="924" t="s">
        <v>940</v>
      </c>
      <c r="K647" s="924" t="s">
        <v>941</v>
      </c>
      <c r="L647" s="925">
        <v>1433.7386817932099</v>
      </c>
      <c r="M647" s="925">
        <v>0.62601601588539801</v>
      </c>
    </row>
    <row r="648" spans="1:13" ht="11.25" customHeight="1" x14ac:dyDescent="0.2">
      <c r="A648" s="924" t="s">
        <v>853</v>
      </c>
      <c r="B648" s="924" t="s">
        <v>790</v>
      </c>
      <c r="C648" s="924" t="s">
        <v>1169</v>
      </c>
      <c r="D648" s="924" t="s">
        <v>1163</v>
      </c>
      <c r="E648" s="924" t="s">
        <v>856</v>
      </c>
      <c r="F648" s="924" t="s">
        <v>1145</v>
      </c>
      <c r="G648" s="924" t="s">
        <v>981</v>
      </c>
      <c r="H648" s="924" t="s">
        <v>835</v>
      </c>
      <c r="I648" s="924" t="s">
        <v>1040</v>
      </c>
      <c r="J648" s="924" t="s">
        <v>940</v>
      </c>
      <c r="K648" s="924" t="s">
        <v>1029</v>
      </c>
      <c r="L648" s="925">
        <v>8592.2731246948206</v>
      </c>
      <c r="M648" s="925">
        <v>5.6488444246351701</v>
      </c>
    </row>
    <row r="649" spans="1:13" ht="11.25" customHeight="1" x14ac:dyDescent="0.2">
      <c r="A649" s="924" t="s">
        <v>853</v>
      </c>
      <c r="B649" s="924" t="s">
        <v>790</v>
      </c>
      <c r="C649" s="924" t="s">
        <v>1169</v>
      </c>
      <c r="D649" s="924" t="s">
        <v>1163</v>
      </c>
      <c r="E649" s="924" t="s">
        <v>856</v>
      </c>
      <c r="F649" s="924" t="s">
        <v>1146</v>
      </c>
      <c r="G649" s="924" t="s">
        <v>981</v>
      </c>
      <c r="H649" s="924" t="s">
        <v>835</v>
      </c>
      <c r="I649" s="924" t="s">
        <v>1040</v>
      </c>
      <c r="J649" s="924" t="s">
        <v>940</v>
      </c>
      <c r="K649" s="924" t="s">
        <v>1147</v>
      </c>
      <c r="L649" s="925">
        <v>13023.765136718799</v>
      </c>
      <c r="M649" s="925">
        <v>8.3826655000448191</v>
      </c>
    </row>
    <row r="650" spans="1:13" ht="11.25" customHeight="1" x14ac:dyDescent="0.2">
      <c r="A650" s="924" t="s">
        <v>853</v>
      </c>
      <c r="B650" s="924" t="s">
        <v>790</v>
      </c>
      <c r="C650" s="924" t="s">
        <v>1169</v>
      </c>
      <c r="D650" s="924" t="s">
        <v>1163</v>
      </c>
      <c r="E650" s="924" t="s">
        <v>856</v>
      </c>
      <c r="F650" s="924" t="s">
        <v>1150</v>
      </c>
      <c r="G650" s="924" t="s">
        <v>981</v>
      </c>
      <c r="H650" s="924" t="s">
        <v>835</v>
      </c>
      <c r="I650" s="924" t="s">
        <v>1040</v>
      </c>
      <c r="J650" s="924" t="s">
        <v>940</v>
      </c>
      <c r="K650" s="924" t="s">
        <v>1151</v>
      </c>
      <c r="L650" s="925">
        <v>340.81825423240701</v>
      </c>
      <c r="M650" s="925">
        <v>0.23994056135416</v>
      </c>
    </row>
    <row r="651" spans="1:13" ht="11.25" customHeight="1" x14ac:dyDescent="0.2">
      <c r="A651" s="924" t="s">
        <v>853</v>
      </c>
      <c r="B651" s="924" t="s">
        <v>790</v>
      </c>
      <c r="C651" s="924" t="s">
        <v>1169</v>
      </c>
      <c r="D651" s="924" t="s">
        <v>1163</v>
      </c>
      <c r="E651" s="924" t="s">
        <v>856</v>
      </c>
      <c r="F651" s="924" t="s">
        <v>1161</v>
      </c>
      <c r="G651" s="924" t="s">
        <v>981</v>
      </c>
      <c r="H651" s="924" t="s">
        <v>835</v>
      </c>
      <c r="I651" s="924" t="s">
        <v>1040</v>
      </c>
      <c r="J651" s="924" t="s">
        <v>940</v>
      </c>
      <c r="K651" s="924" t="s">
        <v>1027</v>
      </c>
      <c r="L651" s="925">
        <v>714.17049241066002</v>
      </c>
      <c r="M651" s="925">
        <v>0.49364850275514999</v>
      </c>
    </row>
    <row r="652" spans="1:13" ht="11.25" customHeight="1" x14ac:dyDescent="0.2">
      <c r="A652" s="924" t="s">
        <v>853</v>
      </c>
      <c r="B652" s="924" t="s">
        <v>790</v>
      </c>
      <c r="C652" s="924" t="s">
        <v>1169</v>
      </c>
      <c r="D652" s="924" t="s">
        <v>1163</v>
      </c>
      <c r="E652" s="924" t="s">
        <v>856</v>
      </c>
      <c r="F652" s="924" t="s">
        <v>1152</v>
      </c>
      <c r="G652" s="924" t="s">
        <v>981</v>
      </c>
      <c r="H652" s="924" t="s">
        <v>835</v>
      </c>
      <c r="I652" s="924" t="s">
        <v>1040</v>
      </c>
      <c r="J652" s="924" t="s">
        <v>940</v>
      </c>
      <c r="K652" s="924" t="s">
        <v>1153</v>
      </c>
      <c r="L652" s="925">
        <v>632.24778509140003</v>
      </c>
      <c r="M652" s="925">
        <v>0.415747651597485</v>
      </c>
    </row>
    <row r="653" spans="1:13" ht="11.25" customHeight="1" x14ac:dyDescent="0.2">
      <c r="A653" s="924" t="s">
        <v>853</v>
      </c>
      <c r="B653" s="924" t="s">
        <v>790</v>
      </c>
      <c r="C653" s="924" t="s">
        <v>1169</v>
      </c>
      <c r="D653" s="924" t="s">
        <v>1163</v>
      </c>
      <c r="E653" s="924" t="s">
        <v>856</v>
      </c>
      <c r="F653" s="924" t="s">
        <v>1107</v>
      </c>
      <c r="G653" s="924" t="s">
        <v>981</v>
      </c>
      <c r="H653" s="924" t="s">
        <v>835</v>
      </c>
      <c r="I653" s="924" t="s">
        <v>1040</v>
      </c>
      <c r="J653" s="924" t="s">
        <v>940</v>
      </c>
      <c r="K653" s="924" t="s">
        <v>1034</v>
      </c>
      <c r="L653" s="925">
        <v>852.57815861701999</v>
      </c>
      <c r="M653" s="925">
        <v>0.619994963419913</v>
      </c>
    </row>
    <row r="654" spans="1:13" ht="11.25" customHeight="1" x14ac:dyDescent="0.2">
      <c r="A654" s="924" t="s">
        <v>853</v>
      </c>
      <c r="B654" s="924" t="s">
        <v>811</v>
      </c>
      <c r="C654" s="924" t="s">
        <v>1174</v>
      </c>
      <c r="D654" s="924" t="s">
        <v>1163</v>
      </c>
      <c r="E654" s="924" t="s">
        <v>856</v>
      </c>
      <c r="F654" s="924" t="s">
        <v>877</v>
      </c>
      <c r="G654" s="924" t="s">
        <v>862</v>
      </c>
      <c r="H654" s="924" t="s">
        <v>665</v>
      </c>
      <c r="I654" s="924" t="s">
        <v>787</v>
      </c>
      <c r="J654" s="924" t="s">
        <v>875</v>
      </c>
      <c r="K654" s="924" t="s">
        <v>878</v>
      </c>
      <c r="L654" s="925">
        <v>8.2371568530797994</v>
      </c>
      <c r="M654" s="925">
        <v>0.134946888283594</v>
      </c>
    </row>
    <row r="655" spans="1:13" ht="11.25" customHeight="1" x14ac:dyDescent="0.2">
      <c r="A655" s="924" t="s">
        <v>853</v>
      </c>
      <c r="B655" s="924" t="s">
        <v>811</v>
      </c>
      <c r="C655" s="924" t="s">
        <v>1174</v>
      </c>
      <c r="D655" s="924" t="s">
        <v>1163</v>
      </c>
      <c r="E655" s="924" t="s">
        <v>856</v>
      </c>
      <c r="F655" s="924" t="s">
        <v>861</v>
      </c>
      <c r="G655" s="924" t="s">
        <v>862</v>
      </c>
      <c r="H655" s="924" t="s">
        <v>665</v>
      </c>
      <c r="I655" s="924" t="s">
        <v>787</v>
      </c>
      <c r="J655" s="924" t="s">
        <v>863</v>
      </c>
      <c r="K655" s="924" t="s">
        <v>864</v>
      </c>
      <c r="L655" s="925">
        <v>0.72312083188444398</v>
      </c>
      <c r="M655" s="925">
        <v>2.9711655843129799E-3</v>
      </c>
    </row>
    <row r="656" spans="1:13" ht="11.25" customHeight="1" x14ac:dyDescent="0.2">
      <c r="A656" s="924" t="s">
        <v>853</v>
      </c>
      <c r="B656" s="924" t="s">
        <v>811</v>
      </c>
      <c r="C656" s="924" t="s">
        <v>1174</v>
      </c>
      <c r="D656" s="924" t="s">
        <v>1163</v>
      </c>
      <c r="E656" s="924" t="s">
        <v>856</v>
      </c>
      <c r="F656" s="924" t="s">
        <v>865</v>
      </c>
      <c r="G656" s="924" t="s">
        <v>862</v>
      </c>
      <c r="H656" s="924" t="s">
        <v>665</v>
      </c>
      <c r="I656" s="924" t="s">
        <v>787</v>
      </c>
      <c r="J656" s="924" t="s">
        <v>863</v>
      </c>
      <c r="K656" s="924" t="s">
        <v>866</v>
      </c>
      <c r="L656" s="925">
        <v>4.9102371484041196</v>
      </c>
      <c r="M656" s="925">
        <v>2.36898348102841E-2</v>
      </c>
    </row>
    <row r="657" spans="1:13" ht="11.25" customHeight="1" x14ac:dyDescent="0.2">
      <c r="A657" s="924" t="s">
        <v>853</v>
      </c>
      <c r="B657" s="924" t="s">
        <v>811</v>
      </c>
      <c r="C657" s="924" t="s">
        <v>1174</v>
      </c>
      <c r="D657" s="924" t="s">
        <v>1163</v>
      </c>
      <c r="E657" s="924" t="s">
        <v>856</v>
      </c>
      <c r="F657" s="924" t="s">
        <v>867</v>
      </c>
      <c r="G657" s="924" t="s">
        <v>862</v>
      </c>
      <c r="H657" s="924" t="s">
        <v>665</v>
      </c>
      <c r="I657" s="924" t="s">
        <v>787</v>
      </c>
      <c r="J657" s="924" t="s">
        <v>863</v>
      </c>
      <c r="K657" s="924" t="s">
        <v>868</v>
      </c>
      <c r="L657" s="925">
        <v>8.8438758999109304</v>
      </c>
      <c r="M657" s="925">
        <v>3.6183974007144598E-2</v>
      </c>
    </row>
    <row r="658" spans="1:13" ht="11.25" customHeight="1" x14ac:dyDescent="0.2">
      <c r="A658" s="924" t="s">
        <v>853</v>
      </c>
      <c r="B658" s="924" t="s">
        <v>811</v>
      </c>
      <c r="C658" s="924" t="s">
        <v>1174</v>
      </c>
      <c r="D658" s="924" t="s">
        <v>1163</v>
      </c>
      <c r="E658" s="924" t="s">
        <v>856</v>
      </c>
      <c r="F658" s="924" t="s">
        <v>874</v>
      </c>
      <c r="G658" s="924" t="s">
        <v>862</v>
      </c>
      <c r="H658" s="924" t="s">
        <v>665</v>
      </c>
      <c r="I658" s="924" t="s">
        <v>787</v>
      </c>
      <c r="J658" s="924" t="s">
        <v>875</v>
      </c>
      <c r="K658" s="924" t="s">
        <v>876</v>
      </c>
      <c r="L658" s="925">
        <v>172.20264148712201</v>
      </c>
      <c r="M658" s="925">
        <v>5.2381692659109804</v>
      </c>
    </row>
    <row r="659" spans="1:13" ht="11.25" customHeight="1" x14ac:dyDescent="0.2">
      <c r="A659" s="924" t="s">
        <v>853</v>
      </c>
      <c r="B659" s="924" t="s">
        <v>811</v>
      </c>
      <c r="C659" s="924" t="s">
        <v>1174</v>
      </c>
      <c r="D659" s="924" t="s">
        <v>1163</v>
      </c>
      <c r="E659" s="924" t="s">
        <v>856</v>
      </c>
      <c r="F659" s="924" t="s">
        <v>879</v>
      </c>
      <c r="G659" s="924" t="s">
        <v>862</v>
      </c>
      <c r="H659" s="924" t="s">
        <v>665</v>
      </c>
      <c r="I659" s="924" t="s">
        <v>787</v>
      </c>
      <c r="J659" s="924" t="s">
        <v>875</v>
      </c>
      <c r="K659" s="924" t="s">
        <v>880</v>
      </c>
      <c r="L659" s="925">
        <v>12.1494540721178</v>
      </c>
      <c r="M659" s="925">
        <v>6.8350527901202399E-2</v>
      </c>
    </row>
    <row r="660" spans="1:13" ht="11.25" customHeight="1" x14ac:dyDescent="0.2">
      <c r="A660" s="924" t="s">
        <v>853</v>
      </c>
      <c r="B660" s="924" t="s">
        <v>811</v>
      </c>
      <c r="C660" s="924" t="s">
        <v>1174</v>
      </c>
      <c r="D660" s="924" t="s">
        <v>1163</v>
      </c>
      <c r="E660" s="924" t="s">
        <v>856</v>
      </c>
      <c r="F660" s="924" t="s">
        <v>881</v>
      </c>
      <c r="G660" s="924" t="s">
        <v>862</v>
      </c>
      <c r="H660" s="924" t="s">
        <v>665</v>
      </c>
      <c r="I660" s="924" t="s">
        <v>787</v>
      </c>
      <c r="J660" s="924" t="s">
        <v>875</v>
      </c>
      <c r="K660" s="924" t="s">
        <v>882</v>
      </c>
      <c r="L660" s="925">
        <v>432.40580558776901</v>
      </c>
      <c r="M660" s="925">
        <v>2.0662996321916598</v>
      </c>
    </row>
    <row r="661" spans="1:13" ht="11.25" customHeight="1" x14ac:dyDescent="0.2">
      <c r="A661" s="924" t="s">
        <v>853</v>
      </c>
      <c r="B661" s="924" t="s">
        <v>811</v>
      </c>
      <c r="C661" s="924" t="s">
        <v>1174</v>
      </c>
      <c r="D661" s="924" t="s">
        <v>1163</v>
      </c>
      <c r="E661" s="924" t="s">
        <v>856</v>
      </c>
      <c r="F661" s="924" t="s">
        <v>1170</v>
      </c>
      <c r="G661" s="924" t="s">
        <v>862</v>
      </c>
      <c r="H661" s="924" t="s">
        <v>665</v>
      </c>
      <c r="I661" s="924" t="s">
        <v>787</v>
      </c>
      <c r="J661" s="924" t="s">
        <v>863</v>
      </c>
      <c r="K661" s="924" t="s">
        <v>1171</v>
      </c>
      <c r="L661" s="925">
        <v>7.9815600812435203</v>
      </c>
      <c r="M661" s="925">
        <v>3.4847707836888703E-2</v>
      </c>
    </row>
    <row r="662" spans="1:13" ht="11.25" customHeight="1" x14ac:dyDescent="0.2">
      <c r="A662" s="924" t="s">
        <v>853</v>
      </c>
      <c r="B662" s="924" t="s">
        <v>811</v>
      </c>
      <c r="C662" s="924" t="s">
        <v>1174</v>
      </c>
      <c r="D662" s="924" t="s">
        <v>1163</v>
      </c>
      <c r="E662" s="924" t="s">
        <v>856</v>
      </c>
      <c r="F662" s="924" t="s">
        <v>934</v>
      </c>
      <c r="G662" s="924" t="s">
        <v>862</v>
      </c>
      <c r="H662" s="924" t="s">
        <v>665</v>
      </c>
      <c r="I662" s="924" t="s">
        <v>787</v>
      </c>
      <c r="J662" s="924" t="s">
        <v>863</v>
      </c>
      <c r="K662" s="924" t="s">
        <v>935</v>
      </c>
      <c r="L662" s="925">
        <v>1.32688214629889</v>
      </c>
      <c r="M662" s="925">
        <v>5.5777544475858996E-3</v>
      </c>
    </row>
    <row r="663" spans="1:13" ht="11.25" customHeight="1" x14ac:dyDescent="0.2">
      <c r="A663" s="924" t="s">
        <v>853</v>
      </c>
      <c r="B663" s="924" t="s">
        <v>811</v>
      </c>
      <c r="C663" s="924" t="s">
        <v>1174</v>
      </c>
      <c r="D663" s="924" t="s">
        <v>1163</v>
      </c>
      <c r="E663" s="924" t="s">
        <v>856</v>
      </c>
      <c r="F663" s="924" t="s">
        <v>1014</v>
      </c>
      <c r="G663" s="924" t="s">
        <v>858</v>
      </c>
      <c r="H663" s="924" t="s">
        <v>836</v>
      </c>
      <c r="I663" s="924" t="s">
        <v>837</v>
      </c>
      <c r="J663" s="924" t="s">
        <v>863</v>
      </c>
      <c r="K663" s="924" t="s">
        <v>933</v>
      </c>
      <c r="L663" s="925">
        <v>6073.5449829101599</v>
      </c>
      <c r="M663" s="925">
        <v>4.2997936527172001E-2</v>
      </c>
    </row>
    <row r="664" spans="1:13" ht="11.25" customHeight="1" x14ac:dyDescent="0.2">
      <c r="A664" s="924" t="s">
        <v>853</v>
      </c>
      <c r="B664" s="924" t="s">
        <v>811</v>
      </c>
      <c r="C664" s="924" t="s">
        <v>1174</v>
      </c>
      <c r="D664" s="924" t="s">
        <v>1163</v>
      </c>
      <c r="E664" s="924" t="s">
        <v>856</v>
      </c>
      <c r="F664" s="924" t="s">
        <v>944</v>
      </c>
      <c r="G664" s="924" t="s">
        <v>911</v>
      </c>
      <c r="H664" s="924" t="s">
        <v>665</v>
      </c>
      <c r="I664" s="924" t="s">
        <v>706</v>
      </c>
      <c r="J664" s="924" t="s">
        <v>875</v>
      </c>
      <c r="K664" s="924" t="s">
        <v>876</v>
      </c>
      <c r="L664" s="925">
        <v>563.32062053680397</v>
      </c>
      <c r="M664" s="925">
        <v>0.17810242128325601</v>
      </c>
    </row>
    <row r="665" spans="1:13" ht="11.25" customHeight="1" x14ac:dyDescent="0.2">
      <c r="A665" s="924" t="s">
        <v>853</v>
      </c>
      <c r="B665" s="924" t="s">
        <v>811</v>
      </c>
      <c r="C665" s="924" t="s">
        <v>1174</v>
      </c>
      <c r="D665" s="924" t="s">
        <v>1163</v>
      </c>
      <c r="E665" s="924" t="s">
        <v>856</v>
      </c>
      <c r="F665" s="924" t="s">
        <v>1038</v>
      </c>
      <c r="G665" s="924" t="s">
        <v>858</v>
      </c>
      <c r="H665" s="924" t="s">
        <v>836</v>
      </c>
      <c r="I665" s="924" t="s">
        <v>837</v>
      </c>
      <c r="J665" s="924" t="s">
        <v>863</v>
      </c>
      <c r="K665" s="924" t="s">
        <v>935</v>
      </c>
      <c r="L665" s="925">
        <v>2653.0286521911598</v>
      </c>
      <c r="M665" s="925">
        <v>2.8713350579437202E-2</v>
      </c>
    </row>
    <row r="666" spans="1:13" ht="11.25" customHeight="1" x14ac:dyDescent="0.2">
      <c r="A666" s="924" t="s">
        <v>853</v>
      </c>
      <c r="B666" s="924" t="s">
        <v>811</v>
      </c>
      <c r="C666" s="924" t="s">
        <v>1174</v>
      </c>
      <c r="D666" s="924" t="s">
        <v>1163</v>
      </c>
      <c r="E666" s="924" t="s">
        <v>856</v>
      </c>
      <c r="F666" s="924" t="s">
        <v>1013</v>
      </c>
      <c r="G666" s="924" t="s">
        <v>858</v>
      </c>
      <c r="H666" s="924" t="s">
        <v>836</v>
      </c>
      <c r="I666" s="924" t="s">
        <v>837</v>
      </c>
      <c r="J666" s="924" t="s">
        <v>863</v>
      </c>
      <c r="K666" s="924" t="s">
        <v>931</v>
      </c>
      <c r="L666" s="925">
        <v>419.23649454116799</v>
      </c>
      <c r="M666" s="925">
        <v>1.53246082566056E-2</v>
      </c>
    </row>
    <row r="667" spans="1:13" ht="11.25" customHeight="1" x14ac:dyDescent="0.2">
      <c r="A667" s="924" t="s">
        <v>853</v>
      </c>
      <c r="B667" s="924" t="s">
        <v>811</v>
      </c>
      <c r="C667" s="924" t="s">
        <v>1174</v>
      </c>
      <c r="D667" s="924" t="s">
        <v>1163</v>
      </c>
      <c r="E667" s="924" t="s">
        <v>856</v>
      </c>
      <c r="F667" s="924" t="s">
        <v>937</v>
      </c>
      <c r="G667" s="924" t="s">
        <v>862</v>
      </c>
      <c r="H667" s="924" t="s">
        <v>665</v>
      </c>
      <c r="I667" s="924" t="s">
        <v>787</v>
      </c>
      <c r="J667" s="924" t="s">
        <v>863</v>
      </c>
      <c r="K667" s="924" t="s">
        <v>933</v>
      </c>
      <c r="L667" s="925">
        <v>1566.0085887908899</v>
      </c>
      <c r="M667" s="925">
        <v>6.6702288985252398</v>
      </c>
    </row>
    <row r="668" spans="1:13" ht="11.25" customHeight="1" x14ac:dyDescent="0.2">
      <c r="A668" s="924" t="s">
        <v>853</v>
      </c>
      <c r="B668" s="924" t="s">
        <v>811</v>
      </c>
      <c r="C668" s="924" t="s">
        <v>1174</v>
      </c>
      <c r="D668" s="924" t="s">
        <v>1163</v>
      </c>
      <c r="E668" s="924" t="s">
        <v>856</v>
      </c>
      <c r="F668" s="924" t="s">
        <v>951</v>
      </c>
      <c r="G668" s="924" t="s">
        <v>911</v>
      </c>
      <c r="H668" s="924" t="s">
        <v>665</v>
      </c>
      <c r="I668" s="924" t="s">
        <v>706</v>
      </c>
      <c r="J668" s="924" t="s">
        <v>875</v>
      </c>
      <c r="K668" s="924" t="s">
        <v>952</v>
      </c>
      <c r="L668" s="925">
        <v>2.2620800025761101</v>
      </c>
      <c r="M668" s="925">
        <v>1.4065333932933299E-4</v>
      </c>
    </row>
    <row r="669" spans="1:13" ht="11.25" customHeight="1" x14ac:dyDescent="0.2">
      <c r="A669" s="924" t="s">
        <v>853</v>
      </c>
      <c r="B669" s="924" t="s">
        <v>811</v>
      </c>
      <c r="C669" s="924" t="s">
        <v>1174</v>
      </c>
      <c r="D669" s="924" t="s">
        <v>1163</v>
      </c>
      <c r="E669" s="924" t="s">
        <v>856</v>
      </c>
      <c r="F669" s="924" t="s">
        <v>949</v>
      </c>
      <c r="G669" s="924" t="s">
        <v>911</v>
      </c>
      <c r="H669" s="924" t="s">
        <v>665</v>
      </c>
      <c r="I669" s="924" t="s">
        <v>706</v>
      </c>
      <c r="J669" s="924" t="s">
        <v>875</v>
      </c>
      <c r="K669" s="924" t="s">
        <v>950</v>
      </c>
      <c r="L669" s="925">
        <v>2.45083012804389</v>
      </c>
      <c r="M669" s="925">
        <v>5.2565976375262803E-4</v>
      </c>
    </row>
    <row r="670" spans="1:13" ht="11.25" customHeight="1" x14ac:dyDescent="0.2">
      <c r="A670" s="924" t="s">
        <v>853</v>
      </c>
      <c r="B670" s="924" t="s">
        <v>811</v>
      </c>
      <c r="C670" s="924" t="s">
        <v>1174</v>
      </c>
      <c r="D670" s="924" t="s">
        <v>1163</v>
      </c>
      <c r="E670" s="924" t="s">
        <v>856</v>
      </c>
      <c r="F670" s="924" t="s">
        <v>947</v>
      </c>
      <c r="G670" s="924" t="s">
        <v>911</v>
      </c>
      <c r="H670" s="924" t="s">
        <v>665</v>
      </c>
      <c r="I670" s="924" t="s">
        <v>706</v>
      </c>
      <c r="J670" s="924" t="s">
        <v>875</v>
      </c>
      <c r="K670" s="924" t="s">
        <v>948</v>
      </c>
      <c r="L670" s="925">
        <v>182.77768683433499</v>
      </c>
      <c r="M670" s="925">
        <v>1.39676384442282E-2</v>
      </c>
    </row>
    <row r="671" spans="1:13" ht="11.25" customHeight="1" x14ac:dyDescent="0.2">
      <c r="A671" s="924" t="s">
        <v>853</v>
      </c>
      <c r="B671" s="924" t="s">
        <v>811</v>
      </c>
      <c r="C671" s="924" t="s">
        <v>1174</v>
      </c>
      <c r="D671" s="924" t="s">
        <v>1163</v>
      </c>
      <c r="E671" s="924" t="s">
        <v>856</v>
      </c>
      <c r="F671" s="924" t="s">
        <v>945</v>
      </c>
      <c r="G671" s="924" t="s">
        <v>911</v>
      </c>
      <c r="H671" s="924" t="s">
        <v>665</v>
      </c>
      <c r="I671" s="924" t="s">
        <v>706</v>
      </c>
      <c r="J671" s="924" t="s">
        <v>875</v>
      </c>
      <c r="K671" s="924" t="s">
        <v>878</v>
      </c>
      <c r="L671" s="925">
        <v>124.394102811813</v>
      </c>
      <c r="M671" s="925">
        <v>1.8402849014819402E-2</v>
      </c>
    </row>
    <row r="672" spans="1:13" ht="11.25" customHeight="1" x14ac:dyDescent="0.2">
      <c r="A672" s="924" t="s">
        <v>853</v>
      </c>
      <c r="B672" s="924" t="s">
        <v>811</v>
      </c>
      <c r="C672" s="924" t="s">
        <v>1174</v>
      </c>
      <c r="D672" s="924" t="s">
        <v>1163</v>
      </c>
      <c r="E672" s="924" t="s">
        <v>856</v>
      </c>
      <c r="F672" s="924" t="s">
        <v>939</v>
      </c>
      <c r="G672" s="924" t="s">
        <v>911</v>
      </c>
      <c r="H672" s="924" t="s">
        <v>665</v>
      </c>
      <c r="I672" s="924" t="s">
        <v>706</v>
      </c>
      <c r="J672" s="924" t="s">
        <v>940</v>
      </c>
      <c r="K672" s="924" t="s">
        <v>941</v>
      </c>
      <c r="L672" s="925">
        <v>59.384409070015003</v>
      </c>
      <c r="M672" s="925">
        <v>2.8570411777764102E-3</v>
      </c>
    </row>
    <row r="673" spans="1:13" ht="11.25" customHeight="1" x14ac:dyDescent="0.2">
      <c r="A673" s="924" t="s">
        <v>853</v>
      </c>
      <c r="B673" s="924" t="s">
        <v>811</v>
      </c>
      <c r="C673" s="924" t="s">
        <v>1174</v>
      </c>
      <c r="D673" s="924" t="s">
        <v>1163</v>
      </c>
      <c r="E673" s="924" t="s">
        <v>856</v>
      </c>
      <c r="F673" s="924" t="s">
        <v>938</v>
      </c>
      <c r="G673" s="924" t="s">
        <v>911</v>
      </c>
      <c r="H673" s="924" t="s">
        <v>665</v>
      </c>
      <c r="I673" s="924" t="s">
        <v>706</v>
      </c>
      <c r="J673" s="924" t="s">
        <v>863</v>
      </c>
      <c r="K673" s="924" t="s">
        <v>868</v>
      </c>
      <c r="L673" s="925">
        <v>107.489581942558</v>
      </c>
      <c r="M673" s="925">
        <v>4.96685945108766E-3</v>
      </c>
    </row>
    <row r="674" spans="1:13" ht="11.25" customHeight="1" x14ac:dyDescent="0.2">
      <c r="A674" s="924" t="s">
        <v>853</v>
      </c>
      <c r="B674" s="924" t="s">
        <v>811</v>
      </c>
      <c r="C674" s="924" t="s">
        <v>1174</v>
      </c>
      <c r="D674" s="924" t="s">
        <v>1163</v>
      </c>
      <c r="E674" s="924" t="s">
        <v>856</v>
      </c>
      <c r="F674" s="924" t="s">
        <v>914</v>
      </c>
      <c r="G674" s="924" t="s">
        <v>911</v>
      </c>
      <c r="H674" s="924" t="s">
        <v>665</v>
      </c>
      <c r="I674" s="924" t="s">
        <v>706</v>
      </c>
      <c r="J674" s="924" t="s">
        <v>863</v>
      </c>
      <c r="K674" s="924" t="s">
        <v>915</v>
      </c>
      <c r="L674" s="925">
        <v>13.2613109201193</v>
      </c>
      <c r="M674" s="925">
        <v>1.89222721041915E-3</v>
      </c>
    </row>
    <row r="675" spans="1:13" ht="11.25" customHeight="1" x14ac:dyDescent="0.2">
      <c r="A675" s="924" t="s">
        <v>853</v>
      </c>
      <c r="B675" s="924" t="s">
        <v>811</v>
      </c>
      <c r="C675" s="924" t="s">
        <v>1174</v>
      </c>
      <c r="D675" s="924" t="s">
        <v>1163</v>
      </c>
      <c r="E675" s="924" t="s">
        <v>856</v>
      </c>
      <c r="F675" s="924" t="s">
        <v>936</v>
      </c>
      <c r="G675" s="924" t="s">
        <v>911</v>
      </c>
      <c r="H675" s="924" t="s">
        <v>665</v>
      </c>
      <c r="I675" s="924" t="s">
        <v>706</v>
      </c>
      <c r="J675" s="924" t="s">
        <v>863</v>
      </c>
      <c r="K675" s="924" t="s">
        <v>864</v>
      </c>
      <c r="L675" s="925">
        <v>54.673011958599098</v>
      </c>
      <c r="M675" s="925">
        <v>2.5447270018048602E-3</v>
      </c>
    </row>
    <row r="676" spans="1:13" ht="11.25" customHeight="1" x14ac:dyDescent="0.2">
      <c r="A676" s="924" t="s">
        <v>853</v>
      </c>
      <c r="B676" s="924" t="s">
        <v>811</v>
      </c>
      <c r="C676" s="924" t="s">
        <v>1174</v>
      </c>
      <c r="D676" s="924" t="s">
        <v>1163</v>
      </c>
      <c r="E676" s="924" t="s">
        <v>856</v>
      </c>
      <c r="F676" s="924" t="s">
        <v>1017</v>
      </c>
      <c r="G676" s="924" t="s">
        <v>858</v>
      </c>
      <c r="H676" s="924" t="s">
        <v>836</v>
      </c>
      <c r="I676" s="924" t="s">
        <v>837</v>
      </c>
      <c r="J676" s="924" t="s">
        <v>863</v>
      </c>
      <c r="K676" s="924" t="s">
        <v>864</v>
      </c>
      <c r="L676" s="925">
        <v>2690.5541381835901</v>
      </c>
      <c r="M676" s="925">
        <v>3.6489270312813502E-2</v>
      </c>
    </row>
    <row r="677" spans="1:13" ht="11.25" customHeight="1" x14ac:dyDescent="0.2">
      <c r="A677" s="924" t="s">
        <v>853</v>
      </c>
      <c r="B677" s="924" t="s">
        <v>811</v>
      </c>
      <c r="C677" s="924" t="s">
        <v>1174</v>
      </c>
      <c r="D677" s="924" t="s">
        <v>1163</v>
      </c>
      <c r="E677" s="924" t="s">
        <v>856</v>
      </c>
      <c r="F677" s="924" t="s">
        <v>971</v>
      </c>
      <c r="G677" s="924" t="s">
        <v>858</v>
      </c>
      <c r="H677" s="924" t="s">
        <v>836</v>
      </c>
      <c r="I677" s="924" t="s">
        <v>837</v>
      </c>
      <c r="J677" s="924" t="s">
        <v>875</v>
      </c>
      <c r="K677" s="924" t="s">
        <v>948</v>
      </c>
      <c r="L677" s="925">
        <v>1467.1035728454599</v>
      </c>
      <c r="M677" s="925">
        <v>6.27530880938139E-2</v>
      </c>
    </row>
    <row r="678" spans="1:13" ht="11.25" customHeight="1" x14ac:dyDescent="0.2">
      <c r="A678" s="924" t="s">
        <v>853</v>
      </c>
      <c r="B678" s="924" t="s">
        <v>811</v>
      </c>
      <c r="C678" s="924" t="s">
        <v>1174</v>
      </c>
      <c r="D678" s="924" t="s">
        <v>1163</v>
      </c>
      <c r="E678" s="924" t="s">
        <v>856</v>
      </c>
      <c r="F678" s="924" t="s">
        <v>954</v>
      </c>
      <c r="G678" s="924" t="s">
        <v>911</v>
      </c>
      <c r="H678" s="924" t="s">
        <v>665</v>
      </c>
      <c r="I678" s="924" t="s">
        <v>706</v>
      </c>
      <c r="J678" s="924" t="s">
        <v>863</v>
      </c>
      <c r="K678" s="924" t="s">
        <v>935</v>
      </c>
      <c r="L678" s="925">
        <v>173.332988977432</v>
      </c>
      <c r="M678" s="925">
        <v>8.1839931081049092E-3</v>
      </c>
    </row>
    <row r="679" spans="1:13" ht="11.25" customHeight="1" x14ac:dyDescent="0.2">
      <c r="A679" s="924" t="s">
        <v>853</v>
      </c>
      <c r="B679" s="924" t="s">
        <v>811</v>
      </c>
      <c r="C679" s="924" t="s">
        <v>1174</v>
      </c>
      <c r="D679" s="924" t="s">
        <v>1163</v>
      </c>
      <c r="E679" s="924" t="s">
        <v>856</v>
      </c>
      <c r="F679" s="924" t="s">
        <v>946</v>
      </c>
      <c r="G679" s="924" t="s">
        <v>911</v>
      </c>
      <c r="H679" s="924" t="s">
        <v>665</v>
      </c>
      <c r="I679" s="924" t="s">
        <v>706</v>
      </c>
      <c r="J679" s="924" t="s">
        <v>875</v>
      </c>
      <c r="K679" s="924" t="s">
        <v>880</v>
      </c>
      <c r="L679" s="925">
        <v>147.051953077316</v>
      </c>
      <c r="M679" s="925">
        <v>9.3590963842871099E-3</v>
      </c>
    </row>
    <row r="680" spans="1:13" ht="11.25" customHeight="1" x14ac:dyDescent="0.2">
      <c r="A680" s="924" t="s">
        <v>853</v>
      </c>
      <c r="B680" s="924" t="s">
        <v>811</v>
      </c>
      <c r="C680" s="924" t="s">
        <v>1174</v>
      </c>
      <c r="D680" s="924" t="s">
        <v>1163</v>
      </c>
      <c r="E680" s="924" t="s">
        <v>856</v>
      </c>
      <c r="F680" s="924" t="s">
        <v>970</v>
      </c>
      <c r="G680" s="924" t="s">
        <v>858</v>
      </c>
      <c r="H680" s="924" t="s">
        <v>836</v>
      </c>
      <c r="I680" s="924" t="s">
        <v>837</v>
      </c>
      <c r="J680" s="924" t="s">
        <v>875</v>
      </c>
      <c r="K680" s="924" t="s">
        <v>880</v>
      </c>
      <c r="L680" s="925">
        <v>2886.79588699341</v>
      </c>
      <c r="M680" s="925">
        <v>5.6095462403391097E-2</v>
      </c>
    </row>
    <row r="681" spans="1:13" ht="11.25" customHeight="1" x14ac:dyDescent="0.2">
      <c r="A681" s="924" t="s">
        <v>853</v>
      </c>
      <c r="B681" s="924" t="s">
        <v>811</v>
      </c>
      <c r="C681" s="924" t="s">
        <v>1174</v>
      </c>
      <c r="D681" s="924" t="s">
        <v>1163</v>
      </c>
      <c r="E681" s="924" t="s">
        <v>856</v>
      </c>
      <c r="F681" s="924" t="s">
        <v>1120</v>
      </c>
      <c r="G681" s="924" t="s">
        <v>981</v>
      </c>
      <c r="H681" s="924" t="s">
        <v>835</v>
      </c>
      <c r="I681" s="924" t="s">
        <v>1040</v>
      </c>
      <c r="J681" s="924" t="s">
        <v>875</v>
      </c>
      <c r="K681" s="924" t="s">
        <v>880</v>
      </c>
      <c r="L681" s="925">
        <v>796.85309600830101</v>
      </c>
      <c r="M681" s="925">
        <v>0.46265866219801</v>
      </c>
    </row>
    <row r="682" spans="1:13" ht="11.25" customHeight="1" x14ac:dyDescent="0.2">
      <c r="A682" s="924" t="s">
        <v>853</v>
      </c>
      <c r="B682" s="924" t="s">
        <v>811</v>
      </c>
      <c r="C682" s="924" t="s">
        <v>1174</v>
      </c>
      <c r="D682" s="924" t="s">
        <v>1163</v>
      </c>
      <c r="E682" s="924" t="s">
        <v>856</v>
      </c>
      <c r="F682" s="924" t="s">
        <v>994</v>
      </c>
      <c r="G682" s="924" t="s">
        <v>981</v>
      </c>
      <c r="H682" s="924" t="s">
        <v>835</v>
      </c>
      <c r="I682" s="924" t="s">
        <v>834</v>
      </c>
      <c r="J682" s="924" t="s">
        <v>995</v>
      </c>
      <c r="K682" s="924" t="s">
        <v>993</v>
      </c>
      <c r="L682" s="925">
        <v>7.9227834716439203</v>
      </c>
      <c r="M682" s="925">
        <v>5.1418712526753998E-3</v>
      </c>
    </row>
    <row r="683" spans="1:13" ht="11.25" customHeight="1" x14ac:dyDescent="0.2">
      <c r="A683" s="924" t="s">
        <v>853</v>
      </c>
      <c r="B683" s="924" t="s">
        <v>811</v>
      </c>
      <c r="C683" s="924" t="s">
        <v>1174</v>
      </c>
      <c r="D683" s="924" t="s">
        <v>1163</v>
      </c>
      <c r="E683" s="924" t="s">
        <v>856</v>
      </c>
      <c r="F683" s="924" t="s">
        <v>992</v>
      </c>
      <c r="G683" s="924" t="s">
        <v>858</v>
      </c>
      <c r="H683" s="924" t="s">
        <v>836</v>
      </c>
      <c r="I683" s="924" t="s">
        <v>834</v>
      </c>
      <c r="J683" s="924" t="s">
        <v>224</v>
      </c>
      <c r="K683" s="924" t="s">
        <v>993</v>
      </c>
      <c r="L683" s="925">
        <v>134.27322030067401</v>
      </c>
      <c r="M683" s="925">
        <v>5.22563808590348E-3</v>
      </c>
    </row>
    <row r="684" spans="1:13" ht="11.25" customHeight="1" x14ac:dyDescent="0.2">
      <c r="A684" s="924" t="s">
        <v>853</v>
      </c>
      <c r="B684" s="924" t="s">
        <v>811</v>
      </c>
      <c r="C684" s="924" t="s">
        <v>1174</v>
      </c>
      <c r="D684" s="924" t="s">
        <v>1163</v>
      </c>
      <c r="E684" s="924" t="s">
        <v>856</v>
      </c>
      <c r="F684" s="924" t="s">
        <v>991</v>
      </c>
      <c r="G684" s="924" t="s">
        <v>990</v>
      </c>
      <c r="H684" s="924" t="s">
        <v>836</v>
      </c>
      <c r="I684" s="924" t="s">
        <v>839</v>
      </c>
      <c r="J684" s="924" t="s">
        <v>224</v>
      </c>
      <c r="K684" s="924" t="s">
        <v>983</v>
      </c>
      <c r="L684" s="925">
        <v>3.0360111370682699</v>
      </c>
      <c r="M684" s="925">
        <v>1.81290315928617E-4</v>
      </c>
    </row>
    <row r="685" spans="1:13" ht="11.25" customHeight="1" x14ac:dyDescent="0.2">
      <c r="A685" s="924" t="s">
        <v>853</v>
      </c>
      <c r="B685" s="924" t="s">
        <v>811</v>
      </c>
      <c r="C685" s="924" t="s">
        <v>1174</v>
      </c>
      <c r="D685" s="924" t="s">
        <v>1163</v>
      </c>
      <c r="E685" s="924" t="s">
        <v>856</v>
      </c>
      <c r="F685" s="924" t="s">
        <v>989</v>
      </c>
      <c r="G685" s="924" t="s">
        <v>990</v>
      </c>
      <c r="H685" s="924" t="s">
        <v>836</v>
      </c>
      <c r="I685" s="924" t="s">
        <v>839</v>
      </c>
      <c r="J685" s="924" t="s">
        <v>224</v>
      </c>
      <c r="K685" s="924" t="s">
        <v>988</v>
      </c>
      <c r="L685" s="925">
        <v>538.95832931995403</v>
      </c>
      <c r="M685" s="925">
        <v>1.8350309726692202E-2</v>
      </c>
    </row>
    <row r="686" spans="1:13" ht="11.25" customHeight="1" x14ac:dyDescent="0.2">
      <c r="A686" s="924" t="s">
        <v>853</v>
      </c>
      <c r="B686" s="924" t="s">
        <v>811</v>
      </c>
      <c r="C686" s="924" t="s">
        <v>1174</v>
      </c>
      <c r="D686" s="924" t="s">
        <v>1163</v>
      </c>
      <c r="E686" s="924" t="s">
        <v>856</v>
      </c>
      <c r="F686" s="924" t="s">
        <v>986</v>
      </c>
      <c r="G686" s="924" t="s">
        <v>981</v>
      </c>
      <c r="H686" s="924" t="s">
        <v>835</v>
      </c>
      <c r="I686" s="924" t="s">
        <v>839</v>
      </c>
      <c r="J686" s="924" t="s">
        <v>987</v>
      </c>
      <c r="K686" s="924" t="s">
        <v>988</v>
      </c>
      <c r="L686" s="925">
        <v>684.36935198307003</v>
      </c>
      <c r="M686" s="925">
        <v>0.34559334878576897</v>
      </c>
    </row>
    <row r="687" spans="1:13" ht="11.25" customHeight="1" x14ac:dyDescent="0.2">
      <c r="A687" s="924" t="s">
        <v>853</v>
      </c>
      <c r="B687" s="924" t="s">
        <v>811</v>
      </c>
      <c r="C687" s="924" t="s">
        <v>1174</v>
      </c>
      <c r="D687" s="924" t="s">
        <v>1163</v>
      </c>
      <c r="E687" s="924" t="s">
        <v>856</v>
      </c>
      <c r="F687" s="924" t="s">
        <v>984</v>
      </c>
      <c r="G687" s="924" t="s">
        <v>981</v>
      </c>
      <c r="H687" s="924" t="s">
        <v>835</v>
      </c>
      <c r="I687" s="924" t="s">
        <v>839</v>
      </c>
      <c r="J687" s="924" t="s">
        <v>982</v>
      </c>
      <c r="K687" s="924" t="s">
        <v>985</v>
      </c>
      <c r="L687" s="925">
        <v>633.87670803070102</v>
      </c>
      <c r="M687" s="925">
        <v>0.70708272373303804</v>
      </c>
    </row>
    <row r="688" spans="1:13" ht="11.25" customHeight="1" x14ac:dyDescent="0.2">
      <c r="A688" s="924" t="s">
        <v>853</v>
      </c>
      <c r="B688" s="924" t="s">
        <v>811</v>
      </c>
      <c r="C688" s="924" t="s">
        <v>1174</v>
      </c>
      <c r="D688" s="924" t="s">
        <v>1163</v>
      </c>
      <c r="E688" s="924" t="s">
        <v>856</v>
      </c>
      <c r="F688" s="924" t="s">
        <v>980</v>
      </c>
      <c r="G688" s="924" t="s">
        <v>981</v>
      </c>
      <c r="H688" s="924" t="s">
        <v>835</v>
      </c>
      <c r="I688" s="924" t="s">
        <v>839</v>
      </c>
      <c r="J688" s="924" t="s">
        <v>982</v>
      </c>
      <c r="K688" s="924" t="s">
        <v>983</v>
      </c>
      <c r="L688" s="925">
        <v>1500.4094185829199</v>
      </c>
      <c r="M688" s="925">
        <v>1.7113495962694301</v>
      </c>
    </row>
    <row r="689" spans="1:13" ht="11.25" customHeight="1" x14ac:dyDescent="0.2">
      <c r="A689" s="924" t="s">
        <v>853</v>
      </c>
      <c r="B689" s="924" t="s">
        <v>811</v>
      </c>
      <c r="C689" s="924" t="s">
        <v>1174</v>
      </c>
      <c r="D689" s="924" t="s">
        <v>1163</v>
      </c>
      <c r="E689" s="924" t="s">
        <v>856</v>
      </c>
      <c r="F689" s="924" t="s">
        <v>1172</v>
      </c>
      <c r="G689" s="924" t="s">
        <v>858</v>
      </c>
      <c r="H689" s="924" t="s">
        <v>836</v>
      </c>
      <c r="I689" s="924" t="s">
        <v>837</v>
      </c>
      <c r="J689" s="924" t="s">
        <v>863</v>
      </c>
      <c r="K689" s="924" t="s">
        <v>1171</v>
      </c>
      <c r="L689" s="925">
        <v>128.42545127868701</v>
      </c>
      <c r="M689" s="925">
        <v>3.7333092172957502E-3</v>
      </c>
    </row>
    <row r="690" spans="1:13" ht="11.25" customHeight="1" x14ac:dyDescent="0.2">
      <c r="A690" s="924" t="s">
        <v>853</v>
      </c>
      <c r="B690" s="924" t="s">
        <v>811</v>
      </c>
      <c r="C690" s="924" t="s">
        <v>1174</v>
      </c>
      <c r="D690" s="924" t="s">
        <v>1163</v>
      </c>
      <c r="E690" s="924" t="s">
        <v>856</v>
      </c>
      <c r="F690" s="924" t="s">
        <v>974</v>
      </c>
      <c r="G690" s="924" t="s">
        <v>858</v>
      </c>
      <c r="H690" s="924" t="s">
        <v>836</v>
      </c>
      <c r="I690" s="924" t="s">
        <v>837</v>
      </c>
      <c r="J690" s="924" t="s">
        <v>875</v>
      </c>
      <c r="K690" s="924" t="s">
        <v>952</v>
      </c>
      <c r="L690" s="925">
        <v>124.765837669373</v>
      </c>
      <c r="M690" s="925">
        <v>2.8188815139174E-3</v>
      </c>
    </row>
    <row r="691" spans="1:13" ht="11.25" customHeight="1" x14ac:dyDescent="0.2">
      <c r="A691" s="924" t="s">
        <v>853</v>
      </c>
      <c r="B691" s="924" t="s">
        <v>811</v>
      </c>
      <c r="C691" s="924" t="s">
        <v>1174</v>
      </c>
      <c r="D691" s="924" t="s">
        <v>1163</v>
      </c>
      <c r="E691" s="924" t="s">
        <v>856</v>
      </c>
      <c r="F691" s="924" t="s">
        <v>969</v>
      </c>
      <c r="G691" s="924" t="s">
        <v>858</v>
      </c>
      <c r="H691" s="924" t="s">
        <v>836</v>
      </c>
      <c r="I691" s="924" t="s">
        <v>837</v>
      </c>
      <c r="J691" s="924" t="s">
        <v>875</v>
      </c>
      <c r="K691" s="924" t="s">
        <v>878</v>
      </c>
      <c r="L691" s="925">
        <v>1040.623670578</v>
      </c>
      <c r="M691" s="925">
        <v>2.7565486036110101E-2</v>
      </c>
    </row>
    <row r="692" spans="1:13" ht="11.25" customHeight="1" x14ac:dyDescent="0.2">
      <c r="A692" s="924" t="s">
        <v>853</v>
      </c>
      <c r="B692" s="924" t="s">
        <v>811</v>
      </c>
      <c r="C692" s="924" t="s">
        <v>1174</v>
      </c>
      <c r="D692" s="924" t="s">
        <v>1163</v>
      </c>
      <c r="E692" s="924" t="s">
        <v>856</v>
      </c>
      <c r="F692" s="924" t="s">
        <v>932</v>
      </c>
      <c r="G692" s="924" t="s">
        <v>911</v>
      </c>
      <c r="H692" s="924" t="s">
        <v>665</v>
      </c>
      <c r="I692" s="924" t="s">
        <v>706</v>
      </c>
      <c r="J692" s="924" t="s">
        <v>863</v>
      </c>
      <c r="K692" s="924" t="s">
        <v>933</v>
      </c>
      <c r="L692" s="925">
        <v>23230.6045532227</v>
      </c>
      <c r="M692" s="925">
        <v>1.1227054009213999</v>
      </c>
    </row>
    <row r="693" spans="1:13" ht="11.25" customHeight="1" x14ac:dyDescent="0.2">
      <c r="A693" s="924" t="s">
        <v>853</v>
      </c>
      <c r="B693" s="924" t="s">
        <v>811</v>
      </c>
      <c r="C693" s="924" t="s">
        <v>1174</v>
      </c>
      <c r="D693" s="924" t="s">
        <v>1163</v>
      </c>
      <c r="E693" s="924" t="s">
        <v>856</v>
      </c>
      <c r="F693" s="924" t="s">
        <v>1001</v>
      </c>
      <c r="G693" s="924" t="s">
        <v>858</v>
      </c>
      <c r="H693" s="924" t="s">
        <v>836</v>
      </c>
      <c r="I693" s="924" t="s">
        <v>837</v>
      </c>
      <c r="J693" s="924" t="s">
        <v>863</v>
      </c>
      <c r="K693" s="924" t="s">
        <v>915</v>
      </c>
      <c r="L693" s="925">
        <v>103.84360504150401</v>
      </c>
      <c r="M693" s="925">
        <v>3.17286430049535E-3</v>
      </c>
    </row>
    <row r="694" spans="1:13" ht="11.25" customHeight="1" x14ac:dyDescent="0.2">
      <c r="A694" s="924" t="s">
        <v>853</v>
      </c>
      <c r="B694" s="924" t="s">
        <v>811</v>
      </c>
      <c r="C694" s="924" t="s">
        <v>1174</v>
      </c>
      <c r="D694" s="924" t="s">
        <v>1163</v>
      </c>
      <c r="E694" s="924" t="s">
        <v>856</v>
      </c>
      <c r="F694" s="924" t="s">
        <v>996</v>
      </c>
      <c r="G694" s="924" t="s">
        <v>911</v>
      </c>
      <c r="H694" s="924" t="s">
        <v>665</v>
      </c>
      <c r="I694" s="924" t="s">
        <v>834</v>
      </c>
      <c r="J694" s="924" t="s">
        <v>706</v>
      </c>
      <c r="K694" s="924" t="s">
        <v>993</v>
      </c>
      <c r="L694" s="925">
        <v>0.23754535778425601</v>
      </c>
      <c r="M694" s="925">
        <v>2.94509951785926E-5</v>
      </c>
    </row>
    <row r="695" spans="1:13" ht="11.25" customHeight="1" x14ac:dyDescent="0.2">
      <c r="A695" s="924" t="s">
        <v>853</v>
      </c>
      <c r="B695" s="924" t="s">
        <v>811</v>
      </c>
      <c r="C695" s="924" t="s">
        <v>1174</v>
      </c>
      <c r="D695" s="924" t="s">
        <v>1163</v>
      </c>
      <c r="E695" s="924" t="s">
        <v>856</v>
      </c>
      <c r="F695" s="924" t="s">
        <v>968</v>
      </c>
      <c r="G695" s="924" t="s">
        <v>858</v>
      </c>
      <c r="H695" s="924" t="s">
        <v>836</v>
      </c>
      <c r="I695" s="924" t="s">
        <v>837</v>
      </c>
      <c r="J695" s="924" t="s">
        <v>875</v>
      </c>
      <c r="K695" s="924" t="s">
        <v>876</v>
      </c>
      <c r="L695" s="925">
        <v>4409.1665725707999</v>
      </c>
      <c r="M695" s="925">
        <v>0.118183359278191</v>
      </c>
    </row>
    <row r="696" spans="1:13" ht="11.25" customHeight="1" x14ac:dyDescent="0.2">
      <c r="A696" s="924" t="s">
        <v>853</v>
      </c>
      <c r="B696" s="924" t="s">
        <v>811</v>
      </c>
      <c r="C696" s="924" t="s">
        <v>1174</v>
      </c>
      <c r="D696" s="924" t="s">
        <v>1163</v>
      </c>
      <c r="E696" s="924" t="s">
        <v>856</v>
      </c>
      <c r="F696" s="924" t="s">
        <v>1033</v>
      </c>
      <c r="G696" s="924" t="s">
        <v>858</v>
      </c>
      <c r="H696" s="924" t="s">
        <v>836</v>
      </c>
      <c r="I696" s="924" t="s">
        <v>837</v>
      </c>
      <c r="J696" s="924" t="s">
        <v>940</v>
      </c>
      <c r="K696" s="924" t="s">
        <v>1034</v>
      </c>
      <c r="L696" s="925">
        <v>1.99695822224021</v>
      </c>
      <c r="M696" s="925">
        <v>6.5485412284349605E-5</v>
      </c>
    </row>
    <row r="697" spans="1:13" ht="11.25" customHeight="1" x14ac:dyDescent="0.2">
      <c r="A697" s="924" t="s">
        <v>853</v>
      </c>
      <c r="B697" s="924" t="s">
        <v>811</v>
      </c>
      <c r="C697" s="924" t="s">
        <v>1174</v>
      </c>
      <c r="D697" s="924" t="s">
        <v>1163</v>
      </c>
      <c r="E697" s="924" t="s">
        <v>856</v>
      </c>
      <c r="F697" s="924" t="s">
        <v>1031</v>
      </c>
      <c r="G697" s="924" t="s">
        <v>858</v>
      </c>
      <c r="H697" s="924" t="s">
        <v>836</v>
      </c>
      <c r="I697" s="924" t="s">
        <v>837</v>
      </c>
      <c r="J697" s="924" t="s">
        <v>940</v>
      </c>
      <c r="K697" s="924" t="s">
        <v>1032</v>
      </c>
      <c r="L697" s="925">
        <v>78.636810719966903</v>
      </c>
      <c r="M697" s="925">
        <v>1.64076497897625E-3</v>
      </c>
    </row>
    <row r="698" spans="1:13" ht="11.25" customHeight="1" x14ac:dyDescent="0.2">
      <c r="A698" s="924" t="s">
        <v>853</v>
      </c>
      <c r="B698" s="924" t="s">
        <v>811</v>
      </c>
      <c r="C698" s="924" t="s">
        <v>1174</v>
      </c>
      <c r="D698" s="924" t="s">
        <v>1163</v>
      </c>
      <c r="E698" s="924" t="s">
        <v>856</v>
      </c>
      <c r="F698" s="924" t="s">
        <v>1030</v>
      </c>
      <c r="G698" s="924" t="s">
        <v>858</v>
      </c>
      <c r="H698" s="924" t="s">
        <v>836</v>
      </c>
      <c r="I698" s="924" t="s">
        <v>837</v>
      </c>
      <c r="J698" s="924" t="s">
        <v>940</v>
      </c>
      <c r="K698" s="924" t="s">
        <v>941</v>
      </c>
      <c r="L698" s="925">
        <v>667.49646592140198</v>
      </c>
      <c r="M698" s="925">
        <v>1.2538627896333299E-2</v>
      </c>
    </row>
    <row r="699" spans="1:13" ht="11.25" customHeight="1" x14ac:dyDescent="0.2">
      <c r="A699" s="924" t="s">
        <v>853</v>
      </c>
      <c r="B699" s="924" t="s">
        <v>811</v>
      </c>
      <c r="C699" s="924" t="s">
        <v>1174</v>
      </c>
      <c r="D699" s="924" t="s">
        <v>1163</v>
      </c>
      <c r="E699" s="924" t="s">
        <v>856</v>
      </c>
      <c r="F699" s="924" t="s">
        <v>1028</v>
      </c>
      <c r="G699" s="924" t="s">
        <v>858</v>
      </c>
      <c r="H699" s="924" t="s">
        <v>836</v>
      </c>
      <c r="I699" s="924" t="s">
        <v>837</v>
      </c>
      <c r="J699" s="924" t="s">
        <v>940</v>
      </c>
      <c r="K699" s="924" t="s">
        <v>1029</v>
      </c>
      <c r="L699" s="925">
        <v>101.063212245703</v>
      </c>
      <c r="M699" s="925">
        <v>5.48208531065697E-3</v>
      </c>
    </row>
    <row r="700" spans="1:13" ht="11.25" customHeight="1" x14ac:dyDescent="0.2">
      <c r="A700" s="924" t="s">
        <v>853</v>
      </c>
      <c r="B700" s="924" t="s">
        <v>811</v>
      </c>
      <c r="C700" s="924" t="s">
        <v>1174</v>
      </c>
      <c r="D700" s="924" t="s">
        <v>1163</v>
      </c>
      <c r="E700" s="924" t="s">
        <v>856</v>
      </c>
      <c r="F700" s="924" t="s">
        <v>1026</v>
      </c>
      <c r="G700" s="924" t="s">
        <v>858</v>
      </c>
      <c r="H700" s="924" t="s">
        <v>836</v>
      </c>
      <c r="I700" s="924" t="s">
        <v>837</v>
      </c>
      <c r="J700" s="924" t="s">
        <v>940</v>
      </c>
      <c r="K700" s="924" t="s">
        <v>1027</v>
      </c>
      <c r="L700" s="925">
        <v>489.64711904525802</v>
      </c>
      <c r="M700" s="925">
        <v>2.06661309020717E-2</v>
      </c>
    </row>
    <row r="701" spans="1:13" ht="11.25" customHeight="1" x14ac:dyDescent="0.2">
      <c r="A701" s="924" t="s">
        <v>853</v>
      </c>
      <c r="B701" s="924" t="s">
        <v>811</v>
      </c>
      <c r="C701" s="924" t="s">
        <v>1174</v>
      </c>
      <c r="D701" s="924" t="s">
        <v>1163</v>
      </c>
      <c r="E701" s="924" t="s">
        <v>856</v>
      </c>
      <c r="F701" s="924" t="s">
        <v>1024</v>
      </c>
      <c r="G701" s="924" t="s">
        <v>858</v>
      </c>
      <c r="H701" s="924" t="s">
        <v>836</v>
      </c>
      <c r="I701" s="924" t="s">
        <v>837</v>
      </c>
      <c r="J701" s="924" t="s">
        <v>940</v>
      </c>
      <c r="K701" s="924" t="s">
        <v>1025</v>
      </c>
      <c r="L701" s="925">
        <v>18.550463676452601</v>
      </c>
      <c r="M701" s="925">
        <v>3.0515568164446401E-4</v>
      </c>
    </row>
    <row r="702" spans="1:13" ht="11.25" customHeight="1" x14ac:dyDescent="0.2">
      <c r="A702" s="924" t="s">
        <v>853</v>
      </c>
      <c r="B702" s="924" t="s">
        <v>811</v>
      </c>
      <c r="C702" s="924" t="s">
        <v>1174</v>
      </c>
      <c r="D702" s="924" t="s">
        <v>1163</v>
      </c>
      <c r="E702" s="924" t="s">
        <v>856</v>
      </c>
      <c r="F702" s="924" t="s">
        <v>1022</v>
      </c>
      <c r="G702" s="924" t="s">
        <v>858</v>
      </c>
      <c r="H702" s="924" t="s">
        <v>836</v>
      </c>
      <c r="I702" s="924" t="s">
        <v>837</v>
      </c>
      <c r="J702" s="924" t="s">
        <v>940</v>
      </c>
      <c r="K702" s="924" t="s">
        <v>1023</v>
      </c>
      <c r="L702" s="925">
        <v>6.9858136528637302E-2</v>
      </c>
      <c r="M702" s="925">
        <v>3.1379620733032499E-6</v>
      </c>
    </row>
    <row r="703" spans="1:13" ht="11.25" customHeight="1" x14ac:dyDescent="0.2">
      <c r="A703" s="924" t="s">
        <v>853</v>
      </c>
      <c r="B703" s="924" t="s">
        <v>811</v>
      </c>
      <c r="C703" s="924" t="s">
        <v>1174</v>
      </c>
      <c r="D703" s="924" t="s">
        <v>1163</v>
      </c>
      <c r="E703" s="924" t="s">
        <v>856</v>
      </c>
      <c r="F703" s="924" t="s">
        <v>1021</v>
      </c>
      <c r="G703" s="924" t="s">
        <v>858</v>
      </c>
      <c r="H703" s="924" t="s">
        <v>836</v>
      </c>
      <c r="I703" s="924" t="s">
        <v>837</v>
      </c>
      <c r="J703" s="924" t="s">
        <v>863</v>
      </c>
      <c r="K703" s="924" t="s">
        <v>868</v>
      </c>
      <c r="L703" s="925">
        <v>3827.8504714965802</v>
      </c>
      <c r="M703" s="925">
        <v>2.05753741868193E-2</v>
      </c>
    </row>
    <row r="704" spans="1:13" ht="11.25" customHeight="1" x14ac:dyDescent="0.2">
      <c r="A704" s="924" t="s">
        <v>853</v>
      </c>
      <c r="B704" s="924" t="s">
        <v>811</v>
      </c>
      <c r="C704" s="924" t="s">
        <v>1174</v>
      </c>
      <c r="D704" s="924" t="s">
        <v>1163</v>
      </c>
      <c r="E704" s="924" t="s">
        <v>856</v>
      </c>
      <c r="F704" s="924" t="s">
        <v>1020</v>
      </c>
      <c r="G704" s="924" t="s">
        <v>858</v>
      </c>
      <c r="H704" s="924" t="s">
        <v>836</v>
      </c>
      <c r="I704" s="924" t="s">
        <v>837</v>
      </c>
      <c r="J704" s="924" t="s">
        <v>863</v>
      </c>
      <c r="K704" s="924" t="s">
        <v>866</v>
      </c>
      <c r="L704" s="925">
        <v>12810.0946044922</v>
      </c>
      <c r="M704" s="925">
        <v>0.31093373678231701</v>
      </c>
    </row>
    <row r="705" spans="1:13" ht="11.25" customHeight="1" x14ac:dyDescent="0.2">
      <c r="A705" s="924" t="s">
        <v>853</v>
      </c>
      <c r="B705" s="924" t="s">
        <v>811</v>
      </c>
      <c r="C705" s="924" t="s">
        <v>1174</v>
      </c>
      <c r="D705" s="924" t="s">
        <v>1163</v>
      </c>
      <c r="E705" s="924" t="s">
        <v>856</v>
      </c>
      <c r="F705" s="924" t="s">
        <v>1000</v>
      </c>
      <c r="G705" s="924" t="s">
        <v>858</v>
      </c>
      <c r="H705" s="924" t="s">
        <v>836</v>
      </c>
      <c r="I705" s="924" t="s">
        <v>837</v>
      </c>
      <c r="J705" s="924" t="s">
        <v>875</v>
      </c>
      <c r="K705" s="924" t="s">
        <v>950</v>
      </c>
      <c r="L705" s="925">
        <v>140.99011826515201</v>
      </c>
      <c r="M705" s="925">
        <v>3.3117095065904301E-3</v>
      </c>
    </row>
    <row r="706" spans="1:13" ht="11.25" customHeight="1" x14ac:dyDescent="0.2">
      <c r="A706" s="924" t="s">
        <v>853</v>
      </c>
      <c r="B706" s="924" t="s">
        <v>811</v>
      </c>
      <c r="C706" s="924" t="s">
        <v>1174</v>
      </c>
      <c r="D706" s="924" t="s">
        <v>1163</v>
      </c>
      <c r="E706" s="924" t="s">
        <v>856</v>
      </c>
      <c r="F706" s="924" t="s">
        <v>1099</v>
      </c>
      <c r="G706" s="924" t="s">
        <v>981</v>
      </c>
      <c r="H706" s="924" t="s">
        <v>835</v>
      </c>
      <c r="I706" s="924" t="s">
        <v>998</v>
      </c>
      <c r="J706" s="924" t="s">
        <v>940</v>
      </c>
      <c r="K706" s="924" t="s">
        <v>1025</v>
      </c>
      <c r="L706" s="925">
        <v>73.584328651428194</v>
      </c>
      <c r="M706" s="925">
        <v>0.50203153118491195</v>
      </c>
    </row>
    <row r="707" spans="1:13" ht="11.25" customHeight="1" x14ac:dyDescent="0.2">
      <c r="A707" s="924" t="s">
        <v>853</v>
      </c>
      <c r="B707" s="924" t="s">
        <v>811</v>
      </c>
      <c r="C707" s="924" t="s">
        <v>1174</v>
      </c>
      <c r="D707" s="924" t="s">
        <v>1163</v>
      </c>
      <c r="E707" s="924" t="s">
        <v>856</v>
      </c>
      <c r="F707" s="924" t="s">
        <v>1131</v>
      </c>
      <c r="G707" s="924" t="s">
        <v>981</v>
      </c>
      <c r="H707" s="924" t="s">
        <v>835</v>
      </c>
      <c r="I707" s="924" t="s">
        <v>1040</v>
      </c>
      <c r="J707" s="924" t="s">
        <v>863</v>
      </c>
      <c r="K707" s="924" t="s">
        <v>868</v>
      </c>
      <c r="L707" s="925">
        <v>158.05865883827201</v>
      </c>
      <c r="M707" s="925">
        <v>1.11868823005352E-2</v>
      </c>
    </row>
    <row r="708" spans="1:13" ht="11.25" customHeight="1" x14ac:dyDescent="0.2">
      <c r="A708" s="924" t="s">
        <v>853</v>
      </c>
      <c r="B708" s="924" t="s">
        <v>811</v>
      </c>
      <c r="C708" s="924" t="s">
        <v>1174</v>
      </c>
      <c r="D708" s="924" t="s">
        <v>1163</v>
      </c>
      <c r="E708" s="924" t="s">
        <v>856</v>
      </c>
      <c r="F708" s="924" t="s">
        <v>1137</v>
      </c>
      <c r="G708" s="924" t="s">
        <v>981</v>
      </c>
      <c r="H708" s="924" t="s">
        <v>835</v>
      </c>
      <c r="I708" s="924" t="s">
        <v>1040</v>
      </c>
      <c r="J708" s="924" t="s">
        <v>863</v>
      </c>
      <c r="K708" s="924" t="s">
        <v>866</v>
      </c>
      <c r="L708" s="925">
        <v>23.845562160015099</v>
      </c>
      <c r="M708" s="925">
        <v>1.60181039536837E-2</v>
      </c>
    </row>
    <row r="709" spans="1:13" ht="11.25" customHeight="1" x14ac:dyDescent="0.2">
      <c r="A709" s="924" t="s">
        <v>853</v>
      </c>
      <c r="B709" s="924" t="s">
        <v>811</v>
      </c>
      <c r="C709" s="924" t="s">
        <v>1174</v>
      </c>
      <c r="D709" s="924" t="s">
        <v>1163</v>
      </c>
      <c r="E709" s="924" t="s">
        <v>856</v>
      </c>
      <c r="F709" s="924" t="s">
        <v>1148</v>
      </c>
      <c r="G709" s="924" t="s">
        <v>981</v>
      </c>
      <c r="H709" s="924" t="s">
        <v>835</v>
      </c>
      <c r="I709" s="924" t="s">
        <v>1040</v>
      </c>
      <c r="J709" s="924" t="s">
        <v>863</v>
      </c>
      <c r="K709" s="924" t="s">
        <v>915</v>
      </c>
      <c r="L709" s="925">
        <v>32.787337571382501</v>
      </c>
      <c r="M709" s="925">
        <v>1.2253892738954201E-2</v>
      </c>
    </row>
    <row r="710" spans="1:13" ht="11.25" customHeight="1" x14ac:dyDescent="0.2">
      <c r="A710" s="924" t="s">
        <v>853</v>
      </c>
      <c r="B710" s="924" t="s">
        <v>811</v>
      </c>
      <c r="C710" s="924" t="s">
        <v>1174</v>
      </c>
      <c r="D710" s="924" t="s">
        <v>1163</v>
      </c>
      <c r="E710" s="924" t="s">
        <v>856</v>
      </c>
      <c r="F710" s="924" t="s">
        <v>1136</v>
      </c>
      <c r="G710" s="924" t="s">
        <v>981</v>
      </c>
      <c r="H710" s="924" t="s">
        <v>835</v>
      </c>
      <c r="I710" s="924" t="s">
        <v>1040</v>
      </c>
      <c r="J710" s="924" t="s">
        <v>863</v>
      </c>
      <c r="K710" s="924" t="s">
        <v>864</v>
      </c>
      <c r="L710" s="925">
        <v>722.27000045776401</v>
      </c>
      <c r="M710" s="925">
        <v>0.54054203163832404</v>
      </c>
    </row>
    <row r="711" spans="1:13" ht="11.25" customHeight="1" x14ac:dyDescent="0.2">
      <c r="A711" s="924" t="s">
        <v>853</v>
      </c>
      <c r="B711" s="924" t="s">
        <v>811</v>
      </c>
      <c r="C711" s="924" t="s">
        <v>1174</v>
      </c>
      <c r="D711" s="924" t="s">
        <v>1163</v>
      </c>
      <c r="E711" s="924" t="s">
        <v>856</v>
      </c>
      <c r="F711" s="924" t="s">
        <v>1135</v>
      </c>
      <c r="G711" s="924" t="s">
        <v>981</v>
      </c>
      <c r="H711" s="924" t="s">
        <v>835</v>
      </c>
      <c r="I711" s="924" t="s">
        <v>1040</v>
      </c>
      <c r="J711" s="924" t="s">
        <v>863</v>
      </c>
      <c r="K711" s="924" t="s">
        <v>935</v>
      </c>
      <c r="L711" s="925">
        <v>384.375751018524</v>
      </c>
      <c r="M711" s="925">
        <v>0.13869013881776501</v>
      </c>
    </row>
    <row r="712" spans="1:13" ht="11.25" customHeight="1" x14ac:dyDescent="0.2">
      <c r="A712" s="924" t="s">
        <v>853</v>
      </c>
      <c r="B712" s="924" t="s">
        <v>811</v>
      </c>
      <c r="C712" s="924" t="s">
        <v>1174</v>
      </c>
      <c r="D712" s="924" t="s">
        <v>1163</v>
      </c>
      <c r="E712" s="924" t="s">
        <v>856</v>
      </c>
      <c r="F712" s="924" t="s">
        <v>1134</v>
      </c>
      <c r="G712" s="924" t="s">
        <v>981</v>
      </c>
      <c r="H712" s="924" t="s">
        <v>835</v>
      </c>
      <c r="I712" s="924" t="s">
        <v>1040</v>
      </c>
      <c r="J712" s="924" t="s">
        <v>863</v>
      </c>
      <c r="K712" s="924" t="s">
        <v>933</v>
      </c>
      <c r="L712" s="925">
        <v>1785.4230270385699</v>
      </c>
      <c r="M712" s="925">
        <v>0.126431621960364</v>
      </c>
    </row>
    <row r="713" spans="1:13" ht="11.25" customHeight="1" x14ac:dyDescent="0.2">
      <c r="A713" s="924" t="s">
        <v>853</v>
      </c>
      <c r="B713" s="924" t="s">
        <v>811</v>
      </c>
      <c r="C713" s="924" t="s">
        <v>1174</v>
      </c>
      <c r="D713" s="924" t="s">
        <v>1163</v>
      </c>
      <c r="E713" s="924" t="s">
        <v>856</v>
      </c>
      <c r="F713" s="924" t="s">
        <v>1138</v>
      </c>
      <c r="G713" s="924" t="s">
        <v>981</v>
      </c>
      <c r="H713" s="924" t="s">
        <v>835</v>
      </c>
      <c r="I713" s="924" t="s">
        <v>1040</v>
      </c>
      <c r="J713" s="924" t="s">
        <v>863</v>
      </c>
      <c r="K713" s="924" t="s">
        <v>931</v>
      </c>
      <c r="L713" s="925">
        <v>465.28057479858398</v>
      </c>
      <c r="M713" s="925">
        <v>0.17961392630240899</v>
      </c>
    </row>
    <row r="714" spans="1:13" ht="11.25" customHeight="1" x14ac:dyDescent="0.2">
      <c r="A714" s="924" t="s">
        <v>853</v>
      </c>
      <c r="B714" s="924" t="s">
        <v>811</v>
      </c>
      <c r="C714" s="924" t="s">
        <v>1174</v>
      </c>
      <c r="D714" s="924" t="s">
        <v>1163</v>
      </c>
      <c r="E714" s="924" t="s">
        <v>856</v>
      </c>
      <c r="F714" s="924" t="s">
        <v>1047</v>
      </c>
      <c r="G714" s="924" t="s">
        <v>981</v>
      </c>
      <c r="H714" s="924" t="s">
        <v>835</v>
      </c>
      <c r="I714" s="924" t="s">
        <v>1040</v>
      </c>
      <c r="J714" s="924" t="s">
        <v>884</v>
      </c>
      <c r="K714" s="924" t="s">
        <v>1048</v>
      </c>
      <c r="L714" s="925">
        <v>466.20764923095697</v>
      </c>
      <c r="M714" s="925">
        <v>0.35063866013660999</v>
      </c>
    </row>
    <row r="715" spans="1:13" ht="11.25" customHeight="1" x14ac:dyDescent="0.2">
      <c r="A715" s="924" t="s">
        <v>853</v>
      </c>
      <c r="B715" s="924" t="s">
        <v>811</v>
      </c>
      <c r="C715" s="924" t="s">
        <v>1174</v>
      </c>
      <c r="D715" s="924" t="s">
        <v>1163</v>
      </c>
      <c r="E715" s="924" t="s">
        <v>856</v>
      </c>
      <c r="F715" s="924" t="s">
        <v>1082</v>
      </c>
      <c r="G715" s="924" t="s">
        <v>981</v>
      </c>
      <c r="H715" s="924" t="s">
        <v>835</v>
      </c>
      <c r="I715" s="924" t="s">
        <v>998</v>
      </c>
      <c r="J715" s="924" t="s">
        <v>875</v>
      </c>
      <c r="K715" s="924" t="s">
        <v>952</v>
      </c>
      <c r="L715" s="925">
        <v>1.1838132459670301</v>
      </c>
      <c r="M715" s="925">
        <v>2.64511948626023E-3</v>
      </c>
    </row>
    <row r="716" spans="1:13" ht="11.25" customHeight="1" x14ac:dyDescent="0.2">
      <c r="A716" s="924" t="s">
        <v>853</v>
      </c>
      <c r="B716" s="924" t="s">
        <v>811</v>
      </c>
      <c r="C716" s="924" t="s">
        <v>1174</v>
      </c>
      <c r="D716" s="924" t="s">
        <v>1163</v>
      </c>
      <c r="E716" s="924" t="s">
        <v>856</v>
      </c>
      <c r="F716" s="924" t="s">
        <v>1054</v>
      </c>
      <c r="G716" s="924" t="s">
        <v>981</v>
      </c>
      <c r="H716" s="924" t="s">
        <v>835</v>
      </c>
      <c r="I716" s="924" t="s">
        <v>998</v>
      </c>
      <c r="J716" s="924" t="s">
        <v>875</v>
      </c>
      <c r="K716" s="924" t="s">
        <v>880</v>
      </c>
      <c r="L716" s="925">
        <v>6.7866945173591403E-2</v>
      </c>
      <c r="M716" s="925">
        <v>1.5164212504714699E-4</v>
      </c>
    </row>
    <row r="717" spans="1:13" ht="11.25" customHeight="1" x14ac:dyDescent="0.2">
      <c r="A717" s="924" t="s">
        <v>853</v>
      </c>
      <c r="B717" s="924" t="s">
        <v>811</v>
      </c>
      <c r="C717" s="924" t="s">
        <v>1174</v>
      </c>
      <c r="D717" s="924" t="s">
        <v>1163</v>
      </c>
      <c r="E717" s="924" t="s">
        <v>856</v>
      </c>
      <c r="F717" s="924" t="s">
        <v>1056</v>
      </c>
      <c r="G717" s="924" t="s">
        <v>981</v>
      </c>
      <c r="H717" s="924" t="s">
        <v>835</v>
      </c>
      <c r="I717" s="924" t="s">
        <v>998</v>
      </c>
      <c r="J717" s="924" t="s">
        <v>875</v>
      </c>
      <c r="K717" s="924" t="s">
        <v>878</v>
      </c>
      <c r="L717" s="925">
        <v>195.65992426872299</v>
      </c>
      <c r="M717" s="925">
        <v>0.37735946662724001</v>
      </c>
    </row>
    <row r="718" spans="1:13" ht="11.25" customHeight="1" x14ac:dyDescent="0.2">
      <c r="A718" s="924" t="s">
        <v>853</v>
      </c>
      <c r="B718" s="924" t="s">
        <v>811</v>
      </c>
      <c r="C718" s="924" t="s">
        <v>1174</v>
      </c>
      <c r="D718" s="924" t="s">
        <v>1163</v>
      </c>
      <c r="E718" s="924" t="s">
        <v>856</v>
      </c>
      <c r="F718" s="924" t="s">
        <v>1139</v>
      </c>
      <c r="G718" s="924" t="s">
        <v>981</v>
      </c>
      <c r="H718" s="924" t="s">
        <v>835</v>
      </c>
      <c r="I718" s="924" t="s">
        <v>1040</v>
      </c>
      <c r="J718" s="924" t="s">
        <v>940</v>
      </c>
      <c r="K718" s="924" t="s">
        <v>1140</v>
      </c>
      <c r="L718" s="925">
        <v>4464.3260192871103</v>
      </c>
      <c r="M718" s="925">
        <v>3.2691073729419</v>
      </c>
    </row>
    <row r="719" spans="1:13" ht="11.25" customHeight="1" x14ac:dyDescent="0.2">
      <c r="A719" s="924" t="s">
        <v>853</v>
      </c>
      <c r="B719" s="924" t="s">
        <v>811</v>
      </c>
      <c r="C719" s="924" t="s">
        <v>1174</v>
      </c>
      <c r="D719" s="924" t="s">
        <v>1163</v>
      </c>
      <c r="E719" s="924" t="s">
        <v>856</v>
      </c>
      <c r="F719" s="924" t="s">
        <v>1100</v>
      </c>
      <c r="G719" s="924" t="s">
        <v>981</v>
      </c>
      <c r="H719" s="924" t="s">
        <v>835</v>
      </c>
      <c r="I719" s="924" t="s">
        <v>998</v>
      </c>
      <c r="J719" s="924" t="s">
        <v>940</v>
      </c>
      <c r="K719" s="924" t="s">
        <v>1032</v>
      </c>
      <c r="L719" s="925">
        <v>0.10661011433694501</v>
      </c>
      <c r="M719" s="925">
        <v>2.13742544474371E-4</v>
      </c>
    </row>
    <row r="720" spans="1:13" ht="11.25" customHeight="1" x14ac:dyDescent="0.2">
      <c r="A720" s="924" t="s">
        <v>853</v>
      </c>
      <c r="B720" s="924" t="s">
        <v>811</v>
      </c>
      <c r="C720" s="924" t="s">
        <v>1174</v>
      </c>
      <c r="D720" s="924" t="s">
        <v>1163</v>
      </c>
      <c r="E720" s="924" t="s">
        <v>856</v>
      </c>
      <c r="F720" s="924" t="s">
        <v>1069</v>
      </c>
      <c r="G720" s="924" t="s">
        <v>981</v>
      </c>
      <c r="H720" s="924" t="s">
        <v>835</v>
      </c>
      <c r="I720" s="924" t="s">
        <v>998</v>
      </c>
      <c r="J720" s="924" t="s">
        <v>940</v>
      </c>
      <c r="K720" s="924" t="s">
        <v>1070</v>
      </c>
      <c r="L720" s="925">
        <v>25.431401178240801</v>
      </c>
      <c r="M720" s="925">
        <v>4.7218268853612202E-2</v>
      </c>
    </row>
    <row r="721" spans="1:13" ht="11.25" customHeight="1" x14ac:dyDescent="0.2">
      <c r="A721" s="924" t="s">
        <v>853</v>
      </c>
      <c r="B721" s="924" t="s">
        <v>811</v>
      </c>
      <c r="C721" s="924" t="s">
        <v>1174</v>
      </c>
      <c r="D721" s="924" t="s">
        <v>1163</v>
      </c>
      <c r="E721" s="924" t="s">
        <v>856</v>
      </c>
      <c r="F721" s="924" t="s">
        <v>1097</v>
      </c>
      <c r="G721" s="924" t="s">
        <v>981</v>
      </c>
      <c r="H721" s="924" t="s">
        <v>835</v>
      </c>
      <c r="I721" s="924" t="s">
        <v>998</v>
      </c>
      <c r="J721" s="924" t="s">
        <v>940</v>
      </c>
      <c r="K721" s="924" t="s">
        <v>1098</v>
      </c>
      <c r="L721" s="925">
        <v>157.29113578796401</v>
      </c>
      <c r="M721" s="925">
        <v>1.07453072071075</v>
      </c>
    </row>
    <row r="722" spans="1:13" ht="11.25" customHeight="1" x14ac:dyDescent="0.2">
      <c r="A722" s="924" t="s">
        <v>853</v>
      </c>
      <c r="B722" s="924" t="s">
        <v>811</v>
      </c>
      <c r="C722" s="924" t="s">
        <v>1174</v>
      </c>
      <c r="D722" s="924" t="s">
        <v>1163</v>
      </c>
      <c r="E722" s="924" t="s">
        <v>856</v>
      </c>
      <c r="F722" s="924" t="s">
        <v>1096</v>
      </c>
      <c r="G722" s="924" t="s">
        <v>981</v>
      </c>
      <c r="H722" s="924" t="s">
        <v>835</v>
      </c>
      <c r="I722" s="924" t="s">
        <v>998</v>
      </c>
      <c r="J722" s="924" t="s">
        <v>940</v>
      </c>
      <c r="K722" s="924" t="s">
        <v>1023</v>
      </c>
      <c r="L722" s="925">
        <v>199.79171907901801</v>
      </c>
      <c r="M722" s="925">
        <v>0.37367783044464897</v>
      </c>
    </row>
    <row r="723" spans="1:13" ht="11.25" customHeight="1" x14ac:dyDescent="0.2">
      <c r="A723" s="924" t="s">
        <v>853</v>
      </c>
      <c r="B723" s="924" t="s">
        <v>811</v>
      </c>
      <c r="C723" s="924" t="s">
        <v>1174</v>
      </c>
      <c r="D723" s="924" t="s">
        <v>1163</v>
      </c>
      <c r="E723" s="924" t="s">
        <v>856</v>
      </c>
      <c r="F723" s="924" t="s">
        <v>1094</v>
      </c>
      <c r="G723" s="924" t="s">
        <v>981</v>
      </c>
      <c r="H723" s="924" t="s">
        <v>835</v>
      </c>
      <c r="I723" s="924" t="s">
        <v>998</v>
      </c>
      <c r="J723" s="924" t="s">
        <v>940</v>
      </c>
      <c r="K723" s="924" t="s">
        <v>1095</v>
      </c>
      <c r="L723" s="925">
        <v>314.39520931243902</v>
      </c>
      <c r="M723" s="925">
        <v>0.58638818236067902</v>
      </c>
    </row>
    <row r="724" spans="1:13" ht="11.25" customHeight="1" x14ac:dyDescent="0.2">
      <c r="A724" s="924" t="s">
        <v>853</v>
      </c>
      <c r="B724" s="924" t="s">
        <v>811</v>
      </c>
      <c r="C724" s="924" t="s">
        <v>1174</v>
      </c>
      <c r="D724" s="924" t="s">
        <v>1163</v>
      </c>
      <c r="E724" s="924" t="s">
        <v>856</v>
      </c>
      <c r="F724" s="924" t="s">
        <v>1092</v>
      </c>
      <c r="G724" s="924" t="s">
        <v>981</v>
      </c>
      <c r="H724" s="924" t="s">
        <v>835</v>
      </c>
      <c r="I724" s="924" t="s">
        <v>998</v>
      </c>
      <c r="J724" s="924" t="s">
        <v>940</v>
      </c>
      <c r="K724" s="924" t="s">
        <v>1093</v>
      </c>
      <c r="L724" s="925">
        <v>213.96441161632501</v>
      </c>
      <c r="M724" s="925">
        <v>0.42340121511369899</v>
      </c>
    </row>
    <row r="725" spans="1:13" ht="11.25" customHeight="1" x14ac:dyDescent="0.2">
      <c r="A725" s="924" t="s">
        <v>853</v>
      </c>
      <c r="B725" s="924" t="s">
        <v>811</v>
      </c>
      <c r="C725" s="924" t="s">
        <v>1174</v>
      </c>
      <c r="D725" s="924" t="s">
        <v>1163</v>
      </c>
      <c r="E725" s="924" t="s">
        <v>856</v>
      </c>
      <c r="F725" s="924" t="s">
        <v>1090</v>
      </c>
      <c r="G725" s="924" t="s">
        <v>981</v>
      </c>
      <c r="H725" s="924" t="s">
        <v>835</v>
      </c>
      <c r="I725" s="924" t="s">
        <v>998</v>
      </c>
      <c r="J725" s="924" t="s">
        <v>940</v>
      </c>
      <c r="K725" s="924" t="s">
        <v>1091</v>
      </c>
      <c r="L725" s="925">
        <v>488.496826171875</v>
      </c>
      <c r="M725" s="925">
        <v>0.83193768234923504</v>
      </c>
    </row>
    <row r="726" spans="1:13" ht="11.25" customHeight="1" x14ac:dyDescent="0.2">
      <c r="A726" s="924" t="s">
        <v>853</v>
      </c>
      <c r="B726" s="924" t="s">
        <v>811</v>
      </c>
      <c r="C726" s="924" t="s">
        <v>1174</v>
      </c>
      <c r="D726" s="924" t="s">
        <v>1163</v>
      </c>
      <c r="E726" s="924" t="s">
        <v>856</v>
      </c>
      <c r="F726" s="924" t="s">
        <v>1088</v>
      </c>
      <c r="G726" s="924" t="s">
        <v>981</v>
      </c>
      <c r="H726" s="924" t="s">
        <v>835</v>
      </c>
      <c r="I726" s="924" t="s">
        <v>998</v>
      </c>
      <c r="J726" s="924" t="s">
        <v>940</v>
      </c>
      <c r="K726" s="924" t="s">
        <v>1089</v>
      </c>
      <c r="L726" s="925">
        <v>245.41417646408101</v>
      </c>
      <c r="M726" s="925">
        <v>0.44832380814477801</v>
      </c>
    </row>
    <row r="727" spans="1:13" ht="11.25" customHeight="1" x14ac:dyDescent="0.2">
      <c r="A727" s="924" t="s">
        <v>853</v>
      </c>
      <c r="B727" s="924" t="s">
        <v>811</v>
      </c>
      <c r="C727" s="924" t="s">
        <v>1174</v>
      </c>
      <c r="D727" s="924" t="s">
        <v>1163</v>
      </c>
      <c r="E727" s="924" t="s">
        <v>856</v>
      </c>
      <c r="F727" s="924" t="s">
        <v>1086</v>
      </c>
      <c r="G727" s="924" t="s">
        <v>981</v>
      </c>
      <c r="H727" s="924" t="s">
        <v>835</v>
      </c>
      <c r="I727" s="924" t="s">
        <v>998</v>
      </c>
      <c r="J727" s="924" t="s">
        <v>940</v>
      </c>
      <c r="K727" s="924" t="s">
        <v>1087</v>
      </c>
      <c r="L727" s="925">
        <v>352.53921794891397</v>
      </c>
      <c r="M727" s="925">
        <v>0.67875531688332602</v>
      </c>
    </row>
    <row r="728" spans="1:13" ht="11.25" customHeight="1" x14ac:dyDescent="0.2">
      <c r="A728" s="924" t="s">
        <v>853</v>
      </c>
      <c r="B728" s="924" t="s">
        <v>811</v>
      </c>
      <c r="C728" s="924" t="s">
        <v>1174</v>
      </c>
      <c r="D728" s="924" t="s">
        <v>1163</v>
      </c>
      <c r="E728" s="924" t="s">
        <v>856</v>
      </c>
      <c r="F728" s="924" t="s">
        <v>1083</v>
      </c>
      <c r="G728" s="924" t="s">
        <v>981</v>
      </c>
      <c r="H728" s="924" t="s">
        <v>835</v>
      </c>
      <c r="I728" s="924" t="s">
        <v>998</v>
      </c>
      <c r="J728" s="924" t="s">
        <v>940</v>
      </c>
      <c r="K728" s="924" t="s">
        <v>1084</v>
      </c>
      <c r="L728" s="925">
        <v>26.343613535165801</v>
      </c>
      <c r="M728" s="925">
        <v>4.81280164967757E-2</v>
      </c>
    </row>
    <row r="729" spans="1:13" ht="11.25" customHeight="1" x14ac:dyDescent="0.2">
      <c r="A729" s="924" t="s">
        <v>853</v>
      </c>
      <c r="B729" s="924" t="s">
        <v>811</v>
      </c>
      <c r="C729" s="924" t="s">
        <v>1174</v>
      </c>
      <c r="D729" s="924" t="s">
        <v>1163</v>
      </c>
      <c r="E729" s="924" t="s">
        <v>856</v>
      </c>
      <c r="F729" s="924" t="s">
        <v>930</v>
      </c>
      <c r="G729" s="924" t="s">
        <v>911</v>
      </c>
      <c r="H729" s="924" t="s">
        <v>665</v>
      </c>
      <c r="I729" s="924" t="s">
        <v>706</v>
      </c>
      <c r="J729" s="924" t="s">
        <v>863</v>
      </c>
      <c r="K729" s="924" t="s">
        <v>931</v>
      </c>
      <c r="L729" s="925">
        <v>249.70623779296901</v>
      </c>
      <c r="M729" s="925">
        <v>5.0888259262137601E-2</v>
      </c>
    </row>
    <row r="730" spans="1:13" ht="11.25" customHeight="1" x14ac:dyDescent="0.2">
      <c r="A730" s="924" t="s">
        <v>853</v>
      </c>
      <c r="B730" s="924" t="s">
        <v>811</v>
      </c>
      <c r="C730" s="924" t="s">
        <v>1174</v>
      </c>
      <c r="D730" s="924" t="s">
        <v>1163</v>
      </c>
      <c r="E730" s="924" t="s">
        <v>856</v>
      </c>
      <c r="F730" s="924" t="s">
        <v>1122</v>
      </c>
      <c r="G730" s="924" t="s">
        <v>981</v>
      </c>
      <c r="H730" s="924" t="s">
        <v>835</v>
      </c>
      <c r="I730" s="924" t="s">
        <v>1040</v>
      </c>
      <c r="J730" s="924" t="s">
        <v>875</v>
      </c>
      <c r="K730" s="924" t="s">
        <v>950</v>
      </c>
      <c r="L730" s="925">
        <v>2712.02537536621</v>
      </c>
      <c r="M730" s="925">
        <v>1.8810443440447699</v>
      </c>
    </row>
    <row r="731" spans="1:13" ht="11.25" customHeight="1" x14ac:dyDescent="0.2">
      <c r="A731" s="924" t="s">
        <v>853</v>
      </c>
      <c r="B731" s="924" t="s">
        <v>811</v>
      </c>
      <c r="C731" s="924" t="s">
        <v>1174</v>
      </c>
      <c r="D731" s="924" t="s">
        <v>1163</v>
      </c>
      <c r="E731" s="924" t="s">
        <v>856</v>
      </c>
      <c r="F731" s="924" t="s">
        <v>1081</v>
      </c>
      <c r="G731" s="924" t="s">
        <v>981</v>
      </c>
      <c r="H731" s="924" t="s">
        <v>835</v>
      </c>
      <c r="I731" s="924" t="s">
        <v>998</v>
      </c>
      <c r="J731" s="924" t="s">
        <v>863</v>
      </c>
      <c r="K731" s="924" t="s">
        <v>935</v>
      </c>
      <c r="L731" s="925">
        <v>4.2664029784500599</v>
      </c>
      <c r="M731" s="925">
        <v>9.5328825264005008E-3</v>
      </c>
    </row>
    <row r="732" spans="1:13" ht="11.25" customHeight="1" x14ac:dyDescent="0.2">
      <c r="A732" s="924" t="s">
        <v>853</v>
      </c>
      <c r="B732" s="924" t="s">
        <v>811</v>
      </c>
      <c r="C732" s="924" t="s">
        <v>1174</v>
      </c>
      <c r="D732" s="924" t="s">
        <v>1163</v>
      </c>
      <c r="E732" s="924" t="s">
        <v>856</v>
      </c>
      <c r="F732" s="924" t="s">
        <v>1102</v>
      </c>
      <c r="G732" s="924" t="s">
        <v>981</v>
      </c>
      <c r="H732" s="924" t="s">
        <v>835</v>
      </c>
      <c r="I732" s="924" t="s">
        <v>998</v>
      </c>
      <c r="J732" s="924" t="s">
        <v>875</v>
      </c>
      <c r="K732" s="924" t="s">
        <v>876</v>
      </c>
      <c r="L732" s="925">
        <v>29.324558526277499</v>
      </c>
      <c r="M732" s="925">
        <v>5.93369275447913E-2</v>
      </c>
    </row>
    <row r="733" spans="1:13" ht="11.25" customHeight="1" x14ac:dyDescent="0.2">
      <c r="A733" s="924" t="s">
        <v>853</v>
      </c>
      <c r="B733" s="924" t="s">
        <v>811</v>
      </c>
      <c r="C733" s="924" t="s">
        <v>1174</v>
      </c>
      <c r="D733" s="924" t="s">
        <v>1163</v>
      </c>
      <c r="E733" s="924" t="s">
        <v>856</v>
      </c>
      <c r="F733" s="924" t="s">
        <v>1116</v>
      </c>
      <c r="G733" s="924" t="s">
        <v>981</v>
      </c>
      <c r="H733" s="924" t="s">
        <v>835</v>
      </c>
      <c r="I733" s="924" t="s">
        <v>1040</v>
      </c>
      <c r="J733" s="924" t="s">
        <v>940</v>
      </c>
      <c r="K733" s="924" t="s">
        <v>1032</v>
      </c>
      <c r="L733" s="925">
        <v>3486.2257509231599</v>
      </c>
      <c r="M733" s="925">
        <v>2.1963219745084599</v>
      </c>
    </row>
    <row r="734" spans="1:13" ht="11.25" customHeight="1" x14ac:dyDescent="0.2">
      <c r="A734" s="924" t="s">
        <v>853</v>
      </c>
      <c r="B734" s="924" t="s">
        <v>811</v>
      </c>
      <c r="C734" s="924" t="s">
        <v>1174</v>
      </c>
      <c r="D734" s="924" t="s">
        <v>1163</v>
      </c>
      <c r="E734" s="924" t="s">
        <v>856</v>
      </c>
      <c r="F734" s="924" t="s">
        <v>1103</v>
      </c>
      <c r="G734" s="924" t="s">
        <v>981</v>
      </c>
      <c r="H734" s="924" t="s">
        <v>835</v>
      </c>
      <c r="I734" s="924" t="s">
        <v>998</v>
      </c>
      <c r="J734" s="924" t="s">
        <v>863</v>
      </c>
      <c r="K734" s="924" t="s">
        <v>864</v>
      </c>
      <c r="L734" s="925">
        <v>0.32647072104737201</v>
      </c>
      <c r="M734" s="925">
        <v>7.2946821273944795E-4</v>
      </c>
    </row>
    <row r="735" spans="1:13" ht="11.25" customHeight="1" x14ac:dyDescent="0.2">
      <c r="A735" s="924" t="s">
        <v>853</v>
      </c>
      <c r="B735" s="924" t="s">
        <v>811</v>
      </c>
      <c r="C735" s="924" t="s">
        <v>1174</v>
      </c>
      <c r="D735" s="924" t="s">
        <v>1163</v>
      </c>
      <c r="E735" s="924" t="s">
        <v>856</v>
      </c>
      <c r="F735" s="924" t="s">
        <v>1173</v>
      </c>
      <c r="G735" s="924" t="s">
        <v>981</v>
      </c>
      <c r="H735" s="924" t="s">
        <v>835</v>
      </c>
      <c r="I735" s="924" t="s">
        <v>1040</v>
      </c>
      <c r="J735" s="924" t="s">
        <v>863</v>
      </c>
      <c r="K735" s="924" t="s">
        <v>1171</v>
      </c>
      <c r="L735" s="925">
        <v>11.7631330490112</v>
      </c>
      <c r="M735" s="925">
        <v>9.52263327781111E-3</v>
      </c>
    </row>
    <row r="736" spans="1:13" ht="11.25" customHeight="1" x14ac:dyDescent="0.2">
      <c r="A736" s="924" t="s">
        <v>853</v>
      </c>
      <c r="B736" s="924" t="s">
        <v>811</v>
      </c>
      <c r="C736" s="924" t="s">
        <v>1174</v>
      </c>
      <c r="D736" s="924" t="s">
        <v>1163</v>
      </c>
      <c r="E736" s="924" t="s">
        <v>856</v>
      </c>
      <c r="F736" s="924" t="s">
        <v>1123</v>
      </c>
      <c r="G736" s="924" t="s">
        <v>981</v>
      </c>
      <c r="H736" s="924" t="s">
        <v>835</v>
      </c>
      <c r="I736" s="924" t="s">
        <v>1040</v>
      </c>
      <c r="J736" s="924" t="s">
        <v>875</v>
      </c>
      <c r="K736" s="924" t="s">
        <v>952</v>
      </c>
      <c r="L736" s="925">
        <v>127.222025156021</v>
      </c>
      <c r="M736" s="925">
        <v>8.8506500025474097E-2</v>
      </c>
    </row>
    <row r="737" spans="1:13" ht="11.25" customHeight="1" x14ac:dyDescent="0.2">
      <c r="A737" s="924" t="s">
        <v>853</v>
      </c>
      <c r="B737" s="924" t="s">
        <v>811</v>
      </c>
      <c r="C737" s="924" t="s">
        <v>1174</v>
      </c>
      <c r="D737" s="924" t="s">
        <v>1163</v>
      </c>
      <c r="E737" s="924" t="s">
        <v>856</v>
      </c>
      <c r="F737" s="924" t="s">
        <v>1119</v>
      </c>
      <c r="G737" s="924" t="s">
        <v>981</v>
      </c>
      <c r="H737" s="924" t="s">
        <v>835</v>
      </c>
      <c r="I737" s="924" t="s">
        <v>1040</v>
      </c>
      <c r="J737" s="924" t="s">
        <v>875</v>
      </c>
      <c r="K737" s="924" t="s">
        <v>878</v>
      </c>
      <c r="L737" s="925">
        <v>1506.68140411377</v>
      </c>
      <c r="M737" s="925">
        <v>1.0030174215134999</v>
      </c>
    </row>
    <row r="738" spans="1:13" ht="11.25" customHeight="1" x14ac:dyDescent="0.2">
      <c r="A738" s="924" t="s">
        <v>853</v>
      </c>
      <c r="B738" s="924" t="s">
        <v>811</v>
      </c>
      <c r="C738" s="924" t="s">
        <v>1174</v>
      </c>
      <c r="D738" s="924" t="s">
        <v>1163</v>
      </c>
      <c r="E738" s="924" t="s">
        <v>856</v>
      </c>
      <c r="F738" s="924" t="s">
        <v>1104</v>
      </c>
      <c r="G738" s="924" t="s">
        <v>981</v>
      </c>
      <c r="H738" s="924" t="s">
        <v>835</v>
      </c>
      <c r="I738" s="924" t="s">
        <v>1040</v>
      </c>
      <c r="J738" s="924" t="s">
        <v>875</v>
      </c>
      <c r="K738" s="924" t="s">
        <v>876</v>
      </c>
      <c r="L738" s="925">
        <v>6032.9403152465802</v>
      </c>
      <c r="M738" s="925">
        <v>4.0602613538503602</v>
      </c>
    </row>
    <row r="739" spans="1:13" ht="11.25" customHeight="1" x14ac:dyDescent="0.2">
      <c r="A739" s="924" t="s">
        <v>853</v>
      </c>
      <c r="B739" s="924" t="s">
        <v>811</v>
      </c>
      <c r="C739" s="924" t="s">
        <v>1174</v>
      </c>
      <c r="D739" s="924" t="s">
        <v>1163</v>
      </c>
      <c r="E739" s="924" t="s">
        <v>856</v>
      </c>
      <c r="F739" s="924" t="s">
        <v>1141</v>
      </c>
      <c r="G739" s="924" t="s">
        <v>981</v>
      </c>
      <c r="H739" s="924" t="s">
        <v>835</v>
      </c>
      <c r="I739" s="924" t="s">
        <v>1040</v>
      </c>
      <c r="J739" s="924" t="s">
        <v>940</v>
      </c>
      <c r="K739" s="924" t="s">
        <v>1142</v>
      </c>
      <c r="L739" s="925">
        <v>625.47270083427395</v>
      </c>
      <c r="M739" s="925">
        <v>0.46124652470462002</v>
      </c>
    </row>
    <row r="740" spans="1:13" ht="11.25" customHeight="1" x14ac:dyDescent="0.2">
      <c r="A740" s="924" t="s">
        <v>853</v>
      </c>
      <c r="B740" s="924" t="s">
        <v>811</v>
      </c>
      <c r="C740" s="924" t="s">
        <v>1174</v>
      </c>
      <c r="D740" s="924" t="s">
        <v>1163</v>
      </c>
      <c r="E740" s="924" t="s">
        <v>856</v>
      </c>
      <c r="F740" s="924" t="s">
        <v>1105</v>
      </c>
      <c r="G740" s="924" t="s">
        <v>981</v>
      </c>
      <c r="H740" s="924" t="s">
        <v>835</v>
      </c>
      <c r="I740" s="924" t="s">
        <v>1040</v>
      </c>
      <c r="J740" s="924" t="s">
        <v>940</v>
      </c>
      <c r="K740" s="924" t="s">
        <v>1106</v>
      </c>
      <c r="L740" s="925">
        <v>430.21072006225597</v>
      </c>
      <c r="M740" s="925">
        <v>0.31514863088301598</v>
      </c>
    </row>
    <row r="741" spans="1:13" ht="11.25" customHeight="1" x14ac:dyDescent="0.2">
      <c r="A741" s="924" t="s">
        <v>853</v>
      </c>
      <c r="B741" s="924" t="s">
        <v>811</v>
      </c>
      <c r="C741" s="924" t="s">
        <v>1174</v>
      </c>
      <c r="D741" s="924" t="s">
        <v>1163</v>
      </c>
      <c r="E741" s="924" t="s">
        <v>856</v>
      </c>
      <c r="F741" s="924" t="s">
        <v>1121</v>
      </c>
      <c r="G741" s="924" t="s">
        <v>981</v>
      </c>
      <c r="H741" s="924" t="s">
        <v>835</v>
      </c>
      <c r="I741" s="924" t="s">
        <v>1040</v>
      </c>
      <c r="J741" s="924" t="s">
        <v>875</v>
      </c>
      <c r="K741" s="924" t="s">
        <v>948</v>
      </c>
      <c r="L741" s="925">
        <v>1714.6402015686001</v>
      </c>
      <c r="M741" s="925">
        <v>1.0726475877763699</v>
      </c>
    </row>
    <row r="742" spans="1:13" ht="11.25" customHeight="1" x14ac:dyDescent="0.2">
      <c r="A742" s="924" t="s">
        <v>853</v>
      </c>
      <c r="B742" s="924" t="s">
        <v>811</v>
      </c>
      <c r="C742" s="924" t="s">
        <v>1174</v>
      </c>
      <c r="D742" s="924" t="s">
        <v>1163</v>
      </c>
      <c r="E742" s="924" t="s">
        <v>856</v>
      </c>
      <c r="F742" s="924" t="s">
        <v>1132</v>
      </c>
      <c r="G742" s="924" t="s">
        <v>981</v>
      </c>
      <c r="H742" s="924" t="s">
        <v>835</v>
      </c>
      <c r="I742" s="924" t="s">
        <v>1040</v>
      </c>
      <c r="J742" s="924" t="s">
        <v>940</v>
      </c>
      <c r="K742" s="924" t="s">
        <v>941</v>
      </c>
      <c r="L742" s="925">
        <v>180.213012337685</v>
      </c>
      <c r="M742" s="925">
        <v>7.8643486049259095E-2</v>
      </c>
    </row>
    <row r="743" spans="1:13" ht="11.25" customHeight="1" x14ac:dyDescent="0.2">
      <c r="A743" s="924" t="s">
        <v>853</v>
      </c>
      <c r="B743" s="924" t="s">
        <v>811</v>
      </c>
      <c r="C743" s="924" t="s">
        <v>1174</v>
      </c>
      <c r="D743" s="924" t="s">
        <v>1163</v>
      </c>
      <c r="E743" s="924" t="s">
        <v>856</v>
      </c>
      <c r="F743" s="924" t="s">
        <v>1145</v>
      </c>
      <c r="G743" s="924" t="s">
        <v>981</v>
      </c>
      <c r="H743" s="924" t="s">
        <v>835</v>
      </c>
      <c r="I743" s="924" t="s">
        <v>1040</v>
      </c>
      <c r="J743" s="924" t="s">
        <v>940</v>
      </c>
      <c r="K743" s="924" t="s">
        <v>1029</v>
      </c>
      <c r="L743" s="925">
        <v>1080.0007791519199</v>
      </c>
      <c r="M743" s="925">
        <v>0.70963798835873604</v>
      </c>
    </row>
    <row r="744" spans="1:13" ht="11.25" customHeight="1" x14ac:dyDescent="0.2">
      <c r="A744" s="924" t="s">
        <v>853</v>
      </c>
      <c r="B744" s="924" t="s">
        <v>811</v>
      </c>
      <c r="C744" s="924" t="s">
        <v>1174</v>
      </c>
      <c r="D744" s="924" t="s">
        <v>1163</v>
      </c>
      <c r="E744" s="924" t="s">
        <v>856</v>
      </c>
      <c r="F744" s="924" t="s">
        <v>1146</v>
      </c>
      <c r="G744" s="924" t="s">
        <v>981</v>
      </c>
      <c r="H744" s="924" t="s">
        <v>835</v>
      </c>
      <c r="I744" s="924" t="s">
        <v>1040</v>
      </c>
      <c r="J744" s="924" t="s">
        <v>940</v>
      </c>
      <c r="K744" s="924" t="s">
        <v>1147</v>
      </c>
      <c r="L744" s="925">
        <v>12101.527923584001</v>
      </c>
      <c r="M744" s="925">
        <v>7.7847903445363</v>
      </c>
    </row>
    <row r="745" spans="1:13" ht="11.25" customHeight="1" x14ac:dyDescent="0.2">
      <c r="A745" s="924" t="s">
        <v>853</v>
      </c>
      <c r="B745" s="924" t="s">
        <v>811</v>
      </c>
      <c r="C745" s="924" t="s">
        <v>1174</v>
      </c>
      <c r="D745" s="924" t="s">
        <v>1163</v>
      </c>
      <c r="E745" s="924" t="s">
        <v>856</v>
      </c>
      <c r="F745" s="924" t="s">
        <v>1159</v>
      </c>
      <c r="G745" s="924" t="s">
        <v>981</v>
      </c>
      <c r="H745" s="924" t="s">
        <v>835</v>
      </c>
      <c r="I745" s="924" t="s">
        <v>1040</v>
      </c>
      <c r="J745" s="924" t="s">
        <v>940</v>
      </c>
      <c r="K745" s="924" t="s">
        <v>1095</v>
      </c>
      <c r="L745" s="925">
        <v>47.228311300277703</v>
      </c>
      <c r="M745" s="925">
        <v>3.2975411770166801E-2</v>
      </c>
    </row>
    <row r="746" spans="1:13" ht="11.25" customHeight="1" x14ac:dyDescent="0.2">
      <c r="A746" s="924" t="s">
        <v>853</v>
      </c>
      <c r="B746" s="924" t="s">
        <v>811</v>
      </c>
      <c r="C746" s="924" t="s">
        <v>1174</v>
      </c>
      <c r="D746" s="924" t="s">
        <v>1163</v>
      </c>
      <c r="E746" s="924" t="s">
        <v>856</v>
      </c>
      <c r="F746" s="924" t="s">
        <v>1149</v>
      </c>
      <c r="G746" s="924" t="s">
        <v>981</v>
      </c>
      <c r="H746" s="924" t="s">
        <v>835</v>
      </c>
      <c r="I746" s="924" t="s">
        <v>1040</v>
      </c>
      <c r="J746" s="924" t="s">
        <v>940</v>
      </c>
      <c r="K746" s="924" t="s">
        <v>1091</v>
      </c>
      <c r="L746" s="925">
        <v>24.7565970122814</v>
      </c>
      <c r="M746" s="925">
        <v>1.7282399552641398E-2</v>
      </c>
    </row>
    <row r="747" spans="1:13" ht="11.25" customHeight="1" x14ac:dyDescent="0.2">
      <c r="A747" s="924" t="s">
        <v>853</v>
      </c>
      <c r="B747" s="924" t="s">
        <v>811</v>
      </c>
      <c r="C747" s="924" t="s">
        <v>1174</v>
      </c>
      <c r="D747" s="924" t="s">
        <v>1163</v>
      </c>
      <c r="E747" s="924" t="s">
        <v>856</v>
      </c>
      <c r="F747" s="924" t="s">
        <v>1107</v>
      </c>
      <c r="G747" s="924" t="s">
        <v>981</v>
      </c>
      <c r="H747" s="924" t="s">
        <v>835</v>
      </c>
      <c r="I747" s="924" t="s">
        <v>1040</v>
      </c>
      <c r="J747" s="924" t="s">
        <v>940</v>
      </c>
      <c r="K747" s="924" t="s">
        <v>1034</v>
      </c>
      <c r="L747" s="925">
        <v>107.164346724749</v>
      </c>
      <c r="M747" s="925">
        <v>7.7887108517671805E-2</v>
      </c>
    </row>
    <row r="748" spans="1:13" ht="11.25" customHeight="1" x14ac:dyDescent="0.2">
      <c r="A748" s="924" t="s">
        <v>853</v>
      </c>
      <c r="B748" s="924" t="s">
        <v>811</v>
      </c>
      <c r="C748" s="924" t="s">
        <v>1174</v>
      </c>
      <c r="D748" s="924" t="s">
        <v>1163</v>
      </c>
      <c r="E748" s="924" t="s">
        <v>856</v>
      </c>
      <c r="F748" s="924" t="s">
        <v>1143</v>
      </c>
      <c r="G748" s="924" t="s">
        <v>981</v>
      </c>
      <c r="H748" s="924" t="s">
        <v>835</v>
      </c>
      <c r="I748" s="924" t="s">
        <v>1040</v>
      </c>
      <c r="J748" s="924" t="s">
        <v>940</v>
      </c>
      <c r="K748" s="924" t="s">
        <v>1084</v>
      </c>
      <c r="L748" s="925">
        <v>384.16366672515898</v>
      </c>
      <c r="M748" s="925">
        <v>0.28086402872577299</v>
      </c>
    </row>
    <row r="749" spans="1:13" ht="11.25" customHeight="1" x14ac:dyDescent="0.2">
      <c r="A749" s="924" t="s">
        <v>853</v>
      </c>
      <c r="B749" s="924" t="s">
        <v>811</v>
      </c>
      <c r="C749" s="924" t="s">
        <v>1174</v>
      </c>
      <c r="D749" s="924" t="s">
        <v>1163</v>
      </c>
      <c r="E749" s="924" t="s">
        <v>856</v>
      </c>
      <c r="F749" s="924" t="s">
        <v>1150</v>
      </c>
      <c r="G749" s="924" t="s">
        <v>981</v>
      </c>
      <c r="H749" s="924" t="s">
        <v>835</v>
      </c>
      <c r="I749" s="924" t="s">
        <v>1040</v>
      </c>
      <c r="J749" s="924" t="s">
        <v>940</v>
      </c>
      <c r="K749" s="924" t="s">
        <v>1151</v>
      </c>
      <c r="L749" s="925">
        <v>42.838966369628899</v>
      </c>
      <c r="M749" s="925">
        <v>3.01426213845843E-2</v>
      </c>
    </row>
    <row r="750" spans="1:13" ht="11.25" customHeight="1" x14ac:dyDescent="0.2">
      <c r="A750" s="924" t="s">
        <v>853</v>
      </c>
      <c r="B750" s="924" t="s">
        <v>811</v>
      </c>
      <c r="C750" s="924" t="s">
        <v>1174</v>
      </c>
      <c r="D750" s="924" t="s">
        <v>1163</v>
      </c>
      <c r="E750" s="924" t="s">
        <v>856</v>
      </c>
      <c r="F750" s="924" t="s">
        <v>1144</v>
      </c>
      <c r="G750" s="924" t="s">
        <v>981</v>
      </c>
      <c r="H750" s="924" t="s">
        <v>835</v>
      </c>
      <c r="I750" s="924" t="s">
        <v>1040</v>
      </c>
      <c r="J750" s="924" t="s">
        <v>940</v>
      </c>
      <c r="K750" s="924" t="s">
        <v>1070</v>
      </c>
      <c r="L750" s="925">
        <v>371.880023956299</v>
      </c>
      <c r="M750" s="925">
        <v>0.25887743907514998</v>
      </c>
    </row>
    <row r="751" spans="1:13" ht="11.25" customHeight="1" x14ac:dyDescent="0.2">
      <c r="A751" s="924" t="s">
        <v>853</v>
      </c>
      <c r="B751" s="924" t="s">
        <v>811</v>
      </c>
      <c r="C751" s="924" t="s">
        <v>1174</v>
      </c>
      <c r="D751" s="924" t="s">
        <v>1163</v>
      </c>
      <c r="E751" s="924" t="s">
        <v>856</v>
      </c>
      <c r="F751" s="924" t="s">
        <v>1160</v>
      </c>
      <c r="G751" s="924" t="s">
        <v>981</v>
      </c>
      <c r="H751" s="924" t="s">
        <v>835</v>
      </c>
      <c r="I751" s="924" t="s">
        <v>1040</v>
      </c>
      <c r="J751" s="924" t="s">
        <v>940</v>
      </c>
      <c r="K751" s="924" t="s">
        <v>1093</v>
      </c>
      <c r="L751" s="925">
        <v>14.487909026443999</v>
      </c>
      <c r="M751" s="925">
        <v>1.0215770249487799E-2</v>
      </c>
    </row>
    <row r="752" spans="1:13" ht="11.25" customHeight="1" x14ac:dyDescent="0.2">
      <c r="A752" s="924" t="s">
        <v>853</v>
      </c>
      <c r="B752" s="924" t="s">
        <v>811</v>
      </c>
      <c r="C752" s="924" t="s">
        <v>1174</v>
      </c>
      <c r="D752" s="924" t="s">
        <v>1163</v>
      </c>
      <c r="E752" s="924" t="s">
        <v>856</v>
      </c>
      <c r="F752" s="924" t="s">
        <v>1158</v>
      </c>
      <c r="G752" s="924" t="s">
        <v>981</v>
      </c>
      <c r="H752" s="924" t="s">
        <v>835</v>
      </c>
      <c r="I752" s="924" t="s">
        <v>1040</v>
      </c>
      <c r="J752" s="924" t="s">
        <v>940</v>
      </c>
      <c r="K752" s="924" t="s">
        <v>1023</v>
      </c>
      <c r="L752" s="925">
        <v>593.61294269561802</v>
      </c>
      <c r="M752" s="925">
        <v>0.34099424954683899</v>
      </c>
    </row>
    <row r="753" spans="1:13" ht="11.25" customHeight="1" x14ac:dyDescent="0.2">
      <c r="A753" s="924" t="s">
        <v>853</v>
      </c>
      <c r="B753" s="924" t="s">
        <v>811</v>
      </c>
      <c r="C753" s="924" t="s">
        <v>1174</v>
      </c>
      <c r="D753" s="924" t="s">
        <v>1163</v>
      </c>
      <c r="E753" s="924" t="s">
        <v>856</v>
      </c>
      <c r="F753" s="924" t="s">
        <v>1157</v>
      </c>
      <c r="G753" s="924" t="s">
        <v>981</v>
      </c>
      <c r="H753" s="924" t="s">
        <v>835</v>
      </c>
      <c r="I753" s="924" t="s">
        <v>1040</v>
      </c>
      <c r="J753" s="924" t="s">
        <v>940</v>
      </c>
      <c r="K753" s="924" t="s">
        <v>1098</v>
      </c>
      <c r="L753" s="925">
        <v>508.540336608887</v>
      </c>
      <c r="M753" s="925">
        <v>0.95495444536209095</v>
      </c>
    </row>
    <row r="754" spans="1:13" ht="11.25" customHeight="1" x14ac:dyDescent="0.2">
      <c r="A754" s="924" t="s">
        <v>853</v>
      </c>
      <c r="B754" s="924" t="s">
        <v>811</v>
      </c>
      <c r="C754" s="924" t="s">
        <v>1174</v>
      </c>
      <c r="D754" s="924" t="s">
        <v>1163</v>
      </c>
      <c r="E754" s="924" t="s">
        <v>856</v>
      </c>
      <c r="F754" s="924" t="s">
        <v>1156</v>
      </c>
      <c r="G754" s="924" t="s">
        <v>981</v>
      </c>
      <c r="H754" s="924" t="s">
        <v>835</v>
      </c>
      <c r="I754" s="924" t="s">
        <v>1040</v>
      </c>
      <c r="J754" s="924" t="s">
        <v>940</v>
      </c>
      <c r="K754" s="924" t="s">
        <v>1025</v>
      </c>
      <c r="L754" s="925">
        <v>237.83436203002901</v>
      </c>
      <c r="M754" s="925">
        <v>0.44603091455064697</v>
      </c>
    </row>
    <row r="755" spans="1:13" ht="11.25" customHeight="1" x14ac:dyDescent="0.2">
      <c r="A755" s="924" t="s">
        <v>853</v>
      </c>
      <c r="B755" s="924" t="s">
        <v>811</v>
      </c>
      <c r="C755" s="924" t="s">
        <v>1174</v>
      </c>
      <c r="D755" s="924" t="s">
        <v>1163</v>
      </c>
      <c r="E755" s="924" t="s">
        <v>856</v>
      </c>
      <c r="F755" s="924" t="s">
        <v>1154</v>
      </c>
      <c r="G755" s="924" t="s">
        <v>981</v>
      </c>
      <c r="H755" s="924" t="s">
        <v>835</v>
      </c>
      <c r="I755" s="924" t="s">
        <v>1040</v>
      </c>
      <c r="J755" s="924" t="s">
        <v>940</v>
      </c>
      <c r="K755" s="924" t="s">
        <v>1155</v>
      </c>
      <c r="L755" s="925">
        <v>902.75053405761696</v>
      </c>
      <c r="M755" s="925">
        <v>0.58173859142630102</v>
      </c>
    </row>
    <row r="756" spans="1:13" ht="11.25" customHeight="1" x14ac:dyDescent="0.2">
      <c r="A756" s="924" t="s">
        <v>853</v>
      </c>
      <c r="B756" s="924" t="s">
        <v>811</v>
      </c>
      <c r="C756" s="924" t="s">
        <v>1174</v>
      </c>
      <c r="D756" s="924" t="s">
        <v>1163</v>
      </c>
      <c r="E756" s="924" t="s">
        <v>856</v>
      </c>
      <c r="F756" s="924" t="s">
        <v>1152</v>
      </c>
      <c r="G756" s="924" t="s">
        <v>981</v>
      </c>
      <c r="H756" s="924" t="s">
        <v>835</v>
      </c>
      <c r="I756" s="924" t="s">
        <v>1040</v>
      </c>
      <c r="J756" s="924" t="s">
        <v>940</v>
      </c>
      <c r="K756" s="924" t="s">
        <v>1153</v>
      </c>
      <c r="L756" s="925">
        <v>79.470024943351703</v>
      </c>
      <c r="M756" s="925">
        <v>5.2228430402465199E-2</v>
      </c>
    </row>
    <row r="757" spans="1:13" ht="11.25" customHeight="1" x14ac:dyDescent="0.2">
      <c r="A757" s="924" t="s">
        <v>853</v>
      </c>
      <c r="B757" s="924" t="s">
        <v>811</v>
      </c>
      <c r="C757" s="924" t="s">
        <v>1174</v>
      </c>
      <c r="D757" s="924" t="s">
        <v>1163</v>
      </c>
      <c r="E757" s="924" t="s">
        <v>856</v>
      </c>
      <c r="F757" s="924" t="s">
        <v>1161</v>
      </c>
      <c r="G757" s="924" t="s">
        <v>981</v>
      </c>
      <c r="H757" s="924" t="s">
        <v>835</v>
      </c>
      <c r="I757" s="924" t="s">
        <v>1040</v>
      </c>
      <c r="J757" s="924" t="s">
        <v>940</v>
      </c>
      <c r="K757" s="924" t="s">
        <v>1027</v>
      </c>
      <c r="L757" s="925">
        <v>89.767245709896102</v>
      </c>
      <c r="M757" s="925">
        <v>6.2014824264395002E-2</v>
      </c>
    </row>
    <row r="758" spans="1:13" ht="11.25" customHeight="1" x14ac:dyDescent="0.2">
      <c r="A758" s="924" t="s">
        <v>853</v>
      </c>
      <c r="B758" s="924" t="s">
        <v>791</v>
      </c>
      <c r="C758" s="924" t="s">
        <v>1175</v>
      </c>
      <c r="D758" s="924" t="s">
        <v>1176</v>
      </c>
      <c r="E758" s="924" t="s">
        <v>856</v>
      </c>
      <c r="F758" s="924" t="s">
        <v>865</v>
      </c>
      <c r="G758" s="924" t="s">
        <v>862</v>
      </c>
      <c r="H758" s="924" t="s">
        <v>665</v>
      </c>
      <c r="I758" s="924" t="s">
        <v>787</v>
      </c>
      <c r="J758" s="924" t="s">
        <v>863</v>
      </c>
      <c r="K758" s="924" t="s">
        <v>866</v>
      </c>
      <c r="L758" s="925">
        <v>0.62448802776634704</v>
      </c>
      <c r="M758" s="925">
        <v>3.0128952116683602E-3</v>
      </c>
    </row>
    <row r="759" spans="1:13" ht="11.25" customHeight="1" x14ac:dyDescent="0.2">
      <c r="A759" s="924" t="s">
        <v>853</v>
      </c>
      <c r="B759" s="924" t="s">
        <v>791</v>
      </c>
      <c r="C759" s="924" t="s">
        <v>1175</v>
      </c>
      <c r="D759" s="924" t="s">
        <v>1176</v>
      </c>
      <c r="E759" s="924" t="s">
        <v>856</v>
      </c>
      <c r="F759" s="924" t="s">
        <v>881</v>
      </c>
      <c r="G759" s="924" t="s">
        <v>862</v>
      </c>
      <c r="H759" s="924" t="s">
        <v>665</v>
      </c>
      <c r="I759" s="924" t="s">
        <v>787</v>
      </c>
      <c r="J759" s="924" t="s">
        <v>875</v>
      </c>
      <c r="K759" s="924" t="s">
        <v>882</v>
      </c>
      <c r="L759" s="925">
        <v>25.155682563781699</v>
      </c>
      <c r="M759" s="925">
        <v>0.12020941241644301</v>
      </c>
    </row>
    <row r="760" spans="1:13" ht="11.25" customHeight="1" x14ac:dyDescent="0.2">
      <c r="A760" s="924" t="s">
        <v>853</v>
      </c>
      <c r="B760" s="924" t="s">
        <v>791</v>
      </c>
      <c r="C760" s="924" t="s">
        <v>1175</v>
      </c>
      <c r="D760" s="924" t="s">
        <v>1176</v>
      </c>
      <c r="E760" s="924" t="s">
        <v>856</v>
      </c>
      <c r="F760" s="924" t="s">
        <v>879</v>
      </c>
      <c r="G760" s="924" t="s">
        <v>862</v>
      </c>
      <c r="H760" s="924" t="s">
        <v>665</v>
      </c>
      <c r="I760" s="924" t="s">
        <v>787</v>
      </c>
      <c r="J760" s="924" t="s">
        <v>875</v>
      </c>
      <c r="K760" s="924" t="s">
        <v>880</v>
      </c>
      <c r="L760" s="925">
        <v>0.70680784434080102</v>
      </c>
      <c r="M760" s="925">
        <v>3.9763669058174899E-3</v>
      </c>
    </row>
    <row r="761" spans="1:13" ht="11.25" customHeight="1" x14ac:dyDescent="0.2">
      <c r="A761" s="924" t="s">
        <v>853</v>
      </c>
      <c r="B761" s="924" t="s">
        <v>791</v>
      </c>
      <c r="C761" s="924" t="s">
        <v>1175</v>
      </c>
      <c r="D761" s="924" t="s">
        <v>1176</v>
      </c>
      <c r="E761" s="924" t="s">
        <v>856</v>
      </c>
      <c r="F761" s="924" t="s">
        <v>912</v>
      </c>
      <c r="G761" s="924" t="s">
        <v>858</v>
      </c>
      <c r="H761" s="924" t="s">
        <v>836</v>
      </c>
      <c r="I761" s="924" t="s">
        <v>837</v>
      </c>
      <c r="J761" s="924" t="s">
        <v>859</v>
      </c>
      <c r="K761" s="924" t="s">
        <v>913</v>
      </c>
      <c r="L761" s="925">
        <v>153.46404755115501</v>
      </c>
      <c r="M761" s="925">
        <v>1.6900133533113101E-3</v>
      </c>
    </row>
    <row r="762" spans="1:13" ht="11.25" customHeight="1" x14ac:dyDescent="0.2">
      <c r="A762" s="924" t="s">
        <v>853</v>
      </c>
      <c r="B762" s="924" t="s">
        <v>791</v>
      </c>
      <c r="C762" s="924" t="s">
        <v>1175</v>
      </c>
      <c r="D762" s="924" t="s">
        <v>1176</v>
      </c>
      <c r="E762" s="924" t="s">
        <v>856</v>
      </c>
      <c r="F762" s="924" t="s">
        <v>877</v>
      </c>
      <c r="G762" s="924" t="s">
        <v>862</v>
      </c>
      <c r="H762" s="924" t="s">
        <v>665</v>
      </c>
      <c r="I762" s="924" t="s">
        <v>787</v>
      </c>
      <c r="J762" s="924" t="s">
        <v>875</v>
      </c>
      <c r="K762" s="924" t="s">
        <v>878</v>
      </c>
      <c r="L762" s="925">
        <v>0.479205606970936</v>
      </c>
      <c r="M762" s="925">
        <v>7.8506850695703196E-3</v>
      </c>
    </row>
    <row r="763" spans="1:13" ht="11.25" customHeight="1" x14ac:dyDescent="0.2">
      <c r="A763" s="924" t="s">
        <v>853</v>
      </c>
      <c r="B763" s="924" t="s">
        <v>791</v>
      </c>
      <c r="C763" s="924" t="s">
        <v>1175</v>
      </c>
      <c r="D763" s="924" t="s">
        <v>1176</v>
      </c>
      <c r="E763" s="924" t="s">
        <v>856</v>
      </c>
      <c r="F763" s="924" t="s">
        <v>874</v>
      </c>
      <c r="G763" s="924" t="s">
        <v>862</v>
      </c>
      <c r="H763" s="924" t="s">
        <v>665</v>
      </c>
      <c r="I763" s="924" t="s">
        <v>787</v>
      </c>
      <c r="J763" s="924" t="s">
        <v>875</v>
      </c>
      <c r="K763" s="924" t="s">
        <v>876</v>
      </c>
      <c r="L763" s="925">
        <v>10.0180783420801</v>
      </c>
      <c r="M763" s="925">
        <v>0.30473626108141599</v>
      </c>
    </row>
    <row r="764" spans="1:13" ht="11.25" customHeight="1" x14ac:dyDescent="0.2">
      <c r="A764" s="924" t="s">
        <v>853</v>
      </c>
      <c r="B764" s="924" t="s">
        <v>791</v>
      </c>
      <c r="C764" s="924" t="s">
        <v>1175</v>
      </c>
      <c r="D764" s="924" t="s">
        <v>1176</v>
      </c>
      <c r="E764" s="924" t="s">
        <v>856</v>
      </c>
      <c r="F764" s="924" t="s">
        <v>872</v>
      </c>
      <c r="G764" s="924" t="s">
        <v>862</v>
      </c>
      <c r="H764" s="924" t="s">
        <v>665</v>
      </c>
      <c r="I764" s="924" t="s">
        <v>787</v>
      </c>
      <c r="J764" s="924" t="s">
        <v>870</v>
      </c>
      <c r="K764" s="924" t="s">
        <v>873</v>
      </c>
      <c r="L764" s="925">
        <v>1.8441320667043299</v>
      </c>
      <c r="M764" s="925">
        <v>7.4226562373951302E-3</v>
      </c>
    </row>
    <row r="765" spans="1:13" ht="11.25" customHeight="1" x14ac:dyDescent="0.2">
      <c r="A765" s="924" t="s">
        <v>853</v>
      </c>
      <c r="B765" s="924" t="s">
        <v>791</v>
      </c>
      <c r="C765" s="924" t="s">
        <v>1175</v>
      </c>
      <c r="D765" s="924" t="s">
        <v>1176</v>
      </c>
      <c r="E765" s="924" t="s">
        <v>856</v>
      </c>
      <c r="F765" s="924" t="s">
        <v>867</v>
      </c>
      <c r="G765" s="924" t="s">
        <v>862</v>
      </c>
      <c r="H765" s="924" t="s">
        <v>665</v>
      </c>
      <c r="I765" s="924" t="s">
        <v>787</v>
      </c>
      <c r="J765" s="924" t="s">
        <v>863</v>
      </c>
      <c r="K765" s="924" t="s">
        <v>868</v>
      </c>
      <c r="L765" s="925">
        <v>0.311902293004096</v>
      </c>
      <c r="M765" s="925">
        <v>1.27612225878693E-3</v>
      </c>
    </row>
    <row r="766" spans="1:13" ht="11.25" customHeight="1" x14ac:dyDescent="0.2">
      <c r="A766" s="924" t="s">
        <v>853</v>
      </c>
      <c r="B766" s="924" t="s">
        <v>791</v>
      </c>
      <c r="C766" s="924" t="s">
        <v>1175</v>
      </c>
      <c r="D766" s="924" t="s">
        <v>1176</v>
      </c>
      <c r="E766" s="924" t="s">
        <v>856</v>
      </c>
      <c r="F766" s="924" t="s">
        <v>861</v>
      </c>
      <c r="G766" s="924" t="s">
        <v>862</v>
      </c>
      <c r="H766" s="924" t="s">
        <v>665</v>
      </c>
      <c r="I766" s="924" t="s">
        <v>787</v>
      </c>
      <c r="J766" s="924" t="s">
        <v>863</v>
      </c>
      <c r="K766" s="924" t="s">
        <v>864</v>
      </c>
      <c r="L766" s="925">
        <v>2.5502757314825399E-2</v>
      </c>
      <c r="M766" s="925">
        <v>1.04785882058422E-4</v>
      </c>
    </row>
    <row r="767" spans="1:13" ht="11.25" customHeight="1" x14ac:dyDescent="0.2">
      <c r="A767" s="924" t="s">
        <v>853</v>
      </c>
      <c r="B767" s="924" t="s">
        <v>791</v>
      </c>
      <c r="C767" s="924" t="s">
        <v>1175</v>
      </c>
      <c r="D767" s="924" t="s">
        <v>1176</v>
      </c>
      <c r="E767" s="924" t="s">
        <v>856</v>
      </c>
      <c r="F767" s="924" t="s">
        <v>869</v>
      </c>
      <c r="G767" s="924" t="s">
        <v>862</v>
      </c>
      <c r="H767" s="924" t="s">
        <v>665</v>
      </c>
      <c r="I767" s="924" t="s">
        <v>787</v>
      </c>
      <c r="J767" s="924" t="s">
        <v>870</v>
      </c>
      <c r="K767" s="924" t="s">
        <v>871</v>
      </c>
      <c r="L767" s="925">
        <v>1.6764866693847601E-2</v>
      </c>
      <c r="M767" s="925">
        <v>9.6192661925442703E-4</v>
      </c>
    </row>
    <row r="768" spans="1:13" ht="11.25" customHeight="1" x14ac:dyDescent="0.2">
      <c r="A768" s="924" t="s">
        <v>853</v>
      </c>
      <c r="B768" s="924" t="s">
        <v>791</v>
      </c>
      <c r="C768" s="924" t="s">
        <v>1175</v>
      </c>
      <c r="D768" s="924" t="s">
        <v>1176</v>
      </c>
      <c r="E768" s="924" t="s">
        <v>856</v>
      </c>
      <c r="F768" s="924" t="s">
        <v>888</v>
      </c>
      <c r="G768" s="924" t="s">
        <v>858</v>
      </c>
      <c r="H768" s="924" t="s">
        <v>836</v>
      </c>
      <c r="I768" s="924" t="s">
        <v>837</v>
      </c>
      <c r="J768" s="924" t="s">
        <v>859</v>
      </c>
      <c r="K768" s="924" t="s">
        <v>889</v>
      </c>
      <c r="L768" s="925">
        <v>0.249878228409216</v>
      </c>
      <c r="M768" s="925">
        <v>2.7571070396581499E-5</v>
      </c>
    </row>
    <row r="769" spans="1:13" ht="11.25" customHeight="1" x14ac:dyDescent="0.2">
      <c r="A769" s="924" t="s">
        <v>853</v>
      </c>
      <c r="B769" s="924" t="s">
        <v>791</v>
      </c>
      <c r="C769" s="924" t="s">
        <v>1175</v>
      </c>
      <c r="D769" s="924" t="s">
        <v>1176</v>
      </c>
      <c r="E769" s="924" t="s">
        <v>856</v>
      </c>
      <c r="F769" s="924" t="s">
        <v>857</v>
      </c>
      <c r="G769" s="924" t="s">
        <v>858</v>
      </c>
      <c r="H769" s="924" t="s">
        <v>836</v>
      </c>
      <c r="I769" s="924" t="s">
        <v>837</v>
      </c>
      <c r="J769" s="924" t="s">
        <v>859</v>
      </c>
      <c r="K769" s="924" t="s">
        <v>860</v>
      </c>
      <c r="L769" s="925">
        <v>4.1166929192841097</v>
      </c>
      <c r="M769" s="925">
        <v>3.7886504120443498E-4</v>
      </c>
    </row>
    <row r="770" spans="1:13" ht="11.25" customHeight="1" x14ac:dyDescent="0.2">
      <c r="A770" s="924" t="s">
        <v>853</v>
      </c>
      <c r="B770" s="924" t="s">
        <v>791</v>
      </c>
      <c r="C770" s="924" t="s">
        <v>1175</v>
      </c>
      <c r="D770" s="924" t="s">
        <v>1176</v>
      </c>
      <c r="E770" s="924" t="s">
        <v>856</v>
      </c>
      <c r="F770" s="924" t="s">
        <v>892</v>
      </c>
      <c r="G770" s="924" t="s">
        <v>858</v>
      </c>
      <c r="H770" s="924" t="s">
        <v>836</v>
      </c>
      <c r="I770" s="924" t="s">
        <v>837</v>
      </c>
      <c r="J770" s="924" t="s">
        <v>859</v>
      </c>
      <c r="K770" s="924" t="s">
        <v>893</v>
      </c>
      <c r="L770" s="925">
        <v>384.167793750763</v>
      </c>
      <c r="M770" s="925">
        <v>4.8596500426469902E-3</v>
      </c>
    </row>
    <row r="771" spans="1:13" ht="11.25" customHeight="1" x14ac:dyDescent="0.2">
      <c r="A771" s="924" t="s">
        <v>853</v>
      </c>
      <c r="B771" s="924" t="s">
        <v>791</v>
      </c>
      <c r="C771" s="924" t="s">
        <v>1175</v>
      </c>
      <c r="D771" s="924" t="s">
        <v>1176</v>
      </c>
      <c r="E771" s="924" t="s">
        <v>856</v>
      </c>
      <c r="F771" s="924" t="s">
        <v>894</v>
      </c>
      <c r="G771" s="924" t="s">
        <v>858</v>
      </c>
      <c r="H771" s="924" t="s">
        <v>836</v>
      </c>
      <c r="I771" s="924" t="s">
        <v>837</v>
      </c>
      <c r="J771" s="924" t="s">
        <v>859</v>
      </c>
      <c r="K771" s="924" t="s">
        <v>895</v>
      </c>
      <c r="L771" s="925">
        <v>417.98664712905901</v>
      </c>
      <c r="M771" s="925">
        <v>2.7687190935807801E-3</v>
      </c>
    </row>
    <row r="772" spans="1:13" ht="11.25" customHeight="1" x14ac:dyDescent="0.2">
      <c r="A772" s="924" t="s">
        <v>853</v>
      </c>
      <c r="B772" s="924" t="s">
        <v>791</v>
      </c>
      <c r="C772" s="924" t="s">
        <v>1175</v>
      </c>
      <c r="D772" s="924" t="s">
        <v>1176</v>
      </c>
      <c r="E772" s="924" t="s">
        <v>856</v>
      </c>
      <c r="F772" s="924" t="s">
        <v>896</v>
      </c>
      <c r="G772" s="924" t="s">
        <v>858</v>
      </c>
      <c r="H772" s="924" t="s">
        <v>836</v>
      </c>
      <c r="I772" s="924" t="s">
        <v>837</v>
      </c>
      <c r="J772" s="924" t="s">
        <v>859</v>
      </c>
      <c r="K772" s="924" t="s">
        <v>897</v>
      </c>
      <c r="L772" s="925">
        <v>23.049121499061599</v>
      </c>
      <c r="M772" s="925">
        <v>3.7325330342596901E-4</v>
      </c>
    </row>
    <row r="773" spans="1:13" ht="11.25" customHeight="1" x14ac:dyDescent="0.2">
      <c r="A773" s="924" t="s">
        <v>853</v>
      </c>
      <c r="B773" s="924" t="s">
        <v>791</v>
      </c>
      <c r="C773" s="924" t="s">
        <v>1175</v>
      </c>
      <c r="D773" s="924" t="s">
        <v>1176</v>
      </c>
      <c r="E773" s="924" t="s">
        <v>856</v>
      </c>
      <c r="F773" s="924" t="s">
        <v>898</v>
      </c>
      <c r="G773" s="924" t="s">
        <v>858</v>
      </c>
      <c r="H773" s="924" t="s">
        <v>836</v>
      </c>
      <c r="I773" s="924" t="s">
        <v>837</v>
      </c>
      <c r="J773" s="924" t="s">
        <v>859</v>
      </c>
      <c r="K773" s="924" t="s">
        <v>899</v>
      </c>
      <c r="L773" s="925">
        <v>14.1260949671268</v>
      </c>
      <c r="M773" s="925">
        <v>2.4570969411641402E-4</v>
      </c>
    </row>
    <row r="774" spans="1:13" ht="11.25" customHeight="1" x14ac:dyDescent="0.2">
      <c r="A774" s="924" t="s">
        <v>853</v>
      </c>
      <c r="B774" s="924" t="s">
        <v>791</v>
      </c>
      <c r="C774" s="924" t="s">
        <v>1175</v>
      </c>
      <c r="D774" s="924" t="s">
        <v>1176</v>
      </c>
      <c r="E774" s="924" t="s">
        <v>856</v>
      </c>
      <c r="F774" s="924" t="s">
        <v>900</v>
      </c>
      <c r="G774" s="924" t="s">
        <v>858</v>
      </c>
      <c r="H774" s="924" t="s">
        <v>836</v>
      </c>
      <c r="I774" s="924" t="s">
        <v>837</v>
      </c>
      <c r="J774" s="924" t="s">
        <v>859</v>
      </c>
      <c r="K774" s="924" t="s">
        <v>901</v>
      </c>
      <c r="L774" s="925">
        <v>42.428166806697803</v>
      </c>
      <c r="M774" s="925">
        <v>1.84912141477866E-3</v>
      </c>
    </row>
    <row r="775" spans="1:13" ht="11.25" customHeight="1" x14ac:dyDescent="0.2">
      <c r="A775" s="924" t="s">
        <v>853</v>
      </c>
      <c r="B775" s="924" t="s">
        <v>791</v>
      </c>
      <c r="C775" s="924" t="s">
        <v>1175</v>
      </c>
      <c r="D775" s="924" t="s">
        <v>1176</v>
      </c>
      <c r="E775" s="924" t="s">
        <v>856</v>
      </c>
      <c r="F775" s="924" t="s">
        <v>902</v>
      </c>
      <c r="G775" s="924" t="s">
        <v>858</v>
      </c>
      <c r="H775" s="924" t="s">
        <v>836</v>
      </c>
      <c r="I775" s="924" t="s">
        <v>837</v>
      </c>
      <c r="J775" s="924" t="s">
        <v>859</v>
      </c>
      <c r="K775" s="924" t="s">
        <v>903</v>
      </c>
      <c r="L775" s="925">
        <v>182.192351579666</v>
      </c>
      <c r="M775" s="925">
        <v>3.16719817499234E-3</v>
      </c>
    </row>
    <row r="776" spans="1:13" ht="11.25" customHeight="1" x14ac:dyDescent="0.2">
      <c r="A776" s="924" t="s">
        <v>853</v>
      </c>
      <c r="B776" s="924" t="s">
        <v>791</v>
      </c>
      <c r="C776" s="924" t="s">
        <v>1175</v>
      </c>
      <c r="D776" s="924" t="s">
        <v>1176</v>
      </c>
      <c r="E776" s="924" t="s">
        <v>856</v>
      </c>
      <c r="F776" s="924" t="s">
        <v>906</v>
      </c>
      <c r="G776" s="924" t="s">
        <v>858</v>
      </c>
      <c r="H776" s="924" t="s">
        <v>836</v>
      </c>
      <c r="I776" s="924" t="s">
        <v>837</v>
      </c>
      <c r="J776" s="924" t="s">
        <v>859</v>
      </c>
      <c r="K776" s="924" t="s">
        <v>907</v>
      </c>
      <c r="L776" s="925">
        <v>1556.82497024536</v>
      </c>
      <c r="M776" s="925">
        <v>1.03645163972033E-2</v>
      </c>
    </row>
    <row r="777" spans="1:13" ht="11.25" customHeight="1" x14ac:dyDescent="0.2">
      <c r="A777" s="924" t="s">
        <v>853</v>
      </c>
      <c r="B777" s="924" t="s">
        <v>791</v>
      </c>
      <c r="C777" s="924" t="s">
        <v>1175</v>
      </c>
      <c r="D777" s="924" t="s">
        <v>1176</v>
      </c>
      <c r="E777" s="924" t="s">
        <v>856</v>
      </c>
      <c r="F777" s="924" t="s">
        <v>939</v>
      </c>
      <c r="G777" s="924" t="s">
        <v>911</v>
      </c>
      <c r="H777" s="924" t="s">
        <v>665</v>
      </c>
      <c r="I777" s="924" t="s">
        <v>706</v>
      </c>
      <c r="J777" s="924" t="s">
        <v>940</v>
      </c>
      <c r="K777" s="924" t="s">
        <v>941</v>
      </c>
      <c r="L777" s="925">
        <v>28.2158000692725</v>
      </c>
      <c r="M777" s="925">
        <v>1.3574893091572401E-3</v>
      </c>
    </row>
    <row r="778" spans="1:13" ht="11.25" customHeight="1" x14ac:dyDescent="0.2">
      <c r="A778" s="924" t="s">
        <v>853</v>
      </c>
      <c r="B778" s="924" t="s">
        <v>791</v>
      </c>
      <c r="C778" s="924" t="s">
        <v>1175</v>
      </c>
      <c r="D778" s="924" t="s">
        <v>1176</v>
      </c>
      <c r="E778" s="924" t="s">
        <v>856</v>
      </c>
      <c r="F778" s="924" t="s">
        <v>908</v>
      </c>
      <c r="G778" s="924" t="s">
        <v>858</v>
      </c>
      <c r="H778" s="924" t="s">
        <v>836</v>
      </c>
      <c r="I778" s="924" t="s">
        <v>837</v>
      </c>
      <c r="J778" s="924" t="s">
        <v>859</v>
      </c>
      <c r="K778" s="924" t="s">
        <v>909</v>
      </c>
      <c r="L778" s="925">
        <v>12.952165603637701</v>
      </c>
      <c r="M778" s="925">
        <v>2.7109370958200402E-4</v>
      </c>
    </row>
    <row r="779" spans="1:13" ht="11.25" customHeight="1" x14ac:dyDescent="0.2">
      <c r="A779" s="924" t="s">
        <v>853</v>
      </c>
      <c r="B779" s="924" t="s">
        <v>791</v>
      </c>
      <c r="C779" s="924" t="s">
        <v>1175</v>
      </c>
      <c r="D779" s="924" t="s">
        <v>1176</v>
      </c>
      <c r="E779" s="924" t="s">
        <v>856</v>
      </c>
      <c r="F779" s="924" t="s">
        <v>972</v>
      </c>
      <c r="G779" s="924" t="s">
        <v>858</v>
      </c>
      <c r="H779" s="924" t="s">
        <v>836</v>
      </c>
      <c r="I779" s="924" t="s">
        <v>837</v>
      </c>
      <c r="J779" s="924" t="s">
        <v>859</v>
      </c>
      <c r="K779" s="924" t="s">
        <v>973</v>
      </c>
      <c r="L779" s="925">
        <v>6.1581398919224704</v>
      </c>
      <c r="M779" s="925">
        <v>1.5687468582470401E-4</v>
      </c>
    </row>
    <row r="780" spans="1:13" ht="11.25" customHeight="1" x14ac:dyDescent="0.2">
      <c r="A780" s="924" t="s">
        <v>853</v>
      </c>
      <c r="B780" s="924" t="s">
        <v>791</v>
      </c>
      <c r="C780" s="924" t="s">
        <v>1175</v>
      </c>
      <c r="D780" s="924" t="s">
        <v>1176</v>
      </c>
      <c r="E780" s="924" t="s">
        <v>856</v>
      </c>
      <c r="F780" s="924" t="s">
        <v>904</v>
      </c>
      <c r="G780" s="924" t="s">
        <v>858</v>
      </c>
      <c r="H780" s="924" t="s">
        <v>836</v>
      </c>
      <c r="I780" s="924" t="s">
        <v>837</v>
      </c>
      <c r="J780" s="924" t="s">
        <v>859</v>
      </c>
      <c r="K780" s="924" t="s">
        <v>905</v>
      </c>
      <c r="L780" s="925">
        <v>157.74925136566199</v>
      </c>
      <c r="M780" s="925">
        <v>2.9884719460255798E-3</v>
      </c>
    </row>
    <row r="781" spans="1:13" ht="11.25" customHeight="1" x14ac:dyDescent="0.2">
      <c r="A781" s="924" t="s">
        <v>853</v>
      </c>
      <c r="B781" s="924" t="s">
        <v>791</v>
      </c>
      <c r="C781" s="924" t="s">
        <v>1175</v>
      </c>
      <c r="D781" s="924" t="s">
        <v>1176</v>
      </c>
      <c r="E781" s="924" t="s">
        <v>856</v>
      </c>
      <c r="F781" s="924" t="s">
        <v>938</v>
      </c>
      <c r="G781" s="924" t="s">
        <v>911</v>
      </c>
      <c r="H781" s="924" t="s">
        <v>665</v>
      </c>
      <c r="I781" s="924" t="s">
        <v>706</v>
      </c>
      <c r="J781" s="924" t="s">
        <v>863</v>
      </c>
      <c r="K781" s="924" t="s">
        <v>868</v>
      </c>
      <c r="L781" s="925">
        <v>3.7909023463725999</v>
      </c>
      <c r="M781" s="925">
        <v>1.7516930483907299E-4</v>
      </c>
    </row>
    <row r="782" spans="1:13" ht="11.25" customHeight="1" x14ac:dyDescent="0.2">
      <c r="A782" s="924" t="s">
        <v>853</v>
      </c>
      <c r="B782" s="924" t="s">
        <v>791</v>
      </c>
      <c r="C782" s="924" t="s">
        <v>1175</v>
      </c>
      <c r="D782" s="924" t="s">
        <v>1176</v>
      </c>
      <c r="E782" s="924" t="s">
        <v>856</v>
      </c>
      <c r="F782" s="924" t="s">
        <v>921</v>
      </c>
      <c r="G782" s="924" t="s">
        <v>911</v>
      </c>
      <c r="H782" s="924" t="s">
        <v>665</v>
      </c>
      <c r="I782" s="924" t="s">
        <v>706</v>
      </c>
      <c r="J782" s="924" t="s">
        <v>859</v>
      </c>
      <c r="K782" s="924" t="s">
        <v>922</v>
      </c>
      <c r="L782" s="925">
        <v>2.4945773128420101</v>
      </c>
      <c r="M782" s="925">
        <v>3.3318862676878802E-4</v>
      </c>
    </row>
    <row r="783" spans="1:13" ht="11.25" customHeight="1" x14ac:dyDescent="0.2">
      <c r="A783" s="924" t="s">
        <v>853</v>
      </c>
      <c r="B783" s="924" t="s">
        <v>791</v>
      </c>
      <c r="C783" s="924" t="s">
        <v>1175</v>
      </c>
      <c r="D783" s="924" t="s">
        <v>1176</v>
      </c>
      <c r="E783" s="924" t="s">
        <v>856</v>
      </c>
      <c r="F783" s="924" t="s">
        <v>1033</v>
      </c>
      <c r="G783" s="924" t="s">
        <v>858</v>
      </c>
      <c r="H783" s="924" t="s">
        <v>836</v>
      </c>
      <c r="I783" s="924" t="s">
        <v>837</v>
      </c>
      <c r="J783" s="924" t="s">
        <v>940</v>
      </c>
      <c r="K783" s="924" t="s">
        <v>1034</v>
      </c>
      <c r="L783" s="925">
        <v>0.94883103761821996</v>
      </c>
      <c r="M783" s="925">
        <v>3.1114617758620802E-5</v>
      </c>
    </row>
    <row r="784" spans="1:13" ht="11.25" customHeight="1" x14ac:dyDescent="0.2">
      <c r="A784" s="924" t="s">
        <v>853</v>
      </c>
      <c r="B784" s="924" t="s">
        <v>791</v>
      </c>
      <c r="C784" s="924" t="s">
        <v>1175</v>
      </c>
      <c r="D784" s="924" t="s">
        <v>1176</v>
      </c>
      <c r="E784" s="924" t="s">
        <v>856</v>
      </c>
      <c r="F784" s="924" t="s">
        <v>1037</v>
      </c>
      <c r="G784" s="924" t="s">
        <v>858</v>
      </c>
      <c r="H784" s="924" t="s">
        <v>836</v>
      </c>
      <c r="I784" s="924" t="s">
        <v>837</v>
      </c>
      <c r="J784" s="924" t="s">
        <v>859</v>
      </c>
      <c r="K784" s="924" t="s">
        <v>918</v>
      </c>
      <c r="L784" s="925">
        <v>355.934275627136</v>
      </c>
      <c r="M784" s="925">
        <v>3.44467494630862E-3</v>
      </c>
    </row>
    <row r="785" spans="1:13" ht="11.25" customHeight="1" x14ac:dyDescent="0.2">
      <c r="A785" s="924" t="s">
        <v>853</v>
      </c>
      <c r="B785" s="924" t="s">
        <v>791</v>
      </c>
      <c r="C785" s="924" t="s">
        <v>1175</v>
      </c>
      <c r="D785" s="924" t="s">
        <v>1176</v>
      </c>
      <c r="E785" s="924" t="s">
        <v>856</v>
      </c>
      <c r="F785" s="924" t="s">
        <v>923</v>
      </c>
      <c r="G785" s="924" t="s">
        <v>911</v>
      </c>
      <c r="H785" s="924" t="s">
        <v>665</v>
      </c>
      <c r="I785" s="924" t="s">
        <v>706</v>
      </c>
      <c r="J785" s="924" t="s">
        <v>859</v>
      </c>
      <c r="K785" s="924" t="s">
        <v>924</v>
      </c>
      <c r="L785" s="925">
        <v>6.1248197406530398</v>
      </c>
      <c r="M785" s="925">
        <v>3.2471402937517301E-4</v>
      </c>
    </row>
    <row r="786" spans="1:13" ht="11.25" customHeight="1" x14ac:dyDescent="0.2">
      <c r="A786" s="924" t="s">
        <v>853</v>
      </c>
      <c r="B786" s="924" t="s">
        <v>791</v>
      </c>
      <c r="C786" s="924" t="s">
        <v>1175</v>
      </c>
      <c r="D786" s="924" t="s">
        <v>1176</v>
      </c>
      <c r="E786" s="924" t="s">
        <v>856</v>
      </c>
      <c r="F786" s="924" t="s">
        <v>925</v>
      </c>
      <c r="G786" s="924" t="s">
        <v>911</v>
      </c>
      <c r="H786" s="924" t="s">
        <v>665</v>
      </c>
      <c r="I786" s="924" t="s">
        <v>706</v>
      </c>
      <c r="J786" s="924" t="s">
        <v>859</v>
      </c>
      <c r="K786" s="924" t="s">
        <v>926</v>
      </c>
      <c r="L786" s="925">
        <v>0.64739421848207701</v>
      </c>
      <c r="M786" s="925">
        <v>2.9845882352219599E-5</v>
      </c>
    </row>
    <row r="787" spans="1:13" ht="11.25" customHeight="1" x14ac:dyDescent="0.2">
      <c r="A787" s="924" t="s">
        <v>853</v>
      </c>
      <c r="B787" s="924" t="s">
        <v>791</v>
      </c>
      <c r="C787" s="924" t="s">
        <v>1175</v>
      </c>
      <c r="D787" s="924" t="s">
        <v>1176</v>
      </c>
      <c r="E787" s="924" t="s">
        <v>856</v>
      </c>
      <c r="F787" s="924" t="s">
        <v>927</v>
      </c>
      <c r="G787" s="924" t="s">
        <v>911</v>
      </c>
      <c r="H787" s="924" t="s">
        <v>665</v>
      </c>
      <c r="I787" s="924" t="s">
        <v>706</v>
      </c>
      <c r="J787" s="924" t="s">
        <v>859</v>
      </c>
      <c r="K787" s="924" t="s">
        <v>928</v>
      </c>
      <c r="L787" s="925">
        <v>5.2637986093759501</v>
      </c>
      <c r="M787" s="925">
        <v>1.5611300727869099E-3</v>
      </c>
    </row>
    <row r="788" spans="1:13" ht="11.25" customHeight="1" x14ac:dyDescent="0.2">
      <c r="A788" s="924" t="s">
        <v>853</v>
      </c>
      <c r="B788" s="924" t="s">
        <v>791</v>
      </c>
      <c r="C788" s="924" t="s">
        <v>1175</v>
      </c>
      <c r="D788" s="924" t="s">
        <v>1176</v>
      </c>
      <c r="E788" s="924" t="s">
        <v>856</v>
      </c>
      <c r="F788" s="924" t="s">
        <v>929</v>
      </c>
      <c r="G788" s="924" t="s">
        <v>911</v>
      </c>
      <c r="H788" s="924" t="s">
        <v>665</v>
      </c>
      <c r="I788" s="924" t="s">
        <v>706</v>
      </c>
      <c r="J788" s="924" t="s">
        <v>859</v>
      </c>
      <c r="K788" s="924" t="s">
        <v>891</v>
      </c>
      <c r="L788" s="925">
        <v>2.1671100631356199</v>
      </c>
      <c r="M788" s="925">
        <v>8.6829359520379501E-4</v>
      </c>
    </row>
    <row r="789" spans="1:13" ht="11.25" customHeight="1" x14ac:dyDescent="0.2">
      <c r="A789" s="924" t="s">
        <v>853</v>
      </c>
      <c r="B789" s="924" t="s">
        <v>791</v>
      </c>
      <c r="C789" s="924" t="s">
        <v>1175</v>
      </c>
      <c r="D789" s="924" t="s">
        <v>1176</v>
      </c>
      <c r="E789" s="924" t="s">
        <v>856</v>
      </c>
      <c r="F789" s="924" t="s">
        <v>930</v>
      </c>
      <c r="G789" s="924" t="s">
        <v>911</v>
      </c>
      <c r="H789" s="924" t="s">
        <v>665</v>
      </c>
      <c r="I789" s="924" t="s">
        <v>706</v>
      </c>
      <c r="J789" s="924" t="s">
        <v>863</v>
      </c>
      <c r="K789" s="924" t="s">
        <v>931</v>
      </c>
      <c r="L789" s="925">
        <v>8.8065458312630707</v>
      </c>
      <c r="M789" s="925">
        <v>1.79470767761813E-3</v>
      </c>
    </row>
    <row r="790" spans="1:13" ht="11.25" customHeight="1" x14ac:dyDescent="0.2">
      <c r="A790" s="924" t="s">
        <v>853</v>
      </c>
      <c r="B790" s="924" t="s">
        <v>791</v>
      </c>
      <c r="C790" s="924" t="s">
        <v>1175</v>
      </c>
      <c r="D790" s="924" t="s">
        <v>1176</v>
      </c>
      <c r="E790" s="924" t="s">
        <v>856</v>
      </c>
      <c r="F790" s="924" t="s">
        <v>932</v>
      </c>
      <c r="G790" s="924" t="s">
        <v>911</v>
      </c>
      <c r="H790" s="924" t="s">
        <v>665</v>
      </c>
      <c r="I790" s="924" t="s">
        <v>706</v>
      </c>
      <c r="J790" s="924" t="s">
        <v>863</v>
      </c>
      <c r="K790" s="924" t="s">
        <v>933</v>
      </c>
      <c r="L790" s="925">
        <v>819.28798389434803</v>
      </c>
      <c r="M790" s="925">
        <v>3.95951455575414E-2</v>
      </c>
    </row>
    <row r="791" spans="1:13" ht="11.25" customHeight="1" x14ac:dyDescent="0.2">
      <c r="A791" s="924" t="s">
        <v>853</v>
      </c>
      <c r="B791" s="924" t="s">
        <v>791</v>
      </c>
      <c r="C791" s="924" t="s">
        <v>1175</v>
      </c>
      <c r="D791" s="924" t="s">
        <v>1176</v>
      </c>
      <c r="E791" s="924" t="s">
        <v>856</v>
      </c>
      <c r="F791" s="924" t="s">
        <v>954</v>
      </c>
      <c r="G791" s="924" t="s">
        <v>911</v>
      </c>
      <c r="H791" s="924" t="s">
        <v>665</v>
      </c>
      <c r="I791" s="924" t="s">
        <v>706</v>
      </c>
      <c r="J791" s="924" t="s">
        <v>863</v>
      </c>
      <c r="K791" s="924" t="s">
        <v>935</v>
      </c>
      <c r="L791" s="925">
        <v>6.1130434945225698</v>
      </c>
      <c r="M791" s="925">
        <v>2.88630064005702E-4</v>
      </c>
    </row>
    <row r="792" spans="1:13" ht="11.25" customHeight="1" x14ac:dyDescent="0.2">
      <c r="A792" s="924" t="s">
        <v>853</v>
      </c>
      <c r="B792" s="924" t="s">
        <v>791</v>
      </c>
      <c r="C792" s="924" t="s">
        <v>1175</v>
      </c>
      <c r="D792" s="924" t="s">
        <v>1176</v>
      </c>
      <c r="E792" s="924" t="s">
        <v>856</v>
      </c>
      <c r="F792" s="924" t="s">
        <v>943</v>
      </c>
      <c r="G792" s="924" t="s">
        <v>911</v>
      </c>
      <c r="H792" s="924" t="s">
        <v>665</v>
      </c>
      <c r="I792" s="924" t="s">
        <v>706</v>
      </c>
      <c r="J792" s="924" t="s">
        <v>870</v>
      </c>
      <c r="K792" s="924" t="s">
        <v>873</v>
      </c>
      <c r="L792" s="925">
        <v>1.8104232563928201E-2</v>
      </c>
      <c r="M792" s="925">
        <v>8.2212798235836704E-7</v>
      </c>
    </row>
    <row r="793" spans="1:13" ht="11.25" customHeight="1" x14ac:dyDescent="0.2">
      <c r="A793" s="924" t="s">
        <v>853</v>
      </c>
      <c r="B793" s="924" t="s">
        <v>791</v>
      </c>
      <c r="C793" s="924" t="s">
        <v>1175</v>
      </c>
      <c r="D793" s="924" t="s">
        <v>1176</v>
      </c>
      <c r="E793" s="924" t="s">
        <v>856</v>
      </c>
      <c r="F793" s="924" t="s">
        <v>914</v>
      </c>
      <c r="G793" s="924" t="s">
        <v>911</v>
      </c>
      <c r="H793" s="924" t="s">
        <v>665</v>
      </c>
      <c r="I793" s="924" t="s">
        <v>706</v>
      </c>
      <c r="J793" s="924" t="s">
        <v>863</v>
      </c>
      <c r="K793" s="924" t="s">
        <v>915</v>
      </c>
      <c r="L793" s="925">
        <v>0.46769479243084799</v>
      </c>
      <c r="M793" s="925">
        <v>6.6734344159158395E-5</v>
      </c>
    </row>
    <row r="794" spans="1:13" ht="11.25" customHeight="1" x14ac:dyDescent="0.2">
      <c r="A794" s="924" t="s">
        <v>853</v>
      </c>
      <c r="B794" s="924" t="s">
        <v>791</v>
      </c>
      <c r="C794" s="924" t="s">
        <v>1175</v>
      </c>
      <c r="D794" s="924" t="s">
        <v>1176</v>
      </c>
      <c r="E794" s="924" t="s">
        <v>856</v>
      </c>
      <c r="F794" s="924" t="s">
        <v>934</v>
      </c>
      <c r="G794" s="924" t="s">
        <v>862</v>
      </c>
      <c r="H794" s="924" t="s">
        <v>665</v>
      </c>
      <c r="I794" s="924" t="s">
        <v>787</v>
      </c>
      <c r="J794" s="924" t="s">
        <v>863</v>
      </c>
      <c r="K794" s="924" t="s">
        <v>935</v>
      </c>
      <c r="L794" s="925">
        <v>4.6795960748568198E-2</v>
      </c>
      <c r="M794" s="925">
        <v>1.9671406357701899E-4</v>
      </c>
    </row>
    <row r="795" spans="1:13" ht="11.25" customHeight="1" x14ac:dyDescent="0.2">
      <c r="A795" s="924" t="s">
        <v>853</v>
      </c>
      <c r="B795" s="924" t="s">
        <v>791</v>
      </c>
      <c r="C795" s="924" t="s">
        <v>1175</v>
      </c>
      <c r="D795" s="924" t="s">
        <v>1176</v>
      </c>
      <c r="E795" s="924" t="s">
        <v>856</v>
      </c>
      <c r="F795" s="924" t="s">
        <v>942</v>
      </c>
      <c r="G795" s="924" t="s">
        <v>911</v>
      </c>
      <c r="H795" s="924" t="s">
        <v>665</v>
      </c>
      <c r="I795" s="924" t="s">
        <v>706</v>
      </c>
      <c r="J795" s="924" t="s">
        <v>870</v>
      </c>
      <c r="K795" s="924" t="s">
        <v>871</v>
      </c>
      <c r="L795" s="925">
        <v>8.9067253393295704E-3</v>
      </c>
      <c r="M795" s="925">
        <v>5.5587588163596999E-6</v>
      </c>
    </row>
    <row r="796" spans="1:13" ht="11.25" customHeight="1" x14ac:dyDescent="0.2">
      <c r="A796" s="924" t="s">
        <v>853</v>
      </c>
      <c r="B796" s="924" t="s">
        <v>791</v>
      </c>
      <c r="C796" s="924" t="s">
        <v>1175</v>
      </c>
      <c r="D796" s="924" t="s">
        <v>1176</v>
      </c>
      <c r="E796" s="924" t="s">
        <v>856</v>
      </c>
      <c r="F796" s="924" t="s">
        <v>944</v>
      </c>
      <c r="G796" s="924" t="s">
        <v>911</v>
      </c>
      <c r="H796" s="924" t="s">
        <v>665</v>
      </c>
      <c r="I796" s="924" t="s">
        <v>706</v>
      </c>
      <c r="J796" s="924" t="s">
        <v>875</v>
      </c>
      <c r="K796" s="924" t="s">
        <v>876</v>
      </c>
      <c r="L796" s="925">
        <v>32.771799445152297</v>
      </c>
      <c r="M796" s="925">
        <v>1.03613046885584E-2</v>
      </c>
    </row>
    <row r="797" spans="1:13" ht="11.25" customHeight="1" x14ac:dyDescent="0.2">
      <c r="A797" s="924" t="s">
        <v>853</v>
      </c>
      <c r="B797" s="924" t="s">
        <v>791</v>
      </c>
      <c r="C797" s="924" t="s">
        <v>1175</v>
      </c>
      <c r="D797" s="924" t="s">
        <v>1176</v>
      </c>
      <c r="E797" s="924" t="s">
        <v>856</v>
      </c>
      <c r="F797" s="924" t="s">
        <v>945</v>
      </c>
      <c r="G797" s="924" t="s">
        <v>911</v>
      </c>
      <c r="H797" s="924" t="s">
        <v>665</v>
      </c>
      <c r="I797" s="924" t="s">
        <v>706</v>
      </c>
      <c r="J797" s="924" t="s">
        <v>875</v>
      </c>
      <c r="K797" s="924" t="s">
        <v>878</v>
      </c>
      <c r="L797" s="925">
        <v>7.2367627173662203</v>
      </c>
      <c r="M797" s="925">
        <v>1.07060621508026E-3</v>
      </c>
    </row>
    <row r="798" spans="1:13" ht="11.25" customHeight="1" x14ac:dyDescent="0.2">
      <c r="A798" s="924" t="s">
        <v>853</v>
      </c>
      <c r="B798" s="924" t="s">
        <v>791</v>
      </c>
      <c r="C798" s="924" t="s">
        <v>1175</v>
      </c>
      <c r="D798" s="924" t="s">
        <v>1176</v>
      </c>
      <c r="E798" s="924" t="s">
        <v>856</v>
      </c>
      <c r="F798" s="924" t="s">
        <v>946</v>
      </c>
      <c r="G798" s="924" t="s">
        <v>911</v>
      </c>
      <c r="H798" s="924" t="s">
        <v>665</v>
      </c>
      <c r="I798" s="924" t="s">
        <v>706</v>
      </c>
      <c r="J798" s="924" t="s">
        <v>875</v>
      </c>
      <c r="K798" s="924" t="s">
        <v>880</v>
      </c>
      <c r="L798" s="925">
        <v>8.5549074783921206</v>
      </c>
      <c r="M798" s="925">
        <v>5.4447569920057504E-4</v>
      </c>
    </row>
    <row r="799" spans="1:13" ht="11.25" customHeight="1" x14ac:dyDescent="0.2">
      <c r="A799" s="924" t="s">
        <v>853</v>
      </c>
      <c r="B799" s="924" t="s">
        <v>791</v>
      </c>
      <c r="C799" s="924" t="s">
        <v>1175</v>
      </c>
      <c r="D799" s="924" t="s">
        <v>1176</v>
      </c>
      <c r="E799" s="924" t="s">
        <v>856</v>
      </c>
      <c r="F799" s="924" t="s">
        <v>947</v>
      </c>
      <c r="G799" s="924" t="s">
        <v>911</v>
      </c>
      <c r="H799" s="924" t="s">
        <v>665</v>
      </c>
      <c r="I799" s="924" t="s">
        <v>706</v>
      </c>
      <c r="J799" s="924" t="s">
        <v>875</v>
      </c>
      <c r="K799" s="924" t="s">
        <v>948</v>
      </c>
      <c r="L799" s="925">
        <v>10.633290275931399</v>
      </c>
      <c r="M799" s="925">
        <v>8.1258305607434501E-4</v>
      </c>
    </row>
    <row r="800" spans="1:13" ht="11.25" customHeight="1" x14ac:dyDescent="0.2">
      <c r="A800" s="924" t="s">
        <v>853</v>
      </c>
      <c r="B800" s="924" t="s">
        <v>791</v>
      </c>
      <c r="C800" s="924" t="s">
        <v>1175</v>
      </c>
      <c r="D800" s="924" t="s">
        <v>1176</v>
      </c>
      <c r="E800" s="924" t="s">
        <v>856</v>
      </c>
      <c r="F800" s="924" t="s">
        <v>949</v>
      </c>
      <c r="G800" s="924" t="s">
        <v>911</v>
      </c>
      <c r="H800" s="924" t="s">
        <v>665</v>
      </c>
      <c r="I800" s="924" t="s">
        <v>706</v>
      </c>
      <c r="J800" s="924" t="s">
        <v>875</v>
      </c>
      <c r="K800" s="924" t="s">
        <v>950</v>
      </c>
      <c r="L800" s="925">
        <v>0.14257975853979599</v>
      </c>
      <c r="M800" s="925">
        <v>3.0580835435500797E-5</v>
      </c>
    </row>
    <row r="801" spans="1:13" ht="11.25" customHeight="1" x14ac:dyDescent="0.2">
      <c r="A801" s="924" t="s">
        <v>853</v>
      </c>
      <c r="B801" s="924" t="s">
        <v>791</v>
      </c>
      <c r="C801" s="924" t="s">
        <v>1175</v>
      </c>
      <c r="D801" s="924" t="s">
        <v>1176</v>
      </c>
      <c r="E801" s="924" t="s">
        <v>856</v>
      </c>
      <c r="F801" s="924" t="s">
        <v>951</v>
      </c>
      <c r="G801" s="924" t="s">
        <v>911</v>
      </c>
      <c r="H801" s="924" t="s">
        <v>665</v>
      </c>
      <c r="I801" s="924" t="s">
        <v>706</v>
      </c>
      <c r="J801" s="924" t="s">
        <v>875</v>
      </c>
      <c r="K801" s="924" t="s">
        <v>952</v>
      </c>
      <c r="L801" s="925">
        <v>0.131599031155929</v>
      </c>
      <c r="M801" s="925">
        <v>8.1826625981662494E-6</v>
      </c>
    </row>
    <row r="802" spans="1:13" ht="11.25" customHeight="1" x14ac:dyDescent="0.2">
      <c r="A802" s="924" t="s">
        <v>853</v>
      </c>
      <c r="B802" s="924" t="s">
        <v>791</v>
      </c>
      <c r="C802" s="924" t="s">
        <v>1175</v>
      </c>
      <c r="D802" s="924" t="s">
        <v>1176</v>
      </c>
      <c r="E802" s="924" t="s">
        <v>856</v>
      </c>
      <c r="F802" s="924" t="s">
        <v>890</v>
      </c>
      <c r="G802" s="924" t="s">
        <v>862</v>
      </c>
      <c r="H802" s="924" t="s">
        <v>665</v>
      </c>
      <c r="I802" s="924" t="s">
        <v>787</v>
      </c>
      <c r="J802" s="924" t="s">
        <v>859</v>
      </c>
      <c r="K802" s="924" t="s">
        <v>891</v>
      </c>
      <c r="L802" s="925">
        <v>7.4875105812680004E-2</v>
      </c>
      <c r="M802" s="925">
        <v>2.6653303511921002E-3</v>
      </c>
    </row>
    <row r="803" spans="1:13" ht="11.25" customHeight="1" x14ac:dyDescent="0.2">
      <c r="A803" s="924" t="s">
        <v>853</v>
      </c>
      <c r="B803" s="924" t="s">
        <v>791</v>
      </c>
      <c r="C803" s="924" t="s">
        <v>1175</v>
      </c>
      <c r="D803" s="924" t="s">
        <v>1176</v>
      </c>
      <c r="E803" s="924" t="s">
        <v>856</v>
      </c>
      <c r="F803" s="924" t="s">
        <v>937</v>
      </c>
      <c r="G803" s="924" t="s">
        <v>862</v>
      </c>
      <c r="H803" s="924" t="s">
        <v>665</v>
      </c>
      <c r="I803" s="924" t="s">
        <v>787</v>
      </c>
      <c r="J803" s="924" t="s">
        <v>863</v>
      </c>
      <c r="K803" s="924" t="s">
        <v>933</v>
      </c>
      <c r="L803" s="925">
        <v>55.229408621787996</v>
      </c>
      <c r="M803" s="925">
        <v>0.23524317285046001</v>
      </c>
    </row>
    <row r="804" spans="1:13" ht="11.25" customHeight="1" x14ac:dyDescent="0.2">
      <c r="A804" s="924" t="s">
        <v>853</v>
      </c>
      <c r="B804" s="924" t="s">
        <v>791</v>
      </c>
      <c r="C804" s="924" t="s">
        <v>1175</v>
      </c>
      <c r="D804" s="924" t="s">
        <v>1176</v>
      </c>
      <c r="E804" s="924" t="s">
        <v>856</v>
      </c>
      <c r="F804" s="924" t="s">
        <v>919</v>
      </c>
      <c r="G804" s="924" t="s">
        <v>911</v>
      </c>
      <c r="H804" s="924" t="s">
        <v>665</v>
      </c>
      <c r="I804" s="924" t="s">
        <v>706</v>
      </c>
      <c r="J804" s="924" t="s">
        <v>859</v>
      </c>
      <c r="K804" s="924" t="s">
        <v>920</v>
      </c>
      <c r="L804" s="925">
        <v>0.23491368303075399</v>
      </c>
      <c r="M804" s="925">
        <v>6.5814193646929198E-5</v>
      </c>
    </row>
    <row r="805" spans="1:13" ht="11.25" customHeight="1" x14ac:dyDescent="0.2">
      <c r="A805" s="924" t="s">
        <v>853</v>
      </c>
      <c r="B805" s="924" t="s">
        <v>791</v>
      </c>
      <c r="C805" s="924" t="s">
        <v>1175</v>
      </c>
      <c r="D805" s="924" t="s">
        <v>1176</v>
      </c>
      <c r="E805" s="924" t="s">
        <v>856</v>
      </c>
      <c r="F805" s="924" t="s">
        <v>936</v>
      </c>
      <c r="G805" s="924" t="s">
        <v>911</v>
      </c>
      <c r="H805" s="924" t="s">
        <v>665</v>
      </c>
      <c r="I805" s="924" t="s">
        <v>706</v>
      </c>
      <c r="J805" s="924" t="s">
        <v>863</v>
      </c>
      <c r="K805" s="924" t="s">
        <v>864</v>
      </c>
      <c r="L805" s="925">
        <v>1.92818683572114</v>
      </c>
      <c r="M805" s="925">
        <v>8.9746427647696705E-5</v>
      </c>
    </row>
    <row r="806" spans="1:13" ht="11.25" customHeight="1" x14ac:dyDescent="0.2">
      <c r="A806" s="924" t="s">
        <v>853</v>
      </c>
      <c r="B806" s="924" t="s">
        <v>791</v>
      </c>
      <c r="C806" s="924" t="s">
        <v>1175</v>
      </c>
      <c r="D806" s="924" t="s">
        <v>1176</v>
      </c>
      <c r="E806" s="924" t="s">
        <v>856</v>
      </c>
      <c r="F806" s="924" t="s">
        <v>970</v>
      </c>
      <c r="G806" s="924" t="s">
        <v>858</v>
      </c>
      <c r="H806" s="924" t="s">
        <v>836</v>
      </c>
      <c r="I806" s="924" t="s">
        <v>837</v>
      </c>
      <c r="J806" s="924" t="s">
        <v>875</v>
      </c>
      <c r="K806" s="924" t="s">
        <v>880</v>
      </c>
      <c r="L806" s="925">
        <v>167.94254732132001</v>
      </c>
      <c r="M806" s="925">
        <v>3.2634151638149E-3</v>
      </c>
    </row>
    <row r="807" spans="1:13" ht="11.25" customHeight="1" x14ac:dyDescent="0.2">
      <c r="A807" s="924" t="s">
        <v>853</v>
      </c>
      <c r="B807" s="924" t="s">
        <v>791</v>
      </c>
      <c r="C807" s="924" t="s">
        <v>1175</v>
      </c>
      <c r="D807" s="924" t="s">
        <v>1176</v>
      </c>
      <c r="E807" s="924" t="s">
        <v>856</v>
      </c>
      <c r="F807" s="924" t="s">
        <v>1030</v>
      </c>
      <c r="G807" s="924" t="s">
        <v>858</v>
      </c>
      <c r="H807" s="924" t="s">
        <v>836</v>
      </c>
      <c r="I807" s="924" t="s">
        <v>837</v>
      </c>
      <c r="J807" s="924" t="s">
        <v>940</v>
      </c>
      <c r="K807" s="924" t="s">
        <v>941</v>
      </c>
      <c r="L807" s="925">
        <v>317.15301609039301</v>
      </c>
      <c r="M807" s="925">
        <v>5.9575806676832599E-3</v>
      </c>
    </row>
    <row r="808" spans="1:13" ht="11.25" customHeight="1" x14ac:dyDescent="0.2">
      <c r="A808" s="924" t="s">
        <v>853</v>
      </c>
      <c r="B808" s="924" t="s">
        <v>791</v>
      </c>
      <c r="C808" s="924" t="s">
        <v>1175</v>
      </c>
      <c r="D808" s="924" t="s">
        <v>1176</v>
      </c>
      <c r="E808" s="924" t="s">
        <v>856</v>
      </c>
      <c r="F808" s="924" t="s">
        <v>1018</v>
      </c>
      <c r="G808" s="924" t="s">
        <v>858</v>
      </c>
      <c r="H808" s="924" t="s">
        <v>836</v>
      </c>
      <c r="I808" s="924" t="s">
        <v>837</v>
      </c>
      <c r="J808" s="924" t="s">
        <v>870</v>
      </c>
      <c r="K808" s="924" t="s">
        <v>1019</v>
      </c>
      <c r="L808" s="925">
        <v>67.581643745303197</v>
      </c>
      <c r="M808" s="925">
        <v>5.0790544710466201E-4</v>
      </c>
    </row>
    <row r="809" spans="1:13" ht="11.25" customHeight="1" x14ac:dyDescent="0.2">
      <c r="A809" s="924" t="s">
        <v>853</v>
      </c>
      <c r="B809" s="924" t="s">
        <v>791</v>
      </c>
      <c r="C809" s="924" t="s">
        <v>1175</v>
      </c>
      <c r="D809" s="924" t="s">
        <v>1176</v>
      </c>
      <c r="E809" s="924" t="s">
        <v>856</v>
      </c>
      <c r="F809" s="924" t="s">
        <v>1015</v>
      </c>
      <c r="G809" s="924" t="s">
        <v>858</v>
      </c>
      <c r="H809" s="924" t="s">
        <v>836</v>
      </c>
      <c r="I809" s="924" t="s">
        <v>837</v>
      </c>
      <c r="J809" s="924" t="s">
        <v>870</v>
      </c>
      <c r="K809" s="924" t="s">
        <v>1016</v>
      </c>
      <c r="L809" s="925">
        <v>0.37424144509714102</v>
      </c>
      <c r="M809" s="925">
        <v>4.5469403548437101E-6</v>
      </c>
    </row>
    <row r="810" spans="1:13" ht="11.25" customHeight="1" x14ac:dyDescent="0.2">
      <c r="A810" s="924" t="s">
        <v>853</v>
      </c>
      <c r="B810" s="924" t="s">
        <v>791</v>
      </c>
      <c r="C810" s="924" t="s">
        <v>1175</v>
      </c>
      <c r="D810" s="924" t="s">
        <v>1176</v>
      </c>
      <c r="E810" s="924" t="s">
        <v>856</v>
      </c>
      <c r="F810" s="924" t="s">
        <v>958</v>
      </c>
      <c r="G810" s="924" t="s">
        <v>858</v>
      </c>
      <c r="H810" s="924" t="s">
        <v>836</v>
      </c>
      <c r="I810" s="924" t="s">
        <v>837</v>
      </c>
      <c r="J810" s="924" t="s">
        <v>870</v>
      </c>
      <c r="K810" s="924" t="s">
        <v>959</v>
      </c>
      <c r="L810" s="925">
        <v>7.8610522352391896E-2</v>
      </c>
      <c r="M810" s="925">
        <v>7.3258922704544403E-7</v>
      </c>
    </row>
    <row r="811" spans="1:13" ht="11.25" customHeight="1" x14ac:dyDescent="0.2">
      <c r="A811" s="924" t="s">
        <v>853</v>
      </c>
      <c r="B811" s="924" t="s">
        <v>791</v>
      </c>
      <c r="C811" s="924" t="s">
        <v>1175</v>
      </c>
      <c r="D811" s="924" t="s">
        <v>1176</v>
      </c>
      <c r="E811" s="924" t="s">
        <v>856</v>
      </c>
      <c r="F811" s="924" t="s">
        <v>960</v>
      </c>
      <c r="G811" s="924" t="s">
        <v>858</v>
      </c>
      <c r="H811" s="924" t="s">
        <v>836</v>
      </c>
      <c r="I811" s="924" t="s">
        <v>837</v>
      </c>
      <c r="J811" s="924" t="s">
        <v>870</v>
      </c>
      <c r="K811" s="924" t="s">
        <v>961</v>
      </c>
      <c r="L811" s="925">
        <v>5.7332426793873301</v>
      </c>
      <c r="M811" s="925">
        <v>5.0868701023887297E-5</v>
      </c>
    </row>
    <row r="812" spans="1:13" ht="11.25" customHeight="1" x14ac:dyDescent="0.2">
      <c r="A812" s="924" t="s">
        <v>853</v>
      </c>
      <c r="B812" s="924" t="s">
        <v>791</v>
      </c>
      <c r="C812" s="924" t="s">
        <v>1175</v>
      </c>
      <c r="D812" s="924" t="s">
        <v>1176</v>
      </c>
      <c r="E812" s="924" t="s">
        <v>856</v>
      </c>
      <c r="F812" s="924" t="s">
        <v>962</v>
      </c>
      <c r="G812" s="924" t="s">
        <v>858</v>
      </c>
      <c r="H812" s="924" t="s">
        <v>836</v>
      </c>
      <c r="I812" s="924" t="s">
        <v>837</v>
      </c>
      <c r="J812" s="924" t="s">
        <v>870</v>
      </c>
      <c r="K812" s="924" t="s">
        <v>963</v>
      </c>
      <c r="L812" s="925">
        <v>1.58571963693248E-2</v>
      </c>
      <c r="M812" s="925">
        <v>1.1270625818781201E-7</v>
      </c>
    </row>
    <row r="813" spans="1:13" ht="11.25" customHeight="1" x14ac:dyDescent="0.2">
      <c r="A813" s="924" t="s">
        <v>853</v>
      </c>
      <c r="B813" s="924" t="s">
        <v>791</v>
      </c>
      <c r="C813" s="924" t="s">
        <v>1175</v>
      </c>
      <c r="D813" s="924" t="s">
        <v>1176</v>
      </c>
      <c r="E813" s="924" t="s">
        <v>856</v>
      </c>
      <c r="F813" s="924" t="s">
        <v>964</v>
      </c>
      <c r="G813" s="924" t="s">
        <v>858</v>
      </c>
      <c r="H813" s="924" t="s">
        <v>836</v>
      </c>
      <c r="I813" s="924" t="s">
        <v>837</v>
      </c>
      <c r="J813" s="924" t="s">
        <v>870</v>
      </c>
      <c r="K813" s="924" t="s">
        <v>965</v>
      </c>
      <c r="L813" s="925">
        <v>5.30017735995352</v>
      </c>
      <c r="M813" s="925">
        <v>4.8663687121530699E-5</v>
      </c>
    </row>
    <row r="814" spans="1:13" ht="11.25" customHeight="1" x14ac:dyDescent="0.2">
      <c r="A814" s="924" t="s">
        <v>853</v>
      </c>
      <c r="B814" s="924" t="s">
        <v>791</v>
      </c>
      <c r="C814" s="924" t="s">
        <v>1175</v>
      </c>
      <c r="D814" s="924" t="s">
        <v>1176</v>
      </c>
      <c r="E814" s="924" t="s">
        <v>856</v>
      </c>
      <c r="F814" s="924" t="s">
        <v>966</v>
      </c>
      <c r="G814" s="924" t="s">
        <v>858</v>
      </c>
      <c r="H814" s="924" t="s">
        <v>836</v>
      </c>
      <c r="I814" s="924" t="s">
        <v>837</v>
      </c>
      <c r="J814" s="924" t="s">
        <v>870</v>
      </c>
      <c r="K814" s="924" t="s">
        <v>871</v>
      </c>
      <c r="L814" s="925">
        <v>14.7479294240475</v>
      </c>
      <c r="M814" s="925">
        <v>1.2814750921741301E-4</v>
      </c>
    </row>
    <row r="815" spans="1:13" ht="11.25" customHeight="1" x14ac:dyDescent="0.2">
      <c r="A815" s="924" t="s">
        <v>853</v>
      </c>
      <c r="B815" s="924" t="s">
        <v>791</v>
      </c>
      <c r="C815" s="924" t="s">
        <v>1175</v>
      </c>
      <c r="D815" s="924" t="s">
        <v>1176</v>
      </c>
      <c r="E815" s="924" t="s">
        <v>856</v>
      </c>
      <c r="F815" s="924" t="s">
        <v>967</v>
      </c>
      <c r="G815" s="924" t="s">
        <v>858</v>
      </c>
      <c r="H815" s="924" t="s">
        <v>836</v>
      </c>
      <c r="I815" s="924" t="s">
        <v>837</v>
      </c>
      <c r="J815" s="924" t="s">
        <v>870</v>
      </c>
      <c r="K815" s="924" t="s">
        <v>873</v>
      </c>
      <c r="L815" s="925">
        <v>10.869648188352601</v>
      </c>
      <c r="M815" s="925">
        <v>1.83633446718012E-4</v>
      </c>
    </row>
    <row r="816" spans="1:13" ht="11.25" customHeight="1" x14ac:dyDescent="0.2">
      <c r="A816" s="924" t="s">
        <v>853</v>
      </c>
      <c r="B816" s="924" t="s">
        <v>791</v>
      </c>
      <c r="C816" s="924" t="s">
        <v>1175</v>
      </c>
      <c r="D816" s="924" t="s">
        <v>1176</v>
      </c>
      <c r="E816" s="924" t="s">
        <v>856</v>
      </c>
      <c r="F816" s="924" t="s">
        <v>1035</v>
      </c>
      <c r="G816" s="924" t="s">
        <v>858</v>
      </c>
      <c r="H816" s="924" t="s">
        <v>836</v>
      </c>
      <c r="I816" s="924" t="s">
        <v>837</v>
      </c>
      <c r="J816" s="924" t="s">
        <v>870</v>
      </c>
      <c r="K816" s="924" t="s">
        <v>1036</v>
      </c>
      <c r="L816" s="925">
        <v>1.81355955137406E-2</v>
      </c>
      <c r="M816" s="925">
        <v>2.2210973603304699E-6</v>
      </c>
    </row>
    <row r="817" spans="1:13" ht="11.25" customHeight="1" x14ac:dyDescent="0.2">
      <c r="A817" s="924" t="s">
        <v>853</v>
      </c>
      <c r="B817" s="924" t="s">
        <v>791</v>
      </c>
      <c r="C817" s="924" t="s">
        <v>1175</v>
      </c>
      <c r="D817" s="924" t="s">
        <v>1176</v>
      </c>
      <c r="E817" s="924" t="s">
        <v>856</v>
      </c>
      <c r="F817" s="924" t="s">
        <v>969</v>
      </c>
      <c r="G817" s="924" t="s">
        <v>858</v>
      </c>
      <c r="H817" s="924" t="s">
        <v>836</v>
      </c>
      <c r="I817" s="924" t="s">
        <v>837</v>
      </c>
      <c r="J817" s="924" t="s">
        <v>875</v>
      </c>
      <c r="K817" s="924" t="s">
        <v>878</v>
      </c>
      <c r="L817" s="925">
        <v>60.539412379264803</v>
      </c>
      <c r="M817" s="925">
        <v>1.6036528520828599E-3</v>
      </c>
    </row>
    <row r="818" spans="1:13" ht="11.25" customHeight="1" x14ac:dyDescent="0.2">
      <c r="A818" s="924" t="s">
        <v>853</v>
      </c>
      <c r="B818" s="924" t="s">
        <v>791</v>
      </c>
      <c r="C818" s="924" t="s">
        <v>1175</v>
      </c>
      <c r="D818" s="924" t="s">
        <v>1176</v>
      </c>
      <c r="E818" s="924" t="s">
        <v>856</v>
      </c>
      <c r="F818" s="924" t="s">
        <v>1031</v>
      </c>
      <c r="G818" s="924" t="s">
        <v>858</v>
      </c>
      <c r="H818" s="924" t="s">
        <v>836</v>
      </c>
      <c r="I818" s="924" t="s">
        <v>837</v>
      </c>
      <c r="J818" s="924" t="s">
        <v>940</v>
      </c>
      <c r="K818" s="924" t="s">
        <v>1032</v>
      </c>
      <c r="L818" s="925">
        <v>37.3633477240801</v>
      </c>
      <c r="M818" s="925">
        <v>7.7958975002268005E-4</v>
      </c>
    </row>
    <row r="819" spans="1:13" ht="11.25" customHeight="1" x14ac:dyDescent="0.2">
      <c r="A819" s="924" t="s">
        <v>853</v>
      </c>
      <c r="B819" s="924" t="s">
        <v>791</v>
      </c>
      <c r="C819" s="924" t="s">
        <v>1175</v>
      </c>
      <c r="D819" s="924" t="s">
        <v>1176</v>
      </c>
      <c r="E819" s="924" t="s">
        <v>856</v>
      </c>
      <c r="F819" s="924" t="s">
        <v>971</v>
      </c>
      <c r="G819" s="924" t="s">
        <v>858</v>
      </c>
      <c r="H819" s="924" t="s">
        <v>836</v>
      </c>
      <c r="I819" s="924" t="s">
        <v>837</v>
      </c>
      <c r="J819" s="924" t="s">
        <v>875</v>
      </c>
      <c r="K819" s="924" t="s">
        <v>948</v>
      </c>
      <c r="L819" s="925">
        <v>85.350359320640607</v>
      </c>
      <c r="M819" s="925">
        <v>3.6507302461359398E-3</v>
      </c>
    </row>
    <row r="820" spans="1:13" ht="11.25" customHeight="1" x14ac:dyDescent="0.2">
      <c r="A820" s="924" t="s">
        <v>853</v>
      </c>
      <c r="B820" s="924" t="s">
        <v>791</v>
      </c>
      <c r="C820" s="924" t="s">
        <v>1175</v>
      </c>
      <c r="D820" s="924" t="s">
        <v>1176</v>
      </c>
      <c r="E820" s="924" t="s">
        <v>856</v>
      </c>
      <c r="F820" s="924" t="s">
        <v>1000</v>
      </c>
      <c r="G820" s="924" t="s">
        <v>858</v>
      </c>
      <c r="H820" s="924" t="s">
        <v>836</v>
      </c>
      <c r="I820" s="924" t="s">
        <v>837</v>
      </c>
      <c r="J820" s="924" t="s">
        <v>875</v>
      </c>
      <c r="K820" s="924" t="s">
        <v>950</v>
      </c>
      <c r="L820" s="925">
        <v>8.2022558674216306</v>
      </c>
      <c r="M820" s="925">
        <v>1.9266236541781701E-4</v>
      </c>
    </row>
    <row r="821" spans="1:13" ht="11.25" customHeight="1" x14ac:dyDescent="0.2">
      <c r="A821" s="924" t="s">
        <v>853</v>
      </c>
      <c r="B821" s="924" t="s">
        <v>791</v>
      </c>
      <c r="C821" s="924" t="s">
        <v>1175</v>
      </c>
      <c r="D821" s="924" t="s">
        <v>1176</v>
      </c>
      <c r="E821" s="924" t="s">
        <v>856</v>
      </c>
      <c r="F821" s="924" t="s">
        <v>974</v>
      </c>
      <c r="G821" s="924" t="s">
        <v>858</v>
      </c>
      <c r="H821" s="924" t="s">
        <v>836</v>
      </c>
      <c r="I821" s="924" t="s">
        <v>837</v>
      </c>
      <c r="J821" s="924" t="s">
        <v>875</v>
      </c>
      <c r="K821" s="924" t="s">
        <v>952</v>
      </c>
      <c r="L821" s="925">
        <v>7.2583912089467004</v>
      </c>
      <c r="M821" s="925">
        <v>1.63991602565972E-4</v>
      </c>
    </row>
    <row r="822" spans="1:13" ht="11.25" customHeight="1" x14ac:dyDescent="0.2">
      <c r="A822" s="924" t="s">
        <v>853</v>
      </c>
      <c r="B822" s="924" t="s">
        <v>791</v>
      </c>
      <c r="C822" s="924" t="s">
        <v>1175</v>
      </c>
      <c r="D822" s="924" t="s">
        <v>1176</v>
      </c>
      <c r="E822" s="924" t="s">
        <v>856</v>
      </c>
      <c r="F822" s="924" t="s">
        <v>955</v>
      </c>
      <c r="G822" s="924" t="s">
        <v>858</v>
      </c>
      <c r="H822" s="924" t="s">
        <v>836</v>
      </c>
      <c r="I822" s="924" t="s">
        <v>837</v>
      </c>
      <c r="J822" s="924" t="s">
        <v>956</v>
      </c>
      <c r="K822" s="924" t="s">
        <v>957</v>
      </c>
      <c r="L822" s="925">
        <v>339.00979423522898</v>
      </c>
      <c r="M822" s="925">
        <v>1.9470540410395599E-3</v>
      </c>
    </row>
    <row r="823" spans="1:13" ht="11.25" customHeight="1" x14ac:dyDescent="0.2">
      <c r="A823" s="924" t="s">
        <v>853</v>
      </c>
      <c r="B823" s="924" t="s">
        <v>791</v>
      </c>
      <c r="C823" s="924" t="s">
        <v>1175</v>
      </c>
      <c r="D823" s="924" t="s">
        <v>1176</v>
      </c>
      <c r="E823" s="924" t="s">
        <v>856</v>
      </c>
      <c r="F823" s="924" t="s">
        <v>980</v>
      </c>
      <c r="G823" s="924" t="s">
        <v>981</v>
      </c>
      <c r="H823" s="924" t="s">
        <v>835</v>
      </c>
      <c r="I823" s="924" t="s">
        <v>839</v>
      </c>
      <c r="J823" s="924" t="s">
        <v>982</v>
      </c>
      <c r="K823" s="924" t="s">
        <v>983</v>
      </c>
      <c r="L823" s="925">
        <v>4114.0252265930203</v>
      </c>
      <c r="M823" s="925">
        <v>4.6924105761572701</v>
      </c>
    </row>
    <row r="824" spans="1:13" ht="11.25" customHeight="1" x14ac:dyDescent="0.2">
      <c r="A824" s="924" t="s">
        <v>853</v>
      </c>
      <c r="B824" s="924" t="s">
        <v>791</v>
      </c>
      <c r="C824" s="924" t="s">
        <v>1175</v>
      </c>
      <c r="D824" s="924" t="s">
        <v>1176</v>
      </c>
      <c r="E824" s="924" t="s">
        <v>856</v>
      </c>
      <c r="F824" s="924" t="s">
        <v>984</v>
      </c>
      <c r="G824" s="924" t="s">
        <v>981</v>
      </c>
      <c r="H824" s="924" t="s">
        <v>835</v>
      </c>
      <c r="I824" s="924" t="s">
        <v>839</v>
      </c>
      <c r="J824" s="924" t="s">
        <v>982</v>
      </c>
      <c r="K824" s="924" t="s">
        <v>985</v>
      </c>
      <c r="L824" s="925">
        <v>1738.0488607883501</v>
      </c>
      <c r="M824" s="925">
        <v>1.9387754322960999</v>
      </c>
    </row>
    <row r="825" spans="1:13" ht="11.25" customHeight="1" x14ac:dyDescent="0.2">
      <c r="A825" s="924" t="s">
        <v>853</v>
      </c>
      <c r="B825" s="924" t="s">
        <v>791</v>
      </c>
      <c r="C825" s="924" t="s">
        <v>1175</v>
      </c>
      <c r="D825" s="924" t="s">
        <v>1176</v>
      </c>
      <c r="E825" s="924" t="s">
        <v>856</v>
      </c>
      <c r="F825" s="924" t="s">
        <v>986</v>
      </c>
      <c r="G825" s="924" t="s">
        <v>981</v>
      </c>
      <c r="H825" s="924" t="s">
        <v>835</v>
      </c>
      <c r="I825" s="924" t="s">
        <v>839</v>
      </c>
      <c r="J825" s="924" t="s">
        <v>987</v>
      </c>
      <c r="K825" s="924" t="s">
        <v>988</v>
      </c>
      <c r="L825" s="925">
        <v>3362.3359208106999</v>
      </c>
      <c r="M825" s="925">
        <v>1.6958221283275601</v>
      </c>
    </row>
    <row r="826" spans="1:13" ht="11.25" customHeight="1" x14ac:dyDescent="0.2">
      <c r="A826" s="924" t="s">
        <v>853</v>
      </c>
      <c r="B826" s="924" t="s">
        <v>791</v>
      </c>
      <c r="C826" s="924" t="s">
        <v>1175</v>
      </c>
      <c r="D826" s="924" t="s">
        <v>1176</v>
      </c>
      <c r="E826" s="924" t="s">
        <v>856</v>
      </c>
      <c r="F826" s="924" t="s">
        <v>989</v>
      </c>
      <c r="G826" s="924" t="s">
        <v>990</v>
      </c>
      <c r="H826" s="924" t="s">
        <v>836</v>
      </c>
      <c r="I826" s="924" t="s">
        <v>839</v>
      </c>
      <c r="J826" s="924" t="s">
        <v>224</v>
      </c>
      <c r="K826" s="924" t="s">
        <v>988</v>
      </c>
      <c r="L826" s="925">
        <v>2647.9256634712201</v>
      </c>
      <c r="M826" s="925">
        <v>9.0155868487798302E-2</v>
      </c>
    </row>
    <row r="827" spans="1:13" ht="11.25" customHeight="1" x14ac:dyDescent="0.2">
      <c r="A827" s="924" t="s">
        <v>853</v>
      </c>
      <c r="B827" s="924" t="s">
        <v>791</v>
      </c>
      <c r="C827" s="924" t="s">
        <v>1175</v>
      </c>
      <c r="D827" s="924" t="s">
        <v>1176</v>
      </c>
      <c r="E827" s="924" t="s">
        <v>856</v>
      </c>
      <c r="F827" s="924" t="s">
        <v>1064</v>
      </c>
      <c r="G827" s="924" t="s">
        <v>981</v>
      </c>
      <c r="H827" s="924" t="s">
        <v>835</v>
      </c>
      <c r="I827" s="924" t="s">
        <v>1040</v>
      </c>
      <c r="J827" s="924" t="s">
        <v>859</v>
      </c>
      <c r="K827" s="924" t="s">
        <v>924</v>
      </c>
      <c r="L827" s="925">
        <v>7.7677102908492097</v>
      </c>
      <c r="M827" s="925">
        <v>5.7977216829385703E-4</v>
      </c>
    </row>
    <row r="828" spans="1:13" ht="11.25" customHeight="1" x14ac:dyDescent="0.2">
      <c r="A828" s="924" t="s">
        <v>853</v>
      </c>
      <c r="B828" s="924" t="s">
        <v>791</v>
      </c>
      <c r="C828" s="924" t="s">
        <v>1175</v>
      </c>
      <c r="D828" s="924" t="s">
        <v>1176</v>
      </c>
      <c r="E828" s="924" t="s">
        <v>856</v>
      </c>
      <c r="F828" s="924" t="s">
        <v>917</v>
      </c>
      <c r="G828" s="924" t="s">
        <v>911</v>
      </c>
      <c r="H828" s="924" t="s">
        <v>665</v>
      </c>
      <c r="I828" s="924" t="s">
        <v>706</v>
      </c>
      <c r="J828" s="924" t="s">
        <v>859</v>
      </c>
      <c r="K828" s="924" t="s">
        <v>918</v>
      </c>
      <c r="L828" s="925">
        <v>1.4237117730081099</v>
      </c>
      <c r="M828" s="925">
        <v>4.5969941322709901E-4</v>
      </c>
    </row>
    <row r="829" spans="1:13" ht="11.25" customHeight="1" x14ac:dyDescent="0.2">
      <c r="A829" s="924" t="s">
        <v>853</v>
      </c>
      <c r="B829" s="924" t="s">
        <v>791</v>
      </c>
      <c r="C829" s="924" t="s">
        <v>1175</v>
      </c>
      <c r="D829" s="924" t="s">
        <v>1176</v>
      </c>
      <c r="E829" s="924" t="s">
        <v>856</v>
      </c>
      <c r="F829" s="924" t="s">
        <v>968</v>
      </c>
      <c r="G829" s="924" t="s">
        <v>858</v>
      </c>
      <c r="H829" s="924" t="s">
        <v>836</v>
      </c>
      <c r="I829" s="924" t="s">
        <v>837</v>
      </c>
      <c r="J829" s="924" t="s">
        <v>875</v>
      </c>
      <c r="K829" s="924" t="s">
        <v>876</v>
      </c>
      <c r="L829" s="925">
        <v>256.5081179142</v>
      </c>
      <c r="M829" s="925">
        <v>6.8754464319908896E-3</v>
      </c>
    </row>
    <row r="830" spans="1:13" ht="11.25" customHeight="1" x14ac:dyDescent="0.2">
      <c r="A830" s="924" t="s">
        <v>853</v>
      </c>
      <c r="B830" s="924" t="s">
        <v>791</v>
      </c>
      <c r="C830" s="924" t="s">
        <v>1175</v>
      </c>
      <c r="D830" s="924" t="s">
        <v>1176</v>
      </c>
      <c r="E830" s="924" t="s">
        <v>856</v>
      </c>
      <c r="F830" s="924" t="s">
        <v>1013</v>
      </c>
      <c r="G830" s="924" t="s">
        <v>858</v>
      </c>
      <c r="H830" s="924" t="s">
        <v>836</v>
      </c>
      <c r="I830" s="924" t="s">
        <v>837</v>
      </c>
      <c r="J830" s="924" t="s">
        <v>863</v>
      </c>
      <c r="K830" s="924" t="s">
        <v>931</v>
      </c>
      <c r="L830" s="925">
        <v>14.785469770431501</v>
      </c>
      <c r="M830" s="925">
        <v>5.4046238523142197E-4</v>
      </c>
    </row>
    <row r="831" spans="1:13" ht="11.25" customHeight="1" x14ac:dyDescent="0.2">
      <c r="A831" s="924" t="s">
        <v>853</v>
      </c>
      <c r="B831" s="924" t="s">
        <v>791</v>
      </c>
      <c r="C831" s="924" t="s">
        <v>1175</v>
      </c>
      <c r="D831" s="924" t="s">
        <v>1176</v>
      </c>
      <c r="E831" s="924" t="s">
        <v>856</v>
      </c>
      <c r="F831" s="924" t="s">
        <v>1071</v>
      </c>
      <c r="G831" s="924" t="s">
        <v>858</v>
      </c>
      <c r="H831" s="924" t="s">
        <v>836</v>
      </c>
      <c r="I831" s="924" t="s">
        <v>837</v>
      </c>
      <c r="J831" s="924" t="s">
        <v>859</v>
      </c>
      <c r="K831" s="924" t="s">
        <v>1072</v>
      </c>
      <c r="L831" s="925">
        <v>1332.3866348266599</v>
      </c>
      <c r="M831" s="925">
        <v>1.1849849318764399E-2</v>
      </c>
    </row>
    <row r="832" spans="1:13" ht="11.25" customHeight="1" x14ac:dyDescent="0.2">
      <c r="A832" s="924" t="s">
        <v>853</v>
      </c>
      <c r="B832" s="924" t="s">
        <v>791</v>
      </c>
      <c r="C832" s="924" t="s">
        <v>1175</v>
      </c>
      <c r="D832" s="924" t="s">
        <v>1176</v>
      </c>
      <c r="E832" s="924" t="s">
        <v>856</v>
      </c>
      <c r="F832" s="924" t="s">
        <v>953</v>
      </c>
      <c r="G832" s="924" t="s">
        <v>858</v>
      </c>
      <c r="H832" s="924" t="s">
        <v>836</v>
      </c>
      <c r="I832" s="924" t="s">
        <v>837</v>
      </c>
      <c r="J832" s="924" t="s">
        <v>859</v>
      </c>
      <c r="K832" s="924" t="s">
        <v>920</v>
      </c>
      <c r="L832" s="925">
        <v>62.675322532653801</v>
      </c>
      <c r="M832" s="925">
        <v>8.0843350846748795E-4</v>
      </c>
    </row>
    <row r="833" spans="1:13" ht="11.25" customHeight="1" x14ac:dyDescent="0.2">
      <c r="A833" s="924" t="s">
        <v>853</v>
      </c>
      <c r="B833" s="924" t="s">
        <v>791</v>
      </c>
      <c r="C833" s="924" t="s">
        <v>1175</v>
      </c>
      <c r="D833" s="924" t="s">
        <v>1176</v>
      </c>
      <c r="E833" s="924" t="s">
        <v>856</v>
      </c>
      <c r="F833" s="924" t="s">
        <v>1002</v>
      </c>
      <c r="G833" s="924" t="s">
        <v>858</v>
      </c>
      <c r="H833" s="924" t="s">
        <v>836</v>
      </c>
      <c r="I833" s="924" t="s">
        <v>837</v>
      </c>
      <c r="J833" s="924" t="s">
        <v>859</v>
      </c>
      <c r="K833" s="924" t="s">
        <v>922</v>
      </c>
      <c r="L833" s="925">
        <v>498.45291423797602</v>
      </c>
      <c r="M833" s="925">
        <v>5.6988309725056804E-3</v>
      </c>
    </row>
    <row r="834" spans="1:13" ht="11.25" customHeight="1" x14ac:dyDescent="0.2">
      <c r="A834" s="924" t="s">
        <v>853</v>
      </c>
      <c r="B834" s="924" t="s">
        <v>791</v>
      </c>
      <c r="C834" s="924" t="s">
        <v>1175</v>
      </c>
      <c r="D834" s="924" t="s">
        <v>1176</v>
      </c>
      <c r="E834" s="924" t="s">
        <v>856</v>
      </c>
      <c r="F834" s="924" t="s">
        <v>1003</v>
      </c>
      <c r="G834" s="924" t="s">
        <v>858</v>
      </c>
      <c r="H834" s="924" t="s">
        <v>836</v>
      </c>
      <c r="I834" s="924" t="s">
        <v>837</v>
      </c>
      <c r="J834" s="924" t="s">
        <v>859</v>
      </c>
      <c r="K834" s="924" t="s">
        <v>924</v>
      </c>
      <c r="L834" s="925">
        <v>1694.7459163665801</v>
      </c>
      <c r="M834" s="925">
        <v>1.6164134235623399E-2</v>
      </c>
    </row>
    <row r="835" spans="1:13" ht="11.25" customHeight="1" x14ac:dyDescent="0.2">
      <c r="A835" s="924" t="s">
        <v>853</v>
      </c>
      <c r="B835" s="924" t="s">
        <v>791</v>
      </c>
      <c r="C835" s="924" t="s">
        <v>1175</v>
      </c>
      <c r="D835" s="924" t="s">
        <v>1176</v>
      </c>
      <c r="E835" s="924" t="s">
        <v>856</v>
      </c>
      <c r="F835" s="924" t="s">
        <v>991</v>
      </c>
      <c r="G835" s="924" t="s">
        <v>990</v>
      </c>
      <c r="H835" s="924" t="s">
        <v>836</v>
      </c>
      <c r="I835" s="924" t="s">
        <v>839</v>
      </c>
      <c r="J835" s="924" t="s">
        <v>224</v>
      </c>
      <c r="K835" s="924" t="s">
        <v>983</v>
      </c>
      <c r="L835" s="925">
        <v>8.3245482258498704</v>
      </c>
      <c r="M835" s="925">
        <v>4.9708641676771104E-4</v>
      </c>
    </row>
    <row r="836" spans="1:13" ht="11.25" customHeight="1" x14ac:dyDescent="0.2">
      <c r="A836" s="924" t="s">
        <v>853</v>
      </c>
      <c r="B836" s="924" t="s">
        <v>791</v>
      </c>
      <c r="C836" s="924" t="s">
        <v>1175</v>
      </c>
      <c r="D836" s="924" t="s">
        <v>1176</v>
      </c>
      <c r="E836" s="924" t="s">
        <v>856</v>
      </c>
      <c r="F836" s="924" t="s">
        <v>1004</v>
      </c>
      <c r="G836" s="924" t="s">
        <v>858</v>
      </c>
      <c r="H836" s="924" t="s">
        <v>836</v>
      </c>
      <c r="I836" s="924" t="s">
        <v>837</v>
      </c>
      <c r="J836" s="924" t="s">
        <v>859</v>
      </c>
      <c r="K836" s="924" t="s">
        <v>926</v>
      </c>
      <c r="L836" s="925">
        <v>1027.0782155990601</v>
      </c>
      <c r="M836" s="925">
        <v>4.1912699635759103E-2</v>
      </c>
    </row>
    <row r="837" spans="1:13" ht="11.25" customHeight="1" x14ac:dyDescent="0.2">
      <c r="A837" s="924" t="s">
        <v>853</v>
      </c>
      <c r="B837" s="924" t="s">
        <v>791</v>
      </c>
      <c r="C837" s="924" t="s">
        <v>1175</v>
      </c>
      <c r="D837" s="924" t="s">
        <v>1176</v>
      </c>
      <c r="E837" s="924" t="s">
        <v>856</v>
      </c>
      <c r="F837" s="924" t="s">
        <v>1005</v>
      </c>
      <c r="G837" s="924" t="s">
        <v>858</v>
      </c>
      <c r="H837" s="924" t="s">
        <v>836</v>
      </c>
      <c r="I837" s="924" t="s">
        <v>837</v>
      </c>
      <c r="J837" s="924" t="s">
        <v>859</v>
      </c>
      <c r="K837" s="924" t="s">
        <v>1006</v>
      </c>
      <c r="L837" s="925">
        <v>1550.16026687622</v>
      </c>
      <c r="M837" s="925">
        <v>1.20067827010644E-2</v>
      </c>
    </row>
    <row r="838" spans="1:13" ht="11.25" customHeight="1" x14ac:dyDescent="0.2">
      <c r="A838" s="924" t="s">
        <v>853</v>
      </c>
      <c r="B838" s="924" t="s">
        <v>791</v>
      </c>
      <c r="C838" s="924" t="s">
        <v>1175</v>
      </c>
      <c r="D838" s="924" t="s">
        <v>1176</v>
      </c>
      <c r="E838" s="924" t="s">
        <v>856</v>
      </c>
      <c r="F838" s="924" t="s">
        <v>1007</v>
      </c>
      <c r="G838" s="924" t="s">
        <v>858</v>
      </c>
      <c r="H838" s="924" t="s">
        <v>836</v>
      </c>
      <c r="I838" s="924" t="s">
        <v>837</v>
      </c>
      <c r="J838" s="924" t="s">
        <v>859</v>
      </c>
      <c r="K838" s="924" t="s">
        <v>928</v>
      </c>
      <c r="L838" s="925">
        <v>713.67014884948696</v>
      </c>
      <c r="M838" s="925">
        <v>3.1119931978082601E-2</v>
      </c>
    </row>
    <row r="839" spans="1:13" ht="11.25" customHeight="1" x14ac:dyDescent="0.2">
      <c r="A839" s="924" t="s">
        <v>853</v>
      </c>
      <c r="B839" s="924" t="s">
        <v>791</v>
      </c>
      <c r="C839" s="924" t="s">
        <v>1175</v>
      </c>
      <c r="D839" s="924" t="s">
        <v>1176</v>
      </c>
      <c r="E839" s="924" t="s">
        <v>856</v>
      </c>
      <c r="F839" s="924" t="s">
        <v>1008</v>
      </c>
      <c r="G839" s="924" t="s">
        <v>858</v>
      </c>
      <c r="H839" s="924" t="s">
        <v>836</v>
      </c>
      <c r="I839" s="924" t="s">
        <v>837</v>
      </c>
      <c r="J839" s="924" t="s">
        <v>859</v>
      </c>
      <c r="K839" s="924" t="s">
        <v>1009</v>
      </c>
      <c r="L839" s="925">
        <v>166.37116193771399</v>
      </c>
      <c r="M839" s="925">
        <v>1.3553746446177701E-3</v>
      </c>
    </row>
    <row r="840" spans="1:13" ht="11.25" customHeight="1" x14ac:dyDescent="0.2">
      <c r="A840" s="924" t="s">
        <v>853</v>
      </c>
      <c r="B840" s="924" t="s">
        <v>791</v>
      </c>
      <c r="C840" s="924" t="s">
        <v>1175</v>
      </c>
      <c r="D840" s="924" t="s">
        <v>1176</v>
      </c>
      <c r="E840" s="924" t="s">
        <v>856</v>
      </c>
      <c r="F840" s="924" t="s">
        <v>975</v>
      </c>
      <c r="G840" s="924" t="s">
        <v>858</v>
      </c>
      <c r="H840" s="924" t="s">
        <v>836</v>
      </c>
      <c r="I840" s="924" t="s">
        <v>837</v>
      </c>
      <c r="J840" s="924" t="s">
        <v>870</v>
      </c>
      <c r="K840" s="924" t="s">
        <v>976</v>
      </c>
      <c r="L840" s="925">
        <v>753.53177213668801</v>
      </c>
      <c r="M840" s="925">
        <v>1.1277696549029799E-2</v>
      </c>
    </row>
    <row r="841" spans="1:13" ht="11.25" customHeight="1" x14ac:dyDescent="0.2">
      <c r="A841" s="924" t="s">
        <v>853</v>
      </c>
      <c r="B841" s="924" t="s">
        <v>791</v>
      </c>
      <c r="C841" s="924" t="s">
        <v>1175</v>
      </c>
      <c r="D841" s="924" t="s">
        <v>1176</v>
      </c>
      <c r="E841" s="924" t="s">
        <v>856</v>
      </c>
      <c r="F841" s="924" t="s">
        <v>1012</v>
      </c>
      <c r="G841" s="924" t="s">
        <v>858</v>
      </c>
      <c r="H841" s="924" t="s">
        <v>836</v>
      </c>
      <c r="I841" s="924" t="s">
        <v>837</v>
      </c>
      <c r="J841" s="924" t="s">
        <v>859</v>
      </c>
      <c r="K841" s="924" t="s">
        <v>891</v>
      </c>
      <c r="L841" s="925">
        <v>160.019470930099</v>
      </c>
      <c r="M841" s="925">
        <v>2.1209366367997999E-3</v>
      </c>
    </row>
    <row r="842" spans="1:13" ht="11.25" customHeight="1" x14ac:dyDescent="0.2">
      <c r="A842" s="924" t="s">
        <v>853</v>
      </c>
      <c r="B842" s="924" t="s">
        <v>791</v>
      </c>
      <c r="C842" s="924" t="s">
        <v>1175</v>
      </c>
      <c r="D842" s="924" t="s">
        <v>1176</v>
      </c>
      <c r="E842" s="924" t="s">
        <v>856</v>
      </c>
      <c r="F842" s="924" t="s">
        <v>886</v>
      </c>
      <c r="G842" s="924" t="s">
        <v>858</v>
      </c>
      <c r="H842" s="924" t="s">
        <v>836</v>
      </c>
      <c r="I842" s="924" t="s">
        <v>837</v>
      </c>
      <c r="J842" s="924" t="s">
        <v>859</v>
      </c>
      <c r="K842" s="924" t="s">
        <v>887</v>
      </c>
      <c r="L842" s="925">
        <v>387.34990549087502</v>
      </c>
      <c r="M842" s="925">
        <v>2.8667574583778302E-3</v>
      </c>
    </row>
    <row r="843" spans="1:13" ht="11.25" customHeight="1" x14ac:dyDescent="0.2">
      <c r="A843" s="924" t="s">
        <v>853</v>
      </c>
      <c r="B843" s="924" t="s">
        <v>791</v>
      </c>
      <c r="C843" s="924" t="s">
        <v>1175</v>
      </c>
      <c r="D843" s="924" t="s">
        <v>1176</v>
      </c>
      <c r="E843" s="924" t="s">
        <v>856</v>
      </c>
      <c r="F843" s="924" t="s">
        <v>1014</v>
      </c>
      <c r="G843" s="924" t="s">
        <v>858</v>
      </c>
      <c r="H843" s="924" t="s">
        <v>836</v>
      </c>
      <c r="I843" s="924" t="s">
        <v>837</v>
      </c>
      <c r="J843" s="924" t="s">
        <v>863</v>
      </c>
      <c r="K843" s="924" t="s">
        <v>933</v>
      </c>
      <c r="L843" s="925">
        <v>214.199472665787</v>
      </c>
      <c r="M843" s="925">
        <v>1.5164350793242E-3</v>
      </c>
    </row>
    <row r="844" spans="1:13" ht="11.25" customHeight="1" x14ac:dyDescent="0.2">
      <c r="A844" s="924" t="s">
        <v>853</v>
      </c>
      <c r="B844" s="924" t="s">
        <v>791</v>
      </c>
      <c r="C844" s="924" t="s">
        <v>1175</v>
      </c>
      <c r="D844" s="924" t="s">
        <v>1176</v>
      </c>
      <c r="E844" s="924" t="s">
        <v>856</v>
      </c>
      <c r="F844" s="924" t="s">
        <v>1038</v>
      </c>
      <c r="G844" s="924" t="s">
        <v>858</v>
      </c>
      <c r="H844" s="924" t="s">
        <v>836</v>
      </c>
      <c r="I844" s="924" t="s">
        <v>837</v>
      </c>
      <c r="J844" s="924" t="s">
        <v>863</v>
      </c>
      <c r="K844" s="924" t="s">
        <v>935</v>
      </c>
      <c r="L844" s="925">
        <v>93.565996885299697</v>
      </c>
      <c r="M844" s="925">
        <v>1.0126514612238699E-3</v>
      </c>
    </row>
    <row r="845" spans="1:13" ht="11.25" customHeight="1" x14ac:dyDescent="0.2">
      <c r="A845" s="924" t="s">
        <v>853</v>
      </c>
      <c r="B845" s="924" t="s">
        <v>791</v>
      </c>
      <c r="C845" s="924" t="s">
        <v>1175</v>
      </c>
      <c r="D845" s="924" t="s">
        <v>1176</v>
      </c>
      <c r="E845" s="924" t="s">
        <v>856</v>
      </c>
      <c r="F845" s="924" t="s">
        <v>1017</v>
      </c>
      <c r="G845" s="924" t="s">
        <v>858</v>
      </c>
      <c r="H845" s="924" t="s">
        <v>836</v>
      </c>
      <c r="I845" s="924" t="s">
        <v>837</v>
      </c>
      <c r="J845" s="924" t="s">
        <v>863</v>
      </c>
      <c r="K845" s="924" t="s">
        <v>864</v>
      </c>
      <c r="L845" s="925">
        <v>94.88942694664</v>
      </c>
      <c r="M845" s="925">
        <v>1.28688948919375E-3</v>
      </c>
    </row>
    <row r="846" spans="1:13" ht="11.25" customHeight="1" x14ac:dyDescent="0.2">
      <c r="A846" s="924" t="s">
        <v>853</v>
      </c>
      <c r="B846" s="924" t="s">
        <v>791</v>
      </c>
      <c r="C846" s="924" t="s">
        <v>1175</v>
      </c>
      <c r="D846" s="924" t="s">
        <v>1176</v>
      </c>
      <c r="E846" s="924" t="s">
        <v>856</v>
      </c>
      <c r="F846" s="924" t="s">
        <v>1001</v>
      </c>
      <c r="G846" s="924" t="s">
        <v>858</v>
      </c>
      <c r="H846" s="924" t="s">
        <v>836</v>
      </c>
      <c r="I846" s="924" t="s">
        <v>837</v>
      </c>
      <c r="J846" s="924" t="s">
        <v>863</v>
      </c>
      <c r="K846" s="924" t="s">
        <v>915</v>
      </c>
      <c r="L846" s="925">
        <v>3.6623158976435701</v>
      </c>
      <c r="M846" s="925">
        <v>1.11899338318011E-4</v>
      </c>
    </row>
    <row r="847" spans="1:13" ht="11.25" customHeight="1" x14ac:dyDescent="0.2">
      <c r="A847" s="924" t="s">
        <v>853</v>
      </c>
      <c r="B847" s="924" t="s">
        <v>791</v>
      </c>
      <c r="C847" s="924" t="s">
        <v>1175</v>
      </c>
      <c r="D847" s="924" t="s">
        <v>1176</v>
      </c>
      <c r="E847" s="924" t="s">
        <v>856</v>
      </c>
      <c r="F847" s="924" t="s">
        <v>1020</v>
      </c>
      <c r="G847" s="924" t="s">
        <v>858</v>
      </c>
      <c r="H847" s="924" t="s">
        <v>836</v>
      </c>
      <c r="I847" s="924" t="s">
        <v>837</v>
      </c>
      <c r="J847" s="924" t="s">
        <v>863</v>
      </c>
      <c r="K847" s="924" t="s">
        <v>866</v>
      </c>
      <c r="L847" s="925">
        <v>1629.1996498107901</v>
      </c>
      <c r="M847" s="925">
        <v>3.9544871713132999E-2</v>
      </c>
    </row>
    <row r="848" spans="1:13" ht="11.25" customHeight="1" x14ac:dyDescent="0.2">
      <c r="A848" s="924" t="s">
        <v>853</v>
      </c>
      <c r="B848" s="924" t="s">
        <v>791</v>
      </c>
      <c r="C848" s="924" t="s">
        <v>1175</v>
      </c>
      <c r="D848" s="924" t="s">
        <v>1176</v>
      </c>
      <c r="E848" s="924" t="s">
        <v>856</v>
      </c>
      <c r="F848" s="924" t="s">
        <v>1021</v>
      </c>
      <c r="G848" s="924" t="s">
        <v>858</v>
      </c>
      <c r="H848" s="924" t="s">
        <v>836</v>
      </c>
      <c r="I848" s="924" t="s">
        <v>837</v>
      </c>
      <c r="J848" s="924" t="s">
        <v>863</v>
      </c>
      <c r="K848" s="924" t="s">
        <v>868</v>
      </c>
      <c r="L848" s="925">
        <v>134.999153852463</v>
      </c>
      <c r="M848" s="925">
        <v>7.2564420764820203E-4</v>
      </c>
    </row>
    <row r="849" spans="1:13" ht="11.25" customHeight="1" x14ac:dyDescent="0.2">
      <c r="A849" s="924" t="s">
        <v>853</v>
      </c>
      <c r="B849" s="924" t="s">
        <v>791</v>
      </c>
      <c r="C849" s="924" t="s">
        <v>1175</v>
      </c>
      <c r="D849" s="924" t="s">
        <v>1176</v>
      </c>
      <c r="E849" s="924" t="s">
        <v>856</v>
      </c>
      <c r="F849" s="924" t="s">
        <v>1022</v>
      </c>
      <c r="G849" s="924" t="s">
        <v>858</v>
      </c>
      <c r="H849" s="924" t="s">
        <v>836</v>
      </c>
      <c r="I849" s="924" t="s">
        <v>837</v>
      </c>
      <c r="J849" s="924" t="s">
        <v>940</v>
      </c>
      <c r="K849" s="924" t="s">
        <v>1023</v>
      </c>
      <c r="L849" s="925">
        <v>3.3192262242664597E-2</v>
      </c>
      <c r="M849" s="925">
        <v>1.4909649886235601E-6</v>
      </c>
    </row>
    <row r="850" spans="1:13" ht="11.25" customHeight="1" x14ac:dyDescent="0.2">
      <c r="A850" s="924" t="s">
        <v>853</v>
      </c>
      <c r="B850" s="924" t="s">
        <v>791</v>
      </c>
      <c r="C850" s="924" t="s">
        <v>1175</v>
      </c>
      <c r="D850" s="924" t="s">
        <v>1176</v>
      </c>
      <c r="E850" s="924" t="s">
        <v>856</v>
      </c>
      <c r="F850" s="924" t="s">
        <v>1024</v>
      </c>
      <c r="G850" s="924" t="s">
        <v>858</v>
      </c>
      <c r="H850" s="924" t="s">
        <v>836</v>
      </c>
      <c r="I850" s="924" t="s">
        <v>837</v>
      </c>
      <c r="J850" s="924" t="s">
        <v>940</v>
      </c>
      <c r="K850" s="924" t="s">
        <v>1025</v>
      </c>
      <c r="L850" s="925">
        <v>8.8140318989753705</v>
      </c>
      <c r="M850" s="925">
        <v>1.4499106725907E-4</v>
      </c>
    </row>
    <row r="851" spans="1:13" ht="11.25" customHeight="1" x14ac:dyDescent="0.2">
      <c r="A851" s="924" t="s">
        <v>853</v>
      </c>
      <c r="B851" s="924" t="s">
        <v>791</v>
      </c>
      <c r="C851" s="924" t="s">
        <v>1175</v>
      </c>
      <c r="D851" s="924" t="s">
        <v>1176</v>
      </c>
      <c r="E851" s="924" t="s">
        <v>856</v>
      </c>
      <c r="F851" s="924" t="s">
        <v>1026</v>
      </c>
      <c r="G851" s="924" t="s">
        <v>858</v>
      </c>
      <c r="H851" s="924" t="s">
        <v>836</v>
      </c>
      <c r="I851" s="924" t="s">
        <v>837</v>
      </c>
      <c r="J851" s="924" t="s">
        <v>940</v>
      </c>
      <c r="K851" s="924" t="s">
        <v>1027</v>
      </c>
      <c r="L851" s="925">
        <v>232.65002959966699</v>
      </c>
      <c r="M851" s="925">
        <v>9.8192635460776501E-3</v>
      </c>
    </row>
    <row r="852" spans="1:13" ht="11.25" customHeight="1" x14ac:dyDescent="0.2">
      <c r="A852" s="924" t="s">
        <v>853</v>
      </c>
      <c r="B852" s="924" t="s">
        <v>791</v>
      </c>
      <c r="C852" s="924" t="s">
        <v>1175</v>
      </c>
      <c r="D852" s="924" t="s">
        <v>1176</v>
      </c>
      <c r="E852" s="924" t="s">
        <v>856</v>
      </c>
      <c r="F852" s="924" t="s">
        <v>1028</v>
      </c>
      <c r="G852" s="924" t="s">
        <v>858</v>
      </c>
      <c r="H852" s="924" t="s">
        <v>836</v>
      </c>
      <c r="I852" s="924" t="s">
        <v>837</v>
      </c>
      <c r="J852" s="924" t="s">
        <v>940</v>
      </c>
      <c r="K852" s="924" t="s">
        <v>1029</v>
      </c>
      <c r="L852" s="925">
        <v>48.018961474299402</v>
      </c>
      <c r="M852" s="925">
        <v>2.60474801255484E-3</v>
      </c>
    </row>
    <row r="853" spans="1:13" ht="11.25" customHeight="1" x14ac:dyDescent="0.2">
      <c r="A853" s="924" t="s">
        <v>853</v>
      </c>
      <c r="B853" s="924" t="s">
        <v>791</v>
      </c>
      <c r="C853" s="924" t="s">
        <v>1175</v>
      </c>
      <c r="D853" s="924" t="s">
        <v>1176</v>
      </c>
      <c r="E853" s="924" t="s">
        <v>856</v>
      </c>
      <c r="F853" s="924" t="s">
        <v>1010</v>
      </c>
      <c r="G853" s="924" t="s">
        <v>858</v>
      </c>
      <c r="H853" s="924" t="s">
        <v>836</v>
      </c>
      <c r="I853" s="924" t="s">
        <v>837</v>
      </c>
      <c r="J853" s="924" t="s">
        <v>859</v>
      </c>
      <c r="K853" s="924" t="s">
        <v>1011</v>
      </c>
      <c r="L853" s="925">
        <v>2.1834939457476099</v>
      </c>
      <c r="M853" s="925">
        <v>1.00471908368149E-4</v>
      </c>
    </row>
    <row r="854" spans="1:13" ht="11.25" customHeight="1" x14ac:dyDescent="0.2">
      <c r="A854" s="924" t="s">
        <v>853</v>
      </c>
      <c r="B854" s="924" t="s">
        <v>791</v>
      </c>
      <c r="C854" s="924" t="s">
        <v>1175</v>
      </c>
      <c r="D854" s="924" t="s">
        <v>1176</v>
      </c>
      <c r="E854" s="924" t="s">
        <v>856</v>
      </c>
      <c r="F854" s="924" t="s">
        <v>1059</v>
      </c>
      <c r="G854" s="924" t="s">
        <v>981</v>
      </c>
      <c r="H854" s="924" t="s">
        <v>835</v>
      </c>
      <c r="I854" s="924" t="s">
        <v>1040</v>
      </c>
      <c r="J854" s="924" t="s">
        <v>859</v>
      </c>
      <c r="K854" s="924" t="s">
        <v>909</v>
      </c>
      <c r="L854" s="925">
        <v>56.686569631099701</v>
      </c>
      <c r="M854" s="925">
        <v>3.9115672989282799E-2</v>
      </c>
    </row>
    <row r="855" spans="1:13" ht="11.25" customHeight="1" x14ac:dyDescent="0.2">
      <c r="A855" s="924" t="s">
        <v>853</v>
      </c>
      <c r="B855" s="924" t="s">
        <v>791</v>
      </c>
      <c r="C855" s="924" t="s">
        <v>1175</v>
      </c>
      <c r="D855" s="924" t="s">
        <v>1176</v>
      </c>
      <c r="E855" s="924" t="s">
        <v>856</v>
      </c>
      <c r="F855" s="924" t="s">
        <v>1136</v>
      </c>
      <c r="G855" s="924" t="s">
        <v>981</v>
      </c>
      <c r="H855" s="924" t="s">
        <v>835</v>
      </c>
      <c r="I855" s="924" t="s">
        <v>1040</v>
      </c>
      <c r="J855" s="924" t="s">
        <v>863</v>
      </c>
      <c r="K855" s="924" t="s">
        <v>864</v>
      </c>
      <c r="L855" s="925">
        <v>25.4727258384228</v>
      </c>
      <c r="M855" s="925">
        <v>1.9017380196601201E-2</v>
      </c>
    </row>
    <row r="856" spans="1:13" ht="11.25" customHeight="1" x14ac:dyDescent="0.2">
      <c r="A856" s="924" t="s">
        <v>853</v>
      </c>
      <c r="B856" s="924" t="s">
        <v>791</v>
      </c>
      <c r="C856" s="924" t="s">
        <v>1175</v>
      </c>
      <c r="D856" s="924" t="s">
        <v>1176</v>
      </c>
      <c r="E856" s="924" t="s">
        <v>856</v>
      </c>
      <c r="F856" s="924" t="s">
        <v>1047</v>
      </c>
      <c r="G856" s="924" t="s">
        <v>981</v>
      </c>
      <c r="H856" s="924" t="s">
        <v>835</v>
      </c>
      <c r="I856" s="924" t="s">
        <v>1040</v>
      </c>
      <c r="J856" s="924" t="s">
        <v>884</v>
      </c>
      <c r="K856" s="924" t="s">
        <v>1048</v>
      </c>
      <c r="L856" s="925">
        <v>186.48304176330601</v>
      </c>
      <c r="M856" s="925">
        <v>0.14000008557923099</v>
      </c>
    </row>
    <row r="857" spans="1:13" ht="11.25" customHeight="1" x14ac:dyDescent="0.2">
      <c r="A857" s="924" t="s">
        <v>853</v>
      </c>
      <c r="B857" s="924" t="s">
        <v>791</v>
      </c>
      <c r="C857" s="924" t="s">
        <v>1175</v>
      </c>
      <c r="D857" s="924" t="s">
        <v>1176</v>
      </c>
      <c r="E857" s="924" t="s">
        <v>856</v>
      </c>
      <c r="F857" s="924" t="s">
        <v>1050</v>
      </c>
      <c r="G857" s="924" t="s">
        <v>981</v>
      </c>
      <c r="H857" s="924" t="s">
        <v>835</v>
      </c>
      <c r="I857" s="924" t="s">
        <v>1040</v>
      </c>
      <c r="J857" s="924" t="s">
        <v>859</v>
      </c>
      <c r="K857" s="924" t="s">
        <v>913</v>
      </c>
      <c r="L857" s="925">
        <v>8.7222873494028992</v>
      </c>
      <c r="M857" s="925">
        <v>5.1567262594858203E-3</v>
      </c>
    </row>
    <row r="858" spans="1:13" ht="11.25" customHeight="1" x14ac:dyDescent="0.2">
      <c r="A858" s="924" t="s">
        <v>853</v>
      </c>
      <c r="B858" s="924" t="s">
        <v>791</v>
      </c>
      <c r="C858" s="924" t="s">
        <v>1175</v>
      </c>
      <c r="D858" s="924" t="s">
        <v>1176</v>
      </c>
      <c r="E858" s="924" t="s">
        <v>856</v>
      </c>
      <c r="F858" s="924" t="s">
        <v>1051</v>
      </c>
      <c r="G858" s="924" t="s">
        <v>981</v>
      </c>
      <c r="H858" s="924" t="s">
        <v>835</v>
      </c>
      <c r="I858" s="924" t="s">
        <v>1040</v>
      </c>
      <c r="J858" s="924" t="s">
        <v>859</v>
      </c>
      <c r="K858" s="924" t="s">
        <v>889</v>
      </c>
      <c r="L858" s="925">
        <v>6.5270536404568702E-2</v>
      </c>
      <c r="M858" s="925">
        <v>4.2358882353710201E-5</v>
      </c>
    </row>
    <row r="859" spans="1:13" ht="11.25" customHeight="1" x14ac:dyDescent="0.2">
      <c r="A859" s="924" t="s">
        <v>853</v>
      </c>
      <c r="B859" s="924" t="s">
        <v>791</v>
      </c>
      <c r="C859" s="924" t="s">
        <v>1175</v>
      </c>
      <c r="D859" s="924" t="s">
        <v>1176</v>
      </c>
      <c r="E859" s="924" t="s">
        <v>856</v>
      </c>
      <c r="F859" s="924" t="s">
        <v>1052</v>
      </c>
      <c r="G859" s="924" t="s">
        <v>981</v>
      </c>
      <c r="H859" s="924" t="s">
        <v>835</v>
      </c>
      <c r="I859" s="924" t="s">
        <v>1040</v>
      </c>
      <c r="J859" s="924" t="s">
        <v>859</v>
      </c>
      <c r="K859" s="924" t="s">
        <v>860</v>
      </c>
      <c r="L859" s="925">
        <v>16.428740635514298</v>
      </c>
      <c r="M859" s="925">
        <v>1.1571151044336101E-2</v>
      </c>
    </row>
    <row r="860" spans="1:13" ht="11.25" customHeight="1" x14ac:dyDescent="0.2">
      <c r="A860" s="924" t="s">
        <v>853</v>
      </c>
      <c r="B860" s="924" t="s">
        <v>791</v>
      </c>
      <c r="C860" s="924" t="s">
        <v>1175</v>
      </c>
      <c r="D860" s="924" t="s">
        <v>1176</v>
      </c>
      <c r="E860" s="924" t="s">
        <v>856</v>
      </c>
      <c r="F860" s="924" t="s">
        <v>1053</v>
      </c>
      <c r="G860" s="924" t="s">
        <v>981</v>
      </c>
      <c r="H860" s="924" t="s">
        <v>835</v>
      </c>
      <c r="I860" s="924" t="s">
        <v>1040</v>
      </c>
      <c r="J860" s="924" t="s">
        <v>859</v>
      </c>
      <c r="K860" s="924" t="s">
        <v>893</v>
      </c>
      <c r="L860" s="925">
        <v>15.4650551974773</v>
      </c>
      <c r="M860" s="925">
        <v>9.3960078811505792E-3</v>
      </c>
    </row>
    <row r="861" spans="1:13" ht="11.25" customHeight="1" x14ac:dyDescent="0.2">
      <c r="A861" s="924" t="s">
        <v>853</v>
      </c>
      <c r="B861" s="924" t="s">
        <v>791</v>
      </c>
      <c r="C861" s="924" t="s">
        <v>1175</v>
      </c>
      <c r="D861" s="924" t="s">
        <v>1176</v>
      </c>
      <c r="E861" s="924" t="s">
        <v>856</v>
      </c>
      <c r="F861" s="924" t="s">
        <v>1068</v>
      </c>
      <c r="G861" s="924" t="s">
        <v>981</v>
      </c>
      <c r="H861" s="924" t="s">
        <v>835</v>
      </c>
      <c r="I861" s="924" t="s">
        <v>1040</v>
      </c>
      <c r="J861" s="924" t="s">
        <v>859</v>
      </c>
      <c r="K861" s="924" t="s">
        <v>897</v>
      </c>
      <c r="L861" s="925">
        <v>30.834235996007902</v>
      </c>
      <c r="M861" s="925">
        <v>2.05553883547509E-2</v>
      </c>
    </row>
    <row r="862" spans="1:13" ht="11.25" customHeight="1" x14ac:dyDescent="0.2">
      <c r="A862" s="924" t="s">
        <v>853</v>
      </c>
      <c r="B862" s="924" t="s">
        <v>791</v>
      </c>
      <c r="C862" s="924" t="s">
        <v>1175</v>
      </c>
      <c r="D862" s="924" t="s">
        <v>1176</v>
      </c>
      <c r="E862" s="924" t="s">
        <v>856</v>
      </c>
      <c r="F862" s="924" t="s">
        <v>1055</v>
      </c>
      <c r="G862" s="924" t="s">
        <v>981</v>
      </c>
      <c r="H862" s="924" t="s">
        <v>835</v>
      </c>
      <c r="I862" s="924" t="s">
        <v>1040</v>
      </c>
      <c r="J862" s="924" t="s">
        <v>859</v>
      </c>
      <c r="K862" s="924" t="s">
        <v>899</v>
      </c>
      <c r="L862" s="925">
        <v>12.996308073401501</v>
      </c>
      <c r="M862" s="925">
        <v>9.1346180755920194E-3</v>
      </c>
    </row>
    <row r="863" spans="1:13" ht="11.25" customHeight="1" x14ac:dyDescent="0.2">
      <c r="A863" s="924" t="s">
        <v>853</v>
      </c>
      <c r="B863" s="924" t="s">
        <v>791</v>
      </c>
      <c r="C863" s="924" t="s">
        <v>1175</v>
      </c>
      <c r="D863" s="924" t="s">
        <v>1176</v>
      </c>
      <c r="E863" s="924" t="s">
        <v>856</v>
      </c>
      <c r="F863" s="924" t="s">
        <v>1039</v>
      </c>
      <c r="G863" s="924" t="s">
        <v>981</v>
      </c>
      <c r="H863" s="924" t="s">
        <v>835</v>
      </c>
      <c r="I863" s="924" t="s">
        <v>1040</v>
      </c>
      <c r="J863" s="924" t="s">
        <v>859</v>
      </c>
      <c r="K863" s="924" t="s">
        <v>901</v>
      </c>
      <c r="L863" s="925">
        <v>0.67749070841819004</v>
      </c>
      <c r="M863" s="925">
        <v>4.9907406173588199E-4</v>
      </c>
    </row>
    <row r="864" spans="1:13" ht="11.25" customHeight="1" x14ac:dyDescent="0.2">
      <c r="A864" s="924" t="s">
        <v>853</v>
      </c>
      <c r="B864" s="924" t="s">
        <v>791</v>
      </c>
      <c r="C864" s="924" t="s">
        <v>1175</v>
      </c>
      <c r="D864" s="924" t="s">
        <v>1176</v>
      </c>
      <c r="E864" s="924" t="s">
        <v>856</v>
      </c>
      <c r="F864" s="924" t="s">
        <v>1054</v>
      </c>
      <c r="G864" s="924" t="s">
        <v>981</v>
      </c>
      <c r="H864" s="924" t="s">
        <v>835</v>
      </c>
      <c r="I864" s="924" t="s">
        <v>998</v>
      </c>
      <c r="J864" s="924" t="s">
        <v>875</v>
      </c>
      <c r="K864" s="924" t="s">
        <v>880</v>
      </c>
      <c r="L864" s="925">
        <v>3.9482346801378299E-3</v>
      </c>
      <c r="M864" s="925">
        <v>8.8219624814200904E-6</v>
      </c>
    </row>
    <row r="865" spans="1:13" ht="11.25" customHeight="1" x14ac:dyDescent="0.2">
      <c r="A865" s="924" t="s">
        <v>853</v>
      </c>
      <c r="B865" s="924" t="s">
        <v>791</v>
      </c>
      <c r="C865" s="924" t="s">
        <v>1175</v>
      </c>
      <c r="D865" s="924" t="s">
        <v>1176</v>
      </c>
      <c r="E865" s="924" t="s">
        <v>856</v>
      </c>
      <c r="F865" s="924" t="s">
        <v>1058</v>
      </c>
      <c r="G865" s="924" t="s">
        <v>981</v>
      </c>
      <c r="H865" s="924" t="s">
        <v>835</v>
      </c>
      <c r="I865" s="924" t="s">
        <v>1040</v>
      </c>
      <c r="J865" s="924" t="s">
        <v>859</v>
      </c>
      <c r="K865" s="924" t="s">
        <v>905</v>
      </c>
      <c r="L865" s="925">
        <v>9.5118108540773392</v>
      </c>
      <c r="M865" s="925">
        <v>7.5167946342844499E-3</v>
      </c>
    </row>
    <row r="866" spans="1:13" ht="11.25" customHeight="1" x14ac:dyDescent="0.2">
      <c r="A866" s="924" t="s">
        <v>853</v>
      </c>
      <c r="B866" s="924" t="s">
        <v>791</v>
      </c>
      <c r="C866" s="924" t="s">
        <v>1175</v>
      </c>
      <c r="D866" s="924" t="s">
        <v>1176</v>
      </c>
      <c r="E866" s="924" t="s">
        <v>856</v>
      </c>
      <c r="F866" s="924" t="s">
        <v>1102</v>
      </c>
      <c r="G866" s="924" t="s">
        <v>981</v>
      </c>
      <c r="H866" s="924" t="s">
        <v>835</v>
      </c>
      <c r="I866" s="924" t="s">
        <v>998</v>
      </c>
      <c r="J866" s="924" t="s">
        <v>875</v>
      </c>
      <c r="K866" s="924" t="s">
        <v>876</v>
      </c>
      <c r="L866" s="925">
        <v>1.70598713867366</v>
      </c>
      <c r="M866" s="925">
        <v>3.4519940636528199E-3</v>
      </c>
    </row>
    <row r="867" spans="1:13" ht="11.25" customHeight="1" x14ac:dyDescent="0.2">
      <c r="A867" s="924" t="s">
        <v>853</v>
      </c>
      <c r="B867" s="924" t="s">
        <v>791</v>
      </c>
      <c r="C867" s="924" t="s">
        <v>1175</v>
      </c>
      <c r="D867" s="924" t="s">
        <v>1176</v>
      </c>
      <c r="E867" s="924" t="s">
        <v>856</v>
      </c>
      <c r="F867" s="924" t="s">
        <v>1060</v>
      </c>
      <c r="G867" s="924" t="s">
        <v>981</v>
      </c>
      <c r="H867" s="924" t="s">
        <v>835</v>
      </c>
      <c r="I867" s="924" t="s">
        <v>1040</v>
      </c>
      <c r="J867" s="924" t="s">
        <v>859</v>
      </c>
      <c r="K867" s="924" t="s">
        <v>973</v>
      </c>
      <c r="L867" s="925">
        <v>27.190070390701301</v>
      </c>
      <c r="M867" s="925">
        <v>1.8469118559920599E-2</v>
      </c>
    </row>
    <row r="868" spans="1:13" ht="11.25" customHeight="1" x14ac:dyDescent="0.2">
      <c r="A868" s="924" t="s">
        <v>853</v>
      </c>
      <c r="B868" s="924" t="s">
        <v>791</v>
      </c>
      <c r="C868" s="924" t="s">
        <v>1175</v>
      </c>
      <c r="D868" s="924" t="s">
        <v>1176</v>
      </c>
      <c r="E868" s="924" t="s">
        <v>856</v>
      </c>
      <c r="F868" s="924" t="s">
        <v>1061</v>
      </c>
      <c r="G868" s="924" t="s">
        <v>981</v>
      </c>
      <c r="H868" s="924" t="s">
        <v>835</v>
      </c>
      <c r="I868" s="924" t="s">
        <v>1040</v>
      </c>
      <c r="J868" s="924" t="s">
        <v>859</v>
      </c>
      <c r="K868" s="924" t="s">
        <v>918</v>
      </c>
      <c r="L868" s="925">
        <v>2.1062225066125402</v>
      </c>
      <c r="M868" s="925">
        <v>9.2637726220345896E-4</v>
      </c>
    </row>
    <row r="869" spans="1:13" ht="11.25" customHeight="1" x14ac:dyDescent="0.2">
      <c r="A869" s="924" t="s">
        <v>853</v>
      </c>
      <c r="B869" s="924" t="s">
        <v>791</v>
      </c>
      <c r="C869" s="924" t="s">
        <v>1175</v>
      </c>
      <c r="D869" s="924" t="s">
        <v>1176</v>
      </c>
      <c r="E869" s="924" t="s">
        <v>856</v>
      </c>
      <c r="F869" s="924" t="s">
        <v>1062</v>
      </c>
      <c r="G869" s="924" t="s">
        <v>981</v>
      </c>
      <c r="H869" s="924" t="s">
        <v>835</v>
      </c>
      <c r="I869" s="924" t="s">
        <v>1040</v>
      </c>
      <c r="J869" s="924" t="s">
        <v>859</v>
      </c>
      <c r="K869" s="924" t="s">
        <v>920</v>
      </c>
      <c r="L869" s="925">
        <v>3.6697334200143801</v>
      </c>
      <c r="M869" s="925">
        <v>2.4805906250264802E-3</v>
      </c>
    </row>
    <row r="870" spans="1:13" ht="11.25" customHeight="1" x14ac:dyDescent="0.2">
      <c r="A870" s="924" t="s">
        <v>853</v>
      </c>
      <c r="B870" s="924" t="s">
        <v>791</v>
      </c>
      <c r="C870" s="924" t="s">
        <v>1175</v>
      </c>
      <c r="D870" s="924" t="s">
        <v>1176</v>
      </c>
      <c r="E870" s="924" t="s">
        <v>856</v>
      </c>
      <c r="F870" s="924" t="s">
        <v>1063</v>
      </c>
      <c r="G870" s="924" t="s">
        <v>981</v>
      </c>
      <c r="H870" s="924" t="s">
        <v>835</v>
      </c>
      <c r="I870" s="924" t="s">
        <v>1040</v>
      </c>
      <c r="J870" s="924" t="s">
        <v>859</v>
      </c>
      <c r="K870" s="924" t="s">
        <v>922</v>
      </c>
      <c r="L870" s="925">
        <v>3.2250452749431102</v>
      </c>
      <c r="M870" s="925">
        <v>5.8255567739706705E-4</v>
      </c>
    </row>
    <row r="871" spans="1:13" ht="11.25" customHeight="1" x14ac:dyDescent="0.2">
      <c r="A871" s="924" t="s">
        <v>853</v>
      </c>
      <c r="B871" s="924" t="s">
        <v>791</v>
      </c>
      <c r="C871" s="924" t="s">
        <v>1175</v>
      </c>
      <c r="D871" s="924" t="s">
        <v>1176</v>
      </c>
      <c r="E871" s="924" t="s">
        <v>856</v>
      </c>
      <c r="F871" s="924" t="s">
        <v>1065</v>
      </c>
      <c r="G871" s="924" t="s">
        <v>981</v>
      </c>
      <c r="H871" s="924" t="s">
        <v>835</v>
      </c>
      <c r="I871" s="924" t="s">
        <v>1040</v>
      </c>
      <c r="J871" s="924" t="s">
        <v>859</v>
      </c>
      <c r="K871" s="924" t="s">
        <v>926</v>
      </c>
      <c r="L871" s="925">
        <v>18.607508510351199</v>
      </c>
      <c r="M871" s="925">
        <v>1.23396777926246E-2</v>
      </c>
    </row>
    <row r="872" spans="1:13" ht="11.25" customHeight="1" x14ac:dyDescent="0.2">
      <c r="A872" s="924" t="s">
        <v>853</v>
      </c>
      <c r="B872" s="924" t="s">
        <v>791</v>
      </c>
      <c r="C872" s="924" t="s">
        <v>1175</v>
      </c>
      <c r="D872" s="924" t="s">
        <v>1176</v>
      </c>
      <c r="E872" s="924" t="s">
        <v>856</v>
      </c>
      <c r="F872" s="924" t="s">
        <v>1067</v>
      </c>
      <c r="G872" s="924" t="s">
        <v>981</v>
      </c>
      <c r="H872" s="924" t="s">
        <v>835</v>
      </c>
      <c r="I872" s="924" t="s">
        <v>1040</v>
      </c>
      <c r="J872" s="924" t="s">
        <v>859</v>
      </c>
      <c r="K872" s="924" t="s">
        <v>1011</v>
      </c>
      <c r="L872" s="925">
        <v>4.19874783977866</v>
      </c>
      <c r="M872" s="925">
        <v>2.9743689401016101E-3</v>
      </c>
    </row>
    <row r="873" spans="1:13" ht="11.25" customHeight="1" x14ac:dyDescent="0.2">
      <c r="A873" s="924" t="s">
        <v>853</v>
      </c>
      <c r="B873" s="924" t="s">
        <v>791</v>
      </c>
      <c r="C873" s="924" t="s">
        <v>1175</v>
      </c>
      <c r="D873" s="924" t="s">
        <v>1176</v>
      </c>
      <c r="E873" s="924" t="s">
        <v>856</v>
      </c>
      <c r="F873" s="924" t="s">
        <v>1041</v>
      </c>
      <c r="G873" s="924" t="s">
        <v>981</v>
      </c>
      <c r="H873" s="924" t="s">
        <v>835</v>
      </c>
      <c r="I873" s="924" t="s">
        <v>1040</v>
      </c>
      <c r="J873" s="924" t="s">
        <v>859</v>
      </c>
      <c r="K873" s="924" t="s">
        <v>891</v>
      </c>
      <c r="L873" s="925">
        <v>2.9030653797090098</v>
      </c>
      <c r="M873" s="925">
        <v>1.4523380650643999E-3</v>
      </c>
    </row>
    <row r="874" spans="1:13" ht="11.25" customHeight="1" x14ac:dyDescent="0.2">
      <c r="A874" s="924" t="s">
        <v>853</v>
      </c>
      <c r="B874" s="924" t="s">
        <v>791</v>
      </c>
      <c r="C874" s="924" t="s">
        <v>1175</v>
      </c>
      <c r="D874" s="924" t="s">
        <v>1176</v>
      </c>
      <c r="E874" s="924" t="s">
        <v>856</v>
      </c>
      <c r="F874" s="924" t="s">
        <v>1138</v>
      </c>
      <c r="G874" s="924" t="s">
        <v>981</v>
      </c>
      <c r="H874" s="924" t="s">
        <v>835</v>
      </c>
      <c r="I874" s="924" t="s">
        <v>1040</v>
      </c>
      <c r="J874" s="924" t="s">
        <v>863</v>
      </c>
      <c r="K874" s="924" t="s">
        <v>931</v>
      </c>
      <c r="L874" s="925">
        <v>16.409334793686899</v>
      </c>
      <c r="M874" s="925">
        <v>6.3205545684468199E-3</v>
      </c>
    </row>
    <row r="875" spans="1:13" ht="11.25" customHeight="1" x14ac:dyDescent="0.2">
      <c r="A875" s="924" t="s">
        <v>853</v>
      </c>
      <c r="B875" s="924" t="s">
        <v>791</v>
      </c>
      <c r="C875" s="924" t="s">
        <v>1175</v>
      </c>
      <c r="D875" s="924" t="s">
        <v>1176</v>
      </c>
      <c r="E875" s="924" t="s">
        <v>856</v>
      </c>
      <c r="F875" s="924" t="s">
        <v>1134</v>
      </c>
      <c r="G875" s="924" t="s">
        <v>981</v>
      </c>
      <c r="H875" s="924" t="s">
        <v>835</v>
      </c>
      <c r="I875" s="924" t="s">
        <v>1040</v>
      </c>
      <c r="J875" s="924" t="s">
        <v>863</v>
      </c>
      <c r="K875" s="924" t="s">
        <v>933</v>
      </c>
      <c r="L875" s="925">
        <v>62.967618048191099</v>
      </c>
      <c r="M875" s="925">
        <v>4.4481232689577198E-3</v>
      </c>
    </row>
    <row r="876" spans="1:13" ht="11.25" customHeight="1" x14ac:dyDescent="0.2">
      <c r="A876" s="924" t="s">
        <v>853</v>
      </c>
      <c r="B876" s="924" t="s">
        <v>791</v>
      </c>
      <c r="C876" s="924" t="s">
        <v>1175</v>
      </c>
      <c r="D876" s="924" t="s">
        <v>1176</v>
      </c>
      <c r="E876" s="924" t="s">
        <v>856</v>
      </c>
      <c r="F876" s="924" t="s">
        <v>1135</v>
      </c>
      <c r="G876" s="924" t="s">
        <v>981</v>
      </c>
      <c r="H876" s="924" t="s">
        <v>835</v>
      </c>
      <c r="I876" s="924" t="s">
        <v>1040</v>
      </c>
      <c r="J876" s="924" t="s">
        <v>863</v>
      </c>
      <c r="K876" s="924" t="s">
        <v>935</v>
      </c>
      <c r="L876" s="925">
        <v>13.5560146272182</v>
      </c>
      <c r="M876" s="925">
        <v>4.8794037575134999E-3</v>
      </c>
    </row>
    <row r="877" spans="1:13" ht="11.25" customHeight="1" x14ac:dyDescent="0.2">
      <c r="A877" s="924" t="s">
        <v>853</v>
      </c>
      <c r="B877" s="924" t="s">
        <v>791</v>
      </c>
      <c r="C877" s="924" t="s">
        <v>1175</v>
      </c>
      <c r="D877" s="924" t="s">
        <v>1176</v>
      </c>
      <c r="E877" s="924" t="s">
        <v>856</v>
      </c>
      <c r="F877" s="924" t="s">
        <v>1057</v>
      </c>
      <c r="G877" s="924" t="s">
        <v>981</v>
      </c>
      <c r="H877" s="924" t="s">
        <v>835</v>
      </c>
      <c r="I877" s="924" t="s">
        <v>1040</v>
      </c>
      <c r="J877" s="924" t="s">
        <v>859</v>
      </c>
      <c r="K877" s="924" t="s">
        <v>903</v>
      </c>
      <c r="L877" s="925">
        <v>27.123453646898302</v>
      </c>
      <c r="M877" s="925">
        <v>1.67044701271379E-2</v>
      </c>
    </row>
    <row r="878" spans="1:13" ht="11.25" customHeight="1" x14ac:dyDescent="0.2">
      <c r="A878" s="924" t="s">
        <v>853</v>
      </c>
      <c r="B878" s="924" t="s">
        <v>791</v>
      </c>
      <c r="C878" s="924" t="s">
        <v>1175</v>
      </c>
      <c r="D878" s="924" t="s">
        <v>1176</v>
      </c>
      <c r="E878" s="924" t="s">
        <v>856</v>
      </c>
      <c r="F878" s="924" t="s">
        <v>1069</v>
      </c>
      <c r="G878" s="924" t="s">
        <v>981</v>
      </c>
      <c r="H878" s="924" t="s">
        <v>835</v>
      </c>
      <c r="I878" s="924" t="s">
        <v>998</v>
      </c>
      <c r="J878" s="924" t="s">
        <v>940</v>
      </c>
      <c r="K878" s="924" t="s">
        <v>1070</v>
      </c>
      <c r="L878" s="925">
        <v>12.0834291428328</v>
      </c>
      <c r="M878" s="925">
        <v>2.24352013319731E-2</v>
      </c>
    </row>
    <row r="879" spans="1:13" ht="11.25" customHeight="1" x14ac:dyDescent="0.2">
      <c r="A879" s="924" t="s">
        <v>853</v>
      </c>
      <c r="B879" s="924" t="s">
        <v>791</v>
      </c>
      <c r="C879" s="924" t="s">
        <v>1175</v>
      </c>
      <c r="D879" s="924" t="s">
        <v>1176</v>
      </c>
      <c r="E879" s="924" t="s">
        <v>856</v>
      </c>
      <c r="F879" s="924" t="s">
        <v>1066</v>
      </c>
      <c r="G879" s="924" t="s">
        <v>981</v>
      </c>
      <c r="H879" s="924" t="s">
        <v>835</v>
      </c>
      <c r="I879" s="924" t="s">
        <v>1040</v>
      </c>
      <c r="J879" s="924" t="s">
        <v>859</v>
      </c>
      <c r="K879" s="924" t="s">
        <v>928</v>
      </c>
      <c r="L879" s="925">
        <v>12.6308343559504</v>
      </c>
      <c r="M879" s="925">
        <v>6.37768323485943E-3</v>
      </c>
    </row>
    <row r="880" spans="1:13" ht="11.25" customHeight="1" x14ac:dyDescent="0.2">
      <c r="A880" s="924" t="s">
        <v>853</v>
      </c>
      <c r="B880" s="924" t="s">
        <v>791</v>
      </c>
      <c r="C880" s="924" t="s">
        <v>1175</v>
      </c>
      <c r="D880" s="924" t="s">
        <v>1176</v>
      </c>
      <c r="E880" s="924" t="s">
        <v>856</v>
      </c>
      <c r="F880" s="924" t="s">
        <v>916</v>
      </c>
      <c r="G880" s="924" t="s">
        <v>911</v>
      </c>
      <c r="H880" s="924" t="s">
        <v>665</v>
      </c>
      <c r="I880" s="924" t="s">
        <v>706</v>
      </c>
      <c r="J880" s="924" t="s">
        <v>859</v>
      </c>
      <c r="K880" s="924" t="s">
        <v>909</v>
      </c>
      <c r="L880" s="925">
        <v>3.6704948991537099</v>
      </c>
      <c r="M880" s="925">
        <v>1.69883587204822E-4</v>
      </c>
    </row>
    <row r="881" spans="1:13" ht="11.25" customHeight="1" x14ac:dyDescent="0.2">
      <c r="A881" s="924" t="s">
        <v>853</v>
      </c>
      <c r="B881" s="924" t="s">
        <v>791</v>
      </c>
      <c r="C881" s="924" t="s">
        <v>1175</v>
      </c>
      <c r="D881" s="924" t="s">
        <v>1176</v>
      </c>
      <c r="E881" s="924" t="s">
        <v>856</v>
      </c>
      <c r="F881" s="924" t="s">
        <v>1075</v>
      </c>
      <c r="G881" s="924" t="s">
        <v>981</v>
      </c>
      <c r="H881" s="924" t="s">
        <v>835</v>
      </c>
      <c r="I881" s="924" t="s">
        <v>998</v>
      </c>
      <c r="J881" s="924" t="s">
        <v>859</v>
      </c>
      <c r="K881" s="924" t="s">
        <v>889</v>
      </c>
      <c r="L881" s="925">
        <v>9.8579504042863793</v>
      </c>
      <c r="M881" s="925">
        <v>1.5954635950038199E-2</v>
      </c>
    </row>
    <row r="882" spans="1:13" ht="11.25" customHeight="1" x14ac:dyDescent="0.2">
      <c r="A882" s="924" t="s">
        <v>853</v>
      </c>
      <c r="B882" s="924" t="s">
        <v>791</v>
      </c>
      <c r="C882" s="924" t="s">
        <v>1175</v>
      </c>
      <c r="D882" s="924" t="s">
        <v>1176</v>
      </c>
      <c r="E882" s="924" t="s">
        <v>856</v>
      </c>
      <c r="F882" s="924" t="s">
        <v>1076</v>
      </c>
      <c r="G882" s="924" t="s">
        <v>981</v>
      </c>
      <c r="H882" s="924" t="s">
        <v>835</v>
      </c>
      <c r="I882" s="924" t="s">
        <v>998</v>
      </c>
      <c r="J882" s="924" t="s">
        <v>859</v>
      </c>
      <c r="K882" s="924" t="s">
        <v>860</v>
      </c>
      <c r="L882" s="925">
        <v>0.63906951714307103</v>
      </c>
      <c r="M882" s="925">
        <v>1.3203054350015E-3</v>
      </c>
    </row>
    <row r="883" spans="1:13" ht="11.25" customHeight="1" x14ac:dyDescent="0.2">
      <c r="A883" s="924" t="s">
        <v>853</v>
      </c>
      <c r="B883" s="924" t="s">
        <v>791</v>
      </c>
      <c r="C883" s="924" t="s">
        <v>1175</v>
      </c>
      <c r="D883" s="924" t="s">
        <v>1176</v>
      </c>
      <c r="E883" s="924" t="s">
        <v>856</v>
      </c>
      <c r="F883" s="924" t="s">
        <v>1077</v>
      </c>
      <c r="G883" s="924" t="s">
        <v>981</v>
      </c>
      <c r="H883" s="924" t="s">
        <v>835</v>
      </c>
      <c r="I883" s="924" t="s">
        <v>998</v>
      </c>
      <c r="J883" s="924" t="s">
        <v>859</v>
      </c>
      <c r="K883" s="924" t="s">
        <v>897</v>
      </c>
      <c r="L883" s="925">
        <v>0.763894038274884</v>
      </c>
      <c r="M883" s="925">
        <v>1.5997091904864601E-3</v>
      </c>
    </row>
    <row r="884" spans="1:13" ht="11.25" customHeight="1" x14ac:dyDescent="0.2">
      <c r="A884" s="924" t="s">
        <v>853</v>
      </c>
      <c r="B884" s="924" t="s">
        <v>791</v>
      </c>
      <c r="C884" s="924" t="s">
        <v>1175</v>
      </c>
      <c r="D884" s="924" t="s">
        <v>1176</v>
      </c>
      <c r="E884" s="924" t="s">
        <v>856</v>
      </c>
      <c r="F884" s="924" t="s">
        <v>1078</v>
      </c>
      <c r="G884" s="924" t="s">
        <v>981</v>
      </c>
      <c r="H884" s="924" t="s">
        <v>835</v>
      </c>
      <c r="I884" s="924" t="s">
        <v>998</v>
      </c>
      <c r="J884" s="924" t="s">
        <v>859</v>
      </c>
      <c r="K884" s="924" t="s">
        <v>901</v>
      </c>
      <c r="L884" s="925">
        <v>5.2932189937564501E-3</v>
      </c>
      <c r="M884" s="925">
        <v>1.18272003106767E-5</v>
      </c>
    </row>
    <row r="885" spans="1:13" ht="11.25" customHeight="1" x14ac:dyDescent="0.2">
      <c r="A885" s="924" t="s">
        <v>853</v>
      </c>
      <c r="B885" s="924" t="s">
        <v>791</v>
      </c>
      <c r="C885" s="924" t="s">
        <v>1175</v>
      </c>
      <c r="D885" s="924" t="s">
        <v>1176</v>
      </c>
      <c r="E885" s="924" t="s">
        <v>856</v>
      </c>
      <c r="F885" s="924" t="s">
        <v>1079</v>
      </c>
      <c r="G885" s="924" t="s">
        <v>981</v>
      </c>
      <c r="H885" s="924" t="s">
        <v>835</v>
      </c>
      <c r="I885" s="924" t="s">
        <v>998</v>
      </c>
      <c r="J885" s="924" t="s">
        <v>859</v>
      </c>
      <c r="K885" s="924" t="s">
        <v>909</v>
      </c>
      <c r="L885" s="925">
        <v>25.455674588680299</v>
      </c>
      <c r="M885" s="925">
        <v>4.5588126464281203E-2</v>
      </c>
    </row>
    <row r="886" spans="1:13" ht="11.25" customHeight="1" x14ac:dyDescent="0.2">
      <c r="A886" s="924" t="s">
        <v>853</v>
      </c>
      <c r="B886" s="924" t="s">
        <v>791</v>
      </c>
      <c r="C886" s="924" t="s">
        <v>1175</v>
      </c>
      <c r="D886" s="924" t="s">
        <v>1176</v>
      </c>
      <c r="E886" s="924" t="s">
        <v>856</v>
      </c>
      <c r="F886" s="924" t="s">
        <v>1080</v>
      </c>
      <c r="G886" s="924" t="s">
        <v>981</v>
      </c>
      <c r="H886" s="924" t="s">
        <v>835</v>
      </c>
      <c r="I886" s="924" t="s">
        <v>998</v>
      </c>
      <c r="J886" s="924" t="s">
        <v>859</v>
      </c>
      <c r="K886" s="924" t="s">
        <v>920</v>
      </c>
      <c r="L886" s="925">
        <v>0.149178675957955</v>
      </c>
      <c r="M886" s="925">
        <v>3.3332559814880402E-4</v>
      </c>
    </row>
    <row r="887" spans="1:13" ht="11.25" customHeight="1" x14ac:dyDescent="0.2">
      <c r="A887" s="924" t="s">
        <v>853</v>
      </c>
      <c r="B887" s="924" t="s">
        <v>791</v>
      </c>
      <c r="C887" s="924" t="s">
        <v>1175</v>
      </c>
      <c r="D887" s="924" t="s">
        <v>1176</v>
      </c>
      <c r="E887" s="924" t="s">
        <v>856</v>
      </c>
      <c r="F887" s="924" t="s">
        <v>1081</v>
      </c>
      <c r="G887" s="924" t="s">
        <v>981</v>
      </c>
      <c r="H887" s="924" t="s">
        <v>835</v>
      </c>
      <c r="I887" s="924" t="s">
        <v>998</v>
      </c>
      <c r="J887" s="924" t="s">
        <v>863</v>
      </c>
      <c r="K887" s="924" t="s">
        <v>935</v>
      </c>
      <c r="L887" s="925">
        <v>0.150465803220868</v>
      </c>
      <c r="M887" s="925">
        <v>3.36201252594037E-4</v>
      </c>
    </row>
    <row r="888" spans="1:13" ht="11.25" customHeight="1" x14ac:dyDescent="0.2">
      <c r="A888" s="924" t="s">
        <v>853</v>
      </c>
      <c r="B888" s="924" t="s">
        <v>791</v>
      </c>
      <c r="C888" s="924" t="s">
        <v>1175</v>
      </c>
      <c r="D888" s="924" t="s">
        <v>1176</v>
      </c>
      <c r="E888" s="924" t="s">
        <v>856</v>
      </c>
      <c r="F888" s="924" t="s">
        <v>1042</v>
      </c>
      <c r="G888" s="924" t="s">
        <v>981</v>
      </c>
      <c r="H888" s="924" t="s">
        <v>835</v>
      </c>
      <c r="I888" s="924" t="s">
        <v>998</v>
      </c>
      <c r="J888" s="924" t="s">
        <v>956</v>
      </c>
      <c r="K888" s="924" t="s">
        <v>1043</v>
      </c>
      <c r="L888" s="925">
        <v>6.2337148189544704</v>
      </c>
      <c r="M888" s="925">
        <v>1.07975138234906E-2</v>
      </c>
    </row>
    <row r="889" spans="1:13" ht="11.25" customHeight="1" x14ac:dyDescent="0.2">
      <c r="A889" s="924" t="s">
        <v>853</v>
      </c>
      <c r="B889" s="924" t="s">
        <v>791</v>
      </c>
      <c r="C889" s="924" t="s">
        <v>1175</v>
      </c>
      <c r="D889" s="924" t="s">
        <v>1176</v>
      </c>
      <c r="E889" s="924" t="s">
        <v>856</v>
      </c>
      <c r="F889" s="924" t="s">
        <v>1083</v>
      </c>
      <c r="G889" s="924" t="s">
        <v>981</v>
      </c>
      <c r="H889" s="924" t="s">
        <v>835</v>
      </c>
      <c r="I889" s="924" t="s">
        <v>998</v>
      </c>
      <c r="J889" s="924" t="s">
        <v>940</v>
      </c>
      <c r="K889" s="924" t="s">
        <v>1084</v>
      </c>
      <c r="L889" s="925">
        <v>2.6167912743985702</v>
      </c>
      <c r="M889" s="925">
        <v>4.7806997063162297E-3</v>
      </c>
    </row>
    <row r="890" spans="1:13" ht="11.25" customHeight="1" x14ac:dyDescent="0.2">
      <c r="A890" s="924" t="s">
        <v>853</v>
      </c>
      <c r="B890" s="924" t="s">
        <v>791</v>
      </c>
      <c r="C890" s="924" t="s">
        <v>1175</v>
      </c>
      <c r="D890" s="924" t="s">
        <v>1176</v>
      </c>
      <c r="E890" s="924" t="s">
        <v>856</v>
      </c>
      <c r="F890" s="924" t="s">
        <v>1082</v>
      </c>
      <c r="G890" s="924" t="s">
        <v>981</v>
      </c>
      <c r="H890" s="924" t="s">
        <v>835</v>
      </c>
      <c r="I890" s="924" t="s">
        <v>998</v>
      </c>
      <c r="J890" s="924" t="s">
        <v>875</v>
      </c>
      <c r="K890" s="924" t="s">
        <v>952</v>
      </c>
      <c r="L890" s="925">
        <v>6.8869715149048702E-2</v>
      </c>
      <c r="M890" s="925">
        <v>1.53882907397929E-4</v>
      </c>
    </row>
    <row r="891" spans="1:13" ht="11.25" customHeight="1" x14ac:dyDescent="0.2">
      <c r="A891" s="924" t="s">
        <v>853</v>
      </c>
      <c r="B891" s="924" t="s">
        <v>791</v>
      </c>
      <c r="C891" s="924" t="s">
        <v>1175</v>
      </c>
      <c r="D891" s="924" t="s">
        <v>1176</v>
      </c>
      <c r="E891" s="924" t="s">
        <v>856</v>
      </c>
      <c r="F891" s="924" t="s">
        <v>1086</v>
      </c>
      <c r="G891" s="924" t="s">
        <v>981</v>
      </c>
      <c r="H891" s="924" t="s">
        <v>835</v>
      </c>
      <c r="I891" s="924" t="s">
        <v>998</v>
      </c>
      <c r="J891" s="924" t="s">
        <v>940</v>
      </c>
      <c r="K891" s="924" t="s">
        <v>1087</v>
      </c>
      <c r="L891" s="925">
        <v>35.018781781196601</v>
      </c>
      <c r="M891" s="925">
        <v>6.7422829102724804E-2</v>
      </c>
    </row>
    <row r="892" spans="1:13" ht="11.25" customHeight="1" x14ac:dyDescent="0.2">
      <c r="A892" s="924" t="s">
        <v>853</v>
      </c>
      <c r="B892" s="924" t="s">
        <v>791</v>
      </c>
      <c r="C892" s="924" t="s">
        <v>1175</v>
      </c>
      <c r="D892" s="924" t="s">
        <v>1176</v>
      </c>
      <c r="E892" s="924" t="s">
        <v>856</v>
      </c>
      <c r="F892" s="924" t="s">
        <v>1088</v>
      </c>
      <c r="G892" s="924" t="s">
        <v>981</v>
      </c>
      <c r="H892" s="924" t="s">
        <v>835</v>
      </c>
      <c r="I892" s="924" t="s">
        <v>998</v>
      </c>
      <c r="J892" s="924" t="s">
        <v>940</v>
      </c>
      <c r="K892" s="924" t="s">
        <v>1089</v>
      </c>
      <c r="L892" s="925">
        <v>116.60551965236699</v>
      </c>
      <c r="M892" s="925">
        <v>0.21301574120298</v>
      </c>
    </row>
    <row r="893" spans="1:13" ht="11.25" customHeight="1" x14ac:dyDescent="0.2">
      <c r="A893" s="924" t="s">
        <v>853</v>
      </c>
      <c r="B893" s="924" t="s">
        <v>791</v>
      </c>
      <c r="C893" s="924" t="s">
        <v>1175</v>
      </c>
      <c r="D893" s="924" t="s">
        <v>1176</v>
      </c>
      <c r="E893" s="924" t="s">
        <v>856</v>
      </c>
      <c r="F893" s="924" t="s">
        <v>1090</v>
      </c>
      <c r="G893" s="924" t="s">
        <v>981</v>
      </c>
      <c r="H893" s="924" t="s">
        <v>835</v>
      </c>
      <c r="I893" s="924" t="s">
        <v>998</v>
      </c>
      <c r="J893" s="924" t="s">
        <v>940</v>
      </c>
      <c r="K893" s="924" t="s">
        <v>1091</v>
      </c>
      <c r="L893" s="925">
        <v>48.5238884985447</v>
      </c>
      <c r="M893" s="925">
        <v>8.2638885069172802E-2</v>
      </c>
    </row>
    <row r="894" spans="1:13" ht="11.25" customHeight="1" x14ac:dyDescent="0.2">
      <c r="A894" s="924" t="s">
        <v>853</v>
      </c>
      <c r="B894" s="924" t="s">
        <v>791</v>
      </c>
      <c r="C894" s="924" t="s">
        <v>1175</v>
      </c>
      <c r="D894" s="924" t="s">
        <v>1176</v>
      </c>
      <c r="E894" s="924" t="s">
        <v>856</v>
      </c>
      <c r="F894" s="924" t="s">
        <v>1092</v>
      </c>
      <c r="G894" s="924" t="s">
        <v>981</v>
      </c>
      <c r="H894" s="924" t="s">
        <v>835</v>
      </c>
      <c r="I894" s="924" t="s">
        <v>998</v>
      </c>
      <c r="J894" s="924" t="s">
        <v>940</v>
      </c>
      <c r="K894" s="924" t="s">
        <v>1093</v>
      </c>
      <c r="L894" s="925">
        <v>101.662648260593</v>
      </c>
      <c r="M894" s="925">
        <v>0.20117412746185401</v>
      </c>
    </row>
    <row r="895" spans="1:13" ht="11.25" customHeight="1" x14ac:dyDescent="0.2">
      <c r="A895" s="924" t="s">
        <v>853</v>
      </c>
      <c r="B895" s="924" t="s">
        <v>791</v>
      </c>
      <c r="C895" s="924" t="s">
        <v>1175</v>
      </c>
      <c r="D895" s="924" t="s">
        <v>1176</v>
      </c>
      <c r="E895" s="924" t="s">
        <v>856</v>
      </c>
      <c r="F895" s="924" t="s">
        <v>1094</v>
      </c>
      <c r="G895" s="924" t="s">
        <v>981</v>
      </c>
      <c r="H895" s="924" t="s">
        <v>835</v>
      </c>
      <c r="I895" s="924" t="s">
        <v>998</v>
      </c>
      <c r="J895" s="924" t="s">
        <v>940</v>
      </c>
      <c r="K895" s="924" t="s">
        <v>1095</v>
      </c>
      <c r="L895" s="925">
        <v>31.2298358678818</v>
      </c>
      <c r="M895" s="925">
        <v>5.8247702429071103E-2</v>
      </c>
    </row>
    <row r="896" spans="1:13" ht="11.25" customHeight="1" x14ac:dyDescent="0.2">
      <c r="A896" s="924" t="s">
        <v>853</v>
      </c>
      <c r="B896" s="924" t="s">
        <v>791</v>
      </c>
      <c r="C896" s="924" t="s">
        <v>1175</v>
      </c>
      <c r="D896" s="924" t="s">
        <v>1176</v>
      </c>
      <c r="E896" s="924" t="s">
        <v>856</v>
      </c>
      <c r="F896" s="924" t="s">
        <v>1096</v>
      </c>
      <c r="G896" s="924" t="s">
        <v>981</v>
      </c>
      <c r="H896" s="924" t="s">
        <v>835</v>
      </c>
      <c r="I896" s="924" t="s">
        <v>998</v>
      </c>
      <c r="J896" s="924" t="s">
        <v>940</v>
      </c>
      <c r="K896" s="924" t="s">
        <v>1023</v>
      </c>
      <c r="L896" s="925">
        <v>94.928620934486403</v>
      </c>
      <c r="M896" s="925">
        <v>0.177548642619513</v>
      </c>
    </row>
    <row r="897" spans="1:13" ht="11.25" customHeight="1" x14ac:dyDescent="0.2">
      <c r="A897" s="924" t="s">
        <v>853</v>
      </c>
      <c r="B897" s="924" t="s">
        <v>791</v>
      </c>
      <c r="C897" s="924" t="s">
        <v>1175</v>
      </c>
      <c r="D897" s="924" t="s">
        <v>1176</v>
      </c>
      <c r="E897" s="924" t="s">
        <v>856</v>
      </c>
      <c r="F897" s="924" t="s">
        <v>1097</v>
      </c>
      <c r="G897" s="924" t="s">
        <v>981</v>
      </c>
      <c r="H897" s="924" t="s">
        <v>835</v>
      </c>
      <c r="I897" s="924" t="s">
        <v>998</v>
      </c>
      <c r="J897" s="924" t="s">
        <v>940</v>
      </c>
      <c r="K897" s="924" t="s">
        <v>1098</v>
      </c>
      <c r="L897" s="925">
        <v>15.624206304550199</v>
      </c>
      <c r="M897" s="925">
        <v>0.10673639923334099</v>
      </c>
    </row>
    <row r="898" spans="1:13" ht="11.25" customHeight="1" x14ac:dyDescent="0.2">
      <c r="A898" s="924" t="s">
        <v>853</v>
      </c>
      <c r="B898" s="924" t="s">
        <v>791</v>
      </c>
      <c r="C898" s="924" t="s">
        <v>1175</v>
      </c>
      <c r="D898" s="924" t="s">
        <v>1176</v>
      </c>
      <c r="E898" s="924" t="s">
        <v>856</v>
      </c>
      <c r="F898" s="924" t="s">
        <v>1099</v>
      </c>
      <c r="G898" s="924" t="s">
        <v>981</v>
      </c>
      <c r="H898" s="924" t="s">
        <v>835</v>
      </c>
      <c r="I898" s="924" t="s">
        <v>998</v>
      </c>
      <c r="J898" s="924" t="s">
        <v>940</v>
      </c>
      <c r="K898" s="924" t="s">
        <v>1025</v>
      </c>
      <c r="L898" s="925">
        <v>34.9627106189728</v>
      </c>
      <c r="M898" s="925">
        <v>0.23853434249758701</v>
      </c>
    </row>
    <row r="899" spans="1:13" ht="11.25" customHeight="1" x14ac:dyDescent="0.2">
      <c r="A899" s="924" t="s">
        <v>853</v>
      </c>
      <c r="B899" s="924" t="s">
        <v>791</v>
      </c>
      <c r="C899" s="924" t="s">
        <v>1175</v>
      </c>
      <c r="D899" s="924" t="s">
        <v>1176</v>
      </c>
      <c r="E899" s="924" t="s">
        <v>856</v>
      </c>
      <c r="F899" s="924" t="s">
        <v>1100</v>
      </c>
      <c r="G899" s="924" t="s">
        <v>981</v>
      </c>
      <c r="H899" s="924" t="s">
        <v>835</v>
      </c>
      <c r="I899" s="924" t="s">
        <v>998</v>
      </c>
      <c r="J899" s="924" t="s">
        <v>940</v>
      </c>
      <c r="K899" s="924" t="s">
        <v>1032</v>
      </c>
      <c r="L899" s="925">
        <v>5.0654541191761403E-2</v>
      </c>
      <c r="M899" s="925">
        <v>1.01557225036686E-4</v>
      </c>
    </row>
    <row r="900" spans="1:13" ht="11.25" customHeight="1" x14ac:dyDescent="0.2">
      <c r="A900" s="924" t="s">
        <v>853</v>
      </c>
      <c r="B900" s="924" t="s">
        <v>791</v>
      </c>
      <c r="C900" s="924" t="s">
        <v>1175</v>
      </c>
      <c r="D900" s="924" t="s">
        <v>1176</v>
      </c>
      <c r="E900" s="924" t="s">
        <v>856</v>
      </c>
      <c r="F900" s="924" t="s">
        <v>1101</v>
      </c>
      <c r="G900" s="924" t="s">
        <v>981</v>
      </c>
      <c r="H900" s="924" t="s">
        <v>835</v>
      </c>
      <c r="I900" s="924" t="s">
        <v>998</v>
      </c>
      <c r="J900" s="924" t="s">
        <v>870</v>
      </c>
      <c r="K900" s="924" t="s">
        <v>961</v>
      </c>
      <c r="L900" s="925">
        <v>9.6277152304537594E-2</v>
      </c>
      <c r="M900" s="925">
        <v>1.5851808637989999E-4</v>
      </c>
    </row>
    <row r="901" spans="1:13" ht="11.25" customHeight="1" x14ac:dyDescent="0.2">
      <c r="A901" s="924" t="s">
        <v>853</v>
      </c>
      <c r="B901" s="924" t="s">
        <v>791</v>
      </c>
      <c r="C901" s="924" t="s">
        <v>1175</v>
      </c>
      <c r="D901" s="924" t="s">
        <v>1176</v>
      </c>
      <c r="E901" s="924" t="s">
        <v>856</v>
      </c>
      <c r="F901" s="924" t="s">
        <v>1103</v>
      </c>
      <c r="G901" s="924" t="s">
        <v>981</v>
      </c>
      <c r="H901" s="924" t="s">
        <v>835</v>
      </c>
      <c r="I901" s="924" t="s">
        <v>998</v>
      </c>
      <c r="J901" s="924" t="s">
        <v>863</v>
      </c>
      <c r="K901" s="924" t="s">
        <v>864</v>
      </c>
      <c r="L901" s="925">
        <v>1.15138494875282E-2</v>
      </c>
      <c r="M901" s="925">
        <v>2.5726587438157401E-5</v>
      </c>
    </row>
    <row r="902" spans="1:13" ht="11.25" customHeight="1" x14ac:dyDescent="0.2">
      <c r="A902" s="924" t="s">
        <v>853</v>
      </c>
      <c r="B902" s="924" t="s">
        <v>791</v>
      </c>
      <c r="C902" s="924" t="s">
        <v>1175</v>
      </c>
      <c r="D902" s="924" t="s">
        <v>1176</v>
      </c>
      <c r="E902" s="924" t="s">
        <v>856</v>
      </c>
      <c r="F902" s="924" t="s">
        <v>1122</v>
      </c>
      <c r="G902" s="924" t="s">
        <v>981</v>
      </c>
      <c r="H902" s="924" t="s">
        <v>835</v>
      </c>
      <c r="I902" s="924" t="s">
        <v>1040</v>
      </c>
      <c r="J902" s="924" t="s">
        <v>875</v>
      </c>
      <c r="K902" s="924" t="s">
        <v>950</v>
      </c>
      <c r="L902" s="925">
        <v>157.775061368942</v>
      </c>
      <c r="M902" s="925">
        <v>0.109166363474827</v>
      </c>
    </row>
    <row r="903" spans="1:13" ht="11.25" customHeight="1" x14ac:dyDescent="0.2">
      <c r="A903" s="924" t="s">
        <v>853</v>
      </c>
      <c r="B903" s="924" t="s">
        <v>791</v>
      </c>
      <c r="C903" s="924" t="s">
        <v>1175</v>
      </c>
      <c r="D903" s="924" t="s">
        <v>1176</v>
      </c>
      <c r="E903" s="924" t="s">
        <v>856</v>
      </c>
      <c r="F903" s="924" t="s">
        <v>1110</v>
      </c>
      <c r="G903" s="924" t="s">
        <v>981</v>
      </c>
      <c r="H903" s="924" t="s">
        <v>835</v>
      </c>
      <c r="I903" s="924" t="s">
        <v>1040</v>
      </c>
      <c r="J903" s="924" t="s">
        <v>870</v>
      </c>
      <c r="K903" s="924" t="s">
        <v>1019</v>
      </c>
      <c r="L903" s="925">
        <v>6.9801184617972502E-3</v>
      </c>
      <c r="M903" s="925">
        <v>5.8401039675359803E-6</v>
      </c>
    </row>
    <row r="904" spans="1:13" ht="11.25" customHeight="1" x14ac:dyDescent="0.2">
      <c r="A904" s="924" t="s">
        <v>853</v>
      </c>
      <c r="B904" s="924" t="s">
        <v>791</v>
      </c>
      <c r="C904" s="924" t="s">
        <v>1175</v>
      </c>
      <c r="D904" s="924" t="s">
        <v>1176</v>
      </c>
      <c r="E904" s="924" t="s">
        <v>856</v>
      </c>
      <c r="F904" s="924" t="s">
        <v>1111</v>
      </c>
      <c r="G904" s="924" t="s">
        <v>981</v>
      </c>
      <c r="H904" s="924" t="s">
        <v>835</v>
      </c>
      <c r="I904" s="924" t="s">
        <v>1040</v>
      </c>
      <c r="J904" s="924" t="s">
        <v>870</v>
      </c>
      <c r="K904" s="924" t="s">
        <v>1016</v>
      </c>
      <c r="L904" s="925">
        <v>0.624911241931841</v>
      </c>
      <c r="M904" s="925">
        <v>5.2454609277674503E-4</v>
      </c>
    </row>
    <row r="905" spans="1:13" ht="11.25" customHeight="1" x14ac:dyDescent="0.2">
      <c r="A905" s="924" t="s">
        <v>853</v>
      </c>
      <c r="B905" s="924" t="s">
        <v>791</v>
      </c>
      <c r="C905" s="924" t="s">
        <v>1175</v>
      </c>
      <c r="D905" s="924" t="s">
        <v>1176</v>
      </c>
      <c r="E905" s="924" t="s">
        <v>856</v>
      </c>
      <c r="F905" s="924" t="s">
        <v>1112</v>
      </c>
      <c r="G905" s="924" t="s">
        <v>981</v>
      </c>
      <c r="H905" s="924" t="s">
        <v>835</v>
      </c>
      <c r="I905" s="924" t="s">
        <v>1040</v>
      </c>
      <c r="J905" s="924" t="s">
        <v>870</v>
      </c>
      <c r="K905" s="924" t="s">
        <v>959</v>
      </c>
      <c r="L905" s="925">
        <v>0.19252882420551001</v>
      </c>
      <c r="M905" s="925">
        <v>1.2668283878269901E-4</v>
      </c>
    </row>
    <row r="906" spans="1:13" ht="11.25" customHeight="1" x14ac:dyDescent="0.2">
      <c r="A906" s="924" t="s">
        <v>853</v>
      </c>
      <c r="B906" s="924" t="s">
        <v>791</v>
      </c>
      <c r="C906" s="924" t="s">
        <v>1175</v>
      </c>
      <c r="D906" s="924" t="s">
        <v>1176</v>
      </c>
      <c r="E906" s="924" t="s">
        <v>856</v>
      </c>
      <c r="F906" s="924" t="s">
        <v>1113</v>
      </c>
      <c r="G906" s="924" t="s">
        <v>981</v>
      </c>
      <c r="H906" s="924" t="s">
        <v>835</v>
      </c>
      <c r="I906" s="924" t="s">
        <v>1040</v>
      </c>
      <c r="J906" s="924" t="s">
        <v>870</v>
      </c>
      <c r="K906" s="924" t="s">
        <v>961</v>
      </c>
      <c r="L906" s="925">
        <v>2.1038978109136202</v>
      </c>
      <c r="M906" s="925">
        <v>1.59067068187824E-3</v>
      </c>
    </row>
    <row r="907" spans="1:13" ht="11.25" customHeight="1" x14ac:dyDescent="0.2">
      <c r="A907" s="924" t="s">
        <v>853</v>
      </c>
      <c r="B907" s="924" t="s">
        <v>791</v>
      </c>
      <c r="C907" s="924" t="s">
        <v>1175</v>
      </c>
      <c r="D907" s="924" t="s">
        <v>1176</v>
      </c>
      <c r="E907" s="924" t="s">
        <v>856</v>
      </c>
      <c r="F907" s="924" t="s">
        <v>1114</v>
      </c>
      <c r="G907" s="924" t="s">
        <v>981</v>
      </c>
      <c r="H907" s="924" t="s">
        <v>835</v>
      </c>
      <c r="I907" s="924" t="s">
        <v>1040</v>
      </c>
      <c r="J907" s="924" t="s">
        <v>870</v>
      </c>
      <c r="K907" s="924" t="s">
        <v>963</v>
      </c>
      <c r="L907" s="925">
        <v>4.5883403569459897</v>
      </c>
      <c r="M907" s="925">
        <v>7.6114294852231996E-3</v>
      </c>
    </row>
    <row r="908" spans="1:13" ht="11.25" customHeight="1" x14ac:dyDescent="0.2">
      <c r="A908" s="924" t="s">
        <v>853</v>
      </c>
      <c r="B908" s="924" t="s">
        <v>791</v>
      </c>
      <c r="C908" s="924" t="s">
        <v>1175</v>
      </c>
      <c r="D908" s="924" t="s">
        <v>1176</v>
      </c>
      <c r="E908" s="924" t="s">
        <v>856</v>
      </c>
      <c r="F908" s="924" t="s">
        <v>1115</v>
      </c>
      <c r="G908" s="924" t="s">
        <v>981</v>
      </c>
      <c r="H908" s="924" t="s">
        <v>835</v>
      </c>
      <c r="I908" s="924" t="s">
        <v>1040</v>
      </c>
      <c r="J908" s="924" t="s">
        <v>870</v>
      </c>
      <c r="K908" s="924" t="s">
        <v>965</v>
      </c>
      <c r="L908" s="925">
        <v>0.98966727987863101</v>
      </c>
      <c r="M908" s="925">
        <v>8.3071953150692902E-4</v>
      </c>
    </row>
    <row r="909" spans="1:13" ht="11.25" customHeight="1" x14ac:dyDescent="0.2">
      <c r="A909" s="924" t="s">
        <v>853</v>
      </c>
      <c r="B909" s="924" t="s">
        <v>791</v>
      </c>
      <c r="C909" s="924" t="s">
        <v>1175</v>
      </c>
      <c r="D909" s="924" t="s">
        <v>1176</v>
      </c>
      <c r="E909" s="924" t="s">
        <v>856</v>
      </c>
      <c r="F909" s="924" t="s">
        <v>1130</v>
      </c>
      <c r="G909" s="924" t="s">
        <v>981</v>
      </c>
      <c r="H909" s="924" t="s">
        <v>835</v>
      </c>
      <c r="I909" s="924" t="s">
        <v>1040</v>
      </c>
      <c r="J909" s="924" t="s">
        <v>870</v>
      </c>
      <c r="K909" s="924" t="s">
        <v>871</v>
      </c>
      <c r="L909" s="925">
        <v>1.4261141214519699</v>
      </c>
      <c r="M909" s="925">
        <v>1.1339174522504399E-3</v>
      </c>
    </row>
    <row r="910" spans="1:13" ht="11.25" customHeight="1" x14ac:dyDescent="0.2">
      <c r="A910" s="924" t="s">
        <v>853</v>
      </c>
      <c r="B910" s="924" t="s">
        <v>791</v>
      </c>
      <c r="C910" s="924" t="s">
        <v>1175</v>
      </c>
      <c r="D910" s="924" t="s">
        <v>1176</v>
      </c>
      <c r="E910" s="924" t="s">
        <v>856</v>
      </c>
      <c r="F910" s="924" t="s">
        <v>1117</v>
      </c>
      <c r="G910" s="924" t="s">
        <v>981</v>
      </c>
      <c r="H910" s="924" t="s">
        <v>835</v>
      </c>
      <c r="I910" s="924" t="s">
        <v>1040</v>
      </c>
      <c r="J910" s="924" t="s">
        <v>870</v>
      </c>
      <c r="K910" s="924" t="s">
        <v>873</v>
      </c>
      <c r="L910" s="925">
        <v>1.5724757453426701</v>
      </c>
      <c r="M910" s="925">
        <v>1.57449730068038E-4</v>
      </c>
    </row>
    <row r="911" spans="1:13" ht="11.25" customHeight="1" x14ac:dyDescent="0.2">
      <c r="A911" s="924" t="s">
        <v>853</v>
      </c>
      <c r="B911" s="924" t="s">
        <v>791</v>
      </c>
      <c r="C911" s="924" t="s">
        <v>1175</v>
      </c>
      <c r="D911" s="924" t="s">
        <v>1176</v>
      </c>
      <c r="E911" s="924" t="s">
        <v>856</v>
      </c>
      <c r="F911" s="924" t="s">
        <v>1074</v>
      </c>
      <c r="G911" s="924" t="s">
        <v>911</v>
      </c>
      <c r="H911" s="924" t="s">
        <v>665</v>
      </c>
      <c r="I911" s="924" t="s">
        <v>706</v>
      </c>
      <c r="J911" s="924" t="s">
        <v>859</v>
      </c>
      <c r="K911" s="924" t="s">
        <v>903</v>
      </c>
      <c r="L911" s="925">
        <v>3.90096357092261</v>
      </c>
      <c r="M911" s="925">
        <v>4.3567052875914702E-4</v>
      </c>
    </row>
    <row r="912" spans="1:13" ht="11.25" customHeight="1" x14ac:dyDescent="0.2">
      <c r="A912" s="924" t="s">
        <v>853</v>
      </c>
      <c r="B912" s="924" t="s">
        <v>791</v>
      </c>
      <c r="C912" s="924" t="s">
        <v>1175</v>
      </c>
      <c r="D912" s="924" t="s">
        <v>1176</v>
      </c>
      <c r="E912" s="924" t="s">
        <v>856</v>
      </c>
      <c r="F912" s="924" t="s">
        <v>1109</v>
      </c>
      <c r="G912" s="924" t="s">
        <v>981</v>
      </c>
      <c r="H912" s="924" t="s">
        <v>835</v>
      </c>
      <c r="I912" s="924" t="s">
        <v>1040</v>
      </c>
      <c r="J912" s="924" t="s">
        <v>870</v>
      </c>
      <c r="K912" s="924" t="s">
        <v>976</v>
      </c>
      <c r="L912" s="925">
        <v>0.90386751410551402</v>
      </c>
      <c r="M912" s="925">
        <v>1.84630801098873E-4</v>
      </c>
    </row>
    <row r="913" spans="1:13" ht="11.25" customHeight="1" x14ac:dyDescent="0.2">
      <c r="A913" s="924" t="s">
        <v>853</v>
      </c>
      <c r="B913" s="924" t="s">
        <v>791</v>
      </c>
      <c r="C913" s="924" t="s">
        <v>1175</v>
      </c>
      <c r="D913" s="924" t="s">
        <v>1176</v>
      </c>
      <c r="E913" s="924" t="s">
        <v>856</v>
      </c>
      <c r="F913" s="924" t="s">
        <v>1121</v>
      </c>
      <c r="G913" s="924" t="s">
        <v>981</v>
      </c>
      <c r="H913" s="924" t="s">
        <v>835</v>
      </c>
      <c r="I913" s="924" t="s">
        <v>1040</v>
      </c>
      <c r="J913" s="924" t="s">
        <v>875</v>
      </c>
      <c r="K913" s="924" t="s">
        <v>948</v>
      </c>
      <c r="L913" s="925">
        <v>99.751021742820697</v>
      </c>
      <c r="M913" s="925">
        <v>6.2251278113308203E-2</v>
      </c>
    </row>
    <row r="914" spans="1:13" ht="11.25" customHeight="1" x14ac:dyDescent="0.2">
      <c r="A914" s="924" t="s">
        <v>853</v>
      </c>
      <c r="B914" s="924" t="s">
        <v>791</v>
      </c>
      <c r="C914" s="924" t="s">
        <v>1175</v>
      </c>
      <c r="D914" s="924" t="s">
        <v>1176</v>
      </c>
      <c r="E914" s="924" t="s">
        <v>856</v>
      </c>
      <c r="F914" s="924" t="s">
        <v>1104</v>
      </c>
      <c r="G914" s="924" t="s">
        <v>981</v>
      </c>
      <c r="H914" s="924" t="s">
        <v>835</v>
      </c>
      <c r="I914" s="924" t="s">
        <v>1040</v>
      </c>
      <c r="J914" s="924" t="s">
        <v>875</v>
      </c>
      <c r="K914" s="924" t="s">
        <v>876</v>
      </c>
      <c r="L914" s="925">
        <v>350.97297811508201</v>
      </c>
      <c r="M914" s="925">
        <v>0.23563709063455501</v>
      </c>
    </row>
    <row r="915" spans="1:13" ht="11.25" customHeight="1" x14ac:dyDescent="0.2">
      <c r="A915" s="924" t="s">
        <v>853</v>
      </c>
      <c r="B915" s="924" t="s">
        <v>791</v>
      </c>
      <c r="C915" s="924" t="s">
        <v>1175</v>
      </c>
      <c r="D915" s="924" t="s">
        <v>1176</v>
      </c>
      <c r="E915" s="924" t="s">
        <v>856</v>
      </c>
      <c r="F915" s="924" t="s">
        <v>1123</v>
      </c>
      <c r="G915" s="924" t="s">
        <v>981</v>
      </c>
      <c r="H915" s="924" t="s">
        <v>835</v>
      </c>
      <c r="I915" s="924" t="s">
        <v>1040</v>
      </c>
      <c r="J915" s="924" t="s">
        <v>875</v>
      </c>
      <c r="K915" s="924" t="s">
        <v>952</v>
      </c>
      <c r="L915" s="925">
        <v>7.4012803807854697</v>
      </c>
      <c r="M915" s="925">
        <v>5.1364747283377801E-3</v>
      </c>
    </row>
    <row r="916" spans="1:13" ht="11.25" customHeight="1" x14ac:dyDescent="0.2">
      <c r="A916" s="924" t="s">
        <v>853</v>
      </c>
      <c r="B916" s="924" t="s">
        <v>791</v>
      </c>
      <c r="C916" s="924" t="s">
        <v>1175</v>
      </c>
      <c r="D916" s="924" t="s">
        <v>1176</v>
      </c>
      <c r="E916" s="924" t="s">
        <v>856</v>
      </c>
      <c r="F916" s="924" t="s">
        <v>1124</v>
      </c>
      <c r="G916" s="924" t="s">
        <v>981</v>
      </c>
      <c r="H916" s="924" t="s">
        <v>835</v>
      </c>
      <c r="I916" s="924" t="s">
        <v>1040</v>
      </c>
      <c r="J916" s="924" t="s">
        <v>956</v>
      </c>
      <c r="K916" s="924" t="s">
        <v>1125</v>
      </c>
      <c r="L916" s="925">
        <v>13.8949130326509</v>
      </c>
      <c r="M916" s="925">
        <v>1.10943379544324E-2</v>
      </c>
    </row>
    <row r="917" spans="1:13" ht="11.25" customHeight="1" x14ac:dyDescent="0.2">
      <c r="A917" s="924" t="s">
        <v>853</v>
      </c>
      <c r="B917" s="924" t="s">
        <v>791</v>
      </c>
      <c r="C917" s="924" t="s">
        <v>1175</v>
      </c>
      <c r="D917" s="924" t="s">
        <v>1176</v>
      </c>
      <c r="E917" s="924" t="s">
        <v>856</v>
      </c>
      <c r="F917" s="924" t="s">
        <v>1126</v>
      </c>
      <c r="G917" s="924" t="s">
        <v>981</v>
      </c>
      <c r="H917" s="924" t="s">
        <v>835</v>
      </c>
      <c r="I917" s="924" t="s">
        <v>1040</v>
      </c>
      <c r="J917" s="924" t="s">
        <v>956</v>
      </c>
      <c r="K917" s="924" t="s">
        <v>957</v>
      </c>
      <c r="L917" s="925">
        <v>0.16009466210380199</v>
      </c>
      <c r="M917" s="925">
        <v>1.2534638187844399E-4</v>
      </c>
    </row>
    <row r="918" spans="1:13" ht="11.25" customHeight="1" x14ac:dyDescent="0.2">
      <c r="A918" s="924" t="s">
        <v>853</v>
      </c>
      <c r="B918" s="924" t="s">
        <v>791</v>
      </c>
      <c r="C918" s="924" t="s">
        <v>1175</v>
      </c>
      <c r="D918" s="924" t="s">
        <v>1176</v>
      </c>
      <c r="E918" s="924" t="s">
        <v>856</v>
      </c>
      <c r="F918" s="924" t="s">
        <v>1128</v>
      </c>
      <c r="G918" s="924" t="s">
        <v>911</v>
      </c>
      <c r="H918" s="924" t="s">
        <v>665</v>
      </c>
      <c r="I918" s="924" t="s">
        <v>706</v>
      </c>
      <c r="J918" s="924" t="s">
        <v>859</v>
      </c>
      <c r="K918" s="924" t="s">
        <v>913</v>
      </c>
      <c r="L918" s="925">
        <v>1.26312026754022</v>
      </c>
      <c r="M918" s="925">
        <v>1.39275427244456E-4</v>
      </c>
    </row>
    <row r="919" spans="1:13" ht="11.25" customHeight="1" x14ac:dyDescent="0.2">
      <c r="A919" s="924" t="s">
        <v>853</v>
      </c>
      <c r="B919" s="924" t="s">
        <v>791</v>
      </c>
      <c r="C919" s="924" t="s">
        <v>1175</v>
      </c>
      <c r="D919" s="924" t="s">
        <v>1176</v>
      </c>
      <c r="E919" s="924" t="s">
        <v>856</v>
      </c>
      <c r="F919" s="924" t="s">
        <v>1118</v>
      </c>
      <c r="G919" s="924" t="s">
        <v>911</v>
      </c>
      <c r="H919" s="924" t="s">
        <v>665</v>
      </c>
      <c r="I919" s="924" t="s">
        <v>706</v>
      </c>
      <c r="J919" s="924" t="s">
        <v>859</v>
      </c>
      <c r="K919" s="924" t="s">
        <v>893</v>
      </c>
      <c r="L919" s="925">
        <v>2.1418589930981402</v>
      </c>
      <c r="M919" s="925">
        <v>1.03625983911115E-4</v>
      </c>
    </row>
    <row r="920" spans="1:13" ht="11.25" customHeight="1" x14ac:dyDescent="0.2">
      <c r="A920" s="924" t="s">
        <v>853</v>
      </c>
      <c r="B920" s="924" t="s">
        <v>791</v>
      </c>
      <c r="C920" s="924" t="s">
        <v>1175</v>
      </c>
      <c r="D920" s="924" t="s">
        <v>1176</v>
      </c>
      <c r="E920" s="924" t="s">
        <v>856</v>
      </c>
      <c r="F920" s="924" t="s">
        <v>1129</v>
      </c>
      <c r="G920" s="924" t="s">
        <v>911</v>
      </c>
      <c r="H920" s="924" t="s">
        <v>665</v>
      </c>
      <c r="I920" s="924" t="s">
        <v>706</v>
      </c>
      <c r="J920" s="924" t="s">
        <v>859</v>
      </c>
      <c r="K920" s="924" t="s">
        <v>897</v>
      </c>
      <c r="L920" s="925">
        <v>0.34882828360423401</v>
      </c>
      <c r="M920" s="925">
        <v>1.2678698442414299E-4</v>
      </c>
    </row>
    <row r="921" spans="1:13" ht="11.25" customHeight="1" x14ac:dyDescent="0.2">
      <c r="A921" s="924" t="s">
        <v>853</v>
      </c>
      <c r="B921" s="924" t="s">
        <v>791</v>
      </c>
      <c r="C921" s="924" t="s">
        <v>1175</v>
      </c>
      <c r="D921" s="924" t="s">
        <v>1176</v>
      </c>
      <c r="E921" s="924" t="s">
        <v>856</v>
      </c>
      <c r="F921" s="924" t="s">
        <v>1133</v>
      </c>
      <c r="G921" s="924" t="s">
        <v>911</v>
      </c>
      <c r="H921" s="924" t="s">
        <v>665</v>
      </c>
      <c r="I921" s="924" t="s">
        <v>706</v>
      </c>
      <c r="J921" s="924" t="s">
        <v>859</v>
      </c>
      <c r="K921" s="924" t="s">
        <v>899</v>
      </c>
      <c r="L921" s="925">
        <v>0.217286821687594</v>
      </c>
      <c r="M921" s="925">
        <v>2.16474767213981E-5</v>
      </c>
    </row>
    <row r="922" spans="1:13" ht="11.25" customHeight="1" x14ac:dyDescent="0.2">
      <c r="A922" s="924" t="s">
        <v>853</v>
      </c>
      <c r="B922" s="924" t="s">
        <v>791</v>
      </c>
      <c r="C922" s="924" t="s">
        <v>1175</v>
      </c>
      <c r="D922" s="924" t="s">
        <v>1176</v>
      </c>
      <c r="E922" s="924" t="s">
        <v>856</v>
      </c>
      <c r="F922" s="924" t="s">
        <v>1148</v>
      </c>
      <c r="G922" s="924" t="s">
        <v>981</v>
      </c>
      <c r="H922" s="924" t="s">
        <v>835</v>
      </c>
      <c r="I922" s="924" t="s">
        <v>1040</v>
      </c>
      <c r="J922" s="924" t="s">
        <v>863</v>
      </c>
      <c r="K922" s="924" t="s">
        <v>915</v>
      </c>
      <c r="L922" s="925">
        <v>1.1563311740755999</v>
      </c>
      <c r="M922" s="925">
        <v>4.3116575031376702E-4</v>
      </c>
    </row>
    <row r="923" spans="1:13" ht="11.25" customHeight="1" x14ac:dyDescent="0.2">
      <c r="A923" s="924" t="s">
        <v>853</v>
      </c>
      <c r="B923" s="924" t="s">
        <v>791</v>
      </c>
      <c r="C923" s="924" t="s">
        <v>1175</v>
      </c>
      <c r="D923" s="924" t="s">
        <v>1176</v>
      </c>
      <c r="E923" s="924" t="s">
        <v>856</v>
      </c>
      <c r="F923" s="924" t="s">
        <v>1056</v>
      </c>
      <c r="G923" s="924" t="s">
        <v>981</v>
      </c>
      <c r="H923" s="924" t="s">
        <v>835</v>
      </c>
      <c r="I923" s="924" t="s">
        <v>998</v>
      </c>
      <c r="J923" s="924" t="s">
        <v>875</v>
      </c>
      <c r="K923" s="924" t="s">
        <v>878</v>
      </c>
      <c r="L923" s="925">
        <v>11.3827326893806</v>
      </c>
      <c r="M923" s="925">
        <v>2.1953318588202798E-2</v>
      </c>
    </row>
    <row r="924" spans="1:13" ht="11.25" customHeight="1" x14ac:dyDescent="0.2">
      <c r="A924" s="924" t="s">
        <v>853</v>
      </c>
      <c r="B924" s="924" t="s">
        <v>791</v>
      </c>
      <c r="C924" s="924" t="s">
        <v>1175</v>
      </c>
      <c r="D924" s="924" t="s">
        <v>1176</v>
      </c>
      <c r="E924" s="924" t="s">
        <v>856</v>
      </c>
      <c r="F924" s="924" t="s">
        <v>910</v>
      </c>
      <c r="G924" s="924" t="s">
        <v>911</v>
      </c>
      <c r="H924" s="924" t="s">
        <v>665</v>
      </c>
      <c r="I924" s="924" t="s">
        <v>706</v>
      </c>
      <c r="J924" s="924" t="s">
        <v>859</v>
      </c>
      <c r="K924" s="924" t="s">
        <v>905</v>
      </c>
      <c r="L924" s="925">
        <v>1.53475438058376</v>
      </c>
      <c r="M924" s="925">
        <v>1.25465626615551E-3</v>
      </c>
    </row>
    <row r="925" spans="1:13" ht="11.25" customHeight="1" x14ac:dyDescent="0.2">
      <c r="A925" s="924" t="s">
        <v>853</v>
      </c>
      <c r="B925" s="924" t="s">
        <v>791</v>
      </c>
      <c r="C925" s="924" t="s">
        <v>1175</v>
      </c>
      <c r="D925" s="924" t="s">
        <v>1176</v>
      </c>
      <c r="E925" s="924" t="s">
        <v>856</v>
      </c>
      <c r="F925" s="924" t="s">
        <v>1119</v>
      </c>
      <c r="G925" s="924" t="s">
        <v>981</v>
      </c>
      <c r="H925" s="924" t="s">
        <v>835</v>
      </c>
      <c r="I925" s="924" t="s">
        <v>1040</v>
      </c>
      <c r="J925" s="924" t="s">
        <v>875</v>
      </c>
      <c r="K925" s="924" t="s">
        <v>878</v>
      </c>
      <c r="L925" s="925">
        <v>87.652851581573501</v>
      </c>
      <c r="M925" s="925">
        <v>5.8210980935655202E-2</v>
      </c>
    </row>
    <row r="926" spans="1:13" ht="11.25" customHeight="1" x14ac:dyDescent="0.2">
      <c r="A926" s="924" t="s">
        <v>853</v>
      </c>
      <c r="B926" s="924" t="s">
        <v>791</v>
      </c>
      <c r="C926" s="924" t="s">
        <v>1175</v>
      </c>
      <c r="D926" s="924" t="s">
        <v>1176</v>
      </c>
      <c r="E926" s="924" t="s">
        <v>856</v>
      </c>
      <c r="F926" s="924" t="s">
        <v>1139</v>
      </c>
      <c r="G926" s="924" t="s">
        <v>981</v>
      </c>
      <c r="H926" s="924" t="s">
        <v>835</v>
      </c>
      <c r="I926" s="924" t="s">
        <v>1040</v>
      </c>
      <c r="J926" s="924" t="s">
        <v>940</v>
      </c>
      <c r="K926" s="924" t="s">
        <v>1140</v>
      </c>
      <c r="L926" s="925">
        <v>443.455008983612</v>
      </c>
      <c r="M926" s="925">
        <v>0.32414327823955702</v>
      </c>
    </row>
    <row r="927" spans="1:13" ht="11.25" customHeight="1" x14ac:dyDescent="0.2">
      <c r="A927" s="924" t="s">
        <v>853</v>
      </c>
      <c r="B927" s="924" t="s">
        <v>791</v>
      </c>
      <c r="C927" s="924" t="s">
        <v>1175</v>
      </c>
      <c r="D927" s="924" t="s">
        <v>1176</v>
      </c>
      <c r="E927" s="924" t="s">
        <v>856</v>
      </c>
      <c r="F927" s="924" t="s">
        <v>1137</v>
      </c>
      <c r="G927" s="924" t="s">
        <v>981</v>
      </c>
      <c r="H927" s="924" t="s">
        <v>835</v>
      </c>
      <c r="I927" s="924" t="s">
        <v>1040</v>
      </c>
      <c r="J927" s="924" t="s">
        <v>863</v>
      </c>
      <c r="K927" s="924" t="s">
        <v>866</v>
      </c>
      <c r="L927" s="925">
        <v>3.0326988548040399</v>
      </c>
      <c r="M927" s="925">
        <v>2.0322549971751899E-3</v>
      </c>
    </row>
    <row r="928" spans="1:13" ht="11.25" customHeight="1" x14ac:dyDescent="0.2">
      <c r="A928" s="924" t="s">
        <v>853</v>
      </c>
      <c r="B928" s="924" t="s">
        <v>791</v>
      </c>
      <c r="C928" s="924" t="s">
        <v>1175</v>
      </c>
      <c r="D928" s="924" t="s">
        <v>1176</v>
      </c>
      <c r="E928" s="924" t="s">
        <v>856</v>
      </c>
      <c r="F928" s="924" t="s">
        <v>1120</v>
      </c>
      <c r="G928" s="924" t="s">
        <v>981</v>
      </c>
      <c r="H928" s="924" t="s">
        <v>835</v>
      </c>
      <c r="I928" s="924" t="s">
        <v>1040</v>
      </c>
      <c r="J928" s="924" t="s">
        <v>875</v>
      </c>
      <c r="K928" s="924" t="s">
        <v>880</v>
      </c>
      <c r="L928" s="925">
        <v>46.3578018546104</v>
      </c>
      <c r="M928" s="925">
        <v>2.6850559949025399E-2</v>
      </c>
    </row>
    <row r="929" spans="1:13" ht="11.25" customHeight="1" x14ac:dyDescent="0.2">
      <c r="A929" s="924" t="s">
        <v>853</v>
      </c>
      <c r="B929" s="924" t="s">
        <v>791</v>
      </c>
      <c r="C929" s="924" t="s">
        <v>1175</v>
      </c>
      <c r="D929" s="924" t="s">
        <v>1176</v>
      </c>
      <c r="E929" s="924" t="s">
        <v>856</v>
      </c>
      <c r="F929" s="924" t="s">
        <v>1131</v>
      </c>
      <c r="G929" s="924" t="s">
        <v>981</v>
      </c>
      <c r="H929" s="924" t="s">
        <v>835</v>
      </c>
      <c r="I929" s="924" t="s">
        <v>1040</v>
      </c>
      <c r="J929" s="924" t="s">
        <v>863</v>
      </c>
      <c r="K929" s="924" t="s">
        <v>868</v>
      </c>
      <c r="L929" s="925">
        <v>5.5743525028228804</v>
      </c>
      <c r="M929" s="925">
        <v>3.9357739888146198E-4</v>
      </c>
    </row>
    <row r="930" spans="1:13" ht="11.25" customHeight="1" x14ac:dyDescent="0.2">
      <c r="A930" s="924" t="s">
        <v>853</v>
      </c>
      <c r="B930" s="924" t="s">
        <v>791</v>
      </c>
      <c r="C930" s="924" t="s">
        <v>1175</v>
      </c>
      <c r="D930" s="924" t="s">
        <v>1176</v>
      </c>
      <c r="E930" s="924" t="s">
        <v>856</v>
      </c>
      <c r="F930" s="924" t="s">
        <v>1108</v>
      </c>
      <c r="G930" s="924" t="s">
        <v>981</v>
      </c>
      <c r="H930" s="924" t="s">
        <v>835</v>
      </c>
      <c r="I930" s="924" t="s">
        <v>1040</v>
      </c>
      <c r="J930" s="924" t="s">
        <v>870</v>
      </c>
      <c r="K930" s="924" t="s">
        <v>1036</v>
      </c>
      <c r="L930" s="925">
        <v>0.234239647747017</v>
      </c>
      <c r="M930" s="925">
        <v>1.58195527774296E-4</v>
      </c>
    </row>
    <row r="931" spans="1:13" ht="11.25" customHeight="1" x14ac:dyDescent="0.2">
      <c r="A931" s="924" t="s">
        <v>853</v>
      </c>
      <c r="B931" s="924" t="s">
        <v>791</v>
      </c>
      <c r="C931" s="924" t="s">
        <v>1175</v>
      </c>
      <c r="D931" s="924" t="s">
        <v>1176</v>
      </c>
      <c r="E931" s="924" t="s">
        <v>856</v>
      </c>
      <c r="F931" s="924" t="s">
        <v>1141</v>
      </c>
      <c r="G931" s="924" t="s">
        <v>981</v>
      </c>
      <c r="H931" s="924" t="s">
        <v>835</v>
      </c>
      <c r="I931" s="924" t="s">
        <v>1040</v>
      </c>
      <c r="J931" s="924" t="s">
        <v>940</v>
      </c>
      <c r="K931" s="924" t="s">
        <v>1142</v>
      </c>
      <c r="L931" s="925">
        <v>297.18604207038902</v>
      </c>
      <c r="M931" s="925">
        <v>0.218759584007785</v>
      </c>
    </row>
    <row r="932" spans="1:13" ht="11.25" customHeight="1" x14ac:dyDescent="0.2">
      <c r="A932" s="924" t="s">
        <v>853</v>
      </c>
      <c r="B932" s="924" t="s">
        <v>791</v>
      </c>
      <c r="C932" s="924" t="s">
        <v>1175</v>
      </c>
      <c r="D932" s="924" t="s">
        <v>1176</v>
      </c>
      <c r="E932" s="924" t="s">
        <v>856</v>
      </c>
      <c r="F932" s="924" t="s">
        <v>1143</v>
      </c>
      <c r="G932" s="924" t="s">
        <v>981</v>
      </c>
      <c r="H932" s="924" t="s">
        <v>835</v>
      </c>
      <c r="I932" s="924" t="s">
        <v>1040</v>
      </c>
      <c r="J932" s="924" t="s">
        <v>940</v>
      </c>
      <c r="K932" s="924" t="s">
        <v>1084</v>
      </c>
      <c r="L932" s="925">
        <v>38.160158991813702</v>
      </c>
      <c r="M932" s="925">
        <v>2.78486432216596E-2</v>
      </c>
    </row>
    <row r="933" spans="1:13" ht="11.25" customHeight="1" x14ac:dyDescent="0.2">
      <c r="A933" s="924" t="s">
        <v>853</v>
      </c>
      <c r="B933" s="924" t="s">
        <v>791</v>
      </c>
      <c r="C933" s="924" t="s">
        <v>1175</v>
      </c>
      <c r="D933" s="924" t="s">
        <v>1176</v>
      </c>
      <c r="E933" s="924" t="s">
        <v>856</v>
      </c>
      <c r="F933" s="924" t="s">
        <v>1144</v>
      </c>
      <c r="G933" s="924" t="s">
        <v>981</v>
      </c>
      <c r="H933" s="924" t="s">
        <v>835</v>
      </c>
      <c r="I933" s="924" t="s">
        <v>1040</v>
      </c>
      <c r="J933" s="924" t="s">
        <v>940</v>
      </c>
      <c r="K933" s="924" t="s">
        <v>1070</v>
      </c>
      <c r="L933" s="925">
        <v>176.69434016943001</v>
      </c>
      <c r="M933" s="925">
        <v>0.122780215751845</v>
      </c>
    </row>
    <row r="934" spans="1:13" ht="11.25" customHeight="1" x14ac:dyDescent="0.2">
      <c r="A934" s="924" t="s">
        <v>853</v>
      </c>
      <c r="B934" s="924" t="s">
        <v>791</v>
      </c>
      <c r="C934" s="924" t="s">
        <v>1175</v>
      </c>
      <c r="D934" s="924" t="s">
        <v>1176</v>
      </c>
      <c r="E934" s="924" t="s">
        <v>856</v>
      </c>
      <c r="F934" s="924" t="s">
        <v>1149</v>
      </c>
      <c r="G934" s="924" t="s">
        <v>981</v>
      </c>
      <c r="H934" s="924" t="s">
        <v>835</v>
      </c>
      <c r="I934" s="924" t="s">
        <v>1040</v>
      </c>
      <c r="J934" s="924" t="s">
        <v>940</v>
      </c>
      <c r="K934" s="924" t="s">
        <v>1091</v>
      </c>
      <c r="L934" s="925">
        <v>2.4591488093137701</v>
      </c>
      <c r="M934" s="925">
        <v>1.71360996864678E-3</v>
      </c>
    </row>
    <row r="935" spans="1:13" ht="11.25" customHeight="1" x14ac:dyDescent="0.2">
      <c r="A935" s="924" t="s">
        <v>853</v>
      </c>
      <c r="B935" s="924" t="s">
        <v>791</v>
      </c>
      <c r="C935" s="924" t="s">
        <v>1175</v>
      </c>
      <c r="D935" s="924" t="s">
        <v>1176</v>
      </c>
      <c r="E935" s="924" t="s">
        <v>856</v>
      </c>
      <c r="F935" s="924" t="s">
        <v>1160</v>
      </c>
      <c r="G935" s="924" t="s">
        <v>981</v>
      </c>
      <c r="H935" s="924" t="s">
        <v>835</v>
      </c>
      <c r="I935" s="924" t="s">
        <v>1040</v>
      </c>
      <c r="J935" s="924" t="s">
        <v>940</v>
      </c>
      <c r="K935" s="924" t="s">
        <v>1093</v>
      </c>
      <c r="L935" s="925">
        <v>6.8837556485086697</v>
      </c>
      <c r="M935" s="925">
        <v>4.8451268357894203E-3</v>
      </c>
    </row>
    <row r="936" spans="1:13" ht="11.25" customHeight="1" x14ac:dyDescent="0.2">
      <c r="A936" s="924" t="s">
        <v>853</v>
      </c>
      <c r="B936" s="924" t="s">
        <v>791</v>
      </c>
      <c r="C936" s="924" t="s">
        <v>1175</v>
      </c>
      <c r="D936" s="924" t="s">
        <v>1176</v>
      </c>
      <c r="E936" s="924" t="s">
        <v>856</v>
      </c>
      <c r="F936" s="924" t="s">
        <v>1159</v>
      </c>
      <c r="G936" s="924" t="s">
        <v>981</v>
      </c>
      <c r="H936" s="924" t="s">
        <v>835</v>
      </c>
      <c r="I936" s="924" t="s">
        <v>1040</v>
      </c>
      <c r="J936" s="924" t="s">
        <v>940</v>
      </c>
      <c r="K936" s="924" t="s">
        <v>1095</v>
      </c>
      <c r="L936" s="925">
        <v>4.6913333088159597</v>
      </c>
      <c r="M936" s="925">
        <v>3.26962632607319E-3</v>
      </c>
    </row>
    <row r="937" spans="1:13" ht="11.25" customHeight="1" x14ac:dyDescent="0.2">
      <c r="A937" s="924" t="s">
        <v>853</v>
      </c>
      <c r="B937" s="924" t="s">
        <v>791</v>
      </c>
      <c r="C937" s="924" t="s">
        <v>1175</v>
      </c>
      <c r="D937" s="924" t="s">
        <v>1176</v>
      </c>
      <c r="E937" s="924" t="s">
        <v>856</v>
      </c>
      <c r="F937" s="924" t="s">
        <v>1158</v>
      </c>
      <c r="G937" s="924" t="s">
        <v>981</v>
      </c>
      <c r="H937" s="924" t="s">
        <v>835</v>
      </c>
      <c r="I937" s="924" t="s">
        <v>1040</v>
      </c>
      <c r="J937" s="924" t="s">
        <v>940</v>
      </c>
      <c r="K937" s="924" t="s">
        <v>1023</v>
      </c>
      <c r="L937" s="925">
        <v>282.04817950725601</v>
      </c>
      <c r="M937" s="925">
        <v>0.161727624050855</v>
      </c>
    </row>
    <row r="938" spans="1:13" ht="11.25" customHeight="1" x14ac:dyDescent="0.2">
      <c r="A938" s="924" t="s">
        <v>853</v>
      </c>
      <c r="B938" s="924" t="s">
        <v>791</v>
      </c>
      <c r="C938" s="924" t="s">
        <v>1175</v>
      </c>
      <c r="D938" s="924" t="s">
        <v>1176</v>
      </c>
      <c r="E938" s="924" t="s">
        <v>856</v>
      </c>
      <c r="F938" s="924" t="s">
        <v>1157</v>
      </c>
      <c r="G938" s="924" t="s">
        <v>981</v>
      </c>
      <c r="H938" s="924" t="s">
        <v>835</v>
      </c>
      <c r="I938" s="924" t="s">
        <v>1040</v>
      </c>
      <c r="J938" s="924" t="s">
        <v>940</v>
      </c>
      <c r="K938" s="924" t="s">
        <v>1098</v>
      </c>
      <c r="L938" s="925">
        <v>50.514842987060497</v>
      </c>
      <c r="M938" s="925">
        <v>9.4531314447522205E-2</v>
      </c>
    </row>
    <row r="939" spans="1:13" ht="11.25" customHeight="1" x14ac:dyDescent="0.2">
      <c r="A939" s="924" t="s">
        <v>853</v>
      </c>
      <c r="B939" s="924" t="s">
        <v>791</v>
      </c>
      <c r="C939" s="924" t="s">
        <v>1175</v>
      </c>
      <c r="D939" s="924" t="s">
        <v>1176</v>
      </c>
      <c r="E939" s="924" t="s">
        <v>856</v>
      </c>
      <c r="F939" s="924" t="s">
        <v>1156</v>
      </c>
      <c r="G939" s="924" t="s">
        <v>981</v>
      </c>
      <c r="H939" s="924" t="s">
        <v>835</v>
      </c>
      <c r="I939" s="924" t="s">
        <v>1040</v>
      </c>
      <c r="J939" s="924" t="s">
        <v>940</v>
      </c>
      <c r="K939" s="924" t="s">
        <v>1025</v>
      </c>
      <c r="L939" s="925">
        <v>113.004170417786</v>
      </c>
      <c r="M939" s="925">
        <v>0.21119538054335901</v>
      </c>
    </row>
    <row r="940" spans="1:13" ht="11.25" customHeight="1" x14ac:dyDescent="0.2">
      <c r="A940" s="924" t="s">
        <v>853</v>
      </c>
      <c r="B940" s="924" t="s">
        <v>791</v>
      </c>
      <c r="C940" s="924" t="s">
        <v>1175</v>
      </c>
      <c r="D940" s="924" t="s">
        <v>1176</v>
      </c>
      <c r="E940" s="924" t="s">
        <v>856</v>
      </c>
      <c r="F940" s="924" t="s">
        <v>1107</v>
      </c>
      <c r="G940" s="924" t="s">
        <v>981</v>
      </c>
      <c r="H940" s="924" t="s">
        <v>835</v>
      </c>
      <c r="I940" s="924" t="s">
        <v>1040</v>
      </c>
      <c r="J940" s="924" t="s">
        <v>940</v>
      </c>
      <c r="K940" s="924" t="s">
        <v>1034</v>
      </c>
      <c r="L940" s="925">
        <v>50.9178607910872</v>
      </c>
      <c r="M940" s="925">
        <v>3.6940294943761401E-2</v>
      </c>
    </row>
    <row r="941" spans="1:13" ht="11.25" customHeight="1" x14ac:dyDescent="0.2">
      <c r="A941" s="924" t="s">
        <v>853</v>
      </c>
      <c r="B941" s="924" t="s">
        <v>791</v>
      </c>
      <c r="C941" s="924" t="s">
        <v>1175</v>
      </c>
      <c r="D941" s="924" t="s">
        <v>1176</v>
      </c>
      <c r="E941" s="924" t="s">
        <v>856</v>
      </c>
      <c r="F941" s="924" t="s">
        <v>1154</v>
      </c>
      <c r="G941" s="924" t="s">
        <v>981</v>
      </c>
      <c r="H941" s="924" t="s">
        <v>835</v>
      </c>
      <c r="I941" s="924" t="s">
        <v>1040</v>
      </c>
      <c r="J941" s="924" t="s">
        <v>940</v>
      </c>
      <c r="K941" s="924" t="s">
        <v>1155</v>
      </c>
      <c r="L941" s="925">
        <v>89.672943234443693</v>
      </c>
      <c r="M941" s="925">
        <v>5.7681404148823397E-2</v>
      </c>
    </row>
    <row r="942" spans="1:13" ht="11.25" customHeight="1" x14ac:dyDescent="0.2">
      <c r="A942" s="924" t="s">
        <v>853</v>
      </c>
      <c r="B942" s="924" t="s">
        <v>791</v>
      </c>
      <c r="C942" s="924" t="s">
        <v>1175</v>
      </c>
      <c r="D942" s="924" t="s">
        <v>1176</v>
      </c>
      <c r="E942" s="924" t="s">
        <v>856</v>
      </c>
      <c r="F942" s="924" t="s">
        <v>1152</v>
      </c>
      <c r="G942" s="924" t="s">
        <v>981</v>
      </c>
      <c r="H942" s="924" t="s">
        <v>835</v>
      </c>
      <c r="I942" s="924" t="s">
        <v>1040</v>
      </c>
      <c r="J942" s="924" t="s">
        <v>940</v>
      </c>
      <c r="K942" s="924" t="s">
        <v>1153</v>
      </c>
      <c r="L942" s="925">
        <v>37.759239092469201</v>
      </c>
      <c r="M942" s="925">
        <v>2.4770857402472798E-2</v>
      </c>
    </row>
    <row r="943" spans="1:13" ht="11.25" customHeight="1" x14ac:dyDescent="0.2">
      <c r="A943" s="924" t="s">
        <v>853</v>
      </c>
      <c r="B943" s="924" t="s">
        <v>791</v>
      </c>
      <c r="C943" s="924" t="s">
        <v>1175</v>
      </c>
      <c r="D943" s="924" t="s">
        <v>1176</v>
      </c>
      <c r="E943" s="924" t="s">
        <v>856</v>
      </c>
      <c r="F943" s="924" t="s">
        <v>1161</v>
      </c>
      <c r="G943" s="924" t="s">
        <v>981</v>
      </c>
      <c r="H943" s="924" t="s">
        <v>835</v>
      </c>
      <c r="I943" s="924" t="s">
        <v>1040</v>
      </c>
      <c r="J943" s="924" t="s">
        <v>940</v>
      </c>
      <c r="K943" s="924" t="s">
        <v>1027</v>
      </c>
      <c r="L943" s="925">
        <v>42.651840418577201</v>
      </c>
      <c r="M943" s="925">
        <v>2.9412428437709099E-2</v>
      </c>
    </row>
    <row r="944" spans="1:13" ht="11.25" customHeight="1" x14ac:dyDescent="0.2">
      <c r="A944" s="924" t="s">
        <v>853</v>
      </c>
      <c r="B944" s="924" t="s">
        <v>791</v>
      </c>
      <c r="C944" s="924" t="s">
        <v>1175</v>
      </c>
      <c r="D944" s="924" t="s">
        <v>1176</v>
      </c>
      <c r="E944" s="924" t="s">
        <v>856</v>
      </c>
      <c r="F944" s="924" t="s">
        <v>1150</v>
      </c>
      <c r="G944" s="924" t="s">
        <v>981</v>
      </c>
      <c r="H944" s="924" t="s">
        <v>835</v>
      </c>
      <c r="I944" s="924" t="s">
        <v>1040</v>
      </c>
      <c r="J944" s="924" t="s">
        <v>940</v>
      </c>
      <c r="K944" s="924" t="s">
        <v>1151</v>
      </c>
      <c r="L944" s="925">
        <v>20.354424171149699</v>
      </c>
      <c r="M944" s="925">
        <v>1.4296014658611999E-2</v>
      </c>
    </row>
    <row r="945" spans="1:13" ht="11.25" customHeight="1" x14ac:dyDescent="0.2">
      <c r="A945" s="924" t="s">
        <v>853</v>
      </c>
      <c r="B945" s="924" t="s">
        <v>791</v>
      </c>
      <c r="C945" s="924" t="s">
        <v>1175</v>
      </c>
      <c r="D945" s="924" t="s">
        <v>1176</v>
      </c>
      <c r="E945" s="924" t="s">
        <v>856</v>
      </c>
      <c r="F945" s="924" t="s">
        <v>1146</v>
      </c>
      <c r="G945" s="924" t="s">
        <v>981</v>
      </c>
      <c r="H945" s="924" t="s">
        <v>835</v>
      </c>
      <c r="I945" s="924" t="s">
        <v>1040</v>
      </c>
      <c r="J945" s="924" t="s">
        <v>940</v>
      </c>
      <c r="K945" s="924" t="s">
        <v>1147</v>
      </c>
      <c r="L945" s="925">
        <v>1202.08141803741</v>
      </c>
      <c r="M945" s="925">
        <v>0.77188901090994499</v>
      </c>
    </row>
    <row r="946" spans="1:13" ht="11.25" customHeight="1" x14ac:dyDescent="0.2">
      <c r="A946" s="924" t="s">
        <v>853</v>
      </c>
      <c r="B946" s="924" t="s">
        <v>791</v>
      </c>
      <c r="C946" s="924" t="s">
        <v>1175</v>
      </c>
      <c r="D946" s="924" t="s">
        <v>1176</v>
      </c>
      <c r="E946" s="924" t="s">
        <v>856</v>
      </c>
      <c r="F946" s="924" t="s">
        <v>1145</v>
      </c>
      <c r="G946" s="924" t="s">
        <v>981</v>
      </c>
      <c r="H946" s="924" t="s">
        <v>835</v>
      </c>
      <c r="I946" s="924" t="s">
        <v>1040</v>
      </c>
      <c r="J946" s="924" t="s">
        <v>940</v>
      </c>
      <c r="K946" s="924" t="s">
        <v>1029</v>
      </c>
      <c r="L946" s="925">
        <v>513.14948582649197</v>
      </c>
      <c r="M946" s="925">
        <v>0.33656658523250399</v>
      </c>
    </row>
    <row r="947" spans="1:13" ht="11.25" customHeight="1" x14ac:dyDescent="0.2">
      <c r="A947" s="924" t="s">
        <v>853</v>
      </c>
      <c r="B947" s="924" t="s">
        <v>791</v>
      </c>
      <c r="C947" s="924" t="s">
        <v>1175</v>
      </c>
      <c r="D947" s="924" t="s">
        <v>1176</v>
      </c>
      <c r="E947" s="924" t="s">
        <v>856</v>
      </c>
      <c r="F947" s="924" t="s">
        <v>1132</v>
      </c>
      <c r="G947" s="924" t="s">
        <v>981</v>
      </c>
      <c r="H947" s="924" t="s">
        <v>835</v>
      </c>
      <c r="I947" s="924" t="s">
        <v>1040</v>
      </c>
      <c r="J947" s="924" t="s">
        <v>940</v>
      </c>
      <c r="K947" s="924" t="s">
        <v>941</v>
      </c>
      <c r="L947" s="925">
        <v>85.6260511279106</v>
      </c>
      <c r="M947" s="925">
        <v>3.7298969386029099E-2</v>
      </c>
    </row>
    <row r="948" spans="1:13" ht="11.25" customHeight="1" x14ac:dyDescent="0.2">
      <c r="A948" s="924" t="s">
        <v>853</v>
      </c>
      <c r="B948" s="924" t="s">
        <v>791</v>
      </c>
      <c r="C948" s="924" t="s">
        <v>1175</v>
      </c>
      <c r="D948" s="924" t="s">
        <v>1176</v>
      </c>
      <c r="E948" s="924" t="s">
        <v>856</v>
      </c>
      <c r="F948" s="924" t="s">
        <v>1116</v>
      </c>
      <c r="G948" s="924" t="s">
        <v>981</v>
      </c>
      <c r="H948" s="924" t="s">
        <v>835</v>
      </c>
      <c r="I948" s="924" t="s">
        <v>1040</v>
      </c>
      <c r="J948" s="924" t="s">
        <v>940</v>
      </c>
      <c r="K948" s="924" t="s">
        <v>1032</v>
      </c>
      <c r="L948" s="925">
        <v>1656.43839406967</v>
      </c>
      <c r="M948" s="925">
        <v>1.04166938923299</v>
      </c>
    </row>
    <row r="949" spans="1:13" ht="11.25" customHeight="1" x14ac:dyDescent="0.2">
      <c r="A949" s="924" t="s">
        <v>853</v>
      </c>
      <c r="B949" s="924" t="s">
        <v>791</v>
      </c>
      <c r="C949" s="924" t="s">
        <v>1175</v>
      </c>
      <c r="D949" s="924" t="s">
        <v>1176</v>
      </c>
      <c r="E949" s="924" t="s">
        <v>856</v>
      </c>
      <c r="F949" s="924" t="s">
        <v>1105</v>
      </c>
      <c r="G949" s="924" t="s">
        <v>981</v>
      </c>
      <c r="H949" s="924" t="s">
        <v>835</v>
      </c>
      <c r="I949" s="924" t="s">
        <v>1040</v>
      </c>
      <c r="J949" s="924" t="s">
        <v>940</v>
      </c>
      <c r="K949" s="924" t="s">
        <v>1106</v>
      </c>
      <c r="L949" s="925">
        <v>42.7341335117817</v>
      </c>
      <c r="M949" s="925">
        <v>3.1248088629141101E-2</v>
      </c>
    </row>
    <row r="950" spans="1:13" ht="11.25" customHeight="1" x14ac:dyDescent="0.2">
      <c r="A950" s="924" t="s">
        <v>853</v>
      </c>
      <c r="B950" s="924" t="s">
        <v>792</v>
      </c>
      <c r="C950" s="924" t="s">
        <v>1177</v>
      </c>
      <c r="D950" s="924" t="s">
        <v>855</v>
      </c>
      <c r="E950" s="924" t="s">
        <v>856</v>
      </c>
      <c r="F950" s="924" t="s">
        <v>879</v>
      </c>
      <c r="G950" s="924" t="s">
        <v>862</v>
      </c>
      <c r="H950" s="924" t="s">
        <v>665</v>
      </c>
      <c r="I950" s="924" t="s">
        <v>787</v>
      </c>
      <c r="J950" s="924" t="s">
        <v>875</v>
      </c>
      <c r="K950" s="924" t="s">
        <v>880</v>
      </c>
      <c r="L950" s="925">
        <v>0.496676048729569</v>
      </c>
      <c r="M950" s="925">
        <v>2.7942028616507698E-3</v>
      </c>
    </row>
    <row r="951" spans="1:13" ht="11.25" customHeight="1" x14ac:dyDescent="0.2">
      <c r="A951" s="924" t="s">
        <v>853</v>
      </c>
      <c r="B951" s="924" t="s">
        <v>792</v>
      </c>
      <c r="C951" s="924" t="s">
        <v>1177</v>
      </c>
      <c r="D951" s="924" t="s">
        <v>855</v>
      </c>
      <c r="E951" s="924" t="s">
        <v>856</v>
      </c>
      <c r="F951" s="924" t="s">
        <v>877</v>
      </c>
      <c r="G951" s="924" t="s">
        <v>862</v>
      </c>
      <c r="H951" s="924" t="s">
        <v>665</v>
      </c>
      <c r="I951" s="924" t="s">
        <v>787</v>
      </c>
      <c r="J951" s="924" t="s">
        <v>875</v>
      </c>
      <c r="K951" s="924" t="s">
        <v>878</v>
      </c>
      <c r="L951" s="925">
        <v>0.33673914661630999</v>
      </c>
      <c r="M951" s="925">
        <v>5.5166973397717802E-3</v>
      </c>
    </row>
    <row r="952" spans="1:13" ht="11.25" customHeight="1" x14ac:dyDescent="0.2">
      <c r="A952" s="924" t="s">
        <v>853</v>
      </c>
      <c r="B952" s="924" t="s">
        <v>792</v>
      </c>
      <c r="C952" s="924" t="s">
        <v>1177</v>
      </c>
      <c r="D952" s="924" t="s">
        <v>855</v>
      </c>
      <c r="E952" s="924" t="s">
        <v>856</v>
      </c>
      <c r="F952" s="924" t="s">
        <v>874</v>
      </c>
      <c r="G952" s="924" t="s">
        <v>862</v>
      </c>
      <c r="H952" s="924" t="s">
        <v>665</v>
      </c>
      <c r="I952" s="924" t="s">
        <v>787</v>
      </c>
      <c r="J952" s="924" t="s">
        <v>875</v>
      </c>
      <c r="K952" s="924" t="s">
        <v>876</v>
      </c>
      <c r="L952" s="925">
        <v>7.0397300124168396</v>
      </c>
      <c r="M952" s="925">
        <v>0.214139008836355</v>
      </c>
    </row>
    <row r="953" spans="1:13" ht="11.25" customHeight="1" x14ac:dyDescent="0.2">
      <c r="A953" s="924" t="s">
        <v>853</v>
      </c>
      <c r="B953" s="924" t="s">
        <v>792</v>
      </c>
      <c r="C953" s="924" t="s">
        <v>1177</v>
      </c>
      <c r="D953" s="924" t="s">
        <v>855</v>
      </c>
      <c r="E953" s="924" t="s">
        <v>856</v>
      </c>
      <c r="F953" s="924" t="s">
        <v>872</v>
      </c>
      <c r="G953" s="924" t="s">
        <v>862</v>
      </c>
      <c r="H953" s="924" t="s">
        <v>665</v>
      </c>
      <c r="I953" s="924" t="s">
        <v>787</v>
      </c>
      <c r="J953" s="924" t="s">
        <v>870</v>
      </c>
      <c r="K953" s="924" t="s">
        <v>873</v>
      </c>
      <c r="L953" s="925">
        <v>12.003874067217099</v>
      </c>
      <c r="M953" s="925">
        <v>4.8315753869246698E-2</v>
      </c>
    </row>
    <row r="954" spans="1:13" ht="11.25" customHeight="1" x14ac:dyDescent="0.2">
      <c r="A954" s="924" t="s">
        <v>853</v>
      </c>
      <c r="B954" s="924" t="s">
        <v>792</v>
      </c>
      <c r="C954" s="924" t="s">
        <v>1177</v>
      </c>
      <c r="D954" s="924" t="s">
        <v>855</v>
      </c>
      <c r="E954" s="924" t="s">
        <v>856</v>
      </c>
      <c r="F954" s="924" t="s">
        <v>869</v>
      </c>
      <c r="G954" s="924" t="s">
        <v>862</v>
      </c>
      <c r="H954" s="924" t="s">
        <v>665</v>
      </c>
      <c r="I954" s="924" t="s">
        <v>787</v>
      </c>
      <c r="J954" s="924" t="s">
        <v>870</v>
      </c>
      <c r="K954" s="924" t="s">
        <v>871</v>
      </c>
      <c r="L954" s="925">
        <v>0.109126335650217</v>
      </c>
      <c r="M954" s="925">
        <v>6.26140175654655E-3</v>
      </c>
    </row>
    <row r="955" spans="1:13" ht="11.25" customHeight="1" x14ac:dyDescent="0.2">
      <c r="A955" s="924" t="s">
        <v>853</v>
      </c>
      <c r="B955" s="924" t="s">
        <v>792</v>
      </c>
      <c r="C955" s="924" t="s">
        <v>1177</v>
      </c>
      <c r="D955" s="924" t="s">
        <v>855</v>
      </c>
      <c r="E955" s="924" t="s">
        <v>856</v>
      </c>
      <c r="F955" s="924" t="s">
        <v>867</v>
      </c>
      <c r="G955" s="924" t="s">
        <v>862</v>
      </c>
      <c r="H955" s="924" t="s">
        <v>665</v>
      </c>
      <c r="I955" s="924" t="s">
        <v>787</v>
      </c>
      <c r="J955" s="924" t="s">
        <v>863</v>
      </c>
      <c r="K955" s="924" t="s">
        <v>868</v>
      </c>
      <c r="L955" s="925">
        <v>0.755710837431252</v>
      </c>
      <c r="M955" s="925">
        <v>3.0919274358893701E-3</v>
      </c>
    </row>
    <row r="956" spans="1:13" ht="11.25" customHeight="1" x14ac:dyDescent="0.2">
      <c r="A956" s="924" t="s">
        <v>853</v>
      </c>
      <c r="B956" s="924" t="s">
        <v>792</v>
      </c>
      <c r="C956" s="924" t="s">
        <v>1177</v>
      </c>
      <c r="D956" s="924" t="s">
        <v>855</v>
      </c>
      <c r="E956" s="924" t="s">
        <v>856</v>
      </c>
      <c r="F956" s="924" t="s">
        <v>865</v>
      </c>
      <c r="G956" s="924" t="s">
        <v>862</v>
      </c>
      <c r="H956" s="924" t="s">
        <v>665</v>
      </c>
      <c r="I956" s="924" t="s">
        <v>787</v>
      </c>
      <c r="J956" s="924" t="s">
        <v>863</v>
      </c>
      <c r="K956" s="924" t="s">
        <v>866</v>
      </c>
      <c r="L956" s="925">
        <v>0.234242064412683</v>
      </c>
      <c r="M956" s="925">
        <v>1.1301196769864001E-3</v>
      </c>
    </row>
    <row r="957" spans="1:13" ht="11.25" customHeight="1" x14ac:dyDescent="0.2">
      <c r="A957" s="924" t="s">
        <v>853</v>
      </c>
      <c r="B957" s="924" t="s">
        <v>792</v>
      </c>
      <c r="C957" s="924" t="s">
        <v>1177</v>
      </c>
      <c r="D957" s="924" t="s">
        <v>855</v>
      </c>
      <c r="E957" s="924" t="s">
        <v>856</v>
      </c>
      <c r="F957" s="924" t="s">
        <v>861</v>
      </c>
      <c r="G957" s="924" t="s">
        <v>862</v>
      </c>
      <c r="H957" s="924" t="s">
        <v>665</v>
      </c>
      <c r="I957" s="924" t="s">
        <v>787</v>
      </c>
      <c r="J957" s="924" t="s">
        <v>863</v>
      </c>
      <c r="K957" s="924" t="s">
        <v>864</v>
      </c>
      <c r="L957" s="925">
        <v>6.1790807172656101E-2</v>
      </c>
      <c r="M957" s="925">
        <v>2.5388653943991802E-4</v>
      </c>
    </row>
    <row r="958" spans="1:13" ht="11.25" customHeight="1" x14ac:dyDescent="0.2">
      <c r="A958" s="924" t="s">
        <v>853</v>
      </c>
      <c r="B958" s="924" t="s">
        <v>792</v>
      </c>
      <c r="C958" s="924" t="s">
        <v>1177</v>
      </c>
      <c r="D958" s="924" t="s">
        <v>855</v>
      </c>
      <c r="E958" s="924" t="s">
        <v>856</v>
      </c>
      <c r="F958" s="924" t="s">
        <v>881</v>
      </c>
      <c r="G958" s="924" t="s">
        <v>862</v>
      </c>
      <c r="H958" s="924" t="s">
        <v>665</v>
      </c>
      <c r="I958" s="924" t="s">
        <v>787</v>
      </c>
      <c r="J958" s="924" t="s">
        <v>875</v>
      </c>
      <c r="K958" s="924" t="s">
        <v>882</v>
      </c>
      <c r="L958" s="925">
        <v>17.6769763231277</v>
      </c>
      <c r="M958" s="925">
        <v>8.4471501526422799E-2</v>
      </c>
    </row>
    <row r="959" spans="1:13" ht="11.25" customHeight="1" x14ac:dyDescent="0.2">
      <c r="A959" s="924" t="s">
        <v>853</v>
      </c>
      <c r="B959" s="924" t="s">
        <v>792</v>
      </c>
      <c r="C959" s="924" t="s">
        <v>1177</v>
      </c>
      <c r="D959" s="924" t="s">
        <v>855</v>
      </c>
      <c r="E959" s="924" t="s">
        <v>856</v>
      </c>
      <c r="F959" s="924" t="s">
        <v>937</v>
      </c>
      <c r="G959" s="924" t="s">
        <v>862</v>
      </c>
      <c r="H959" s="924" t="s">
        <v>665</v>
      </c>
      <c r="I959" s="924" t="s">
        <v>787</v>
      </c>
      <c r="J959" s="924" t="s">
        <v>863</v>
      </c>
      <c r="K959" s="924" t="s">
        <v>933</v>
      </c>
      <c r="L959" s="925">
        <v>133.81566703319501</v>
      </c>
      <c r="M959" s="925">
        <v>0.56997251883149103</v>
      </c>
    </row>
    <row r="960" spans="1:13" ht="11.25" customHeight="1" x14ac:dyDescent="0.2">
      <c r="A960" s="924" t="s">
        <v>853</v>
      </c>
      <c r="B960" s="924" t="s">
        <v>792</v>
      </c>
      <c r="C960" s="924" t="s">
        <v>1177</v>
      </c>
      <c r="D960" s="924" t="s">
        <v>855</v>
      </c>
      <c r="E960" s="924" t="s">
        <v>856</v>
      </c>
      <c r="F960" s="924" t="s">
        <v>894</v>
      </c>
      <c r="G960" s="924" t="s">
        <v>858</v>
      </c>
      <c r="H960" s="924" t="s">
        <v>836</v>
      </c>
      <c r="I960" s="924" t="s">
        <v>837</v>
      </c>
      <c r="J960" s="924" t="s">
        <v>859</v>
      </c>
      <c r="K960" s="924" t="s">
        <v>895</v>
      </c>
      <c r="L960" s="925">
        <v>77.472626924514799</v>
      </c>
      <c r="M960" s="925">
        <v>5.1317405959849804E-4</v>
      </c>
    </row>
    <row r="961" spans="1:13" ht="11.25" customHeight="1" x14ac:dyDescent="0.2">
      <c r="A961" s="924" t="s">
        <v>853</v>
      </c>
      <c r="B961" s="924" t="s">
        <v>792</v>
      </c>
      <c r="C961" s="924" t="s">
        <v>1177</v>
      </c>
      <c r="D961" s="924" t="s">
        <v>855</v>
      </c>
      <c r="E961" s="924" t="s">
        <v>856</v>
      </c>
      <c r="F961" s="924" t="s">
        <v>934</v>
      </c>
      <c r="G961" s="924" t="s">
        <v>862</v>
      </c>
      <c r="H961" s="924" t="s">
        <v>665</v>
      </c>
      <c r="I961" s="924" t="s">
        <v>787</v>
      </c>
      <c r="J961" s="924" t="s">
        <v>863</v>
      </c>
      <c r="K961" s="924" t="s">
        <v>935</v>
      </c>
      <c r="L961" s="925">
        <v>0.11338233947753899</v>
      </c>
      <c r="M961" s="925">
        <v>4.7662008637416902E-4</v>
      </c>
    </row>
    <row r="962" spans="1:13" ht="11.25" customHeight="1" x14ac:dyDescent="0.2">
      <c r="A962" s="924" t="s">
        <v>853</v>
      </c>
      <c r="B962" s="924" t="s">
        <v>792</v>
      </c>
      <c r="C962" s="924" t="s">
        <v>1177</v>
      </c>
      <c r="D962" s="924" t="s">
        <v>855</v>
      </c>
      <c r="E962" s="924" t="s">
        <v>856</v>
      </c>
      <c r="F962" s="924" t="s">
        <v>883</v>
      </c>
      <c r="G962" s="924" t="s">
        <v>858</v>
      </c>
      <c r="H962" s="924" t="s">
        <v>836</v>
      </c>
      <c r="I962" s="924" t="s">
        <v>837</v>
      </c>
      <c r="J962" s="924" t="s">
        <v>884</v>
      </c>
      <c r="K962" s="924" t="s">
        <v>885</v>
      </c>
      <c r="L962" s="925">
        <v>118.161397457123</v>
      </c>
      <c r="M962" s="925">
        <v>4.5321243297848897E-3</v>
      </c>
    </row>
    <row r="963" spans="1:13" ht="11.25" customHeight="1" x14ac:dyDescent="0.2">
      <c r="A963" s="924" t="s">
        <v>853</v>
      </c>
      <c r="B963" s="924" t="s">
        <v>792</v>
      </c>
      <c r="C963" s="924" t="s">
        <v>1177</v>
      </c>
      <c r="D963" s="924" t="s">
        <v>855</v>
      </c>
      <c r="E963" s="924" t="s">
        <v>856</v>
      </c>
      <c r="F963" s="924" t="s">
        <v>912</v>
      </c>
      <c r="G963" s="924" t="s">
        <v>858</v>
      </c>
      <c r="H963" s="924" t="s">
        <v>836</v>
      </c>
      <c r="I963" s="924" t="s">
        <v>837</v>
      </c>
      <c r="J963" s="924" t="s">
        <v>859</v>
      </c>
      <c r="K963" s="924" t="s">
        <v>913</v>
      </c>
      <c r="L963" s="925">
        <v>28.4441148638725</v>
      </c>
      <c r="M963" s="925">
        <v>3.1323912473268901E-4</v>
      </c>
    </row>
    <row r="964" spans="1:13" ht="11.25" customHeight="1" x14ac:dyDescent="0.2">
      <c r="A964" s="924" t="s">
        <v>853</v>
      </c>
      <c r="B964" s="924" t="s">
        <v>792</v>
      </c>
      <c r="C964" s="924" t="s">
        <v>1177</v>
      </c>
      <c r="D964" s="924" t="s">
        <v>855</v>
      </c>
      <c r="E964" s="924" t="s">
        <v>856</v>
      </c>
      <c r="F964" s="924" t="s">
        <v>888</v>
      </c>
      <c r="G964" s="924" t="s">
        <v>858</v>
      </c>
      <c r="H964" s="924" t="s">
        <v>836</v>
      </c>
      <c r="I964" s="924" t="s">
        <v>837</v>
      </c>
      <c r="J964" s="924" t="s">
        <v>859</v>
      </c>
      <c r="K964" s="924" t="s">
        <v>889</v>
      </c>
      <c r="L964" s="925">
        <v>4.6314198640175198E-2</v>
      </c>
      <c r="M964" s="925">
        <v>5.1102195899391203E-6</v>
      </c>
    </row>
    <row r="965" spans="1:13" ht="11.25" customHeight="1" x14ac:dyDescent="0.2">
      <c r="A965" s="924" t="s">
        <v>853</v>
      </c>
      <c r="B965" s="924" t="s">
        <v>792</v>
      </c>
      <c r="C965" s="924" t="s">
        <v>1177</v>
      </c>
      <c r="D965" s="924" t="s">
        <v>855</v>
      </c>
      <c r="E965" s="924" t="s">
        <v>856</v>
      </c>
      <c r="F965" s="924" t="s">
        <v>902</v>
      </c>
      <c r="G965" s="924" t="s">
        <v>858</v>
      </c>
      <c r="H965" s="924" t="s">
        <v>836</v>
      </c>
      <c r="I965" s="924" t="s">
        <v>837</v>
      </c>
      <c r="J965" s="924" t="s">
        <v>859</v>
      </c>
      <c r="K965" s="924" t="s">
        <v>903</v>
      </c>
      <c r="L965" s="925">
        <v>33.7688303589821</v>
      </c>
      <c r="M965" s="925">
        <v>5.8703107115576402E-4</v>
      </c>
    </row>
    <row r="966" spans="1:13" ht="11.25" customHeight="1" x14ac:dyDescent="0.2">
      <c r="A966" s="924" t="s">
        <v>853</v>
      </c>
      <c r="B966" s="924" t="s">
        <v>792</v>
      </c>
      <c r="C966" s="924" t="s">
        <v>1177</v>
      </c>
      <c r="D966" s="924" t="s">
        <v>855</v>
      </c>
      <c r="E966" s="924" t="s">
        <v>856</v>
      </c>
      <c r="F966" s="924" t="s">
        <v>892</v>
      </c>
      <c r="G966" s="924" t="s">
        <v>858</v>
      </c>
      <c r="H966" s="924" t="s">
        <v>836</v>
      </c>
      <c r="I966" s="924" t="s">
        <v>837</v>
      </c>
      <c r="J966" s="924" t="s">
        <v>859</v>
      </c>
      <c r="K966" s="924" t="s">
        <v>893</v>
      </c>
      <c r="L966" s="925">
        <v>71.204393684864002</v>
      </c>
      <c r="M966" s="925">
        <v>9.00722231619966E-4</v>
      </c>
    </row>
    <row r="967" spans="1:13" ht="11.25" customHeight="1" x14ac:dyDescent="0.2">
      <c r="A967" s="924" t="s">
        <v>853</v>
      </c>
      <c r="B967" s="924" t="s">
        <v>792</v>
      </c>
      <c r="C967" s="924" t="s">
        <v>1177</v>
      </c>
      <c r="D967" s="924" t="s">
        <v>855</v>
      </c>
      <c r="E967" s="924" t="s">
        <v>856</v>
      </c>
      <c r="F967" s="924" t="s">
        <v>890</v>
      </c>
      <c r="G967" s="924" t="s">
        <v>862</v>
      </c>
      <c r="H967" s="924" t="s">
        <v>665</v>
      </c>
      <c r="I967" s="924" t="s">
        <v>787</v>
      </c>
      <c r="J967" s="924" t="s">
        <v>859</v>
      </c>
      <c r="K967" s="924" t="s">
        <v>891</v>
      </c>
      <c r="L967" s="925">
        <v>1.38778857508441E-2</v>
      </c>
      <c r="M967" s="925">
        <v>4.9401119258618597E-4</v>
      </c>
    </row>
    <row r="968" spans="1:13" ht="11.25" customHeight="1" x14ac:dyDescent="0.2">
      <c r="A968" s="924" t="s">
        <v>853</v>
      </c>
      <c r="B968" s="924" t="s">
        <v>792</v>
      </c>
      <c r="C968" s="924" t="s">
        <v>1177</v>
      </c>
      <c r="D968" s="924" t="s">
        <v>855</v>
      </c>
      <c r="E968" s="924" t="s">
        <v>856</v>
      </c>
      <c r="F968" s="924" t="s">
        <v>896</v>
      </c>
      <c r="G968" s="924" t="s">
        <v>858</v>
      </c>
      <c r="H968" s="924" t="s">
        <v>836</v>
      </c>
      <c r="I968" s="924" t="s">
        <v>837</v>
      </c>
      <c r="J968" s="924" t="s">
        <v>859</v>
      </c>
      <c r="K968" s="924" t="s">
        <v>897</v>
      </c>
      <c r="L968" s="925">
        <v>4.2720883861184102</v>
      </c>
      <c r="M968" s="925">
        <v>6.9181417095442996E-5</v>
      </c>
    </row>
    <row r="969" spans="1:13" ht="11.25" customHeight="1" x14ac:dyDescent="0.2">
      <c r="A969" s="924" t="s">
        <v>853</v>
      </c>
      <c r="B969" s="924" t="s">
        <v>792</v>
      </c>
      <c r="C969" s="924" t="s">
        <v>1177</v>
      </c>
      <c r="D969" s="924" t="s">
        <v>855</v>
      </c>
      <c r="E969" s="924" t="s">
        <v>856</v>
      </c>
      <c r="F969" s="924" t="s">
        <v>898</v>
      </c>
      <c r="G969" s="924" t="s">
        <v>858</v>
      </c>
      <c r="H969" s="924" t="s">
        <v>836</v>
      </c>
      <c r="I969" s="924" t="s">
        <v>837</v>
      </c>
      <c r="J969" s="924" t="s">
        <v>859</v>
      </c>
      <c r="K969" s="924" t="s">
        <v>899</v>
      </c>
      <c r="L969" s="925">
        <v>2.6182309240102799</v>
      </c>
      <c r="M969" s="925">
        <v>4.5541574870355803E-5</v>
      </c>
    </row>
    <row r="970" spans="1:13" ht="11.25" customHeight="1" x14ac:dyDescent="0.2">
      <c r="A970" s="924" t="s">
        <v>853</v>
      </c>
      <c r="B970" s="924" t="s">
        <v>792</v>
      </c>
      <c r="C970" s="924" t="s">
        <v>1177</v>
      </c>
      <c r="D970" s="924" t="s">
        <v>855</v>
      </c>
      <c r="E970" s="924" t="s">
        <v>856</v>
      </c>
      <c r="F970" s="924" t="s">
        <v>900</v>
      </c>
      <c r="G970" s="924" t="s">
        <v>858</v>
      </c>
      <c r="H970" s="924" t="s">
        <v>836</v>
      </c>
      <c r="I970" s="924" t="s">
        <v>837</v>
      </c>
      <c r="J970" s="924" t="s">
        <v>859</v>
      </c>
      <c r="K970" s="924" t="s">
        <v>901</v>
      </c>
      <c r="L970" s="925">
        <v>7.8639351725578299</v>
      </c>
      <c r="M970" s="925">
        <v>3.42729351793025E-4</v>
      </c>
    </row>
    <row r="971" spans="1:13" ht="11.25" customHeight="1" x14ac:dyDescent="0.2">
      <c r="A971" s="924" t="s">
        <v>853</v>
      </c>
      <c r="B971" s="924" t="s">
        <v>792</v>
      </c>
      <c r="C971" s="924" t="s">
        <v>1177</v>
      </c>
      <c r="D971" s="924" t="s">
        <v>855</v>
      </c>
      <c r="E971" s="924" t="s">
        <v>856</v>
      </c>
      <c r="F971" s="924" t="s">
        <v>904</v>
      </c>
      <c r="G971" s="924" t="s">
        <v>858</v>
      </c>
      <c r="H971" s="924" t="s">
        <v>836</v>
      </c>
      <c r="I971" s="924" t="s">
        <v>837</v>
      </c>
      <c r="J971" s="924" t="s">
        <v>859</v>
      </c>
      <c r="K971" s="924" t="s">
        <v>905</v>
      </c>
      <c r="L971" s="925">
        <v>29.238370388746301</v>
      </c>
      <c r="M971" s="925">
        <v>5.5390462050297596E-4</v>
      </c>
    </row>
    <row r="972" spans="1:13" ht="11.25" customHeight="1" x14ac:dyDescent="0.2">
      <c r="A972" s="924" t="s">
        <v>853</v>
      </c>
      <c r="B972" s="924" t="s">
        <v>792</v>
      </c>
      <c r="C972" s="924" t="s">
        <v>1177</v>
      </c>
      <c r="D972" s="924" t="s">
        <v>855</v>
      </c>
      <c r="E972" s="924" t="s">
        <v>856</v>
      </c>
      <c r="F972" s="924" t="s">
        <v>906</v>
      </c>
      <c r="G972" s="924" t="s">
        <v>858</v>
      </c>
      <c r="H972" s="924" t="s">
        <v>836</v>
      </c>
      <c r="I972" s="924" t="s">
        <v>837</v>
      </c>
      <c r="J972" s="924" t="s">
        <v>859</v>
      </c>
      <c r="K972" s="924" t="s">
        <v>907</v>
      </c>
      <c r="L972" s="925">
        <v>288.55305290222202</v>
      </c>
      <c r="M972" s="925">
        <v>1.92103275861655E-3</v>
      </c>
    </row>
    <row r="973" spans="1:13" ht="11.25" customHeight="1" x14ac:dyDescent="0.2">
      <c r="A973" s="924" t="s">
        <v>853</v>
      </c>
      <c r="B973" s="924" t="s">
        <v>792</v>
      </c>
      <c r="C973" s="924" t="s">
        <v>1177</v>
      </c>
      <c r="D973" s="924" t="s">
        <v>855</v>
      </c>
      <c r="E973" s="924" t="s">
        <v>856</v>
      </c>
      <c r="F973" s="924" t="s">
        <v>857</v>
      </c>
      <c r="G973" s="924" t="s">
        <v>858</v>
      </c>
      <c r="H973" s="924" t="s">
        <v>836</v>
      </c>
      <c r="I973" s="924" t="s">
        <v>837</v>
      </c>
      <c r="J973" s="924" t="s">
        <v>859</v>
      </c>
      <c r="K973" s="924" t="s">
        <v>860</v>
      </c>
      <c r="L973" s="925">
        <v>0.76301712263375499</v>
      </c>
      <c r="M973" s="925">
        <v>7.0221529296587995E-5</v>
      </c>
    </row>
    <row r="974" spans="1:13" ht="11.25" customHeight="1" x14ac:dyDescent="0.2">
      <c r="A974" s="924" t="s">
        <v>853</v>
      </c>
      <c r="B974" s="924" t="s">
        <v>792</v>
      </c>
      <c r="C974" s="924" t="s">
        <v>1177</v>
      </c>
      <c r="D974" s="924" t="s">
        <v>855</v>
      </c>
      <c r="E974" s="924" t="s">
        <v>856</v>
      </c>
      <c r="F974" s="924" t="s">
        <v>936</v>
      </c>
      <c r="G974" s="924" t="s">
        <v>911</v>
      </c>
      <c r="H974" s="924" t="s">
        <v>665</v>
      </c>
      <c r="I974" s="924" t="s">
        <v>706</v>
      </c>
      <c r="J974" s="924" t="s">
        <v>863</v>
      </c>
      <c r="K974" s="924" t="s">
        <v>864</v>
      </c>
      <c r="L974" s="925">
        <v>4.6718183830380404</v>
      </c>
      <c r="M974" s="925">
        <v>2.17447287468531E-4</v>
      </c>
    </row>
    <row r="975" spans="1:13" ht="11.25" customHeight="1" x14ac:dyDescent="0.2">
      <c r="A975" s="924" t="s">
        <v>853</v>
      </c>
      <c r="B975" s="924" t="s">
        <v>792</v>
      </c>
      <c r="C975" s="924" t="s">
        <v>1177</v>
      </c>
      <c r="D975" s="924" t="s">
        <v>855</v>
      </c>
      <c r="E975" s="924" t="s">
        <v>856</v>
      </c>
      <c r="F975" s="924" t="s">
        <v>910</v>
      </c>
      <c r="G975" s="924" t="s">
        <v>911</v>
      </c>
      <c r="H975" s="924" t="s">
        <v>665</v>
      </c>
      <c r="I975" s="924" t="s">
        <v>706</v>
      </c>
      <c r="J975" s="924" t="s">
        <v>859</v>
      </c>
      <c r="K975" s="924" t="s">
        <v>905</v>
      </c>
      <c r="L975" s="925">
        <v>0.28446227707900101</v>
      </c>
      <c r="M975" s="925">
        <v>2.3254685379470199E-4</v>
      </c>
    </row>
    <row r="976" spans="1:13" ht="11.25" customHeight="1" x14ac:dyDescent="0.2">
      <c r="A976" s="924" t="s">
        <v>853</v>
      </c>
      <c r="B976" s="924" t="s">
        <v>792</v>
      </c>
      <c r="C976" s="924" t="s">
        <v>1177</v>
      </c>
      <c r="D976" s="924" t="s">
        <v>855</v>
      </c>
      <c r="E976" s="924" t="s">
        <v>856</v>
      </c>
      <c r="F976" s="924" t="s">
        <v>908</v>
      </c>
      <c r="G976" s="924" t="s">
        <v>858</v>
      </c>
      <c r="H976" s="924" t="s">
        <v>836</v>
      </c>
      <c r="I976" s="924" t="s">
        <v>837</v>
      </c>
      <c r="J976" s="924" t="s">
        <v>859</v>
      </c>
      <c r="K976" s="924" t="s">
        <v>909</v>
      </c>
      <c r="L976" s="925">
        <v>2.40064665675163</v>
      </c>
      <c r="M976" s="925">
        <v>5.0246428660472E-5</v>
      </c>
    </row>
    <row r="977" spans="1:13" ht="11.25" customHeight="1" x14ac:dyDescent="0.2">
      <c r="A977" s="924" t="s">
        <v>853</v>
      </c>
      <c r="B977" s="924" t="s">
        <v>792</v>
      </c>
      <c r="C977" s="924" t="s">
        <v>1177</v>
      </c>
      <c r="D977" s="924" t="s">
        <v>855</v>
      </c>
      <c r="E977" s="924" t="s">
        <v>856</v>
      </c>
      <c r="F977" s="924" t="s">
        <v>916</v>
      </c>
      <c r="G977" s="924" t="s">
        <v>911</v>
      </c>
      <c r="H977" s="924" t="s">
        <v>665</v>
      </c>
      <c r="I977" s="924" t="s">
        <v>706</v>
      </c>
      <c r="J977" s="924" t="s">
        <v>859</v>
      </c>
      <c r="K977" s="924" t="s">
        <v>909</v>
      </c>
      <c r="L977" s="925">
        <v>0.68031553737819195</v>
      </c>
      <c r="M977" s="925">
        <v>3.1487427975207497E-5</v>
      </c>
    </row>
    <row r="978" spans="1:13" ht="11.25" customHeight="1" x14ac:dyDescent="0.2">
      <c r="A978" s="924" t="s">
        <v>853</v>
      </c>
      <c r="B978" s="924" t="s">
        <v>792</v>
      </c>
      <c r="C978" s="924" t="s">
        <v>1177</v>
      </c>
      <c r="D978" s="924" t="s">
        <v>855</v>
      </c>
      <c r="E978" s="924" t="s">
        <v>856</v>
      </c>
      <c r="F978" s="924" t="s">
        <v>919</v>
      </c>
      <c r="G978" s="924" t="s">
        <v>911</v>
      </c>
      <c r="H978" s="924" t="s">
        <v>665</v>
      </c>
      <c r="I978" s="924" t="s">
        <v>706</v>
      </c>
      <c r="J978" s="924" t="s">
        <v>859</v>
      </c>
      <c r="K978" s="924" t="s">
        <v>920</v>
      </c>
      <c r="L978" s="925">
        <v>4.3540579616092097E-2</v>
      </c>
      <c r="M978" s="925">
        <v>1.2198467365109899E-5</v>
      </c>
    </row>
    <row r="979" spans="1:13" ht="11.25" customHeight="1" x14ac:dyDescent="0.2">
      <c r="A979" s="924" t="s">
        <v>853</v>
      </c>
      <c r="B979" s="924" t="s">
        <v>792</v>
      </c>
      <c r="C979" s="924" t="s">
        <v>1177</v>
      </c>
      <c r="D979" s="924" t="s">
        <v>855</v>
      </c>
      <c r="E979" s="924" t="s">
        <v>856</v>
      </c>
      <c r="F979" s="924" t="s">
        <v>921</v>
      </c>
      <c r="G979" s="924" t="s">
        <v>911</v>
      </c>
      <c r="H979" s="924" t="s">
        <v>665</v>
      </c>
      <c r="I979" s="924" t="s">
        <v>706</v>
      </c>
      <c r="J979" s="924" t="s">
        <v>859</v>
      </c>
      <c r="K979" s="924" t="s">
        <v>922</v>
      </c>
      <c r="L979" s="925">
        <v>0.46236260235309601</v>
      </c>
      <c r="M979" s="925">
        <v>6.1755548721009705E-5</v>
      </c>
    </row>
    <row r="980" spans="1:13" ht="11.25" customHeight="1" x14ac:dyDescent="0.2">
      <c r="A980" s="924" t="s">
        <v>853</v>
      </c>
      <c r="B980" s="924" t="s">
        <v>792</v>
      </c>
      <c r="C980" s="924" t="s">
        <v>1177</v>
      </c>
      <c r="D980" s="924" t="s">
        <v>855</v>
      </c>
      <c r="E980" s="924" t="s">
        <v>856</v>
      </c>
      <c r="F980" s="924" t="s">
        <v>923</v>
      </c>
      <c r="G980" s="924" t="s">
        <v>911</v>
      </c>
      <c r="H980" s="924" t="s">
        <v>665</v>
      </c>
      <c r="I980" s="924" t="s">
        <v>706</v>
      </c>
      <c r="J980" s="924" t="s">
        <v>859</v>
      </c>
      <c r="K980" s="924" t="s">
        <v>924</v>
      </c>
      <c r="L980" s="925">
        <v>1.13521779607981</v>
      </c>
      <c r="M980" s="925">
        <v>6.01847870029815E-5</v>
      </c>
    </row>
    <row r="981" spans="1:13" ht="11.25" customHeight="1" x14ac:dyDescent="0.2">
      <c r="A981" s="924" t="s">
        <v>853</v>
      </c>
      <c r="B981" s="924" t="s">
        <v>792</v>
      </c>
      <c r="C981" s="924" t="s">
        <v>1177</v>
      </c>
      <c r="D981" s="924" t="s">
        <v>855</v>
      </c>
      <c r="E981" s="924" t="s">
        <v>856</v>
      </c>
      <c r="F981" s="924" t="s">
        <v>925</v>
      </c>
      <c r="G981" s="924" t="s">
        <v>911</v>
      </c>
      <c r="H981" s="924" t="s">
        <v>665</v>
      </c>
      <c r="I981" s="924" t="s">
        <v>706</v>
      </c>
      <c r="J981" s="924" t="s">
        <v>859</v>
      </c>
      <c r="K981" s="924" t="s">
        <v>926</v>
      </c>
      <c r="L981" s="925">
        <v>0.119992629042827</v>
      </c>
      <c r="M981" s="925">
        <v>5.5318485294719696E-6</v>
      </c>
    </row>
    <row r="982" spans="1:13" ht="11.25" customHeight="1" x14ac:dyDescent="0.2">
      <c r="A982" s="924" t="s">
        <v>853</v>
      </c>
      <c r="B982" s="924" t="s">
        <v>792</v>
      </c>
      <c r="C982" s="924" t="s">
        <v>1177</v>
      </c>
      <c r="D982" s="924" t="s">
        <v>855</v>
      </c>
      <c r="E982" s="924" t="s">
        <v>856</v>
      </c>
      <c r="F982" s="924" t="s">
        <v>927</v>
      </c>
      <c r="G982" s="924" t="s">
        <v>911</v>
      </c>
      <c r="H982" s="924" t="s">
        <v>665</v>
      </c>
      <c r="I982" s="924" t="s">
        <v>706</v>
      </c>
      <c r="J982" s="924" t="s">
        <v>859</v>
      </c>
      <c r="K982" s="924" t="s">
        <v>928</v>
      </c>
      <c r="L982" s="925">
        <v>0.97563009522855304</v>
      </c>
      <c r="M982" s="925">
        <v>2.89350964862933E-4</v>
      </c>
    </row>
    <row r="983" spans="1:13" ht="11.25" customHeight="1" x14ac:dyDescent="0.2">
      <c r="A983" s="924" t="s">
        <v>853</v>
      </c>
      <c r="B983" s="924" t="s">
        <v>792</v>
      </c>
      <c r="C983" s="924" t="s">
        <v>1177</v>
      </c>
      <c r="D983" s="924" t="s">
        <v>855</v>
      </c>
      <c r="E983" s="924" t="s">
        <v>856</v>
      </c>
      <c r="F983" s="924" t="s">
        <v>929</v>
      </c>
      <c r="G983" s="924" t="s">
        <v>911</v>
      </c>
      <c r="H983" s="924" t="s">
        <v>665</v>
      </c>
      <c r="I983" s="924" t="s">
        <v>706</v>
      </c>
      <c r="J983" s="924" t="s">
        <v>859</v>
      </c>
      <c r="K983" s="924" t="s">
        <v>891</v>
      </c>
      <c r="L983" s="925">
        <v>0.401667533908039</v>
      </c>
      <c r="M983" s="925">
        <v>1.6093572043018899E-4</v>
      </c>
    </row>
    <row r="984" spans="1:13" ht="11.25" customHeight="1" x14ac:dyDescent="0.2">
      <c r="A984" s="924" t="s">
        <v>853</v>
      </c>
      <c r="B984" s="924" t="s">
        <v>792</v>
      </c>
      <c r="C984" s="924" t="s">
        <v>1177</v>
      </c>
      <c r="D984" s="924" t="s">
        <v>855</v>
      </c>
      <c r="E984" s="924" t="s">
        <v>856</v>
      </c>
      <c r="F984" s="924" t="s">
        <v>930</v>
      </c>
      <c r="G984" s="924" t="s">
        <v>911</v>
      </c>
      <c r="H984" s="924" t="s">
        <v>665</v>
      </c>
      <c r="I984" s="924" t="s">
        <v>706</v>
      </c>
      <c r="J984" s="924" t="s">
        <v>863</v>
      </c>
      <c r="K984" s="924" t="s">
        <v>931</v>
      </c>
      <c r="L984" s="925">
        <v>21.337439239025102</v>
      </c>
      <c r="M984" s="925">
        <v>4.3484099396664498E-3</v>
      </c>
    </row>
    <row r="985" spans="1:13" ht="11.25" customHeight="1" x14ac:dyDescent="0.2">
      <c r="A985" s="924" t="s">
        <v>853</v>
      </c>
      <c r="B985" s="924" t="s">
        <v>792</v>
      </c>
      <c r="C985" s="924" t="s">
        <v>1177</v>
      </c>
      <c r="D985" s="924" t="s">
        <v>855</v>
      </c>
      <c r="E985" s="924" t="s">
        <v>856</v>
      </c>
      <c r="F985" s="924" t="s">
        <v>917</v>
      </c>
      <c r="G985" s="924" t="s">
        <v>911</v>
      </c>
      <c r="H985" s="924" t="s">
        <v>665</v>
      </c>
      <c r="I985" s="924" t="s">
        <v>706</v>
      </c>
      <c r="J985" s="924" t="s">
        <v>859</v>
      </c>
      <c r="K985" s="924" t="s">
        <v>918</v>
      </c>
      <c r="L985" s="925">
        <v>0.26388084725476801</v>
      </c>
      <c r="M985" s="925">
        <v>8.52039653977954E-5</v>
      </c>
    </row>
    <row r="986" spans="1:13" ht="11.25" customHeight="1" x14ac:dyDescent="0.2">
      <c r="A986" s="924" t="s">
        <v>853</v>
      </c>
      <c r="B986" s="924" t="s">
        <v>792</v>
      </c>
      <c r="C986" s="924" t="s">
        <v>1177</v>
      </c>
      <c r="D986" s="924" t="s">
        <v>855</v>
      </c>
      <c r="E986" s="924" t="s">
        <v>856</v>
      </c>
      <c r="F986" s="924" t="s">
        <v>954</v>
      </c>
      <c r="G986" s="924" t="s">
        <v>911</v>
      </c>
      <c r="H986" s="924" t="s">
        <v>665</v>
      </c>
      <c r="I986" s="924" t="s">
        <v>706</v>
      </c>
      <c r="J986" s="924" t="s">
        <v>863</v>
      </c>
      <c r="K986" s="924" t="s">
        <v>935</v>
      </c>
      <c r="L986" s="925">
        <v>14.8113372772932</v>
      </c>
      <c r="M986" s="925">
        <v>6.9932334736222401E-4</v>
      </c>
    </row>
    <row r="987" spans="1:13" ht="11.25" customHeight="1" x14ac:dyDescent="0.2">
      <c r="A987" s="924" t="s">
        <v>853</v>
      </c>
      <c r="B987" s="924" t="s">
        <v>792</v>
      </c>
      <c r="C987" s="924" t="s">
        <v>1177</v>
      </c>
      <c r="D987" s="924" t="s">
        <v>855</v>
      </c>
      <c r="E987" s="924" t="s">
        <v>856</v>
      </c>
      <c r="F987" s="924" t="s">
        <v>951</v>
      </c>
      <c r="G987" s="924" t="s">
        <v>911</v>
      </c>
      <c r="H987" s="924" t="s">
        <v>665</v>
      </c>
      <c r="I987" s="924" t="s">
        <v>706</v>
      </c>
      <c r="J987" s="924" t="s">
        <v>875</v>
      </c>
      <c r="K987" s="924" t="s">
        <v>952</v>
      </c>
      <c r="L987" s="925">
        <v>9.2474993201903999E-2</v>
      </c>
      <c r="M987" s="925">
        <v>5.7499788614911998E-6</v>
      </c>
    </row>
    <row r="988" spans="1:13" ht="11.25" customHeight="1" x14ac:dyDescent="0.2">
      <c r="A988" s="924" t="s">
        <v>853</v>
      </c>
      <c r="B988" s="924" t="s">
        <v>792</v>
      </c>
      <c r="C988" s="924" t="s">
        <v>1177</v>
      </c>
      <c r="D988" s="924" t="s">
        <v>855</v>
      </c>
      <c r="E988" s="924" t="s">
        <v>856</v>
      </c>
      <c r="F988" s="924" t="s">
        <v>914</v>
      </c>
      <c r="G988" s="924" t="s">
        <v>911</v>
      </c>
      <c r="H988" s="924" t="s">
        <v>665</v>
      </c>
      <c r="I988" s="924" t="s">
        <v>706</v>
      </c>
      <c r="J988" s="924" t="s">
        <v>863</v>
      </c>
      <c r="K988" s="924" t="s">
        <v>915</v>
      </c>
      <c r="L988" s="925">
        <v>1.13318146951497</v>
      </c>
      <c r="M988" s="925">
        <v>1.6169115284014901E-4</v>
      </c>
    </row>
    <row r="989" spans="1:13" ht="11.25" customHeight="1" x14ac:dyDescent="0.2">
      <c r="A989" s="924" t="s">
        <v>853</v>
      </c>
      <c r="B989" s="924" t="s">
        <v>792</v>
      </c>
      <c r="C989" s="924" t="s">
        <v>1177</v>
      </c>
      <c r="D989" s="924" t="s">
        <v>855</v>
      </c>
      <c r="E989" s="924" t="s">
        <v>856</v>
      </c>
      <c r="F989" s="924" t="s">
        <v>938</v>
      </c>
      <c r="G989" s="924" t="s">
        <v>911</v>
      </c>
      <c r="H989" s="924" t="s">
        <v>665</v>
      </c>
      <c r="I989" s="924" t="s">
        <v>706</v>
      </c>
      <c r="J989" s="924" t="s">
        <v>863</v>
      </c>
      <c r="K989" s="924" t="s">
        <v>868</v>
      </c>
      <c r="L989" s="925">
        <v>9.1850040107965505</v>
      </c>
      <c r="M989" s="925">
        <v>4.2441891946509702E-4</v>
      </c>
    </row>
    <row r="990" spans="1:13" ht="11.25" customHeight="1" x14ac:dyDescent="0.2">
      <c r="A990" s="924" t="s">
        <v>853</v>
      </c>
      <c r="B990" s="924" t="s">
        <v>792</v>
      </c>
      <c r="C990" s="924" t="s">
        <v>1177</v>
      </c>
      <c r="D990" s="924" t="s">
        <v>855</v>
      </c>
      <c r="E990" s="924" t="s">
        <v>856</v>
      </c>
      <c r="F990" s="924" t="s">
        <v>939</v>
      </c>
      <c r="G990" s="924" t="s">
        <v>911</v>
      </c>
      <c r="H990" s="924" t="s">
        <v>665</v>
      </c>
      <c r="I990" s="924" t="s">
        <v>706</v>
      </c>
      <c r="J990" s="924" t="s">
        <v>940</v>
      </c>
      <c r="K990" s="924" t="s">
        <v>941</v>
      </c>
      <c r="L990" s="925">
        <v>8.8584495484828896</v>
      </c>
      <c r="M990" s="925">
        <v>4.2618844759090301E-4</v>
      </c>
    </row>
    <row r="991" spans="1:13" ht="11.25" customHeight="1" x14ac:dyDescent="0.2">
      <c r="A991" s="924" t="s">
        <v>853</v>
      </c>
      <c r="B991" s="924" t="s">
        <v>792</v>
      </c>
      <c r="C991" s="924" t="s">
        <v>1177</v>
      </c>
      <c r="D991" s="924" t="s">
        <v>855</v>
      </c>
      <c r="E991" s="924" t="s">
        <v>856</v>
      </c>
      <c r="F991" s="924" t="s">
        <v>942</v>
      </c>
      <c r="G991" s="924" t="s">
        <v>911</v>
      </c>
      <c r="H991" s="924" t="s">
        <v>665</v>
      </c>
      <c r="I991" s="924" t="s">
        <v>706</v>
      </c>
      <c r="J991" s="924" t="s">
        <v>870</v>
      </c>
      <c r="K991" s="924" t="s">
        <v>871</v>
      </c>
      <c r="L991" s="925">
        <v>5.7975887844804702E-2</v>
      </c>
      <c r="M991" s="925">
        <v>3.6183228154129699E-5</v>
      </c>
    </row>
    <row r="992" spans="1:13" ht="11.25" customHeight="1" x14ac:dyDescent="0.2">
      <c r="A992" s="924" t="s">
        <v>853</v>
      </c>
      <c r="B992" s="924" t="s">
        <v>792</v>
      </c>
      <c r="C992" s="924" t="s">
        <v>1177</v>
      </c>
      <c r="D992" s="924" t="s">
        <v>855</v>
      </c>
      <c r="E992" s="924" t="s">
        <v>856</v>
      </c>
      <c r="F992" s="924" t="s">
        <v>943</v>
      </c>
      <c r="G992" s="924" t="s">
        <v>911</v>
      </c>
      <c r="H992" s="924" t="s">
        <v>665</v>
      </c>
      <c r="I992" s="924" t="s">
        <v>706</v>
      </c>
      <c r="J992" s="924" t="s">
        <v>870</v>
      </c>
      <c r="K992" s="924" t="s">
        <v>873</v>
      </c>
      <c r="L992" s="925">
        <v>0.11784457214525899</v>
      </c>
      <c r="M992" s="925">
        <v>5.3514208708804702E-6</v>
      </c>
    </row>
    <row r="993" spans="1:13" ht="11.25" customHeight="1" x14ac:dyDescent="0.2">
      <c r="A993" s="924" t="s">
        <v>853</v>
      </c>
      <c r="B993" s="924" t="s">
        <v>792</v>
      </c>
      <c r="C993" s="924" t="s">
        <v>1177</v>
      </c>
      <c r="D993" s="924" t="s">
        <v>855</v>
      </c>
      <c r="E993" s="924" t="s">
        <v>856</v>
      </c>
      <c r="F993" s="924" t="s">
        <v>944</v>
      </c>
      <c r="G993" s="924" t="s">
        <v>911</v>
      </c>
      <c r="H993" s="924" t="s">
        <v>665</v>
      </c>
      <c r="I993" s="924" t="s">
        <v>706</v>
      </c>
      <c r="J993" s="924" t="s">
        <v>875</v>
      </c>
      <c r="K993" s="924" t="s">
        <v>876</v>
      </c>
      <c r="L993" s="925">
        <v>23.028828859329199</v>
      </c>
      <c r="M993" s="925">
        <v>7.2809169178071897E-3</v>
      </c>
    </row>
    <row r="994" spans="1:13" ht="11.25" customHeight="1" x14ac:dyDescent="0.2">
      <c r="A994" s="924" t="s">
        <v>853</v>
      </c>
      <c r="B994" s="924" t="s">
        <v>792</v>
      </c>
      <c r="C994" s="924" t="s">
        <v>1177</v>
      </c>
      <c r="D994" s="924" t="s">
        <v>855</v>
      </c>
      <c r="E994" s="924" t="s">
        <v>856</v>
      </c>
      <c r="F994" s="924" t="s">
        <v>945</v>
      </c>
      <c r="G994" s="924" t="s">
        <v>911</v>
      </c>
      <c r="H994" s="924" t="s">
        <v>665</v>
      </c>
      <c r="I994" s="924" t="s">
        <v>706</v>
      </c>
      <c r="J994" s="924" t="s">
        <v>875</v>
      </c>
      <c r="K994" s="924" t="s">
        <v>878</v>
      </c>
      <c r="L994" s="925">
        <v>5.0852925181388899</v>
      </c>
      <c r="M994" s="925">
        <v>7.5231759410598897E-4</v>
      </c>
    </row>
    <row r="995" spans="1:13" ht="11.25" customHeight="1" x14ac:dyDescent="0.2">
      <c r="A995" s="924" t="s">
        <v>853</v>
      </c>
      <c r="B995" s="924" t="s">
        <v>792</v>
      </c>
      <c r="C995" s="924" t="s">
        <v>1177</v>
      </c>
      <c r="D995" s="924" t="s">
        <v>855</v>
      </c>
      <c r="E995" s="924" t="s">
        <v>856</v>
      </c>
      <c r="F995" s="924" t="s">
        <v>946</v>
      </c>
      <c r="G995" s="924" t="s">
        <v>911</v>
      </c>
      <c r="H995" s="924" t="s">
        <v>665</v>
      </c>
      <c r="I995" s="924" t="s">
        <v>706</v>
      </c>
      <c r="J995" s="924" t="s">
        <v>875</v>
      </c>
      <c r="K995" s="924" t="s">
        <v>880</v>
      </c>
      <c r="L995" s="925">
        <v>6.01155755668879</v>
      </c>
      <c r="M995" s="925">
        <v>3.8260455298200202E-4</v>
      </c>
    </row>
    <row r="996" spans="1:13" ht="11.25" customHeight="1" x14ac:dyDescent="0.2">
      <c r="A996" s="924" t="s">
        <v>853</v>
      </c>
      <c r="B996" s="924" t="s">
        <v>792</v>
      </c>
      <c r="C996" s="924" t="s">
        <v>1177</v>
      </c>
      <c r="D996" s="924" t="s">
        <v>855</v>
      </c>
      <c r="E996" s="924" t="s">
        <v>856</v>
      </c>
      <c r="F996" s="924" t="s">
        <v>947</v>
      </c>
      <c r="G996" s="924" t="s">
        <v>911</v>
      </c>
      <c r="H996" s="924" t="s">
        <v>665</v>
      </c>
      <c r="I996" s="924" t="s">
        <v>706</v>
      </c>
      <c r="J996" s="924" t="s">
        <v>875</v>
      </c>
      <c r="K996" s="924" t="s">
        <v>948</v>
      </c>
      <c r="L996" s="925">
        <v>7.4720414951443699</v>
      </c>
      <c r="M996" s="925">
        <v>5.7100399521914401E-4</v>
      </c>
    </row>
    <row r="997" spans="1:13" ht="11.25" customHeight="1" x14ac:dyDescent="0.2">
      <c r="A997" s="924" t="s">
        <v>853</v>
      </c>
      <c r="B997" s="924" t="s">
        <v>792</v>
      </c>
      <c r="C997" s="924" t="s">
        <v>1177</v>
      </c>
      <c r="D997" s="924" t="s">
        <v>855</v>
      </c>
      <c r="E997" s="924" t="s">
        <v>856</v>
      </c>
      <c r="F997" s="924" t="s">
        <v>949</v>
      </c>
      <c r="G997" s="924" t="s">
        <v>911</v>
      </c>
      <c r="H997" s="924" t="s">
        <v>665</v>
      </c>
      <c r="I997" s="924" t="s">
        <v>706</v>
      </c>
      <c r="J997" s="924" t="s">
        <v>875</v>
      </c>
      <c r="K997" s="924" t="s">
        <v>950</v>
      </c>
      <c r="L997" s="925">
        <v>0.100191163946874</v>
      </c>
      <c r="M997" s="925">
        <v>2.1489237433058902E-5</v>
      </c>
    </row>
    <row r="998" spans="1:13" ht="11.25" customHeight="1" x14ac:dyDescent="0.2">
      <c r="A998" s="924" t="s">
        <v>853</v>
      </c>
      <c r="B998" s="924" t="s">
        <v>792</v>
      </c>
      <c r="C998" s="924" t="s">
        <v>1177</v>
      </c>
      <c r="D998" s="924" t="s">
        <v>855</v>
      </c>
      <c r="E998" s="924" t="s">
        <v>856</v>
      </c>
      <c r="F998" s="924" t="s">
        <v>932</v>
      </c>
      <c r="G998" s="924" t="s">
        <v>911</v>
      </c>
      <c r="H998" s="924" t="s">
        <v>665</v>
      </c>
      <c r="I998" s="924" t="s">
        <v>706</v>
      </c>
      <c r="J998" s="924" t="s">
        <v>863</v>
      </c>
      <c r="K998" s="924" t="s">
        <v>933</v>
      </c>
      <c r="L998" s="925">
        <v>1985.0589160919201</v>
      </c>
      <c r="M998" s="925">
        <v>9.5935404184274403E-2</v>
      </c>
    </row>
    <row r="999" spans="1:13" ht="11.25" customHeight="1" x14ac:dyDescent="0.2">
      <c r="A999" s="924" t="s">
        <v>853</v>
      </c>
      <c r="B999" s="924" t="s">
        <v>792</v>
      </c>
      <c r="C999" s="924" t="s">
        <v>1177</v>
      </c>
      <c r="D999" s="924" t="s">
        <v>855</v>
      </c>
      <c r="E999" s="924" t="s">
        <v>856</v>
      </c>
      <c r="F999" s="924" t="s">
        <v>969</v>
      </c>
      <c r="G999" s="924" t="s">
        <v>858</v>
      </c>
      <c r="H999" s="924" t="s">
        <v>836</v>
      </c>
      <c r="I999" s="924" t="s">
        <v>837</v>
      </c>
      <c r="J999" s="924" t="s">
        <v>875</v>
      </c>
      <c r="K999" s="924" t="s">
        <v>878</v>
      </c>
      <c r="L999" s="925">
        <v>42.541215479373903</v>
      </c>
      <c r="M999" s="925">
        <v>1.1268911296582499E-3</v>
      </c>
    </row>
    <row r="1000" spans="1:13" ht="11.25" customHeight="1" x14ac:dyDescent="0.2">
      <c r="A1000" s="924" t="s">
        <v>853</v>
      </c>
      <c r="B1000" s="924" t="s">
        <v>792</v>
      </c>
      <c r="C1000" s="924" t="s">
        <v>1177</v>
      </c>
      <c r="D1000" s="924" t="s">
        <v>855</v>
      </c>
      <c r="E1000" s="924" t="s">
        <v>856</v>
      </c>
      <c r="F1000" s="924" t="s">
        <v>1035</v>
      </c>
      <c r="G1000" s="924" t="s">
        <v>858</v>
      </c>
      <c r="H1000" s="924" t="s">
        <v>836</v>
      </c>
      <c r="I1000" s="924" t="s">
        <v>837</v>
      </c>
      <c r="J1000" s="924" t="s">
        <v>870</v>
      </c>
      <c r="K1000" s="924" t="s">
        <v>1036</v>
      </c>
      <c r="L1000" s="925">
        <v>0.118048723932588</v>
      </c>
      <c r="M1000" s="925">
        <v>1.44576291015164E-5</v>
      </c>
    </row>
    <row r="1001" spans="1:13" ht="11.25" customHeight="1" x14ac:dyDescent="0.2">
      <c r="A1001" s="924" t="s">
        <v>853</v>
      </c>
      <c r="B1001" s="924" t="s">
        <v>792</v>
      </c>
      <c r="C1001" s="924" t="s">
        <v>1177</v>
      </c>
      <c r="D1001" s="924" t="s">
        <v>855</v>
      </c>
      <c r="E1001" s="924" t="s">
        <v>856</v>
      </c>
      <c r="F1001" s="924" t="s">
        <v>975</v>
      </c>
      <c r="G1001" s="924" t="s">
        <v>858</v>
      </c>
      <c r="H1001" s="924" t="s">
        <v>836</v>
      </c>
      <c r="I1001" s="924" t="s">
        <v>837</v>
      </c>
      <c r="J1001" s="924" t="s">
        <v>870</v>
      </c>
      <c r="K1001" s="924" t="s">
        <v>976</v>
      </c>
      <c r="L1001" s="925">
        <v>4904.9104042053204</v>
      </c>
      <c r="M1001" s="925">
        <v>7.34090981095505E-2</v>
      </c>
    </row>
    <row r="1002" spans="1:13" ht="11.25" customHeight="1" x14ac:dyDescent="0.2">
      <c r="A1002" s="924" t="s">
        <v>853</v>
      </c>
      <c r="B1002" s="924" t="s">
        <v>792</v>
      </c>
      <c r="C1002" s="924" t="s">
        <v>1177</v>
      </c>
      <c r="D1002" s="924" t="s">
        <v>855</v>
      </c>
      <c r="E1002" s="924" t="s">
        <v>856</v>
      </c>
      <c r="F1002" s="924" t="s">
        <v>1018</v>
      </c>
      <c r="G1002" s="924" t="s">
        <v>858</v>
      </c>
      <c r="H1002" s="924" t="s">
        <v>836</v>
      </c>
      <c r="I1002" s="924" t="s">
        <v>837</v>
      </c>
      <c r="J1002" s="924" t="s">
        <v>870</v>
      </c>
      <c r="K1002" s="924" t="s">
        <v>1019</v>
      </c>
      <c r="L1002" s="925">
        <v>439.90434968471499</v>
      </c>
      <c r="M1002" s="925">
        <v>3.3060712542294399E-3</v>
      </c>
    </row>
    <row r="1003" spans="1:13" ht="11.25" customHeight="1" x14ac:dyDescent="0.2">
      <c r="A1003" s="924" t="s">
        <v>853</v>
      </c>
      <c r="B1003" s="924" t="s">
        <v>792</v>
      </c>
      <c r="C1003" s="924" t="s">
        <v>1177</v>
      </c>
      <c r="D1003" s="924" t="s">
        <v>855</v>
      </c>
      <c r="E1003" s="924" t="s">
        <v>856</v>
      </c>
      <c r="F1003" s="924" t="s">
        <v>1015</v>
      </c>
      <c r="G1003" s="924" t="s">
        <v>858</v>
      </c>
      <c r="H1003" s="924" t="s">
        <v>836</v>
      </c>
      <c r="I1003" s="924" t="s">
        <v>837</v>
      </c>
      <c r="J1003" s="924" t="s">
        <v>870</v>
      </c>
      <c r="K1003" s="924" t="s">
        <v>1016</v>
      </c>
      <c r="L1003" s="925">
        <v>2.4360225219279501</v>
      </c>
      <c r="M1003" s="925">
        <v>2.9597070687170701E-5</v>
      </c>
    </row>
    <row r="1004" spans="1:13" ht="11.25" customHeight="1" x14ac:dyDescent="0.2">
      <c r="A1004" s="924" t="s">
        <v>853</v>
      </c>
      <c r="B1004" s="924" t="s">
        <v>792</v>
      </c>
      <c r="C1004" s="924" t="s">
        <v>1177</v>
      </c>
      <c r="D1004" s="924" t="s">
        <v>855</v>
      </c>
      <c r="E1004" s="924" t="s">
        <v>856</v>
      </c>
      <c r="F1004" s="924" t="s">
        <v>958</v>
      </c>
      <c r="G1004" s="924" t="s">
        <v>858</v>
      </c>
      <c r="H1004" s="924" t="s">
        <v>836</v>
      </c>
      <c r="I1004" s="924" t="s">
        <v>837</v>
      </c>
      <c r="J1004" s="924" t="s">
        <v>870</v>
      </c>
      <c r="K1004" s="924" t="s">
        <v>959</v>
      </c>
      <c r="L1004" s="925">
        <v>0.51169381372164902</v>
      </c>
      <c r="M1004" s="925">
        <v>4.7685904309424696E-6</v>
      </c>
    </row>
    <row r="1005" spans="1:13" ht="11.25" customHeight="1" x14ac:dyDescent="0.2">
      <c r="A1005" s="924" t="s">
        <v>853</v>
      </c>
      <c r="B1005" s="924" t="s">
        <v>792</v>
      </c>
      <c r="C1005" s="924" t="s">
        <v>1177</v>
      </c>
      <c r="D1005" s="924" t="s">
        <v>855</v>
      </c>
      <c r="E1005" s="924" t="s">
        <v>856</v>
      </c>
      <c r="F1005" s="924" t="s">
        <v>960</v>
      </c>
      <c r="G1005" s="924" t="s">
        <v>858</v>
      </c>
      <c r="H1005" s="924" t="s">
        <v>836</v>
      </c>
      <c r="I1005" s="924" t="s">
        <v>837</v>
      </c>
      <c r="J1005" s="924" t="s">
        <v>870</v>
      </c>
      <c r="K1005" s="924" t="s">
        <v>961</v>
      </c>
      <c r="L1005" s="925">
        <v>37.318982630968101</v>
      </c>
      <c r="M1005" s="925">
        <v>3.3111598028412502E-4</v>
      </c>
    </row>
    <row r="1006" spans="1:13" ht="11.25" customHeight="1" x14ac:dyDescent="0.2">
      <c r="A1006" s="924" t="s">
        <v>853</v>
      </c>
      <c r="B1006" s="924" t="s">
        <v>792</v>
      </c>
      <c r="C1006" s="924" t="s">
        <v>1177</v>
      </c>
      <c r="D1006" s="924" t="s">
        <v>855</v>
      </c>
      <c r="E1006" s="924" t="s">
        <v>856</v>
      </c>
      <c r="F1006" s="924" t="s">
        <v>962</v>
      </c>
      <c r="G1006" s="924" t="s">
        <v>858</v>
      </c>
      <c r="H1006" s="924" t="s">
        <v>836</v>
      </c>
      <c r="I1006" s="924" t="s">
        <v>837</v>
      </c>
      <c r="J1006" s="924" t="s">
        <v>870</v>
      </c>
      <c r="K1006" s="924" t="s">
        <v>963</v>
      </c>
      <c r="L1006" s="925">
        <v>0.10321811834001</v>
      </c>
      <c r="M1006" s="925">
        <v>7.3363067190981803E-7</v>
      </c>
    </row>
    <row r="1007" spans="1:13" ht="11.25" customHeight="1" x14ac:dyDescent="0.2">
      <c r="A1007" s="924" t="s">
        <v>853</v>
      </c>
      <c r="B1007" s="924" t="s">
        <v>792</v>
      </c>
      <c r="C1007" s="924" t="s">
        <v>1177</v>
      </c>
      <c r="D1007" s="924" t="s">
        <v>855</v>
      </c>
      <c r="E1007" s="924" t="s">
        <v>856</v>
      </c>
      <c r="F1007" s="924" t="s">
        <v>964</v>
      </c>
      <c r="G1007" s="924" t="s">
        <v>858</v>
      </c>
      <c r="H1007" s="924" t="s">
        <v>836</v>
      </c>
      <c r="I1007" s="924" t="s">
        <v>837</v>
      </c>
      <c r="J1007" s="924" t="s">
        <v>870</v>
      </c>
      <c r="K1007" s="924" t="s">
        <v>965</v>
      </c>
      <c r="L1007" s="925">
        <v>34.500068642198997</v>
      </c>
      <c r="M1007" s="925">
        <v>3.1676302226557601E-4</v>
      </c>
    </row>
    <row r="1008" spans="1:13" ht="11.25" customHeight="1" x14ac:dyDescent="0.2">
      <c r="A1008" s="924" t="s">
        <v>853</v>
      </c>
      <c r="B1008" s="924" t="s">
        <v>792</v>
      </c>
      <c r="C1008" s="924" t="s">
        <v>1177</v>
      </c>
      <c r="D1008" s="924" t="s">
        <v>855</v>
      </c>
      <c r="E1008" s="924" t="s">
        <v>856</v>
      </c>
      <c r="F1008" s="924" t="s">
        <v>966</v>
      </c>
      <c r="G1008" s="924" t="s">
        <v>858</v>
      </c>
      <c r="H1008" s="924" t="s">
        <v>836</v>
      </c>
      <c r="I1008" s="924" t="s">
        <v>837</v>
      </c>
      <c r="J1008" s="924" t="s">
        <v>870</v>
      </c>
      <c r="K1008" s="924" t="s">
        <v>871</v>
      </c>
      <c r="L1008" s="925">
        <v>95.997641474008603</v>
      </c>
      <c r="M1008" s="925">
        <v>8.3414121712976897E-4</v>
      </c>
    </row>
    <row r="1009" spans="1:13" ht="11.25" customHeight="1" x14ac:dyDescent="0.2">
      <c r="A1009" s="924" t="s">
        <v>853</v>
      </c>
      <c r="B1009" s="924" t="s">
        <v>792</v>
      </c>
      <c r="C1009" s="924" t="s">
        <v>1177</v>
      </c>
      <c r="D1009" s="924" t="s">
        <v>855</v>
      </c>
      <c r="E1009" s="924" t="s">
        <v>856</v>
      </c>
      <c r="F1009" s="924" t="s">
        <v>989</v>
      </c>
      <c r="G1009" s="924" t="s">
        <v>990</v>
      </c>
      <c r="H1009" s="924" t="s">
        <v>836</v>
      </c>
      <c r="I1009" s="924" t="s">
        <v>839</v>
      </c>
      <c r="J1009" s="924" t="s">
        <v>224</v>
      </c>
      <c r="K1009" s="924" t="s">
        <v>988</v>
      </c>
      <c r="L1009" s="925">
        <v>175.747288793325</v>
      </c>
      <c r="M1009" s="925">
        <v>5.9837970541698499E-3</v>
      </c>
    </row>
    <row r="1010" spans="1:13" ht="11.25" customHeight="1" x14ac:dyDescent="0.2">
      <c r="A1010" s="924" t="s">
        <v>853</v>
      </c>
      <c r="B1010" s="924" t="s">
        <v>792</v>
      </c>
      <c r="C1010" s="924" t="s">
        <v>1177</v>
      </c>
      <c r="D1010" s="924" t="s">
        <v>855</v>
      </c>
      <c r="E1010" s="924" t="s">
        <v>856</v>
      </c>
      <c r="F1010" s="924" t="s">
        <v>968</v>
      </c>
      <c r="G1010" s="924" t="s">
        <v>858</v>
      </c>
      <c r="H1010" s="924" t="s">
        <v>836</v>
      </c>
      <c r="I1010" s="924" t="s">
        <v>837</v>
      </c>
      <c r="J1010" s="924" t="s">
        <v>875</v>
      </c>
      <c r="K1010" s="924" t="s">
        <v>876</v>
      </c>
      <c r="L1010" s="925">
        <v>180.24894452095</v>
      </c>
      <c r="M1010" s="925">
        <v>4.8313950117631101E-3</v>
      </c>
    </row>
    <row r="1011" spans="1:13" ht="11.25" customHeight="1" x14ac:dyDescent="0.2">
      <c r="A1011" s="924" t="s">
        <v>853</v>
      </c>
      <c r="B1011" s="924" t="s">
        <v>792</v>
      </c>
      <c r="C1011" s="924" t="s">
        <v>1177</v>
      </c>
      <c r="D1011" s="924" t="s">
        <v>855</v>
      </c>
      <c r="E1011" s="924" t="s">
        <v>856</v>
      </c>
      <c r="F1011" s="924" t="s">
        <v>1030</v>
      </c>
      <c r="G1011" s="924" t="s">
        <v>858</v>
      </c>
      <c r="H1011" s="924" t="s">
        <v>836</v>
      </c>
      <c r="I1011" s="924" t="s">
        <v>837</v>
      </c>
      <c r="J1011" s="924" t="s">
        <v>940</v>
      </c>
      <c r="K1011" s="924" t="s">
        <v>941</v>
      </c>
      <c r="L1011" s="925">
        <v>99.571295231580706</v>
      </c>
      <c r="M1011" s="925">
        <v>1.87040309420183E-3</v>
      </c>
    </row>
    <row r="1012" spans="1:13" ht="11.25" customHeight="1" x14ac:dyDescent="0.2">
      <c r="A1012" s="924" t="s">
        <v>853</v>
      </c>
      <c r="B1012" s="924" t="s">
        <v>792</v>
      </c>
      <c r="C1012" s="924" t="s">
        <v>1177</v>
      </c>
      <c r="D1012" s="924" t="s">
        <v>855</v>
      </c>
      <c r="E1012" s="924" t="s">
        <v>856</v>
      </c>
      <c r="F1012" s="924" t="s">
        <v>970</v>
      </c>
      <c r="G1012" s="924" t="s">
        <v>858</v>
      </c>
      <c r="H1012" s="924" t="s">
        <v>836</v>
      </c>
      <c r="I1012" s="924" t="s">
        <v>837</v>
      </c>
      <c r="J1012" s="924" t="s">
        <v>875</v>
      </c>
      <c r="K1012" s="924" t="s">
        <v>880</v>
      </c>
      <c r="L1012" s="925">
        <v>118.01368987560301</v>
      </c>
      <c r="M1012" s="925">
        <v>2.29321119022075E-3</v>
      </c>
    </row>
    <row r="1013" spans="1:13" ht="11.25" customHeight="1" x14ac:dyDescent="0.2">
      <c r="A1013" s="924" t="s">
        <v>853</v>
      </c>
      <c r="B1013" s="924" t="s">
        <v>792</v>
      </c>
      <c r="C1013" s="924" t="s">
        <v>1177</v>
      </c>
      <c r="D1013" s="924" t="s">
        <v>855</v>
      </c>
      <c r="E1013" s="924" t="s">
        <v>856</v>
      </c>
      <c r="F1013" s="924" t="s">
        <v>971</v>
      </c>
      <c r="G1013" s="924" t="s">
        <v>858</v>
      </c>
      <c r="H1013" s="924" t="s">
        <v>836</v>
      </c>
      <c r="I1013" s="924" t="s">
        <v>837</v>
      </c>
      <c r="J1013" s="924" t="s">
        <v>875</v>
      </c>
      <c r="K1013" s="924" t="s">
        <v>948</v>
      </c>
      <c r="L1013" s="925">
        <v>59.975934147834799</v>
      </c>
      <c r="M1013" s="925">
        <v>2.5653771693328101E-3</v>
      </c>
    </row>
    <row r="1014" spans="1:13" ht="11.25" customHeight="1" x14ac:dyDescent="0.2">
      <c r="A1014" s="924" t="s">
        <v>853</v>
      </c>
      <c r="B1014" s="924" t="s">
        <v>792</v>
      </c>
      <c r="C1014" s="924" t="s">
        <v>1177</v>
      </c>
      <c r="D1014" s="924" t="s">
        <v>855</v>
      </c>
      <c r="E1014" s="924" t="s">
        <v>856</v>
      </c>
      <c r="F1014" s="924" t="s">
        <v>1000</v>
      </c>
      <c r="G1014" s="924" t="s">
        <v>858</v>
      </c>
      <c r="H1014" s="924" t="s">
        <v>836</v>
      </c>
      <c r="I1014" s="924" t="s">
        <v>837</v>
      </c>
      <c r="J1014" s="924" t="s">
        <v>875</v>
      </c>
      <c r="K1014" s="924" t="s">
        <v>950</v>
      </c>
      <c r="L1014" s="925">
        <v>5.7637471631169301</v>
      </c>
      <c r="M1014" s="925">
        <v>1.3538435726978499E-4</v>
      </c>
    </row>
    <row r="1015" spans="1:13" ht="11.25" customHeight="1" x14ac:dyDescent="0.2">
      <c r="A1015" s="924" t="s">
        <v>853</v>
      </c>
      <c r="B1015" s="924" t="s">
        <v>792</v>
      </c>
      <c r="C1015" s="924" t="s">
        <v>1177</v>
      </c>
      <c r="D1015" s="924" t="s">
        <v>855</v>
      </c>
      <c r="E1015" s="924" t="s">
        <v>856</v>
      </c>
      <c r="F1015" s="924" t="s">
        <v>974</v>
      </c>
      <c r="G1015" s="924" t="s">
        <v>858</v>
      </c>
      <c r="H1015" s="924" t="s">
        <v>836</v>
      </c>
      <c r="I1015" s="924" t="s">
        <v>837</v>
      </c>
      <c r="J1015" s="924" t="s">
        <v>875</v>
      </c>
      <c r="K1015" s="924" t="s">
        <v>952</v>
      </c>
      <c r="L1015" s="925">
        <v>5.1004904881119701</v>
      </c>
      <c r="M1015" s="925">
        <v>1.15237299203486E-4</v>
      </c>
    </row>
    <row r="1016" spans="1:13" ht="11.25" customHeight="1" x14ac:dyDescent="0.2">
      <c r="A1016" s="924" t="s">
        <v>853</v>
      </c>
      <c r="B1016" s="924" t="s">
        <v>792</v>
      </c>
      <c r="C1016" s="924" t="s">
        <v>1177</v>
      </c>
      <c r="D1016" s="924" t="s">
        <v>855</v>
      </c>
      <c r="E1016" s="924" t="s">
        <v>856</v>
      </c>
      <c r="F1016" s="924" t="s">
        <v>955</v>
      </c>
      <c r="G1016" s="924" t="s">
        <v>858</v>
      </c>
      <c r="H1016" s="924" t="s">
        <v>836</v>
      </c>
      <c r="I1016" s="924" t="s">
        <v>837</v>
      </c>
      <c r="J1016" s="924" t="s">
        <v>956</v>
      </c>
      <c r="K1016" s="924" t="s">
        <v>957</v>
      </c>
      <c r="L1016" s="925">
        <v>233.87987542152399</v>
      </c>
      <c r="M1016" s="925">
        <v>1.3432558519923499E-3</v>
      </c>
    </row>
    <row r="1017" spans="1:13" ht="11.25" customHeight="1" x14ac:dyDescent="0.2">
      <c r="A1017" s="924" t="s">
        <v>853</v>
      </c>
      <c r="B1017" s="924" t="s">
        <v>792</v>
      </c>
      <c r="C1017" s="924" t="s">
        <v>1177</v>
      </c>
      <c r="D1017" s="924" t="s">
        <v>855</v>
      </c>
      <c r="E1017" s="924" t="s">
        <v>856</v>
      </c>
      <c r="F1017" s="924" t="s">
        <v>980</v>
      </c>
      <c r="G1017" s="924" t="s">
        <v>981</v>
      </c>
      <c r="H1017" s="924" t="s">
        <v>835</v>
      </c>
      <c r="I1017" s="924" t="s">
        <v>839</v>
      </c>
      <c r="J1017" s="924" t="s">
        <v>982</v>
      </c>
      <c r="K1017" s="924" t="s">
        <v>983</v>
      </c>
      <c r="L1017" s="925">
        <v>726.00445330142998</v>
      </c>
      <c r="M1017" s="925">
        <v>0.82807243522256602</v>
      </c>
    </row>
    <row r="1018" spans="1:13" ht="11.25" customHeight="1" x14ac:dyDescent="0.2">
      <c r="A1018" s="924" t="s">
        <v>853</v>
      </c>
      <c r="B1018" s="924" t="s">
        <v>792</v>
      </c>
      <c r="C1018" s="924" t="s">
        <v>1177</v>
      </c>
      <c r="D1018" s="924" t="s">
        <v>855</v>
      </c>
      <c r="E1018" s="924" t="s">
        <v>856</v>
      </c>
      <c r="F1018" s="924" t="s">
        <v>984</v>
      </c>
      <c r="G1018" s="924" t="s">
        <v>981</v>
      </c>
      <c r="H1018" s="924" t="s">
        <v>835</v>
      </c>
      <c r="I1018" s="924" t="s">
        <v>839</v>
      </c>
      <c r="J1018" s="924" t="s">
        <v>982</v>
      </c>
      <c r="K1018" s="924" t="s">
        <v>985</v>
      </c>
      <c r="L1018" s="925">
        <v>306.714515209198</v>
      </c>
      <c r="M1018" s="925">
        <v>0.34213684260612398</v>
      </c>
    </row>
    <row r="1019" spans="1:13" ht="11.25" customHeight="1" x14ac:dyDescent="0.2">
      <c r="A1019" s="924" t="s">
        <v>853</v>
      </c>
      <c r="B1019" s="924" t="s">
        <v>792</v>
      </c>
      <c r="C1019" s="924" t="s">
        <v>1177</v>
      </c>
      <c r="D1019" s="924" t="s">
        <v>855</v>
      </c>
      <c r="E1019" s="924" t="s">
        <v>856</v>
      </c>
      <c r="F1019" s="924" t="s">
        <v>986</v>
      </c>
      <c r="G1019" s="924" t="s">
        <v>981</v>
      </c>
      <c r="H1019" s="924" t="s">
        <v>835</v>
      </c>
      <c r="I1019" s="924" t="s">
        <v>839</v>
      </c>
      <c r="J1019" s="924" t="s">
        <v>987</v>
      </c>
      <c r="K1019" s="924" t="s">
        <v>988</v>
      </c>
      <c r="L1019" s="925">
        <v>223.163910120726</v>
      </c>
      <c r="M1019" s="925">
        <v>0.112584443239029</v>
      </c>
    </row>
    <row r="1020" spans="1:13" ht="11.25" customHeight="1" x14ac:dyDescent="0.2">
      <c r="A1020" s="924" t="s">
        <v>853</v>
      </c>
      <c r="B1020" s="924" t="s">
        <v>792</v>
      </c>
      <c r="C1020" s="924" t="s">
        <v>1177</v>
      </c>
      <c r="D1020" s="924" t="s">
        <v>855</v>
      </c>
      <c r="E1020" s="924" t="s">
        <v>856</v>
      </c>
      <c r="F1020" s="924" t="s">
        <v>991</v>
      </c>
      <c r="G1020" s="924" t="s">
        <v>990</v>
      </c>
      <c r="H1020" s="924" t="s">
        <v>836</v>
      </c>
      <c r="I1020" s="924" t="s">
        <v>839</v>
      </c>
      <c r="J1020" s="924" t="s">
        <v>224</v>
      </c>
      <c r="K1020" s="924" t="s">
        <v>983</v>
      </c>
      <c r="L1020" s="925">
        <v>1.4690381723921699</v>
      </c>
      <c r="M1020" s="925">
        <v>8.7721137656537898E-5</v>
      </c>
    </row>
    <row r="1021" spans="1:13" ht="11.25" customHeight="1" x14ac:dyDescent="0.2">
      <c r="A1021" s="924" t="s">
        <v>853</v>
      </c>
      <c r="B1021" s="924" t="s">
        <v>792</v>
      </c>
      <c r="C1021" s="924" t="s">
        <v>1177</v>
      </c>
      <c r="D1021" s="924" t="s">
        <v>855</v>
      </c>
      <c r="E1021" s="924" t="s">
        <v>856</v>
      </c>
      <c r="F1021" s="924" t="s">
        <v>1065</v>
      </c>
      <c r="G1021" s="924" t="s">
        <v>981</v>
      </c>
      <c r="H1021" s="924" t="s">
        <v>835</v>
      </c>
      <c r="I1021" s="924" t="s">
        <v>1040</v>
      </c>
      <c r="J1021" s="924" t="s">
        <v>859</v>
      </c>
      <c r="K1021" s="924" t="s">
        <v>926</v>
      </c>
      <c r="L1021" s="925">
        <v>3.4488491043448399</v>
      </c>
      <c r="M1021" s="925">
        <v>2.28823659199406E-3</v>
      </c>
    </row>
    <row r="1022" spans="1:13" ht="11.25" customHeight="1" x14ac:dyDescent="0.2">
      <c r="A1022" s="924" t="s">
        <v>853</v>
      </c>
      <c r="B1022" s="924" t="s">
        <v>792</v>
      </c>
      <c r="C1022" s="924" t="s">
        <v>1177</v>
      </c>
      <c r="D1022" s="924" t="s">
        <v>855</v>
      </c>
      <c r="E1022" s="924" t="s">
        <v>856</v>
      </c>
      <c r="F1022" s="924" t="s">
        <v>967</v>
      </c>
      <c r="G1022" s="924" t="s">
        <v>858</v>
      </c>
      <c r="H1022" s="924" t="s">
        <v>836</v>
      </c>
      <c r="I1022" s="924" t="s">
        <v>837</v>
      </c>
      <c r="J1022" s="924" t="s">
        <v>870</v>
      </c>
      <c r="K1022" s="924" t="s">
        <v>873</v>
      </c>
      <c r="L1022" s="925">
        <v>70.753014385700197</v>
      </c>
      <c r="M1022" s="925">
        <v>1.1953118016307901E-3</v>
      </c>
    </row>
    <row r="1023" spans="1:13" ht="11.25" customHeight="1" x14ac:dyDescent="0.2">
      <c r="A1023" s="924" t="s">
        <v>853</v>
      </c>
      <c r="B1023" s="924" t="s">
        <v>792</v>
      </c>
      <c r="C1023" s="924" t="s">
        <v>1177</v>
      </c>
      <c r="D1023" s="924" t="s">
        <v>855</v>
      </c>
      <c r="E1023" s="924" t="s">
        <v>856</v>
      </c>
      <c r="F1023" s="924" t="s">
        <v>1013</v>
      </c>
      <c r="G1023" s="924" t="s">
        <v>858</v>
      </c>
      <c r="H1023" s="924" t="s">
        <v>836</v>
      </c>
      <c r="I1023" s="924" t="s">
        <v>837</v>
      </c>
      <c r="J1023" s="924" t="s">
        <v>863</v>
      </c>
      <c r="K1023" s="924" t="s">
        <v>931</v>
      </c>
      <c r="L1023" s="925">
        <v>35.823828518390698</v>
      </c>
      <c r="M1023" s="925">
        <v>1.3094904071806501E-3</v>
      </c>
    </row>
    <row r="1024" spans="1:13" ht="11.25" customHeight="1" x14ac:dyDescent="0.2">
      <c r="A1024" s="924" t="s">
        <v>853</v>
      </c>
      <c r="B1024" s="924" t="s">
        <v>792</v>
      </c>
      <c r="C1024" s="924" t="s">
        <v>1177</v>
      </c>
      <c r="D1024" s="924" t="s">
        <v>855</v>
      </c>
      <c r="E1024" s="924" t="s">
        <v>856</v>
      </c>
      <c r="F1024" s="924" t="s">
        <v>1037</v>
      </c>
      <c r="G1024" s="924" t="s">
        <v>858</v>
      </c>
      <c r="H1024" s="924" t="s">
        <v>836</v>
      </c>
      <c r="I1024" s="924" t="s">
        <v>837</v>
      </c>
      <c r="J1024" s="924" t="s">
        <v>859</v>
      </c>
      <c r="K1024" s="924" t="s">
        <v>918</v>
      </c>
      <c r="L1024" s="925">
        <v>65.971388101577801</v>
      </c>
      <c r="M1024" s="925">
        <v>6.3846025325631195E-4</v>
      </c>
    </row>
    <row r="1025" spans="1:13" ht="11.25" customHeight="1" x14ac:dyDescent="0.2">
      <c r="A1025" s="924" t="s">
        <v>853</v>
      </c>
      <c r="B1025" s="924" t="s">
        <v>792</v>
      </c>
      <c r="C1025" s="924" t="s">
        <v>1177</v>
      </c>
      <c r="D1025" s="924" t="s">
        <v>855</v>
      </c>
      <c r="E1025" s="924" t="s">
        <v>856</v>
      </c>
      <c r="F1025" s="924" t="s">
        <v>886</v>
      </c>
      <c r="G1025" s="924" t="s">
        <v>858</v>
      </c>
      <c r="H1025" s="924" t="s">
        <v>836</v>
      </c>
      <c r="I1025" s="924" t="s">
        <v>837</v>
      </c>
      <c r="J1025" s="924" t="s">
        <v>859</v>
      </c>
      <c r="K1025" s="924" t="s">
        <v>887</v>
      </c>
      <c r="L1025" s="925">
        <v>71.794193387031598</v>
      </c>
      <c r="M1025" s="925">
        <v>5.3134525155229496E-4</v>
      </c>
    </row>
    <row r="1026" spans="1:13" ht="11.25" customHeight="1" x14ac:dyDescent="0.2">
      <c r="A1026" s="924" t="s">
        <v>853</v>
      </c>
      <c r="B1026" s="924" t="s">
        <v>792</v>
      </c>
      <c r="C1026" s="924" t="s">
        <v>1177</v>
      </c>
      <c r="D1026" s="924" t="s">
        <v>855</v>
      </c>
      <c r="E1026" s="924" t="s">
        <v>856</v>
      </c>
      <c r="F1026" s="924" t="s">
        <v>1071</v>
      </c>
      <c r="G1026" s="924" t="s">
        <v>858</v>
      </c>
      <c r="H1026" s="924" t="s">
        <v>836</v>
      </c>
      <c r="I1026" s="924" t="s">
        <v>837</v>
      </c>
      <c r="J1026" s="924" t="s">
        <v>859</v>
      </c>
      <c r="K1026" s="924" t="s">
        <v>1072</v>
      </c>
      <c r="L1026" s="925">
        <v>246.954035758972</v>
      </c>
      <c r="M1026" s="925">
        <v>2.19633558450028E-3</v>
      </c>
    </row>
    <row r="1027" spans="1:13" ht="11.25" customHeight="1" x14ac:dyDescent="0.2">
      <c r="A1027" s="924" t="s">
        <v>853</v>
      </c>
      <c r="B1027" s="924" t="s">
        <v>792</v>
      </c>
      <c r="C1027" s="924" t="s">
        <v>1177</v>
      </c>
      <c r="D1027" s="924" t="s">
        <v>855</v>
      </c>
      <c r="E1027" s="924" t="s">
        <v>856</v>
      </c>
      <c r="F1027" s="924" t="s">
        <v>953</v>
      </c>
      <c r="G1027" s="924" t="s">
        <v>858</v>
      </c>
      <c r="H1027" s="924" t="s">
        <v>836</v>
      </c>
      <c r="I1027" s="924" t="s">
        <v>837</v>
      </c>
      <c r="J1027" s="924" t="s">
        <v>859</v>
      </c>
      <c r="K1027" s="924" t="s">
        <v>920</v>
      </c>
      <c r="L1027" s="925">
        <v>11.616689711809199</v>
      </c>
      <c r="M1027" s="925">
        <v>1.49840850212968E-4</v>
      </c>
    </row>
    <row r="1028" spans="1:13" ht="11.25" customHeight="1" x14ac:dyDescent="0.2">
      <c r="A1028" s="924" t="s">
        <v>853</v>
      </c>
      <c r="B1028" s="924" t="s">
        <v>792</v>
      </c>
      <c r="C1028" s="924" t="s">
        <v>1177</v>
      </c>
      <c r="D1028" s="924" t="s">
        <v>855</v>
      </c>
      <c r="E1028" s="924" t="s">
        <v>856</v>
      </c>
      <c r="F1028" s="924" t="s">
        <v>1002</v>
      </c>
      <c r="G1028" s="924" t="s">
        <v>858</v>
      </c>
      <c r="H1028" s="924" t="s">
        <v>836</v>
      </c>
      <c r="I1028" s="924" t="s">
        <v>837</v>
      </c>
      <c r="J1028" s="924" t="s">
        <v>859</v>
      </c>
      <c r="K1028" s="924" t="s">
        <v>922</v>
      </c>
      <c r="L1028" s="925">
        <v>92.386812210082994</v>
      </c>
      <c r="M1028" s="925">
        <v>1.05626180258866E-3</v>
      </c>
    </row>
    <row r="1029" spans="1:13" ht="11.25" customHeight="1" x14ac:dyDescent="0.2">
      <c r="A1029" s="924" t="s">
        <v>853</v>
      </c>
      <c r="B1029" s="924" t="s">
        <v>792</v>
      </c>
      <c r="C1029" s="924" t="s">
        <v>1177</v>
      </c>
      <c r="D1029" s="924" t="s">
        <v>855</v>
      </c>
      <c r="E1029" s="924" t="s">
        <v>856</v>
      </c>
      <c r="F1029" s="924" t="s">
        <v>1003</v>
      </c>
      <c r="G1029" s="924" t="s">
        <v>858</v>
      </c>
      <c r="H1029" s="924" t="s">
        <v>836</v>
      </c>
      <c r="I1029" s="924" t="s">
        <v>837</v>
      </c>
      <c r="J1029" s="924" t="s">
        <v>859</v>
      </c>
      <c r="K1029" s="924" t="s">
        <v>924</v>
      </c>
      <c r="L1029" s="925">
        <v>314.11628031730697</v>
      </c>
      <c r="M1029" s="925">
        <v>2.99597558853293E-3</v>
      </c>
    </row>
    <row r="1030" spans="1:13" ht="11.25" customHeight="1" x14ac:dyDescent="0.2">
      <c r="A1030" s="924" t="s">
        <v>853</v>
      </c>
      <c r="B1030" s="924" t="s">
        <v>792</v>
      </c>
      <c r="C1030" s="924" t="s">
        <v>1177</v>
      </c>
      <c r="D1030" s="924" t="s">
        <v>855</v>
      </c>
      <c r="E1030" s="924" t="s">
        <v>856</v>
      </c>
      <c r="F1030" s="924" t="s">
        <v>1004</v>
      </c>
      <c r="G1030" s="924" t="s">
        <v>858</v>
      </c>
      <c r="H1030" s="924" t="s">
        <v>836</v>
      </c>
      <c r="I1030" s="924" t="s">
        <v>837</v>
      </c>
      <c r="J1030" s="924" t="s">
        <v>859</v>
      </c>
      <c r="K1030" s="924" t="s">
        <v>926</v>
      </c>
      <c r="L1030" s="925">
        <v>190.365971088409</v>
      </c>
      <c r="M1030" s="925">
        <v>7.7684026057340799E-3</v>
      </c>
    </row>
    <row r="1031" spans="1:13" ht="11.25" customHeight="1" x14ac:dyDescent="0.2">
      <c r="A1031" s="924" t="s">
        <v>853</v>
      </c>
      <c r="B1031" s="924" t="s">
        <v>792</v>
      </c>
      <c r="C1031" s="924" t="s">
        <v>1177</v>
      </c>
      <c r="D1031" s="924" t="s">
        <v>855</v>
      </c>
      <c r="E1031" s="924" t="s">
        <v>856</v>
      </c>
      <c r="F1031" s="924" t="s">
        <v>1005</v>
      </c>
      <c r="G1031" s="924" t="s">
        <v>858</v>
      </c>
      <c r="H1031" s="924" t="s">
        <v>836</v>
      </c>
      <c r="I1031" s="924" t="s">
        <v>837</v>
      </c>
      <c r="J1031" s="924" t="s">
        <v>859</v>
      </c>
      <c r="K1031" s="924" t="s">
        <v>1006</v>
      </c>
      <c r="L1031" s="925">
        <v>287.31774568557699</v>
      </c>
      <c r="M1031" s="925">
        <v>2.2254223012510002E-3</v>
      </c>
    </row>
    <row r="1032" spans="1:13" ht="11.25" customHeight="1" x14ac:dyDescent="0.2">
      <c r="A1032" s="924" t="s">
        <v>853</v>
      </c>
      <c r="B1032" s="924" t="s">
        <v>792</v>
      </c>
      <c r="C1032" s="924" t="s">
        <v>1177</v>
      </c>
      <c r="D1032" s="924" t="s">
        <v>855</v>
      </c>
      <c r="E1032" s="924" t="s">
        <v>856</v>
      </c>
      <c r="F1032" s="924" t="s">
        <v>1007</v>
      </c>
      <c r="G1032" s="924" t="s">
        <v>858</v>
      </c>
      <c r="H1032" s="924" t="s">
        <v>836</v>
      </c>
      <c r="I1032" s="924" t="s">
        <v>837</v>
      </c>
      <c r="J1032" s="924" t="s">
        <v>859</v>
      </c>
      <c r="K1032" s="924" t="s">
        <v>928</v>
      </c>
      <c r="L1032" s="925">
        <v>132.276695609093</v>
      </c>
      <c r="M1032" s="925">
        <v>5.7679873339111501E-3</v>
      </c>
    </row>
    <row r="1033" spans="1:13" ht="11.25" customHeight="1" x14ac:dyDescent="0.2">
      <c r="A1033" s="924" t="s">
        <v>853</v>
      </c>
      <c r="B1033" s="924" t="s">
        <v>792</v>
      </c>
      <c r="C1033" s="924" t="s">
        <v>1177</v>
      </c>
      <c r="D1033" s="924" t="s">
        <v>855</v>
      </c>
      <c r="E1033" s="924" t="s">
        <v>856</v>
      </c>
      <c r="F1033" s="924" t="s">
        <v>1008</v>
      </c>
      <c r="G1033" s="924" t="s">
        <v>858</v>
      </c>
      <c r="H1033" s="924" t="s">
        <v>836</v>
      </c>
      <c r="I1033" s="924" t="s">
        <v>837</v>
      </c>
      <c r="J1033" s="924" t="s">
        <v>859</v>
      </c>
      <c r="K1033" s="924" t="s">
        <v>1009</v>
      </c>
      <c r="L1033" s="925">
        <v>30.836422264576001</v>
      </c>
      <c r="M1033" s="925">
        <v>2.5121484732437699E-4</v>
      </c>
    </row>
    <row r="1034" spans="1:13" ht="11.25" customHeight="1" x14ac:dyDescent="0.2">
      <c r="A1034" s="924" t="s">
        <v>853</v>
      </c>
      <c r="B1034" s="924" t="s">
        <v>792</v>
      </c>
      <c r="C1034" s="924" t="s">
        <v>1177</v>
      </c>
      <c r="D1034" s="924" t="s">
        <v>855</v>
      </c>
      <c r="E1034" s="924" t="s">
        <v>856</v>
      </c>
      <c r="F1034" s="924" t="s">
        <v>1033</v>
      </c>
      <c r="G1034" s="924" t="s">
        <v>858</v>
      </c>
      <c r="H1034" s="924" t="s">
        <v>836</v>
      </c>
      <c r="I1034" s="924" t="s">
        <v>837</v>
      </c>
      <c r="J1034" s="924" t="s">
        <v>940</v>
      </c>
      <c r="K1034" s="924" t="s">
        <v>1034</v>
      </c>
      <c r="L1034" s="925">
        <v>0.29788880713749699</v>
      </c>
      <c r="M1034" s="925">
        <v>9.7685420196447198E-6</v>
      </c>
    </row>
    <row r="1035" spans="1:13" ht="11.25" customHeight="1" x14ac:dyDescent="0.2">
      <c r="A1035" s="924" t="s">
        <v>853</v>
      </c>
      <c r="B1035" s="924" t="s">
        <v>792</v>
      </c>
      <c r="C1035" s="924" t="s">
        <v>1177</v>
      </c>
      <c r="D1035" s="924" t="s">
        <v>855</v>
      </c>
      <c r="E1035" s="924" t="s">
        <v>856</v>
      </c>
      <c r="F1035" s="924" t="s">
        <v>1012</v>
      </c>
      <c r="G1035" s="924" t="s">
        <v>858</v>
      </c>
      <c r="H1035" s="924" t="s">
        <v>836</v>
      </c>
      <c r="I1035" s="924" t="s">
        <v>837</v>
      </c>
      <c r="J1035" s="924" t="s">
        <v>859</v>
      </c>
      <c r="K1035" s="924" t="s">
        <v>891</v>
      </c>
      <c r="L1035" s="925">
        <v>29.659144222736401</v>
      </c>
      <c r="M1035" s="925">
        <v>3.9310953164317701E-4</v>
      </c>
    </row>
    <row r="1036" spans="1:13" ht="11.25" customHeight="1" x14ac:dyDescent="0.2">
      <c r="A1036" s="924" t="s">
        <v>853</v>
      </c>
      <c r="B1036" s="924" t="s">
        <v>792</v>
      </c>
      <c r="C1036" s="924" t="s">
        <v>1177</v>
      </c>
      <c r="D1036" s="924" t="s">
        <v>855</v>
      </c>
      <c r="E1036" s="924" t="s">
        <v>856</v>
      </c>
      <c r="F1036" s="924" t="s">
        <v>1031</v>
      </c>
      <c r="G1036" s="924" t="s">
        <v>858</v>
      </c>
      <c r="H1036" s="924" t="s">
        <v>836</v>
      </c>
      <c r="I1036" s="924" t="s">
        <v>837</v>
      </c>
      <c r="J1036" s="924" t="s">
        <v>940</v>
      </c>
      <c r="K1036" s="924" t="s">
        <v>1032</v>
      </c>
      <c r="L1036" s="925">
        <v>11.7303535379469</v>
      </c>
      <c r="M1036" s="925">
        <v>2.4475493609621402E-4</v>
      </c>
    </row>
    <row r="1037" spans="1:13" ht="11.25" customHeight="1" x14ac:dyDescent="0.2">
      <c r="A1037" s="924" t="s">
        <v>853</v>
      </c>
      <c r="B1037" s="924" t="s">
        <v>792</v>
      </c>
      <c r="C1037" s="924" t="s">
        <v>1177</v>
      </c>
      <c r="D1037" s="924" t="s">
        <v>855</v>
      </c>
      <c r="E1037" s="924" t="s">
        <v>856</v>
      </c>
      <c r="F1037" s="924" t="s">
        <v>1014</v>
      </c>
      <c r="G1037" s="924" t="s">
        <v>858</v>
      </c>
      <c r="H1037" s="924" t="s">
        <v>836</v>
      </c>
      <c r="I1037" s="924" t="s">
        <v>837</v>
      </c>
      <c r="J1037" s="924" t="s">
        <v>863</v>
      </c>
      <c r="K1037" s="924" t="s">
        <v>933</v>
      </c>
      <c r="L1037" s="925">
        <v>518.98546934127796</v>
      </c>
      <c r="M1037" s="925">
        <v>3.6741809828981799E-3</v>
      </c>
    </row>
    <row r="1038" spans="1:13" ht="11.25" customHeight="1" x14ac:dyDescent="0.2">
      <c r="A1038" s="924" t="s">
        <v>853</v>
      </c>
      <c r="B1038" s="924" t="s">
        <v>792</v>
      </c>
      <c r="C1038" s="924" t="s">
        <v>1177</v>
      </c>
      <c r="D1038" s="924" t="s">
        <v>855</v>
      </c>
      <c r="E1038" s="924" t="s">
        <v>856</v>
      </c>
      <c r="F1038" s="924" t="s">
        <v>1038</v>
      </c>
      <c r="G1038" s="924" t="s">
        <v>858</v>
      </c>
      <c r="H1038" s="924" t="s">
        <v>836</v>
      </c>
      <c r="I1038" s="924" t="s">
        <v>837</v>
      </c>
      <c r="J1038" s="924" t="s">
        <v>863</v>
      </c>
      <c r="K1038" s="924" t="s">
        <v>935</v>
      </c>
      <c r="L1038" s="925">
        <v>226.70172214508099</v>
      </c>
      <c r="M1038" s="925">
        <v>2.4535611123042101E-3</v>
      </c>
    </row>
    <row r="1039" spans="1:13" ht="11.25" customHeight="1" x14ac:dyDescent="0.2">
      <c r="A1039" s="924" t="s">
        <v>853</v>
      </c>
      <c r="B1039" s="924" t="s">
        <v>792</v>
      </c>
      <c r="C1039" s="924" t="s">
        <v>1177</v>
      </c>
      <c r="D1039" s="924" t="s">
        <v>855</v>
      </c>
      <c r="E1039" s="924" t="s">
        <v>856</v>
      </c>
      <c r="F1039" s="924" t="s">
        <v>1017</v>
      </c>
      <c r="G1039" s="924" t="s">
        <v>858</v>
      </c>
      <c r="H1039" s="924" t="s">
        <v>836</v>
      </c>
      <c r="I1039" s="924" t="s">
        <v>837</v>
      </c>
      <c r="J1039" s="924" t="s">
        <v>863</v>
      </c>
      <c r="K1039" s="924" t="s">
        <v>864</v>
      </c>
      <c r="L1039" s="925">
        <v>229.90829420089699</v>
      </c>
      <c r="M1039" s="925">
        <v>3.1180141168647398E-3</v>
      </c>
    </row>
    <row r="1040" spans="1:13" ht="11.25" customHeight="1" x14ac:dyDescent="0.2">
      <c r="A1040" s="924" t="s">
        <v>853</v>
      </c>
      <c r="B1040" s="924" t="s">
        <v>792</v>
      </c>
      <c r="C1040" s="924" t="s">
        <v>1177</v>
      </c>
      <c r="D1040" s="924" t="s">
        <v>855</v>
      </c>
      <c r="E1040" s="924" t="s">
        <v>856</v>
      </c>
      <c r="F1040" s="924" t="s">
        <v>1001</v>
      </c>
      <c r="G1040" s="924" t="s">
        <v>858</v>
      </c>
      <c r="H1040" s="924" t="s">
        <v>836</v>
      </c>
      <c r="I1040" s="924" t="s">
        <v>837</v>
      </c>
      <c r="J1040" s="924" t="s">
        <v>863</v>
      </c>
      <c r="K1040" s="924" t="s">
        <v>915</v>
      </c>
      <c r="L1040" s="925">
        <v>8.87345244735479</v>
      </c>
      <c r="M1040" s="925">
        <v>2.7112178160138001E-4</v>
      </c>
    </row>
    <row r="1041" spans="1:13" ht="11.25" customHeight="1" x14ac:dyDescent="0.2">
      <c r="A1041" s="924" t="s">
        <v>853</v>
      </c>
      <c r="B1041" s="924" t="s">
        <v>792</v>
      </c>
      <c r="C1041" s="924" t="s">
        <v>1177</v>
      </c>
      <c r="D1041" s="924" t="s">
        <v>855</v>
      </c>
      <c r="E1041" s="924" t="s">
        <v>856</v>
      </c>
      <c r="F1041" s="924" t="s">
        <v>1020</v>
      </c>
      <c r="G1041" s="924" t="s">
        <v>858</v>
      </c>
      <c r="H1041" s="924" t="s">
        <v>836</v>
      </c>
      <c r="I1041" s="924" t="s">
        <v>837</v>
      </c>
      <c r="J1041" s="924" t="s">
        <v>863</v>
      </c>
      <c r="K1041" s="924" t="s">
        <v>866</v>
      </c>
      <c r="L1041" s="925">
        <v>611.103427886963</v>
      </c>
      <c r="M1041" s="925">
        <v>1.4833049190997399E-2</v>
      </c>
    </row>
    <row r="1042" spans="1:13" ht="11.25" customHeight="1" x14ac:dyDescent="0.2">
      <c r="A1042" s="924" t="s">
        <v>853</v>
      </c>
      <c r="B1042" s="924" t="s">
        <v>792</v>
      </c>
      <c r="C1042" s="924" t="s">
        <v>1177</v>
      </c>
      <c r="D1042" s="924" t="s">
        <v>855</v>
      </c>
      <c r="E1042" s="924" t="s">
        <v>856</v>
      </c>
      <c r="F1042" s="924" t="s">
        <v>1021</v>
      </c>
      <c r="G1042" s="924" t="s">
        <v>858</v>
      </c>
      <c r="H1042" s="924" t="s">
        <v>836</v>
      </c>
      <c r="I1042" s="924" t="s">
        <v>837</v>
      </c>
      <c r="J1042" s="924" t="s">
        <v>863</v>
      </c>
      <c r="K1042" s="924" t="s">
        <v>868</v>
      </c>
      <c r="L1042" s="925">
        <v>327.09044408798201</v>
      </c>
      <c r="M1042" s="925">
        <v>1.75816919315253E-3</v>
      </c>
    </row>
    <row r="1043" spans="1:13" ht="11.25" customHeight="1" x14ac:dyDescent="0.2">
      <c r="A1043" s="924" t="s">
        <v>853</v>
      </c>
      <c r="B1043" s="924" t="s">
        <v>792</v>
      </c>
      <c r="C1043" s="924" t="s">
        <v>1177</v>
      </c>
      <c r="D1043" s="924" t="s">
        <v>855</v>
      </c>
      <c r="E1043" s="924" t="s">
        <v>856</v>
      </c>
      <c r="F1043" s="924" t="s">
        <v>1022</v>
      </c>
      <c r="G1043" s="924" t="s">
        <v>858</v>
      </c>
      <c r="H1043" s="924" t="s">
        <v>836</v>
      </c>
      <c r="I1043" s="924" t="s">
        <v>837</v>
      </c>
      <c r="J1043" s="924" t="s">
        <v>940</v>
      </c>
      <c r="K1043" s="924" t="s">
        <v>1023</v>
      </c>
      <c r="L1043" s="925">
        <v>1.04208274387929E-2</v>
      </c>
      <c r="M1043" s="925">
        <v>4.6809385005619502E-7</v>
      </c>
    </row>
    <row r="1044" spans="1:13" ht="11.25" customHeight="1" x14ac:dyDescent="0.2">
      <c r="A1044" s="924" t="s">
        <v>853</v>
      </c>
      <c r="B1044" s="924" t="s">
        <v>792</v>
      </c>
      <c r="C1044" s="924" t="s">
        <v>1177</v>
      </c>
      <c r="D1044" s="924" t="s">
        <v>855</v>
      </c>
      <c r="E1044" s="924" t="s">
        <v>856</v>
      </c>
      <c r="F1044" s="924" t="s">
        <v>1026</v>
      </c>
      <c r="G1044" s="924" t="s">
        <v>858</v>
      </c>
      <c r="H1044" s="924" t="s">
        <v>836</v>
      </c>
      <c r="I1044" s="924" t="s">
        <v>837</v>
      </c>
      <c r="J1044" s="924" t="s">
        <v>940</v>
      </c>
      <c r="K1044" s="924" t="s">
        <v>1027</v>
      </c>
      <c r="L1044" s="925">
        <v>73.041287541389494</v>
      </c>
      <c r="M1044" s="925">
        <v>3.0827926880121499E-3</v>
      </c>
    </row>
    <row r="1045" spans="1:13" ht="11.25" customHeight="1" x14ac:dyDescent="0.2">
      <c r="A1045" s="924" t="s">
        <v>853</v>
      </c>
      <c r="B1045" s="924" t="s">
        <v>792</v>
      </c>
      <c r="C1045" s="924" t="s">
        <v>1177</v>
      </c>
      <c r="D1045" s="924" t="s">
        <v>855</v>
      </c>
      <c r="E1045" s="924" t="s">
        <v>856</v>
      </c>
      <c r="F1045" s="924" t="s">
        <v>1028</v>
      </c>
      <c r="G1045" s="924" t="s">
        <v>858</v>
      </c>
      <c r="H1045" s="924" t="s">
        <v>836</v>
      </c>
      <c r="I1045" s="924" t="s">
        <v>837</v>
      </c>
      <c r="J1045" s="924" t="s">
        <v>940</v>
      </c>
      <c r="K1045" s="924" t="s">
        <v>1029</v>
      </c>
      <c r="L1045" s="925">
        <v>15.0757260136306</v>
      </c>
      <c r="M1045" s="925">
        <v>8.17769779799971E-4</v>
      </c>
    </row>
    <row r="1046" spans="1:13" ht="11.25" customHeight="1" x14ac:dyDescent="0.2">
      <c r="A1046" s="924" t="s">
        <v>853</v>
      </c>
      <c r="B1046" s="924" t="s">
        <v>792</v>
      </c>
      <c r="C1046" s="924" t="s">
        <v>1177</v>
      </c>
      <c r="D1046" s="924" t="s">
        <v>855</v>
      </c>
      <c r="E1046" s="924" t="s">
        <v>856</v>
      </c>
      <c r="F1046" s="924" t="s">
        <v>972</v>
      </c>
      <c r="G1046" s="924" t="s">
        <v>858</v>
      </c>
      <c r="H1046" s="924" t="s">
        <v>836</v>
      </c>
      <c r="I1046" s="924" t="s">
        <v>837</v>
      </c>
      <c r="J1046" s="924" t="s">
        <v>859</v>
      </c>
      <c r="K1046" s="924" t="s">
        <v>973</v>
      </c>
      <c r="L1046" s="925">
        <v>1.1413935162127</v>
      </c>
      <c r="M1046" s="925">
        <v>2.9076262442195899E-5</v>
      </c>
    </row>
    <row r="1047" spans="1:13" ht="11.25" customHeight="1" x14ac:dyDescent="0.2">
      <c r="A1047" s="924" t="s">
        <v>853</v>
      </c>
      <c r="B1047" s="924" t="s">
        <v>792</v>
      </c>
      <c r="C1047" s="924" t="s">
        <v>1177</v>
      </c>
      <c r="D1047" s="924" t="s">
        <v>855</v>
      </c>
      <c r="E1047" s="924" t="s">
        <v>856</v>
      </c>
      <c r="F1047" s="924" t="s">
        <v>1010</v>
      </c>
      <c r="G1047" s="924" t="s">
        <v>858</v>
      </c>
      <c r="H1047" s="924" t="s">
        <v>836</v>
      </c>
      <c r="I1047" s="924" t="s">
        <v>837</v>
      </c>
      <c r="J1047" s="924" t="s">
        <v>859</v>
      </c>
      <c r="K1047" s="924" t="s">
        <v>1011</v>
      </c>
      <c r="L1047" s="925">
        <v>0.40470430534333002</v>
      </c>
      <c r="M1047" s="925">
        <v>1.86221786173668E-5</v>
      </c>
    </row>
    <row r="1048" spans="1:13" ht="11.25" customHeight="1" x14ac:dyDescent="0.2">
      <c r="A1048" s="924" t="s">
        <v>853</v>
      </c>
      <c r="B1048" s="924" t="s">
        <v>792</v>
      </c>
      <c r="C1048" s="924" t="s">
        <v>1177</v>
      </c>
      <c r="D1048" s="924" t="s">
        <v>855</v>
      </c>
      <c r="E1048" s="924" t="s">
        <v>856</v>
      </c>
      <c r="F1048" s="924" t="s">
        <v>1057</v>
      </c>
      <c r="G1048" s="924" t="s">
        <v>981</v>
      </c>
      <c r="H1048" s="924" t="s">
        <v>835</v>
      </c>
      <c r="I1048" s="924" t="s">
        <v>1040</v>
      </c>
      <c r="J1048" s="924" t="s">
        <v>859</v>
      </c>
      <c r="K1048" s="924" t="s">
        <v>903</v>
      </c>
      <c r="L1048" s="925">
        <v>5.0272548571228999</v>
      </c>
      <c r="M1048" s="925">
        <v>3.0976251896248602E-3</v>
      </c>
    </row>
    <row r="1049" spans="1:13" ht="11.25" customHeight="1" x14ac:dyDescent="0.2">
      <c r="A1049" s="924" t="s">
        <v>853</v>
      </c>
      <c r="B1049" s="924" t="s">
        <v>792</v>
      </c>
      <c r="C1049" s="924" t="s">
        <v>1177</v>
      </c>
      <c r="D1049" s="924" t="s">
        <v>855</v>
      </c>
      <c r="E1049" s="924" t="s">
        <v>856</v>
      </c>
      <c r="F1049" s="924" t="s">
        <v>1041</v>
      </c>
      <c r="G1049" s="924" t="s">
        <v>981</v>
      </c>
      <c r="H1049" s="924" t="s">
        <v>835</v>
      </c>
      <c r="I1049" s="924" t="s">
        <v>1040</v>
      </c>
      <c r="J1049" s="924" t="s">
        <v>859</v>
      </c>
      <c r="K1049" s="924" t="s">
        <v>891</v>
      </c>
      <c r="L1049" s="925">
        <v>0.53807463916018605</v>
      </c>
      <c r="M1049" s="925">
        <v>2.6928830914130198E-4</v>
      </c>
    </row>
    <row r="1050" spans="1:13" ht="11.25" customHeight="1" x14ac:dyDescent="0.2">
      <c r="A1050" s="924" t="s">
        <v>853</v>
      </c>
      <c r="B1050" s="924" t="s">
        <v>792</v>
      </c>
      <c r="C1050" s="924" t="s">
        <v>1177</v>
      </c>
      <c r="D1050" s="924" t="s">
        <v>855</v>
      </c>
      <c r="E1050" s="924" t="s">
        <v>856</v>
      </c>
      <c r="F1050" s="924" t="s">
        <v>1045</v>
      </c>
      <c r="G1050" s="924" t="s">
        <v>981</v>
      </c>
      <c r="H1050" s="924" t="s">
        <v>835</v>
      </c>
      <c r="I1050" s="924" t="s">
        <v>1040</v>
      </c>
      <c r="J1050" s="924" t="s">
        <v>884</v>
      </c>
      <c r="K1050" s="924" t="s">
        <v>1046</v>
      </c>
      <c r="L1050" s="925">
        <v>818.88962554931595</v>
      </c>
      <c r="M1050" s="925">
        <v>0.835089640590013</v>
      </c>
    </row>
    <row r="1051" spans="1:13" ht="11.25" customHeight="1" x14ac:dyDescent="0.2">
      <c r="A1051" s="924" t="s">
        <v>853</v>
      </c>
      <c r="B1051" s="924" t="s">
        <v>792</v>
      </c>
      <c r="C1051" s="924" t="s">
        <v>1177</v>
      </c>
      <c r="D1051" s="924" t="s">
        <v>855</v>
      </c>
      <c r="E1051" s="924" t="s">
        <v>856</v>
      </c>
      <c r="F1051" s="924" t="s">
        <v>1047</v>
      </c>
      <c r="G1051" s="924" t="s">
        <v>981</v>
      </c>
      <c r="H1051" s="924" t="s">
        <v>835</v>
      </c>
      <c r="I1051" s="924" t="s">
        <v>1040</v>
      </c>
      <c r="J1051" s="924" t="s">
        <v>884</v>
      </c>
      <c r="K1051" s="924" t="s">
        <v>1048</v>
      </c>
      <c r="L1051" s="925">
        <v>186.48304176330601</v>
      </c>
      <c r="M1051" s="925">
        <v>0.14005643199197901</v>
      </c>
    </row>
    <row r="1052" spans="1:13" ht="11.25" customHeight="1" x14ac:dyDescent="0.2">
      <c r="A1052" s="924" t="s">
        <v>853</v>
      </c>
      <c r="B1052" s="924" t="s">
        <v>792</v>
      </c>
      <c r="C1052" s="924" t="s">
        <v>1177</v>
      </c>
      <c r="D1052" s="924" t="s">
        <v>855</v>
      </c>
      <c r="E1052" s="924" t="s">
        <v>856</v>
      </c>
      <c r="F1052" s="924" t="s">
        <v>1049</v>
      </c>
      <c r="G1052" s="924" t="s">
        <v>981</v>
      </c>
      <c r="H1052" s="924" t="s">
        <v>835</v>
      </c>
      <c r="I1052" s="924" t="s">
        <v>1040</v>
      </c>
      <c r="J1052" s="924" t="s">
        <v>884</v>
      </c>
      <c r="K1052" s="924" t="s">
        <v>885</v>
      </c>
      <c r="L1052" s="925">
        <v>107.823253512383</v>
      </c>
      <c r="M1052" s="925">
        <v>0.10238099553680501</v>
      </c>
    </row>
    <row r="1053" spans="1:13" ht="11.25" customHeight="1" x14ac:dyDescent="0.2">
      <c r="A1053" s="924" t="s">
        <v>853</v>
      </c>
      <c r="B1053" s="924" t="s">
        <v>792</v>
      </c>
      <c r="C1053" s="924" t="s">
        <v>1177</v>
      </c>
      <c r="D1053" s="924" t="s">
        <v>855</v>
      </c>
      <c r="E1053" s="924" t="s">
        <v>856</v>
      </c>
      <c r="F1053" s="924" t="s">
        <v>1050</v>
      </c>
      <c r="G1053" s="924" t="s">
        <v>981</v>
      </c>
      <c r="H1053" s="924" t="s">
        <v>835</v>
      </c>
      <c r="I1053" s="924" t="s">
        <v>1040</v>
      </c>
      <c r="J1053" s="924" t="s">
        <v>859</v>
      </c>
      <c r="K1053" s="924" t="s">
        <v>913</v>
      </c>
      <c r="L1053" s="925">
        <v>1.61665086634457</v>
      </c>
      <c r="M1053" s="925">
        <v>9.5624732157517699E-4</v>
      </c>
    </row>
    <row r="1054" spans="1:13" ht="11.25" customHeight="1" x14ac:dyDescent="0.2">
      <c r="A1054" s="924" t="s">
        <v>853</v>
      </c>
      <c r="B1054" s="924" t="s">
        <v>792</v>
      </c>
      <c r="C1054" s="924" t="s">
        <v>1177</v>
      </c>
      <c r="D1054" s="924" t="s">
        <v>855</v>
      </c>
      <c r="E1054" s="924" t="s">
        <v>856</v>
      </c>
      <c r="F1054" s="924" t="s">
        <v>1051</v>
      </c>
      <c r="G1054" s="924" t="s">
        <v>981</v>
      </c>
      <c r="H1054" s="924" t="s">
        <v>835</v>
      </c>
      <c r="I1054" s="924" t="s">
        <v>1040</v>
      </c>
      <c r="J1054" s="924" t="s">
        <v>859</v>
      </c>
      <c r="K1054" s="924" t="s">
        <v>889</v>
      </c>
      <c r="L1054" s="925">
        <v>1.20977051847149E-2</v>
      </c>
      <c r="M1054" s="925">
        <v>7.8549244051373501E-6</v>
      </c>
    </row>
    <row r="1055" spans="1:13" ht="11.25" customHeight="1" x14ac:dyDescent="0.2">
      <c r="A1055" s="924" t="s">
        <v>853</v>
      </c>
      <c r="B1055" s="924" t="s">
        <v>792</v>
      </c>
      <c r="C1055" s="924" t="s">
        <v>1177</v>
      </c>
      <c r="D1055" s="924" t="s">
        <v>855</v>
      </c>
      <c r="E1055" s="924" t="s">
        <v>856</v>
      </c>
      <c r="F1055" s="924" t="s">
        <v>1052</v>
      </c>
      <c r="G1055" s="924" t="s">
        <v>981</v>
      </c>
      <c r="H1055" s="924" t="s">
        <v>835</v>
      </c>
      <c r="I1055" s="924" t="s">
        <v>1040</v>
      </c>
      <c r="J1055" s="924" t="s">
        <v>859</v>
      </c>
      <c r="K1055" s="924" t="s">
        <v>860</v>
      </c>
      <c r="L1055" s="925">
        <v>3.0450184307992498</v>
      </c>
      <c r="M1055" s="925">
        <v>2.1457241200550899E-3</v>
      </c>
    </row>
    <row r="1056" spans="1:13" ht="11.25" customHeight="1" x14ac:dyDescent="0.2">
      <c r="A1056" s="924" t="s">
        <v>853</v>
      </c>
      <c r="B1056" s="924" t="s">
        <v>792</v>
      </c>
      <c r="C1056" s="924" t="s">
        <v>1177</v>
      </c>
      <c r="D1056" s="924" t="s">
        <v>855</v>
      </c>
      <c r="E1056" s="924" t="s">
        <v>856</v>
      </c>
      <c r="F1056" s="924" t="s">
        <v>1053</v>
      </c>
      <c r="G1056" s="924" t="s">
        <v>981</v>
      </c>
      <c r="H1056" s="924" t="s">
        <v>835</v>
      </c>
      <c r="I1056" s="924" t="s">
        <v>1040</v>
      </c>
      <c r="J1056" s="924" t="s">
        <v>859</v>
      </c>
      <c r="K1056" s="924" t="s">
        <v>893</v>
      </c>
      <c r="L1056" s="925">
        <v>2.8664027824997902</v>
      </c>
      <c r="M1056" s="925">
        <v>1.74237166174862E-3</v>
      </c>
    </row>
    <row r="1057" spans="1:13" ht="11.25" customHeight="1" x14ac:dyDescent="0.2">
      <c r="A1057" s="924" t="s">
        <v>853</v>
      </c>
      <c r="B1057" s="924" t="s">
        <v>792</v>
      </c>
      <c r="C1057" s="924" t="s">
        <v>1177</v>
      </c>
      <c r="D1057" s="924" t="s">
        <v>855</v>
      </c>
      <c r="E1057" s="924" t="s">
        <v>856</v>
      </c>
      <c r="F1057" s="924" t="s">
        <v>1068</v>
      </c>
      <c r="G1057" s="924" t="s">
        <v>981</v>
      </c>
      <c r="H1057" s="924" t="s">
        <v>835</v>
      </c>
      <c r="I1057" s="924" t="s">
        <v>1040</v>
      </c>
      <c r="J1057" s="924" t="s">
        <v>859</v>
      </c>
      <c r="K1057" s="924" t="s">
        <v>897</v>
      </c>
      <c r="L1057" s="925">
        <v>5.7150366678833997</v>
      </c>
      <c r="M1057" s="925">
        <v>3.8117341483214799E-3</v>
      </c>
    </row>
    <row r="1058" spans="1:13" ht="11.25" customHeight="1" x14ac:dyDescent="0.2">
      <c r="A1058" s="924" t="s">
        <v>853</v>
      </c>
      <c r="B1058" s="924" t="s">
        <v>792</v>
      </c>
      <c r="C1058" s="924" t="s">
        <v>1177</v>
      </c>
      <c r="D1058" s="924" t="s">
        <v>855</v>
      </c>
      <c r="E1058" s="924" t="s">
        <v>856</v>
      </c>
      <c r="F1058" s="924" t="s">
        <v>1042</v>
      </c>
      <c r="G1058" s="924" t="s">
        <v>981</v>
      </c>
      <c r="H1058" s="924" t="s">
        <v>835</v>
      </c>
      <c r="I1058" s="924" t="s">
        <v>998</v>
      </c>
      <c r="J1058" s="924" t="s">
        <v>956</v>
      </c>
      <c r="K1058" s="924" t="s">
        <v>1043</v>
      </c>
      <c r="L1058" s="925">
        <v>4.3005877174437002</v>
      </c>
      <c r="M1058" s="925">
        <v>7.44910709181568E-3</v>
      </c>
    </row>
    <row r="1059" spans="1:13" ht="11.25" customHeight="1" x14ac:dyDescent="0.2">
      <c r="A1059" s="924" t="s">
        <v>853</v>
      </c>
      <c r="B1059" s="924" t="s">
        <v>792</v>
      </c>
      <c r="C1059" s="924" t="s">
        <v>1177</v>
      </c>
      <c r="D1059" s="924" t="s">
        <v>855</v>
      </c>
      <c r="E1059" s="924" t="s">
        <v>856</v>
      </c>
      <c r="F1059" s="924" t="s">
        <v>1039</v>
      </c>
      <c r="G1059" s="924" t="s">
        <v>981</v>
      </c>
      <c r="H1059" s="924" t="s">
        <v>835</v>
      </c>
      <c r="I1059" s="924" t="s">
        <v>1040</v>
      </c>
      <c r="J1059" s="924" t="s">
        <v>859</v>
      </c>
      <c r="K1059" s="924" t="s">
        <v>901</v>
      </c>
      <c r="L1059" s="925">
        <v>0.12557092937640801</v>
      </c>
      <c r="M1059" s="925">
        <v>9.2547038661905403E-5</v>
      </c>
    </row>
    <row r="1060" spans="1:13" ht="11.25" customHeight="1" x14ac:dyDescent="0.2">
      <c r="A1060" s="924" t="s">
        <v>853</v>
      </c>
      <c r="B1060" s="924" t="s">
        <v>792</v>
      </c>
      <c r="C1060" s="924" t="s">
        <v>1177</v>
      </c>
      <c r="D1060" s="924" t="s">
        <v>855</v>
      </c>
      <c r="E1060" s="924" t="s">
        <v>856</v>
      </c>
      <c r="F1060" s="924" t="s">
        <v>1054</v>
      </c>
      <c r="G1060" s="924" t="s">
        <v>981</v>
      </c>
      <c r="H1060" s="924" t="s">
        <v>835</v>
      </c>
      <c r="I1060" s="924" t="s">
        <v>998</v>
      </c>
      <c r="J1060" s="924" t="s">
        <v>875</v>
      </c>
      <c r="K1060" s="924" t="s">
        <v>880</v>
      </c>
      <c r="L1060" s="925">
        <v>2.7744361977966002E-3</v>
      </c>
      <c r="M1060" s="925">
        <v>6.1992106026309599E-6</v>
      </c>
    </row>
    <row r="1061" spans="1:13" ht="11.25" customHeight="1" x14ac:dyDescent="0.2">
      <c r="A1061" s="924" t="s">
        <v>853</v>
      </c>
      <c r="B1061" s="924" t="s">
        <v>792</v>
      </c>
      <c r="C1061" s="924" t="s">
        <v>1177</v>
      </c>
      <c r="D1061" s="924" t="s">
        <v>855</v>
      </c>
      <c r="E1061" s="924" t="s">
        <v>856</v>
      </c>
      <c r="F1061" s="924" t="s">
        <v>1058</v>
      </c>
      <c r="G1061" s="924" t="s">
        <v>981</v>
      </c>
      <c r="H1061" s="924" t="s">
        <v>835</v>
      </c>
      <c r="I1061" s="924" t="s">
        <v>1040</v>
      </c>
      <c r="J1061" s="924" t="s">
        <v>859</v>
      </c>
      <c r="K1061" s="924" t="s">
        <v>905</v>
      </c>
      <c r="L1061" s="925">
        <v>1.7629867792129501</v>
      </c>
      <c r="M1061" s="925">
        <v>1.3938453021182799E-3</v>
      </c>
    </row>
    <row r="1062" spans="1:13" ht="11.25" customHeight="1" x14ac:dyDescent="0.2">
      <c r="A1062" s="924" t="s">
        <v>853</v>
      </c>
      <c r="B1062" s="924" t="s">
        <v>792</v>
      </c>
      <c r="C1062" s="924" t="s">
        <v>1177</v>
      </c>
      <c r="D1062" s="924" t="s">
        <v>855</v>
      </c>
      <c r="E1062" s="924" t="s">
        <v>856</v>
      </c>
      <c r="F1062" s="924" t="s">
        <v>1059</v>
      </c>
      <c r="G1062" s="924" t="s">
        <v>981</v>
      </c>
      <c r="H1062" s="924" t="s">
        <v>835</v>
      </c>
      <c r="I1062" s="924" t="s">
        <v>1040</v>
      </c>
      <c r="J1062" s="924" t="s">
        <v>859</v>
      </c>
      <c r="K1062" s="924" t="s">
        <v>909</v>
      </c>
      <c r="L1062" s="925">
        <v>10.506690472364401</v>
      </c>
      <c r="M1062" s="925">
        <v>7.25350894208532E-3</v>
      </c>
    </row>
    <row r="1063" spans="1:13" ht="11.25" customHeight="1" x14ac:dyDescent="0.2">
      <c r="A1063" s="924" t="s">
        <v>853</v>
      </c>
      <c r="B1063" s="924" t="s">
        <v>792</v>
      </c>
      <c r="C1063" s="924" t="s">
        <v>1177</v>
      </c>
      <c r="D1063" s="924" t="s">
        <v>855</v>
      </c>
      <c r="E1063" s="924" t="s">
        <v>856</v>
      </c>
      <c r="F1063" s="924" t="s">
        <v>1060</v>
      </c>
      <c r="G1063" s="924" t="s">
        <v>981</v>
      </c>
      <c r="H1063" s="924" t="s">
        <v>835</v>
      </c>
      <c r="I1063" s="924" t="s">
        <v>1040</v>
      </c>
      <c r="J1063" s="924" t="s">
        <v>859</v>
      </c>
      <c r="K1063" s="924" t="s">
        <v>973</v>
      </c>
      <c r="L1063" s="925">
        <v>5.0396015755832204</v>
      </c>
      <c r="M1063" s="925">
        <v>3.4248625872450602E-3</v>
      </c>
    </row>
    <row r="1064" spans="1:13" ht="11.25" customHeight="1" x14ac:dyDescent="0.2">
      <c r="A1064" s="924" t="s">
        <v>853</v>
      </c>
      <c r="B1064" s="924" t="s">
        <v>792</v>
      </c>
      <c r="C1064" s="924" t="s">
        <v>1177</v>
      </c>
      <c r="D1064" s="924" t="s">
        <v>855</v>
      </c>
      <c r="E1064" s="924" t="s">
        <v>856</v>
      </c>
      <c r="F1064" s="924" t="s">
        <v>1061</v>
      </c>
      <c r="G1064" s="924" t="s">
        <v>981</v>
      </c>
      <c r="H1064" s="924" t="s">
        <v>835</v>
      </c>
      <c r="I1064" s="924" t="s">
        <v>1040</v>
      </c>
      <c r="J1064" s="924" t="s">
        <v>859</v>
      </c>
      <c r="K1064" s="924" t="s">
        <v>918</v>
      </c>
      <c r="L1064" s="925">
        <v>0.39038225775584601</v>
      </c>
      <c r="M1064" s="925">
        <v>1.7177104683696601E-4</v>
      </c>
    </row>
    <row r="1065" spans="1:13" ht="11.25" customHeight="1" x14ac:dyDescent="0.2">
      <c r="A1065" s="924" t="s">
        <v>853</v>
      </c>
      <c r="B1065" s="924" t="s">
        <v>792</v>
      </c>
      <c r="C1065" s="924" t="s">
        <v>1177</v>
      </c>
      <c r="D1065" s="924" t="s">
        <v>855</v>
      </c>
      <c r="E1065" s="924" t="s">
        <v>856</v>
      </c>
      <c r="F1065" s="924" t="s">
        <v>1062</v>
      </c>
      <c r="G1065" s="924" t="s">
        <v>981</v>
      </c>
      <c r="H1065" s="924" t="s">
        <v>835</v>
      </c>
      <c r="I1065" s="924" t="s">
        <v>1040</v>
      </c>
      <c r="J1065" s="924" t="s">
        <v>859</v>
      </c>
      <c r="K1065" s="924" t="s">
        <v>920</v>
      </c>
      <c r="L1065" s="925">
        <v>0.68017431814223495</v>
      </c>
      <c r="M1065" s="925">
        <v>4.59992258576847E-4</v>
      </c>
    </row>
    <row r="1066" spans="1:13" ht="11.25" customHeight="1" x14ac:dyDescent="0.2">
      <c r="A1066" s="924" t="s">
        <v>853</v>
      </c>
      <c r="B1066" s="924" t="s">
        <v>792</v>
      </c>
      <c r="C1066" s="924" t="s">
        <v>1177</v>
      </c>
      <c r="D1066" s="924" t="s">
        <v>855</v>
      </c>
      <c r="E1066" s="924" t="s">
        <v>856</v>
      </c>
      <c r="F1066" s="924" t="s">
        <v>1063</v>
      </c>
      <c r="G1066" s="924" t="s">
        <v>981</v>
      </c>
      <c r="H1066" s="924" t="s">
        <v>835</v>
      </c>
      <c r="I1066" s="924" t="s">
        <v>1040</v>
      </c>
      <c r="J1066" s="924" t="s">
        <v>859</v>
      </c>
      <c r="K1066" s="924" t="s">
        <v>922</v>
      </c>
      <c r="L1066" s="925">
        <v>0.597752868197858</v>
      </c>
      <c r="M1066" s="925">
        <v>1.08019980984864E-4</v>
      </c>
    </row>
    <row r="1067" spans="1:13" ht="11.25" customHeight="1" x14ac:dyDescent="0.2">
      <c r="A1067" s="924" t="s">
        <v>853</v>
      </c>
      <c r="B1067" s="924" t="s">
        <v>792</v>
      </c>
      <c r="C1067" s="924" t="s">
        <v>1177</v>
      </c>
      <c r="D1067" s="924" t="s">
        <v>855</v>
      </c>
      <c r="E1067" s="924" t="s">
        <v>856</v>
      </c>
      <c r="F1067" s="924" t="s">
        <v>1064</v>
      </c>
      <c r="G1067" s="924" t="s">
        <v>981</v>
      </c>
      <c r="H1067" s="924" t="s">
        <v>835</v>
      </c>
      <c r="I1067" s="924" t="s">
        <v>1040</v>
      </c>
      <c r="J1067" s="924" t="s">
        <v>859</v>
      </c>
      <c r="K1067" s="924" t="s">
        <v>924</v>
      </c>
      <c r="L1067" s="925">
        <v>1.43972260691226</v>
      </c>
      <c r="M1067" s="925">
        <v>1.07511429860097E-4</v>
      </c>
    </row>
    <row r="1068" spans="1:13" ht="11.25" customHeight="1" x14ac:dyDescent="0.2">
      <c r="A1068" s="924" t="s">
        <v>853</v>
      </c>
      <c r="B1068" s="924" t="s">
        <v>792</v>
      </c>
      <c r="C1068" s="924" t="s">
        <v>1177</v>
      </c>
      <c r="D1068" s="924" t="s">
        <v>855</v>
      </c>
      <c r="E1068" s="924" t="s">
        <v>856</v>
      </c>
      <c r="F1068" s="924" t="s">
        <v>1074</v>
      </c>
      <c r="G1068" s="924" t="s">
        <v>911</v>
      </c>
      <c r="H1068" s="924" t="s">
        <v>665</v>
      </c>
      <c r="I1068" s="924" t="s">
        <v>706</v>
      </c>
      <c r="J1068" s="924" t="s">
        <v>859</v>
      </c>
      <c r="K1068" s="924" t="s">
        <v>903</v>
      </c>
      <c r="L1068" s="925">
        <v>0.72303229290991999</v>
      </c>
      <c r="M1068" s="925">
        <v>8.0750274221941295E-5</v>
      </c>
    </row>
    <row r="1069" spans="1:13" ht="11.25" customHeight="1" x14ac:dyDescent="0.2">
      <c r="A1069" s="924" t="s">
        <v>853</v>
      </c>
      <c r="B1069" s="924" t="s">
        <v>792</v>
      </c>
      <c r="C1069" s="924" t="s">
        <v>1177</v>
      </c>
      <c r="D1069" s="924" t="s">
        <v>855</v>
      </c>
      <c r="E1069" s="924" t="s">
        <v>856</v>
      </c>
      <c r="F1069" s="924" t="s">
        <v>1066</v>
      </c>
      <c r="G1069" s="924" t="s">
        <v>981</v>
      </c>
      <c r="H1069" s="924" t="s">
        <v>835</v>
      </c>
      <c r="I1069" s="924" t="s">
        <v>1040</v>
      </c>
      <c r="J1069" s="924" t="s">
        <v>859</v>
      </c>
      <c r="K1069" s="924" t="s">
        <v>928</v>
      </c>
      <c r="L1069" s="925">
        <v>2.3410886954516199</v>
      </c>
      <c r="M1069" s="925">
        <v>1.1826134266357299E-3</v>
      </c>
    </row>
    <row r="1070" spans="1:13" ht="11.25" customHeight="1" x14ac:dyDescent="0.2">
      <c r="A1070" s="924" t="s">
        <v>853</v>
      </c>
      <c r="B1070" s="924" t="s">
        <v>792</v>
      </c>
      <c r="C1070" s="924" t="s">
        <v>1177</v>
      </c>
      <c r="D1070" s="924" t="s">
        <v>855</v>
      </c>
      <c r="E1070" s="924" t="s">
        <v>856</v>
      </c>
      <c r="F1070" s="924" t="s">
        <v>997</v>
      </c>
      <c r="G1070" s="924" t="s">
        <v>981</v>
      </c>
      <c r="H1070" s="924" t="s">
        <v>835</v>
      </c>
      <c r="I1070" s="924" t="s">
        <v>998</v>
      </c>
      <c r="J1070" s="924" t="s">
        <v>884</v>
      </c>
      <c r="K1070" s="924" t="s">
        <v>999</v>
      </c>
      <c r="L1070" s="925">
        <v>188.889589071274</v>
      </c>
      <c r="M1070" s="925">
        <v>0.60174027550965503</v>
      </c>
    </row>
    <row r="1071" spans="1:13" ht="11.25" customHeight="1" x14ac:dyDescent="0.2">
      <c r="A1071" s="924" t="s">
        <v>853</v>
      </c>
      <c r="B1071" s="924" t="s">
        <v>792</v>
      </c>
      <c r="C1071" s="924" t="s">
        <v>1177</v>
      </c>
      <c r="D1071" s="924" t="s">
        <v>855</v>
      </c>
      <c r="E1071" s="924" t="s">
        <v>856</v>
      </c>
      <c r="F1071" s="924" t="s">
        <v>1055</v>
      </c>
      <c r="G1071" s="924" t="s">
        <v>981</v>
      </c>
      <c r="H1071" s="924" t="s">
        <v>835</v>
      </c>
      <c r="I1071" s="924" t="s">
        <v>1040</v>
      </c>
      <c r="J1071" s="924" t="s">
        <v>859</v>
      </c>
      <c r="K1071" s="924" t="s">
        <v>899</v>
      </c>
      <c r="L1071" s="925">
        <v>2.4088292904198201</v>
      </c>
      <c r="M1071" s="925">
        <v>1.6938993160087201E-3</v>
      </c>
    </row>
    <row r="1072" spans="1:13" ht="11.25" customHeight="1" x14ac:dyDescent="0.2">
      <c r="A1072" s="924" t="s">
        <v>853</v>
      </c>
      <c r="B1072" s="924" t="s">
        <v>792</v>
      </c>
      <c r="C1072" s="924" t="s">
        <v>1177</v>
      </c>
      <c r="D1072" s="924" t="s">
        <v>855</v>
      </c>
      <c r="E1072" s="924" t="s">
        <v>856</v>
      </c>
      <c r="F1072" s="924" t="s">
        <v>1083</v>
      </c>
      <c r="G1072" s="924" t="s">
        <v>981</v>
      </c>
      <c r="H1072" s="924" t="s">
        <v>835</v>
      </c>
      <c r="I1072" s="924" t="s">
        <v>998</v>
      </c>
      <c r="J1072" s="924" t="s">
        <v>940</v>
      </c>
      <c r="K1072" s="924" t="s">
        <v>1084</v>
      </c>
      <c r="L1072" s="925">
        <v>1.09067796450108</v>
      </c>
      <c r="M1072" s="925">
        <v>1.99259493092541E-3</v>
      </c>
    </row>
    <row r="1073" spans="1:13" ht="11.25" customHeight="1" x14ac:dyDescent="0.2">
      <c r="A1073" s="924" t="s">
        <v>853</v>
      </c>
      <c r="B1073" s="924" t="s">
        <v>792</v>
      </c>
      <c r="C1073" s="924" t="s">
        <v>1177</v>
      </c>
      <c r="D1073" s="924" t="s">
        <v>855</v>
      </c>
      <c r="E1073" s="924" t="s">
        <v>856</v>
      </c>
      <c r="F1073" s="924" t="s">
        <v>1067</v>
      </c>
      <c r="G1073" s="924" t="s">
        <v>981</v>
      </c>
      <c r="H1073" s="924" t="s">
        <v>835</v>
      </c>
      <c r="I1073" s="924" t="s">
        <v>1040</v>
      </c>
      <c r="J1073" s="924" t="s">
        <v>859</v>
      </c>
      <c r="K1073" s="924" t="s">
        <v>1011</v>
      </c>
      <c r="L1073" s="925">
        <v>0.77822592668235302</v>
      </c>
      <c r="M1073" s="925">
        <v>5.5155517667060405E-4</v>
      </c>
    </row>
    <row r="1074" spans="1:13" ht="11.25" customHeight="1" x14ac:dyDescent="0.2">
      <c r="A1074" s="924" t="s">
        <v>853</v>
      </c>
      <c r="B1074" s="924" t="s">
        <v>792</v>
      </c>
      <c r="C1074" s="924" t="s">
        <v>1177</v>
      </c>
      <c r="D1074" s="924" t="s">
        <v>855</v>
      </c>
      <c r="E1074" s="924" t="s">
        <v>856</v>
      </c>
      <c r="F1074" s="924" t="s">
        <v>1073</v>
      </c>
      <c r="G1074" s="924" t="s">
        <v>981</v>
      </c>
      <c r="H1074" s="924" t="s">
        <v>835</v>
      </c>
      <c r="I1074" s="924" t="s">
        <v>998</v>
      </c>
      <c r="J1074" s="924" t="s">
        <v>884</v>
      </c>
      <c r="K1074" s="924" t="s">
        <v>1046</v>
      </c>
      <c r="L1074" s="925">
        <v>85.588096857070894</v>
      </c>
      <c r="M1074" s="925">
        <v>0.144509856123477</v>
      </c>
    </row>
    <row r="1075" spans="1:13" ht="11.25" customHeight="1" x14ac:dyDescent="0.2">
      <c r="A1075" s="924" t="s">
        <v>853</v>
      </c>
      <c r="B1075" s="924" t="s">
        <v>792</v>
      </c>
      <c r="C1075" s="924" t="s">
        <v>1177</v>
      </c>
      <c r="D1075" s="924" t="s">
        <v>855</v>
      </c>
      <c r="E1075" s="924" t="s">
        <v>856</v>
      </c>
      <c r="F1075" s="924" t="s">
        <v>1085</v>
      </c>
      <c r="G1075" s="924" t="s">
        <v>981</v>
      </c>
      <c r="H1075" s="924" t="s">
        <v>835</v>
      </c>
      <c r="I1075" s="924" t="s">
        <v>998</v>
      </c>
      <c r="J1075" s="924" t="s">
        <v>884</v>
      </c>
      <c r="K1075" s="924" t="s">
        <v>885</v>
      </c>
      <c r="L1075" s="925">
        <v>114.79876971244801</v>
      </c>
      <c r="M1075" s="925">
        <v>8.4323944291099906E-2</v>
      </c>
    </row>
    <row r="1076" spans="1:13" ht="11.25" customHeight="1" x14ac:dyDescent="0.2">
      <c r="A1076" s="924" t="s">
        <v>853</v>
      </c>
      <c r="B1076" s="924" t="s">
        <v>792</v>
      </c>
      <c r="C1076" s="924" t="s">
        <v>1177</v>
      </c>
      <c r="D1076" s="924" t="s">
        <v>855</v>
      </c>
      <c r="E1076" s="924" t="s">
        <v>856</v>
      </c>
      <c r="F1076" s="924" t="s">
        <v>1075</v>
      </c>
      <c r="G1076" s="924" t="s">
        <v>981</v>
      </c>
      <c r="H1076" s="924" t="s">
        <v>835</v>
      </c>
      <c r="I1076" s="924" t="s">
        <v>998</v>
      </c>
      <c r="J1076" s="924" t="s">
        <v>859</v>
      </c>
      <c r="K1076" s="924" t="s">
        <v>889</v>
      </c>
      <c r="L1076" s="925">
        <v>1.82714258506894</v>
      </c>
      <c r="M1076" s="925">
        <v>2.95714716412476E-3</v>
      </c>
    </row>
    <row r="1077" spans="1:13" ht="11.25" customHeight="1" x14ac:dyDescent="0.2">
      <c r="A1077" s="924" t="s">
        <v>853</v>
      </c>
      <c r="B1077" s="924" t="s">
        <v>792</v>
      </c>
      <c r="C1077" s="924" t="s">
        <v>1177</v>
      </c>
      <c r="D1077" s="924" t="s">
        <v>855</v>
      </c>
      <c r="E1077" s="924" t="s">
        <v>856</v>
      </c>
      <c r="F1077" s="924" t="s">
        <v>1076</v>
      </c>
      <c r="G1077" s="924" t="s">
        <v>981</v>
      </c>
      <c r="H1077" s="924" t="s">
        <v>835</v>
      </c>
      <c r="I1077" s="924" t="s">
        <v>998</v>
      </c>
      <c r="J1077" s="924" t="s">
        <v>859</v>
      </c>
      <c r="K1077" s="924" t="s">
        <v>860</v>
      </c>
      <c r="L1077" s="925">
        <v>0.11844960588496201</v>
      </c>
      <c r="M1077" s="925">
        <v>2.4471477968290899E-4</v>
      </c>
    </row>
    <row r="1078" spans="1:13" ht="11.25" customHeight="1" x14ac:dyDescent="0.2">
      <c r="A1078" s="924" t="s">
        <v>853</v>
      </c>
      <c r="B1078" s="924" t="s">
        <v>792</v>
      </c>
      <c r="C1078" s="924" t="s">
        <v>1177</v>
      </c>
      <c r="D1078" s="924" t="s">
        <v>855</v>
      </c>
      <c r="E1078" s="924" t="s">
        <v>856</v>
      </c>
      <c r="F1078" s="924" t="s">
        <v>1077</v>
      </c>
      <c r="G1078" s="924" t="s">
        <v>981</v>
      </c>
      <c r="H1078" s="924" t="s">
        <v>835</v>
      </c>
      <c r="I1078" s="924" t="s">
        <v>998</v>
      </c>
      <c r="J1078" s="924" t="s">
        <v>859</v>
      </c>
      <c r="K1078" s="924" t="s">
        <v>897</v>
      </c>
      <c r="L1078" s="925">
        <v>0.141585609875619</v>
      </c>
      <c r="M1078" s="925">
        <v>2.9650143665094198E-4</v>
      </c>
    </row>
    <row r="1079" spans="1:13" ht="11.25" customHeight="1" x14ac:dyDescent="0.2">
      <c r="A1079" s="924" t="s">
        <v>853</v>
      </c>
      <c r="B1079" s="924" t="s">
        <v>792</v>
      </c>
      <c r="C1079" s="924" t="s">
        <v>1177</v>
      </c>
      <c r="D1079" s="924" t="s">
        <v>855</v>
      </c>
      <c r="E1079" s="924" t="s">
        <v>856</v>
      </c>
      <c r="F1079" s="924" t="s">
        <v>1078</v>
      </c>
      <c r="G1079" s="924" t="s">
        <v>981</v>
      </c>
      <c r="H1079" s="924" t="s">
        <v>835</v>
      </c>
      <c r="I1079" s="924" t="s">
        <v>998</v>
      </c>
      <c r="J1079" s="924" t="s">
        <v>859</v>
      </c>
      <c r="K1079" s="924" t="s">
        <v>901</v>
      </c>
      <c r="L1079" s="925">
        <v>9.8108275051345096E-4</v>
      </c>
      <c r="M1079" s="925">
        <v>2.1921356125886902E-6</v>
      </c>
    </row>
    <row r="1080" spans="1:13" ht="11.25" customHeight="1" x14ac:dyDescent="0.2">
      <c r="A1080" s="924" t="s">
        <v>853</v>
      </c>
      <c r="B1080" s="924" t="s">
        <v>792</v>
      </c>
      <c r="C1080" s="924" t="s">
        <v>1177</v>
      </c>
      <c r="D1080" s="924" t="s">
        <v>855</v>
      </c>
      <c r="E1080" s="924" t="s">
        <v>856</v>
      </c>
      <c r="F1080" s="924" t="s">
        <v>1079</v>
      </c>
      <c r="G1080" s="924" t="s">
        <v>981</v>
      </c>
      <c r="H1080" s="924" t="s">
        <v>835</v>
      </c>
      <c r="I1080" s="924" t="s">
        <v>998</v>
      </c>
      <c r="J1080" s="924" t="s">
        <v>859</v>
      </c>
      <c r="K1080" s="924" t="s">
        <v>909</v>
      </c>
      <c r="L1080" s="925">
        <v>4.7181410044431704</v>
      </c>
      <c r="M1080" s="925">
        <v>8.4496253548422794E-3</v>
      </c>
    </row>
    <row r="1081" spans="1:13" ht="11.25" customHeight="1" x14ac:dyDescent="0.2">
      <c r="A1081" s="924" t="s">
        <v>853</v>
      </c>
      <c r="B1081" s="924" t="s">
        <v>792</v>
      </c>
      <c r="C1081" s="924" t="s">
        <v>1177</v>
      </c>
      <c r="D1081" s="924" t="s">
        <v>855</v>
      </c>
      <c r="E1081" s="924" t="s">
        <v>856</v>
      </c>
      <c r="F1081" s="924" t="s">
        <v>1080</v>
      </c>
      <c r="G1081" s="924" t="s">
        <v>981</v>
      </c>
      <c r="H1081" s="924" t="s">
        <v>835</v>
      </c>
      <c r="I1081" s="924" t="s">
        <v>998</v>
      </c>
      <c r="J1081" s="924" t="s">
        <v>859</v>
      </c>
      <c r="K1081" s="924" t="s">
        <v>920</v>
      </c>
      <c r="L1081" s="925">
        <v>2.76498276507482E-2</v>
      </c>
      <c r="M1081" s="925">
        <v>6.1780940086464398E-5</v>
      </c>
    </row>
    <row r="1082" spans="1:13" ht="11.25" customHeight="1" x14ac:dyDescent="0.2">
      <c r="A1082" s="924" t="s">
        <v>853</v>
      </c>
      <c r="B1082" s="924" t="s">
        <v>792</v>
      </c>
      <c r="C1082" s="924" t="s">
        <v>1177</v>
      </c>
      <c r="D1082" s="924" t="s">
        <v>855</v>
      </c>
      <c r="E1082" s="924" t="s">
        <v>856</v>
      </c>
      <c r="F1082" s="924" t="s">
        <v>1044</v>
      </c>
      <c r="G1082" s="924" t="s">
        <v>981</v>
      </c>
      <c r="H1082" s="924" t="s">
        <v>835</v>
      </c>
      <c r="I1082" s="924" t="s">
        <v>1040</v>
      </c>
      <c r="J1082" s="924" t="s">
        <v>884</v>
      </c>
      <c r="K1082" s="924" t="s">
        <v>999</v>
      </c>
      <c r="L1082" s="925">
        <v>86.059841752052293</v>
      </c>
      <c r="M1082" s="925">
        <v>0.118372870457279</v>
      </c>
    </row>
    <row r="1083" spans="1:13" ht="11.25" customHeight="1" x14ac:dyDescent="0.2">
      <c r="A1083" s="924" t="s">
        <v>853</v>
      </c>
      <c r="B1083" s="924" t="s">
        <v>792</v>
      </c>
      <c r="C1083" s="924" t="s">
        <v>1177</v>
      </c>
      <c r="D1083" s="924" t="s">
        <v>855</v>
      </c>
      <c r="E1083" s="924" t="s">
        <v>856</v>
      </c>
      <c r="F1083" s="924" t="s">
        <v>1103</v>
      </c>
      <c r="G1083" s="924" t="s">
        <v>981</v>
      </c>
      <c r="H1083" s="924" t="s">
        <v>835</v>
      </c>
      <c r="I1083" s="924" t="s">
        <v>998</v>
      </c>
      <c r="J1083" s="924" t="s">
        <v>863</v>
      </c>
      <c r="K1083" s="924" t="s">
        <v>864</v>
      </c>
      <c r="L1083" s="925">
        <v>2.7896976971533101E-2</v>
      </c>
      <c r="M1083" s="925">
        <v>6.2333208632026099E-5</v>
      </c>
    </row>
    <row r="1084" spans="1:13" ht="11.25" customHeight="1" x14ac:dyDescent="0.2">
      <c r="A1084" s="924" t="s">
        <v>853</v>
      </c>
      <c r="B1084" s="924" t="s">
        <v>792</v>
      </c>
      <c r="C1084" s="924" t="s">
        <v>1177</v>
      </c>
      <c r="D1084" s="924" t="s">
        <v>855</v>
      </c>
      <c r="E1084" s="924" t="s">
        <v>856</v>
      </c>
      <c r="F1084" s="924" t="s">
        <v>1082</v>
      </c>
      <c r="G1084" s="924" t="s">
        <v>981</v>
      </c>
      <c r="H1084" s="924" t="s">
        <v>835</v>
      </c>
      <c r="I1084" s="924" t="s">
        <v>998</v>
      </c>
      <c r="J1084" s="924" t="s">
        <v>875</v>
      </c>
      <c r="K1084" s="924" t="s">
        <v>952</v>
      </c>
      <c r="L1084" s="925">
        <v>4.8394902783911703E-2</v>
      </c>
      <c r="M1084" s="925">
        <v>1.0813380276886199E-4</v>
      </c>
    </row>
    <row r="1085" spans="1:13" ht="11.25" customHeight="1" x14ac:dyDescent="0.2">
      <c r="A1085" s="924" t="s">
        <v>853</v>
      </c>
      <c r="B1085" s="924" t="s">
        <v>792</v>
      </c>
      <c r="C1085" s="924" t="s">
        <v>1177</v>
      </c>
      <c r="D1085" s="924" t="s">
        <v>855</v>
      </c>
      <c r="E1085" s="924" t="s">
        <v>856</v>
      </c>
      <c r="F1085" s="924" t="s">
        <v>1069</v>
      </c>
      <c r="G1085" s="924" t="s">
        <v>981</v>
      </c>
      <c r="H1085" s="924" t="s">
        <v>835</v>
      </c>
      <c r="I1085" s="924" t="s">
        <v>998</v>
      </c>
      <c r="J1085" s="924" t="s">
        <v>940</v>
      </c>
      <c r="K1085" s="924" t="s">
        <v>1070</v>
      </c>
      <c r="L1085" s="925">
        <v>3.7936357948929098</v>
      </c>
      <c r="M1085" s="925">
        <v>7.0436079313367398E-3</v>
      </c>
    </row>
    <row r="1086" spans="1:13" ht="11.25" customHeight="1" x14ac:dyDescent="0.2">
      <c r="A1086" s="924" t="s">
        <v>853</v>
      </c>
      <c r="B1086" s="924" t="s">
        <v>792</v>
      </c>
      <c r="C1086" s="924" t="s">
        <v>1177</v>
      </c>
      <c r="D1086" s="924" t="s">
        <v>855</v>
      </c>
      <c r="E1086" s="924" t="s">
        <v>856</v>
      </c>
      <c r="F1086" s="924" t="s">
        <v>1086</v>
      </c>
      <c r="G1086" s="924" t="s">
        <v>981</v>
      </c>
      <c r="H1086" s="924" t="s">
        <v>835</v>
      </c>
      <c r="I1086" s="924" t="s">
        <v>998</v>
      </c>
      <c r="J1086" s="924" t="s">
        <v>940</v>
      </c>
      <c r="K1086" s="924" t="s">
        <v>1087</v>
      </c>
      <c r="L1086" s="925">
        <v>14.595822989940601</v>
      </c>
      <c r="M1086" s="925">
        <v>2.8101830277591899E-2</v>
      </c>
    </row>
    <row r="1087" spans="1:13" ht="11.25" customHeight="1" x14ac:dyDescent="0.2">
      <c r="A1087" s="924" t="s">
        <v>853</v>
      </c>
      <c r="B1087" s="924" t="s">
        <v>792</v>
      </c>
      <c r="C1087" s="924" t="s">
        <v>1177</v>
      </c>
      <c r="D1087" s="924" t="s">
        <v>855</v>
      </c>
      <c r="E1087" s="924" t="s">
        <v>856</v>
      </c>
      <c r="F1087" s="924" t="s">
        <v>1088</v>
      </c>
      <c r="G1087" s="924" t="s">
        <v>981</v>
      </c>
      <c r="H1087" s="924" t="s">
        <v>835</v>
      </c>
      <c r="I1087" s="924" t="s">
        <v>998</v>
      </c>
      <c r="J1087" s="924" t="s">
        <v>940</v>
      </c>
      <c r="K1087" s="924" t="s">
        <v>1089</v>
      </c>
      <c r="L1087" s="925">
        <v>36.608734607696498</v>
      </c>
      <c r="M1087" s="925">
        <v>6.6877032862976193E-2</v>
      </c>
    </row>
    <row r="1088" spans="1:13" ht="11.25" customHeight="1" x14ac:dyDescent="0.2">
      <c r="A1088" s="924" t="s">
        <v>853</v>
      </c>
      <c r="B1088" s="924" t="s">
        <v>792</v>
      </c>
      <c r="C1088" s="924" t="s">
        <v>1177</v>
      </c>
      <c r="D1088" s="924" t="s">
        <v>855</v>
      </c>
      <c r="E1088" s="924" t="s">
        <v>856</v>
      </c>
      <c r="F1088" s="924" t="s">
        <v>1090</v>
      </c>
      <c r="G1088" s="924" t="s">
        <v>981</v>
      </c>
      <c r="H1088" s="924" t="s">
        <v>835</v>
      </c>
      <c r="I1088" s="924" t="s">
        <v>998</v>
      </c>
      <c r="J1088" s="924" t="s">
        <v>940</v>
      </c>
      <c r="K1088" s="924" t="s">
        <v>1091</v>
      </c>
      <c r="L1088" s="925">
        <v>20.2247336804867</v>
      </c>
      <c r="M1088" s="925">
        <v>3.4443869459209998E-2</v>
      </c>
    </row>
    <row r="1089" spans="1:13" ht="11.25" customHeight="1" x14ac:dyDescent="0.2">
      <c r="A1089" s="924" t="s">
        <v>853</v>
      </c>
      <c r="B1089" s="924" t="s">
        <v>792</v>
      </c>
      <c r="C1089" s="924" t="s">
        <v>1177</v>
      </c>
      <c r="D1089" s="924" t="s">
        <v>855</v>
      </c>
      <c r="E1089" s="924" t="s">
        <v>856</v>
      </c>
      <c r="F1089" s="924" t="s">
        <v>1092</v>
      </c>
      <c r="G1089" s="924" t="s">
        <v>981</v>
      </c>
      <c r="H1089" s="924" t="s">
        <v>835</v>
      </c>
      <c r="I1089" s="924" t="s">
        <v>998</v>
      </c>
      <c r="J1089" s="924" t="s">
        <v>940</v>
      </c>
      <c r="K1089" s="924" t="s">
        <v>1093</v>
      </c>
      <c r="L1089" s="925">
        <v>31.917339622974399</v>
      </c>
      <c r="M1089" s="925">
        <v>6.3159317447571098E-2</v>
      </c>
    </row>
    <row r="1090" spans="1:13" ht="11.25" customHeight="1" x14ac:dyDescent="0.2">
      <c r="A1090" s="924" t="s">
        <v>853</v>
      </c>
      <c r="B1090" s="924" t="s">
        <v>792</v>
      </c>
      <c r="C1090" s="924" t="s">
        <v>1177</v>
      </c>
      <c r="D1090" s="924" t="s">
        <v>855</v>
      </c>
      <c r="E1090" s="924" t="s">
        <v>856</v>
      </c>
      <c r="F1090" s="924" t="s">
        <v>1094</v>
      </c>
      <c r="G1090" s="924" t="s">
        <v>981</v>
      </c>
      <c r="H1090" s="924" t="s">
        <v>835</v>
      </c>
      <c r="I1090" s="924" t="s">
        <v>998</v>
      </c>
      <c r="J1090" s="924" t="s">
        <v>940</v>
      </c>
      <c r="K1090" s="924" t="s">
        <v>1095</v>
      </c>
      <c r="L1090" s="925">
        <v>13.016583785414699</v>
      </c>
      <c r="M1090" s="925">
        <v>2.4277630916912998E-2</v>
      </c>
    </row>
    <row r="1091" spans="1:13" ht="11.25" customHeight="1" x14ac:dyDescent="0.2">
      <c r="A1091" s="924" t="s">
        <v>853</v>
      </c>
      <c r="B1091" s="924" t="s">
        <v>792</v>
      </c>
      <c r="C1091" s="924" t="s">
        <v>1177</v>
      </c>
      <c r="D1091" s="924" t="s">
        <v>855</v>
      </c>
      <c r="E1091" s="924" t="s">
        <v>856</v>
      </c>
      <c r="F1091" s="924" t="s">
        <v>1096</v>
      </c>
      <c r="G1091" s="924" t="s">
        <v>981</v>
      </c>
      <c r="H1091" s="924" t="s">
        <v>835</v>
      </c>
      <c r="I1091" s="924" t="s">
        <v>998</v>
      </c>
      <c r="J1091" s="924" t="s">
        <v>940</v>
      </c>
      <c r="K1091" s="924" t="s">
        <v>1023</v>
      </c>
      <c r="L1091" s="925">
        <v>29.803161032497901</v>
      </c>
      <c r="M1091" s="925">
        <v>5.5742019918398E-2</v>
      </c>
    </row>
    <row r="1092" spans="1:13" ht="11.25" customHeight="1" x14ac:dyDescent="0.2">
      <c r="A1092" s="924" t="s">
        <v>853</v>
      </c>
      <c r="B1092" s="924" t="s">
        <v>792</v>
      </c>
      <c r="C1092" s="924" t="s">
        <v>1177</v>
      </c>
      <c r="D1092" s="924" t="s">
        <v>855</v>
      </c>
      <c r="E1092" s="924" t="s">
        <v>856</v>
      </c>
      <c r="F1092" s="924" t="s">
        <v>1100</v>
      </c>
      <c r="G1092" s="924" t="s">
        <v>981</v>
      </c>
      <c r="H1092" s="924" t="s">
        <v>835</v>
      </c>
      <c r="I1092" s="924" t="s">
        <v>998</v>
      </c>
      <c r="J1092" s="924" t="s">
        <v>940</v>
      </c>
      <c r="K1092" s="924" t="s">
        <v>1032</v>
      </c>
      <c r="L1092" s="925">
        <v>1.59031657021842E-2</v>
      </c>
      <c r="M1092" s="925">
        <v>3.1884253559155702E-5</v>
      </c>
    </row>
    <row r="1093" spans="1:13" ht="11.25" customHeight="1" x14ac:dyDescent="0.2">
      <c r="A1093" s="924" t="s">
        <v>853</v>
      </c>
      <c r="B1093" s="924" t="s">
        <v>792</v>
      </c>
      <c r="C1093" s="924" t="s">
        <v>1177</v>
      </c>
      <c r="D1093" s="924" t="s">
        <v>855</v>
      </c>
      <c r="E1093" s="924" t="s">
        <v>856</v>
      </c>
      <c r="F1093" s="924" t="s">
        <v>1101</v>
      </c>
      <c r="G1093" s="924" t="s">
        <v>981</v>
      </c>
      <c r="H1093" s="924" t="s">
        <v>835</v>
      </c>
      <c r="I1093" s="924" t="s">
        <v>998</v>
      </c>
      <c r="J1093" s="924" t="s">
        <v>870</v>
      </c>
      <c r="K1093" s="924" t="s">
        <v>961</v>
      </c>
      <c r="L1093" s="925">
        <v>0.62668992625549402</v>
      </c>
      <c r="M1093" s="925">
        <v>1.0318297279354701E-3</v>
      </c>
    </row>
    <row r="1094" spans="1:13" ht="11.25" customHeight="1" x14ac:dyDescent="0.2">
      <c r="A1094" s="924" t="s">
        <v>853</v>
      </c>
      <c r="B1094" s="924" t="s">
        <v>792</v>
      </c>
      <c r="C1094" s="924" t="s">
        <v>1177</v>
      </c>
      <c r="D1094" s="924" t="s">
        <v>855</v>
      </c>
      <c r="E1094" s="924" t="s">
        <v>856</v>
      </c>
      <c r="F1094" s="924" t="s">
        <v>1102</v>
      </c>
      <c r="G1094" s="924" t="s">
        <v>981</v>
      </c>
      <c r="H1094" s="924" t="s">
        <v>835</v>
      </c>
      <c r="I1094" s="924" t="s">
        <v>998</v>
      </c>
      <c r="J1094" s="924" t="s">
        <v>875</v>
      </c>
      <c r="K1094" s="924" t="s">
        <v>876</v>
      </c>
      <c r="L1094" s="925">
        <v>1.19880224391818</v>
      </c>
      <c r="M1094" s="925">
        <v>2.4257211734948201E-3</v>
      </c>
    </row>
    <row r="1095" spans="1:13" ht="11.25" customHeight="1" x14ac:dyDescent="0.2">
      <c r="A1095" s="924" t="s">
        <v>853</v>
      </c>
      <c r="B1095" s="924" t="s">
        <v>792</v>
      </c>
      <c r="C1095" s="924" t="s">
        <v>1177</v>
      </c>
      <c r="D1095" s="924" t="s">
        <v>855</v>
      </c>
      <c r="E1095" s="924" t="s">
        <v>856</v>
      </c>
      <c r="F1095" s="924" t="s">
        <v>1081</v>
      </c>
      <c r="G1095" s="924" t="s">
        <v>981</v>
      </c>
      <c r="H1095" s="924" t="s">
        <v>835</v>
      </c>
      <c r="I1095" s="924" t="s">
        <v>998</v>
      </c>
      <c r="J1095" s="924" t="s">
        <v>863</v>
      </c>
      <c r="K1095" s="924" t="s">
        <v>935</v>
      </c>
      <c r="L1095" s="925">
        <v>0.36456456733867498</v>
      </c>
      <c r="M1095" s="925">
        <v>8.1458535805722899E-4</v>
      </c>
    </row>
    <row r="1096" spans="1:13" ht="11.25" customHeight="1" x14ac:dyDescent="0.2">
      <c r="A1096" s="924" t="s">
        <v>853</v>
      </c>
      <c r="B1096" s="924" t="s">
        <v>792</v>
      </c>
      <c r="C1096" s="924" t="s">
        <v>1177</v>
      </c>
      <c r="D1096" s="924" t="s">
        <v>855</v>
      </c>
      <c r="E1096" s="924" t="s">
        <v>856</v>
      </c>
      <c r="F1096" s="924" t="s">
        <v>1121</v>
      </c>
      <c r="G1096" s="924" t="s">
        <v>981</v>
      </c>
      <c r="H1096" s="924" t="s">
        <v>835</v>
      </c>
      <c r="I1096" s="924" t="s">
        <v>1040</v>
      </c>
      <c r="J1096" s="924" t="s">
        <v>875</v>
      </c>
      <c r="K1096" s="924" t="s">
        <v>948</v>
      </c>
      <c r="L1096" s="925">
        <v>70.095311045646696</v>
      </c>
      <c r="M1096" s="925">
        <v>4.37678832685151E-2</v>
      </c>
    </row>
    <row r="1097" spans="1:13" ht="11.25" customHeight="1" x14ac:dyDescent="0.2">
      <c r="A1097" s="924" t="s">
        <v>853</v>
      </c>
      <c r="B1097" s="924" t="s">
        <v>792</v>
      </c>
      <c r="C1097" s="924" t="s">
        <v>1177</v>
      </c>
      <c r="D1097" s="924" t="s">
        <v>855</v>
      </c>
      <c r="E1097" s="924" t="s">
        <v>856</v>
      </c>
      <c r="F1097" s="924" t="s">
        <v>1109</v>
      </c>
      <c r="G1097" s="924" t="s">
        <v>981</v>
      </c>
      <c r="H1097" s="924" t="s">
        <v>835</v>
      </c>
      <c r="I1097" s="924" t="s">
        <v>1040</v>
      </c>
      <c r="J1097" s="924" t="s">
        <v>870</v>
      </c>
      <c r="K1097" s="924" t="s">
        <v>976</v>
      </c>
      <c r="L1097" s="925">
        <v>5.8834788855165199</v>
      </c>
      <c r="M1097" s="925">
        <v>1.2022857862081799E-3</v>
      </c>
    </row>
    <row r="1098" spans="1:13" ht="11.25" customHeight="1" x14ac:dyDescent="0.2">
      <c r="A1098" s="924" t="s">
        <v>853</v>
      </c>
      <c r="B1098" s="924" t="s">
        <v>792</v>
      </c>
      <c r="C1098" s="924" t="s">
        <v>1177</v>
      </c>
      <c r="D1098" s="924" t="s">
        <v>855</v>
      </c>
      <c r="E1098" s="924" t="s">
        <v>856</v>
      </c>
      <c r="F1098" s="924" t="s">
        <v>1110</v>
      </c>
      <c r="G1098" s="924" t="s">
        <v>981</v>
      </c>
      <c r="H1098" s="924" t="s">
        <v>835</v>
      </c>
      <c r="I1098" s="924" t="s">
        <v>1040</v>
      </c>
      <c r="J1098" s="924" t="s">
        <v>870</v>
      </c>
      <c r="K1098" s="924" t="s">
        <v>1019</v>
      </c>
      <c r="L1098" s="925">
        <v>4.5435181193170103E-2</v>
      </c>
      <c r="M1098" s="925">
        <v>3.80257326106914E-5</v>
      </c>
    </row>
    <row r="1099" spans="1:13" ht="11.25" customHeight="1" x14ac:dyDescent="0.2">
      <c r="A1099" s="924" t="s">
        <v>853</v>
      </c>
      <c r="B1099" s="924" t="s">
        <v>792</v>
      </c>
      <c r="C1099" s="924" t="s">
        <v>1177</v>
      </c>
      <c r="D1099" s="924" t="s">
        <v>855</v>
      </c>
      <c r="E1099" s="924" t="s">
        <v>856</v>
      </c>
      <c r="F1099" s="924" t="s">
        <v>1111</v>
      </c>
      <c r="G1099" s="924" t="s">
        <v>981</v>
      </c>
      <c r="H1099" s="924" t="s">
        <v>835</v>
      </c>
      <c r="I1099" s="924" t="s">
        <v>1040</v>
      </c>
      <c r="J1099" s="924" t="s">
        <v>870</v>
      </c>
      <c r="K1099" s="924" t="s">
        <v>1016</v>
      </c>
      <c r="L1099" s="925">
        <v>4.0676897307857898</v>
      </c>
      <c r="M1099" s="925">
        <v>3.4153924636939302E-3</v>
      </c>
    </row>
    <row r="1100" spans="1:13" ht="11.25" customHeight="1" x14ac:dyDescent="0.2">
      <c r="A1100" s="924" t="s">
        <v>853</v>
      </c>
      <c r="B1100" s="924" t="s">
        <v>792</v>
      </c>
      <c r="C1100" s="924" t="s">
        <v>1177</v>
      </c>
      <c r="D1100" s="924" t="s">
        <v>855</v>
      </c>
      <c r="E1100" s="924" t="s">
        <v>856</v>
      </c>
      <c r="F1100" s="924" t="s">
        <v>1112</v>
      </c>
      <c r="G1100" s="924" t="s">
        <v>981</v>
      </c>
      <c r="H1100" s="924" t="s">
        <v>835</v>
      </c>
      <c r="I1100" s="924" t="s">
        <v>1040</v>
      </c>
      <c r="J1100" s="924" t="s">
        <v>870</v>
      </c>
      <c r="K1100" s="924" t="s">
        <v>959</v>
      </c>
      <c r="L1100" s="925">
        <v>1.25321386847645</v>
      </c>
      <c r="M1100" s="925">
        <v>8.2493953277662502E-4</v>
      </c>
    </row>
    <row r="1101" spans="1:13" ht="11.25" customHeight="1" x14ac:dyDescent="0.2">
      <c r="A1101" s="924" t="s">
        <v>853</v>
      </c>
      <c r="B1101" s="924" t="s">
        <v>792</v>
      </c>
      <c r="C1101" s="924" t="s">
        <v>1177</v>
      </c>
      <c r="D1101" s="924" t="s">
        <v>855</v>
      </c>
      <c r="E1101" s="924" t="s">
        <v>856</v>
      </c>
      <c r="F1101" s="924" t="s">
        <v>1113</v>
      </c>
      <c r="G1101" s="924" t="s">
        <v>981</v>
      </c>
      <c r="H1101" s="924" t="s">
        <v>835</v>
      </c>
      <c r="I1101" s="924" t="s">
        <v>1040</v>
      </c>
      <c r="J1101" s="924" t="s">
        <v>870</v>
      </c>
      <c r="K1101" s="924" t="s">
        <v>961</v>
      </c>
      <c r="L1101" s="925">
        <v>13.6947512738407</v>
      </c>
      <c r="M1101" s="925">
        <v>1.0357828136193299E-2</v>
      </c>
    </row>
    <row r="1102" spans="1:13" ht="11.25" customHeight="1" x14ac:dyDescent="0.2">
      <c r="A1102" s="924" t="s">
        <v>853</v>
      </c>
      <c r="B1102" s="924" t="s">
        <v>792</v>
      </c>
      <c r="C1102" s="924" t="s">
        <v>1177</v>
      </c>
      <c r="D1102" s="924" t="s">
        <v>855</v>
      </c>
      <c r="E1102" s="924" t="s">
        <v>856</v>
      </c>
      <c r="F1102" s="924" t="s">
        <v>1114</v>
      </c>
      <c r="G1102" s="924" t="s">
        <v>981</v>
      </c>
      <c r="H1102" s="924" t="s">
        <v>835</v>
      </c>
      <c r="I1102" s="924" t="s">
        <v>1040</v>
      </c>
      <c r="J1102" s="924" t="s">
        <v>870</v>
      </c>
      <c r="K1102" s="924" t="s">
        <v>963</v>
      </c>
      <c r="L1102" s="925">
        <v>29.866554677486398</v>
      </c>
      <c r="M1102" s="925">
        <v>4.9560984592972097E-2</v>
      </c>
    </row>
    <row r="1103" spans="1:13" ht="11.25" customHeight="1" x14ac:dyDescent="0.2">
      <c r="A1103" s="924" t="s">
        <v>853</v>
      </c>
      <c r="B1103" s="924" t="s">
        <v>792</v>
      </c>
      <c r="C1103" s="924" t="s">
        <v>1177</v>
      </c>
      <c r="D1103" s="924" t="s">
        <v>855</v>
      </c>
      <c r="E1103" s="924" t="s">
        <v>856</v>
      </c>
      <c r="F1103" s="924" t="s">
        <v>1115</v>
      </c>
      <c r="G1103" s="924" t="s">
        <v>981</v>
      </c>
      <c r="H1103" s="924" t="s">
        <v>835</v>
      </c>
      <c r="I1103" s="924" t="s">
        <v>1040</v>
      </c>
      <c r="J1103" s="924" t="s">
        <v>870</v>
      </c>
      <c r="K1103" s="924" t="s">
        <v>965</v>
      </c>
      <c r="L1103" s="925">
        <v>6.4419690035283601</v>
      </c>
      <c r="M1103" s="925">
        <v>5.4089298496364799E-3</v>
      </c>
    </row>
    <row r="1104" spans="1:13" ht="11.25" customHeight="1" x14ac:dyDescent="0.2">
      <c r="A1104" s="924" t="s">
        <v>853</v>
      </c>
      <c r="B1104" s="924" t="s">
        <v>792</v>
      </c>
      <c r="C1104" s="924" t="s">
        <v>1177</v>
      </c>
      <c r="D1104" s="924" t="s">
        <v>855</v>
      </c>
      <c r="E1104" s="924" t="s">
        <v>856</v>
      </c>
      <c r="F1104" s="924" t="s">
        <v>1130</v>
      </c>
      <c r="G1104" s="924" t="s">
        <v>981</v>
      </c>
      <c r="H1104" s="924" t="s">
        <v>835</v>
      </c>
      <c r="I1104" s="924" t="s">
        <v>1040</v>
      </c>
      <c r="J1104" s="924" t="s">
        <v>870</v>
      </c>
      <c r="K1104" s="924" t="s">
        <v>871</v>
      </c>
      <c r="L1104" s="925">
        <v>9.2829025425016898</v>
      </c>
      <c r="M1104" s="925">
        <v>7.3832679149745698E-3</v>
      </c>
    </row>
    <row r="1105" spans="1:13" ht="11.25" customHeight="1" x14ac:dyDescent="0.2">
      <c r="A1105" s="924" t="s">
        <v>853</v>
      </c>
      <c r="B1105" s="924" t="s">
        <v>792</v>
      </c>
      <c r="C1105" s="924" t="s">
        <v>1177</v>
      </c>
      <c r="D1105" s="924" t="s">
        <v>855</v>
      </c>
      <c r="E1105" s="924" t="s">
        <v>856</v>
      </c>
      <c r="F1105" s="924" t="s">
        <v>1133</v>
      </c>
      <c r="G1105" s="924" t="s">
        <v>911</v>
      </c>
      <c r="H1105" s="924" t="s">
        <v>665</v>
      </c>
      <c r="I1105" s="924" t="s">
        <v>706</v>
      </c>
      <c r="J1105" s="924" t="s">
        <v>859</v>
      </c>
      <c r="K1105" s="924" t="s">
        <v>899</v>
      </c>
      <c r="L1105" s="925">
        <v>4.0273483318742399E-2</v>
      </c>
      <c r="M1105" s="925">
        <v>4.0122983495649603E-6</v>
      </c>
    </row>
    <row r="1106" spans="1:13" ht="11.25" customHeight="1" x14ac:dyDescent="0.2">
      <c r="A1106" s="924" t="s">
        <v>853</v>
      </c>
      <c r="B1106" s="924" t="s">
        <v>792</v>
      </c>
      <c r="C1106" s="924" t="s">
        <v>1177</v>
      </c>
      <c r="D1106" s="924" t="s">
        <v>855</v>
      </c>
      <c r="E1106" s="924" t="s">
        <v>856</v>
      </c>
      <c r="F1106" s="924" t="s">
        <v>1108</v>
      </c>
      <c r="G1106" s="924" t="s">
        <v>981</v>
      </c>
      <c r="H1106" s="924" t="s">
        <v>835</v>
      </c>
      <c r="I1106" s="924" t="s">
        <v>1040</v>
      </c>
      <c r="J1106" s="924" t="s">
        <v>870</v>
      </c>
      <c r="K1106" s="924" t="s">
        <v>1036</v>
      </c>
      <c r="L1106" s="925">
        <v>1.5247193002142001</v>
      </c>
      <c r="M1106" s="925">
        <v>1.03014522733247E-3</v>
      </c>
    </row>
    <row r="1107" spans="1:13" ht="11.25" customHeight="1" x14ac:dyDescent="0.2">
      <c r="A1107" s="924" t="s">
        <v>853</v>
      </c>
      <c r="B1107" s="924" t="s">
        <v>792</v>
      </c>
      <c r="C1107" s="924" t="s">
        <v>1177</v>
      </c>
      <c r="D1107" s="924" t="s">
        <v>855</v>
      </c>
      <c r="E1107" s="924" t="s">
        <v>856</v>
      </c>
      <c r="F1107" s="924" t="s">
        <v>1120</v>
      </c>
      <c r="G1107" s="924" t="s">
        <v>981</v>
      </c>
      <c r="H1107" s="924" t="s">
        <v>835</v>
      </c>
      <c r="I1107" s="924" t="s">
        <v>1040</v>
      </c>
      <c r="J1107" s="924" t="s">
        <v>875</v>
      </c>
      <c r="K1107" s="924" t="s">
        <v>880</v>
      </c>
      <c r="L1107" s="925">
        <v>32.5757504105568</v>
      </c>
      <c r="M1107" s="925">
        <v>1.88781739221895E-2</v>
      </c>
    </row>
    <row r="1108" spans="1:13" ht="11.25" customHeight="1" x14ac:dyDescent="0.2">
      <c r="A1108" s="924" t="s">
        <v>853</v>
      </c>
      <c r="B1108" s="924" t="s">
        <v>792</v>
      </c>
      <c r="C1108" s="924" t="s">
        <v>1177</v>
      </c>
      <c r="D1108" s="924" t="s">
        <v>855</v>
      </c>
      <c r="E1108" s="924" t="s">
        <v>856</v>
      </c>
      <c r="F1108" s="924" t="s">
        <v>1117</v>
      </c>
      <c r="G1108" s="924" t="s">
        <v>981</v>
      </c>
      <c r="H1108" s="924" t="s">
        <v>835</v>
      </c>
      <c r="I1108" s="924" t="s">
        <v>1040</v>
      </c>
      <c r="J1108" s="924" t="s">
        <v>870</v>
      </c>
      <c r="K1108" s="924" t="s">
        <v>873</v>
      </c>
      <c r="L1108" s="925">
        <v>10.235603298991901</v>
      </c>
      <c r="M1108" s="925">
        <v>1.02528886031905E-3</v>
      </c>
    </row>
    <row r="1109" spans="1:13" ht="11.25" customHeight="1" x14ac:dyDescent="0.2">
      <c r="A1109" s="924" t="s">
        <v>853</v>
      </c>
      <c r="B1109" s="924" t="s">
        <v>792</v>
      </c>
      <c r="C1109" s="924" t="s">
        <v>1177</v>
      </c>
      <c r="D1109" s="924" t="s">
        <v>855</v>
      </c>
      <c r="E1109" s="924" t="s">
        <v>856</v>
      </c>
      <c r="F1109" s="924" t="s">
        <v>1122</v>
      </c>
      <c r="G1109" s="924" t="s">
        <v>981</v>
      </c>
      <c r="H1109" s="924" t="s">
        <v>835</v>
      </c>
      <c r="I1109" s="924" t="s">
        <v>1040</v>
      </c>
      <c r="J1109" s="924" t="s">
        <v>875</v>
      </c>
      <c r="K1109" s="924" t="s">
        <v>950</v>
      </c>
      <c r="L1109" s="925">
        <v>110.868984699249</v>
      </c>
      <c r="M1109" s="925">
        <v>7.6753130691812999E-2</v>
      </c>
    </row>
    <row r="1110" spans="1:13" ht="11.25" customHeight="1" x14ac:dyDescent="0.2">
      <c r="A1110" s="924" t="s">
        <v>853</v>
      </c>
      <c r="B1110" s="924" t="s">
        <v>792</v>
      </c>
      <c r="C1110" s="924" t="s">
        <v>1177</v>
      </c>
      <c r="D1110" s="924" t="s">
        <v>855</v>
      </c>
      <c r="E1110" s="924" t="s">
        <v>856</v>
      </c>
      <c r="F1110" s="924" t="s">
        <v>1123</v>
      </c>
      <c r="G1110" s="924" t="s">
        <v>981</v>
      </c>
      <c r="H1110" s="924" t="s">
        <v>835</v>
      </c>
      <c r="I1110" s="924" t="s">
        <v>1040</v>
      </c>
      <c r="J1110" s="924" t="s">
        <v>875</v>
      </c>
      <c r="K1110" s="924" t="s">
        <v>952</v>
      </c>
      <c r="L1110" s="925">
        <v>5.2009017765522003</v>
      </c>
      <c r="M1110" s="925">
        <v>3.6113733763016901E-3</v>
      </c>
    </row>
    <row r="1111" spans="1:13" ht="11.25" customHeight="1" x14ac:dyDescent="0.2">
      <c r="A1111" s="924" t="s">
        <v>853</v>
      </c>
      <c r="B1111" s="924" t="s">
        <v>792</v>
      </c>
      <c r="C1111" s="924" t="s">
        <v>1177</v>
      </c>
      <c r="D1111" s="924" t="s">
        <v>855</v>
      </c>
      <c r="E1111" s="924" t="s">
        <v>856</v>
      </c>
      <c r="F1111" s="924" t="s">
        <v>1124</v>
      </c>
      <c r="G1111" s="924" t="s">
        <v>981</v>
      </c>
      <c r="H1111" s="924" t="s">
        <v>835</v>
      </c>
      <c r="I1111" s="924" t="s">
        <v>1040</v>
      </c>
      <c r="J1111" s="924" t="s">
        <v>956</v>
      </c>
      <c r="K1111" s="924" t="s">
        <v>1125</v>
      </c>
      <c r="L1111" s="925">
        <v>9.5859812498092705</v>
      </c>
      <c r="M1111" s="925">
        <v>7.6580242201202998E-3</v>
      </c>
    </row>
    <row r="1112" spans="1:13" ht="11.25" customHeight="1" x14ac:dyDescent="0.2">
      <c r="A1112" s="924" t="s">
        <v>853</v>
      </c>
      <c r="B1112" s="924" t="s">
        <v>792</v>
      </c>
      <c r="C1112" s="924" t="s">
        <v>1177</v>
      </c>
      <c r="D1112" s="924" t="s">
        <v>855</v>
      </c>
      <c r="E1112" s="924" t="s">
        <v>856</v>
      </c>
      <c r="F1112" s="924" t="s">
        <v>1126</v>
      </c>
      <c r="G1112" s="924" t="s">
        <v>981</v>
      </c>
      <c r="H1112" s="924" t="s">
        <v>835</v>
      </c>
      <c r="I1112" s="924" t="s">
        <v>1040</v>
      </c>
      <c r="J1112" s="924" t="s">
        <v>956</v>
      </c>
      <c r="K1112" s="924" t="s">
        <v>957</v>
      </c>
      <c r="L1112" s="925">
        <v>0.110447771963663</v>
      </c>
      <c r="M1112" s="925">
        <v>8.6522327137572602E-5</v>
      </c>
    </row>
    <row r="1113" spans="1:13" ht="11.25" customHeight="1" x14ac:dyDescent="0.2">
      <c r="A1113" s="924" t="s">
        <v>853</v>
      </c>
      <c r="B1113" s="924" t="s">
        <v>792</v>
      </c>
      <c r="C1113" s="924" t="s">
        <v>1177</v>
      </c>
      <c r="D1113" s="924" t="s">
        <v>855</v>
      </c>
      <c r="E1113" s="924" t="s">
        <v>856</v>
      </c>
      <c r="F1113" s="924" t="s">
        <v>1127</v>
      </c>
      <c r="G1113" s="924" t="s">
        <v>911</v>
      </c>
      <c r="H1113" s="924" t="s">
        <v>665</v>
      </c>
      <c r="I1113" s="924" t="s">
        <v>706</v>
      </c>
      <c r="J1113" s="924" t="s">
        <v>884</v>
      </c>
      <c r="K1113" s="924" t="s">
        <v>885</v>
      </c>
      <c r="L1113" s="925">
        <v>7.3753137737512597</v>
      </c>
      <c r="M1113" s="925">
        <v>3.2048308439698299E-3</v>
      </c>
    </row>
    <row r="1114" spans="1:13" ht="11.25" customHeight="1" x14ac:dyDescent="0.2">
      <c r="A1114" s="924" t="s">
        <v>853</v>
      </c>
      <c r="B1114" s="924" t="s">
        <v>792</v>
      </c>
      <c r="C1114" s="924" t="s">
        <v>1177</v>
      </c>
      <c r="D1114" s="924" t="s">
        <v>855</v>
      </c>
      <c r="E1114" s="924" t="s">
        <v>856</v>
      </c>
      <c r="F1114" s="924" t="s">
        <v>1128</v>
      </c>
      <c r="G1114" s="924" t="s">
        <v>911</v>
      </c>
      <c r="H1114" s="924" t="s">
        <v>665</v>
      </c>
      <c r="I1114" s="924" t="s">
        <v>706</v>
      </c>
      <c r="J1114" s="924" t="s">
        <v>859</v>
      </c>
      <c r="K1114" s="924" t="s">
        <v>913</v>
      </c>
      <c r="L1114" s="925">
        <v>0.23411570023745301</v>
      </c>
      <c r="M1114" s="925">
        <v>2.58142962223928E-5</v>
      </c>
    </row>
    <row r="1115" spans="1:13" ht="11.25" customHeight="1" x14ac:dyDescent="0.2">
      <c r="A1115" s="924" t="s">
        <v>853</v>
      </c>
      <c r="B1115" s="924" t="s">
        <v>792</v>
      </c>
      <c r="C1115" s="924" t="s">
        <v>1177</v>
      </c>
      <c r="D1115" s="924" t="s">
        <v>855</v>
      </c>
      <c r="E1115" s="924" t="s">
        <v>856</v>
      </c>
      <c r="F1115" s="924" t="s">
        <v>1118</v>
      </c>
      <c r="G1115" s="924" t="s">
        <v>911</v>
      </c>
      <c r="H1115" s="924" t="s">
        <v>665</v>
      </c>
      <c r="I1115" s="924" t="s">
        <v>706</v>
      </c>
      <c r="J1115" s="924" t="s">
        <v>859</v>
      </c>
      <c r="K1115" s="924" t="s">
        <v>893</v>
      </c>
      <c r="L1115" s="925">
        <v>0.39698745403438801</v>
      </c>
      <c r="M1115" s="925">
        <v>1.9206766125989799E-5</v>
      </c>
    </row>
    <row r="1116" spans="1:13" ht="11.25" customHeight="1" x14ac:dyDescent="0.2">
      <c r="A1116" s="924" t="s">
        <v>853</v>
      </c>
      <c r="B1116" s="924" t="s">
        <v>792</v>
      </c>
      <c r="C1116" s="924" t="s">
        <v>1177</v>
      </c>
      <c r="D1116" s="924" t="s">
        <v>855</v>
      </c>
      <c r="E1116" s="924" t="s">
        <v>856</v>
      </c>
      <c r="F1116" s="924" t="s">
        <v>1129</v>
      </c>
      <c r="G1116" s="924" t="s">
        <v>911</v>
      </c>
      <c r="H1116" s="924" t="s">
        <v>665</v>
      </c>
      <c r="I1116" s="924" t="s">
        <v>706</v>
      </c>
      <c r="J1116" s="924" t="s">
        <v>859</v>
      </c>
      <c r="K1116" s="924" t="s">
        <v>897</v>
      </c>
      <c r="L1116" s="925">
        <v>6.4654336078092497E-2</v>
      </c>
      <c r="M1116" s="925">
        <v>2.3499604925092399E-5</v>
      </c>
    </row>
    <row r="1117" spans="1:13" ht="11.25" customHeight="1" x14ac:dyDescent="0.2">
      <c r="A1117" s="924" t="s">
        <v>853</v>
      </c>
      <c r="B1117" s="924" t="s">
        <v>792</v>
      </c>
      <c r="C1117" s="924" t="s">
        <v>1177</v>
      </c>
      <c r="D1117" s="924" t="s">
        <v>855</v>
      </c>
      <c r="E1117" s="924" t="s">
        <v>856</v>
      </c>
      <c r="F1117" s="924" t="s">
        <v>1138</v>
      </c>
      <c r="G1117" s="924" t="s">
        <v>981</v>
      </c>
      <c r="H1117" s="924" t="s">
        <v>835</v>
      </c>
      <c r="I1117" s="924" t="s">
        <v>1040</v>
      </c>
      <c r="J1117" s="924" t="s">
        <v>863</v>
      </c>
      <c r="K1117" s="924" t="s">
        <v>931</v>
      </c>
      <c r="L1117" s="925">
        <v>39.758301615714998</v>
      </c>
      <c r="M1117" s="925">
        <v>1.53216950311617E-2</v>
      </c>
    </row>
    <row r="1118" spans="1:13" ht="11.25" customHeight="1" x14ac:dyDescent="0.2">
      <c r="A1118" s="924" t="s">
        <v>853</v>
      </c>
      <c r="B1118" s="924" t="s">
        <v>792</v>
      </c>
      <c r="C1118" s="924" t="s">
        <v>1177</v>
      </c>
      <c r="D1118" s="924" t="s">
        <v>855</v>
      </c>
      <c r="E1118" s="924" t="s">
        <v>856</v>
      </c>
      <c r="F1118" s="924" t="s">
        <v>1056</v>
      </c>
      <c r="G1118" s="924" t="s">
        <v>981</v>
      </c>
      <c r="H1118" s="924" t="s">
        <v>835</v>
      </c>
      <c r="I1118" s="924" t="s">
        <v>998</v>
      </c>
      <c r="J1118" s="924" t="s">
        <v>875</v>
      </c>
      <c r="K1118" s="924" t="s">
        <v>878</v>
      </c>
      <c r="L1118" s="925">
        <v>7.9986761882901201</v>
      </c>
      <c r="M1118" s="925">
        <v>1.5426633006427401E-2</v>
      </c>
    </row>
    <row r="1119" spans="1:13" ht="11.25" customHeight="1" x14ac:dyDescent="0.2">
      <c r="A1119" s="924" t="s">
        <v>853</v>
      </c>
      <c r="B1119" s="924" t="s">
        <v>792</v>
      </c>
      <c r="C1119" s="924" t="s">
        <v>1177</v>
      </c>
      <c r="D1119" s="924" t="s">
        <v>855</v>
      </c>
      <c r="E1119" s="924" t="s">
        <v>856</v>
      </c>
      <c r="F1119" s="924" t="s">
        <v>1104</v>
      </c>
      <c r="G1119" s="924" t="s">
        <v>981</v>
      </c>
      <c r="H1119" s="924" t="s">
        <v>835</v>
      </c>
      <c r="I1119" s="924" t="s">
        <v>1040</v>
      </c>
      <c r="J1119" s="924" t="s">
        <v>875</v>
      </c>
      <c r="K1119" s="924" t="s">
        <v>876</v>
      </c>
      <c r="L1119" s="925">
        <v>246.62966465950001</v>
      </c>
      <c r="M1119" s="925">
        <v>0.165672722971067</v>
      </c>
    </row>
    <row r="1120" spans="1:13" ht="11.25" customHeight="1" x14ac:dyDescent="0.2">
      <c r="A1120" s="924" t="s">
        <v>853</v>
      </c>
      <c r="B1120" s="924" t="s">
        <v>792</v>
      </c>
      <c r="C1120" s="924" t="s">
        <v>1177</v>
      </c>
      <c r="D1120" s="924" t="s">
        <v>855</v>
      </c>
      <c r="E1120" s="924" t="s">
        <v>856</v>
      </c>
      <c r="F1120" s="924" t="s">
        <v>1136</v>
      </c>
      <c r="G1120" s="924" t="s">
        <v>981</v>
      </c>
      <c r="H1120" s="924" t="s">
        <v>835</v>
      </c>
      <c r="I1120" s="924" t="s">
        <v>1040</v>
      </c>
      <c r="J1120" s="924" t="s">
        <v>863</v>
      </c>
      <c r="K1120" s="924" t="s">
        <v>864</v>
      </c>
      <c r="L1120" s="925">
        <v>61.718074262142203</v>
      </c>
      <c r="M1120" s="925">
        <v>4.61023672833107E-2</v>
      </c>
    </row>
    <row r="1121" spans="1:13" ht="11.25" customHeight="1" x14ac:dyDescent="0.2">
      <c r="A1121" s="924" t="s">
        <v>853</v>
      </c>
      <c r="B1121" s="924" t="s">
        <v>792</v>
      </c>
      <c r="C1121" s="924" t="s">
        <v>1177</v>
      </c>
      <c r="D1121" s="924" t="s">
        <v>855</v>
      </c>
      <c r="E1121" s="924" t="s">
        <v>856</v>
      </c>
      <c r="F1121" s="924" t="s">
        <v>1134</v>
      </c>
      <c r="G1121" s="924" t="s">
        <v>981</v>
      </c>
      <c r="H1121" s="924" t="s">
        <v>835</v>
      </c>
      <c r="I1121" s="924" t="s">
        <v>1040</v>
      </c>
      <c r="J1121" s="924" t="s">
        <v>863</v>
      </c>
      <c r="K1121" s="924" t="s">
        <v>933</v>
      </c>
      <c r="L1121" s="925">
        <v>152.56470274925201</v>
      </c>
      <c r="M1121" s="925">
        <v>1.07832411595155E-2</v>
      </c>
    </row>
    <row r="1122" spans="1:13" ht="11.25" customHeight="1" x14ac:dyDescent="0.2">
      <c r="A1122" s="924" t="s">
        <v>853</v>
      </c>
      <c r="B1122" s="924" t="s">
        <v>792</v>
      </c>
      <c r="C1122" s="924" t="s">
        <v>1177</v>
      </c>
      <c r="D1122" s="924" t="s">
        <v>855</v>
      </c>
      <c r="E1122" s="924" t="s">
        <v>856</v>
      </c>
      <c r="F1122" s="924" t="s">
        <v>1119</v>
      </c>
      <c r="G1122" s="924" t="s">
        <v>981</v>
      </c>
      <c r="H1122" s="924" t="s">
        <v>835</v>
      </c>
      <c r="I1122" s="924" t="s">
        <v>1040</v>
      </c>
      <c r="J1122" s="924" t="s">
        <v>875</v>
      </c>
      <c r="K1122" s="924" t="s">
        <v>878</v>
      </c>
      <c r="L1122" s="925">
        <v>61.593911409378101</v>
      </c>
      <c r="M1122" s="925">
        <v>4.0927092913989299E-2</v>
      </c>
    </row>
    <row r="1123" spans="1:13" ht="11.25" customHeight="1" x14ac:dyDescent="0.2">
      <c r="A1123" s="924" t="s">
        <v>853</v>
      </c>
      <c r="B1123" s="924" t="s">
        <v>792</v>
      </c>
      <c r="C1123" s="924" t="s">
        <v>1177</v>
      </c>
      <c r="D1123" s="924" t="s">
        <v>855</v>
      </c>
      <c r="E1123" s="924" t="s">
        <v>856</v>
      </c>
      <c r="F1123" s="924" t="s">
        <v>1135</v>
      </c>
      <c r="G1123" s="924" t="s">
        <v>981</v>
      </c>
      <c r="H1123" s="924" t="s">
        <v>835</v>
      </c>
      <c r="I1123" s="924" t="s">
        <v>1040</v>
      </c>
      <c r="J1123" s="924" t="s">
        <v>863</v>
      </c>
      <c r="K1123" s="924" t="s">
        <v>935</v>
      </c>
      <c r="L1123" s="925">
        <v>32.844967246055603</v>
      </c>
      <c r="M1123" s="925">
        <v>1.18287619407056E-2</v>
      </c>
    </row>
    <row r="1124" spans="1:13" ht="11.25" customHeight="1" x14ac:dyDescent="0.2">
      <c r="A1124" s="924" t="s">
        <v>853</v>
      </c>
      <c r="B1124" s="924" t="s">
        <v>792</v>
      </c>
      <c r="C1124" s="924" t="s">
        <v>1177</v>
      </c>
      <c r="D1124" s="924" t="s">
        <v>855</v>
      </c>
      <c r="E1124" s="924" t="s">
        <v>856</v>
      </c>
      <c r="F1124" s="924" t="s">
        <v>1107</v>
      </c>
      <c r="G1124" s="924" t="s">
        <v>981</v>
      </c>
      <c r="H1124" s="924" t="s">
        <v>835</v>
      </c>
      <c r="I1124" s="924" t="s">
        <v>1040</v>
      </c>
      <c r="J1124" s="924" t="s">
        <v>940</v>
      </c>
      <c r="K1124" s="924" t="s">
        <v>1034</v>
      </c>
      <c r="L1124" s="925">
        <v>15.9858450517058</v>
      </c>
      <c r="M1124" s="925">
        <v>1.16022008667223E-2</v>
      </c>
    </row>
    <row r="1125" spans="1:13" ht="11.25" customHeight="1" x14ac:dyDescent="0.2">
      <c r="A1125" s="924" t="s">
        <v>853</v>
      </c>
      <c r="B1125" s="924" t="s">
        <v>792</v>
      </c>
      <c r="C1125" s="924" t="s">
        <v>1177</v>
      </c>
      <c r="D1125" s="924" t="s">
        <v>855</v>
      </c>
      <c r="E1125" s="924" t="s">
        <v>856</v>
      </c>
      <c r="F1125" s="924" t="s">
        <v>1148</v>
      </c>
      <c r="G1125" s="924" t="s">
        <v>981</v>
      </c>
      <c r="H1125" s="924" t="s">
        <v>835</v>
      </c>
      <c r="I1125" s="924" t="s">
        <v>1040</v>
      </c>
      <c r="J1125" s="924" t="s">
        <v>863</v>
      </c>
      <c r="K1125" s="924" t="s">
        <v>915</v>
      </c>
      <c r="L1125" s="925">
        <v>2.8016842864453801</v>
      </c>
      <c r="M1125" s="925">
        <v>1.0452155860321E-3</v>
      </c>
    </row>
    <row r="1126" spans="1:13" ht="11.25" customHeight="1" x14ac:dyDescent="0.2">
      <c r="A1126" s="924" t="s">
        <v>853</v>
      </c>
      <c r="B1126" s="924" t="s">
        <v>792</v>
      </c>
      <c r="C1126" s="924" t="s">
        <v>1177</v>
      </c>
      <c r="D1126" s="924" t="s">
        <v>855</v>
      </c>
      <c r="E1126" s="924" t="s">
        <v>856</v>
      </c>
      <c r="F1126" s="924" t="s">
        <v>1137</v>
      </c>
      <c r="G1126" s="924" t="s">
        <v>981</v>
      </c>
      <c r="H1126" s="924" t="s">
        <v>835</v>
      </c>
      <c r="I1126" s="924" t="s">
        <v>1040</v>
      </c>
      <c r="J1126" s="924" t="s">
        <v>863</v>
      </c>
      <c r="K1126" s="924" t="s">
        <v>866</v>
      </c>
      <c r="L1126" s="925">
        <v>1.1375483293086299</v>
      </c>
      <c r="M1126" s="925">
        <v>7.6270082536211703E-4</v>
      </c>
    </row>
    <row r="1127" spans="1:13" ht="11.25" customHeight="1" x14ac:dyDescent="0.2">
      <c r="A1127" s="924" t="s">
        <v>853</v>
      </c>
      <c r="B1127" s="924" t="s">
        <v>792</v>
      </c>
      <c r="C1127" s="924" t="s">
        <v>1177</v>
      </c>
      <c r="D1127" s="924" t="s">
        <v>855</v>
      </c>
      <c r="E1127" s="924" t="s">
        <v>856</v>
      </c>
      <c r="F1127" s="924" t="s">
        <v>1131</v>
      </c>
      <c r="G1127" s="924" t="s">
        <v>981</v>
      </c>
      <c r="H1127" s="924" t="s">
        <v>835</v>
      </c>
      <c r="I1127" s="924" t="s">
        <v>1040</v>
      </c>
      <c r="J1127" s="924" t="s">
        <v>863</v>
      </c>
      <c r="K1127" s="924" t="s">
        <v>868</v>
      </c>
      <c r="L1127" s="925">
        <v>13.5061404109001</v>
      </c>
      <c r="M1127" s="925">
        <v>9.5411927941313501E-4</v>
      </c>
    </row>
    <row r="1128" spans="1:13" ht="11.25" customHeight="1" x14ac:dyDescent="0.2">
      <c r="A1128" s="924" t="s">
        <v>853</v>
      </c>
      <c r="B1128" s="924" t="s">
        <v>792</v>
      </c>
      <c r="C1128" s="924" t="s">
        <v>1177</v>
      </c>
      <c r="D1128" s="924" t="s">
        <v>855</v>
      </c>
      <c r="E1128" s="924" t="s">
        <v>856</v>
      </c>
      <c r="F1128" s="924" t="s">
        <v>1139</v>
      </c>
      <c r="G1128" s="924" t="s">
        <v>981</v>
      </c>
      <c r="H1128" s="924" t="s">
        <v>835</v>
      </c>
      <c r="I1128" s="924" t="s">
        <v>1040</v>
      </c>
      <c r="J1128" s="924" t="s">
        <v>940</v>
      </c>
      <c r="K1128" s="924" t="s">
        <v>1140</v>
      </c>
      <c r="L1128" s="925">
        <v>184.83192050457001</v>
      </c>
      <c r="M1128" s="925">
        <v>0.13515725603339801</v>
      </c>
    </row>
    <row r="1129" spans="1:13" ht="11.25" customHeight="1" x14ac:dyDescent="0.2">
      <c r="A1129" s="924" t="s">
        <v>853</v>
      </c>
      <c r="B1129" s="924" t="s">
        <v>792</v>
      </c>
      <c r="C1129" s="924" t="s">
        <v>1177</v>
      </c>
      <c r="D1129" s="924" t="s">
        <v>855</v>
      </c>
      <c r="E1129" s="924" t="s">
        <v>856</v>
      </c>
      <c r="F1129" s="924" t="s">
        <v>1141</v>
      </c>
      <c r="G1129" s="924" t="s">
        <v>981</v>
      </c>
      <c r="H1129" s="924" t="s">
        <v>835</v>
      </c>
      <c r="I1129" s="924" t="s">
        <v>1040</v>
      </c>
      <c r="J1129" s="924" t="s">
        <v>940</v>
      </c>
      <c r="K1129" s="924" t="s">
        <v>1142</v>
      </c>
      <c r="L1129" s="925">
        <v>93.302564084529905</v>
      </c>
      <c r="M1129" s="925">
        <v>6.8707993545103804E-2</v>
      </c>
    </row>
    <row r="1130" spans="1:13" ht="11.25" customHeight="1" x14ac:dyDescent="0.2">
      <c r="A1130" s="924" t="s">
        <v>853</v>
      </c>
      <c r="B1130" s="924" t="s">
        <v>792</v>
      </c>
      <c r="C1130" s="924" t="s">
        <v>1177</v>
      </c>
      <c r="D1130" s="924" t="s">
        <v>855</v>
      </c>
      <c r="E1130" s="924" t="s">
        <v>856</v>
      </c>
      <c r="F1130" s="924" t="s">
        <v>1143</v>
      </c>
      <c r="G1130" s="924" t="s">
        <v>981</v>
      </c>
      <c r="H1130" s="924" t="s">
        <v>835</v>
      </c>
      <c r="I1130" s="924" t="s">
        <v>1040</v>
      </c>
      <c r="J1130" s="924" t="s">
        <v>940</v>
      </c>
      <c r="K1130" s="924" t="s">
        <v>1084</v>
      </c>
      <c r="L1130" s="925">
        <v>15.905138477683099</v>
      </c>
      <c r="M1130" s="925">
        <v>1.1611980582529199E-2</v>
      </c>
    </row>
    <row r="1131" spans="1:13" ht="11.25" customHeight="1" x14ac:dyDescent="0.2">
      <c r="A1131" s="924" t="s">
        <v>853</v>
      </c>
      <c r="B1131" s="924" t="s">
        <v>792</v>
      </c>
      <c r="C1131" s="924" t="s">
        <v>1177</v>
      </c>
      <c r="D1131" s="924" t="s">
        <v>855</v>
      </c>
      <c r="E1131" s="924" t="s">
        <v>856</v>
      </c>
      <c r="F1131" s="924" t="s">
        <v>1144</v>
      </c>
      <c r="G1131" s="924" t="s">
        <v>981</v>
      </c>
      <c r="H1131" s="924" t="s">
        <v>835</v>
      </c>
      <c r="I1131" s="924" t="s">
        <v>1040</v>
      </c>
      <c r="J1131" s="924" t="s">
        <v>940</v>
      </c>
      <c r="K1131" s="924" t="s">
        <v>1070</v>
      </c>
      <c r="L1131" s="925">
        <v>55.473825395107298</v>
      </c>
      <c r="M1131" s="925">
        <v>3.85628122021444E-2</v>
      </c>
    </row>
    <row r="1132" spans="1:13" ht="11.25" customHeight="1" x14ac:dyDescent="0.2">
      <c r="A1132" s="924" t="s">
        <v>853</v>
      </c>
      <c r="B1132" s="924" t="s">
        <v>792</v>
      </c>
      <c r="C1132" s="924" t="s">
        <v>1177</v>
      </c>
      <c r="D1132" s="924" t="s">
        <v>855</v>
      </c>
      <c r="E1132" s="924" t="s">
        <v>856</v>
      </c>
      <c r="F1132" s="924" t="s">
        <v>1149</v>
      </c>
      <c r="G1132" s="924" t="s">
        <v>981</v>
      </c>
      <c r="H1132" s="924" t="s">
        <v>835</v>
      </c>
      <c r="I1132" s="924" t="s">
        <v>1040</v>
      </c>
      <c r="J1132" s="924" t="s">
        <v>940</v>
      </c>
      <c r="K1132" s="924" t="s">
        <v>1091</v>
      </c>
      <c r="L1132" s="925">
        <v>1.0249720783904199</v>
      </c>
      <c r="M1132" s="925">
        <v>7.1451979329140202E-4</v>
      </c>
    </row>
    <row r="1133" spans="1:13" ht="11.25" customHeight="1" x14ac:dyDescent="0.2">
      <c r="A1133" s="924" t="s">
        <v>853</v>
      </c>
      <c r="B1133" s="924" t="s">
        <v>792</v>
      </c>
      <c r="C1133" s="924" t="s">
        <v>1177</v>
      </c>
      <c r="D1133" s="924" t="s">
        <v>855</v>
      </c>
      <c r="E1133" s="924" t="s">
        <v>856</v>
      </c>
      <c r="F1133" s="924" t="s">
        <v>1160</v>
      </c>
      <c r="G1133" s="924" t="s">
        <v>981</v>
      </c>
      <c r="H1133" s="924" t="s">
        <v>835</v>
      </c>
      <c r="I1133" s="924" t="s">
        <v>1040</v>
      </c>
      <c r="J1133" s="924" t="s">
        <v>940</v>
      </c>
      <c r="K1133" s="924" t="s">
        <v>1093</v>
      </c>
      <c r="L1133" s="925">
        <v>2.16117952764034</v>
      </c>
      <c r="M1133" s="925">
        <v>1.5217572540677799E-3</v>
      </c>
    </row>
    <row r="1134" spans="1:13" ht="11.25" customHeight="1" x14ac:dyDescent="0.2">
      <c r="A1134" s="924" t="s">
        <v>853</v>
      </c>
      <c r="B1134" s="924" t="s">
        <v>792</v>
      </c>
      <c r="C1134" s="924" t="s">
        <v>1177</v>
      </c>
      <c r="D1134" s="924" t="s">
        <v>855</v>
      </c>
      <c r="E1134" s="924" t="s">
        <v>856</v>
      </c>
      <c r="F1134" s="924" t="s">
        <v>1116</v>
      </c>
      <c r="G1134" s="924" t="s">
        <v>981</v>
      </c>
      <c r="H1134" s="924" t="s">
        <v>835</v>
      </c>
      <c r="I1134" s="924" t="s">
        <v>1040</v>
      </c>
      <c r="J1134" s="924" t="s">
        <v>940</v>
      </c>
      <c r="K1134" s="924" t="s">
        <v>1032</v>
      </c>
      <c r="L1134" s="925">
        <v>520.04461574554398</v>
      </c>
      <c r="M1134" s="925">
        <v>0.32716745627112698</v>
      </c>
    </row>
    <row r="1135" spans="1:13" ht="11.25" customHeight="1" x14ac:dyDescent="0.2">
      <c r="A1135" s="924" t="s">
        <v>853</v>
      </c>
      <c r="B1135" s="924" t="s">
        <v>792</v>
      </c>
      <c r="C1135" s="924" t="s">
        <v>1177</v>
      </c>
      <c r="D1135" s="924" t="s">
        <v>855</v>
      </c>
      <c r="E1135" s="924" t="s">
        <v>856</v>
      </c>
      <c r="F1135" s="924" t="s">
        <v>1105</v>
      </c>
      <c r="G1135" s="924" t="s">
        <v>981</v>
      </c>
      <c r="H1135" s="924" t="s">
        <v>835</v>
      </c>
      <c r="I1135" s="924" t="s">
        <v>1040</v>
      </c>
      <c r="J1135" s="924" t="s">
        <v>940</v>
      </c>
      <c r="K1135" s="924" t="s">
        <v>1106</v>
      </c>
      <c r="L1135" s="925">
        <v>17.811579510569601</v>
      </c>
      <c r="M1135" s="925">
        <v>1.30294386311736E-2</v>
      </c>
    </row>
    <row r="1136" spans="1:13" ht="11.25" customHeight="1" x14ac:dyDescent="0.2">
      <c r="A1136" s="924" t="s">
        <v>853</v>
      </c>
      <c r="B1136" s="924" t="s">
        <v>792</v>
      </c>
      <c r="C1136" s="924" t="s">
        <v>1177</v>
      </c>
      <c r="D1136" s="924" t="s">
        <v>855</v>
      </c>
      <c r="E1136" s="924" t="s">
        <v>856</v>
      </c>
      <c r="F1136" s="924" t="s">
        <v>1132</v>
      </c>
      <c r="G1136" s="924" t="s">
        <v>981</v>
      </c>
      <c r="H1136" s="924" t="s">
        <v>835</v>
      </c>
      <c r="I1136" s="924" t="s">
        <v>1040</v>
      </c>
      <c r="J1136" s="924" t="s">
        <v>940</v>
      </c>
      <c r="K1136" s="924" t="s">
        <v>941</v>
      </c>
      <c r="L1136" s="925">
        <v>26.8826071545482</v>
      </c>
      <c r="M1136" s="925">
        <v>1.1714854499587099E-2</v>
      </c>
    </row>
    <row r="1137" spans="1:13" ht="11.25" customHeight="1" x14ac:dyDescent="0.2">
      <c r="A1137" s="924" t="s">
        <v>853</v>
      </c>
      <c r="B1137" s="924" t="s">
        <v>792</v>
      </c>
      <c r="C1137" s="924" t="s">
        <v>1177</v>
      </c>
      <c r="D1137" s="924" t="s">
        <v>855</v>
      </c>
      <c r="E1137" s="924" t="s">
        <v>856</v>
      </c>
      <c r="F1137" s="924" t="s">
        <v>1145</v>
      </c>
      <c r="G1137" s="924" t="s">
        <v>981</v>
      </c>
      <c r="H1137" s="924" t="s">
        <v>835</v>
      </c>
      <c r="I1137" s="924" t="s">
        <v>1040</v>
      </c>
      <c r="J1137" s="924" t="s">
        <v>940</v>
      </c>
      <c r="K1137" s="924" t="s">
        <v>1029</v>
      </c>
      <c r="L1137" s="925">
        <v>161.105136871338</v>
      </c>
      <c r="M1137" s="925">
        <v>0.10570879955776</v>
      </c>
    </row>
    <row r="1138" spans="1:13" ht="11.25" customHeight="1" x14ac:dyDescent="0.2">
      <c r="A1138" s="924" t="s">
        <v>853</v>
      </c>
      <c r="B1138" s="924" t="s">
        <v>792</v>
      </c>
      <c r="C1138" s="924" t="s">
        <v>1177</v>
      </c>
      <c r="D1138" s="924" t="s">
        <v>855</v>
      </c>
      <c r="E1138" s="924" t="s">
        <v>856</v>
      </c>
      <c r="F1138" s="924" t="s">
        <v>1146</v>
      </c>
      <c r="G1138" s="924" t="s">
        <v>981</v>
      </c>
      <c r="H1138" s="924" t="s">
        <v>835</v>
      </c>
      <c r="I1138" s="924" t="s">
        <v>1040</v>
      </c>
      <c r="J1138" s="924" t="s">
        <v>940</v>
      </c>
      <c r="K1138" s="924" t="s">
        <v>1147</v>
      </c>
      <c r="L1138" s="925">
        <v>501.02720403671299</v>
      </c>
      <c r="M1138" s="925">
        <v>0.32185265002772201</v>
      </c>
    </row>
    <row r="1139" spans="1:13" ht="11.25" customHeight="1" x14ac:dyDescent="0.2">
      <c r="A1139" s="924" t="s">
        <v>853</v>
      </c>
      <c r="B1139" s="924" t="s">
        <v>792</v>
      </c>
      <c r="C1139" s="924" t="s">
        <v>1177</v>
      </c>
      <c r="D1139" s="924" t="s">
        <v>855</v>
      </c>
      <c r="E1139" s="924" t="s">
        <v>856</v>
      </c>
      <c r="F1139" s="924" t="s">
        <v>1150</v>
      </c>
      <c r="G1139" s="924" t="s">
        <v>981</v>
      </c>
      <c r="H1139" s="924" t="s">
        <v>835</v>
      </c>
      <c r="I1139" s="924" t="s">
        <v>1040</v>
      </c>
      <c r="J1139" s="924" t="s">
        <v>940</v>
      </c>
      <c r="K1139" s="924" t="s">
        <v>1151</v>
      </c>
      <c r="L1139" s="925">
        <v>6.3903437647968504</v>
      </c>
      <c r="M1139" s="925">
        <v>4.4900922966917304E-3</v>
      </c>
    </row>
    <row r="1140" spans="1:13" ht="11.25" customHeight="1" x14ac:dyDescent="0.2">
      <c r="A1140" s="924" t="s">
        <v>853</v>
      </c>
      <c r="B1140" s="924" t="s">
        <v>792</v>
      </c>
      <c r="C1140" s="924" t="s">
        <v>1177</v>
      </c>
      <c r="D1140" s="924" t="s">
        <v>855</v>
      </c>
      <c r="E1140" s="924" t="s">
        <v>856</v>
      </c>
      <c r="F1140" s="924" t="s">
        <v>1152</v>
      </c>
      <c r="G1140" s="924" t="s">
        <v>981</v>
      </c>
      <c r="H1140" s="924" t="s">
        <v>835</v>
      </c>
      <c r="I1140" s="924" t="s">
        <v>1040</v>
      </c>
      <c r="J1140" s="924" t="s">
        <v>940</v>
      </c>
      <c r="K1140" s="924" t="s">
        <v>1153</v>
      </c>
      <c r="L1140" s="925">
        <v>11.8546449206769</v>
      </c>
      <c r="M1140" s="925">
        <v>7.7800298677175297E-3</v>
      </c>
    </row>
    <row r="1141" spans="1:13" ht="11.25" customHeight="1" x14ac:dyDescent="0.2">
      <c r="A1141" s="924" t="s">
        <v>853</v>
      </c>
      <c r="B1141" s="924" t="s">
        <v>792</v>
      </c>
      <c r="C1141" s="924" t="s">
        <v>1177</v>
      </c>
      <c r="D1141" s="924" t="s">
        <v>855</v>
      </c>
      <c r="E1141" s="924" t="s">
        <v>856</v>
      </c>
      <c r="F1141" s="924" t="s">
        <v>1154</v>
      </c>
      <c r="G1141" s="924" t="s">
        <v>981</v>
      </c>
      <c r="H1141" s="924" t="s">
        <v>835</v>
      </c>
      <c r="I1141" s="924" t="s">
        <v>1040</v>
      </c>
      <c r="J1141" s="924" t="s">
        <v>940</v>
      </c>
      <c r="K1141" s="924" t="s">
        <v>1155</v>
      </c>
      <c r="L1141" s="925">
        <v>37.3756636083126</v>
      </c>
      <c r="M1141" s="925">
        <v>2.4051279290747001E-2</v>
      </c>
    </row>
    <row r="1142" spans="1:13" ht="11.25" customHeight="1" x14ac:dyDescent="0.2">
      <c r="A1142" s="924" t="s">
        <v>853</v>
      </c>
      <c r="B1142" s="924" t="s">
        <v>792</v>
      </c>
      <c r="C1142" s="924" t="s">
        <v>1177</v>
      </c>
      <c r="D1142" s="924" t="s">
        <v>855</v>
      </c>
      <c r="E1142" s="924" t="s">
        <v>856</v>
      </c>
      <c r="F1142" s="924" t="s">
        <v>1158</v>
      </c>
      <c r="G1142" s="924" t="s">
        <v>981</v>
      </c>
      <c r="H1142" s="924" t="s">
        <v>835</v>
      </c>
      <c r="I1142" s="924" t="s">
        <v>1040</v>
      </c>
      <c r="J1142" s="924" t="s">
        <v>940</v>
      </c>
      <c r="K1142" s="924" t="s">
        <v>1023</v>
      </c>
      <c r="L1142" s="925">
        <v>88.550009220838504</v>
      </c>
      <c r="M1142" s="925">
        <v>5.07953353748576E-2</v>
      </c>
    </row>
    <row r="1143" spans="1:13" ht="11.25" customHeight="1" x14ac:dyDescent="0.2">
      <c r="A1143" s="924" t="s">
        <v>853</v>
      </c>
      <c r="B1143" s="924" t="s">
        <v>792</v>
      </c>
      <c r="C1143" s="924" t="s">
        <v>1177</v>
      </c>
      <c r="D1143" s="924" t="s">
        <v>855</v>
      </c>
      <c r="E1143" s="924" t="s">
        <v>856</v>
      </c>
      <c r="F1143" s="924" t="s">
        <v>1159</v>
      </c>
      <c r="G1143" s="924" t="s">
        <v>981</v>
      </c>
      <c r="H1143" s="924" t="s">
        <v>835</v>
      </c>
      <c r="I1143" s="924" t="s">
        <v>1040</v>
      </c>
      <c r="J1143" s="924" t="s">
        <v>940</v>
      </c>
      <c r="K1143" s="924" t="s">
        <v>1095</v>
      </c>
      <c r="L1143" s="925">
        <v>1.9553454443812399</v>
      </c>
      <c r="M1143" s="925">
        <v>1.3633280541398599E-3</v>
      </c>
    </row>
    <row r="1144" spans="1:13" ht="11.25" customHeight="1" x14ac:dyDescent="0.2">
      <c r="A1144" s="924" t="s">
        <v>853</v>
      </c>
      <c r="B1144" s="924" t="s">
        <v>792</v>
      </c>
      <c r="C1144" s="924" t="s">
        <v>1177</v>
      </c>
      <c r="D1144" s="924" t="s">
        <v>855</v>
      </c>
      <c r="E1144" s="924" t="s">
        <v>856</v>
      </c>
      <c r="F1144" s="924" t="s">
        <v>1161</v>
      </c>
      <c r="G1144" s="924" t="s">
        <v>981</v>
      </c>
      <c r="H1144" s="924" t="s">
        <v>835</v>
      </c>
      <c r="I1144" s="924" t="s">
        <v>1040</v>
      </c>
      <c r="J1144" s="924" t="s">
        <v>940</v>
      </c>
      <c r="K1144" s="924" t="s">
        <v>1027</v>
      </c>
      <c r="L1144" s="925">
        <v>13.390695195645099</v>
      </c>
      <c r="M1144" s="925">
        <v>9.2378459518229795E-3</v>
      </c>
    </row>
    <row r="1145" spans="1:13" ht="11.25" customHeight="1" x14ac:dyDescent="0.2">
      <c r="A1145" s="924" t="s">
        <v>853</v>
      </c>
      <c r="B1145" s="924" t="s">
        <v>793</v>
      </c>
      <c r="C1145" s="924" t="s">
        <v>1178</v>
      </c>
      <c r="D1145" s="924" t="s">
        <v>1163</v>
      </c>
      <c r="E1145" s="924" t="s">
        <v>856</v>
      </c>
      <c r="F1145" s="924" t="s">
        <v>872</v>
      </c>
      <c r="G1145" s="924" t="s">
        <v>862</v>
      </c>
      <c r="H1145" s="924" t="s">
        <v>665</v>
      </c>
      <c r="I1145" s="924" t="s">
        <v>787</v>
      </c>
      <c r="J1145" s="924" t="s">
        <v>870</v>
      </c>
      <c r="K1145" s="924" t="s">
        <v>873</v>
      </c>
      <c r="L1145" s="925">
        <v>13.585258051753</v>
      </c>
      <c r="M1145" s="925">
        <v>5.4680874774930999E-2</v>
      </c>
    </row>
    <row r="1146" spans="1:13" ht="11.25" customHeight="1" x14ac:dyDescent="0.2">
      <c r="A1146" s="924" t="s">
        <v>853</v>
      </c>
      <c r="B1146" s="924" t="s">
        <v>793</v>
      </c>
      <c r="C1146" s="924" t="s">
        <v>1178</v>
      </c>
      <c r="D1146" s="924" t="s">
        <v>1163</v>
      </c>
      <c r="E1146" s="924" t="s">
        <v>856</v>
      </c>
      <c r="F1146" s="924" t="s">
        <v>888</v>
      </c>
      <c r="G1146" s="924" t="s">
        <v>858</v>
      </c>
      <c r="H1146" s="924" t="s">
        <v>836</v>
      </c>
      <c r="I1146" s="924" t="s">
        <v>837</v>
      </c>
      <c r="J1146" s="924" t="s">
        <v>859</v>
      </c>
      <c r="K1146" s="924" t="s">
        <v>889</v>
      </c>
      <c r="L1146" s="925">
        <v>0.39064565300941501</v>
      </c>
      <c r="M1146" s="925">
        <v>4.31030947658506E-5</v>
      </c>
    </row>
    <row r="1147" spans="1:13" ht="11.25" customHeight="1" x14ac:dyDescent="0.2">
      <c r="A1147" s="924" t="s">
        <v>853</v>
      </c>
      <c r="B1147" s="924" t="s">
        <v>793</v>
      </c>
      <c r="C1147" s="924" t="s">
        <v>1178</v>
      </c>
      <c r="D1147" s="924" t="s">
        <v>1163</v>
      </c>
      <c r="E1147" s="924" t="s">
        <v>856</v>
      </c>
      <c r="F1147" s="924" t="s">
        <v>912</v>
      </c>
      <c r="G1147" s="924" t="s">
        <v>858</v>
      </c>
      <c r="H1147" s="924" t="s">
        <v>836</v>
      </c>
      <c r="I1147" s="924" t="s">
        <v>837</v>
      </c>
      <c r="J1147" s="924" t="s">
        <v>859</v>
      </c>
      <c r="K1147" s="924" t="s">
        <v>913</v>
      </c>
      <c r="L1147" s="925">
        <v>239.91710424423201</v>
      </c>
      <c r="M1147" s="925">
        <v>2.6420733169345602E-3</v>
      </c>
    </row>
    <row r="1148" spans="1:13" ht="11.25" customHeight="1" x14ac:dyDescent="0.2">
      <c r="A1148" s="924" t="s">
        <v>853</v>
      </c>
      <c r="B1148" s="924" t="s">
        <v>793</v>
      </c>
      <c r="C1148" s="924" t="s">
        <v>1178</v>
      </c>
      <c r="D1148" s="924" t="s">
        <v>1163</v>
      </c>
      <c r="E1148" s="924" t="s">
        <v>856</v>
      </c>
      <c r="F1148" s="924" t="s">
        <v>883</v>
      </c>
      <c r="G1148" s="924" t="s">
        <v>858</v>
      </c>
      <c r="H1148" s="924" t="s">
        <v>836</v>
      </c>
      <c r="I1148" s="924" t="s">
        <v>837</v>
      </c>
      <c r="J1148" s="924" t="s">
        <v>884</v>
      </c>
      <c r="K1148" s="924" t="s">
        <v>885</v>
      </c>
      <c r="L1148" s="925">
        <v>118.161397457123</v>
      </c>
      <c r="M1148" s="925">
        <v>4.5321243297848897E-3</v>
      </c>
    </row>
    <row r="1149" spans="1:13" ht="11.25" customHeight="1" x14ac:dyDescent="0.2">
      <c r="A1149" s="924" t="s">
        <v>853</v>
      </c>
      <c r="B1149" s="924" t="s">
        <v>793</v>
      </c>
      <c r="C1149" s="924" t="s">
        <v>1178</v>
      </c>
      <c r="D1149" s="924" t="s">
        <v>1163</v>
      </c>
      <c r="E1149" s="924" t="s">
        <v>856</v>
      </c>
      <c r="F1149" s="924" t="s">
        <v>1170</v>
      </c>
      <c r="G1149" s="924" t="s">
        <v>862</v>
      </c>
      <c r="H1149" s="924" t="s">
        <v>665</v>
      </c>
      <c r="I1149" s="924" t="s">
        <v>787</v>
      </c>
      <c r="J1149" s="924" t="s">
        <v>863</v>
      </c>
      <c r="K1149" s="924" t="s">
        <v>1171</v>
      </c>
      <c r="L1149" s="925">
        <v>7.9815600812435203</v>
      </c>
      <c r="M1149" s="925">
        <v>3.4847707836888703E-2</v>
      </c>
    </row>
    <row r="1150" spans="1:13" ht="11.25" customHeight="1" x14ac:dyDescent="0.2">
      <c r="A1150" s="924" t="s">
        <v>853</v>
      </c>
      <c r="B1150" s="924" t="s">
        <v>793</v>
      </c>
      <c r="C1150" s="924" t="s">
        <v>1178</v>
      </c>
      <c r="D1150" s="924" t="s">
        <v>1163</v>
      </c>
      <c r="E1150" s="924" t="s">
        <v>856</v>
      </c>
      <c r="F1150" s="924" t="s">
        <v>881</v>
      </c>
      <c r="G1150" s="924" t="s">
        <v>862</v>
      </c>
      <c r="H1150" s="924" t="s">
        <v>665</v>
      </c>
      <c r="I1150" s="924" t="s">
        <v>787</v>
      </c>
      <c r="J1150" s="924" t="s">
        <v>875</v>
      </c>
      <c r="K1150" s="924" t="s">
        <v>882</v>
      </c>
      <c r="L1150" s="925">
        <v>112.86062932014499</v>
      </c>
      <c r="M1150" s="925">
        <v>0.53931832313537598</v>
      </c>
    </row>
    <row r="1151" spans="1:13" ht="11.25" customHeight="1" x14ac:dyDescent="0.2">
      <c r="A1151" s="924" t="s">
        <v>853</v>
      </c>
      <c r="B1151" s="924" t="s">
        <v>793</v>
      </c>
      <c r="C1151" s="924" t="s">
        <v>1178</v>
      </c>
      <c r="D1151" s="924" t="s">
        <v>1163</v>
      </c>
      <c r="E1151" s="924" t="s">
        <v>856</v>
      </c>
      <c r="F1151" s="924" t="s">
        <v>879</v>
      </c>
      <c r="G1151" s="924" t="s">
        <v>862</v>
      </c>
      <c r="H1151" s="924" t="s">
        <v>665</v>
      </c>
      <c r="I1151" s="924" t="s">
        <v>787</v>
      </c>
      <c r="J1151" s="924" t="s">
        <v>875</v>
      </c>
      <c r="K1151" s="924" t="s">
        <v>880</v>
      </c>
      <c r="L1151" s="925">
        <v>3.17108447477221</v>
      </c>
      <c r="M1151" s="925">
        <v>1.78399107771838E-2</v>
      </c>
    </row>
    <row r="1152" spans="1:13" ht="11.25" customHeight="1" x14ac:dyDescent="0.2">
      <c r="A1152" s="924" t="s">
        <v>853</v>
      </c>
      <c r="B1152" s="924" t="s">
        <v>793</v>
      </c>
      <c r="C1152" s="924" t="s">
        <v>1178</v>
      </c>
      <c r="D1152" s="924" t="s">
        <v>1163</v>
      </c>
      <c r="E1152" s="924" t="s">
        <v>856</v>
      </c>
      <c r="F1152" s="924" t="s">
        <v>869</v>
      </c>
      <c r="G1152" s="924" t="s">
        <v>862</v>
      </c>
      <c r="H1152" s="924" t="s">
        <v>665</v>
      </c>
      <c r="I1152" s="924" t="s">
        <v>787</v>
      </c>
      <c r="J1152" s="924" t="s">
        <v>870</v>
      </c>
      <c r="K1152" s="924" t="s">
        <v>871</v>
      </c>
      <c r="L1152" s="925">
        <v>0.12350258335936801</v>
      </c>
      <c r="M1152" s="925">
        <v>7.0862749248590297E-3</v>
      </c>
    </row>
    <row r="1153" spans="1:13" ht="11.25" customHeight="1" x14ac:dyDescent="0.2">
      <c r="A1153" s="924" t="s">
        <v>853</v>
      </c>
      <c r="B1153" s="924" t="s">
        <v>793</v>
      </c>
      <c r="C1153" s="924" t="s">
        <v>1178</v>
      </c>
      <c r="D1153" s="924" t="s">
        <v>1163</v>
      </c>
      <c r="E1153" s="924" t="s">
        <v>856</v>
      </c>
      <c r="F1153" s="924" t="s">
        <v>874</v>
      </c>
      <c r="G1153" s="924" t="s">
        <v>862</v>
      </c>
      <c r="H1153" s="924" t="s">
        <v>665</v>
      </c>
      <c r="I1153" s="924" t="s">
        <v>787</v>
      </c>
      <c r="J1153" s="924" t="s">
        <v>875</v>
      </c>
      <c r="K1153" s="924" t="s">
        <v>876</v>
      </c>
      <c r="L1153" s="925">
        <v>44.945968270301798</v>
      </c>
      <c r="M1153" s="925">
        <v>1.3671953054145001</v>
      </c>
    </row>
    <row r="1154" spans="1:13" ht="11.25" customHeight="1" x14ac:dyDescent="0.2">
      <c r="A1154" s="924" t="s">
        <v>853</v>
      </c>
      <c r="B1154" s="924" t="s">
        <v>793</v>
      </c>
      <c r="C1154" s="924" t="s">
        <v>1178</v>
      </c>
      <c r="D1154" s="924" t="s">
        <v>1163</v>
      </c>
      <c r="E1154" s="924" t="s">
        <v>856</v>
      </c>
      <c r="F1154" s="924" t="s">
        <v>857</v>
      </c>
      <c r="G1154" s="924" t="s">
        <v>858</v>
      </c>
      <c r="H1154" s="924" t="s">
        <v>836</v>
      </c>
      <c r="I1154" s="924" t="s">
        <v>837</v>
      </c>
      <c r="J1154" s="924" t="s">
        <v>859</v>
      </c>
      <c r="K1154" s="924" t="s">
        <v>860</v>
      </c>
      <c r="L1154" s="925">
        <v>6.4358072727918598</v>
      </c>
      <c r="M1154" s="925">
        <v>5.9229641730418304E-4</v>
      </c>
    </row>
    <row r="1155" spans="1:13" ht="11.25" customHeight="1" x14ac:dyDescent="0.2">
      <c r="A1155" s="924" t="s">
        <v>853</v>
      </c>
      <c r="B1155" s="924" t="s">
        <v>793</v>
      </c>
      <c r="C1155" s="924" t="s">
        <v>1178</v>
      </c>
      <c r="D1155" s="924" t="s">
        <v>1163</v>
      </c>
      <c r="E1155" s="924" t="s">
        <v>856</v>
      </c>
      <c r="F1155" s="924" t="s">
        <v>904</v>
      </c>
      <c r="G1155" s="924" t="s">
        <v>858</v>
      </c>
      <c r="H1155" s="924" t="s">
        <v>836</v>
      </c>
      <c r="I1155" s="924" t="s">
        <v>837</v>
      </c>
      <c r="J1155" s="924" t="s">
        <v>859</v>
      </c>
      <c r="K1155" s="924" t="s">
        <v>905</v>
      </c>
      <c r="L1155" s="925">
        <v>246.61637926101699</v>
      </c>
      <c r="M1155" s="925">
        <v>4.6720094090915197E-3</v>
      </c>
    </row>
    <row r="1156" spans="1:13" ht="11.25" customHeight="1" x14ac:dyDescent="0.2">
      <c r="A1156" s="924" t="s">
        <v>853</v>
      </c>
      <c r="B1156" s="924" t="s">
        <v>793</v>
      </c>
      <c r="C1156" s="924" t="s">
        <v>1178</v>
      </c>
      <c r="D1156" s="924" t="s">
        <v>1163</v>
      </c>
      <c r="E1156" s="924" t="s">
        <v>856</v>
      </c>
      <c r="F1156" s="924" t="s">
        <v>877</v>
      </c>
      <c r="G1156" s="924" t="s">
        <v>862</v>
      </c>
      <c r="H1156" s="924" t="s">
        <v>665</v>
      </c>
      <c r="I1156" s="924" t="s">
        <v>787</v>
      </c>
      <c r="J1156" s="924" t="s">
        <v>875</v>
      </c>
      <c r="K1156" s="924" t="s">
        <v>878</v>
      </c>
      <c r="L1156" s="925">
        <v>2.14995042607188</v>
      </c>
      <c r="M1156" s="925">
        <v>3.5221985504904303E-2</v>
      </c>
    </row>
    <row r="1157" spans="1:13" ht="11.25" customHeight="1" x14ac:dyDescent="0.2">
      <c r="A1157" s="924" t="s">
        <v>853</v>
      </c>
      <c r="B1157" s="924" t="s">
        <v>793</v>
      </c>
      <c r="C1157" s="924" t="s">
        <v>1178</v>
      </c>
      <c r="D1157" s="924" t="s">
        <v>1163</v>
      </c>
      <c r="E1157" s="924" t="s">
        <v>856</v>
      </c>
      <c r="F1157" s="924" t="s">
        <v>892</v>
      </c>
      <c r="G1157" s="924" t="s">
        <v>858</v>
      </c>
      <c r="H1157" s="924" t="s">
        <v>836</v>
      </c>
      <c r="I1157" s="924" t="s">
        <v>837</v>
      </c>
      <c r="J1157" s="924" t="s">
        <v>859</v>
      </c>
      <c r="K1157" s="924" t="s">
        <v>893</v>
      </c>
      <c r="L1157" s="925">
        <v>600.58650875091598</v>
      </c>
      <c r="M1157" s="925">
        <v>7.59730698257499E-3</v>
      </c>
    </row>
    <row r="1158" spans="1:13" ht="11.25" customHeight="1" x14ac:dyDescent="0.2">
      <c r="A1158" s="924" t="s">
        <v>853</v>
      </c>
      <c r="B1158" s="924" t="s">
        <v>793</v>
      </c>
      <c r="C1158" s="924" t="s">
        <v>1178</v>
      </c>
      <c r="D1158" s="924" t="s">
        <v>1163</v>
      </c>
      <c r="E1158" s="924" t="s">
        <v>856</v>
      </c>
      <c r="F1158" s="924" t="s">
        <v>894</v>
      </c>
      <c r="G1158" s="924" t="s">
        <v>858</v>
      </c>
      <c r="H1158" s="924" t="s">
        <v>836</v>
      </c>
      <c r="I1158" s="924" t="s">
        <v>837</v>
      </c>
      <c r="J1158" s="924" t="s">
        <v>859</v>
      </c>
      <c r="K1158" s="924" t="s">
        <v>895</v>
      </c>
      <c r="L1158" s="925">
        <v>653.45702743530296</v>
      </c>
      <c r="M1158" s="925">
        <v>4.3284603067377204E-3</v>
      </c>
    </row>
    <row r="1159" spans="1:13" ht="11.25" customHeight="1" x14ac:dyDescent="0.2">
      <c r="A1159" s="924" t="s">
        <v>853</v>
      </c>
      <c r="B1159" s="924" t="s">
        <v>793</v>
      </c>
      <c r="C1159" s="924" t="s">
        <v>1178</v>
      </c>
      <c r="D1159" s="924" t="s">
        <v>1163</v>
      </c>
      <c r="E1159" s="924" t="s">
        <v>856</v>
      </c>
      <c r="F1159" s="924" t="s">
        <v>896</v>
      </c>
      <c r="G1159" s="924" t="s">
        <v>858</v>
      </c>
      <c r="H1159" s="924" t="s">
        <v>836</v>
      </c>
      <c r="I1159" s="924" t="s">
        <v>837</v>
      </c>
      <c r="J1159" s="924" t="s">
        <v>859</v>
      </c>
      <c r="K1159" s="924" t="s">
        <v>897</v>
      </c>
      <c r="L1159" s="925">
        <v>36.033712595701203</v>
      </c>
      <c r="M1159" s="925">
        <v>5.8352329543964699E-4</v>
      </c>
    </row>
    <row r="1160" spans="1:13" ht="11.25" customHeight="1" x14ac:dyDescent="0.2">
      <c r="A1160" s="924" t="s">
        <v>853</v>
      </c>
      <c r="B1160" s="924" t="s">
        <v>793</v>
      </c>
      <c r="C1160" s="924" t="s">
        <v>1178</v>
      </c>
      <c r="D1160" s="924" t="s">
        <v>1163</v>
      </c>
      <c r="E1160" s="924" t="s">
        <v>856</v>
      </c>
      <c r="F1160" s="924" t="s">
        <v>898</v>
      </c>
      <c r="G1160" s="924" t="s">
        <v>858</v>
      </c>
      <c r="H1160" s="924" t="s">
        <v>836</v>
      </c>
      <c r="I1160" s="924" t="s">
        <v>837</v>
      </c>
      <c r="J1160" s="924" t="s">
        <v>859</v>
      </c>
      <c r="K1160" s="924" t="s">
        <v>899</v>
      </c>
      <c r="L1160" s="925">
        <v>22.083949893713001</v>
      </c>
      <c r="M1160" s="925">
        <v>3.8412885616878601E-4</v>
      </c>
    </row>
    <row r="1161" spans="1:13" ht="11.25" customHeight="1" x14ac:dyDescent="0.2">
      <c r="A1161" s="924" t="s">
        <v>853</v>
      </c>
      <c r="B1161" s="924" t="s">
        <v>793</v>
      </c>
      <c r="C1161" s="924" t="s">
        <v>1178</v>
      </c>
      <c r="D1161" s="924" t="s">
        <v>1163</v>
      </c>
      <c r="E1161" s="924" t="s">
        <v>856</v>
      </c>
      <c r="F1161" s="924" t="s">
        <v>1037</v>
      </c>
      <c r="G1161" s="924" t="s">
        <v>858</v>
      </c>
      <c r="H1161" s="924" t="s">
        <v>836</v>
      </c>
      <c r="I1161" s="924" t="s">
        <v>837</v>
      </c>
      <c r="J1161" s="924" t="s">
        <v>859</v>
      </c>
      <c r="K1161" s="924" t="s">
        <v>918</v>
      </c>
      <c r="L1161" s="925">
        <v>556.44778394699097</v>
      </c>
      <c r="M1161" s="925">
        <v>5.3852106209433303E-3</v>
      </c>
    </row>
    <row r="1162" spans="1:13" ht="11.25" customHeight="1" x14ac:dyDescent="0.2">
      <c r="A1162" s="924" t="s">
        <v>853</v>
      </c>
      <c r="B1162" s="924" t="s">
        <v>793</v>
      </c>
      <c r="C1162" s="924" t="s">
        <v>1178</v>
      </c>
      <c r="D1162" s="924" t="s">
        <v>1163</v>
      </c>
      <c r="E1162" s="924" t="s">
        <v>856</v>
      </c>
      <c r="F1162" s="924" t="s">
        <v>902</v>
      </c>
      <c r="G1162" s="924" t="s">
        <v>858</v>
      </c>
      <c r="H1162" s="924" t="s">
        <v>836</v>
      </c>
      <c r="I1162" s="924" t="s">
        <v>837</v>
      </c>
      <c r="J1162" s="924" t="s">
        <v>859</v>
      </c>
      <c r="K1162" s="924" t="s">
        <v>903</v>
      </c>
      <c r="L1162" s="925">
        <v>284.82939219474798</v>
      </c>
      <c r="M1162" s="925">
        <v>4.9514211611381099E-3</v>
      </c>
    </row>
    <row r="1163" spans="1:13" ht="11.25" customHeight="1" x14ac:dyDescent="0.2">
      <c r="A1163" s="924" t="s">
        <v>853</v>
      </c>
      <c r="B1163" s="924" t="s">
        <v>793</v>
      </c>
      <c r="C1163" s="924" t="s">
        <v>1178</v>
      </c>
      <c r="D1163" s="924" t="s">
        <v>1163</v>
      </c>
      <c r="E1163" s="924" t="s">
        <v>856</v>
      </c>
      <c r="F1163" s="924" t="s">
        <v>867</v>
      </c>
      <c r="G1163" s="924" t="s">
        <v>862</v>
      </c>
      <c r="H1163" s="924" t="s">
        <v>665</v>
      </c>
      <c r="I1163" s="924" t="s">
        <v>787</v>
      </c>
      <c r="J1163" s="924" t="s">
        <v>863</v>
      </c>
      <c r="K1163" s="924" t="s">
        <v>868</v>
      </c>
      <c r="L1163" s="925">
        <v>1.6245488151907901</v>
      </c>
      <c r="M1163" s="925">
        <v>6.6467068245401597E-3</v>
      </c>
    </row>
    <row r="1164" spans="1:13" ht="11.25" customHeight="1" x14ac:dyDescent="0.2">
      <c r="A1164" s="924" t="s">
        <v>853</v>
      </c>
      <c r="B1164" s="924" t="s">
        <v>793</v>
      </c>
      <c r="C1164" s="924" t="s">
        <v>1178</v>
      </c>
      <c r="D1164" s="924" t="s">
        <v>1163</v>
      </c>
      <c r="E1164" s="924" t="s">
        <v>856</v>
      </c>
      <c r="F1164" s="924" t="s">
        <v>906</v>
      </c>
      <c r="G1164" s="924" t="s">
        <v>858</v>
      </c>
      <c r="H1164" s="924" t="s">
        <v>836</v>
      </c>
      <c r="I1164" s="924" t="s">
        <v>837</v>
      </c>
      <c r="J1164" s="924" t="s">
        <v>859</v>
      </c>
      <c r="K1164" s="924" t="s">
        <v>907</v>
      </c>
      <c r="L1164" s="925">
        <v>2433.85375595093</v>
      </c>
      <c r="M1164" s="925">
        <v>1.62033075414456E-2</v>
      </c>
    </row>
    <row r="1165" spans="1:13" ht="11.25" customHeight="1" x14ac:dyDescent="0.2">
      <c r="A1165" s="924" t="s">
        <v>853</v>
      </c>
      <c r="B1165" s="924" t="s">
        <v>793</v>
      </c>
      <c r="C1165" s="924" t="s">
        <v>1178</v>
      </c>
      <c r="D1165" s="924" t="s">
        <v>1163</v>
      </c>
      <c r="E1165" s="924" t="s">
        <v>856</v>
      </c>
      <c r="F1165" s="924" t="s">
        <v>908</v>
      </c>
      <c r="G1165" s="924" t="s">
        <v>858</v>
      </c>
      <c r="H1165" s="924" t="s">
        <v>836</v>
      </c>
      <c r="I1165" s="924" t="s">
        <v>837</v>
      </c>
      <c r="J1165" s="924" t="s">
        <v>859</v>
      </c>
      <c r="K1165" s="924" t="s">
        <v>909</v>
      </c>
      <c r="L1165" s="925">
        <v>20.2486910820007</v>
      </c>
      <c r="M1165" s="925">
        <v>4.2381275095237898E-4</v>
      </c>
    </row>
    <row r="1166" spans="1:13" ht="11.25" customHeight="1" x14ac:dyDescent="0.2">
      <c r="A1166" s="924" t="s">
        <v>853</v>
      </c>
      <c r="B1166" s="924" t="s">
        <v>793</v>
      </c>
      <c r="C1166" s="924" t="s">
        <v>1178</v>
      </c>
      <c r="D1166" s="924" t="s">
        <v>1163</v>
      </c>
      <c r="E1166" s="924" t="s">
        <v>856</v>
      </c>
      <c r="F1166" s="924" t="s">
        <v>972</v>
      </c>
      <c r="G1166" s="924" t="s">
        <v>858</v>
      </c>
      <c r="H1166" s="924" t="s">
        <v>836</v>
      </c>
      <c r="I1166" s="924" t="s">
        <v>837</v>
      </c>
      <c r="J1166" s="924" t="s">
        <v>859</v>
      </c>
      <c r="K1166" s="924" t="s">
        <v>973</v>
      </c>
      <c r="L1166" s="925">
        <v>9.6272923201322609</v>
      </c>
      <c r="M1166" s="925">
        <v>2.4524914125478902E-4</v>
      </c>
    </row>
    <row r="1167" spans="1:13" ht="11.25" customHeight="1" x14ac:dyDescent="0.2">
      <c r="A1167" s="924" t="s">
        <v>853</v>
      </c>
      <c r="B1167" s="924" t="s">
        <v>793</v>
      </c>
      <c r="C1167" s="924" t="s">
        <v>1178</v>
      </c>
      <c r="D1167" s="924" t="s">
        <v>1163</v>
      </c>
      <c r="E1167" s="924" t="s">
        <v>856</v>
      </c>
      <c r="F1167" s="924" t="s">
        <v>1071</v>
      </c>
      <c r="G1167" s="924" t="s">
        <v>858</v>
      </c>
      <c r="H1167" s="924" t="s">
        <v>836</v>
      </c>
      <c r="I1167" s="924" t="s">
        <v>837</v>
      </c>
      <c r="J1167" s="924" t="s">
        <v>859</v>
      </c>
      <c r="K1167" s="924" t="s">
        <v>1072</v>
      </c>
      <c r="L1167" s="925">
        <v>2082.9788932800302</v>
      </c>
      <c r="M1167" s="925">
        <v>1.8525394801599801E-2</v>
      </c>
    </row>
    <row r="1168" spans="1:13" ht="11.25" customHeight="1" x14ac:dyDescent="0.2">
      <c r="A1168" s="924" t="s">
        <v>853</v>
      </c>
      <c r="B1168" s="924" t="s">
        <v>793</v>
      </c>
      <c r="C1168" s="924" t="s">
        <v>1178</v>
      </c>
      <c r="D1168" s="924" t="s">
        <v>1163</v>
      </c>
      <c r="E1168" s="924" t="s">
        <v>856</v>
      </c>
      <c r="F1168" s="924" t="s">
        <v>886</v>
      </c>
      <c r="G1168" s="924" t="s">
        <v>858</v>
      </c>
      <c r="H1168" s="924" t="s">
        <v>836</v>
      </c>
      <c r="I1168" s="924" t="s">
        <v>837</v>
      </c>
      <c r="J1168" s="924" t="s">
        <v>859</v>
      </c>
      <c r="K1168" s="924" t="s">
        <v>887</v>
      </c>
      <c r="L1168" s="925">
        <v>605.56124353408802</v>
      </c>
      <c r="M1168" s="925">
        <v>4.4817277222932699E-3</v>
      </c>
    </row>
    <row r="1169" spans="1:13" ht="11.25" customHeight="1" x14ac:dyDescent="0.2">
      <c r="A1169" s="924" t="s">
        <v>853</v>
      </c>
      <c r="B1169" s="924" t="s">
        <v>793</v>
      </c>
      <c r="C1169" s="924" t="s">
        <v>1178</v>
      </c>
      <c r="D1169" s="924" t="s">
        <v>1163</v>
      </c>
      <c r="E1169" s="924" t="s">
        <v>856</v>
      </c>
      <c r="F1169" s="924" t="s">
        <v>900</v>
      </c>
      <c r="G1169" s="924" t="s">
        <v>858</v>
      </c>
      <c r="H1169" s="924" t="s">
        <v>836</v>
      </c>
      <c r="I1169" s="924" t="s">
        <v>837</v>
      </c>
      <c r="J1169" s="924" t="s">
        <v>859</v>
      </c>
      <c r="K1169" s="924" t="s">
        <v>901</v>
      </c>
      <c r="L1169" s="925">
        <v>66.329828917980194</v>
      </c>
      <c r="M1169" s="925">
        <v>2.8908135405743001E-3</v>
      </c>
    </row>
    <row r="1170" spans="1:13" ht="11.25" customHeight="1" x14ac:dyDescent="0.2">
      <c r="A1170" s="924" t="s">
        <v>853</v>
      </c>
      <c r="B1170" s="924" t="s">
        <v>793</v>
      </c>
      <c r="C1170" s="924" t="s">
        <v>1178</v>
      </c>
      <c r="D1170" s="924" t="s">
        <v>1163</v>
      </c>
      <c r="E1170" s="924" t="s">
        <v>856</v>
      </c>
      <c r="F1170" s="924" t="s">
        <v>942</v>
      </c>
      <c r="G1170" s="924" t="s">
        <v>911</v>
      </c>
      <c r="H1170" s="924" t="s">
        <v>665</v>
      </c>
      <c r="I1170" s="924" t="s">
        <v>706</v>
      </c>
      <c r="J1170" s="924" t="s">
        <v>870</v>
      </c>
      <c r="K1170" s="924" t="s">
        <v>871</v>
      </c>
      <c r="L1170" s="925">
        <v>6.5613615515758297E-2</v>
      </c>
      <c r="M1170" s="925">
        <v>4.09499964035831E-5</v>
      </c>
    </row>
    <row r="1171" spans="1:13" ht="11.25" customHeight="1" x14ac:dyDescent="0.2">
      <c r="A1171" s="924" t="s">
        <v>853</v>
      </c>
      <c r="B1171" s="924" t="s">
        <v>793</v>
      </c>
      <c r="C1171" s="924" t="s">
        <v>1178</v>
      </c>
      <c r="D1171" s="924" t="s">
        <v>1163</v>
      </c>
      <c r="E1171" s="924" t="s">
        <v>1164</v>
      </c>
      <c r="F1171" s="924" t="s">
        <v>1167</v>
      </c>
      <c r="G1171" s="924" t="s">
        <v>911</v>
      </c>
      <c r="H1171" s="924" t="s">
        <v>665</v>
      </c>
      <c r="I1171" s="924" t="s">
        <v>706</v>
      </c>
      <c r="J1171" s="924" t="s">
        <v>1166</v>
      </c>
      <c r="K1171" s="924" t="s">
        <v>1166</v>
      </c>
      <c r="L1171" s="925">
        <v>5.86929256096482E-2</v>
      </c>
      <c r="M1171" s="925">
        <v>2.72047448390822E-6</v>
      </c>
    </row>
    <row r="1172" spans="1:13" ht="11.25" customHeight="1" x14ac:dyDescent="0.2">
      <c r="A1172" s="924" t="s">
        <v>853</v>
      </c>
      <c r="B1172" s="924" t="s">
        <v>793</v>
      </c>
      <c r="C1172" s="924" t="s">
        <v>1178</v>
      </c>
      <c r="D1172" s="924" t="s">
        <v>1163</v>
      </c>
      <c r="E1172" s="924" t="s">
        <v>856</v>
      </c>
      <c r="F1172" s="924" t="s">
        <v>953</v>
      </c>
      <c r="G1172" s="924" t="s">
        <v>858</v>
      </c>
      <c r="H1172" s="924" t="s">
        <v>836</v>
      </c>
      <c r="I1172" s="924" t="s">
        <v>837</v>
      </c>
      <c r="J1172" s="924" t="s">
        <v>859</v>
      </c>
      <c r="K1172" s="924" t="s">
        <v>920</v>
      </c>
      <c r="L1172" s="925">
        <v>97.983098626136794</v>
      </c>
      <c r="M1172" s="925">
        <v>1.2638602974277501E-3</v>
      </c>
    </row>
    <row r="1173" spans="1:13" ht="11.25" customHeight="1" x14ac:dyDescent="0.2">
      <c r="A1173" s="924" t="s">
        <v>853</v>
      </c>
      <c r="B1173" s="924" t="s">
        <v>793</v>
      </c>
      <c r="C1173" s="924" t="s">
        <v>1178</v>
      </c>
      <c r="D1173" s="924" t="s">
        <v>1163</v>
      </c>
      <c r="E1173" s="924" t="s">
        <v>856</v>
      </c>
      <c r="F1173" s="924" t="s">
        <v>919</v>
      </c>
      <c r="G1173" s="924" t="s">
        <v>911</v>
      </c>
      <c r="H1173" s="924" t="s">
        <v>665</v>
      </c>
      <c r="I1173" s="924" t="s">
        <v>706</v>
      </c>
      <c r="J1173" s="924" t="s">
        <v>859</v>
      </c>
      <c r="K1173" s="924" t="s">
        <v>920</v>
      </c>
      <c r="L1173" s="925">
        <v>0.36725100874900801</v>
      </c>
      <c r="M1173" s="925">
        <v>1.0289023120435599E-4</v>
      </c>
    </row>
    <row r="1174" spans="1:13" ht="11.25" customHeight="1" x14ac:dyDescent="0.2">
      <c r="A1174" s="924" t="s">
        <v>853</v>
      </c>
      <c r="B1174" s="924" t="s">
        <v>793</v>
      </c>
      <c r="C1174" s="924" t="s">
        <v>1178</v>
      </c>
      <c r="D1174" s="924" t="s">
        <v>1163</v>
      </c>
      <c r="E1174" s="924" t="s">
        <v>856</v>
      </c>
      <c r="F1174" s="924" t="s">
        <v>925</v>
      </c>
      <c r="G1174" s="924" t="s">
        <v>911</v>
      </c>
      <c r="H1174" s="924" t="s">
        <v>665</v>
      </c>
      <c r="I1174" s="924" t="s">
        <v>706</v>
      </c>
      <c r="J1174" s="924" t="s">
        <v>859</v>
      </c>
      <c r="K1174" s="924" t="s">
        <v>926</v>
      </c>
      <c r="L1174" s="925">
        <v>1.0121000353246901</v>
      </c>
      <c r="M1174" s="925">
        <v>4.6659380245728203E-5</v>
      </c>
    </row>
    <row r="1175" spans="1:13" ht="11.25" customHeight="1" x14ac:dyDescent="0.2">
      <c r="A1175" s="924" t="s">
        <v>853</v>
      </c>
      <c r="B1175" s="924" t="s">
        <v>793</v>
      </c>
      <c r="C1175" s="924" t="s">
        <v>1178</v>
      </c>
      <c r="D1175" s="924" t="s">
        <v>1163</v>
      </c>
      <c r="E1175" s="924" t="s">
        <v>856</v>
      </c>
      <c r="F1175" s="924" t="s">
        <v>927</v>
      </c>
      <c r="G1175" s="924" t="s">
        <v>911</v>
      </c>
      <c r="H1175" s="924" t="s">
        <v>665</v>
      </c>
      <c r="I1175" s="924" t="s">
        <v>706</v>
      </c>
      <c r="J1175" s="924" t="s">
        <v>859</v>
      </c>
      <c r="K1175" s="924" t="s">
        <v>928</v>
      </c>
      <c r="L1175" s="925">
        <v>8.2291310951113701</v>
      </c>
      <c r="M1175" s="925">
        <v>2.4405835847574101E-3</v>
      </c>
    </row>
    <row r="1176" spans="1:13" ht="11.25" customHeight="1" x14ac:dyDescent="0.2">
      <c r="A1176" s="924" t="s">
        <v>853</v>
      </c>
      <c r="B1176" s="924" t="s">
        <v>793</v>
      </c>
      <c r="C1176" s="924" t="s">
        <v>1178</v>
      </c>
      <c r="D1176" s="924" t="s">
        <v>1163</v>
      </c>
      <c r="E1176" s="924" t="s">
        <v>856</v>
      </c>
      <c r="F1176" s="924" t="s">
        <v>929</v>
      </c>
      <c r="G1176" s="924" t="s">
        <v>911</v>
      </c>
      <c r="H1176" s="924" t="s">
        <v>665</v>
      </c>
      <c r="I1176" s="924" t="s">
        <v>706</v>
      </c>
      <c r="J1176" s="924" t="s">
        <v>859</v>
      </c>
      <c r="K1176" s="924" t="s">
        <v>891</v>
      </c>
      <c r="L1176" s="925">
        <v>3.38793819397688</v>
      </c>
      <c r="M1176" s="925">
        <v>1.3574420390796099E-3</v>
      </c>
    </row>
    <row r="1177" spans="1:13" ht="11.25" customHeight="1" x14ac:dyDescent="0.2">
      <c r="A1177" s="924" t="s">
        <v>853</v>
      </c>
      <c r="B1177" s="924" t="s">
        <v>793</v>
      </c>
      <c r="C1177" s="924" t="s">
        <v>1178</v>
      </c>
      <c r="D1177" s="924" t="s">
        <v>1163</v>
      </c>
      <c r="E1177" s="924" t="s">
        <v>856</v>
      </c>
      <c r="F1177" s="924" t="s">
        <v>930</v>
      </c>
      <c r="G1177" s="924" t="s">
        <v>911</v>
      </c>
      <c r="H1177" s="924" t="s">
        <v>665</v>
      </c>
      <c r="I1177" s="924" t="s">
        <v>706</v>
      </c>
      <c r="J1177" s="924" t="s">
        <v>863</v>
      </c>
      <c r="K1177" s="924" t="s">
        <v>931</v>
      </c>
      <c r="L1177" s="925">
        <v>45.869021475315101</v>
      </c>
      <c r="M1177" s="925">
        <v>9.3477669815911196E-3</v>
      </c>
    </row>
    <row r="1178" spans="1:13" ht="11.25" customHeight="1" x14ac:dyDescent="0.2">
      <c r="A1178" s="924" t="s">
        <v>853</v>
      </c>
      <c r="B1178" s="924" t="s">
        <v>793</v>
      </c>
      <c r="C1178" s="924" t="s">
        <v>1178</v>
      </c>
      <c r="D1178" s="924" t="s">
        <v>1163</v>
      </c>
      <c r="E1178" s="924" t="s">
        <v>856</v>
      </c>
      <c r="F1178" s="924" t="s">
        <v>932</v>
      </c>
      <c r="G1178" s="924" t="s">
        <v>911</v>
      </c>
      <c r="H1178" s="924" t="s">
        <v>665</v>
      </c>
      <c r="I1178" s="924" t="s">
        <v>706</v>
      </c>
      <c r="J1178" s="924" t="s">
        <v>863</v>
      </c>
      <c r="K1178" s="924" t="s">
        <v>933</v>
      </c>
      <c r="L1178" s="925">
        <v>4267.2745780944797</v>
      </c>
      <c r="M1178" s="925">
        <v>0.206231952412054</v>
      </c>
    </row>
    <row r="1179" spans="1:13" ht="11.25" customHeight="1" x14ac:dyDescent="0.2">
      <c r="A1179" s="924" t="s">
        <v>853</v>
      </c>
      <c r="B1179" s="924" t="s">
        <v>793</v>
      </c>
      <c r="C1179" s="924" t="s">
        <v>1178</v>
      </c>
      <c r="D1179" s="924" t="s">
        <v>1163</v>
      </c>
      <c r="E1179" s="924" t="s">
        <v>856</v>
      </c>
      <c r="F1179" s="924" t="s">
        <v>954</v>
      </c>
      <c r="G1179" s="924" t="s">
        <v>911</v>
      </c>
      <c r="H1179" s="924" t="s">
        <v>665</v>
      </c>
      <c r="I1179" s="924" t="s">
        <v>706</v>
      </c>
      <c r="J1179" s="924" t="s">
        <v>863</v>
      </c>
      <c r="K1179" s="924" t="s">
        <v>935</v>
      </c>
      <c r="L1179" s="925">
        <v>31.839876234531399</v>
      </c>
      <c r="M1179" s="925">
        <v>1.5033338495413801E-3</v>
      </c>
    </row>
    <row r="1180" spans="1:13" ht="11.25" customHeight="1" x14ac:dyDescent="0.2">
      <c r="A1180" s="924" t="s">
        <v>853</v>
      </c>
      <c r="B1180" s="924" t="s">
        <v>793</v>
      </c>
      <c r="C1180" s="924" t="s">
        <v>1178</v>
      </c>
      <c r="D1180" s="924" t="s">
        <v>1163</v>
      </c>
      <c r="E1180" s="924" t="s">
        <v>856</v>
      </c>
      <c r="F1180" s="924" t="s">
        <v>936</v>
      </c>
      <c r="G1180" s="924" t="s">
        <v>911</v>
      </c>
      <c r="H1180" s="924" t="s">
        <v>665</v>
      </c>
      <c r="I1180" s="924" t="s">
        <v>706</v>
      </c>
      <c r="J1180" s="924" t="s">
        <v>863</v>
      </c>
      <c r="K1180" s="924" t="s">
        <v>864</v>
      </c>
      <c r="L1180" s="925">
        <v>10.0429913401604</v>
      </c>
      <c r="M1180" s="925">
        <v>4.6744582323299299E-4</v>
      </c>
    </row>
    <row r="1181" spans="1:13" ht="11.25" customHeight="1" x14ac:dyDescent="0.2">
      <c r="A1181" s="924" t="s">
        <v>853</v>
      </c>
      <c r="B1181" s="924" t="s">
        <v>793</v>
      </c>
      <c r="C1181" s="924" t="s">
        <v>1178</v>
      </c>
      <c r="D1181" s="924" t="s">
        <v>1163</v>
      </c>
      <c r="E1181" s="924" t="s">
        <v>856</v>
      </c>
      <c r="F1181" s="924" t="s">
        <v>914</v>
      </c>
      <c r="G1181" s="924" t="s">
        <v>911</v>
      </c>
      <c r="H1181" s="924" t="s">
        <v>665</v>
      </c>
      <c r="I1181" s="924" t="s">
        <v>706</v>
      </c>
      <c r="J1181" s="924" t="s">
        <v>863</v>
      </c>
      <c r="K1181" s="924" t="s">
        <v>915</v>
      </c>
      <c r="L1181" s="925">
        <v>2.43599665164948</v>
      </c>
      <c r="M1181" s="925">
        <v>3.4758695983327898E-4</v>
      </c>
    </row>
    <row r="1182" spans="1:13" ht="11.25" customHeight="1" x14ac:dyDescent="0.2">
      <c r="A1182" s="924" t="s">
        <v>853</v>
      </c>
      <c r="B1182" s="924" t="s">
        <v>793</v>
      </c>
      <c r="C1182" s="924" t="s">
        <v>1178</v>
      </c>
      <c r="D1182" s="924" t="s">
        <v>1163</v>
      </c>
      <c r="E1182" s="924" t="s">
        <v>856</v>
      </c>
      <c r="F1182" s="924" t="s">
        <v>923</v>
      </c>
      <c r="G1182" s="924" t="s">
        <v>911</v>
      </c>
      <c r="H1182" s="924" t="s">
        <v>665</v>
      </c>
      <c r="I1182" s="924" t="s">
        <v>706</v>
      </c>
      <c r="J1182" s="924" t="s">
        <v>859</v>
      </c>
      <c r="K1182" s="924" t="s">
        <v>924</v>
      </c>
      <c r="L1182" s="925">
        <v>9.57520390301943</v>
      </c>
      <c r="M1182" s="925">
        <v>5.07639810166438E-4</v>
      </c>
    </row>
    <row r="1183" spans="1:13" ht="11.25" customHeight="1" x14ac:dyDescent="0.2">
      <c r="A1183" s="924" t="s">
        <v>853</v>
      </c>
      <c r="B1183" s="924" t="s">
        <v>793</v>
      </c>
      <c r="C1183" s="924" t="s">
        <v>1178</v>
      </c>
      <c r="D1183" s="924" t="s">
        <v>1163</v>
      </c>
      <c r="E1183" s="924" t="s">
        <v>856</v>
      </c>
      <c r="F1183" s="924" t="s">
        <v>939</v>
      </c>
      <c r="G1183" s="924" t="s">
        <v>911</v>
      </c>
      <c r="H1183" s="924" t="s">
        <v>665</v>
      </c>
      <c r="I1183" s="924" t="s">
        <v>706</v>
      </c>
      <c r="J1183" s="924" t="s">
        <v>940</v>
      </c>
      <c r="K1183" s="924" t="s">
        <v>941</v>
      </c>
      <c r="L1183" s="925">
        <v>148.95316445827501</v>
      </c>
      <c r="M1183" s="925">
        <v>7.1662806531094204E-3</v>
      </c>
    </row>
    <row r="1184" spans="1:13" ht="11.25" customHeight="1" x14ac:dyDescent="0.2">
      <c r="A1184" s="924" t="s">
        <v>853</v>
      </c>
      <c r="B1184" s="924" t="s">
        <v>793</v>
      </c>
      <c r="C1184" s="924" t="s">
        <v>1178</v>
      </c>
      <c r="D1184" s="924" t="s">
        <v>1163</v>
      </c>
      <c r="E1184" s="924" t="s">
        <v>856</v>
      </c>
      <c r="F1184" s="924" t="s">
        <v>865</v>
      </c>
      <c r="G1184" s="924" t="s">
        <v>862</v>
      </c>
      <c r="H1184" s="924" t="s">
        <v>665</v>
      </c>
      <c r="I1184" s="924" t="s">
        <v>787</v>
      </c>
      <c r="J1184" s="924" t="s">
        <v>863</v>
      </c>
      <c r="K1184" s="924" t="s">
        <v>866</v>
      </c>
      <c r="L1184" s="925">
        <v>1.2297802213579401</v>
      </c>
      <c r="M1184" s="925">
        <v>5.9331738170840297E-3</v>
      </c>
    </row>
    <row r="1185" spans="1:13" ht="11.25" customHeight="1" x14ac:dyDescent="0.2">
      <c r="A1185" s="924" t="s">
        <v>853</v>
      </c>
      <c r="B1185" s="924" t="s">
        <v>793</v>
      </c>
      <c r="C1185" s="924" t="s">
        <v>1178</v>
      </c>
      <c r="D1185" s="924" t="s">
        <v>1163</v>
      </c>
      <c r="E1185" s="924" t="s">
        <v>856</v>
      </c>
      <c r="F1185" s="924" t="s">
        <v>943</v>
      </c>
      <c r="G1185" s="924" t="s">
        <v>911</v>
      </c>
      <c r="H1185" s="924" t="s">
        <v>665</v>
      </c>
      <c r="I1185" s="924" t="s">
        <v>706</v>
      </c>
      <c r="J1185" s="924" t="s">
        <v>870</v>
      </c>
      <c r="K1185" s="924" t="s">
        <v>873</v>
      </c>
      <c r="L1185" s="925">
        <v>0.13336934481049001</v>
      </c>
      <c r="M1185" s="925">
        <v>6.0564125572426502E-6</v>
      </c>
    </row>
    <row r="1186" spans="1:13" ht="11.25" customHeight="1" x14ac:dyDescent="0.2">
      <c r="A1186" s="924" t="s">
        <v>853</v>
      </c>
      <c r="B1186" s="924" t="s">
        <v>793</v>
      </c>
      <c r="C1186" s="924" t="s">
        <v>1178</v>
      </c>
      <c r="D1186" s="924" t="s">
        <v>1163</v>
      </c>
      <c r="E1186" s="924" t="s">
        <v>856</v>
      </c>
      <c r="F1186" s="924" t="s">
        <v>944</v>
      </c>
      <c r="G1186" s="924" t="s">
        <v>911</v>
      </c>
      <c r="H1186" s="924" t="s">
        <v>665</v>
      </c>
      <c r="I1186" s="924" t="s">
        <v>706</v>
      </c>
      <c r="J1186" s="924" t="s">
        <v>875</v>
      </c>
      <c r="K1186" s="924" t="s">
        <v>876</v>
      </c>
      <c r="L1186" s="925">
        <v>147.03022789955099</v>
      </c>
      <c r="M1186" s="925">
        <v>4.64858431078028E-2</v>
      </c>
    </row>
    <row r="1187" spans="1:13" ht="11.25" customHeight="1" x14ac:dyDescent="0.2">
      <c r="A1187" s="924" t="s">
        <v>853</v>
      </c>
      <c r="B1187" s="924" t="s">
        <v>793</v>
      </c>
      <c r="C1187" s="924" t="s">
        <v>1178</v>
      </c>
      <c r="D1187" s="924" t="s">
        <v>1163</v>
      </c>
      <c r="E1187" s="924" t="s">
        <v>856</v>
      </c>
      <c r="F1187" s="924" t="s">
        <v>945</v>
      </c>
      <c r="G1187" s="924" t="s">
        <v>911</v>
      </c>
      <c r="H1187" s="924" t="s">
        <v>665</v>
      </c>
      <c r="I1187" s="924" t="s">
        <v>706</v>
      </c>
      <c r="J1187" s="924" t="s">
        <v>875</v>
      </c>
      <c r="K1187" s="924" t="s">
        <v>878</v>
      </c>
      <c r="L1187" s="925">
        <v>32.4676305055618</v>
      </c>
      <c r="M1187" s="925">
        <v>4.8032596059783801E-3</v>
      </c>
    </row>
    <row r="1188" spans="1:13" ht="11.25" customHeight="1" x14ac:dyDescent="0.2">
      <c r="A1188" s="924" t="s">
        <v>853</v>
      </c>
      <c r="B1188" s="924" t="s">
        <v>793</v>
      </c>
      <c r="C1188" s="924" t="s">
        <v>1178</v>
      </c>
      <c r="D1188" s="924" t="s">
        <v>1163</v>
      </c>
      <c r="E1188" s="924" t="s">
        <v>856</v>
      </c>
      <c r="F1188" s="924" t="s">
        <v>946</v>
      </c>
      <c r="G1188" s="924" t="s">
        <v>911</v>
      </c>
      <c r="H1188" s="924" t="s">
        <v>665</v>
      </c>
      <c r="I1188" s="924" t="s">
        <v>706</v>
      </c>
      <c r="J1188" s="924" t="s">
        <v>875</v>
      </c>
      <c r="K1188" s="924" t="s">
        <v>880</v>
      </c>
      <c r="L1188" s="925">
        <v>38.381481111049702</v>
      </c>
      <c r="M1188" s="925">
        <v>2.4427828598163602E-3</v>
      </c>
    </row>
    <row r="1189" spans="1:13" ht="11.25" customHeight="1" x14ac:dyDescent="0.2">
      <c r="A1189" s="924" t="s">
        <v>853</v>
      </c>
      <c r="B1189" s="924" t="s">
        <v>793</v>
      </c>
      <c r="C1189" s="924" t="s">
        <v>1178</v>
      </c>
      <c r="D1189" s="924" t="s">
        <v>1163</v>
      </c>
      <c r="E1189" s="924" t="s">
        <v>856</v>
      </c>
      <c r="F1189" s="924" t="s">
        <v>947</v>
      </c>
      <c r="G1189" s="924" t="s">
        <v>911</v>
      </c>
      <c r="H1189" s="924" t="s">
        <v>665</v>
      </c>
      <c r="I1189" s="924" t="s">
        <v>706</v>
      </c>
      <c r="J1189" s="924" t="s">
        <v>875</v>
      </c>
      <c r="K1189" s="924" t="s">
        <v>948</v>
      </c>
      <c r="L1189" s="925">
        <v>47.706110537052197</v>
      </c>
      <c r="M1189" s="925">
        <v>3.6456410307437199E-3</v>
      </c>
    </row>
    <row r="1190" spans="1:13" ht="11.25" customHeight="1" x14ac:dyDescent="0.2">
      <c r="A1190" s="924" t="s">
        <v>853</v>
      </c>
      <c r="B1190" s="924" t="s">
        <v>793</v>
      </c>
      <c r="C1190" s="924" t="s">
        <v>1178</v>
      </c>
      <c r="D1190" s="924" t="s">
        <v>1163</v>
      </c>
      <c r="E1190" s="924" t="s">
        <v>856</v>
      </c>
      <c r="F1190" s="924" t="s">
        <v>949</v>
      </c>
      <c r="G1190" s="924" t="s">
        <v>911</v>
      </c>
      <c r="H1190" s="924" t="s">
        <v>665</v>
      </c>
      <c r="I1190" s="924" t="s">
        <v>706</v>
      </c>
      <c r="J1190" s="924" t="s">
        <v>875</v>
      </c>
      <c r="K1190" s="924" t="s">
        <v>950</v>
      </c>
      <c r="L1190" s="925">
        <v>0.639681957662106</v>
      </c>
      <c r="M1190" s="925">
        <v>1.3720050966980999E-4</v>
      </c>
    </row>
    <row r="1191" spans="1:13" ht="11.25" customHeight="1" x14ac:dyDescent="0.2">
      <c r="A1191" s="924" t="s">
        <v>853</v>
      </c>
      <c r="B1191" s="924" t="s">
        <v>793</v>
      </c>
      <c r="C1191" s="924" t="s">
        <v>1178</v>
      </c>
      <c r="D1191" s="924" t="s">
        <v>1163</v>
      </c>
      <c r="E1191" s="924" t="s">
        <v>856</v>
      </c>
      <c r="F1191" s="924" t="s">
        <v>951</v>
      </c>
      <c r="G1191" s="924" t="s">
        <v>911</v>
      </c>
      <c r="H1191" s="924" t="s">
        <v>665</v>
      </c>
      <c r="I1191" s="924" t="s">
        <v>706</v>
      </c>
      <c r="J1191" s="924" t="s">
        <v>875</v>
      </c>
      <c r="K1191" s="924" t="s">
        <v>952</v>
      </c>
      <c r="L1191" s="925">
        <v>0.59041714668273904</v>
      </c>
      <c r="M1191" s="925">
        <v>3.6711402223943403E-5</v>
      </c>
    </row>
    <row r="1192" spans="1:13" ht="11.25" customHeight="1" x14ac:dyDescent="0.2">
      <c r="A1192" s="924" t="s">
        <v>853</v>
      </c>
      <c r="B1192" s="924" t="s">
        <v>793</v>
      </c>
      <c r="C1192" s="924" t="s">
        <v>1178</v>
      </c>
      <c r="D1192" s="924" t="s">
        <v>1163</v>
      </c>
      <c r="E1192" s="924" t="s">
        <v>856</v>
      </c>
      <c r="F1192" s="924" t="s">
        <v>890</v>
      </c>
      <c r="G1192" s="924" t="s">
        <v>862</v>
      </c>
      <c r="H1192" s="924" t="s">
        <v>665</v>
      </c>
      <c r="I1192" s="924" t="s">
        <v>787</v>
      </c>
      <c r="J1192" s="924" t="s">
        <v>859</v>
      </c>
      <c r="K1192" s="924" t="s">
        <v>891</v>
      </c>
      <c r="L1192" s="925">
        <v>0.11705556511879001</v>
      </c>
      <c r="M1192" s="925">
        <v>4.1668291914902502E-3</v>
      </c>
    </row>
    <row r="1193" spans="1:13" ht="11.25" customHeight="1" x14ac:dyDescent="0.2">
      <c r="A1193" s="924" t="s">
        <v>853</v>
      </c>
      <c r="B1193" s="924" t="s">
        <v>793</v>
      </c>
      <c r="C1193" s="924" t="s">
        <v>1178</v>
      </c>
      <c r="D1193" s="924" t="s">
        <v>1163</v>
      </c>
      <c r="E1193" s="924" t="s">
        <v>856</v>
      </c>
      <c r="F1193" s="924" t="s">
        <v>937</v>
      </c>
      <c r="G1193" s="924" t="s">
        <v>862</v>
      </c>
      <c r="H1193" s="924" t="s">
        <v>665</v>
      </c>
      <c r="I1193" s="924" t="s">
        <v>787</v>
      </c>
      <c r="J1193" s="924" t="s">
        <v>863</v>
      </c>
      <c r="K1193" s="924" t="s">
        <v>933</v>
      </c>
      <c r="L1193" s="925">
        <v>287.66321444511402</v>
      </c>
      <c r="M1193" s="925">
        <v>1.2252675499767101</v>
      </c>
    </row>
    <row r="1194" spans="1:13" ht="11.25" customHeight="1" x14ac:dyDescent="0.2">
      <c r="A1194" s="924" t="s">
        <v>853</v>
      </c>
      <c r="B1194" s="924" t="s">
        <v>793</v>
      </c>
      <c r="C1194" s="924" t="s">
        <v>1178</v>
      </c>
      <c r="D1194" s="924" t="s">
        <v>1163</v>
      </c>
      <c r="E1194" s="924" t="s">
        <v>856</v>
      </c>
      <c r="F1194" s="924" t="s">
        <v>934</v>
      </c>
      <c r="G1194" s="924" t="s">
        <v>862</v>
      </c>
      <c r="H1194" s="924" t="s">
        <v>665</v>
      </c>
      <c r="I1194" s="924" t="s">
        <v>787</v>
      </c>
      <c r="J1194" s="924" t="s">
        <v>863</v>
      </c>
      <c r="K1194" s="924" t="s">
        <v>935</v>
      </c>
      <c r="L1194" s="925">
        <v>0.243737555341795</v>
      </c>
      <c r="M1194" s="925">
        <v>1.0245885605399999E-3</v>
      </c>
    </row>
    <row r="1195" spans="1:13" ht="11.25" customHeight="1" x14ac:dyDescent="0.2">
      <c r="A1195" s="924" t="s">
        <v>853</v>
      </c>
      <c r="B1195" s="924" t="s">
        <v>793</v>
      </c>
      <c r="C1195" s="924" t="s">
        <v>1178</v>
      </c>
      <c r="D1195" s="924" t="s">
        <v>1163</v>
      </c>
      <c r="E1195" s="924" t="s">
        <v>856</v>
      </c>
      <c r="F1195" s="924" t="s">
        <v>861</v>
      </c>
      <c r="G1195" s="924" t="s">
        <v>862</v>
      </c>
      <c r="H1195" s="924" t="s">
        <v>665</v>
      </c>
      <c r="I1195" s="924" t="s">
        <v>787</v>
      </c>
      <c r="J1195" s="924" t="s">
        <v>863</v>
      </c>
      <c r="K1195" s="924" t="s">
        <v>864</v>
      </c>
      <c r="L1195" s="925">
        <v>0.13283151073846999</v>
      </c>
      <c r="M1195" s="925">
        <v>5.4577933497057497E-4</v>
      </c>
    </row>
    <row r="1196" spans="1:13" ht="11.25" customHeight="1" x14ac:dyDescent="0.2">
      <c r="A1196" s="924" t="s">
        <v>853</v>
      </c>
      <c r="B1196" s="924" t="s">
        <v>793</v>
      </c>
      <c r="C1196" s="924" t="s">
        <v>1178</v>
      </c>
      <c r="D1196" s="924" t="s">
        <v>1163</v>
      </c>
      <c r="E1196" s="924" t="s">
        <v>856</v>
      </c>
      <c r="F1196" s="924" t="s">
        <v>938</v>
      </c>
      <c r="G1196" s="924" t="s">
        <v>911</v>
      </c>
      <c r="H1196" s="924" t="s">
        <v>665</v>
      </c>
      <c r="I1196" s="924" t="s">
        <v>706</v>
      </c>
      <c r="J1196" s="924" t="s">
        <v>863</v>
      </c>
      <c r="K1196" s="924" t="s">
        <v>868</v>
      </c>
      <c r="L1196" s="925">
        <v>19.7449762523174</v>
      </c>
      <c r="M1196" s="925">
        <v>9.1237205288052803E-4</v>
      </c>
    </row>
    <row r="1197" spans="1:13" ht="11.25" customHeight="1" x14ac:dyDescent="0.2">
      <c r="A1197" s="924" t="s">
        <v>853</v>
      </c>
      <c r="B1197" s="924" t="s">
        <v>793</v>
      </c>
      <c r="C1197" s="924" t="s">
        <v>1178</v>
      </c>
      <c r="D1197" s="924" t="s">
        <v>1163</v>
      </c>
      <c r="E1197" s="924" t="s">
        <v>856</v>
      </c>
      <c r="F1197" s="924" t="s">
        <v>1172</v>
      </c>
      <c r="G1197" s="924" t="s">
        <v>858</v>
      </c>
      <c r="H1197" s="924" t="s">
        <v>836</v>
      </c>
      <c r="I1197" s="924" t="s">
        <v>837</v>
      </c>
      <c r="J1197" s="924" t="s">
        <v>863</v>
      </c>
      <c r="K1197" s="924" t="s">
        <v>1171</v>
      </c>
      <c r="L1197" s="925">
        <v>128.42545127868701</v>
      </c>
      <c r="M1197" s="925">
        <v>3.7333092172957502E-3</v>
      </c>
    </row>
    <row r="1198" spans="1:13" ht="11.25" customHeight="1" x14ac:dyDescent="0.2">
      <c r="A1198" s="924" t="s">
        <v>853</v>
      </c>
      <c r="B1198" s="924" t="s">
        <v>793</v>
      </c>
      <c r="C1198" s="924" t="s">
        <v>1178</v>
      </c>
      <c r="D1198" s="924" t="s">
        <v>1163</v>
      </c>
      <c r="E1198" s="924" t="s">
        <v>856</v>
      </c>
      <c r="F1198" s="924" t="s">
        <v>996</v>
      </c>
      <c r="G1198" s="924" t="s">
        <v>911</v>
      </c>
      <c r="H1198" s="924" t="s">
        <v>665</v>
      </c>
      <c r="I1198" s="924" t="s">
        <v>834</v>
      </c>
      <c r="J1198" s="924" t="s">
        <v>706</v>
      </c>
      <c r="K1198" s="924" t="s">
        <v>993</v>
      </c>
      <c r="L1198" s="925">
        <v>0.133697650046088</v>
      </c>
      <c r="M1198" s="925">
        <v>1.65759111219188E-5</v>
      </c>
    </row>
    <row r="1199" spans="1:13" ht="11.25" customHeight="1" x14ac:dyDescent="0.2">
      <c r="A1199" s="924" t="s">
        <v>853</v>
      </c>
      <c r="B1199" s="924" t="s">
        <v>793</v>
      </c>
      <c r="C1199" s="924" t="s">
        <v>1178</v>
      </c>
      <c r="D1199" s="924" t="s">
        <v>1163</v>
      </c>
      <c r="E1199" s="924" t="s">
        <v>856</v>
      </c>
      <c r="F1199" s="924" t="s">
        <v>962</v>
      </c>
      <c r="G1199" s="924" t="s">
        <v>858</v>
      </c>
      <c r="H1199" s="924" t="s">
        <v>836</v>
      </c>
      <c r="I1199" s="924" t="s">
        <v>837</v>
      </c>
      <c r="J1199" s="924" t="s">
        <v>870</v>
      </c>
      <c r="K1199" s="924" t="s">
        <v>963</v>
      </c>
      <c r="L1199" s="925">
        <v>0.11681600840529401</v>
      </c>
      <c r="M1199" s="925">
        <v>8.3027873253038699E-7</v>
      </c>
    </row>
    <row r="1200" spans="1:13" ht="11.25" customHeight="1" x14ac:dyDescent="0.2">
      <c r="A1200" s="924" t="s">
        <v>853</v>
      </c>
      <c r="B1200" s="924" t="s">
        <v>793</v>
      </c>
      <c r="C1200" s="924" t="s">
        <v>1178</v>
      </c>
      <c r="D1200" s="924" t="s">
        <v>1163</v>
      </c>
      <c r="E1200" s="924" t="s">
        <v>856</v>
      </c>
      <c r="F1200" s="924" t="s">
        <v>964</v>
      </c>
      <c r="G1200" s="924" t="s">
        <v>858</v>
      </c>
      <c r="H1200" s="924" t="s">
        <v>836</v>
      </c>
      <c r="I1200" s="924" t="s">
        <v>837</v>
      </c>
      <c r="J1200" s="924" t="s">
        <v>870</v>
      </c>
      <c r="K1200" s="924" t="s">
        <v>965</v>
      </c>
      <c r="L1200" s="925">
        <v>39.0450808852911</v>
      </c>
      <c r="M1200" s="925">
        <v>3.58493199343002E-4</v>
      </c>
    </row>
    <row r="1201" spans="1:13" ht="11.25" customHeight="1" x14ac:dyDescent="0.2">
      <c r="A1201" s="924" t="s">
        <v>853</v>
      </c>
      <c r="B1201" s="924" t="s">
        <v>793</v>
      </c>
      <c r="C1201" s="924" t="s">
        <v>1178</v>
      </c>
      <c r="D1201" s="924" t="s">
        <v>1163</v>
      </c>
      <c r="E1201" s="924" t="s">
        <v>856</v>
      </c>
      <c r="F1201" s="924" t="s">
        <v>966</v>
      </c>
      <c r="G1201" s="924" t="s">
        <v>858</v>
      </c>
      <c r="H1201" s="924" t="s">
        <v>836</v>
      </c>
      <c r="I1201" s="924" t="s">
        <v>837</v>
      </c>
      <c r="J1201" s="924" t="s">
        <v>870</v>
      </c>
      <c r="K1201" s="924" t="s">
        <v>871</v>
      </c>
      <c r="L1201" s="925">
        <v>108.64431950449899</v>
      </c>
      <c r="M1201" s="925">
        <v>9.4403055966907302E-4</v>
      </c>
    </row>
    <row r="1202" spans="1:13" ht="11.25" customHeight="1" x14ac:dyDescent="0.2">
      <c r="A1202" s="924" t="s">
        <v>853</v>
      </c>
      <c r="B1202" s="924" t="s">
        <v>793</v>
      </c>
      <c r="C1202" s="924" t="s">
        <v>1178</v>
      </c>
      <c r="D1202" s="924" t="s">
        <v>1163</v>
      </c>
      <c r="E1202" s="924" t="s">
        <v>856</v>
      </c>
      <c r="F1202" s="924" t="s">
        <v>967</v>
      </c>
      <c r="G1202" s="924" t="s">
        <v>858</v>
      </c>
      <c r="H1202" s="924" t="s">
        <v>836</v>
      </c>
      <c r="I1202" s="924" t="s">
        <v>837</v>
      </c>
      <c r="J1202" s="924" t="s">
        <v>870</v>
      </c>
      <c r="K1202" s="924" t="s">
        <v>873</v>
      </c>
      <c r="L1202" s="925">
        <v>80.073980927467304</v>
      </c>
      <c r="M1202" s="925">
        <v>1.3527819252559001E-3</v>
      </c>
    </row>
    <row r="1203" spans="1:13" ht="11.25" customHeight="1" x14ac:dyDescent="0.2">
      <c r="A1203" s="924" t="s">
        <v>853</v>
      </c>
      <c r="B1203" s="924" t="s">
        <v>793</v>
      </c>
      <c r="C1203" s="924" t="s">
        <v>1178</v>
      </c>
      <c r="D1203" s="924" t="s">
        <v>1163</v>
      </c>
      <c r="E1203" s="924" t="s">
        <v>856</v>
      </c>
      <c r="F1203" s="924" t="s">
        <v>968</v>
      </c>
      <c r="G1203" s="924" t="s">
        <v>858</v>
      </c>
      <c r="H1203" s="924" t="s">
        <v>836</v>
      </c>
      <c r="I1203" s="924" t="s">
        <v>837</v>
      </c>
      <c r="J1203" s="924" t="s">
        <v>875</v>
      </c>
      <c r="K1203" s="924" t="s">
        <v>876</v>
      </c>
      <c r="L1203" s="925">
        <v>1150.8200387954701</v>
      </c>
      <c r="M1203" s="925">
        <v>3.0846596879655401E-2</v>
      </c>
    </row>
    <row r="1204" spans="1:13" ht="11.25" customHeight="1" x14ac:dyDescent="0.2">
      <c r="A1204" s="924" t="s">
        <v>853</v>
      </c>
      <c r="B1204" s="924" t="s">
        <v>793</v>
      </c>
      <c r="C1204" s="924" t="s">
        <v>1178</v>
      </c>
      <c r="D1204" s="924" t="s">
        <v>1163</v>
      </c>
      <c r="E1204" s="924" t="s">
        <v>856</v>
      </c>
      <c r="F1204" s="924" t="s">
        <v>969</v>
      </c>
      <c r="G1204" s="924" t="s">
        <v>858</v>
      </c>
      <c r="H1204" s="924" t="s">
        <v>836</v>
      </c>
      <c r="I1204" s="924" t="s">
        <v>837</v>
      </c>
      <c r="J1204" s="924" t="s">
        <v>875</v>
      </c>
      <c r="K1204" s="924" t="s">
        <v>878</v>
      </c>
      <c r="L1204" s="925">
        <v>271.60928297042801</v>
      </c>
      <c r="M1204" s="925">
        <v>7.1947665391007797E-3</v>
      </c>
    </row>
    <row r="1205" spans="1:13" ht="11.25" customHeight="1" x14ac:dyDescent="0.2">
      <c r="A1205" s="924" t="s">
        <v>853</v>
      </c>
      <c r="B1205" s="924" t="s">
        <v>793</v>
      </c>
      <c r="C1205" s="924" t="s">
        <v>1178</v>
      </c>
      <c r="D1205" s="924" t="s">
        <v>1163</v>
      </c>
      <c r="E1205" s="924" t="s">
        <v>856</v>
      </c>
      <c r="F1205" s="924" t="s">
        <v>970</v>
      </c>
      <c r="G1205" s="924" t="s">
        <v>858</v>
      </c>
      <c r="H1205" s="924" t="s">
        <v>836</v>
      </c>
      <c r="I1205" s="924" t="s">
        <v>837</v>
      </c>
      <c r="J1205" s="924" t="s">
        <v>875</v>
      </c>
      <c r="K1205" s="924" t="s">
        <v>880</v>
      </c>
      <c r="L1205" s="925">
        <v>753.471936225891</v>
      </c>
      <c r="M1205" s="925">
        <v>1.46412663357296E-2</v>
      </c>
    </row>
    <row r="1206" spans="1:13" ht="11.25" customHeight="1" x14ac:dyDescent="0.2">
      <c r="A1206" s="924" t="s">
        <v>853</v>
      </c>
      <c r="B1206" s="924" t="s">
        <v>793</v>
      </c>
      <c r="C1206" s="924" t="s">
        <v>1178</v>
      </c>
      <c r="D1206" s="924" t="s">
        <v>1163</v>
      </c>
      <c r="E1206" s="924" t="s">
        <v>856</v>
      </c>
      <c r="F1206" s="924" t="s">
        <v>971</v>
      </c>
      <c r="G1206" s="924" t="s">
        <v>858</v>
      </c>
      <c r="H1206" s="924" t="s">
        <v>836</v>
      </c>
      <c r="I1206" s="924" t="s">
        <v>837</v>
      </c>
      <c r="J1206" s="924" t="s">
        <v>875</v>
      </c>
      <c r="K1206" s="924" t="s">
        <v>948</v>
      </c>
      <c r="L1206" s="925">
        <v>382.92324781417801</v>
      </c>
      <c r="M1206" s="925">
        <v>1.63789439563971E-2</v>
      </c>
    </row>
    <row r="1207" spans="1:13" ht="11.25" customHeight="1" x14ac:dyDescent="0.2">
      <c r="A1207" s="924" t="s">
        <v>853</v>
      </c>
      <c r="B1207" s="924" t="s">
        <v>793</v>
      </c>
      <c r="C1207" s="924" t="s">
        <v>1178</v>
      </c>
      <c r="D1207" s="924" t="s">
        <v>1163</v>
      </c>
      <c r="E1207" s="924" t="s">
        <v>856</v>
      </c>
      <c r="F1207" s="924" t="s">
        <v>1000</v>
      </c>
      <c r="G1207" s="924" t="s">
        <v>858</v>
      </c>
      <c r="H1207" s="924" t="s">
        <v>836</v>
      </c>
      <c r="I1207" s="924" t="s">
        <v>837</v>
      </c>
      <c r="J1207" s="924" t="s">
        <v>875</v>
      </c>
      <c r="K1207" s="924" t="s">
        <v>950</v>
      </c>
      <c r="L1207" s="925">
        <v>36.799306809902198</v>
      </c>
      <c r="M1207" s="925">
        <v>8.64376904601727E-4</v>
      </c>
    </row>
    <row r="1208" spans="1:13" ht="11.25" customHeight="1" x14ac:dyDescent="0.2">
      <c r="A1208" s="924" t="s">
        <v>853</v>
      </c>
      <c r="B1208" s="924" t="s">
        <v>793</v>
      </c>
      <c r="C1208" s="924" t="s">
        <v>1178</v>
      </c>
      <c r="D1208" s="924" t="s">
        <v>1163</v>
      </c>
      <c r="E1208" s="924" t="s">
        <v>856</v>
      </c>
      <c r="F1208" s="924" t="s">
        <v>958</v>
      </c>
      <c r="G1208" s="924" t="s">
        <v>858</v>
      </c>
      <c r="H1208" s="924" t="s">
        <v>836</v>
      </c>
      <c r="I1208" s="924" t="s">
        <v>837</v>
      </c>
      <c r="J1208" s="924" t="s">
        <v>870</v>
      </c>
      <c r="K1208" s="924" t="s">
        <v>959</v>
      </c>
      <c r="L1208" s="925">
        <v>0.57910408591851603</v>
      </c>
      <c r="M1208" s="925">
        <v>5.3968002223236901E-6</v>
      </c>
    </row>
    <row r="1209" spans="1:13" ht="11.25" customHeight="1" x14ac:dyDescent="0.2">
      <c r="A1209" s="924" t="s">
        <v>853</v>
      </c>
      <c r="B1209" s="924" t="s">
        <v>793</v>
      </c>
      <c r="C1209" s="924" t="s">
        <v>1178</v>
      </c>
      <c r="D1209" s="924" t="s">
        <v>1163</v>
      </c>
      <c r="E1209" s="924" t="s">
        <v>856</v>
      </c>
      <c r="F1209" s="924" t="s">
        <v>955</v>
      </c>
      <c r="G1209" s="924" t="s">
        <v>858</v>
      </c>
      <c r="H1209" s="924" t="s">
        <v>836</v>
      </c>
      <c r="I1209" s="924" t="s">
        <v>837</v>
      </c>
      <c r="J1209" s="924" t="s">
        <v>956</v>
      </c>
      <c r="K1209" s="924" t="s">
        <v>957</v>
      </c>
      <c r="L1209" s="925">
        <v>218.20879983902</v>
      </c>
      <c r="M1209" s="925">
        <v>1.25325116778185E-3</v>
      </c>
    </row>
    <row r="1210" spans="1:13" ht="11.25" customHeight="1" x14ac:dyDescent="0.2">
      <c r="A1210" s="924" t="s">
        <v>853</v>
      </c>
      <c r="B1210" s="924" t="s">
        <v>793</v>
      </c>
      <c r="C1210" s="924" t="s">
        <v>1178</v>
      </c>
      <c r="D1210" s="924" t="s">
        <v>1163</v>
      </c>
      <c r="E1210" s="924" t="s">
        <v>856</v>
      </c>
      <c r="F1210" s="924" t="s">
        <v>1015</v>
      </c>
      <c r="G1210" s="924" t="s">
        <v>858</v>
      </c>
      <c r="H1210" s="924" t="s">
        <v>836</v>
      </c>
      <c r="I1210" s="924" t="s">
        <v>837</v>
      </c>
      <c r="J1210" s="924" t="s">
        <v>870</v>
      </c>
      <c r="K1210" s="924" t="s">
        <v>1016</v>
      </c>
      <c r="L1210" s="925">
        <v>2.7569431103766</v>
      </c>
      <c r="M1210" s="925">
        <v>3.3496171748304E-5</v>
      </c>
    </row>
    <row r="1211" spans="1:13" ht="11.25" customHeight="1" x14ac:dyDescent="0.2">
      <c r="A1211" s="924" t="s">
        <v>853</v>
      </c>
      <c r="B1211" s="924" t="s">
        <v>793</v>
      </c>
      <c r="C1211" s="924" t="s">
        <v>1178</v>
      </c>
      <c r="D1211" s="924" t="s">
        <v>1163</v>
      </c>
      <c r="E1211" s="924" t="s">
        <v>856</v>
      </c>
      <c r="F1211" s="924" t="s">
        <v>980</v>
      </c>
      <c r="G1211" s="924" t="s">
        <v>981</v>
      </c>
      <c r="H1211" s="924" t="s">
        <v>835</v>
      </c>
      <c r="I1211" s="924" t="s">
        <v>839</v>
      </c>
      <c r="J1211" s="924" t="s">
        <v>982</v>
      </c>
      <c r="K1211" s="924" t="s">
        <v>983</v>
      </c>
      <c r="L1211" s="925">
        <v>387.20241868495901</v>
      </c>
      <c r="M1211" s="925">
        <v>0.44163860596017901</v>
      </c>
    </row>
    <row r="1212" spans="1:13" ht="11.25" customHeight="1" x14ac:dyDescent="0.2">
      <c r="A1212" s="924" t="s">
        <v>853</v>
      </c>
      <c r="B1212" s="924" t="s">
        <v>793</v>
      </c>
      <c r="C1212" s="924" t="s">
        <v>1178</v>
      </c>
      <c r="D1212" s="924" t="s">
        <v>1163</v>
      </c>
      <c r="E1212" s="924" t="s">
        <v>856</v>
      </c>
      <c r="F1212" s="924" t="s">
        <v>984</v>
      </c>
      <c r="G1212" s="924" t="s">
        <v>981</v>
      </c>
      <c r="H1212" s="924" t="s">
        <v>835</v>
      </c>
      <c r="I1212" s="924" t="s">
        <v>839</v>
      </c>
      <c r="J1212" s="924" t="s">
        <v>982</v>
      </c>
      <c r="K1212" s="924" t="s">
        <v>985</v>
      </c>
      <c r="L1212" s="925">
        <v>163.58111801743499</v>
      </c>
      <c r="M1212" s="925">
        <v>0.18247300371876901</v>
      </c>
    </row>
    <row r="1213" spans="1:13" ht="11.25" customHeight="1" x14ac:dyDescent="0.2">
      <c r="A1213" s="924" t="s">
        <v>853</v>
      </c>
      <c r="B1213" s="924" t="s">
        <v>793</v>
      </c>
      <c r="C1213" s="924" t="s">
        <v>1178</v>
      </c>
      <c r="D1213" s="924" t="s">
        <v>1163</v>
      </c>
      <c r="E1213" s="924" t="s">
        <v>856</v>
      </c>
      <c r="F1213" s="924" t="s">
        <v>986</v>
      </c>
      <c r="G1213" s="924" t="s">
        <v>981</v>
      </c>
      <c r="H1213" s="924" t="s">
        <v>835</v>
      </c>
      <c r="I1213" s="924" t="s">
        <v>839</v>
      </c>
      <c r="J1213" s="924" t="s">
        <v>987</v>
      </c>
      <c r="K1213" s="924" t="s">
        <v>988</v>
      </c>
      <c r="L1213" s="925">
        <v>119.02075454592701</v>
      </c>
      <c r="M1213" s="925">
        <v>6.0150513236294501E-2</v>
      </c>
    </row>
    <row r="1214" spans="1:13" ht="11.25" customHeight="1" x14ac:dyDescent="0.2">
      <c r="A1214" s="924" t="s">
        <v>853</v>
      </c>
      <c r="B1214" s="924" t="s">
        <v>793</v>
      </c>
      <c r="C1214" s="924" t="s">
        <v>1178</v>
      </c>
      <c r="D1214" s="924" t="s">
        <v>1163</v>
      </c>
      <c r="E1214" s="924" t="s">
        <v>856</v>
      </c>
      <c r="F1214" s="924" t="s">
        <v>989</v>
      </c>
      <c r="G1214" s="924" t="s">
        <v>990</v>
      </c>
      <c r="H1214" s="924" t="s">
        <v>836</v>
      </c>
      <c r="I1214" s="924" t="s">
        <v>839</v>
      </c>
      <c r="J1214" s="924" t="s">
        <v>224</v>
      </c>
      <c r="K1214" s="924" t="s">
        <v>988</v>
      </c>
      <c r="L1214" s="925">
        <v>93.731884941458702</v>
      </c>
      <c r="M1214" s="925">
        <v>3.1913584727130098E-3</v>
      </c>
    </row>
    <row r="1215" spans="1:13" ht="11.25" customHeight="1" x14ac:dyDescent="0.2">
      <c r="A1215" s="924" t="s">
        <v>853</v>
      </c>
      <c r="B1215" s="924" t="s">
        <v>793</v>
      </c>
      <c r="C1215" s="924" t="s">
        <v>1178</v>
      </c>
      <c r="D1215" s="924" t="s">
        <v>1163</v>
      </c>
      <c r="E1215" s="924" t="s">
        <v>856</v>
      </c>
      <c r="F1215" s="924" t="s">
        <v>991</v>
      </c>
      <c r="G1215" s="924" t="s">
        <v>990</v>
      </c>
      <c r="H1215" s="924" t="s">
        <v>836</v>
      </c>
      <c r="I1215" s="924" t="s">
        <v>839</v>
      </c>
      <c r="J1215" s="924" t="s">
        <v>224</v>
      </c>
      <c r="K1215" s="924" t="s">
        <v>983</v>
      </c>
      <c r="L1215" s="925">
        <v>0.783486997941509</v>
      </c>
      <c r="M1215" s="925">
        <v>4.6784611950345701E-5</v>
      </c>
    </row>
    <row r="1216" spans="1:13" ht="11.25" customHeight="1" x14ac:dyDescent="0.2">
      <c r="A1216" s="924" t="s">
        <v>853</v>
      </c>
      <c r="B1216" s="924" t="s">
        <v>793</v>
      </c>
      <c r="C1216" s="924" t="s">
        <v>1178</v>
      </c>
      <c r="D1216" s="924" t="s">
        <v>1163</v>
      </c>
      <c r="E1216" s="924" t="s">
        <v>856</v>
      </c>
      <c r="F1216" s="924" t="s">
        <v>992</v>
      </c>
      <c r="G1216" s="924" t="s">
        <v>858</v>
      </c>
      <c r="H1216" s="924" t="s">
        <v>836</v>
      </c>
      <c r="I1216" s="924" t="s">
        <v>834</v>
      </c>
      <c r="J1216" s="924" t="s">
        <v>224</v>
      </c>
      <c r="K1216" s="924" t="s">
        <v>993</v>
      </c>
      <c r="L1216" s="925">
        <v>75.572999596595807</v>
      </c>
      <c r="M1216" s="925">
        <v>2.9411470105742401E-3</v>
      </c>
    </row>
    <row r="1217" spans="1:13" ht="11.25" customHeight="1" x14ac:dyDescent="0.2">
      <c r="A1217" s="924" t="s">
        <v>853</v>
      </c>
      <c r="B1217" s="924" t="s">
        <v>793</v>
      </c>
      <c r="C1217" s="924" t="s">
        <v>1178</v>
      </c>
      <c r="D1217" s="924" t="s">
        <v>1163</v>
      </c>
      <c r="E1217" s="924" t="s">
        <v>856</v>
      </c>
      <c r="F1217" s="924" t="s">
        <v>994</v>
      </c>
      <c r="G1217" s="924" t="s">
        <v>981</v>
      </c>
      <c r="H1217" s="924" t="s">
        <v>835</v>
      </c>
      <c r="I1217" s="924" t="s">
        <v>834</v>
      </c>
      <c r="J1217" s="924" t="s">
        <v>995</v>
      </c>
      <c r="K1217" s="924" t="s">
        <v>993</v>
      </c>
      <c r="L1217" s="925">
        <v>4.4591799601912498</v>
      </c>
      <c r="M1217" s="925">
        <v>2.90442637067301E-3</v>
      </c>
    </row>
    <row r="1218" spans="1:13" ht="11.25" customHeight="1" x14ac:dyDescent="0.2">
      <c r="A1218" s="924" t="s">
        <v>853</v>
      </c>
      <c r="B1218" s="924" t="s">
        <v>793</v>
      </c>
      <c r="C1218" s="924" t="s">
        <v>1178</v>
      </c>
      <c r="D1218" s="924" t="s">
        <v>1163</v>
      </c>
      <c r="E1218" s="924" t="s">
        <v>856</v>
      </c>
      <c r="F1218" s="924" t="s">
        <v>916</v>
      </c>
      <c r="G1218" s="924" t="s">
        <v>911</v>
      </c>
      <c r="H1218" s="924" t="s">
        <v>665</v>
      </c>
      <c r="I1218" s="924" t="s">
        <v>706</v>
      </c>
      <c r="J1218" s="924" t="s">
        <v>859</v>
      </c>
      <c r="K1218" s="924" t="s">
        <v>909</v>
      </c>
      <c r="L1218" s="925">
        <v>5.7382476553320902</v>
      </c>
      <c r="M1218" s="925">
        <v>2.6558654553809902E-4</v>
      </c>
    </row>
    <row r="1219" spans="1:13" ht="11.25" customHeight="1" x14ac:dyDescent="0.2">
      <c r="A1219" s="924" t="s">
        <v>853</v>
      </c>
      <c r="B1219" s="924" t="s">
        <v>793</v>
      </c>
      <c r="C1219" s="924" t="s">
        <v>1178</v>
      </c>
      <c r="D1219" s="924" t="s">
        <v>1163</v>
      </c>
      <c r="E1219" s="924" t="s">
        <v>1164</v>
      </c>
      <c r="F1219" s="924" t="s">
        <v>1165</v>
      </c>
      <c r="G1219" s="924" t="s">
        <v>981</v>
      </c>
      <c r="H1219" s="924" t="s">
        <v>835</v>
      </c>
      <c r="I1219" s="924" t="s">
        <v>1040</v>
      </c>
      <c r="J1219" s="924" t="s">
        <v>1166</v>
      </c>
      <c r="K1219" s="924" t="s">
        <v>1166</v>
      </c>
      <c r="L1219" s="925">
        <v>0.105214698472992</v>
      </c>
      <c r="M1219" s="925">
        <v>3.0339425165948301E-5</v>
      </c>
    </row>
    <row r="1220" spans="1:13" ht="11.25" customHeight="1" x14ac:dyDescent="0.2">
      <c r="A1220" s="924" t="s">
        <v>853</v>
      </c>
      <c r="B1220" s="924" t="s">
        <v>793</v>
      </c>
      <c r="C1220" s="924" t="s">
        <v>1178</v>
      </c>
      <c r="D1220" s="924" t="s">
        <v>1163</v>
      </c>
      <c r="E1220" s="924" t="s">
        <v>856</v>
      </c>
      <c r="F1220" s="924" t="s">
        <v>917</v>
      </c>
      <c r="G1220" s="924" t="s">
        <v>911</v>
      </c>
      <c r="H1220" s="924" t="s">
        <v>665</v>
      </c>
      <c r="I1220" s="924" t="s">
        <v>706</v>
      </c>
      <c r="J1220" s="924" t="s">
        <v>859</v>
      </c>
      <c r="K1220" s="924" t="s">
        <v>918</v>
      </c>
      <c r="L1220" s="925">
        <v>2.2257516440004101</v>
      </c>
      <c r="M1220" s="925">
        <v>7.1866836901790499E-4</v>
      </c>
    </row>
    <row r="1221" spans="1:13" ht="11.25" customHeight="1" x14ac:dyDescent="0.2">
      <c r="A1221" s="924" t="s">
        <v>853</v>
      </c>
      <c r="B1221" s="924" t="s">
        <v>793</v>
      </c>
      <c r="C1221" s="924" t="s">
        <v>1178</v>
      </c>
      <c r="D1221" s="924" t="s">
        <v>1163</v>
      </c>
      <c r="E1221" s="924" t="s">
        <v>1164</v>
      </c>
      <c r="F1221" s="924" t="s">
        <v>1168</v>
      </c>
      <c r="G1221" s="924" t="s">
        <v>858</v>
      </c>
      <c r="H1221" s="924" t="s">
        <v>836</v>
      </c>
      <c r="I1221" s="924" t="s">
        <v>837</v>
      </c>
      <c r="J1221" s="924" t="s">
        <v>1166</v>
      </c>
      <c r="K1221" s="924" t="s">
        <v>1166</v>
      </c>
      <c r="L1221" s="925">
        <v>3.2511131837964098</v>
      </c>
      <c r="M1221" s="925">
        <v>4.1589241210004998E-5</v>
      </c>
    </row>
    <row r="1222" spans="1:13" ht="11.25" customHeight="1" x14ac:dyDescent="0.2">
      <c r="A1222" s="924" t="s">
        <v>853</v>
      </c>
      <c r="B1222" s="924" t="s">
        <v>793</v>
      </c>
      <c r="C1222" s="924" t="s">
        <v>1178</v>
      </c>
      <c r="D1222" s="924" t="s">
        <v>1163</v>
      </c>
      <c r="E1222" s="924" t="s">
        <v>856</v>
      </c>
      <c r="F1222" s="924" t="s">
        <v>974</v>
      </c>
      <c r="G1222" s="924" t="s">
        <v>858</v>
      </c>
      <c r="H1222" s="924" t="s">
        <v>836</v>
      </c>
      <c r="I1222" s="924" t="s">
        <v>837</v>
      </c>
      <c r="J1222" s="924" t="s">
        <v>875</v>
      </c>
      <c r="K1222" s="924" t="s">
        <v>952</v>
      </c>
      <c r="L1222" s="925">
        <v>32.564672023057902</v>
      </c>
      <c r="M1222" s="925">
        <v>7.3574596609660104E-4</v>
      </c>
    </row>
    <row r="1223" spans="1:13" ht="11.25" customHeight="1" x14ac:dyDescent="0.2">
      <c r="A1223" s="924" t="s">
        <v>853</v>
      </c>
      <c r="B1223" s="924" t="s">
        <v>793</v>
      </c>
      <c r="C1223" s="924" t="s">
        <v>1178</v>
      </c>
      <c r="D1223" s="924" t="s">
        <v>1163</v>
      </c>
      <c r="E1223" s="924" t="s">
        <v>856</v>
      </c>
      <c r="F1223" s="924" t="s">
        <v>1020</v>
      </c>
      <c r="G1223" s="924" t="s">
        <v>858</v>
      </c>
      <c r="H1223" s="924" t="s">
        <v>836</v>
      </c>
      <c r="I1223" s="924" t="s">
        <v>837</v>
      </c>
      <c r="J1223" s="924" t="s">
        <v>863</v>
      </c>
      <c r="K1223" s="924" t="s">
        <v>866</v>
      </c>
      <c r="L1223" s="925">
        <v>3208.3182449340802</v>
      </c>
      <c r="M1223" s="925">
        <v>7.7874130933651003E-2</v>
      </c>
    </row>
    <row r="1224" spans="1:13" ht="11.25" customHeight="1" x14ac:dyDescent="0.2">
      <c r="A1224" s="924" t="s">
        <v>853</v>
      </c>
      <c r="B1224" s="924" t="s">
        <v>793</v>
      </c>
      <c r="C1224" s="924" t="s">
        <v>1178</v>
      </c>
      <c r="D1224" s="924" t="s">
        <v>1163</v>
      </c>
      <c r="E1224" s="924" t="s">
        <v>856</v>
      </c>
      <c r="F1224" s="924" t="s">
        <v>1003</v>
      </c>
      <c r="G1224" s="924" t="s">
        <v>858</v>
      </c>
      <c r="H1224" s="924" t="s">
        <v>836</v>
      </c>
      <c r="I1224" s="924" t="s">
        <v>837</v>
      </c>
      <c r="J1224" s="924" t="s">
        <v>859</v>
      </c>
      <c r="K1224" s="924" t="s">
        <v>924</v>
      </c>
      <c r="L1224" s="925">
        <v>2649.4712371826199</v>
      </c>
      <c r="M1224" s="925">
        <v>2.5270103830735E-2</v>
      </c>
    </row>
    <row r="1225" spans="1:13" ht="11.25" customHeight="1" x14ac:dyDescent="0.2">
      <c r="A1225" s="924" t="s">
        <v>853</v>
      </c>
      <c r="B1225" s="924" t="s">
        <v>793</v>
      </c>
      <c r="C1225" s="924" t="s">
        <v>1178</v>
      </c>
      <c r="D1225" s="924" t="s">
        <v>1163</v>
      </c>
      <c r="E1225" s="924" t="s">
        <v>856</v>
      </c>
      <c r="F1225" s="924" t="s">
        <v>1004</v>
      </c>
      <c r="G1225" s="924" t="s">
        <v>858</v>
      </c>
      <c r="H1225" s="924" t="s">
        <v>836</v>
      </c>
      <c r="I1225" s="924" t="s">
        <v>837</v>
      </c>
      <c r="J1225" s="924" t="s">
        <v>859</v>
      </c>
      <c r="K1225" s="924" t="s">
        <v>926</v>
      </c>
      <c r="L1225" s="925">
        <v>1605.67653465271</v>
      </c>
      <c r="M1225" s="925">
        <v>6.5523988156201099E-2</v>
      </c>
    </row>
    <row r="1226" spans="1:13" ht="11.25" customHeight="1" x14ac:dyDescent="0.2">
      <c r="A1226" s="924" t="s">
        <v>853</v>
      </c>
      <c r="B1226" s="924" t="s">
        <v>793</v>
      </c>
      <c r="C1226" s="924" t="s">
        <v>1178</v>
      </c>
      <c r="D1226" s="924" t="s">
        <v>1163</v>
      </c>
      <c r="E1226" s="924" t="s">
        <v>856</v>
      </c>
      <c r="F1226" s="924" t="s">
        <v>1005</v>
      </c>
      <c r="G1226" s="924" t="s">
        <v>858</v>
      </c>
      <c r="H1226" s="924" t="s">
        <v>836</v>
      </c>
      <c r="I1226" s="924" t="s">
        <v>837</v>
      </c>
      <c r="J1226" s="924" t="s">
        <v>859</v>
      </c>
      <c r="K1226" s="924" t="s">
        <v>1006</v>
      </c>
      <c r="L1226" s="925">
        <v>2423.43408966064</v>
      </c>
      <c r="M1226" s="925">
        <v>1.8770733088786101E-2</v>
      </c>
    </row>
    <row r="1227" spans="1:13" ht="11.25" customHeight="1" x14ac:dyDescent="0.2">
      <c r="A1227" s="924" t="s">
        <v>853</v>
      </c>
      <c r="B1227" s="924" t="s">
        <v>793</v>
      </c>
      <c r="C1227" s="924" t="s">
        <v>1178</v>
      </c>
      <c r="D1227" s="924" t="s">
        <v>1163</v>
      </c>
      <c r="E1227" s="924" t="s">
        <v>856</v>
      </c>
      <c r="F1227" s="924" t="s">
        <v>1007</v>
      </c>
      <c r="G1227" s="924" t="s">
        <v>858</v>
      </c>
      <c r="H1227" s="924" t="s">
        <v>836</v>
      </c>
      <c r="I1227" s="924" t="s">
        <v>837</v>
      </c>
      <c r="J1227" s="924" t="s">
        <v>859</v>
      </c>
      <c r="K1227" s="924" t="s">
        <v>928</v>
      </c>
      <c r="L1227" s="925">
        <v>1115.7120952606199</v>
      </c>
      <c r="M1227" s="925">
        <v>4.8651136535227103E-2</v>
      </c>
    </row>
    <row r="1228" spans="1:13" ht="11.25" customHeight="1" x14ac:dyDescent="0.2">
      <c r="A1228" s="924" t="s">
        <v>853</v>
      </c>
      <c r="B1228" s="924" t="s">
        <v>793</v>
      </c>
      <c r="C1228" s="924" t="s">
        <v>1178</v>
      </c>
      <c r="D1228" s="924" t="s">
        <v>1163</v>
      </c>
      <c r="E1228" s="924" t="s">
        <v>856</v>
      </c>
      <c r="F1228" s="924" t="s">
        <v>1008</v>
      </c>
      <c r="G1228" s="924" t="s">
        <v>858</v>
      </c>
      <c r="H1228" s="924" t="s">
        <v>836</v>
      </c>
      <c r="I1228" s="924" t="s">
        <v>837</v>
      </c>
      <c r="J1228" s="924" t="s">
        <v>859</v>
      </c>
      <c r="K1228" s="924" t="s">
        <v>1009</v>
      </c>
      <c r="L1228" s="925">
        <v>260.09543061256397</v>
      </c>
      <c r="M1228" s="925">
        <v>2.1189176665359398E-3</v>
      </c>
    </row>
    <row r="1229" spans="1:13" ht="11.25" customHeight="1" x14ac:dyDescent="0.2">
      <c r="A1229" s="924" t="s">
        <v>853</v>
      </c>
      <c r="B1229" s="924" t="s">
        <v>793</v>
      </c>
      <c r="C1229" s="924" t="s">
        <v>1178</v>
      </c>
      <c r="D1229" s="924" t="s">
        <v>1163</v>
      </c>
      <c r="E1229" s="924" t="s">
        <v>856</v>
      </c>
      <c r="F1229" s="924" t="s">
        <v>1010</v>
      </c>
      <c r="G1229" s="924" t="s">
        <v>858</v>
      </c>
      <c r="H1229" s="924" t="s">
        <v>836</v>
      </c>
      <c r="I1229" s="924" t="s">
        <v>837</v>
      </c>
      <c r="J1229" s="924" t="s">
        <v>859</v>
      </c>
      <c r="K1229" s="924" t="s">
        <v>1011</v>
      </c>
      <c r="L1229" s="925">
        <v>3.4135529212653601</v>
      </c>
      <c r="M1229" s="925">
        <v>1.57072174374662E-4</v>
      </c>
    </row>
    <row r="1230" spans="1:13" ht="11.25" customHeight="1" x14ac:dyDescent="0.2">
      <c r="A1230" s="924" t="s">
        <v>853</v>
      </c>
      <c r="B1230" s="924" t="s">
        <v>793</v>
      </c>
      <c r="C1230" s="924" t="s">
        <v>1178</v>
      </c>
      <c r="D1230" s="924" t="s">
        <v>1163</v>
      </c>
      <c r="E1230" s="924" t="s">
        <v>856</v>
      </c>
      <c r="F1230" s="924" t="s">
        <v>1012</v>
      </c>
      <c r="G1230" s="924" t="s">
        <v>858</v>
      </c>
      <c r="H1230" s="924" t="s">
        <v>836</v>
      </c>
      <c r="I1230" s="924" t="s">
        <v>837</v>
      </c>
      <c r="J1230" s="924" t="s">
        <v>859</v>
      </c>
      <c r="K1230" s="924" t="s">
        <v>891</v>
      </c>
      <c r="L1230" s="925">
        <v>250.165487289429</v>
      </c>
      <c r="M1230" s="925">
        <v>3.3157556676996999E-3</v>
      </c>
    </row>
    <row r="1231" spans="1:13" ht="11.25" customHeight="1" x14ac:dyDescent="0.2">
      <c r="A1231" s="924" t="s">
        <v>853</v>
      </c>
      <c r="B1231" s="924" t="s">
        <v>793</v>
      </c>
      <c r="C1231" s="924" t="s">
        <v>1178</v>
      </c>
      <c r="D1231" s="924" t="s">
        <v>1163</v>
      </c>
      <c r="E1231" s="924" t="s">
        <v>856</v>
      </c>
      <c r="F1231" s="924" t="s">
        <v>1013</v>
      </c>
      <c r="G1231" s="924" t="s">
        <v>858</v>
      </c>
      <c r="H1231" s="924" t="s">
        <v>836</v>
      </c>
      <c r="I1231" s="924" t="s">
        <v>837</v>
      </c>
      <c r="J1231" s="924" t="s">
        <v>863</v>
      </c>
      <c r="K1231" s="924" t="s">
        <v>931</v>
      </c>
      <c r="L1231" s="925">
        <v>77.010379791259794</v>
      </c>
      <c r="M1231" s="925">
        <v>2.8150075515327401E-3</v>
      </c>
    </row>
    <row r="1232" spans="1:13" ht="11.25" customHeight="1" x14ac:dyDescent="0.2">
      <c r="A1232" s="924" t="s">
        <v>853</v>
      </c>
      <c r="B1232" s="924" t="s">
        <v>793</v>
      </c>
      <c r="C1232" s="924" t="s">
        <v>1178</v>
      </c>
      <c r="D1232" s="924" t="s">
        <v>1163</v>
      </c>
      <c r="E1232" s="924" t="s">
        <v>856</v>
      </c>
      <c r="F1232" s="924" t="s">
        <v>1014</v>
      </c>
      <c r="G1232" s="924" t="s">
        <v>858</v>
      </c>
      <c r="H1232" s="924" t="s">
        <v>836</v>
      </c>
      <c r="I1232" s="924" t="s">
        <v>837</v>
      </c>
      <c r="J1232" s="924" t="s">
        <v>863</v>
      </c>
      <c r="K1232" s="924" t="s">
        <v>933</v>
      </c>
      <c r="L1232" s="925">
        <v>1115.66139125824</v>
      </c>
      <c r="M1232" s="925">
        <v>7.8983768129319305E-3</v>
      </c>
    </row>
    <row r="1233" spans="1:13" ht="11.25" customHeight="1" x14ac:dyDescent="0.2">
      <c r="A1233" s="924" t="s">
        <v>853</v>
      </c>
      <c r="B1233" s="924" t="s">
        <v>793</v>
      </c>
      <c r="C1233" s="924" t="s">
        <v>1178</v>
      </c>
      <c r="D1233" s="924" t="s">
        <v>1163</v>
      </c>
      <c r="E1233" s="924" t="s">
        <v>856</v>
      </c>
      <c r="F1233" s="924" t="s">
        <v>1038</v>
      </c>
      <c r="G1233" s="924" t="s">
        <v>858</v>
      </c>
      <c r="H1233" s="924" t="s">
        <v>836</v>
      </c>
      <c r="I1233" s="924" t="s">
        <v>837</v>
      </c>
      <c r="J1233" s="924" t="s">
        <v>863</v>
      </c>
      <c r="K1233" s="924" t="s">
        <v>935</v>
      </c>
      <c r="L1233" s="925">
        <v>487.34007024764998</v>
      </c>
      <c r="M1233" s="925">
        <v>5.2744120052352602E-3</v>
      </c>
    </row>
    <row r="1234" spans="1:13" ht="11.25" customHeight="1" x14ac:dyDescent="0.2">
      <c r="A1234" s="924" t="s">
        <v>853</v>
      </c>
      <c r="B1234" s="924" t="s">
        <v>793</v>
      </c>
      <c r="C1234" s="924" t="s">
        <v>1178</v>
      </c>
      <c r="D1234" s="924" t="s">
        <v>1163</v>
      </c>
      <c r="E1234" s="924" t="s">
        <v>856</v>
      </c>
      <c r="F1234" s="924" t="s">
        <v>960</v>
      </c>
      <c r="G1234" s="924" t="s">
        <v>858</v>
      </c>
      <c r="H1234" s="924" t="s">
        <v>836</v>
      </c>
      <c r="I1234" s="924" t="s">
        <v>837</v>
      </c>
      <c r="J1234" s="924" t="s">
        <v>870</v>
      </c>
      <c r="K1234" s="924" t="s">
        <v>961</v>
      </c>
      <c r="L1234" s="925">
        <v>42.235367149114602</v>
      </c>
      <c r="M1234" s="925">
        <v>3.7473708057156303E-4</v>
      </c>
    </row>
    <row r="1235" spans="1:13" ht="11.25" customHeight="1" x14ac:dyDescent="0.2">
      <c r="A1235" s="924" t="s">
        <v>853</v>
      </c>
      <c r="B1235" s="924" t="s">
        <v>793</v>
      </c>
      <c r="C1235" s="924" t="s">
        <v>1178</v>
      </c>
      <c r="D1235" s="924" t="s">
        <v>1163</v>
      </c>
      <c r="E1235" s="924" t="s">
        <v>856</v>
      </c>
      <c r="F1235" s="924" t="s">
        <v>1001</v>
      </c>
      <c r="G1235" s="924" t="s">
        <v>858</v>
      </c>
      <c r="H1235" s="924" t="s">
        <v>836</v>
      </c>
      <c r="I1235" s="924" t="s">
        <v>837</v>
      </c>
      <c r="J1235" s="924" t="s">
        <v>863</v>
      </c>
      <c r="K1235" s="924" t="s">
        <v>915</v>
      </c>
      <c r="L1235" s="925">
        <v>19.075233668088899</v>
      </c>
      <c r="M1235" s="925">
        <v>5.82829676091023E-4</v>
      </c>
    </row>
    <row r="1236" spans="1:13" ht="11.25" customHeight="1" x14ac:dyDescent="0.2">
      <c r="A1236" s="924" t="s">
        <v>853</v>
      </c>
      <c r="B1236" s="924" t="s">
        <v>793</v>
      </c>
      <c r="C1236" s="924" t="s">
        <v>1178</v>
      </c>
      <c r="D1236" s="924" t="s">
        <v>1163</v>
      </c>
      <c r="E1236" s="924" t="s">
        <v>856</v>
      </c>
      <c r="F1236" s="924" t="s">
        <v>1002</v>
      </c>
      <c r="G1236" s="924" t="s">
        <v>858</v>
      </c>
      <c r="H1236" s="924" t="s">
        <v>836</v>
      </c>
      <c r="I1236" s="924" t="s">
        <v>837</v>
      </c>
      <c r="J1236" s="924" t="s">
        <v>859</v>
      </c>
      <c r="K1236" s="924" t="s">
        <v>922</v>
      </c>
      <c r="L1236" s="925">
        <v>779.25342845916703</v>
      </c>
      <c r="M1236" s="925">
        <v>8.9092349936663595E-3</v>
      </c>
    </row>
    <row r="1237" spans="1:13" ht="11.25" customHeight="1" x14ac:dyDescent="0.2">
      <c r="A1237" s="924" t="s">
        <v>853</v>
      </c>
      <c r="B1237" s="924" t="s">
        <v>793</v>
      </c>
      <c r="C1237" s="924" t="s">
        <v>1178</v>
      </c>
      <c r="D1237" s="924" t="s">
        <v>1163</v>
      </c>
      <c r="E1237" s="924" t="s">
        <v>856</v>
      </c>
      <c r="F1237" s="924" t="s">
        <v>1021</v>
      </c>
      <c r="G1237" s="924" t="s">
        <v>858</v>
      </c>
      <c r="H1237" s="924" t="s">
        <v>836</v>
      </c>
      <c r="I1237" s="924" t="s">
        <v>837</v>
      </c>
      <c r="J1237" s="924" t="s">
        <v>863</v>
      </c>
      <c r="K1237" s="924" t="s">
        <v>868</v>
      </c>
      <c r="L1237" s="925">
        <v>703.145520210266</v>
      </c>
      <c r="M1237" s="925">
        <v>3.77953151206611E-3</v>
      </c>
    </row>
    <row r="1238" spans="1:13" ht="11.25" customHeight="1" x14ac:dyDescent="0.2">
      <c r="A1238" s="924" t="s">
        <v>853</v>
      </c>
      <c r="B1238" s="924" t="s">
        <v>793</v>
      </c>
      <c r="C1238" s="924" t="s">
        <v>1178</v>
      </c>
      <c r="D1238" s="924" t="s">
        <v>1163</v>
      </c>
      <c r="E1238" s="924" t="s">
        <v>856</v>
      </c>
      <c r="F1238" s="924" t="s">
        <v>1022</v>
      </c>
      <c r="G1238" s="924" t="s">
        <v>858</v>
      </c>
      <c r="H1238" s="924" t="s">
        <v>836</v>
      </c>
      <c r="I1238" s="924" t="s">
        <v>837</v>
      </c>
      <c r="J1238" s="924" t="s">
        <v>940</v>
      </c>
      <c r="K1238" s="924" t="s">
        <v>1023</v>
      </c>
      <c r="L1238" s="925">
        <v>0.17522426805226099</v>
      </c>
      <c r="M1238" s="925">
        <v>7.8709086241968202E-6</v>
      </c>
    </row>
    <row r="1239" spans="1:13" ht="11.25" customHeight="1" x14ac:dyDescent="0.2">
      <c r="A1239" s="924" t="s">
        <v>853</v>
      </c>
      <c r="B1239" s="924" t="s">
        <v>793</v>
      </c>
      <c r="C1239" s="924" t="s">
        <v>1178</v>
      </c>
      <c r="D1239" s="924" t="s">
        <v>1163</v>
      </c>
      <c r="E1239" s="924" t="s">
        <v>856</v>
      </c>
      <c r="F1239" s="924" t="s">
        <v>1024</v>
      </c>
      <c r="G1239" s="924" t="s">
        <v>858</v>
      </c>
      <c r="H1239" s="924" t="s">
        <v>836</v>
      </c>
      <c r="I1239" s="924" t="s">
        <v>837</v>
      </c>
      <c r="J1239" s="924" t="s">
        <v>940</v>
      </c>
      <c r="K1239" s="924" t="s">
        <v>1025</v>
      </c>
      <c r="L1239" s="925">
        <v>46.529883384704597</v>
      </c>
      <c r="M1239" s="925">
        <v>7.6541827570508801E-4</v>
      </c>
    </row>
    <row r="1240" spans="1:13" ht="11.25" customHeight="1" x14ac:dyDescent="0.2">
      <c r="A1240" s="924" t="s">
        <v>853</v>
      </c>
      <c r="B1240" s="924" t="s">
        <v>793</v>
      </c>
      <c r="C1240" s="924" t="s">
        <v>1178</v>
      </c>
      <c r="D1240" s="924" t="s">
        <v>1163</v>
      </c>
      <c r="E1240" s="924" t="s">
        <v>856</v>
      </c>
      <c r="F1240" s="924" t="s">
        <v>1026</v>
      </c>
      <c r="G1240" s="924" t="s">
        <v>858</v>
      </c>
      <c r="H1240" s="924" t="s">
        <v>836</v>
      </c>
      <c r="I1240" s="924" t="s">
        <v>837</v>
      </c>
      <c r="J1240" s="924" t="s">
        <v>940</v>
      </c>
      <c r="K1240" s="924" t="s">
        <v>1027</v>
      </c>
      <c r="L1240" s="925">
        <v>1228.17564964294</v>
      </c>
      <c r="M1240" s="925">
        <v>5.1836592302038298E-2</v>
      </c>
    </row>
    <row r="1241" spans="1:13" ht="11.25" customHeight="1" x14ac:dyDescent="0.2">
      <c r="A1241" s="924" t="s">
        <v>853</v>
      </c>
      <c r="B1241" s="924" t="s">
        <v>793</v>
      </c>
      <c r="C1241" s="924" t="s">
        <v>1178</v>
      </c>
      <c r="D1241" s="924" t="s">
        <v>1163</v>
      </c>
      <c r="E1241" s="924" t="s">
        <v>856</v>
      </c>
      <c r="F1241" s="924" t="s">
        <v>1028</v>
      </c>
      <c r="G1241" s="924" t="s">
        <v>858</v>
      </c>
      <c r="H1241" s="924" t="s">
        <v>836</v>
      </c>
      <c r="I1241" s="924" t="s">
        <v>837</v>
      </c>
      <c r="J1241" s="924" t="s">
        <v>940</v>
      </c>
      <c r="K1241" s="924" t="s">
        <v>1029</v>
      </c>
      <c r="L1241" s="925">
        <v>253.49554681778</v>
      </c>
      <c r="M1241" s="925">
        <v>1.37506461819612E-2</v>
      </c>
    </row>
    <row r="1242" spans="1:13" ht="11.25" customHeight="1" x14ac:dyDescent="0.2">
      <c r="A1242" s="924" t="s">
        <v>853</v>
      </c>
      <c r="B1242" s="924" t="s">
        <v>793</v>
      </c>
      <c r="C1242" s="924" t="s">
        <v>1178</v>
      </c>
      <c r="D1242" s="924" t="s">
        <v>1163</v>
      </c>
      <c r="E1242" s="924" t="s">
        <v>856</v>
      </c>
      <c r="F1242" s="924" t="s">
        <v>1030</v>
      </c>
      <c r="G1242" s="924" t="s">
        <v>858</v>
      </c>
      <c r="H1242" s="924" t="s">
        <v>836</v>
      </c>
      <c r="I1242" s="924" t="s">
        <v>837</v>
      </c>
      <c r="J1242" s="924" t="s">
        <v>940</v>
      </c>
      <c r="K1242" s="924" t="s">
        <v>941</v>
      </c>
      <c r="L1242" s="925">
        <v>1674.2728457450901</v>
      </c>
      <c r="M1242" s="925">
        <v>3.1450479548084297E-2</v>
      </c>
    </row>
    <row r="1243" spans="1:13" ht="11.25" customHeight="1" x14ac:dyDescent="0.2">
      <c r="A1243" s="924" t="s">
        <v>853</v>
      </c>
      <c r="B1243" s="924" t="s">
        <v>793</v>
      </c>
      <c r="C1243" s="924" t="s">
        <v>1178</v>
      </c>
      <c r="D1243" s="924" t="s">
        <v>1163</v>
      </c>
      <c r="E1243" s="924" t="s">
        <v>856</v>
      </c>
      <c r="F1243" s="924" t="s">
        <v>1031</v>
      </c>
      <c r="G1243" s="924" t="s">
        <v>858</v>
      </c>
      <c r="H1243" s="924" t="s">
        <v>836</v>
      </c>
      <c r="I1243" s="924" t="s">
        <v>837</v>
      </c>
      <c r="J1243" s="924" t="s">
        <v>940</v>
      </c>
      <c r="K1243" s="924" t="s">
        <v>1032</v>
      </c>
      <c r="L1243" s="925">
        <v>197.243727505207</v>
      </c>
      <c r="M1243" s="925">
        <v>4.1155088133919496E-3</v>
      </c>
    </row>
    <row r="1244" spans="1:13" ht="11.25" customHeight="1" x14ac:dyDescent="0.2">
      <c r="A1244" s="924" t="s">
        <v>853</v>
      </c>
      <c r="B1244" s="924" t="s">
        <v>793</v>
      </c>
      <c r="C1244" s="924" t="s">
        <v>1178</v>
      </c>
      <c r="D1244" s="924" t="s">
        <v>1163</v>
      </c>
      <c r="E1244" s="924" t="s">
        <v>856</v>
      </c>
      <c r="F1244" s="924" t="s">
        <v>1033</v>
      </c>
      <c r="G1244" s="924" t="s">
        <v>858</v>
      </c>
      <c r="H1244" s="924" t="s">
        <v>836</v>
      </c>
      <c r="I1244" s="924" t="s">
        <v>837</v>
      </c>
      <c r="J1244" s="924" t="s">
        <v>940</v>
      </c>
      <c r="K1244" s="924" t="s">
        <v>1034</v>
      </c>
      <c r="L1244" s="925">
        <v>5.0089455805718899</v>
      </c>
      <c r="M1244" s="925">
        <v>1.6425622558902101E-4</v>
      </c>
    </row>
    <row r="1245" spans="1:13" ht="11.25" customHeight="1" x14ac:dyDescent="0.2">
      <c r="A1245" s="924" t="s">
        <v>853</v>
      </c>
      <c r="B1245" s="924" t="s">
        <v>793</v>
      </c>
      <c r="C1245" s="924" t="s">
        <v>1178</v>
      </c>
      <c r="D1245" s="924" t="s">
        <v>1163</v>
      </c>
      <c r="E1245" s="924" t="s">
        <v>856</v>
      </c>
      <c r="F1245" s="924" t="s">
        <v>1035</v>
      </c>
      <c r="G1245" s="924" t="s">
        <v>858</v>
      </c>
      <c r="H1245" s="924" t="s">
        <v>836</v>
      </c>
      <c r="I1245" s="924" t="s">
        <v>837</v>
      </c>
      <c r="J1245" s="924" t="s">
        <v>870</v>
      </c>
      <c r="K1245" s="924" t="s">
        <v>1036</v>
      </c>
      <c r="L1245" s="925">
        <v>0.13360037788515899</v>
      </c>
      <c r="M1245" s="925">
        <v>1.6362266910836102E-5</v>
      </c>
    </row>
    <row r="1246" spans="1:13" ht="11.25" customHeight="1" x14ac:dyDescent="0.2">
      <c r="A1246" s="924" t="s">
        <v>853</v>
      </c>
      <c r="B1246" s="924" t="s">
        <v>793</v>
      </c>
      <c r="C1246" s="924" t="s">
        <v>1178</v>
      </c>
      <c r="D1246" s="924" t="s">
        <v>1163</v>
      </c>
      <c r="E1246" s="924" t="s">
        <v>856</v>
      </c>
      <c r="F1246" s="924" t="s">
        <v>975</v>
      </c>
      <c r="G1246" s="924" t="s">
        <v>858</v>
      </c>
      <c r="H1246" s="924" t="s">
        <v>836</v>
      </c>
      <c r="I1246" s="924" t="s">
        <v>837</v>
      </c>
      <c r="J1246" s="924" t="s">
        <v>870</v>
      </c>
      <c r="K1246" s="924" t="s">
        <v>976</v>
      </c>
      <c r="L1246" s="925">
        <v>5551.0793418884296</v>
      </c>
      <c r="M1246" s="925">
        <v>8.3079983332936494E-2</v>
      </c>
    </row>
    <row r="1247" spans="1:13" ht="11.25" customHeight="1" x14ac:dyDescent="0.2">
      <c r="A1247" s="924" t="s">
        <v>853</v>
      </c>
      <c r="B1247" s="924" t="s">
        <v>793</v>
      </c>
      <c r="C1247" s="924" t="s">
        <v>1178</v>
      </c>
      <c r="D1247" s="924" t="s">
        <v>1163</v>
      </c>
      <c r="E1247" s="924" t="s">
        <v>856</v>
      </c>
      <c r="F1247" s="924" t="s">
        <v>1018</v>
      </c>
      <c r="G1247" s="924" t="s">
        <v>858</v>
      </c>
      <c r="H1247" s="924" t="s">
        <v>836</v>
      </c>
      <c r="I1247" s="924" t="s">
        <v>837</v>
      </c>
      <c r="J1247" s="924" t="s">
        <v>870</v>
      </c>
      <c r="K1247" s="924" t="s">
        <v>1019</v>
      </c>
      <c r="L1247" s="925">
        <v>497.85714304447202</v>
      </c>
      <c r="M1247" s="925">
        <v>3.74161099713888E-3</v>
      </c>
    </row>
    <row r="1248" spans="1:13" ht="11.25" customHeight="1" x14ac:dyDescent="0.2">
      <c r="A1248" s="924" t="s">
        <v>853</v>
      </c>
      <c r="B1248" s="924" t="s">
        <v>793</v>
      </c>
      <c r="C1248" s="924" t="s">
        <v>1178</v>
      </c>
      <c r="D1248" s="924" t="s">
        <v>1163</v>
      </c>
      <c r="E1248" s="924" t="s">
        <v>856</v>
      </c>
      <c r="F1248" s="924" t="s">
        <v>1017</v>
      </c>
      <c r="G1248" s="924" t="s">
        <v>858</v>
      </c>
      <c r="H1248" s="924" t="s">
        <v>836</v>
      </c>
      <c r="I1248" s="924" t="s">
        <v>837</v>
      </c>
      <c r="J1248" s="924" t="s">
        <v>863</v>
      </c>
      <c r="K1248" s="924" t="s">
        <v>864</v>
      </c>
      <c r="L1248" s="925">
        <v>494.23311281204201</v>
      </c>
      <c r="M1248" s="925">
        <v>6.7027854873913401E-3</v>
      </c>
    </row>
    <row r="1249" spans="1:13" ht="11.25" customHeight="1" x14ac:dyDescent="0.2">
      <c r="A1249" s="924" t="s">
        <v>853</v>
      </c>
      <c r="B1249" s="924" t="s">
        <v>793</v>
      </c>
      <c r="C1249" s="924" t="s">
        <v>1178</v>
      </c>
      <c r="D1249" s="924" t="s">
        <v>1163</v>
      </c>
      <c r="E1249" s="924" t="s">
        <v>856</v>
      </c>
      <c r="F1249" s="924" t="s">
        <v>1057</v>
      </c>
      <c r="G1249" s="924" t="s">
        <v>981</v>
      </c>
      <c r="H1249" s="924" t="s">
        <v>835</v>
      </c>
      <c r="I1249" s="924" t="s">
        <v>1040</v>
      </c>
      <c r="J1249" s="924" t="s">
        <v>859</v>
      </c>
      <c r="K1249" s="924" t="s">
        <v>903</v>
      </c>
      <c r="L1249" s="925">
        <v>42.403293311595903</v>
      </c>
      <c r="M1249" s="925">
        <v>2.6257795909941699E-2</v>
      </c>
    </row>
    <row r="1250" spans="1:13" ht="11.25" customHeight="1" x14ac:dyDescent="0.2">
      <c r="A1250" s="924" t="s">
        <v>853</v>
      </c>
      <c r="B1250" s="924" t="s">
        <v>793</v>
      </c>
      <c r="C1250" s="924" t="s">
        <v>1178</v>
      </c>
      <c r="D1250" s="924" t="s">
        <v>1163</v>
      </c>
      <c r="E1250" s="924" t="s">
        <v>856</v>
      </c>
      <c r="F1250" s="924" t="s">
        <v>1042</v>
      </c>
      <c r="G1250" s="924" t="s">
        <v>981</v>
      </c>
      <c r="H1250" s="924" t="s">
        <v>835</v>
      </c>
      <c r="I1250" s="924" t="s">
        <v>998</v>
      </c>
      <c r="J1250" s="924" t="s">
        <v>956</v>
      </c>
      <c r="K1250" s="924" t="s">
        <v>1043</v>
      </c>
      <c r="L1250" s="925">
        <v>4.0124262571334803</v>
      </c>
      <c r="M1250" s="925">
        <v>6.9499830788117799E-3</v>
      </c>
    </row>
    <row r="1251" spans="1:13" ht="11.25" customHeight="1" x14ac:dyDescent="0.2">
      <c r="A1251" s="924" t="s">
        <v>853</v>
      </c>
      <c r="B1251" s="924" t="s">
        <v>793</v>
      </c>
      <c r="C1251" s="924" t="s">
        <v>1178</v>
      </c>
      <c r="D1251" s="924" t="s">
        <v>1163</v>
      </c>
      <c r="E1251" s="924" t="s">
        <v>856</v>
      </c>
      <c r="F1251" s="924" t="s">
        <v>1044</v>
      </c>
      <c r="G1251" s="924" t="s">
        <v>981</v>
      </c>
      <c r="H1251" s="924" t="s">
        <v>835</v>
      </c>
      <c r="I1251" s="924" t="s">
        <v>1040</v>
      </c>
      <c r="J1251" s="924" t="s">
        <v>884</v>
      </c>
      <c r="K1251" s="924" t="s">
        <v>999</v>
      </c>
      <c r="L1251" s="925">
        <v>86.059841752052293</v>
      </c>
      <c r="M1251" s="925">
        <v>0.11879685203257399</v>
      </c>
    </row>
    <row r="1252" spans="1:13" ht="11.25" customHeight="1" x14ac:dyDescent="0.2">
      <c r="A1252" s="924" t="s">
        <v>853</v>
      </c>
      <c r="B1252" s="924" t="s">
        <v>793</v>
      </c>
      <c r="C1252" s="924" t="s">
        <v>1178</v>
      </c>
      <c r="D1252" s="924" t="s">
        <v>1163</v>
      </c>
      <c r="E1252" s="924" t="s">
        <v>856</v>
      </c>
      <c r="F1252" s="924" t="s">
        <v>1045</v>
      </c>
      <c r="G1252" s="924" t="s">
        <v>981</v>
      </c>
      <c r="H1252" s="924" t="s">
        <v>835</v>
      </c>
      <c r="I1252" s="924" t="s">
        <v>1040</v>
      </c>
      <c r="J1252" s="924" t="s">
        <v>884</v>
      </c>
      <c r="K1252" s="924" t="s">
        <v>1046</v>
      </c>
      <c r="L1252" s="925">
        <v>818.88962554931595</v>
      </c>
      <c r="M1252" s="925">
        <v>0.83806438640749503</v>
      </c>
    </row>
    <row r="1253" spans="1:13" ht="11.25" customHeight="1" x14ac:dyDescent="0.2">
      <c r="A1253" s="924" t="s">
        <v>853</v>
      </c>
      <c r="B1253" s="924" t="s">
        <v>793</v>
      </c>
      <c r="C1253" s="924" t="s">
        <v>1178</v>
      </c>
      <c r="D1253" s="924" t="s">
        <v>1163</v>
      </c>
      <c r="E1253" s="924" t="s">
        <v>856</v>
      </c>
      <c r="F1253" s="924" t="s">
        <v>1047</v>
      </c>
      <c r="G1253" s="924" t="s">
        <v>981</v>
      </c>
      <c r="H1253" s="924" t="s">
        <v>835</v>
      </c>
      <c r="I1253" s="924" t="s">
        <v>1040</v>
      </c>
      <c r="J1253" s="924" t="s">
        <v>884</v>
      </c>
      <c r="K1253" s="924" t="s">
        <v>1048</v>
      </c>
      <c r="L1253" s="925">
        <v>652.69099903106701</v>
      </c>
      <c r="M1253" s="925">
        <v>0.49196393694728602</v>
      </c>
    </row>
    <row r="1254" spans="1:13" ht="11.25" customHeight="1" x14ac:dyDescent="0.2">
      <c r="A1254" s="924" t="s">
        <v>853</v>
      </c>
      <c r="B1254" s="924" t="s">
        <v>793</v>
      </c>
      <c r="C1254" s="924" t="s">
        <v>1178</v>
      </c>
      <c r="D1254" s="924" t="s">
        <v>1163</v>
      </c>
      <c r="E1254" s="924" t="s">
        <v>856</v>
      </c>
      <c r="F1254" s="924" t="s">
        <v>1049</v>
      </c>
      <c r="G1254" s="924" t="s">
        <v>981</v>
      </c>
      <c r="H1254" s="924" t="s">
        <v>835</v>
      </c>
      <c r="I1254" s="924" t="s">
        <v>1040</v>
      </c>
      <c r="J1254" s="924" t="s">
        <v>884</v>
      </c>
      <c r="K1254" s="924" t="s">
        <v>885</v>
      </c>
      <c r="L1254" s="925">
        <v>107.823253512383</v>
      </c>
      <c r="M1254" s="925">
        <v>0.102726140772575</v>
      </c>
    </row>
    <row r="1255" spans="1:13" ht="11.25" customHeight="1" x14ac:dyDescent="0.2">
      <c r="A1255" s="924" t="s">
        <v>853</v>
      </c>
      <c r="B1255" s="924" t="s">
        <v>793</v>
      </c>
      <c r="C1255" s="924" t="s">
        <v>1178</v>
      </c>
      <c r="D1255" s="924" t="s">
        <v>1163</v>
      </c>
      <c r="E1255" s="924" t="s">
        <v>856</v>
      </c>
      <c r="F1255" s="924" t="s">
        <v>1050</v>
      </c>
      <c r="G1255" s="924" t="s">
        <v>981</v>
      </c>
      <c r="H1255" s="924" t="s">
        <v>835</v>
      </c>
      <c r="I1255" s="924" t="s">
        <v>1040</v>
      </c>
      <c r="J1255" s="924" t="s">
        <v>859</v>
      </c>
      <c r="K1255" s="924" t="s">
        <v>913</v>
      </c>
      <c r="L1255" s="925">
        <v>13.635939925909</v>
      </c>
      <c r="M1255" s="925">
        <v>8.1058579407340403E-3</v>
      </c>
    </row>
    <row r="1256" spans="1:13" ht="11.25" customHeight="1" x14ac:dyDescent="0.2">
      <c r="A1256" s="924" t="s">
        <v>853</v>
      </c>
      <c r="B1256" s="924" t="s">
        <v>793</v>
      </c>
      <c r="C1256" s="924" t="s">
        <v>1178</v>
      </c>
      <c r="D1256" s="924" t="s">
        <v>1163</v>
      </c>
      <c r="E1256" s="924" t="s">
        <v>856</v>
      </c>
      <c r="F1256" s="924" t="s">
        <v>1051</v>
      </c>
      <c r="G1256" s="924" t="s">
        <v>981</v>
      </c>
      <c r="H1256" s="924" t="s">
        <v>835</v>
      </c>
      <c r="I1256" s="924" t="s">
        <v>1040</v>
      </c>
      <c r="J1256" s="924" t="s">
        <v>859</v>
      </c>
      <c r="K1256" s="924" t="s">
        <v>889</v>
      </c>
      <c r="L1256" s="925">
        <v>0.10204031958710399</v>
      </c>
      <c r="M1256" s="925">
        <v>6.6586174398253206E-5</v>
      </c>
    </row>
    <row r="1257" spans="1:13" ht="11.25" customHeight="1" x14ac:dyDescent="0.2">
      <c r="A1257" s="924" t="s">
        <v>853</v>
      </c>
      <c r="B1257" s="924" t="s">
        <v>793</v>
      </c>
      <c r="C1257" s="924" t="s">
        <v>1178</v>
      </c>
      <c r="D1257" s="924" t="s">
        <v>1163</v>
      </c>
      <c r="E1257" s="924" t="s">
        <v>856</v>
      </c>
      <c r="F1257" s="924" t="s">
        <v>1052</v>
      </c>
      <c r="G1257" s="924" t="s">
        <v>981</v>
      </c>
      <c r="H1257" s="924" t="s">
        <v>835</v>
      </c>
      <c r="I1257" s="924" t="s">
        <v>1040</v>
      </c>
      <c r="J1257" s="924" t="s">
        <v>859</v>
      </c>
      <c r="K1257" s="924" t="s">
        <v>860</v>
      </c>
      <c r="L1257" s="925">
        <v>25.683779239654498</v>
      </c>
      <c r="M1257" s="925">
        <v>1.8189299502410002E-2</v>
      </c>
    </row>
    <row r="1258" spans="1:13" ht="11.25" customHeight="1" x14ac:dyDescent="0.2">
      <c r="A1258" s="924" t="s">
        <v>853</v>
      </c>
      <c r="B1258" s="924" t="s">
        <v>793</v>
      </c>
      <c r="C1258" s="924" t="s">
        <v>1178</v>
      </c>
      <c r="D1258" s="924" t="s">
        <v>1163</v>
      </c>
      <c r="E1258" s="924" t="s">
        <v>856</v>
      </c>
      <c r="F1258" s="924" t="s">
        <v>1053</v>
      </c>
      <c r="G1258" s="924" t="s">
        <v>981</v>
      </c>
      <c r="H1258" s="924" t="s">
        <v>835</v>
      </c>
      <c r="I1258" s="924" t="s">
        <v>1040</v>
      </c>
      <c r="J1258" s="924" t="s">
        <v>859</v>
      </c>
      <c r="K1258" s="924" t="s">
        <v>893</v>
      </c>
      <c r="L1258" s="925">
        <v>24.177207529544798</v>
      </c>
      <c r="M1258" s="925">
        <v>1.4770085646887299E-2</v>
      </c>
    </row>
    <row r="1259" spans="1:13" ht="11.25" customHeight="1" x14ac:dyDescent="0.2">
      <c r="A1259" s="924" t="s">
        <v>853</v>
      </c>
      <c r="B1259" s="924" t="s">
        <v>793</v>
      </c>
      <c r="C1259" s="924" t="s">
        <v>1178</v>
      </c>
      <c r="D1259" s="924" t="s">
        <v>1163</v>
      </c>
      <c r="E1259" s="924" t="s">
        <v>856</v>
      </c>
      <c r="F1259" s="924" t="s">
        <v>1068</v>
      </c>
      <c r="G1259" s="924" t="s">
        <v>981</v>
      </c>
      <c r="H1259" s="924" t="s">
        <v>835</v>
      </c>
      <c r="I1259" s="924" t="s">
        <v>1040</v>
      </c>
      <c r="J1259" s="924" t="s">
        <v>859</v>
      </c>
      <c r="K1259" s="924" t="s">
        <v>897</v>
      </c>
      <c r="L1259" s="925">
        <v>48.2045230269432</v>
      </c>
      <c r="M1259" s="925">
        <v>3.2311693371752902E-2</v>
      </c>
    </row>
    <row r="1260" spans="1:13" ht="11.25" customHeight="1" x14ac:dyDescent="0.2">
      <c r="A1260" s="924" t="s">
        <v>853</v>
      </c>
      <c r="B1260" s="924" t="s">
        <v>793</v>
      </c>
      <c r="C1260" s="924" t="s">
        <v>1178</v>
      </c>
      <c r="D1260" s="924" t="s">
        <v>1163</v>
      </c>
      <c r="E1260" s="924" t="s">
        <v>856</v>
      </c>
      <c r="F1260" s="924" t="s">
        <v>1138</v>
      </c>
      <c r="G1260" s="924" t="s">
        <v>981</v>
      </c>
      <c r="H1260" s="924" t="s">
        <v>835</v>
      </c>
      <c r="I1260" s="924" t="s">
        <v>1040</v>
      </c>
      <c r="J1260" s="924" t="s">
        <v>863</v>
      </c>
      <c r="K1260" s="924" t="s">
        <v>931</v>
      </c>
      <c r="L1260" s="925">
        <v>85.468298435211196</v>
      </c>
      <c r="M1260" s="925">
        <v>3.3102039313234903E-2</v>
      </c>
    </row>
    <row r="1261" spans="1:13" ht="11.25" customHeight="1" x14ac:dyDescent="0.2">
      <c r="A1261" s="924" t="s">
        <v>853</v>
      </c>
      <c r="B1261" s="924" t="s">
        <v>793</v>
      </c>
      <c r="C1261" s="924" t="s">
        <v>1178</v>
      </c>
      <c r="D1261" s="924" t="s">
        <v>1163</v>
      </c>
      <c r="E1261" s="924" t="s">
        <v>856</v>
      </c>
      <c r="F1261" s="924" t="s">
        <v>1039</v>
      </c>
      <c r="G1261" s="924" t="s">
        <v>981</v>
      </c>
      <c r="H1261" s="924" t="s">
        <v>835</v>
      </c>
      <c r="I1261" s="924" t="s">
        <v>1040</v>
      </c>
      <c r="J1261" s="924" t="s">
        <v>859</v>
      </c>
      <c r="K1261" s="924" t="s">
        <v>901</v>
      </c>
      <c r="L1261" s="925">
        <v>1.05915103852749</v>
      </c>
      <c r="M1261" s="925">
        <v>7.8452102934534196E-4</v>
      </c>
    </row>
    <row r="1262" spans="1:13" ht="11.25" customHeight="1" x14ac:dyDescent="0.2">
      <c r="A1262" s="924" t="s">
        <v>853</v>
      </c>
      <c r="B1262" s="924" t="s">
        <v>793</v>
      </c>
      <c r="C1262" s="924" t="s">
        <v>1178</v>
      </c>
      <c r="D1262" s="924" t="s">
        <v>1163</v>
      </c>
      <c r="E1262" s="924" t="s">
        <v>856</v>
      </c>
      <c r="F1262" s="924" t="s">
        <v>1056</v>
      </c>
      <c r="G1262" s="924" t="s">
        <v>981</v>
      </c>
      <c r="H1262" s="924" t="s">
        <v>835</v>
      </c>
      <c r="I1262" s="924" t="s">
        <v>998</v>
      </c>
      <c r="J1262" s="924" t="s">
        <v>875</v>
      </c>
      <c r="K1262" s="924" t="s">
        <v>878</v>
      </c>
      <c r="L1262" s="925">
        <v>51.068491339683497</v>
      </c>
      <c r="M1262" s="925">
        <v>9.8493146244436502E-2</v>
      </c>
    </row>
    <row r="1263" spans="1:13" ht="11.25" customHeight="1" x14ac:dyDescent="0.2">
      <c r="A1263" s="924" t="s">
        <v>853</v>
      </c>
      <c r="B1263" s="924" t="s">
        <v>793</v>
      </c>
      <c r="C1263" s="924" t="s">
        <v>1178</v>
      </c>
      <c r="D1263" s="924" t="s">
        <v>1163</v>
      </c>
      <c r="E1263" s="924" t="s">
        <v>856</v>
      </c>
      <c r="F1263" s="924" t="s">
        <v>1058</v>
      </c>
      <c r="G1263" s="924" t="s">
        <v>981</v>
      </c>
      <c r="H1263" s="924" t="s">
        <v>835</v>
      </c>
      <c r="I1263" s="924" t="s">
        <v>1040</v>
      </c>
      <c r="J1263" s="924" t="s">
        <v>859</v>
      </c>
      <c r="K1263" s="924" t="s">
        <v>905</v>
      </c>
      <c r="L1263" s="925">
        <v>14.8702337741852</v>
      </c>
      <c r="M1263" s="925">
        <v>1.18113096614252E-2</v>
      </c>
    </row>
    <row r="1264" spans="1:13" ht="11.25" customHeight="1" x14ac:dyDescent="0.2">
      <c r="A1264" s="924" t="s">
        <v>853</v>
      </c>
      <c r="B1264" s="924" t="s">
        <v>793</v>
      </c>
      <c r="C1264" s="924" t="s">
        <v>1178</v>
      </c>
      <c r="D1264" s="924" t="s">
        <v>1163</v>
      </c>
      <c r="E1264" s="924" t="s">
        <v>856</v>
      </c>
      <c r="F1264" s="924" t="s">
        <v>1059</v>
      </c>
      <c r="G1264" s="924" t="s">
        <v>981</v>
      </c>
      <c r="H1264" s="924" t="s">
        <v>835</v>
      </c>
      <c r="I1264" s="924" t="s">
        <v>1040</v>
      </c>
      <c r="J1264" s="924" t="s">
        <v>859</v>
      </c>
      <c r="K1264" s="924" t="s">
        <v>909</v>
      </c>
      <c r="L1264" s="925">
        <v>88.620604038238497</v>
      </c>
      <c r="M1264" s="925">
        <v>6.1488004226703197E-2</v>
      </c>
    </row>
    <row r="1265" spans="1:13" ht="11.25" customHeight="1" x14ac:dyDescent="0.2">
      <c r="A1265" s="924" t="s">
        <v>853</v>
      </c>
      <c r="B1265" s="924" t="s">
        <v>793</v>
      </c>
      <c r="C1265" s="924" t="s">
        <v>1178</v>
      </c>
      <c r="D1265" s="924" t="s">
        <v>1163</v>
      </c>
      <c r="E1265" s="924" t="s">
        <v>856</v>
      </c>
      <c r="F1265" s="924" t="s">
        <v>1060</v>
      </c>
      <c r="G1265" s="924" t="s">
        <v>981</v>
      </c>
      <c r="H1265" s="924" t="s">
        <v>835</v>
      </c>
      <c r="I1265" s="924" t="s">
        <v>1040</v>
      </c>
      <c r="J1265" s="924" t="s">
        <v>859</v>
      </c>
      <c r="K1265" s="924" t="s">
        <v>973</v>
      </c>
      <c r="L1265" s="925">
        <v>42.507445871830001</v>
      </c>
      <c r="M1265" s="925">
        <v>2.9032343049777899E-2</v>
      </c>
    </row>
    <row r="1266" spans="1:13" ht="11.25" customHeight="1" x14ac:dyDescent="0.2">
      <c r="A1266" s="924" t="s">
        <v>853</v>
      </c>
      <c r="B1266" s="924" t="s">
        <v>793</v>
      </c>
      <c r="C1266" s="924" t="s">
        <v>1178</v>
      </c>
      <c r="D1266" s="924" t="s">
        <v>1163</v>
      </c>
      <c r="E1266" s="924" t="s">
        <v>856</v>
      </c>
      <c r="F1266" s="924" t="s">
        <v>1061</v>
      </c>
      <c r="G1266" s="924" t="s">
        <v>981</v>
      </c>
      <c r="H1266" s="924" t="s">
        <v>835</v>
      </c>
      <c r="I1266" s="924" t="s">
        <v>1040</v>
      </c>
      <c r="J1266" s="924" t="s">
        <v>859</v>
      </c>
      <c r="K1266" s="924" t="s">
        <v>918</v>
      </c>
      <c r="L1266" s="925">
        <v>3.2927503809332799</v>
      </c>
      <c r="M1266" s="925">
        <v>1.4548887852470201E-3</v>
      </c>
    </row>
    <row r="1267" spans="1:13" ht="11.25" customHeight="1" x14ac:dyDescent="0.2">
      <c r="A1267" s="924" t="s">
        <v>853</v>
      </c>
      <c r="B1267" s="924" t="s">
        <v>793</v>
      </c>
      <c r="C1267" s="924" t="s">
        <v>1178</v>
      </c>
      <c r="D1267" s="924" t="s">
        <v>1163</v>
      </c>
      <c r="E1267" s="924" t="s">
        <v>856</v>
      </c>
      <c r="F1267" s="924" t="s">
        <v>1062</v>
      </c>
      <c r="G1267" s="924" t="s">
        <v>981</v>
      </c>
      <c r="H1267" s="924" t="s">
        <v>835</v>
      </c>
      <c r="I1267" s="924" t="s">
        <v>1040</v>
      </c>
      <c r="J1267" s="924" t="s">
        <v>859</v>
      </c>
      <c r="K1267" s="924" t="s">
        <v>920</v>
      </c>
      <c r="L1267" s="925">
        <v>5.7370546832680702</v>
      </c>
      <c r="M1267" s="925">
        <v>3.8991804202623799E-3</v>
      </c>
    </row>
    <row r="1268" spans="1:13" ht="11.25" customHeight="1" x14ac:dyDescent="0.2">
      <c r="A1268" s="924" t="s">
        <v>853</v>
      </c>
      <c r="B1268" s="924" t="s">
        <v>793</v>
      </c>
      <c r="C1268" s="924" t="s">
        <v>1178</v>
      </c>
      <c r="D1268" s="924" t="s">
        <v>1163</v>
      </c>
      <c r="E1268" s="924" t="s">
        <v>856</v>
      </c>
      <c r="F1268" s="924" t="s">
        <v>1063</v>
      </c>
      <c r="G1268" s="924" t="s">
        <v>981</v>
      </c>
      <c r="H1268" s="924" t="s">
        <v>835</v>
      </c>
      <c r="I1268" s="924" t="s">
        <v>1040</v>
      </c>
      <c r="J1268" s="924" t="s">
        <v>859</v>
      </c>
      <c r="K1268" s="924" t="s">
        <v>922</v>
      </c>
      <c r="L1268" s="925">
        <v>5.0418557189405</v>
      </c>
      <c r="M1268" s="925">
        <v>9.1502141708588202E-4</v>
      </c>
    </row>
    <row r="1269" spans="1:13" ht="11.25" customHeight="1" x14ac:dyDescent="0.2">
      <c r="A1269" s="924" t="s">
        <v>853</v>
      </c>
      <c r="B1269" s="924" t="s">
        <v>793</v>
      </c>
      <c r="C1269" s="924" t="s">
        <v>1178</v>
      </c>
      <c r="D1269" s="924" t="s">
        <v>1163</v>
      </c>
      <c r="E1269" s="924" t="s">
        <v>856</v>
      </c>
      <c r="F1269" s="924" t="s">
        <v>1064</v>
      </c>
      <c r="G1269" s="924" t="s">
        <v>981</v>
      </c>
      <c r="H1269" s="924" t="s">
        <v>835</v>
      </c>
      <c r="I1269" s="924" t="s">
        <v>1040</v>
      </c>
      <c r="J1269" s="924" t="s">
        <v>859</v>
      </c>
      <c r="K1269" s="924" t="s">
        <v>924</v>
      </c>
      <c r="L1269" s="925">
        <v>12.143606379628199</v>
      </c>
      <c r="M1269" s="925">
        <v>9.1137411709496497E-4</v>
      </c>
    </row>
    <row r="1270" spans="1:13" ht="11.25" customHeight="1" x14ac:dyDescent="0.2">
      <c r="A1270" s="924" t="s">
        <v>853</v>
      </c>
      <c r="B1270" s="924" t="s">
        <v>793</v>
      </c>
      <c r="C1270" s="924" t="s">
        <v>1178</v>
      </c>
      <c r="D1270" s="924" t="s">
        <v>1163</v>
      </c>
      <c r="E1270" s="924" t="s">
        <v>856</v>
      </c>
      <c r="F1270" s="924" t="s">
        <v>1065</v>
      </c>
      <c r="G1270" s="924" t="s">
        <v>981</v>
      </c>
      <c r="H1270" s="924" t="s">
        <v>835</v>
      </c>
      <c r="I1270" s="924" t="s">
        <v>1040</v>
      </c>
      <c r="J1270" s="924" t="s">
        <v>859</v>
      </c>
      <c r="K1270" s="924" t="s">
        <v>926</v>
      </c>
      <c r="L1270" s="925">
        <v>29.089954406023001</v>
      </c>
      <c r="M1270" s="925">
        <v>1.9397389551159001E-2</v>
      </c>
    </row>
    <row r="1271" spans="1:13" ht="11.25" customHeight="1" x14ac:dyDescent="0.2">
      <c r="A1271" s="924" t="s">
        <v>853</v>
      </c>
      <c r="B1271" s="924" t="s">
        <v>793</v>
      </c>
      <c r="C1271" s="924" t="s">
        <v>1178</v>
      </c>
      <c r="D1271" s="924" t="s">
        <v>1163</v>
      </c>
      <c r="E1271" s="924" t="s">
        <v>856</v>
      </c>
      <c r="F1271" s="924" t="s">
        <v>1066</v>
      </c>
      <c r="G1271" s="924" t="s">
        <v>981</v>
      </c>
      <c r="H1271" s="924" t="s">
        <v>835</v>
      </c>
      <c r="I1271" s="924" t="s">
        <v>1040</v>
      </c>
      <c r="J1271" s="924" t="s">
        <v>859</v>
      </c>
      <c r="K1271" s="924" t="s">
        <v>928</v>
      </c>
      <c r="L1271" s="925">
        <v>19.7463445365429</v>
      </c>
      <c r="M1271" s="925">
        <v>1.0020905119745301E-2</v>
      </c>
    </row>
    <row r="1272" spans="1:13" ht="11.25" customHeight="1" x14ac:dyDescent="0.2">
      <c r="A1272" s="924" t="s">
        <v>853</v>
      </c>
      <c r="B1272" s="924" t="s">
        <v>793</v>
      </c>
      <c r="C1272" s="924" t="s">
        <v>1178</v>
      </c>
      <c r="D1272" s="924" t="s">
        <v>1163</v>
      </c>
      <c r="E1272" s="924" t="s">
        <v>856</v>
      </c>
      <c r="F1272" s="924" t="s">
        <v>1067</v>
      </c>
      <c r="G1272" s="924" t="s">
        <v>981</v>
      </c>
      <c r="H1272" s="924" t="s">
        <v>835</v>
      </c>
      <c r="I1272" s="924" t="s">
        <v>1040</v>
      </c>
      <c r="J1272" s="924" t="s">
        <v>859</v>
      </c>
      <c r="K1272" s="924" t="s">
        <v>1011</v>
      </c>
      <c r="L1272" s="925">
        <v>6.56408739089966</v>
      </c>
      <c r="M1272" s="925">
        <v>4.6751777802000998E-3</v>
      </c>
    </row>
    <row r="1273" spans="1:13" ht="11.25" customHeight="1" x14ac:dyDescent="0.2">
      <c r="A1273" s="924" t="s">
        <v>853</v>
      </c>
      <c r="B1273" s="924" t="s">
        <v>793</v>
      </c>
      <c r="C1273" s="924" t="s">
        <v>1178</v>
      </c>
      <c r="D1273" s="924" t="s">
        <v>1163</v>
      </c>
      <c r="E1273" s="924" t="s">
        <v>856</v>
      </c>
      <c r="F1273" s="924" t="s">
        <v>1041</v>
      </c>
      <c r="G1273" s="924" t="s">
        <v>981</v>
      </c>
      <c r="H1273" s="924" t="s">
        <v>835</v>
      </c>
      <c r="I1273" s="924" t="s">
        <v>1040</v>
      </c>
      <c r="J1273" s="924" t="s">
        <v>859</v>
      </c>
      <c r="K1273" s="924" t="s">
        <v>891</v>
      </c>
      <c r="L1273" s="925">
        <v>4.5384898707270596</v>
      </c>
      <c r="M1273" s="925">
        <v>2.28020035183363E-3</v>
      </c>
    </row>
    <row r="1274" spans="1:13" ht="11.25" customHeight="1" x14ac:dyDescent="0.2">
      <c r="A1274" s="924" t="s">
        <v>853</v>
      </c>
      <c r="B1274" s="924" t="s">
        <v>793</v>
      </c>
      <c r="C1274" s="924" t="s">
        <v>1178</v>
      </c>
      <c r="D1274" s="924" t="s">
        <v>1163</v>
      </c>
      <c r="E1274" s="924" t="s">
        <v>856</v>
      </c>
      <c r="F1274" s="924" t="s">
        <v>1055</v>
      </c>
      <c r="G1274" s="924" t="s">
        <v>981</v>
      </c>
      <c r="H1274" s="924" t="s">
        <v>835</v>
      </c>
      <c r="I1274" s="924" t="s">
        <v>1040</v>
      </c>
      <c r="J1274" s="924" t="s">
        <v>859</v>
      </c>
      <c r="K1274" s="924" t="s">
        <v>899</v>
      </c>
      <c r="L1274" s="925">
        <v>20.317702889442401</v>
      </c>
      <c r="M1274" s="925">
        <v>1.43591457379557E-2</v>
      </c>
    </row>
    <row r="1275" spans="1:13" ht="11.25" customHeight="1" x14ac:dyDescent="0.2">
      <c r="A1275" s="924" t="s">
        <v>853</v>
      </c>
      <c r="B1275" s="924" t="s">
        <v>793</v>
      </c>
      <c r="C1275" s="924" t="s">
        <v>1178</v>
      </c>
      <c r="D1275" s="924" t="s">
        <v>1163</v>
      </c>
      <c r="E1275" s="924" t="s">
        <v>856</v>
      </c>
      <c r="F1275" s="924" t="s">
        <v>1086</v>
      </c>
      <c r="G1275" s="924" t="s">
        <v>981</v>
      </c>
      <c r="H1275" s="924" t="s">
        <v>835</v>
      </c>
      <c r="I1275" s="924" t="s">
        <v>998</v>
      </c>
      <c r="J1275" s="924" t="s">
        <v>940</v>
      </c>
      <c r="K1275" s="924" t="s">
        <v>1087</v>
      </c>
      <c r="L1275" s="925">
        <v>67.651757955551105</v>
      </c>
      <c r="M1275" s="925">
        <v>0.130252170842141</v>
      </c>
    </row>
    <row r="1276" spans="1:13" ht="11.25" customHeight="1" x14ac:dyDescent="0.2">
      <c r="A1276" s="924" t="s">
        <v>853</v>
      </c>
      <c r="B1276" s="924" t="s">
        <v>793</v>
      </c>
      <c r="C1276" s="924" t="s">
        <v>1178</v>
      </c>
      <c r="D1276" s="924" t="s">
        <v>1163</v>
      </c>
      <c r="E1276" s="924" t="s">
        <v>856</v>
      </c>
      <c r="F1276" s="924" t="s">
        <v>997</v>
      </c>
      <c r="G1276" s="924" t="s">
        <v>981</v>
      </c>
      <c r="H1276" s="924" t="s">
        <v>835</v>
      </c>
      <c r="I1276" s="924" t="s">
        <v>998</v>
      </c>
      <c r="J1276" s="924" t="s">
        <v>884</v>
      </c>
      <c r="K1276" s="924" t="s">
        <v>999</v>
      </c>
      <c r="L1276" s="925">
        <v>188.889589071274</v>
      </c>
      <c r="M1276" s="925">
        <v>0.60174027550965503</v>
      </c>
    </row>
    <row r="1277" spans="1:13" ht="11.25" customHeight="1" x14ac:dyDescent="0.2">
      <c r="A1277" s="924" t="s">
        <v>853</v>
      </c>
      <c r="B1277" s="924" t="s">
        <v>793</v>
      </c>
      <c r="C1277" s="924" t="s">
        <v>1178</v>
      </c>
      <c r="D1277" s="924" t="s">
        <v>1163</v>
      </c>
      <c r="E1277" s="924" t="s">
        <v>856</v>
      </c>
      <c r="F1277" s="924" t="s">
        <v>921</v>
      </c>
      <c r="G1277" s="924" t="s">
        <v>911</v>
      </c>
      <c r="H1277" s="924" t="s">
        <v>665</v>
      </c>
      <c r="I1277" s="924" t="s">
        <v>706</v>
      </c>
      <c r="J1277" s="924" t="s">
        <v>859</v>
      </c>
      <c r="K1277" s="924" t="s">
        <v>922</v>
      </c>
      <c r="L1277" s="925">
        <v>3.8998816870152999</v>
      </c>
      <c r="M1277" s="925">
        <v>5.2088857052012805E-4</v>
      </c>
    </row>
    <row r="1278" spans="1:13" ht="11.25" customHeight="1" x14ac:dyDescent="0.2">
      <c r="A1278" s="924" t="s">
        <v>853</v>
      </c>
      <c r="B1278" s="924" t="s">
        <v>793</v>
      </c>
      <c r="C1278" s="924" t="s">
        <v>1178</v>
      </c>
      <c r="D1278" s="924" t="s">
        <v>1163</v>
      </c>
      <c r="E1278" s="924" t="s">
        <v>856</v>
      </c>
      <c r="F1278" s="924" t="s">
        <v>1085</v>
      </c>
      <c r="G1278" s="924" t="s">
        <v>981</v>
      </c>
      <c r="H1278" s="924" t="s">
        <v>835</v>
      </c>
      <c r="I1278" s="924" t="s">
        <v>998</v>
      </c>
      <c r="J1278" s="924" t="s">
        <v>884</v>
      </c>
      <c r="K1278" s="924" t="s">
        <v>885</v>
      </c>
      <c r="L1278" s="925">
        <v>114.79876971244801</v>
      </c>
      <c r="M1278" s="925">
        <v>8.4323944291099906E-2</v>
      </c>
    </row>
    <row r="1279" spans="1:13" ht="11.25" customHeight="1" x14ac:dyDescent="0.2">
      <c r="A1279" s="924" t="s">
        <v>853</v>
      </c>
      <c r="B1279" s="924" t="s">
        <v>793</v>
      </c>
      <c r="C1279" s="924" t="s">
        <v>1178</v>
      </c>
      <c r="D1279" s="924" t="s">
        <v>1163</v>
      </c>
      <c r="E1279" s="924" t="s">
        <v>856</v>
      </c>
      <c r="F1279" s="924" t="s">
        <v>910</v>
      </c>
      <c r="G1279" s="924" t="s">
        <v>911</v>
      </c>
      <c r="H1279" s="924" t="s">
        <v>665</v>
      </c>
      <c r="I1279" s="924" t="s">
        <v>706</v>
      </c>
      <c r="J1279" s="924" t="s">
        <v>859</v>
      </c>
      <c r="K1279" s="924" t="s">
        <v>905</v>
      </c>
      <c r="L1279" s="925">
        <v>2.3993495889008001</v>
      </c>
      <c r="M1279" s="925">
        <v>1.9614597031250001E-3</v>
      </c>
    </row>
    <row r="1280" spans="1:13" ht="11.25" customHeight="1" x14ac:dyDescent="0.2">
      <c r="A1280" s="924" t="s">
        <v>853</v>
      </c>
      <c r="B1280" s="924" t="s">
        <v>793</v>
      </c>
      <c r="C1280" s="924" t="s">
        <v>1178</v>
      </c>
      <c r="D1280" s="924" t="s">
        <v>1163</v>
      </c>
      <c r="E1280" s="924" t="s">
        <v>856</v>
      </c>
      <c r="F1280" s="924" t="s">
        <v>1076</v>
      </c>
      <c r="G1280" s="924" t="s">
        <v>981</v>
      </c>
      <c r="H1280" s="924" t="s">
        <v>835</v>
      </c>
      <c r="I1280" s="924" t="s">
        <v>998</v>
      </c>
      <c r="J1280" s="924" t="s">
        <v>859</v>
      </c>
      <c r="K1280" s="924" t="s">
        <v>860</v>
      </c>
      <c r="L1280" s="925">
        <v>0.99908537603914704</v>
      </c>
      <c r="M1280" s="925">
        <v>2.0640919155994202E-3</v>
      </c>
    </row>
    <row r="1281" spans="1:13" ht="11.25" customHeight="1" x14ac:dyDescent="0.2">
      <c r="A1281" s="924" t="s">
        <v>853</v>
      </c>
      <c r="B1281" s="924" t="s">
        <v>793</v>
      </c>
      <c r="C1281" s="924" t="s">
        <v>1178</v>
      </c>
      <c r="D1281" s="924" t="s">
        <v>1163</v>
      </c>
      <c r="E1281" s="924" t="s">
        <v>856</v>
      </c>
      <c r="F1281" s="924" t="s">
        <v>1077</v>
      </c>
      <c r="G1281" s="924" t="s">
        <v>981</v>
      </c>
      <c r="H1281" s="924" t="s">
        <v>835</v>
      </c>
      <c r="I1281" s="924" t="s">
        <v>998</v>
      </c>
      <c r="J1281" s="924" t="s">
        <v>859</v>
      </c>
      <c r="K1281" s="924" t="s">
        <v>897</v>
      </c>
      <c r="L1281" s="925">
        <v>1.19422998744994</v>
      </c>
      <c r="M1281" s="925">
        <v>2.5008964985317999E-3</v>
      </c>
    </row>
    <row r="1282" spans="1:13" ht="11.25" customHeight="1" x14ac:dyDescent="0.2">
      <c r="A1282" s="924" t="s">
        <v>853</v>
      </c>
      <c r="B1282" s="924" t="s">
        <v>793</v>
      </c>
      <c r="C1282" s="924" t="s">
        <v>1178</v>
      </c>
      <c r="D1282" s="924" t="s">
        <v>1163</v>
      </c>
      <c r="E1282" s="924" t="s">
        <v>856</v>
      </c>
      <c r="F1282" s="924" t="s">
        <v>1078</v>
      </c>
      <c r="G1282" s="924" t="s">
        <v>981</v>
      </c>
      <c r="H1282" s="924" t="s">
        <v>835</v>
      </c>
      <c r="I1282" s="924" t="s">
        <v>998</v>
      </c>
      <c r="J1282" s="924" t="s">
        <v>859</v>
      </c>
      <c r="K1282" s="924" t="s">
        <v>901</v>
      </c>
      <c r="L1282" s="925">
        <v>8.2751208028639701E-3</v>
      </c>
      <c r="M1282" s="925">
        <v>1.8489964048740101E-5</v>
      </c>
    </row>
    <row r="1283" spans="1:13" ht="11.25" customHeight="1" x14ac:dyDescent="0.2">
      <c r="A1283" s="924" t="s">
        <v>853</v>
      </c>
      <c r="B1283" s="924" t="s">
        <v>793</v>
      </c>
      <c r="C1283" s="924" t="s">
        <v>1178</v>
      </c>
      <c r="D1283" s="924" t="s">
        <v>1163</v>
      </c>
      <c r="E1283" s="924" t="s">
        <v>856</v>
      </c>
      <c r="F1283" s="924" t="s">
        <v>1079</v>
      </c>
      <c r="G1283" s="924" t="s">
        <v>981</v>
      </c>
      <c r="H1283" s="924" t="s">
        <v>835</v>
      </c>
      <c r="I1283" s="924" t="s">
        <v>998</v>
      </c>
      <c r="J1283" s="924" t="s">
        <v>859</v>
      </c>
      <c r="K1283" s="924" t="s">
        <v>909</v>
      </c>
      <c r="L1283" s="925">
        <v>39.795950293540997</v>
      </c>
      <c r="M1283" s="925">
        <v>7.1269900014158297E-2</v>
      </c>
    </row>
    <row r="1284" spans="1:13" ht="11.25" customHeight="1" x14ac:dyDescent="0.2">
      <c r="A1284" s="924" t="s">
        <v>853</v>
      </c>
      <c r="B1284" s="924" t="s">
        <v>793</v>
      </c>
      <c r="C1284" s="924" t="s">
        <v>1178</v>
      </c>
      <c r="D1284" s="924" t="s">
        <v>1163</v>
      </c>
      <c r="E1284" s="924" t="s">
        <v>856</v>
      </c>
      <c r="F1284" s="924" t="s">
        <v>1080</v>
      </c>
      <c r="G1284" s="924" t="s">
        <v>981</v>
      </c>
      <c r="H1284" s="924" t="s">
        <v>835</v>
      </c>
      <c r="I1284" s="924" t="s">
        <v>998</v>
      </c>
      <c r="J1284" s="924" t="s">
        <v>859</v>
      </c>
      <c r="K1284" s="924" t="s">
        <v>920</v>
      </c>
      <c r="L1284" s="925">
        <v>0.23321760073304201</v>
      </c>
      <c r="M1284" s="925">
        <v>5.2110266369709301E-4</v>
      </c>
    </row>
    <row r="1285" spans="1:13" ht="11.25" customHeight="1" x14ac:dyDescent="0.2">
      <c r="A1285" s="924" t="s">
        <v>853</v>
      </c>
      <c r="B1285" s="924" t="s">
        <v>793</v>
      </c>
      <c r="C1285" s="924" t="s">
        <v>1178</v>
      </c>
      <c r="D1285" s="924" t="s">
        <v>1163</v>
      </c>
      <c r="E1285" s="924" t="s">
        <v>856</v>
      </c>
      <c r="F1285" s="924" t="s">
        <v>1081</v>
      </c>
      <c r="G1285" s="924" t="s">
        <v>981</v>
      </c>
      <c r="H1285" s="924" t="s">
        <v>835</v>
      </c>
      <c r="I1285" s="924" t="s">
        <v>998</v>
      </c>
      <c r="J1285" s="924" t="s">
        <v>863</v>
      </c>
      <c r="K1285" s="924" t="s">
        <v>935</v>
      </c>
      <c r="L1285" s="925">
        <v>0.78370277211070105</v>
      </c>
      <c r="M1285" s="925">
        <v>1.75111076714529E-3</v>
      </c>
    </row>
    <row r="1286" spans="1:13" ht="11.25" customHeight="1" x14ac:dyDescent="0.2">
      <c r="A1286" s="924" t="s">
        <v>853</v>
      </c>
      <c r="B1286" s="924" t="s">
        <v>793</v>
      </c>
      <c r="C1286" s="924" t="s">
        <v>1178</v>
      </c>
      <c r="D1286" s="924" t="s">
        <v>1163</v>
      </c>
      <c r="E1286" s="924" t="s">
        <v>856</v>
      </c>
      <c r="F1286" s="924" t="s">
        <v>1103</v>
      </c>
      <c r="G1286" s="924" t="s">
        <v>981</v>
      </c>
      <c r="H1286" s="924" t="s">
        <v>835</v>
      </c>
      <c r="I1286" s="924" t="s">
        <v>998</v>
      </c>
      <c r="J1286" s="924" t="s">
        <v>863</v>
      </c>
      <c r="K1286" s="924" t="s">
        <v>864</v>
      </c>
      <c r="L1286" s="925">
        <v>5.9970041504129802E-2</v>
      </c>
      <c r="M1286" s="925">
        <v>1.33997440002531E-4</v>
      </c>
    </row>
    <row r="1287" spans="1:13" ht="11.25" customHeight="1" x14ac:dyDescent="0.2">
      <c r="A1287" s="924" t="s">
        <v>853</v>
      </c>
      <c r="B1287" s="924" t="s">
        <v>793</v>
      </c>
      <c r="C1287" s="924" t="s">
        <v>1178</v>
      </c>
      <c r="D1287" s="924" t="s">
        <v>1163</v>
      </c>
      <c r="E1287" s="924" t="s">
        <v>856</v>
      </c>
      <c r="F1287" s="924" t="s">
        <v>1082</v>
      </c>
      <c r="G1287" s="924" t="s">
        <v>981</v>
      </c>
      <c r="H1287" s="924" t="s">
        <v>835</v>
      </c>
      <c r="I1287" s="924" t="s">
        <v>998</v>
      </c>
      <c r="J1287" s="924" t="s">
        <v>875</v>
      </c>
      <c r="K1287" s="924" t="s">
        <v>952</v>
      </c>
      <c r="L1287" s="925">
        <v>0.308982991613448</v>
      </c>
      <c r="M1287" s="925">
        <v>6.9039223217259903E-4</v>
      </c>
    </row>
    <row r="1288" spans="1:13" ht="11.25" customHeight="1" x14ac:dyDescent="0.2">
      <c r="A1288" s="924" t="s">
        <v>853</v>
      </c>
      <c r="B1288" s="924" t="s">
        <v>793</v>
      </c>
      <c r="C1288" s="924" t="s">
        <v>1178</v>
      </c>
      <c r="D1288" s="924" t="s">
        <v>1163</v>
      </c>
      <c r="E1288" s="924" t="s">
        <v>856</v>
      </c>
      <c r="F1288" s="924" t="s">
        <v>1069</v>
      </c>
      <c r="G1288" s="924" t="s">
        <v>981</v>
      </c>
      <c r="H1288" s="924" t="s">
        <v>835</v>
      </c>
      <c r="I1288" s="924" t="s">
        <v>998</v>
      </c>
      <c r="J1288" s="924" t="s">
        <v>940</v>
      </c>
      <c r="K1288" s="924" t="s">
        <v>1070</v>
      </c>
      <c r="L1288" s="925">
        <v>63.789270281791701</v>
      </c>
      <c r="M1288" s="925">
        <v>0.118436937511433</v>
      </c>
    </row>
    <row r="1289" spans="1:13" ht="11.25" customHeight="1" x14ac:dyDescent="0.2">
      <c r="A1289" s="924" t="s">
        <v>853</v>
      </c>
      <c r="B1289" s="924" t="s">
        <v>793</v>
      </c>
      <c r="C1289" s="924" t="s">
        <v>1178</v>
      </c>
      <c r="D1289" s="924" t="s">
        <v>1163</v>
      </c>
      <c r="E1289" s="924" t="s">
        <v>856</v>
      </c>
      <c r="F1289" s="924" t="s">
        <v>1054</v>
      </c>
      <c r="G1289" s="924" t="s">
        <v>981</v>
      </c>
      <c r="H1289" s="924" t="s">
        <v>835</v>
      </c>
      <c r="I1289" s="924" t="s">
        <v>998</v>
      </c>
      <c r="J1289" s="924" t="s">
        <v>875</v>
      </c>
      <c r="K1289" s="924" t="s">
        <v>880</v>
      </c>
      <c r="L1289" s="925">
        <v>1.7713695095153501E-2</v>
      </c>
      <c r="M1289" s="925">
        <v>3.9579602912454E-5</v>
      </c>
    </row>
    <row r="1290" spans="1:13" ht="11.25" customHeight="1" x14ac:dyDescent="0.2">
      <c r="A1290" s="924" t="s">
        <v>853</v>
      </c>
      <c r="B1290" s="924" t="s">
        <v>793</v>
      </c>
      <c r="C1290" s="924" t="s">
        <v>1178</v>
      </c>
      <c r="D1290" s="924" t="s">
        <v>1163</v>
      </c>
      <c r="E1290" s="924" t="s">
        <v>856</v>
      </c>
      <c r="F1290" s="924" t="s">
        <v>1088</v>
      </c>
      <c r="G1290" s="924" t="s">
        <v>981</v>
      </c>
      <c r="H1290" s="924" t="s">
        <v>835</v>
      </c>
      <c r="I1290" s="924" t="s">
        <v>998</v>
      </c>
      <c r="J1290" s="924" t="s">
        <v>940</v>
      </c>
      <c r="K1290" s="924" t="s">
        <v>1089</v>
      </c>
      <c r="L1290" s="925">
        <v>615.56931781768799</v>
      </c>
      <c r="M1290" s="925">
        <v>1.12452629953623</v>
      </c>
    </row>
    <row r="1291" spans="1:13" ht="11.25" customHeight="1" x14ac:dyDescent="0.2">
      <c r="A1291" s="924" t="s">
        <v>853</v>
      </c>
      <c r="B1291" s="924" t="s">
        <v>793</v>
      </c>
      <c r="C1291" s="924" t="s">
        <v>1178</v>
      </c>
      <c r="D1291" s="924" t="s">
        <v>1163</v>
      </c>
      <c r="E1291" s="924" t="s">
        <v>856</v>
      </c>
      <c r="F1291" s="924" t="s">
        <v>1090</v>
      </c>
      <c r="G1291" s="924" t="s">
        <v>981</v>
      </c>
      <c r="H1291" s="924" t="s">
        <v>835</v>
      </c>
      <c r="I1291" s="924" t="s">
        <v>998</v>
      </c>
      <c r="J1291" s="924" t="s">
        <v>940</v>
      </c>
      <c r="K1291" s="924" t="s">
        <v>1091</v>
      </c>
      <c r="L1291" s="925">
        <v>93.741815984249101</v>
      </c>
      <c r="M1291" s="925">
        <v>0.15964761015493401</v>
      </c>
    </row>
    <row r="1292" spans="1:13" ht="11.25" customHeight="1" x14ac:dyDescent="0.2">
      <c r="A1292" s="924" t="s">
        <v>853</v>
      </c>
      <c r="B1292" s="924" t="s">
        <v>793</v>
      </c>
      <c r="C1292" s="924" t="s">
        <v>1178</v>
      </c>
      <c r="D1292" s="924" t="s">
        <v>1163</v>
      </c>
      <c r="E1292" s="924" t="s">
        <v>856</v>
      </c>
      <c r="F1292" s="924" t="s">
        <v>1092</v>
      </c>
      <c r="G1292" s="924" t="s">
        <v>981</v>
      </c>
      <c r="H1292" s="924" t="s">
        <v>835</v>
      </c>
      <c r="I1292" s="924" t="s">
        <v>998</v>
      </c>
      <c r="J1292" s="924" t="s">
        <v>940</v>
      </c>
      <c r="K1292" s="924" t="s">
        <v>1093</v>
      </c>
      <c r="L1292" s="925">
        <v>536.68412733078003</v>
      </c>
      <c r="M1292" s="925">
        <v>1.0620125513523799</v>
      </c>
    </row>
    <row r="1293" spans="1:13" ht="11.25" customHeight="1" x14ac:dyDescent="0.2">
      <c r="A1293" s="924" t="s">
        <v>853</v>
      </c>
      <c r="B1293" s="924" t="s">
        <v>793</v>
      </c>
      <c r="C1293" s="924" t="s">
        <v>1178</v>
      </c>
      <c r="D1293" s="924" t="s">
        <v>1163</v>
      </c>
      <c r="E1293" s="924" t="s">
        <v>856</v>
      </c>
      <c r="F1293" s="924" t="s">
        <v>1094</v>
      </c>
      <c r="G1293" s="924" t="s">
        <v>981</v>
      </c>
      <c r="H1293" s="924" t="s">
        <v>835</v>
      </c>
      <c r="I1293" s="924" t="s">
        <v>998</v>
      </c>
      <c r="J1293" s="924" t="s">
        <v>940</v>
      </c>
      <c r="K1293" s="924" t="s">
        <v>1095</v>
      </c>
      <c r="L1293" s="925">
        <v>60.331978023052201</v>
      </c>
      <c r="M1293" s="925">
        <v>0.112527006072924</v>
      </c>
    </row>
    <row r="1294" spans="1:13" ht="11.25" customHeight="1" x14ac:dyDescent="0.2">
      <c r="A1294" s="924" t="s">
        <v>853</v>
      </c>
      <c r="B1294" s="924" t="s">
        <v>793</v>
      </c>
      <c r="C1294" s="924" t="s">
        <v>1178</v>
      </c>
      <c r="D1294" s="924" t="s">
        <v>1163</v>
      </c>
      <c r="E1294" s="924" t="s">
        <v>856</v>
      </c>
      <c r="F1294" s="924" t="s">
        <v>1096</v>
      </c>
      <c r="G1294" s="924" t="s">
        <v>981</v>
      </c>
      <c r="H1294" s="924" t="s">
        <v>835</v>
      </c>
      <c r="I1294" s="924" t="s">
        <v>998</v>
      </c>
      <c r="J1294" s="924" t="s">
        <v>940</v>
      </c>
      <c r="K1294" s="924" t="s">
        <v>1023</v>
      </c>
      <c r="L1294" s="925">
        <v>501.13473844528198</v>
      </c>
      <c r="M1294" s="925">
        <v>0.937291887588799</v>
      </c>
    </row>
    <row r="1295" spans="1:13" ht="11.25" customHeight="1" x14ac:dyDescent="0.2">
      <c r="A1295" s="924" t="s">
        <v>853</v>
      </c>
      <c r="B1295" s="924" t="s">
        <v>793</v>
      </c>
      <c r="C1295" s="924" t="s">
        <v>1178</v>
      </c>
      <c r="D1295" s="924" t="s">
        <v>1163</v>
      </c>
      <c r="E1295" s="924" t="s">
        <v>856</v>
      </c>
      <c r="F1295" s="924" t="s">
        <v>1097</v>
      </c>
      <c r="G1295" s="924" t="s">
        <v>981</v>
      </c>
      <c r="H1295" s="924" t="s">
        <v>835</v>
      </c>
      <c r="I1295" s="924" t="s">
        <v>998</v>
      </c>
      <c r="J1295" s="924" t="s">
        <v>940</v>
      </c>
      <c r="K1295" s="924" t="s">
        <v>1098</v>
      </c>
      <c r="L1295" s="925">
        <v>30.1839408874512</v>
      </c>
      <c r="M1295" s="925">
        <v>0.20620092004537599</v>
      </c>
    </row>
    <row r="1296" spans="1:13" ht="11.25" customHeight="1" x14ac:dyDescent="0.2">
      <c r="A1296" s="924" t="s">
        <v>853</v>
      </c>
      <c r="B1296" s="924" t="s">
        <v>793</v>
      </c>
      <c r="C1296" s="924" t="s">
        <v>1178</v>
      </c>
      <c r="D1296" s="924" t="s">
        <v>1163</v>
      </c>
      <c r="E1296" s="924" t="s">
        <v>856</v>
      </c>
      <c r="F1296" s="924" t="s">
        <v>1099</v>
      </c>
      <c r="G1296" s="924" t="s">
        <v>981</v>
      </c>
      <c r="H1296" s="924" t="s">
        <v>835</v>
      </c>
      <c r="I1296" s="924" t="s">
        <v>998</v>
      </c>
      <c r="J1296" s="924" t="s">
        <v>940</v>
      </c>
      <c r="K1296" s="924" t="s">
        <v>1025</v>
      </c>
      <c r="L1296" s="925">
        <v>184.57060146331801</v>
      </c>
      <c r="M1296" s="925">
        <v>1.2592398449778599</v>
      </c>
    </row>
    <row r="1297" spans="1:13" ht="11.25" customHeight="1" x14ac:dyDescent="0.2">
      <c r="A1297" s="924" t="s">
        <v>853</v>
      </c>
      <c r="B1297" s="924" t="s">
        <v>793</v>
      </c>
      <c r="C1297" s="924" t="s">
        <v>1178</v>
      </c>
      <c r="D1297" s="924" t="s">
        <v>1163</v>
      </c>
      <c r="E1297" s="924" t="s">
        <v>856</v>
      </c>
      <c r="F1297" s="924" t="s">
        <v>1100</v>
      </c>
      <c r="G1297" s="924" t="s">
        <v>981</v>
      </c>
      <c r="H1297" s="924" t="s">
        <v>835</v>
      </c>
      <c r="I1297" s="924" t="s">
        <v>998</v>
      </c>
      <c r="J1297" s="924" t="s">
        <v>940</v>
      </c>
      <c r="K1297" s="924" t="s">
        <v>1032</v>
      </c>
      <c r="L1297" s="925">
        <v>0.26740880543366102</v>
      </c>
      <c r="M1297" s="925">
        <v>5.3612789793078296E-4</v>
      </c>
    </row>
    <row r="1298" spans="1:13" ht="11.25" customHeight="1" x14ac:dyDescent="0.2">
      <c r="A1298" s="924" t="s">
        <v>853</v>
      </c>
      <c r="B1298" s="924" t="s">
        <v>793</v>
      </c>
      <c r="C1298" s="924" t="s">
        <v>1178</v>
      </c>
      <c r="D1298" s="924" t="s">
        <v>1163</v>
      </c>
      <c r="E1298" s="924" t="s">
        <v>856</v>
      </c>
      <c r="F1298" s="924" t="s">
        <v>1101</v>
      </c>
      <c r="G1298" s="924" t="s">
        <v>981</v>
      </c>
      <c r="H1298" s="924" t="s">
        <v>835</v>
      </c>
      <c r="I1298" s="924" t="s">
        <v>998</v>
      </c>
      <c r="J1298" s="924" t="s">
        <v>870</v>
      </c>
      <c r="K1298" s="924" t="s">
        <v>961</v>
      </c>
      <c r="L1298" s="925">
        <v>0.70924978051334597</v>
      </c>
      <c r="M1298" s="925">
        <v>1.16776301410937E-3</v>
      </c>
    </row>
    <row r="1299" spans="1:13" ht="11.25" customHeight="1" x14ac:dyDescent="0.2">
      <c r="A1299" s="924" t="s">
        <v>853</v>
      </c>
      <c r="B1299" s="924" t="s">
        <v>793</v>
      </c>
      <c r="C1299" s="924" t="s">
        <v>1178</v>
      </c>
      <c r="D1299" s="924" t="s">
        <v>1163</v>
      </c>
      <c r="E1299" s="924" t="s">
        <v>856</v>
      </c>
      <c r="F1299" s="924" t="s">
        <v>1102</v>
      </c>
      <c r="G1299" s="924" t="s">
        <v>981</v>
      </c>
      <c r="H1299" s="924" t="s">
        <v>835</v>
      </c>
      <c r="I1299" s="924" t="s">
        <v>998</v>
      </c>
      <c r="J1299" s="924" t="s">
        <v>875</v>
      </c>
      <c r="K1299" s="924" t="s">
        <v>876</v>
      </c>
      <c r="L1299" s="925">
        <v>7.6538943946361497</v>
      </c>
      <c r="M1299" s="925">
        <v>1.54873215506086E-2</v>
      </c>
    </row>
    <row r="1300" spans="1:13" ht="11.25" customHeight="1" x14ac:dyDescent="0.2">
      <c r="A1300" s="924" t="s">
        <v>853</v>
      </c>
      <c r="B1300" s="924" t="s">
        <v>793</v>
      </c>
      <c r="C1300" s="924" t="s">
        <v>1178</v>
      </c>
      <c r="D1300" s="924" t="s">
        <v>1163</v>
      </c>
      <c r="E1300" s="924" t="s">
        <v>856</v>
      </c>
      <c r="F1300" s="924" t="s">
        <v>1075</v>
      </c>
      <c r="G1300" s="924" t="s">
        <v>981</v>
      </c>
      <c r="H1300" s="924" t="s">
        <v>835</v>
      </c>
      <c r="I1300" s="924" t="s">
        <v>998</v>
      </c>
      <c r="J1300" s="924" t="s">
        <v>859</v>
      </c>
      <c r="K1300" s="924" t="s">
        <v>889</v>
      </c>
      <c r="L1300" s="925">
        <v>15.411372378468499</v>
      </c>
      <c r="M1300" s="925">
        <v>2.4942591116996499E-2</v>
      </c>
    </row>
    <row r="1301" spans="1:13" ht="11.25" customHeight="1" x14ac:dyDescent="0.2">
      <c r="A1301" s="924" t="s">
        <v>853</v>
      </c>
      <c r="B1301" s="924" t="s">
        <v>793</v>
      </c>
      <c r="C1301" s="924" t="s">
        <v>1178</v>
      </c>
      <c r="D1301" s="924" t="s">
        <v>1163</v>
      </c>
      <c r="E1301" s="924" t="s">
        <v>856</v>
      </c>
      <c r="F1301" s="924" t="s">
        <v>1083</v>
      </c>
      <c r="G1301" s="924" t="s">
        <v>981</v>
      </c>
      <c r="H1301" s="924" t="s">
        <v>835</v>
      </c>
      <c r="I1301" s="924" t="s">
        <v>998</v>
      </c>
      <c r="J1301" s="924" t="s">
        <v>940</v>
      </c>
      <c r="K1301" s="924" t="s">
        <v>1084</v>
      </c>
      <c r="L1301" s="925">
        <v>5.0552996024489403</v>
      </c>
      <c r="M1301" s="925">
        <v>9.2356911918614094E-3</v>
      </c>
    </row>
    <row r="1302" spans="1:13" ht="11.25" customHeight="1" x14ac:dyDescent="0.2">
      <c r="A1302" s="924" t="s">
        <v>853</v>
      </c>
      <c r="B1302" s="924" t="s">
        <v>793</v>
      </c>
      <c r="C1302" s="924" t="s">
        <v>1178</v>
      </c>
      <c r="D1302" s="924" t="s">
        <v>1163</v>
      </c>
      <c r="E1302" s="924" t="s">
        <v>856</v>
      </c>
      <c r="F1302" s="924" t="s">
        <v>1134</v>
      </c>
      <c r="G1302" s="924" t="s">
        <v>981</v>
      </c>
      <c r="H1302" s="924" t="s">
        <v>835</v>
      </c>
      <c r="I1302" s="924" t="s">
        <v>1040</v>
      </c>
      <c r="J1302" s="924" t="s">
        <v>863</v>
      </c>
      <c r="K1302" s="924" t="s">
        <v>933</v>
      </c>
      <c r="L1302" s="925">
        <v>327.96785068512003</v>
      </c>
      <c r="M1302" s="925">
        <v>2.3308240954065699E-2</v>
      </c>
    </row>
    <row r="1303" spans="1:13" ht="11.25" customHeight="1" x14ac:dyDescent="0.2">
      <c r="A1303" s="924" t="s">
        <v>853</v>
      </c>
      <c r="B1303" s="924" t="s">
        <v>793</v>
      </c>
      <c r="C1303" s="924" t="s">
        <v>1178</v>
      </c>
      <c r="D1303" s="924" t="s">
        <v>1163</v>
      </c>
      <c r="E1303" s="924" t="s">
        <v>856</v>
      </c>
      <c r="F1303" s="924" t="s">
        <v>1109</v>
      </c>
      <c r="G1303" s="924" t="s">
        <v>981</v>
      </c>
      <c r="H1303" s="924" t="s">
        <v>835</v>
      </c>
      <c r="I1303" s="924" t="s">
        <v>1040</v>
      </c>
      <c r="J1303" s="924" t="s">
        <v>870</v>
      </c>
      <c r="K1303" s="924" t="s">
        <v>976</v>
      </c>
      <c r="L1303" s="925">
        <v>6.6585665885359004</v>
      </c>
      <c r="M1303" s="925">
        <v>1.3655132736829501E-3</v>
      </c>
    </row>
    <row r="1304" spans="1:13" ht="11.25" customHeight="1" x14ac:dyDescent="0.2">
      <c r="A1304" s="924" t="s">
        <v>853</v>
      </c>
      <c r="B1304" s="924" t="s">
        <v>793</v>
      </c>
      <c r="C1304" s="924" t="s">
        <v>1178</v>
      </c>
      <c r="D1304" s="924" t="s">
        <v>1163</v>
      </c>
      <c r="E1304" s="924" t="s">
        <v>856</v>
      </c>
      <c r="F1304" s="924" t="s">
        <v>1110</v>
      </c>
      <c r="G1304" s="924" t="s">
        <v>981</v>
      </c>
      <c r="H1304" s="924" t="s">
        <v>835</v>
      </c>
      <c r="I1304" s="924" t="s">
        <v>1040</v>
      </c>
      <c r="J1304" s="924" t="s">
        <v>870</v>
      </c>
      <c r="K1304" s="924" t="s">
        <v>1019</v>
      </c>
      <c r="L1304" s="925">
        <v>5.14207931846613E-2</v>
      </c>
      <c r="M1304" s="925">
        <v>4.3147324920056503E-5</v>
      </c>
    </row>
    <row r="1305" spans="1:13" ht="11.25" customHeight="1" x14ac:dyDescent="0.2">
      <c r="A1305" s="924" t="s">
        <v>853</v>
      </c>
      <c r="B1305" s="924" t="s">
        <v>793</v>
      </c>
      <c r="C1305" s="924" t="s">
        <v>1178</v>
      </c>
      <c r="D1305" s="924" t="s">
        <v>1163</v>
      </c>
      <c r="E1305" s="924" t="s">
        <v>856</v>
      </c>
      <c r="F1305" s="924" t="s">
        <v>1111</v>
      </c>
      <c r="G1305" s="924" t="s">
        <v>981</v>
      </c>
      <c r="H1305" s="924" t="s">
        <v>835</v>
      </c>
      <c r="I1305" s="924" t="s">
        <v>1040</v>
      </c>
      <c r="J1305" s="924" t="s">
        <v>870</v>
      </c>
      <c r="K1305" s="924" t="s">
        <v>1016</v>
      </c>
      <c r="L1305" s="925">
        <v>4.6035644281655603</v>
      </c>
      <c r="M1305" s="925">
        <v>3.8754032307224402E-3</v>
      </c>
    </row>
    <row r="1306" spans="1:13" ht="11.25" customHeight="1" x14ac:dyDescent="0.2">
      <c r="A1306" s="924" t="s">
        <v>853</v>
      </c>
      <c r="B1306" s="924" t="s">
        <v>793</v>
      </c>
      <c r="C1306" s="924" t="s">
        <v>1178</v>
      </c>
      <c r="D1306" s="924" t="s">
        <v>1163</v>
      </c>
      <c r="E1306" s="924" t="s">
        <v>856</v>
      </c>
      <c r="F1306" s="924" t="s">
        <v>1112</v>
      </c>
      <c r="G1306" s="924" t="s">
        <v>981</v>
      </c>
      <c r="H1306" s="924" t="s">
        <v>835</v>
      </c>
      <c r="I1306" s="924" t="s">
        <v>1040</v>
      </c>
      <c r="J1306" s="924" t="s">
        <v>870</v>
      </c>
      <c r="K1306" s="924" t="s">
        <v>959</v>
      </c>
      <c r="L1306" s="925">
        <v>1.41831163922325</v>
      </c>
      <c r="M1306" s="925">
        <v>9.3695209329780504E-4</v>
      </c>
    </row>
    <row r="1307" spans="1:13" ht="11.25" customHeight="1" x14ac:dyDescent="0.2">
      <c r="A1307" s="924" t="s">
        <v>853</v>
      </c>
      <c r="B1307" s="924" t="s">
        <v>793</v>
      </c>
      <c r="C1307" s="924" t="s">
        <v>1178</v>
      </c>
      <c r="D1307" s="924" t="s">
        <v>1163</v>
      </c>
      <c r="E1307" s="924" t="s">
        <v>856</v>
      </c>
      <c r="F1307" s="924" t="s">
        <v>1113</v>
      </c>
      <c r="G1307" s="924" t="s">
        <v>981</v>
      </c>
      <c r="H1307" s="924" t="s">
        <v>835</v>
      </c>
      <c r="I1307" s="924" t="s">
        <v>1040</v>
      </c>
      <c r="J1307" s="924" t="s">
        <v>870</v>
      </c>
      <c r="K1307" s="924" t="s">
        <v>961</v>
      </c>
      <c r="L1307" s="925">
        <v>15.498889710754201</v>
      </c>
      <c r="M1307" s="925">
        <v>1.17604434913119E-2</v>
      </c>
    </row>
    <row r="1308" spans="1:13" ht="11.25" customHeight="1" x14ac:dyDescent="0.2">
      <c r="A1308" s="924" t="s">
        <v>853</v>
      </c>
      <c r="B1308" s="924" t="s">
        <v>793</v>
      </c>
      <c r="C1308" s="924" t="s">
        <v>1178</v>
      </c>
      <c r="D1308" s="924" t="s">
        <v>1163</v>
      </c>
      <c r="E1308" s="924" t="s">
        <v>856</v>
      </c>
      <c r="F1308" s="924" t="s">
        <v>1114</v>
      </c>
      <c r="G1308" s="924" t="s">
        <v>981</v>
      </c>
      <c r="H1308" s="924" t="s">
        <v>835</v>
      </c>
      <c r="I1308" s="924" t="s">
        <v>1040</v>
      </c>
      <c r="J1308" s="924" t="s">
        <v>870</v>
      </c>
      <c r="K1308" s="924" t="s">
        <v>963</v>
      </c>
      <c r="L1308" s="925">
        <v>33.801153481006601</v>
      </c>
      <c r="M1308" s="925">
        <v>5.6255488234455697E-2</v>
      </c>
    </row>
    <row r="1309" spans="1:13" ht="11.25" customHeight="1" x14ac:dyDescent="0.2">
      <c r="A1309" s="924" t="s">
        <v>853</v>
      </c>
      <c r="B1309" s="924" t="s">
        <v>793</v>
      </c>
      <c r="C1309" s="924" t="s">
        <v>1178</v>
      </c>
      <c r="D1309" s="924" t="s">
        <v>1163</v>
      </c>
      <c r="E1309" s="924" t="s">
        <v>856</v>
      </c>
      <c r="F1309" s="924" t="s">
        <v>1115</v>
      </c>
      <c r="G1309" s="924" t="s">
        <v>981</v>
      </c>
      <c r="H1309" s="924" t="s">
        <v>835</v>
      </c>
      <c r="I1309" s="924" t="s">
        <v>1040</v>
      </c>
      <c r="J1309" s="924" t="s">
        <v>870</v>
      </c>
      <c r="K1309" s="924" t="s">
        <v>965</v>
      </c>
      <c r="L1309" s="925">
        <v>7.2906312532722897</v>
      </c>
      <c r="M1309" s="925">
        <v>6.1374450051516804E-3</v>
      </c>
    </row>
    <row r="1310" spans="1:13" ht="11.25" customHeight="1" x14ac:dyDescent="0.2">
      <c r="A1310" s="924" t="s">
        <v>853</v>
      </c>
      <c r="B1310" s="924" t="s">
        <v>793</v>
      </c>
      <c r="C1310" s="924" t="s">
        <v>1178</v>
      </c>
      <c r="D1310" s="924" t="s">
        <v>1163</v>
      </c>
      <c r="E1310" s="924" t="s">
        <v>856</v>
      </c>
      <c r="F1310" s="924" t="s">
        <v>1130</v>
      </c>
      <c r="G1310" s="924" t="s">
        <v>981</v>
      </c>
      <c r="H1310" s="924" t="s">
        <v>835</v>
      </c>
      <c r="I1310" s="924" t="s">
        <v>1040</v>
      </c>
      <c r="J1310" s="924" t="s">
        <v>870</v>
      </c>
      <c r="K1310" s="924" t="s">
        <v>871</v>
      </c>
      <c r="L1310" s="925">
        <v>10.505827631801401</v>
      </c>
      <c r="M1310" s="925">
        <v>8.3794434017363494E-3</v>
      </c>
    </row>
    <row r="1311" spans="1:13" ht="11.25" customHeight="1" x14ac:dyDescent="0.2">
      <c r="A1311" s="924" t="s">
        <v>853</v>
      </c>
      <c r="B1311" s="924" t="s">
        <v>793</v>
      </c>
      <c r="C1311" s="924" t="s">
        <v>1178</v>
      </c>
      <c r="D1311" s="924" t="s">
        <v>1163</v>
      </c>
      <c r="E1311" s="924" t="s">
        <v>856</v>
      </c>
      <c r="F1311" s="924" t="s">
        <v>1117</v>
      </c>
      <c r="G1311" s="924" t="s">
        <v>981</v>
      </c>
      <c r="H1311" s="924" t="s">
        <v>835</v>
      </c>
      <c r="I1311" s="924" t="s">
        <v>1040</v>
      </c>
      <c r="J1311" s="924" t="s">
        <v>870</v>
      </c>
      <c r="K1311" s="924" t="s">
        <v>873</v>
      </c>
      <c r="L1311" s="925">
        <v>11.584035757929099</v>
      </c>
      <c r="M1311" s="925">
        <v>1.1645055451481299E-3</v>
      </c>
    </row>
    <row r="1312" spans="1:13" ht="11.25" customHeight="1" x14ac:dyDescent="0.2">
      <c r="A1312" s="924" t="s">
        <v>853</v>
      </c>
      <c r="B1312" s="924" t="s">
        <v>793</v>
      </c>
      <c r="C1312" s="924" t="s">
        <v>1178</v>
      </c>
      <c r="D1312" s="924" t="s">
        <v>1163</v>
      </c>
      <c r="E1312" s="924" t="s">
        <v>856</v>
      </c>
      <c r="F1312" s="924" t="s">
        <v>1104</v>
      </c>
      <c r="G1312" s="924" t="s">
        <v>981</v>
      </c>
      <c r="H1312" s="924" t="s">
        <v>835</v>
      </c>
      <c r="I1312" s="924" t="s">
        <v>1040</v>
      </c>
      <c r="J1312" s="924" t="s">
        <v>875</v>
      </c>
      <c r="K1312" s="924" t="s">
        <v>876</v>
      </c>
      <c r="L1312" s="925">
        <v>1574.6355724334701</v>
      </c>
      <c r="M1312" s="925">
        <v>1.06357639469206</v>
      </c>
    </row>
    <row r="1313" spans="1:13" ht="11.25" customHeight="1" x14ac:dyDescent="0.2">
      <c r="A1313" s="924" t="s">
        <v>853</v>
      </c>
      <c r="B1313" s="924" t="s">
        <v>793</v>
      </c>
      <c r="C1313" s="924" t="s">
        <v>1178</v>
      </c>
      <c r="D1313" s="924" t="s">
        <v>1163</v>
      </c>
      <c r="E1313" s="924" t="s">
        <v>856</v>
      </c>
      <c r="F1313" s="924" t="s">
        <v>1108</v>
      </c>
      <c r="G1313" s="924" t="s">
        <v>981</v>
      </c>
      <c r="H1313" s="924" t="s">
        <v>835</v>
      </c>
      <c r="I1313" s="924" t="s">
        <v>1040</v>
      </c>
      <c r="J1313" s="924" t="s">
        <v>870</v>
      </c>
      <c r="K1313" s="924" t="s">
        <v>1036</v>
      </c>
      <c r="L1313" s="925">
        <v>1.7255854890681801</v>
      </c>
      <c r="M1313" s="925">
        <v>1.1700212157848E-3</v>
      </c>
    </row>
    <row r="1314" spans="1:13" ht="11.25" customHeight="1" x14ac:dyDescent="0.2">
      <c r="A1314" s="924" t="s">
        <v>853</v>
      </c>
      <c r="B1314" s="924" t="s">
        <v>793</v>
      </c>
      <c r="C1314" s="924" t="s">
        <v>1178</v>
      </c>
      <c r="D1314" s="924" t="s">
        <v>1163</v>
      </c>
      <c r="E1314" s="924" t="s">
        <v>856</v>
      </c>
      <c r="F1314" s="924" t="s">
        <v>1120</v>
      </c>
      <c r="G1314" s="924" t="s">
        <v>981</v>
      </c>
      <c r="H1314" s="924" t="s">
        <v>835</v>
      </c>
      <c r="I1314" s="924" t="s">
        <v>1040</v>
      </c>
      <c r="J1314" s="924" t="s">
        <v>875</v>
      </c>
      <c r="K1314" s="924" t="s">
        <v>880</v>
      </c>
      <c r="L1314" s="925">
        <v>207.98373246192901</v>
      </c>
      <c r="M1314" s="925">
        <v>0.12119119849057799</v>
      </c>
    </row>
    <row r="1315" spans="1:13" ht="11.25" customHeight="1" x14ac:dyDescent="0.2">
      <c r="A1315" s="924" t="s">
        <v>853</v>
      </c>
      <c r="B1315" s="924" t="s">
        <v>793</v>
      </c>
      <c r="C1315" s="924" t="s">
        <v>1178</v>
      </c>
      <c r="D1315" s="924" t="s">
        <v>1163</v>
      </c>
      <c r="E1315" s="924" t="s">
        <v>856</v>
      </c>
      <c r="F1315" s="924" t="s">
        <v>1119</v>
      </c>
      <c r="G1315" s="924" t="s">
        <v>981</v>
      </c>
      <c r="H1315" s="924" t="s">
        <v>835</v>
      </c>
      <c r="I1315" s="924" t="s">
        <v>1040</v>
      </c>
      <c r="J1315" s="924" t="s">
        <v>875</v>
      </c>
      <c r="K1315" s="924" t="s">
        <v>878</v>
      </c>
      <c r="L1315" s="925">
        <v>393.253321170807</v>
      </c>
      <c r="M1315" s="925">
        <v>0.26273205872166699</v>
      </c>
    </row>
    <row r="1316" spans="1:13" ht="11.25" customHeight="1" x14ac:dyDescent="0.2">
      <c r="A1316" s="924" t="s">
        <v>853</v>
      </c>
      <c r="B1316" s="924" t="s">
        <v>793</v>
      </c>
      <c r="C1316" s="924" t="s">
        <v>1178</v>
      </c>
      <c r="D1316" s="924" t="s">
        <v>1163</v>
      </c>
      <c r="E1316" s="924" t="s">
        <v>856</v>
      </c>
      <c r="F1316" s="924" t="s">
        <v>1122</v>
      </c>
      <c r="G1316" s="924" t="s">
        <v>981</v>
      </c>
      <c r="H1316" s="924" t="s">
        <v>835</v>
      </c>
      <c r="I1316" s="924" t="s">
        <v>1040</v>
      </c>
      <c r="J1316" s="924" t="s">
        <v>875</v>
      </c>
      <c r="K1316" s="924" t="s">
        <v>950</v>
      </c>
      <c r="L1316" s="925">
        <v>707.85550117492699</v>
      </c>
      <c r="M1316" s="925">
        <v>0.492735274060635</v>
      </c>
    </row>
    <row r="1317" spans="1:13" ht="11.25" customHeight="1" x14ac:dyDescent="0.2">
      <c r="A1317" s="924" t="s">
        <v>853</v>
      </c>
      <c r="B1317" s="924" t="s">
        <v>793</v>
      </c>
      <c r="C1317" s="924" t="s">
        <v>1178</v>
      </c>
      <c r="D1317" s="924" t="s">
        <v>1163</v>
      </c>
      <c r="E1317" s="924" t="s">
        <v>856</v>
      </c>
      <c r="F1317" s="924" t="s">
        <v>1123</v>
      </c>
      <c r="G1317" s="924" t="s">
        <v>981</v>
      </c>
      <c r="H1317" s="924" t="s">
        <v>835</v>
      </c>
      <c r="I1317" s="924" t="s">
        <v>1040</v>
      </c>
      <c r="J1317" s="924" t="s">
        <v>875</v>
      </c>
      <c r="K1317" s="924" t="s">
        <v>952</v>
      </c>
      <c r="L1317" s="925">
        <v>33.2057468295097</v>
      </c>
      <c r="M1317" s="925">
        <v>2.31840708912401E-2</v>
      </c>
    </row>
    <row r="1318" spans="1:13" ht="11.25" customHeight="1" x14ac:dyDescent="0.2">
      <c r="A1318" s="924" t="s">
        <v>853</v>
      </c>
      <c r="B1318" s="924" t="s">
        <v>793</v>
      </c>
      <c r="C1318" s="924" t="s">
        <v>1178</v>
      </c>
      <c r="D1318" s="924" t="s">
        <v>1163</v>
      </c>
      <c r="E1318" s="924" t="s">
        <v>856</v>
      </c>
      <c r="F1318" s="924" t="s">
        <v>1124</v>
      </c>
      <c r="G1318" s="924" t="s">
        <v>981</v>
      </c>
      <c r="H1318" s="924" t="s">
        <v>835</v>
      </c>
      <c r="I1318" s="924" t="s">
        <v>1040</v>
      </c>
      <c r="J1318" s="924" t="s">
        <v>956</v>
      </c>
      <c r="K1318" s="924" t="s">
        <v>1125</v>
      </c>
      <c r="L1318" s="925">
        <v>8.9436739534139598</v>
      </c>
      <c r="M1318" s="925">
        <v>7.1840275571730698E-3</v>
      </c>
    </row>
    <row r="1319" spans="1:13" ht="11.25" customHeight="1" x14ac:dyDescent="0.2">
      <c r="A1319" s="924" t="s">
        <v>853</v>
      </c>
      <c r="B1319" s="924" t="s">
        <v>793</v>
      </c>
      <c r="C1319" s="924" t="s">
        <v>1178</v>
      </c>
      <c r="D1319" s="924" t="s">
        <v>1163</v>
      </c>
      <c r="E1319" s="924" t="s">
        <v>856</v>
      </c>
      <c r="F1319" s="924" t="s">
        <v>1126</v>
      </c>
      <c r="G1319" s="924" t="s">
        <v>981</v>
      </c>
      <c r="H1319" s="924" t="s">
        <v>835</v>
      </c>
      <c r="I1319" s="924" t="s">
        <v>1040</v>
      </c>
      <c r="J1319" s="924" t="s">
        <v>956</v>
      </c>
      <c r="K1319" s="924" t="s">
        <v>957</v>
      </c>
      <c r="L1319" s="925">
        <v>0.103047348908149</v>
      </c>
      <c r="M1319" s="925">
        <v>8.1169065538233594E-5</v>
      </c>
    </row>
    <row r="1320" spans="1:13" ht="11.25" customHeight="1" x14ac:dyDescent="0.2">
      <c r="A1320" s="924" t="s">
        <v>853</v>
      </c>
      <c r="B1320" s="924" t="s">
        <v>793</v>
      </c>
      <c r="C1320" s="924" t="s">
        <v>1178</v>
      </c>
      <c r="D1320" s="924" t="s">
        <v>1163</v>
      </c>
      <c r="E1320" s="924" t="s">
        <v>856</v>
      </c>
      <c r="F1320" s="924" t="s">
        <v>1173</v>
      </c>
      <c r="G1320" s="924" t="s">
        <v>981</v>
      </c>
      <c r="H1320" s="924" t="s">
        <v>835</v>
      </c>
      <c r="I1320" s="924" t="s">
        <v>1040</v>
      </c>
      <c r="J1320" s="924" t="s">
        <v>863</v>
      </c>
      <c r="K1320" s="924" t="s">
        <v>1171</v>
      </c>
      <c r="L1320" s="925">
        <v>11.7631330490112</v>
      </c>
      <c r="M1320" s="925">
        <v>9.5525976357748697E-3</v>
      </c>
    </row>
    <row r="1321" spans="1:13" ht="11.25" customHeight="1" x14ac:dyDescent="0.2">
      <c r="A1321" s="924" t="s">
        <v>853</v>
      </c>
      <c r="B1321" s="924" t="s">
        <v>793</v>
      </c>
      <c r="C1321" s="924" t="s">
        <v>1178</v>
      </c>
      <c r="D1321" s="924" t="s">
        <v>1163</v>
      </c>
      <c r="E1321" s="924" t="s">
        <v>856</v>
      </c>
      <c r="F1321" s="924" t="s">
        <v>1127</v>
      </c>
      <c r="G1321" s="924" t="s">
        <v>911</v>
      </c>
      <c r="H1321" s="924" t="s">
        <v>665</v>
      </c>
      <c r="I1321" s="924" t="s">
        <v>706</v>
      </c>
      <c r="J1321" s="924" t="s">
        <v>884</v>
      </c>
      <c r="K1321" s="924" t="s">
        <v>885</v>
      </c>
      <c r="L1321" s="925">
        <v>7.3753137737512597</v>
      </c>
      <c r="M1321" s="925">
        <v>3.2048308439698299E-3</v>
      </c>
    </row>
    <row r="1322" spans="1:13" ht="11.25" customHeight="1" x14ac:dyDescent="0.2">
      <c r="A1322" s="924" t="s">
        <v>853</v>
      </c>
      <c r="B1322" s="924" t="s">
        <v>793</v>
      </c>
      <c r="C1322" s="924" t="s">
        <v>1178</v>
      </c>
      <c r="D1322" s="924" t="s">
        <v>1163</v>
      </c>
      <c r="E1322" s="924" t="s">
        <v>856</v>
      </c>
      <c r="F1322" s="924" t="s">
        <v>1128</v>
      </c>
      <c r="G1322" s="924" t="s">
        <v>911</v>
      </c>
      <c r="H1322" s="924" t="s">
        <v>665</v>
      </c>
      <c r="I1322" s="924" t="s">
        <v>706</v>
      </c>
      <c r="J1322" s="924" t="s">
        <v>859</v>
      </c>
      <c r="K1322" s="924" t="s">
        <v>913</v>
      </c>
      <c r="L1322" s="925">
        <v>1.97469200752676</v>
      </c>
      <c r="M1322" s="925">
        <v>2.1773547507564201E-4</v>
      </c>
    </row>
    <row r="1323" spans="1:13" ht="11.25" customHeight="1" x14ac:dyDescent="0.2">
      <c r="A1323" s="924" t="s">
        <v>853</v>
      </c>
      <c r="B1323" s="924" t="s">
        <v>793</v>
      </c>
      <c r="C1323" s="924" t="s">
        <v>1178</v>
      </c>
      <c r="D1323" s="924" t="s">
        <v>1163</v>
      </c>
      <c r="E1323" s="924" t="s">
        <v>856</v>
      </c>
      <c r="F1323" s="924" t="s">
        <v>1118</v>
      </c>
      <c r="G1323" s="924" t="s">
        <v>911</v>
      </c>
      <c r="H1323" s="924" t="s">
        <v>665</v>
      </c>
      <c r="I1323" s="924" t="s">
        <v>706</v>
      </c>
      <c r="J1323" s="924" t="s">
        <v>859</v>
      </c>
      <c r="K1323" s="924" t="s">
        <v>893</v>
      </c>
      <c r="L1323" s="925">
        <v>3.3484632521867801</v>
      </c>
      <c r="M1323" s="925">
        <v>1.6200308050429201E-4</v>
      </c>
    </row>
    <row r="1324" spans="1:13" ht="11.25" customHeight="1" x14ac:dyDescent="0.2">
      <c r="A1324" s="924" t="s">
        <v>853</v>
      </c>
      <c r="B1324" s="924" t="s">
        <v>793</v>
      </c>
      <c r="C1324" s="924" t="s">
        <v>1178</v>
      </c>
      <c r="D1324" s="924" t="s">
        <v>1163</v>
      </c>
      <c r="E1324" s="924" t="s">
        <v>856</v>
      </c>
      <c r="F1324" s="924" t="s">
        <v>1129</v>
      </c>
      <c r="G1324" s="924" t="s">
        <v>911</v>
      </c>
      <c r="H1324" s="924" t="s">
        <v>665</v>
      </c>
      <c r="I1324" s="924" t="s">
        <v>706</v>
      </c>
      <c r="J1324" s="924" t="s">
        <v>859</v>
      </c>
      <c r="K1324" s="924" t="s">
        <v>897</v>
      </c>
      <c r="L1324" s="925">
        <v>0.54533897573128298</v>
      </c>
      <c r="M1324" s="925">
        <v>1.98211688598349E-4</v>
      </c>
    </row>
    <row r="1325" spans="1:13" ht="11.25" customHeight="1" x14ac:dyDescent="0.2">
      <c r="A1325" s="924" t="s">
        <v>853</v>
      </c>
      <c r="B1325" s="924" t="s">
        <v>793</v>
      </c>
      <c r="C1325" s="924" t="s">
        <v>1178</v>
      </c>
      <c r="D1325" s="924" t="s">
        <v>1163</v>
      </c>
      <c r="E1325" s="924" t="s">
        <v>856</v>
      </c>
      <c r="F1325" s="924" t="s">
        <v>1133</v>
      </c>
      <c r="G1325" s="924" t="s">
        <v>911</v>
      </c>
      <c r="H1325" s="924" t="s">
        <v>665</v>
      </c>
      <c r="I1325" s="924" t="s">
        <v>706</v>
      </c>
      <c r="J1325" s="924" t="s">
        <v>859</v>
      </c>
      <c r="K1325" s="924" t="s">
        <v>899</v>
      </c>
      <c r="L1325" s="925">
        <v>0.33969410415738799</v>
      </c>
      <c r="M1325" s="925">
        <v>3.38424690546901E-5</v>
      </c>
    </row>
    <row r="1326" spans="1:13" ht="11.25" customHeight="1" x14ac:dyDescent="0.2">
      <c r="A1326" s="924" t="s">
        <v>853</v>
      </c>
      <c r="B1326" s="924" t="s">
        <v>793</v>
      </c>
      <c r="C1326" s="924" t="s">
        <v>1178</v>
      </c>
      <c r="D1326" s="924" t="s">
        <v>1163</v>
      </c>
      <c r="E1326" s="924" t="s">
        <v>856</v>
      </c>
      <c r="F1326" s="924" t="s">
        <v>1073</v>
      </c>
      <c r="G1326" s="924" t="s">
        <v>981</v>
      </c>
      <c r="H1326" s="924" t="s">
        <v>835</v>
      </c>
      <c r="I1326" s="924" t="s">
        <v>998</v>
      </c>
      <c r="J1326" s="924" t="s">
        <v>884</v>
      </c>
      <c r="K1326" s="924" t="s">
        <v>1046</v>
      </c>
      <c r="L1326" s="925">
        <v>85.588096857070894</v>
      </c>
      <c r="M1326" s="925">
        <v>0.144509856123477</v>
      </c>
    </row>
    <row r="1327" spans="1:13" ht="11.25" customHeight="1" x14ac:dyDescent="0.2">
      <c r="A1327" s="924" t="s">
        <v>853</v>
      </c>
      <c r="B1327" s="924" t="s">
        <v>793</v>
      </c>
      <c r="C1327" s="924" t="s">
        <v>1178</v>
      </c>
      <c r="D1327" s="924" t="s">
        <v>1163</v>
      </c>
      <c r="E1327" s="924" t="s">
        <v>856</v>
      </c>
      <c r="F1327" s="924" t="s">
        <v>1074</v>
      </c>
      <c r="G1327" s="924" t="s">
        <v>911</v>
      </c>
      <c r="H1327" s="924" t="s">
        <v>665</v>
      </c>
      <c r="I1327" s="924" t="s">
        <v>706</v>
      </c>
      <c r="J1327" s="924" t="s">
        <v>859</v>
      </c>
      <c r="K1327" s="924" t="s">
        <v>903</v>
      </c>
      <c r="L1327" s="925">
        <v>6.0985488519072497</v>
      </c>
      <c r="M1327" s="925">
        <v>6.8110294284906602E-4</v>
      </c>
    </row>
    <row r="1328" spans="1:13" ht="11.25" customHeight="1" x14ac:dyDescent="0.2">
      <c r="A1328" s="924" t="s">
        <v>853</v>
      </c>
      <c r="B1328" s="924" t="s">
        <v>793</v>
      </c>
      <c r="C1328" s="924" t="s">
        <v>1178</v>
      </c>
      <c r="D1328" s="924" t="s">
        <v>1163</v>
      </c>
      <c r="E1328" s="924" t="s">
        <v>856</v>
      </c>
      <c r="F1328" s="924" t="s">
        <v>1143</v>
      </c>
      <c r="G1328" s="924" t="s">
        <v>981</v>
      </c>
      <c r="H1328" s="924" t="s">
        <v>835</v>
      </c>
      <c r="I1328" s="924" t="s">
        <v>1040</v>
      </c>
      <c r="J1328" s="924" t="s">
        <v>940</v>
      </c>
      <c r="K1328" s="924" t="s">
        <v>1084</v>
      </c>
      <c r="L1328" s="925">
        <v>73.720430254936204</v>
      </c>
      <c r="M1328" s="925">
        <v>5.4013901622965897E-2</v>
      </c>
    </row>
    <row r="1329" spans="1:13" ht="11.25" customHeight="1" x14ac:dyDescent="0.2">
      <c r="A1329" s="924" t="s">
        <v>853</v>
      </c>
      <c r="B1329" s="924" t="s">
        <v>793</v>
      </c>
      <c r="C1329" s="924" t="s">
        <v>1178</v>
      </c>
      <c r="D1329" s="924" t="s">
        <v>1163</v>
      </c>
      <c r="E1329" s="924" t="s">
        <v>856</v>
      </c>
      <c r="F1329" s="924" t="s">
        <v>1135</v>
      </c>
      <c r="G1329" s="924" t="s">
        <v>981</v>
      </c>
      <c r="H1329" s="924" t="s">
        <v>835</v>
      </c>
      <c r="I1329" s="924" t="s">
        <v>1040</v>
      </c>
      <c r="J1329" s="924" t="s">
        <v>863</v>
      </c>
      <c r="K1329" s="924" t="s">
        <v>935</v>
      </c>
      <c r="L1329" s="925">
        <v>70.606719434261294</v>
      </c>
      <c r="M1329" s="925">
        <v>2.5568162818672101E-2</v>
      </c>
    </row>
    <row r="1330" spans="1:13" ht="11.25" customHeight="1" x14ac:dyDescent="0.2">
      <c r="A1330" s="924" t="s">
        <v>853</v>
      </c>
      <c r="B1330" s="924" t="s">
        <v>793</v>
      </c>
      <c r="C1330" s="924" t="s">
        <v>1178</v>
      </c>
      <c r="D1330" s="924" t="s">
        <v>1163</v>
      </c>
      <c r="E1330" s="924" t="s">
        <v>856</v>
      </c>
      <c r="F1330" s="924" t="s">
        <v>1121</v>
      </c>
      <c r="G1330" s="924" t="s">
        <v>981</v>
      </c>
      <c r="H1330" s="924" t="s">
        <v>835</v>
      </c>
      <c r="I1330" s="924" t="s">
        <v>1040</v>
      </c>
      <c r="J1330" s="924" t="s">
        <v>875</v>
      </c>
      <c r="K1330" s="924" t="s">
        <v>948</v>
      </c>
      <c r="L1330" s="925">
        <v>447.53149604797397</v>
      </c>
      <c r="M1330" s="925">
        <v>0.280976022362665</v>
      </c>
    </row>
    <row r="1331" spans="1:13" ht="11.25" customHeight="1" x14ac:dyDescent="0.2">
      <c r="A1331" s="924" t="s">
        <v>853</v>
      </c>
      <c r="B1331" s="924" t="s">
        <v>793</v>
      </c>
      <c r="C1331" s="924" t="s">
        <v>1178</v>
      </c>
      <c r="D1331" s="924" t="s">
        <v>1163</v>
      </c>
      <c r="E1331" s="924" t="s">
        <v>856</v>
      </c>
      <c r="F1331" s="924" t="s">
        <v>1107</v>
      </c>
      <c r="G1331" s="924" t="s">
        <v>981</v>
      </c>
      <c r="H1331" s="924" t="s">
        <v>835</v>
      </c>
      <c r="I1331" s="924" t="s">
        <v>1040</v>
      </c>
      <c r="J1331" s="924" t="s">
        <v>940</v>
      </c>
      <c r="K1331" s="924" t="s">
        <v>1034</v>
      </c>
      <c r="L1331" s="925">
        <v>268.79897570610001</v>
      </c>
      <c r="M1331" s="925">
        <v>0.19578523055059799</v>
      </c>
    </row>
    <row r="1332" spans="1:13" ht="11.25" customHeight="1" x14ac:dyDescent="0.2">
      <c r="A1332" s="924" t="s">
        <v>853</v>
      </c>
      <c r="B1332" s="924" t="s">
        <v>793</v>
      </c>
      <c r="C1332" s="924" t="s">
        <v>1178</v>
      </c>
      <c r="D1332" s="924" t="s">
        <v>1163</v>
      </c>
      <c r="E1332" s="924" t="s">
        <v>856</v>
      </c>
      <c r="F1332" s="924" t="s">
        <v>1136</v>
      </c>
      <c r="G1332" s="924" t="s">
        <v>981</v>
      </c>
      <c r="H1332" s="924" t="s">
        <v>835</v>
      </c>
      <c r="I1332" s="924" t="s">
        <v>1040</v>
      </c>
      <c r="J1332" s="924" t="s">
        <v>863</v>
      </c>
      <c r="K1332" s="924" t="s">
        <v>864</v>
      </c>
      <c r="L1332" s="925">
        <v>132.675096869469</v>
      </c>
      <c r="M1332" s="925">
        <v>9.9651410710066599E-2</v>
      </c>
    </row>
    <row r="1333" spans="1:13" ht="11.25" customHeight="1" x14ac:dyDescent="0.2">
      <c r="A1333" s="924" t="s">
        <v>853</v>
      </c>
      <c r="B1333" s="924" t="s">
        <v>793</v>
      </c>
      <c r="C1333" s="924" t="s">
        <v>1178</v>
      </c>
      <c r="D1333" s="924" t="s">
        <v>1163</v>
      </c>
      <c r="E1333" s="924" t="s">
        <v>856</v>
      </c>
      <c r="F1333" s="924" t="s">
        <v>1148</v>
      </c>
      <c r="G1333" s="924" t="s">
        <v>981</v>
      </c>
      <c r="H1333" s="924" t="s">
        <v>835</v>
      </c>
      <c r="I1333" s="924" t="s">
        <v>1040</v>
      </c>
      <c r="J1333" s="924" t="s">
        <v>863</v>
      </c>
      <c r="K1333" s="924" t="s">
        <v>915</v>
      </c>
      <c r="L1333" s="925">
        <v>6.0227731168270102</v>
      </c>
      <c r="M1333" s="925">
        <v>2.2586847444472399E-3</v>
      </c>
    </row>
    <row r="1334" spans="1:13" ht="11.25" customHeight="1" x14ac:dyDescent="0.2">
      <c r="A1334" s="924" t="s">
        <v>853</v>
      </c>
      <c r="B1334" s="924" t="s">
        <v>793</v>
      </c>
      <c r="C1334" s="924" t="s">
        <v>1178</v>
      </c>
      <c r="D1334" s="924" t="s">
        <v>1163</v>
      </c>
      <c r="E1334" s="924" t="s">
        <v>856</v>
      </c>
      <c r="F1334" s="924" t="s">
        <v>1137</v>
      </c>
      <c r="G1334" s="924" t="s">
        <v>981</v>
      </c>
      <c r="H1334" s="924" t="s">
        <v>835</v>
      </c>
      <c r="I1334" s="924" t="s">
        <v>1040</v>
      </c>
      <c r="J1334" s="924" t="s">
        <v>863</v>
      </c>
      <c r="K1334" s="924" t="s">
        <v>866</v>
      </c>
      <c r="L1334" s="925">
        <v>5.9721778482198697</v>
      </c>
      <c r="M1334" s="925">
        <v>4.0262432230520097E-3</v>
      </c>
    </row>
    <row r="1335" spans="1:13" ht="11.25" customHeight="1" x14ac:dyDescent="0.2">
      <c r="A1335" s="924" t="s">
        <v>853</v>
      </c>
      <c r="B1335" s="924" t="s">
        <v>793</v>
      </c>
      <c r="C1335" s="924" t="s">
        <v>1178</v>
      </c>
      <c r="D1335" s="924" t="s">
        <v>1163</v>
      </c>
      <c r="E1335" s="924" t="s">
        <v>856</v>
      </c>
      <c r="F1335" s="924" t="s">
        <v>1131</v>
      </c>
      <c r="G1335" s="924" t="s">
        <v>981</v>
      </c>
      <c r="H1335" s="924" t="s">
        <v>835</v>
      </c>
      <c r="I1335" s="924" t="s">
        <v>1040</v>
      </c>
      <c r="J1335" s="924" t="s">
        <v>863</v>
      </c>
      <c r="K1335" s="924" t="s">
        <v>868</v>
      </c>
      <c r="L1335" s="925">
        <v>29.034098923206301</v>
      </c>
      <c r="M1335" s="925">
        <v>2.0623523669200902E-3</v>
      </c>
    </row>
    <row r="1336" spans="1:13" ht="11.25" customHeight="1" x14ac:dyDescent="0.2">
      <c r="A1336" s="924" t="s">
        <v>853</v>
      </c>
      <c r="B1336" s="924" t="s">
        <v>793</v>
      </c>
      <c r="C1336" s="924" t="s">
        <v>1178</v>
      </c>
      <c r="D1336" s="924" t="s">
        <v>1163</v>
      </c>
      <c r="E1336" s="924" t="s">
        <v>856</v>
      </c>
      <c r="F1336" s="924" t="s">
        <v>1141</v>
      </c>
      <c r="G1336" s="924" t="s">
        <v>981</v>
      </c>
      <c r="H1336" s="924" t="s">
        <v>835</v>
      </c>
      <c r="I1336" s="924" t="s">
        <v>1040</v>
      </c>
      <c r="J1336" s="924" t="s">
        <v>940</v>
      </c>
      <c r="K1336" s="924" t="s">
        <v>1142</v>
      </c>
      <c r="L1336" s="925">
        <v>1568.86595439911</v>
      </c>
      <c r="M1336" s="925">
        <v>1.1594398464076201</v>
      </c>
    </row>
    <row r="1337" spans="1:13" ht="11.25" customHeight="1" x14ac:dyDescent="0.2">
      <c r="A1337" s="924" t="s">
        <v>853</v>
      </c>
      <c r="B1337" s="924" t="s">
        <v>793</v>
      </c>
      <c r="C1337" s="924" t="s">
        <v>1178</v>
      </c>
      <c r="D1337" s="924" t="s">
        <v>1163</v>
      </c>
      <c r="E1337" s="924" t="s">
        <v>856</v>
      </c>
      <c r="F1337" s="924" t="s">
        <v>1144</v>
      </c>
      <c r="G1337" s="924" t="s">
        <v>981</v>
      </c>
      <c r="H1337" s="924" t="s">
        <v>835</v>
      </c>
      <c r="I1337" s="924" t="s">
        <v>1040</v>
      </c>
      <c r="J1337" s="924" t="s">
        <v>940</v>
      </c>
      <c r="K1337" s="924" t="s">
        <v>1070</v>
      </c>
      <c r="L1337" s="925">
        <v>932.78200006484997</v>
      </c>
      <c r="M1337" s="925">
        <v>0.65074287890456595</v>
      </c>
    </row>
    <row r="1338" spans="1:13" ht="11.25" customHeight="1" x14ac:dyDescent="0.2">
      <c r="A1338" s="924" t="s">
        <v>853</v>
      </c>
      <c r="B1338" s="924" t="s">
        <v>793</v>
      </c>
      <c r="C1338" s="924" t="s">
        <v>1178</v>
      </c>
      <c r="D1338" s="924" t="s">
        <v>1163</v>
      </c>
      <c r="E1338" s="924" t="s">
        <v>856</v>
      </c>
      <c r="F1338" s="924" t="s">
        <v>1149</v>
      </c>
      <c r="G1338" s="924" t="s">
        <v>981</v>
      </c>
      <c r="H1338" s="924" t="s">
        <v>835</v>
      </c>
      <c r="I1338" s="924" t="s">
        <v>1040</v>
      </c>
      <c r="J1338" s="924" t="s">
        <v>940</v>
      </c>
      <c r="K1338" s="924" t="s">
        <v>1091</v>
      </c>
      <c r="L1338" s="925">
        <v>4.7507543712854403</v>
      </c>
      <c r="M1338" s="925">
        <v>3.3236358103749799E-3</v>
      </c>
    </row>
    <row r="1339" spans="1:13" ht="11.25" customHeight="1" x14ac:dyDescent="0.2">
      <c r="A1339" s="924" t="s">
        <v>853</v>
      </c>
      <c r="B1339" s="924" t="s">
        <v>793</v>
      </c>
      <c r="C1339" s="924" t="s">
        <v>1178</v>
      </c>
      <c r="D1339" s="924" t="s">
        <v>1163</v>
      </c>
      <c r="E1339" s="924" t="s">
        <v>856</v>
      </c>
      <c r="F1339" s="924" t="s">
        <v>1160</v>
      </c>
      <c r="G1339" s="924" t="s">
        <v>981</v>
      </c>
      <c r="H1339" s="924" t="s">
        <v>835</v>
      </c>
      <c r="I1339" s="924" t="s">
        <v>1040</v>
      </c>
      <c r="J1339" s="924" t="s">
        <v>940</v>
      </c>
      <c r="K1339" s="924" t="s">
        <v>1093</v>
      </c>
      <c r="L1339" s="925">
        <v>36.339822322130203</v>
      </c>
      <c r="M1339" s="925">
        <v>2.5679481557745E-2</v>
      </c>
    </row>
    <row r="1340" spans="1:13" ht="11.25" customHeight="1" x14ac:dyDescent="0.2">
      <c r="A1340" s="924" t="s">
        <v>853</v>
      </c>
      <c r="B1340" s="924" t="s">
        <v>793</v>
      </c>
      <c r="C1340" s="924" t="s">
        <v>1178</v>
      </c>
      <c r="D1340" s="924" t="s">
        <v>1163</v>
      </c>
      <c r="E1340" s="924" t="s">
        <v>856</v>
      </c>
      <c r="F1340" s="924" t="s">
        <v>1159</v>
      </c>
      <c r="G1340" s="924" t="s">
        <v>981</v>
      </c>
      <c r="H1340" s="924" t="s">
        <v>835</v>
      </c>
      <c r="I1340" s="924" t="s">
        <v>1040</v>
      </c>
      <c r="J1340" s="924" t="s">
        <v>940</v>
      </c>
      <c r="K1340" s="924" t="s">
        <v>1095</v>
      </c>
      <c r="L1340" s="925">
        <v>9.0630420148372703</v>
      </c>
      <c r="M1340" s="925">
        <v>6.3416114026040296E-3</v>
      </c>
    </row>
    <row r="1341" spans="1:13" ht="11.25" customHeight="1" x14ac:dyDescent="0.2">
      <c r="A1341" s="924" t="s">
        <v>853</v>
      </c>
      <c r="B1341" s="924" t="s">
        <v>793</v>
      </c>
      <c r="C1341" s="924" t="s">
        <v>1178</v>
      </c>
      <c r="D1341" s="924" t="s">
        <v>1163</v>
      </c>
      <c r="E1341" s="924" t="s">
        <v>856</v>
      </c>
      <c r="F1341" s="924" t="s">
        <v>1132</v>
      </c>
      <c r="G1341" s="924" t="s">
        <v>981</v>
      </c>
      <c r="H1341" s="924" t="s">
        <v>835</v>
      </c>
      <c r="I1341" s="924" t="s">
        <v>1040</v>
      </c>
      <c r="J1341" s="924" t="s">
        <v>940</v>
      </c>
      <c r="K1341" s="924" t="s">
        <v>941</v>
      </c>
      <c r="L1341" s="925">
        <v>452.02603220939602</v>
      </c>
      <c r="M1341" s="925">
        <v>0.19768684293376301</v>
      </c>
    </row>
    <row r="1342" spans="1:13" ht="11.25" customHeight="1" x14ac:dyDescent="0.2">
      <c r="A1342" s="924" t="s">
        <v>853</v>
      </c>
      <c r="B1342" s="924" t="s">
        <v>793</v>
      </c>
      <c r="C1342" s="924" t="s">
        <v>1178</v>
      </c>
      <c r="D1342" s="924" t="s">
        <v>1163</v>
      </c>
      <c r="E1342" s="924" t="s">
        <v>856</v>
      </c>
      <c r="F1342" s="924" t="s">
        <v>1105</v>
      </c>
      <c r="G1342" s="924" t="s">
        <v>981</v>
      </c>
      <c r="H1342" s="924" t="s">
        <v>835</v>
      </c>
      <c r="I1342" s="924" t="s">
        <v>1040</v>
      </c>
      <c r="J1342" s="924" t="s">
        <v>940</v>
      </c>
      <c r="K1342" s="924" t="s">
        <v>1106</v>
      </c>
      <c r="L1342" s="925">
        <v>82.556791961193099</v>
      </c>
      <c r="M1342" s="925">
        <v>6.0607255166729601E-2</v>
      </c>
    </row>
    <row r="1343" spans="1:13" ht="11.25" customHeight="1" x14ac:dyDescent="0.2">
      <c r="A1343" s="924" t="s">
        <v>853</v>
      </c>
      <c r="B1343" s="924" t="s">
        <v>793</v>
      </c>
      <c r="C1343" s="924" t="s">
        <v>1178</v>
      </c>
      <c r="D1343" s="924" t="s">
        <v>1163</v>
      </c>
      <c r="E1343" s="924" t="s">
        <v>856</v>
      </c>
      <c r="F1343" s="924" t="s">
        <v>1139</v>
      </c>
      <c r="G1343" s="924" t="s">
        <v>981</v>
      </c>
      <c r="H1343" s="924" t="s">
        <v>835</v>
      </c>
      <c r="I1343" s="924" t="s">
        <v>1040</v>
      </c>
      <c r="J1343" s="924" t="s">
        <v>940</v>
      </c>
      <c r="K1343" s="924" t="s">
        <v>1140</v>
      </c>
      <c r="L1343" s="925">
        <v>856.69738912582397</v>
      </c>
      <c r="M1343" s="925">
        <v>0.62869292476078398</v>
      </c>
    </row>
    <row r="1344" spans="1:13" ht="11.25" customHeight="1" x14ac:dyDescent="0.2">
      <c r="A1344" s="924" t="s">
        <v>853</v>
      </c>
      <c r="B1344" s="924" t="s">
        <v>793</v>
      </c>
      <c r="C1344" s="924" t="s">
        <v>1178</v>
      </c>
      <c r="D1344" s="924" t="s">
        <v>1163</v>
      </c>
      <c r="E1344" s="924" t="s">
        <v>856</v>
      </c>
      <c r="F1344" s="924" t="s">
        <v>1116</v>
      </c>
      <c r="G1344" s="924" t="s">
        <v>981</v>
      </c>
      <c r="H1344" s="924" t="s">
        <v>835</v>
      </c>
      <c r="I1344" s="924" t="s">
        <v>1040</v>
      </c>
      <c r="J1344" s="924" t="s">
        <v>940</v>
      </c>
      <c r="K1344" s="924" t="s">
        <v>1032</v>
      </c>
      <c r="L1344" s="925">
        <v>8744.4542694091797</v>
      </c>
      <c r="M1344" s="925">
        <v>5.5209157615900004</v>
      </c>
    </row>
    <row r="1345" spans="1:13" ht="11.25" customHeight="1" x14ac:dyDescent="0.2">
      <c r="A1345" s="924" t="s">
        <v>853</v>
      </c>
      <c r="B1345" s="924" t="s">
        <v>793</v>
      </c>
      <c r="C1345" s="924" t="s">
        <v>1178</v>
      </c>
      <c r="D1345" s="924" t="s">
        <v>1163</v>
      </c>
      <c r="E1345" s="924" t="s">
        <v>856</v>
      </c>
      <c r="F1345" s="924" t="s">
        <v>1158</v>
      </c>
      <c r="G1345" s="924" t="s">
        <v>981</v>
      </c>
      <c r="H1345" s="924" t="s">
        <v>835</v>
      </c>
      <c r="I1345" s="924" t="s">
        <v>1040</v>
      </c>
      <c r="J1345" s="924" t="s">
        <v>940</v>
      </c>
      <c r="K1345" s="924" t="s">
        <v>1023</v>
      </c>
      <c r="L1345" s="925">
        <v>1488.95219659805</v>
      </c>
      <c r="M1345" s="925">
        <v>0.85715268696094404</v>
      </c>
    </row>
    <row r="1346" spans="1:13" ht="11.25" customHeight="1" x14ac:dyDescent="0.2">
      <c r="A1346" s="924" t="s">
        <v>853</v>
      </c>
      <c r="B1346" s="924" t="s">
        <v>793</v>
      </c>
      <c r="C1346" s="924" t="s">
        <v>1178</v>
      </c>
      <c r="D1346" s="924" t="s">
        <v>1163</v>
      </c>
      <c r="E1346" s="924" t="s">
        <v>856</v>
      </c>
      <c r="F1346" s="924" t="s">
        <v>1145</v>
      </c>
      <c r="G1346" s="924" t="s">
        <v>981</v>
      </c>
      <c r="H1346" s="924" t="s">
        <v>835</v>
      </c>
      <c r="I1346" s="924" t="s">
        <v>1040</v>
      </c>
      <c r="J1346" s="924" t="s">
        <v>940</v>
      </c>
      <c r="K1346" s="924" t="s">
        <v>1029</v>
      </c>
      <c r="L1346" s="925">
        <v>2708.9524917602498</v>
      </c>
      <c r="M1346" s="925">
        <v>1.78382391110063</v>
      </c>
    </row>
    <row r="1347" spans="1:13" ht="11.25" customHeight="1" x14ac:dyDescent="0.2">
      <c r="A1347" s="924" t="s">
        <v>853</v>
      </c>
      <c r="B1347" s="924" t="s">
        <v>793</v>
      </c>
      <c r="C1347" s="924" t="s">
        <v>1178</v>
      </c>
      <c r="D1347" s="924" t="s">
        <v>1163</v>
      </c>
      <c r="E1347" s="924" t="s">
        <v>856</v>
      </c>
      <c r="F1347" s="924" t="s">
        <v>1146</v>
      </c>
      <c r="G1347" s="924" t="s">
        <v>981</v>
      </c>
      <c r="H1347" s="924" t="s">
        <v>835</v>
      </c>
      <c r="I1347" s="924" t="s">
        <v>1040</v>
      </c>
      <c r="J1347" s="924" t="s">
        <v>940</v>
      </c>
      <c r="K1347" s="924" t="s">
        <v>1147</v>
      </c>
      <c r="L1347" s="925">
        <v>2322.26489639282</v>
      </c>
      <c r="M1347" s="925">
        <v>1.49711905606091</v>
      </c>
    </row>
    <row r="1348" spans="1:13" ht="11.25" customHeight="1" x14ac:dyDescent="0.2">
      <c r="A1348" s="924" t="s">
        <v>853</v>
      </c>
      <c r="B1348" s="924" t="s">
        <v>793</v>
      </c>
      <c r="C1348" s="924" t="s">
        <v>1178</v>
      </c>
      <c r="D1348" s="924" t="s">
        <v>1163</v>
      </c>
      <c r="E1348" s="924" t="s">
        <v>856</v>
      </c>
      <c r="F1348" s="924" t="s">
        <v>1150</v>
      </c>
      <c r="G1348" s="924" t="s">
        <v>981</v>
      </c>
      <c r="H1348" s="924" t="s">
        <v>835</v>
      </c>
      <c r="I1348" s="924" t="s">
        <v>1040</v>
      </c>
      <c r="J1348" s="924" t="s">
        <v>940</v>
      </c>
      <c r="K1348" s="924" t="s">
        <v>1151</v>
      </c>
      <c r="L1348" s="925">
        <v>107.452453106642</v>
      </c>
      <c r="M1348" s="925">
        <v>7.5769781280541806E-2</v>
      </c>
    </row>
    <row r="1349" spans="1:13" ht="11.25" customHeight="1" x14ac:dyDescent="0.2">
      <c r="A1349" s="924" t="s">
        <v>853</v>
      </c>
      <c r="B1349" s="924" t="s">
        <v>793</v>
      </c>
      <c r="C1349" s="924" t="s">
        <v>1178</v>
      </c>
      <c r="D1349" s="924" t="s">
        <v>1163</v>
      </c>
      <c r="E1349" s="924" t="s">
        <v>856</v>
      </c>
      <c r="F1349" s="924" t="s">
        <v>1152</v>
      </c>
      <c r="G1349" s="924" t="s">
        <v>981</v>
      </c>
      <c r="H1349" s="924" t="s">
        <v>835</v>
      </c>
      <c r="I1349" s="924" t="s">
        <v>1040</v>
      </c>
      <c r="J1349" s="924" t="s">
        <v>940</v>
      </c>
      <c r="K1349" s="924" t="s">
        <v>1153</v>
      </c>
      <c r="L1349" s="925">
        <v>199.33369016647299</v>
      </c>
      <c r="M1349" s="925">
        <v>0.13128712959587599</v>
      </c>
    </row>
    <row r="1350" spans="1:13" ht="11.25" customHeight="1" x14ac:dyDescent="0.2">
      <c r="A1350" s="924" t="s">
        <v>853</v>
      </c>
      <c r="B1350" s="924" t="s">
        <v>793</v>
      </c>
      <c r="C1350" s="924" t="s">
        <v>1178</v>
      </c>
      <c r="D1350" s="924" t="s">
        <v>1163</v>
      </c>
      <c r="E1350" s="924" t="s">
        <v>856</v>
      </c>
      <c r="F1350" s="924" t="s">
        <v>1154</v>
      </c>
      <c r="G1350" s="924" t="s">
        <v>981</v>
      </c>
      <c r="H1350" s="924" t="s">
        <v>835</v>
      </c>
      <c r="I1350" s="924" t="s">
        <v>1040</v>
      </c>
      <c r="J1350" s="924" t="s">
        <v>940</v>
      </c>
      <c r="K1350" s="924" t="s">
        <v>1155</v>
      </c>
      <c r="L1350" s="925">
        <v>173.23646068573001</v>
      </c>
      <c r="M1350" s="925">
        <v>0.11187606082116699</v>
      </c>
    </row>
    <row r="1351" spans="1:13" ht="11.25" customHeight="1" x14ac:dyDescent="0.2">
      <c r="A1351" s="924" t="s">
        <v>853</v>
      </c>
      <c r="B1351" s="924" t="s">
        <v>793</v>
      </c>
      <c r="C1351" s="924" t="s">
        <v>1178</v>
      </c>
      <c r="D1351" s="924" t="s">
        <v>1163</v>
      </c>
      <c r="E1351" s="924" t="s">
        <v>856</v>
      </c>
      <c r="F1351" s="924" t="s">
        <v>1156</v>
      </c>
      <c r="G1351" s="924" t="s">
        <v>981</v>
      </c>
      <c r="H1351" s="924" t="s">
        <v>835</v>
      </c>
      <c r="I1351" s="924" t="s">
        <v>1040</v>
      </c>
      <c r="J1351" s="924" t="s">
        <v>940</v>
      </c>
      <c r="K1351" s="924" t="s">
        <v>1025</v>
      </c>
      <c r="L1351" s="925">
        <v>596.55708312988304</v>
      </c>
      <c r="M1351" s="925">
        <v>1.12557404534891</v>
      </c>
    </row>
    <row r="1352" spans="1:13" ht="11.25" customHeight="1" x14ac:dyDescent="0.2">
      <c r="A1352" s="924" t="s">
        <v>853</v>
      </c>
      <c r="B1352" s="924" t="s">
        <v>793</v>
      </c>
      <c r="C1352" s="924" t="s">
        <v>1178</v>
      </c>
      <c r="D1352" s="924" t="s">
        <v>1163</v>
      </c>
      <c r="E1352" s="924" t="s">
        <v>856</v>
      </c>
      <c r="F1352" s="924" t="s">
        <v>1157</v>
      </c>
      <c r="G1352" s="924" t="s">
        <v>981</v>
      </c>
      <c r="H1352" s="924" t="s">
        <v>835</v>
      </c>
      <c r="I1352" s="924" t="s">
        <v>1040</v>
      </c>
      <c r="J1352" s="924" t="s">
        <v>940</v>
      </c>
      <c r="K1352" s="924" t="s">
        <v>1098</v>
      </c>
      <c r="L1352" s="925">
        <v>97.588108062744098</v>
      </c>
      <c r="M1352" s="925">
        <v>0.18436815240420401</v>
      </c>
    </row>
    <row r="1353" spans="1:13" ht="11.25" customHeight="1" x14ac:dyDescent="0.2">
      <c r="A1353" s="924" t="s">
        <v>853</v>
      </c>
      <c r="B1353" s="924" t="s">
        <v>793</v>
      </c>
      <c r="C1353" s="924" t="s">
        <v>1178</v>
      </c>
      <c r="D1353" s="924" t="s">
        <v>1163</v>
      </c>
      <c r="E1353" s="924" t="s">
        <v>856</v>
      </c>
      <c r="F1353" s="924" t="s">
        <v>1161</v>
      </c>
      <c r="G1353" s="924" t="s">
        <v>981</v>
      </c>
      <c r="H1353" s="924" t="s">
        <v>835</v>
      </c>
      <c r="I1353" s="924" t="s">
        <v>1040</v>
      </c>
      <c r="J1353" s="924" t="s">
        <v>940</v>
      </c>
      <c r="K1353" s="924" t="s">
        <v>1027</v>
      </c>
      <c r="L1353" s="925">
        <v>225.16203933954199</v>
      </c>
      <c r="M1353" s="925">
        <v>0.15588671193040701</v>
      </c>
    </row>
    <row r="1354" spans="1:13" ht="11.25" customHeight="1" x14ac:dyDescent="0.2">
      <c r="A1354" s="924" t="s">
        <v>853</v>
      </c>
      <c r="B1354" s="924" t="s">
        <v>794</v>
      </c>
      <c r="C1354" s="924" t="s">
        <v>1179</v>
      </c>
      <c r="D1354" s="924" t="s">
        <v>1180</v>
      </c>
      <c r="E1354" s="924" t="s">
        <v>856</v>
      </c>
      <c r="F1354" s="924" t="s">
        <v>937</v>
      </c>
      <c r="G1354" s="924" t="s">
        <v>862</v>
      </c>
      <c r="H1354" s="924" t="s">
        <v>665</v>
      </c>
      <c r="I1354" s="924" t="s">
        <v>787</v>
      </c>
      <c r="J1354" s="924" t="s">
        <v>863</v>
      </c>
      <c r="K1354" s="924" t="s">
        <v>933</v>
      </c>
      <c r="L1354" s="925">
        <v>262.359814405441</v>
      </c>
      <c r="M1354" s="925">
        <v>1.11749106645584</v>
      </c>
    </row>
    <row r="1355" spans="1:13" ht="11.25" customHeight="1" x14ac:dyDescent="0.2">
      <c r="A1355" s="924" t="s">
        <v>853</v>
      </c>
      <c r="B1355" s="924" t="s">
        <v>794</v>
      </c>
      <c r="C1355" s="924" t="s">
        <v>1179</v>
      </c>
      <c r="D1355" s="924" t="s">
        <v>1180</v>
      </c>
      <c r="E1355" s="924" t="s">
        <v>856</v>
      </c>
      <c r="F1355" s="924" t="s">
        <v>874</v>
      </c>
      <c r="G1355" s="924" t="s">
        <v>862</v>
      </c>
      <c r="H1355" s="924" t="s">
        <v>665</v>
      </c>
      <c r="I1355" s="924" t="s">
        <v>787</v>
      </c>
      <c r="J1355" s="924" t="s">
        <v>875</v>
      </c>
      <c r="K1355" s="924" t="s">
        <v>876</v>
      </c>
      <c r="L1355" s="925">
        <v>17.328567802906001</v>
      </c>
      <c r="M1355" s="925">
        <v>0.52711143624037504</v>
      </c>
    </row>
    <row r="1356" spans="1:13" ht="11.25" customHeight="1" x14ac:dyDescent="0.2">
      <c r="A1356" s="924" t="s">
        <v>853</v>
      </c>
      <c r="B1356" s="924" t="s">
        <v>794</v>
      </c>
      <c r="C1356" s="924" t="s">
        <v>1179</v>
      </c>
      <c r="D1356" s="924" t="s">
        <v>1180</v>
      </c>
      <c r="E1356" s="924" t="s">
        <v>856</v>
      </c>
      <c r="F1356" s="924" t="s">
        <v>872</v>
      </c>
      <c r="G1356" s="924" t="s">
        <v>862</v>
      </c>
      <c r="H1356" s="924" t="s">
        <v>665</v>
      </c>
      <c r="I1356" s="924" t="s">
        <v>787</v>
      </c>
      <c r="J1356" s="924" t="s">
        <v>870</v>
      </c>
      <c r="K1356" s="924" t="s">
        <v>873</v>
      </c>
      <c r="L1356" s="925">
        <v>6.6061203069984904</v>
      </c>
      <c r="M1356" s="925">
        <v>2.6589720589981901E-2</v>
      </c>
    </row>
    <row r="1357" spans="1:13" ht="11.25" customHeight="1" x14ac:dyDescent="0.2">
      <c r="A1357" s="924" t="s">
        <v>853</v>
      </c>
      <c r="B1357" s="924" t="s">
        <v>794</v>
      </c>
      <c r="C1357" s="924" t="s">
        <v>1179</v>
      </c>
      <c r="D1357" s="924" t="s">
        <v>1180</v>
      </c>
      <c r="E1357" s="924" t="s">
        <v>856</v>
      </c>
      <c r="F1357" s="924" t="s">
        <v>869</v>
      </c>
      <c r="G1357" s="924" t="s">
        <v>862</v>
      </c>
      <c r="H1357" s="924" t="s">
        <v>665</v>
      </c>
      <c r="I1357" s="924" t="s">
        <v>787</v>
      </c>
      <c r="J1357" s="924" t="s">
        <v>870</v>
      </c>
      <c r="K1357" s="924" t="s">
        <v>871</v>
      </c>
      <c r="L1357" s="925">
        <v>6.0055749650928199E-2</v>
      </c>
      <c r="M1357" s="925">
        <v>3.44585141328935E-3</v>
      </c>
    </row>
    <row r="1358" spans="1:13" ht="11.25" customHeight="1" x14ac:dyDescent="0.2">
      <c r="A1358" s="924" t="s">
        <v>853</v>
      </c>
      <c r="B1358" s="924" t="s">
        <v>794</v>
      </c>
      <c r="C1358" s="924" t="s">
        <v>1179</v>
      </c>
      <c r="D1358" s="924" t="s">
        <v>1180</v>
      </c>
      <c r="E1358" s="924" t="s">
        <v>856</v>
      </c>
      <c r="F1358" s="924" t="s">
        <v>867</v>
      </c>
      <c r="G1358" s="924" t="s">
        <v>862</v>
      </c>
      <c r="H1358" s="924" t="s">
        <v>665</v>
      </c>
      <c r="I1358" s="924" t="s">
        <v>787</v>
      </c>
      <c r="J1358" s="924" t="s">
        <v>863</v>
      </c>
      <c r="K1358" s="924" t="s">
        <v>868</v>
      </c>
      <c r="L1358" s="925">
        <v>1.4816502612084199</v>
      </c>
      <c r="M1358" s="925">
        <v>6.0620484437095001E-3</v>
      </c>
    </row>
    <row r="1359" spans="1:13" ht="11.25" customHeight="1" x14ac:dyDescent="0.2">
      <c r="A1359" s="924" t="s">
        <v>853</v>
      </c>
      <c r="B1359" s="924" t="s">
        <v>794</v>
      </c>
      <c r="C1359" s="924" t="s">
        <v>1179</v>
      </c>
      <c r="D1359" s="924" t="s">
        <v>1180</v>
      </c>
      <c r="E1359" s="924" t="s">
        <v>856</v>
      </c>
      <c r="F1359" s="924" t="s">
        <v>865</v>
      </c>
      <c r="G1359" s="924" t="s">
        <v>862</v>
      </c>
      <c r="H1359" s="924" t="s">
        <v>665</v>
      </c>
      <c r="I1359" s="924" t="s">
        <v>787</v>
      </c>
      <c r="J1359" s="924" t="s">
        <v>863</v>
      </c>
      <c r="K1359" s="924" t="s">
        <v>866</v>
      </c>
      <c r="L1359" s="925">
        <v>0.69751597009599198</v>
      </c>
      <c r="M1359" s="925">
        <v>3.3652224492470898E-3</v>
      </c>
    </row>
    <row r="1360" spans="1:13" ht="11.25" customHeight="1" x14ac:dyDescent="0.2">
      <c r="A1360" s="924" t="s">
        <v>853</v>
      </c>
      <c r="B1360" s="924" t="s">
        <v>794</v>
      </c>
      <c r="C1360" s="924" t="s">
        <v>1179</v>
      </c>
      <c r="D1360" s="924" t="s">
        <v>1180</v>
      </c>
      <c r="E1360" s="924" t="s">
        <v>856</v>
      </c>
      <c r="F1360" s="924" t="s">
        <v>890</v>
      </c>
      <c r="G1360" s="924" t="s">
        <v>862</v>
      </c>
      <c r="H1360" s="924" t="s">
        <v>665</v>
      </c>
      <c r="I1360" s="924" t="s">
        <v>787</v>
      </c>
      <c r="J1360" s="924" t="s">
        <v>859</v>
      </c>
      <c r="K1360" s="924" t="s">
        <v>891</v>
      </c>
      <c r="L1360" s="925">
        <v>0.102756849024445</v>
      </c>
      <c r="M1360" s="925">
        <v>3.6578355038727802E-3</v>
      </c>
    </row>
    <row r="1361" spans="1:13" ht="11.25" customHeight="1" x14ac:dyDescent="0.2">
      <c r="A1361" s="924" t="s">
        <v>853</v>
      </c>
      <c r="B1361" s="924" t="s">
        <v>794</v>
      </c>
      <c r="C1361" s="924" t="s">
        <v>1179</v>
      </c>
      <c r="D1361" s="924" t="s">
        <v>1180</v>
      </c>
      <c r="E1361" s="924" t="s">
        <v>856</v>
      </c>
      <c r="F1361" s="924" t="s">
        <v>934</v>
      </c>
      <c r="G1361" s="924" t="s">
        <v>862</v>
      </c>
      <c r="H1361" s="924" t="s">
        <v>665</v>
      </c>
      <c r="I1361" s="924" t="s">
        <v>787</v>
      </c>
      <c r="J1361" s="924" t="s">
        <v>863</v>
      </c>
      <c r="K1361" s="924" t="s">
        <v>935</v>
      </c>
      <c r="L1361" s="925">
        <v>0.22229800024069801</v>
      </c>
      <c r="M1361" s="925">
        <v>9.3446399932872704E-4</v>
      </c>
    </row>
    <row r="1362" spans="1:13" ht="11.25" customHeight="1" x14ac:dyDescent="0.2">
      <c r="A1362" s="924" t="s">
        <v>853</v>
      </c>
      <c r="B1362" s="924" t="s">
        <v>794</v>
      </c>
      <c r="C1362" s="924" t="s">
        <v>1179</v>
      </c>
      <c r="D1362" s="924" t="s">
        <v>1180</v>
      </c>
      <c r="E1362" s="924" t="s">
        <v>856</v>
      </c>
      <c r="F1362" s="924" t="s">
        <v>902</v>
      </c>
      <c r="G1362" s="924" t="s">
        <v>858</v>
      </c>
      <c r="H1362" s="924" t="s">
        <v>836</v>
      </c>
      <c r="I1362" s="924" t="s">
        <v>837</v>
      </c>
      <c r="J1362" s="924" t="s">
        <v>859</v>
      </c>
      <c r="K1362" s="924" t="s">
        <v>903</v>
      </c>
      <c r="L1362" s="925">
        <v>250.03656005859401</v>
      </c>
      <c r="M1362" s="925">
        <v>4.3465888065838997E-3</v>
      </c>
    </row>
    <row r="1363" spans="1:13" ht="11.25" customHeight="1" x14ac:dyDescent="0.2">
      <c r="A1363" s="924" t="s">
        <v>853</v>
      </c>
      <c r="B1363" s="924" t="s">
        <v>794</v>
      </c>
      <c r="C1363" s="924" t="s">
        <v>1179</v>
      </c>
      <c r="D1363" s="924" t="s">
        <v>1180</v>
      </c>
      <c r="E1363" s="924" t="s">
        <v>856</v>
      </c>
      <c r="F1363" s="924" t="s">
        <v>877</v>
      </c>
      <c r="G1363" s="924" t="s">
        <v>862</v>
      </c>
      <c r="H1363" s="924" t="s">
        <v>665</v>
      </c>
      <c r="I1363" s="924" t="s">
        <v>787</v>
      </c>
      <c r="J1363" s="924" t="s">
        <v>875</v>
      </c>
      <c r="K1363" s="924" t="s">
        <v>878</v>
      </c>
      <c r="L1363" s="925">
        <v>0.82889630552381299</v>
      </c>
      <c r="M1363" s="925">
        <v>1.35795674650581E-2</v>
      </c>
    </row>
    <row r="1364" spans="1:13" ht="11.25" customHeight="1" x14ac:dyDescent="0.2">
      <c r="A1364" s="924" t="s">
        <v>853</v>
      </c>
      <c r="B1364" s="924" t="s">
        <v>794</v>
      </c>
      <c r="C1364" s="924" t="s">
        <v>1179</v>
      </c>
      <c r="D1364" s="924" t="s">
        <v>1180</v>
      </c>
      <c r="E1364" s="924" t="s">
        <v>856</v>
      </c>
      <c r="F1364" s="924" t="s">
        <v>861</v>
      </c>
      <c r="G1364" s="924" t="s">
        <v>862</v>
      </c>
      <c r="H1364" s="924" t="s">
        <v>665</v>
      </c>
      <c r="I1364" s="924" t="s">
        <v>787</v>
      </c>
      <c r="J1364" s="924" t="s">
        <v>863</v>
      </c>
      <c r="K1364" s="924" t="s">
        <v>864</v>
      </c>
      <c r="L1364" s="925">
        <v>0.121147418976761</v>
      </c>
      <c r="M1364" s="925">
        <v>4.9777146932683503E-4</v>
      </c>
    </row>
    <row r="1365" spans="1:13" ht="11.25" customHeight="1" x14ac:dyDescent="0.2">
      <c r="A1365" s="924" t="s">
        <v>853</v>
      </c>
      <c r="B1365" s="924" t="s">
        <v>794</v>
      </c>
      <c r="C1365" s="924" t="s">
        <v>1179</v>
      </c>
      <c r="D1365" s="924" t="s">
        <v>1180</v>
      </c>
      <c r="E1365" s="924" t="s">
        <v>856</v>
      </c>
      <c r="F1365" s="924" t="s">
        <v>879</v>
      </c>
      <c r="G1365" s="924" t="s">
        <v>862</v>
      </c>
      <c r="H1365" s="924" t="s">
        <v>665</v>
      </c>
      <c r="I1365" s="924" t="s">
        <v>787</v>
      </c>
      <c r="J1365" s="924" t="s">
        <v>875</v>
      </c>
      <c r="K1365" s="924" t="s">
        <v>880</v>
      </c>
      <c r="L1365" s="925">
        <v>1.22258694283664</v>
      </c>
      <c r="M1365" s="925">
        <v>6.8780407141275602E-3</v>
      </c>
    </row>
    <row r="1366" spans="1:13" ht="11.25" customHeight="1" x14ac:dyDescent="0.2">
      <c r="A1366" s="924" t="s">
        <v>853</v>
      </c>
      <c r="B1366" s="924" t="s">
        <v>794</v>
      </c>
      <c r="C1366" s="924" t="s">
        <v>1179</v>
      </c>
      <c r="D1366" s="924" t="s">
        <v>1180</v>
      </c>
      <c r="E1366" s="924" t="s">
        <v>856</v>
      </c>
      <c r="F1366" s="924" t="s">
        <v>881</v>
      </c>
      <c r="G1366" s="924" t="s">
        <v>862</v>
      </c>
      <c r="H1366" s="924" t="s">
        <v>665</v>
      </c>
      <c r="I1366" s="924" t="s">
        <v>787</v>
      </c>
      <c r="J1366" s="924" t="s">
        <v>875</v>
      </c>
      <c r="K1366" s="924" t="s">
        <v>882</v>
      </c>
      <c r="L1366" s="925">
        <v>43.512524485588102</v>
      </c>
      <c r="M1366" s="925">
        <v>0.20792959746904699</v>
      </c>
    </row>
    <row r="1367" spans="1:13" ht="11.25" customHeight="1" x14ac:dyDescent="0.2">
      <c r="A1367" s="924" t="s">
        <v>853</v>
      </c>
      <c r="B1367" s="924" t="s">
        <v>794</v>
      </c>
      <c r="C1367" s="924" t="s">
        <v>1179</v>
      </c>
      <c r="D1367" s="924" t="s">
        <v>1180</v>
      </c>
      <c r="E1367" s="924" t="s">
        <v>856</v>
      </c>
      <c r="F1367" s="924" t="s">
        <v>883</v>
      </c>
      <c r="G1367" s="924" t="s">
        <v>858</v>
      </c>
      <c r="H1367" s="924" t="s">
        <v>836</v>
      </c>
      <c r="I1367" s="924" t="s">
        <v>837</v>
      </c>
      <c r="J1367" s="924" t="s">
        <v>884</v>
      </c>
      <c r="K1367" s="924" t="s">
        <v>885</v>
      </c>
      <c r="L1367" s="925">
        <v>315.09706306457502</v>
      </c>
      <c r="M1367" s="925">
        <v>1.20856643973184E-2</v>
      </c>
    </row>
    <row r="1368" spans="1:13" ht="11.25" customHeight="1" x14ac:dyDescent="0.2">
      <c r="A1368" s="924" t="s">
        <v>853</v>
      </c>
      <c r="B1368" s="924" t="s">
        <v>794</v>
      </c>
      <c r="C1368" s="924" t="s">
        <v>1179</v>
      </c>
      <c r="D1368" s="924" t="s">
        <v>1180</v>
      </c>
      <c r="E1368" s="924" t="s">
        <v>856</v>
      </c>
      <c r="F1368" s="924" t="s">
        <v>912</v>
      </c>
      <c r="G1368" s="924" t="s">
        <v>858</v>
      </c>
      <c r="H1368" s="924" t="s">
        <v>836</v>
      </c>
      <c r="I1368" s="924" t="s">
        <v>837</v>
      </c>
      <c r="J1368" s="924" t="s">
        <v>859</v>
      </c>
      <c r="K1368" s="924" t="s">
        <v>913</v>
      </c>
      <c r="L1368" s="925">
        <v>210.610500812531</v>
      </c>
      <c r="M1368" s="925">
        <v>2.31933542906404E-3</v>
      </c>
    </row>
    <row r="1369" spans="1:13" ht="11.25" customHeight="1" x14ac:dyDescent="0.2">
      <c r="A1369" s="924" t="s">
        <v>853</v>
      </c>
      <c r="B1369" s="924" t="s">
        <v>794</v>
      </c>
      <c r="C1369" s="924" t="s">
        <v>1179</v>
      </c>
      <c r="D1369" s="924" t="s">
        <v>1180</v>
      </c>
      <c r="E1369" s="924" t="s">
        <v>856</v>
      </c>
      <c r="F1369" s="924" t="s">
        <v>888</v>
      </c>
      <c r="G1369" s="924" t="s">
        <v>858</v>
      </c>
      <c r="H1369" s="924" t="s">
        <v>836</v>
      </c>
      <c r="I1369" s="924" t="s">
        <v>837</v>
      </c>
      <c r="J1369" s="924" t="s">
        <v>859</v>
      </c>
      <c r="K1369" s="924" t="s">
        <v>889</v>
      </c>
      <c r="L1369" s="925">
        <v>0.34292712714523099</v>
      </c>
      <c r="M1369" s="925">
        <v>3.78379153722075E-5</v>
      </c>
    </row>
    <row r="1370" spans="1:13" ht="11.25" customHeight="1" x14ac:dyDescent="0.2">
      <c r="A1370" s="924" t="s">
        <v>853</v>
      </c>
      <c r="B1370" s="924" t="s">
        <v>794</v>
      </c>
      <c r="C1370" s="924" t="s">
        <v>1179</v>
      </c>
      <c r="D1370" s="924" t="s">
        <v>1180</v>
      </c>
      <c r="E1370" s="924" t="s">
        <v>856</v>
      </c>
      <c r="F1370" s="924" t="s">
        <v>857</v>
      </c>
      <c r="G1370" s="924" t="s">
        <v>858</v>
      </c>
      <c r="H1370" s="924" t="s">
        <v>836</v>
      </c>
      <c r="I1370" s="924" t="s">
        <v>837</v>
      </c>
      <c r="J1370" s="924" t="s">
        <v>859</v>
      </c>
      <c r="K1370" s="924" t="s">
        <v>860</v>
      </c>
      <c r="L1370" s="925">
        <v>5.6496534943580601</v>
      </c>
      <c r="M1370" s="925">
        <v>5.1994552560508101E-4</v>
      </c>
    </row>
    <row r="1371" spans="1:13" ht="11.25" customHeight="1" x14ac:dyDescent="0.2">
      <c r="A1371" s="924" t="s">
        <v>853</v>
      </c>
      <c r="B1371" s="924" t="s">
        <v>794</v>
      </c>
      <c r="C1371" s="924" t="s">
        <v>1179</v>
      </c>
      <c r="D1371" s="924" t="s">
        <v>1180</v>
      </c>
      <c r="E1371" s="924" t="s">
        <v>856</v>
      </c>
      <c r="F1371" s="924" t="s">
        <v>892</v>
      </c>
      <c r="G1371" s="924" t="s">
        <v>858</v>
      </c>
      <c r="H1371" s="924" t="s">
        <v>836</v>
      </c>
      <c r="I1371" s="924" t="s">
        <v>837</v>
      </c>
      <c r="J1371" s="924" t="s">
        <v>859</v>
      </c>
      <c r="K1371" s="924" t="s">
        <v>893</v>
      </c>
      <c r="L1371" s="925">
        <v>527.22295045852695</v>
      </c>
      <c r="M1371" s="925">
        <v>6.6692708912228201E-3</v>
      </c>
    </row>
    <row r="1372" spans="1:13" ht="11.25" customHeight="1" x14ac:dyDescent="0.2">
      <c r="A1372" s="924" t="s">
        <v>853</v>
      </c>
      <c r="B1372" s="924" t="s">
        <v>794</v>
      </c>
      <c r="C1372" s="924" t="s">
        <v>1179</v>
      </c>
      <c r="D1372" s="924" t="s">
        <v>1180</v>
      </c>
      <c r="E1372" s="924" t="s">
        <v>856</v>
      </c>
      <c r="F1372" s="924" t="s">
        <v>894</v>
      </c>
      <c r="G1372" s="924" t="s">
        <v>858</v>
      </c>
      <c r="H1372" s="924" t="s">
        <v>836</v>
      </c>
      <c r="I1372" s="924" t="s">
        <v>837</v>
      </c>
      <c r="J1372" s="924" t="s">
        <v>859</v>
      </c>
      <c r="K1372" s="924" t="s">
        <v>895</v>
      </c>
      <c r="L1372" s="925">
        <v>573.63515281677201</v>
      </c>
      <c r="M1372" s="925">
        <v>3.7997248339252101E-3</v>
      </c>
    </row>
    <row r="1373" spans="1:13" ht="11.25" customHeight="1" x14ac:dyDescent="0.2">
      <c r="A1373" s="924" t="s">
        <v>853</v>
      </c>
      <c r="B1373" s="924" t="s">
        <v>794</v>
      </c>
      <c r="C1373" s="924" t="s">
        <v>1179</v>
      </c>
      <c r="D1373" s="924" t="s">
        <v>1180</v>
      </c>
      <c r="E1373" s="924" t="s">
        <v>856</v>
      </c>
      <c r="F1373" s="924" t="s">
        <v>896</v>
      </c>
      <c r="G1373" s="924" t="s">
        <v>858</v>
      </c>
      <c r="H1373" s="924" t="s">
        <v>836</v>
      </c>
      <c r="I1373" s="924" t="s">
        <v>837</v>
      </c>
      <c r="J1373" s="924" t="s">
        <v>859</v>
      </c>
      <c r="K1373" s="924" t="s">
        <v>897</v>
      </c>
      <c r="L1373" s="925">
        <v>31.6320774257183</v>
      </c>
      <c r="M1373" s="925">
        <v>5.1224413368800004E-4</v>
      </c>
    </row>
    <row r="1374" spans="1:13" ht="11.25" customHeight="1" x14ac:dyDescent="0.2">
      <c r="A1374" s="924" t="s">
        <v>853</v>
      </c>
      <c r="B1374" s="924" t="s">
        <v>794</v>
      </c>
      <c r="C1374" s="924" t="s">
        <v>1179</v>
      </c>
      <c r="D1374" s="924" t="s">
        <v>1180</v>
      </c>
      <c r="E1374" s="924" t="s">
        <v>856</v>
      </c>
      <c r="F1374" s="924" t="s">
        <v>898</v>
      </c>
      <c r="G1374" s="924" t="s">
        <v>858</v>
      </c>
      <c r="H1374" s="924" t="s">
        <v>836</v>
      </c>
      <c r="I1374" s="924" t="s">
        <v>837</v>
      </c>
      <c r="J1374" s="924" t="s">
        <v>859</v>
      </c>
      <c r="K1374" s="924" t="s">
        <v>899</v>
      </c>
      <c r="L1374" s="925">
        <v>19.386323660612099</v>
      </c>
      <c r="M1374" s="925">
        <v>3.3720624313460202E-4</v>
      </c>
    </row>
    <row r="1375" spans="1:13" ht="11.25" customHeight="1" x14ac:dyDescent="0.2">
      <c r="A1375" s="924" t="s">
        <v>853</v>
      </c>
      <c r="B1375" s="924" t="s">
        <v>794</v>
      </c>
      <c r="C1375" s="924" t="s">
        <v>1179</v>
      </c>
      <c r="D1375" s="924" t="s">
        <v>1180</v>
      </c>
      <c r="E1375" s="924" t="s">
        <v>856</v>
      </c>
      <c r="F1375" s="924" t="s">
        <v>900</v>
      </c>
      <c r="G1375" s="924" t="s">
        <v>858</v>
      </c>
      <c r="H1375" s="924" t="s">
        <v>836</v>
      </c>
      <c r="I1375" s="924" t="s">
        <v>837</v>
      </c>
      <c r="J1375" s="924" t="s">
        <v>859</v>
      </c>
      <c r="K1375" s="924" t="s">
        <v>901</v>
      </c>
      <c r="L1375" s="925">
        <v>58.227400720119498</v>
      </c>
      <c r="M1375" s="925">
        <v>2.53769100477541E-3</v>
      </c>
    </row>
    <row r="1376" spans="1:13" ht="11.25" customHeight="1" x14ac:dyDescent="0.2">
      <c r="A1376" s="924" t="s">
        <v>853</v>
      </c>
      <c r="B1376" s="924" t="s">
        <v>794</v>
      </c>
      <c r="C1376" s="924" t="s">
        <v>1179</v>
      </c>
      <c r="D1376" s="924" t="s">
        <v>1180</v>
      </c>
      <c r="E1376" s="924" t="s">
        <v>856</v>
      </c>
      <c r="F1376" s="924" t="s">
        <v>904</v>
      </c>
      <c r="G1376" s="924" t="s">
        <v>858</v>
      </c>
      <c r="H1376" s="924" t="s">
        <v>836</v>
      </c>
      <c r="I1376" s="924" t="s">
        <v>837</v>
      </c>
      <c r="J1376" s="924" t="s">
        <v>859</v>
      </c>
      <c r="K1376" s="924" t="s">
        <v>905</v>
      </c>
      <c r="L1376" s="925">
        <v>216.49140763282799</v>
      </c>
      <c r="M1376" s="925">
        <v>4.1013092090906901E-3</v>
      </c>
    </row>
    <row r="1377" spans="1:13" ht="11.25" customHeight="1" x14ac:dyDescent="0.2">
      <c r="A1377" s="924" t="s">
        <v>853</v>
      </c>
      <c r="B1377" s="924" t="s">
        <v>794</v>
      </c>
      <c r="C1377" s="924" t="s">
        <v>1179</v>
      </c>
      <c r="D1377" s="924" t="s">
        <v>1180</v>
      </c>
      <c r="E1377" s="924" t="s">
        <v>856</v>
      </c>
      <c r="F1377" s="924" t="s">
        <v>996</v>
      </c>
      <c r="G1377" s="924" t="s">
        <v>911</v>
      </c>
      <c r="H1377" s="924" t="s">
        <v>665</v>
      </c>
      <c r="I1377" s="924" t="s">
        <v>834</v>
      </c>
      <c r="J1377" s="924" t="s">
        <v>706</v>
      </c>
      <c r="K1377" s="924" t="s">
        <v>993</v>
      </c>
      <c r="L1377" s="925">
        <v>0.24207357014529399</v>
      </c>
      <c r="M1377" s="925">
        <v>3.0012423845704498E-5</v>
      </c>
    </row>
    <row r="1378" spans="1:13" ht="11.25" customHeight="1" x14ac:dyDescent="0.2">
      <c r="A1378" s="924" t="s">
        <v>853</v>
      </c>
      <c r="B1378" s="924" t="s">
        <v>794</v>
      </c>
      <c r="C1378" s="924" t="s">
        <v>1179</v>
      </c>
      <c r="D1378" s="924" t="s">
        <v>1180</v>
      </c>
      <c r="E1378" s="924" t="s">
        <v>856</v>
      </c>
      <c r="F1378" s="924" t="s">
        <v>954</v>
      </c>
      <c r="G1378" s="924" t="s">
        <v>911</v>
      </c>
      <c r="H1378" s="924" t="s">
        <v>665</v>
      </c>
      <c r="I1378" s="924" t="s">
        <v>706</v>
      </c>
      <c r="J1378" s="924" t="s">
        <v>863</v>
      </c>
      <c r="K1378" s="924" t="s">
        <v>935</v>
      </c>
      <c r="L1378" s="925">
        <v>29.039192378521001</v>
      </c>
      <c r="M1378" s="925">
        <v>1.3710989933315399E-3</v>
      </c>
    </row>
    <row r="1379" spans="1:13" ht="11.25" customHeight="1" x14ac:dyDescent="0.2">
      <c r="A1379" s="924" t="s">
        <v>853</v>
      </c>
      <c r="B1379" s="924" t="s">
        <v>794</v>
      </c>
      <c r="C1379" s="924" t="s">
        <v>1179</v>
      </c>
      <c r="D1379" s="924" t="s">
        <v>1180</v>
      </c>
      <c r="E1379" s="924" t="s">
        <v>856</v>
      </c>
      <c r="F1379" s="924" t="s">
        <v>1035</v>
      </c>
      <c r="G1379" s="924" t="s">
        <v>858</v>
      </c>
      <c r="H1379" s="924" t="s">
        <v>836</v>
      </c>
      <c r="I1379" s="924" t="s">
        <v>837</v>
      </c>
      <c r="J1379" s="924" t="s">
        <v>870</v>
      </c>
      <c r="K1379" s="924" t="s">
        <v>1036</v>
      </c>
      <c r="L1379" s="925">
        <v>6.4966040139552206E-2</v>
      </c>
      <c r="M1379" s="925">
        <v>7.9564985867950494E-6</v>
      </c>
    </row>
    <row r="1380" spans="1:13" ht="11.25" customHeight="1" x14ac:dyDescent="0.2">
      <c r="A1380" s="924" t="s">
        <v>853</v>
      </c>
      <c r="B1380" s="924" t="s">
        <v>794</v>
      </c>
      <c r="C1380" s="924" t="s">
        <v>1179</v>
      </c>
      <c r="D1380" s="924" t="s">
        <v>1180</v>
      </c>
      <c r="E1380" s="924" t="s">
        <v>856</v>
      </c>
      <c r="F1380" s="924" t="s">
        <v>910</v>
      </c>
      <c r="G1380" s="924" t="s">
        <v>911</v>
      </c>
      <c r="H1380" s="924" t="s">
        <v>665</v>
      </c>
      <c r="I1380" s="924" t="s">
        <v>706</v>
      </c>
      <c r="J1380" s="924" t="s">
        <v>859</v>
      </c>
      <c r="K1380" s="924" t="s">
        <v>905</v>
      </c>
      <c r="L1380" s="925">
        <v>2.1062612328678401</v>
      </c>
      <c r="M1380" s="925">
        <v>1.7218609591509401E-3</v>
      </c>
    </row>
    <row r="1381" spans="1:13" ht="11.25" customHeight="1" x14ac:dyDescent="0.2">
      <c r="A1381" s="924" t="s">
        <v>853</v>
      </c>
      <c r="B1381" s="924" t="s">
        <v>794</v>
      </c>
      <c r="C1381" s="924" t="s">
        <v>1179</v>
      </c>
      <c r="D1381" s="924" t="s">
        <v>1180</v>
      </c>
      <c r="E1381" s="924" t="s">
        <v>856</v>
      </c>
      <c r="F1381" s="924" t="s">
        <v>908</v>
      </c>
      <c r="G1381" s="924" t="s">
        <v>858</v>
      </c>
      <c r="H1381" s="924" t="s">
        <v>836</v>
      </c>
      <c r="I1381" s="924" t="s">
        <v>837</v>
      </c>
      <c r="J1381" s="924" t="s">
        <v>859</v>
      </c>
      <c r="K1381" s="924" t="s">
        <v>909</v>
      </c>
      <c r="L1381" s="925">
        <v>17.775252178311302</v>
      </c>
      <c r="M1381" s="925">
        <v>3.7204265290213801E-4</v>
      </c>
    </row>
    <row r="1382" spans="1:13" ht="11.25" customHeight="1" x14ac:dyDescent="0.2">
      <c r="A1382" s="924" t="s">
        <v>853</v>
      </c>
      <c r="B1382" s="924" t="s">
        <v>794</v>
      </c>
      <c r="C1382" s="924" t="s">
        <v>1179</v>
      </c>
      <c r="D1382" s="924" t="s">
        <v>1180</v>
      </c>
      <c r="E1382" s="924" t="s">
        <v>856</v>
      </c>
      <c r="F1382" s="924" t="s">
        <v>917</v>
      </c>
      <c r="G1382" s="924" t="s">
        <v>911</v>
      </c>
      <c r="H1382" s="924" t="s">
        <v>665</v>
      </c>
      <c r="I1382" s="924" t="s">
        <v>706</v>
      </c>
      <c r="J1382" s="924" t="s">
        <v>859</v>
      </c>
      <c r="K1382" s="924" t="s">
        <v>918</v>
      </c>
      <c r="L1382" s="925">
        <v>1.95386878028512</v>
      </c>
      <c r="M1382" s="925">
        <v>6.3088061938287897E-4</v>
      </c>
    </row>
    <row r="1383" spans="1:13" ht="11.25" customHeight="1" x14ac:dyDescent="0.2">
      <c r="A1383" s="924" t="s">
        <v>853</v>
      </c>
      <c r="B1383" s="924" t="s">
        <v>794</v>
      </c>
      <c r="C1383" s="924" t="s">
        <v>1179</v>
      </c>
      <c r="D1383" s="924" t="s">
        <v>1180</v>
      </c>
      <c r="E1383" s="924" t="s">
        <v>856</v>
      </c>
      <c r="F1383" s="924" t="s">
        <v>919</v>
      </c>
      <c r="G1383" s="924" t="s">
        <v>911</v>
      </c>
      <c r="H1383" s="924" t="s">
        <v>665</v>
      </c>
      <c r="I1383" s="924" t="s">
        <v>706</v>
      </c>
      <c r="J1383" s="924" t="s">
        <v>859</v>
      </c>
      <c r="K1383" s="924" t="s">
        <v>920</v>
      </c>
      <c r="L1383" s="925">
        <v>0.32239006040617801</v>
      </c>
      <c r="M1383" s="925">
        <v>9.0321836523799006E-5</v>
      </c>
    </row>
    <row r="1384" spans="1:13" ht="11.25" customHeight="1" x14ac:dyDescent="0.2">
      <c r="A1384" s="924" t="s">
        <v>853</v>
      </c>
      <c r="B1384" s="924" t="s">
        <v>794</v>
      </c>
      <c r="C1384" s="924" t="s">
        <v>1179</v>
      </c>
      <c r="D1384" s="924" t="s">
        <v>1180</v>
      </c>
      <c r="E1384" s="924" t="s">
        <v>856</v>
      </c>
      <c r="F1384" s="924" t="s">
        <v>921</v>
      </c>
      <c r="G1384" s="924" t="s">
        <v>911</v>
      </c>
      <c r="H1384" s="924" t="s">
        <v>665</v>
      </c>
      <c r="I1384" s="924" t="s">
        <v>706</v>
      </c>
      <c r="J1384" s="924" t="s">
        <v>859</v>
      </c>
      <c r="K1384" s="924" t="s">
        <v>922</v>
      </c>
      <c r="L1384" s="925">
        <v>3.42349939793348</v>
      </c>
      <c r="M1384" s="925">
        <v>4.5726038194970903E-4</v>
      </c>
    </row>
    <row r="1385" spans="1:13" ht="11.25" customHeight="1" x14ac:dyDescent="0.2">
      <c r="A1385" s="924" t="s">
        <v>853</v>
      </c>
      <c r="B1385" s="924" t="s">
        <v>794</v>
      </c>
      <c r="C1385" s="924" t="s">
        <v>1179</v>
      </c>
      <c r="D1385" s="924" t="s">
        <v>1180</v>
      </c>
      <c r="E1385" s="924" t="s">
        <v>856</v>
      </c>
      <c r="F1385" s="924" t="s">
        <v>923</v>
      </c>
      <c r="G1385" s="924" t="s">
        <v>911</v>
      </c>
      <c r="H1385" s="924" t="s">
        <v>665</v>
      </c>
      <c r="I1385" s="924" t="s">
        <v>706</v>
      </c>
      <c r="J1385" s="924" t="s">
        <v>859</v>
      </c>
      <c r="K1385" s="924" t="s">
        <v>924</v>
      </c>
      <c r="L1385" s="925">
        <v>8.4055592194199598</v>
      </c>
      <c r="M1385" s="925">
        <v>4.4563003075381901E-4</v>
      </c>
    </row>
    <row r="1386" spans="1:13" ht="11.25" customHeight="1" x14ac:dyDescent="0.2">
      <c r="A1386" s="924" t="s">
        <v>853</v>
      </c>
      <c r="B1386" s="924" t="s">
        <v>794</v>
      </c>
      <c r="C1386" s="924" t="s">
        <v>1179</v>
      </c>
      <c r="D1386" s="924" t="s">
        <v>1180</v>
      </c>
      <c r="E1386" s="924" t="s">
        <v>856</v>
      </c>
      <c r="F1386" s="924" t="s">
        <v>925</v>
      </c>
      <c r="G1386" s="924" t="s">
        <v>911</v>
      </c>
      <c r="H1386" s="924" t="s">
        <v>665</v>
      </c>
      <c r="I1386" s="924" t="s">
        <v>706</v>
      </c>
      <c r="J1386" s="924" t="s">
        <v>859</v>
      </c>
      <c r="K1386" s="924" t="s">
        <v>926</v>
      </c>
      <c r="L1386" s="925">
        <v>0.88846868742257401</v>
      </c>
      <c r="M1386" s="925">
        <v>4.0959793238926102E-5</v>
      </c>
    </row>
    <row r="1387" spans="1:13" ht="11.25" customHeight="1" x14ac:dyDescent="0.2">
      <c r="A1387" s="924" t="s">
        <v>853</v>
      </c>
      <c r="B1387" s="924" t="s">
        <v>794</v>
      </c>
      <c r="C1387" s="924" t="s">
        <v>1179</v>
      </c>
      <c r="D1387" s="924" t="s">
        <v>1180</v>
      </c>
      <c r="E1387" s="924" t="s">
        <v>856</v>
      </c>
      <c r="F1387" s="924" t="s">
        <v>927</v>
      </c>
      <c r="G1387" s="924" t="s">
        <v>911</v>
      </c>
      <c r="H1387" s="924" t="s">
        <v>665</v>
      </c>
      <c r="I1387" s="924" t="s">
        <v>706</v>
      </c>
      <c r="J1387" s="924" t="s">
        <v>859</v>
      </c>
      <c r="K1387" s="924" t="s">
        <v>928</v>
      </c>
      <c r="L1387" s="925">
        <v>7.2239164561033196</v>
      </c>
      <c r="M1387" s="925">
        <v>2.1424581268547601E-3</v>
      </c>
    </row>
    <row r="1388" spans="1:13" ht="11.25" customHeight="1" x14ac:dyDescent="0.2">
      <c r="A1388" s="924" t="s">
        <v>853</v>
      </c>
      <c r="B1388" s="924" t="s">
        <v>794</v>
      </c>
      <c r="C1388" s="924" t="s">
        <v>1179</v>
      </c>
      <c r="D1388" s="924" t="s">
        <v>1180</v>
      </c>
      <c r="E1388" s="924" t="s">
        <v>856</v>
      </c>
      <c r="F1388" s="924" t="s">
        <v>929</v>
      </c>
      <c r="G1388" s="924" t="s">
        <v>911</v>
      </c>
      <c r="H1388" s="924" t="s">
        <v>665</v>
      </c>
      <c r="I1388" s="924" t="s">
        <v>706</v>
      </c>
      <c r="J1388" s="924" t="s">
        <v>859</v>
      </c>
      <c r="K1388" s="924" t="s">
        <v>891</v>
      </c>
      <c r="L1388" s="925">
        <v>2.9740910567343199</v>
      </c>
      <c r="M1388" s="925">
        <v>1.1916257828943301E-3</v>
      </c>
    </row>
    <row r="1389" spans="1:13" ht="11.25" customHeight="1" x14ac:dyDescent="0.2">
      <c r="A1389" s="924" t="s">
        <v>853</v>
      </c>
      <c r="B1389" s="924" t="s">
        <v>794</v>
      </c>
      <c r="C1389" s="924" t="s">
        <v>1179</v>
      </c>
      <c r="D1389" s="924" t="s">
        <v>1180</v>
      </c>
      <c r="E1389" s="924" t="s">
        <v>856</v>
      </c>
      <c r="F1389" s="924" t="s">
        <v>916</v>
      </c>
      <c r="G1389" s="924" t="s">
        <v>911</v>
      </c>
      <c r="H1389" s="924" t="s">
        <v>665</v>
      </c>
      <c r="I1389" s="924" t="s">
        <v>706</v>
      </c>
      <c r="J1389" s="924" t="s">
        <v>859</v>
      </c>
      <c r="K1389" s="924" t="s">
        <v>909</v>
      </c>
      <c r="L1389" s="925">
        <v>5.0373001024126998</v>
      </c>
      <c r="M1389" s="925">
        <v>2.3314423083320399E-4</v>
      </c>
    </row>
    <row r="1390" spans="1:13" ht="11.25" customHeight="1" x14ac:dyDescent="0.2">
      <c r="A1390" s="924" t="s">
        <v>853</v>
      </c>
      <c r="B1390" s="924" t="s">
        <v>794</v>
      </c>
      <c r="C1390" s="924" t="s">
        <v>1179</v>
      </c>
      <c r="D1390" s="924" t="s">
        <v>1180</v>
      </c>
      <c r="E1390" s="924" t="s">
        <v>856</v>
      </c>
      <c r="F1390" s="924" t="s">
        <v>932</v>
      </c>
      <c r="G1390" s="924" t="s">
        <v>911</v>
      </c>
      <c r="H1390" s="924" t="s">
        <v>665</v>
      </c>
      <c r="I1390" s="924" t="s">
        <v>706</v>
      </c>
      <c r="J1390" s="924" t="s">
        <v>863</v>
      </c>
      <c r="K1390" s="924" t="s">
        <v>933</v>
      </c>
      <c r="L1390" s="925">
        <v>3891.9187393188499</v>
      </c>
      <c r="M1390" s="925">
        <v>0.18809146387502601</v>
      </c>
    </row>
    <row r="1391" spans="1:13" ht="11.25" customHeight="1" x14ac:dyDescent="0.2">
      <c r="A1391" s="924" t="s">
        <v>853</v>
      </c>
      <c r="B1391" s="924" t="s">
        <v>794</v>
      </c>
      <c r="C1391" s="924" t="s">
        <v>1179</v>
      </c>
      <c r="D1391" s="924" t="s">
        <v>1180</v>
      </c>
      <c r="E1391" s="924" t="s">
        <v>856</v>
      </c>
      <c r="F1391" s="924" t="s">
        <v>951</v>
      </c>
      <c r="G1391" s="924" t="s">
        <v>911</v>
      </c>
      <c r="H1391" s="924" t="s">
        <v>665</v>
      </c>
      <c r="I1391" s="924" t="s">
        <v>706</v>
      </c>
      <c r="J1391" s="924" t="s">
        <v>875</v>
      </c>
      <c r="K1391" s="924" t="s">
        <v>952</v>
      </c>
      <c r="L1391" s="925">
        <v>0.22763069090433399</v>
      </c>
      <c r="M1391" s="925">
        <v>1.41537878262099E-5</v>
      </c>
    </row>
    <row r="1392" spans="1:13" ht="11.25" customHeight="1" x14ac:dyDescent="0.2">
      <c r="A1392" s="924" t="s">
        <v>853</v>
      </c>
      <c r="B1392" s="924" t="s">
        <v>794</v>
      </c>
      <c r="C1392" s="924" t="s">
        <v>1179</v>
      </c>
      <c r="D1392" s="924" t="s">
        <v>1180</v>
      </c>
      <c r="E1392" s="924" t="s">
        <v>856</v>
      </c>
      <c r="F1392" s="924" t="s">
        <v>936</v>
      </c>
      <c r="G1392" s="924" t="s">
        <v>911</v>
      </c>
      <c r="H1392" s="924" t="s">
        <v>665</v>
      </c>
      <c r="I1392" s="924" t="s">
        <v>706</v>
      </c>
      <c r="J1392" s="924" t="s">
        <v>863</v>
      </c>
      <c r="K1392" s="924" t="s">
        <v>864</v>
      </c>
      <c r="L1392" s="925">
        <v>9.1595957279205305</v>
      </c>
      <c r="M1392" s="925">
        <v>4.2632842951206802E-4</v>
      </c>
    </row>
    <row r="1393" spans="1:13" ht="11.25" customHeight="1" x14ac:dyDescent="0.2">
      <c r="A1393" s="924" t="s">
        <v>853</v>
      </c>
      <c r="B1393" s="924" t="s">
        <v>794</v>
      </c>
      <c r="C1393" s="924" t="s">
        <v>1179</v>
      </c>
      <c r="D1393" s="924" t="s">
        <v>1180</v>
      </c>
      <c r="E1393" s="924" t="s">
        <v>856</v>
      </c>
      <c r="F1393" s="924" t="s">
        <v>914</v>
      </c>
      <c r="G1393" s="924" t="s">
        <v>911</v>
      </c>
      <c r="H1393" s="924" t="s">
        <v>665</v>
      </c>
      <c r="I1393" s="924" t="s">
        <v>706</v>
      </c>
      <c r="J1393" s="924" t="s">
        <v>863</v>
      </c>
      <c r="K1393" s="924" t="s">
        <v>915</v>
      </c>
      <c r="L1393" s="925">
        <v>2.2217217162251499</v>
      </c>
      <c r="M1393" s="925">
        <v>3.1701248622084698E-4</v>
      </c>
    </row>
    <row r="1394" spans="1:13" ht="11.25" customHeight="1" x14ac:dyDescent="0.2">
      <c r="A1394" s="924" t="s">
        <v>853</v>
      </c>
      <c r="B1394" s="924" t="s">
        <v>794</v>
      </c>
      <c r="C1394" s="924" t="s">
        <v>1179</v>
      </c>
      <c r="D1394" s="924" t="s">
        <v>1180</v>
      </c>
      <c r="E1394" s="924" t="s">
        <v>856</v>
      </c>
      <c r="F1394" s="924" t="s">
        <v>938</v>
      </c>
      <c r="G1394" s="924" t="s">
        <v>911</v>
      </c>
      <c r="H1394" s="924" t="s">
        <v>665</v>
      </c>
      <c r="I1394" s="924" t="s">
        <v>706</v>
      </c>
      <c r="J1394" s="924" t="s">
        <v>863</v>
      </c>
      <c r="K1394" s="924" t="s">
        <v>868</v>
      </c>
      <c r="L1394" s="925">
        <v>18.008172690868399</v>
      </c>
      <c r="M1394" s="925">
        <v>8.3211825858597898E-4</v>
      </c>
    </row>
    <row r="1395" spans="1:13" ht="11.25" customHeight="1" x14ac:dyDescent="0.2">
      <c r="A1395" s="924" t="s">
        <v>853</v>
      </c>
      <c r="B1395" s="924" t="s">
        <v>794</v>
      </c>
      <c r="C1395" s="924" t="s">
        <v>1179</v>
      </c>
      <c r="D1395" s="924" t="s">
        <v>1180</v>
      </c>
      <c r="E1395" s="924" t="s">
        <v>856</v>
      </c>
      <c r="F1395" s="924" t="s">
        <v>939</v>
      </c>
      <c r="G1395" s="924" t="s">
        <v>911</v>
      </c>
      <c r="H1395" s="924" t="s">
        <v>665</v>
      </c>
      <c r="I1395" s="924" t="s">
        <v>706</v>
      </c>
      <c r="J1395" s="924" t="s">
        <v>940</v>
      </c>
      <c r="K1395" s="924" t="s">
        <v>941</v>
      </c>
      <c r="L1395" s="925">
        <v>19.357351064682</v>
      </c>
      <c r="M1395" s="925">
        <v>9.3130084587755802E-4</v>
      </c>
    </row>
    <row r="1396" spans="1:13" ht="11.25" customHeight="1" x14ac:dyDescent="0.2">
      <c r="A1396" s="924" t="s">
        <v>853</v>
      </c>
      <c r="B1396" s="924" t="s">
        <v>794</v>
      </c>
      <c r="C1396" s="924" t="s">
        <v>1179</v>
      </c>
      <c r="D1396" s="924" t="s">
        <v>1180</v>
      </c>
      <c r="E1396" s="924" t="s">
        <v>856</v>
      </c>
      <c r="F1396" s="924" t="s">
        <v>942</v>
      </c>
      <c r="G1396" s="924" t="s">
        <v>911</v>
      </c>
      <c r="H1396" s="924" t="s">
        <v>665</v>
      </c>
      <c r="I1396" s="924" t="s">
        <v>706</v>
      </c>
      <c r="J1396" s="924" t="s">
        <v>870</v>
      </c>
      <c r="K1396" s="924" t="s">
        <v>871</v>
      </c>
      <c r="L1396" s="925">
        <v>3.1906005802738897E-2</v>
      </c>
      <c r="M1396" s="925">
        <v>1.9912797476706601E-5</v>
      </c>
    </row>
    <row r="1397" spans="1:13" ht="11.25" customHeight="1" x14ac:dyDescent="0.2">
      <c r="A1397" s="924" t="s">
        <v>853</v>
      </c>
      <c r="B1397" s="924" t="s">
        <v>794</v>
      </c>
      <c r="C1397" s="924" t="s">
        <v>1179</v>
      </c>
      <c r="D1397" s="924" t="s">
        <v>1180</v>
      </c>
      <c r="E1397" s="924" t="s">
        <v>856</v>
      </c>
      <c r="F1397" s="924" t="s">
        <v>943</v>
      </c>
      <c r="G1397" s="924" t="s">
        <v>911</v>
      </c>
      <c r="H1397" s="924" t="s">
        <v>665</v>
      </c>
      <c r="I1397" s="924" t="s">
        <v>706</v>
      </c>
      <c r="J1397" s="924" t="s">
        <v>870</v>
      </c>
      <c r="K1397" s="924" t="s">
        <v>873</v>
      </c>
      <c r="L1397" s="925">
        <v>6.4853657080675503E-2</v>
      </c>
      <c r="M1397" s="925">
        <v>2.9450573464373498E-6</v>
      </c>
    </row>
    <row r="1398" spans="1:13" ht="11.25" customHeight="1" x14ac:dyDescent="0.2">
      <c r="A1398" s="924" t="s">
        <v>853</v>
      </c>
      <c r="B1398" s="924" t="s">
        <v>794</v>
      </c>
      <c r="C1398" s="924" t="s">
        <v>1179</v>
      </c>
      <c r="D1398" s="924" t="s">
        <v>1180</v>
      </c>
      <c r="E1398" s="924" t="s">
        <v>856</v>
      </c>
      <c r="F1398" s="924" t="s">
        <v>944</v>
      </c>
      <c r="G1398" s="924" t="s">
        <v>911</v>
      </c>
      <c r="H1398" s="924" t="s">
        <v>665</v>
      </c>
      <c r="I1398" s="924" t="s">
        <v>706</v>
      </c>
      <c r="J1398" s="924" t="s">
        <v>875</v>
      </c>
      <c r="K1398" s="924" t="s">
        <v>876</v>
      </c>
      <c r="L1398" s="925">
        <v>56.686347782611797</v>
      </c>
      <c r="M1398" s="925">
        <v>1.7922254821314699E-2</v>
      </c>
    </row>
    <row r="1399" spans="1:13" ht="11.25" customHeight="1" x14ac:dyDescent="0.2">
      <c r="A1399" s="924" t="s">
        <v>853</v>
      </c>
      <c r="B1399" s="924" t="s">
        <v>794</v>
      </c>
      <c r="C1399" s="924" t="s">
        <v>1179</v>
      </c>
      <c r="D1399" s="924" t="s">
        <v>1180</v>
      </c>
      <c r="E1399" s="924" t="s">
        <v>856</v>
      </c>
      <c r="F1399" s="924" t="s">
        <v>945</v>
      </c>
      <c r="G1399" s="924" t="s">
        <v>911</v>
      </c>
      <c r="H1399" s="924" t="s">
        <v>665</v>
      </c>
      <c r="I1399" s="924" t="s">
        <v>706</v>
      </c>
      <c r="J1399" s="924" t="s">
        <v>875</v>
      </c>
      <c r="K1399" s="924" t="s">
        <v>878</v>
      </c>
      <c r="L1399" s="925">
        <v>12.5176404863596</v>
      </c>
      <c r="M1399" s="925">
        <v>1.8518589604354901E-3</v>
      </c>
    </row>
    <row r="1400" spans="1:13" ht="11.25" customHeight="1" x14ac:dyDescent="0.2">
      <c r="A1400" s="924" t="s">
        <v>853</v>
      </c>
      <c r="B1400" s="924" t="s">
        <v>794</v>
      </c>
      <c r="C1400" s="924" t="s">
        <v>1179</v>
      </c>
      <c r="D1400" s="924" t="s">
        <v>1180</v>
      </c>
      <c r="E1400" s="924" t="s">
        <v>856</v>
      </c>
      <c r="F1400" s="924" t="s">
        <v>946</v>
      </c>
      <c r="G1400" s="924" t="s">
        <v>911</v>
      </c>
      <c r="H1400" s="924" t="s">
        <v>665</v>
      </c>
      <c r="I1400" s="924" t="s">
        <v>706</v>
      </c>
      <c r="J1400" s="924" t="s">
        <v>875</v>
      </c>
      <c r="K1400" s="924" t="s">
        <v>880</v>
      </c>
      <c r="L1400" s="925">
        <v>14.797681301832201</v>
      </c>
      <c r="M1400" s="925">
        <v>9.4179570578489802E-4</v>
      </c>
    </row>
    <row r="1401" spans="1:13" ht="11.25" customHeight="1" x14ac:dyDescent="0.2">
      <c r="A1401" s="924" t="s">
        <v>853</v>
      </c>
      <c r="B1401" s="924" t="s">
        <v>794</v>
      </c>
      <c r="C1401" s="924" t="s">
        <v>1179</v>
      </c>
      <c r="D1401" s="924" t="s">
        <v>1180</v>
      </c>
      <c r="E1401" s="924" t="s">
        <v>856</v>
      </c>
      <c r="F1401" s="924" t="s">
        <v>947</v>
      </c>
      <c r="G1401" s="924" t="s">
        <v>911</v>
      </c>
      <c r="H1401" s="924" t="s">
        <v>665</v>
      </c>
      <c r="I1401" s="924" t="s">
        <v>706</v>
      </c>
      <c r="J1401" s="924" t="s">
        <v>875</v>
      </c>
      <c r="K1401" s="924" t="s">
        <v>948</v>
      </c>
      <c r="L1401" s="925">
        <v>18.392717003822298</v>
      </c>
      <c r="M1401" s="925">
        <v>1.40554852191599E-3</v>
      </c>
    </row>
    <row r="1402" spans="1:13" ht="11.25" customHeight="1" x14ac:dyDescent="0.2">
      <c r="A1402" s="924" t="s">
        <v>853</v>
      </c>
      <c r="B1402" s="924" t="s">
        <v>794</v>
      </c>
      <c r="C1402" s="924" t="s">
        <v>1179</v>
      </c>
      <c r="D1402" s="924" t="s">
        <v>1180</v>
      </c>
      <c r="E1402" s="924" t="s">
        <v>856</v>
      </c>
      <c r="F1402" s="924" t="s">
        <v>949</v>
      </c>
      <c r="G1402" s="924" t="s">
        <v>911</v>
      </c>
      <c r="H1402" s="924" t="s">
        <v>665</v>
      </c>
      <c r="I1402" s="924" t="s">
        <v>706</v>
      </c>
      <c r="J1402" s="924" t="s">
        <v>875</v>
      </c>
      <c r="K1402" s="924" t="s">
        <v>950</v>
      </c>
      <c r="L1402" s="925">
        <v>0.246624433202669</v>
      </c>
      <c r="M1402" s="925">
        <v>5.2896591512308098E-5</v>
      </c>
    </row>
    <row r="1403" spans="1:13" ht="11.25" customHeight="1" x14ac:dyDescent="0.2">
      <c r="A1403" s="924" t="s">
        <v>853</v>
      </c>
      <c r="B1403" s="924" t="s">
        <v>794</v>
      </c>
      <c r="C1403" s="924" t="s">
        <v>1179</v>
      </c>
      <c r="D1403" s="924" t="s">
        <v>1180</v>
      </c>
      <c r="E1403" s="924" t="s">
        <v>856</v>
      </c>
      <c r="F1403" s="924" t="s">
        <v>930</v>
      </c>
      <c r="G1403" s="924" t="s">
        <v>911</v>
      </c>
      <c r="H1403" s="924" t="s">
        <v>665</v>
      </c>
      <c r="I1403" s="924" t="s">
        <v>706</v>
      </c>
      <c r="J1403" s="924" t="s">
        <v>863</v>
      </c>
      <c r="K1403" s="924" t="s">
        <v>931</v>
      </c>
      <c r="L1403" s="925">
        <v>41.834313035011299</v>
      </c>
      <c r="M1403" s="925">
        <v>8.5255186804715794E-3</v>
      </c>
    </row>
    <row r="1404" spans="1:13" ht="11.25" customHeight="1" x14ac:dyDescent="0.2">
      <c r="A1404" s="924" t="s">
        <v>853</v>
      </c>
      <c r="B1404" s="924" t="s">
        <v>794</v>
      </c>
      <c r="C1404" s="924" t="s">
        <v>1179</v>
      </c>
      <c r="D1404" s="924" t="s">
        <v>1180</v>
      </c>
      <c r="E1404" s="924" t="s">
        <v>856</v>
      </c>
      <c r="F1404" s="924" t="s">
        <v>1000</v>
      </c>
      <c r="G1404" s="924" t="s">
        <v>858</v>
      </c>
      <c r="H1404" s="924" t="s">
        <v>836</v>
      </c>
      <c r="I1404" s="924" t="s">
        <v>837</v>
      </c>
      <c r="J1404" s="924" t="s">
        <v>875</v>
      </c>
      <c r="K1404" s="924" t="s">
        <v>950</v>
      </c>
      <c r="L1404" s="925">
        <v>14.187684863805799</v>
      </c>
      <c r="M1404" s="925">
        <v>3.33253820592461E-4</v>
      </c>
    </row>
    <row r="1405" spans="1:13" ht="11.25" customHeight="1" x14ac:dyDescent="0.2">
      <c r="A1405" s="924" t="s">
        <v>853</v>
      </c>
      <c r="B1405" s="924" t="s">
        <v>794</v>
      </c>
      <c r="C1405" s="924" t="s">
        <v>1179</v>
      </c>
      <c r="D1405" s="924" t="s">
        <v>1180</v>
      </c>
      <c r="E1405" s="924" t="s">
        <v>856</v>
      </c>
      <c r="F1405" s="924" t="s">
        <v>1018</v>
      </c>
      <c r="G1405" s="924" t="s">
        <v>858</v>
      </c>
      <c r="H1405" s="924" t="s">
        <v>836</v>
      </c>
      <c r="I1405" s="924" t="s">
        <v>837</v>
      </c>
      <c r="J1405" s="924" t="s">
        <v>870</v>
      </c>
      <c r="K1405" s="924" t="s">
        <v>1019</v>
      </c>
      <c r="L1405" s="925">
        <v>242.09358400106399</v>
      </c>
      <c r="M1405" s="925">
        <v>1.8194378397140599E-3</v>
      </c>
    </row>
    <row r="1406" spans="1:13" ht="11.25" customHeight="1" x14ac:dyDescent="0.2">
      <c r="A1406" s="924" t="s">
        <v>853</v>
      </c>
      <c r="B1406" s="924" t="s">
        <v>794</v>
      </c>
      <c r="C1406" s="924" t="s">
        <v>1179</v>
      </c>
      <c r="D1406" s="924" t="s">
        <v>1180</v>
      </c>
      <c r="E1406" s="924" t="s">
        <v>856</v>
      </c>
      <c r="F1406" s="924" t="s">
        <v>1015</v>
      </c>
      <c r="G1406" s="924" t="s">
        <v>858</v>
      </c>
      <c r="H1406" s="924" t="s">
        <v>836</v>
      </c>
      <c r="I1406" s="924" t="s">
        <v>837</v>
      </c>
      <c r="J1406" s="924" t="s">
        <v>870</v>
      </c>
      <c r="K1406" s="924" t="s">
        <v>1016</v>
      </c>
      <c r="L1406" s="925">
        <v>1.3406220474280399</v>
      </c>
      <c r="M1406" s="925">
        <v>1.6288221997451401E-5</v>
      </c>
    </row>
    <row r="1407" spans="1:13" ht="11.25" customHeight="1" x14ac:dyDescent="0.2">
      <c r="A1407" s="924" t="s">
        <v>853</v>
      </c>
      <c r="B1407" s="924" t="s">
        <v>794</v>
      </c>
      <c r="C1407" s="924" t="s">
        <v>1179</v>
      </c>
      <c r="D1407" s="924" t="s">
        <v>1180</v>
      </c>
      <c r="E1407" s="924" t="s">
        <v>856</v>
      </c>
      <c r="F1407" s="924" t="s">
        <v>958</v>
      </c>
      <c r="G1407" s="924" t="s">
        <v>858</v>
      </c>
      <c r="H1407" s="924" t="s">
        <v>836</v>
      </c>
      <c r="I1407" s="924" t="s">
        <v>837</v>
      </c>
      <c r="J1407" s="924" t="s">
        <v>870</v>
      </c>
      <c r="K1407" s="924" t="s">
        <v>959</v>
      </c>
      <c r="L1407" s="925">
        <v>0.28160159598337497</v>
      </c>
      <c r="M1407" s="925">
        <v>2.62430849488904E-6</v>
      </c>
    </row>
    <row r="1408" spans="1:13" ht="11.25" customHeight="1" x14ac:dyDescent="0.2">
      <c r="A1408" s="924" t="s">
        <v>853</v>
      </c>
      <c r="B1408" s="924" t="s">
        <v>794</v>
      </c>
      <c r="C1408" s="924" t="s">
        <v>1179</v>
      </c>
      <c r="D1408" s="924" t="s">
        <v>1180</v>
      </c>
      <c r="E1408" s="924" t="s">
        <v>856</v>
      </c>
      <c r="F1408" s="924" t="s">
        <v>960</v>
      </c>
      <c r="G1408" s="924" t="s">
        <v>858</v>
      </c>
      <c r="H1408" s="924" t="s">
        <v>836</v>
      </c>
      <c r="I1408" s="924" t="s">
        <v>837</v>
      </c>
      <c r="J1408" s="924" t="s">
        <v>870</v>
      </c>
      <c r="K1408" s="924" t="s">
        <v>961</v>
      </c>
      <c r="L1408" s="925">
        <v>20.5378399565816</v>
      </c>
      <c r="M1408" s="925">
        <v>1.8222382426014101E-4</v>
      </c>
    </row>
    <row r="1409" spans="1:13" ht="11.25" customHeight="1" x14ac:dyDescent="0.2">
      <c r="A1409" s="924" t="s">
        <v>853</v>
      </c>
      <c r="B1409" s="924" t="s">
        <v>794</v>
      </c>
      <c r="C1409" s="924" t="s">
        <v>1179</v>
      </c>
      <c r="D1409" s="924" t="s">
        <v>1180</v>
      </c>
      <c r="E1409" s="924" t="s">
        <v>856</v>
      </c>
      <c r="F1409" s="924" t="s">
        <v>962</v>
      </c>
      <c r="G1409" s="924" t="s">
        <v>858</v>
      </c>
      <c r="H1409" s="924" t="s">
        <v>836</v>
      </c>
      <c r="I1409" s="924" t="s">
        <v>837</v>
      </c>
      <c r="J1409" s="924" t="s">
        <v>870</v>
      </c>
      <c r="K1409" s="924" t="s">
        <v>963</v>
      </c>
      <c r="L1409" s="925">
        <v>5.6804260428180001E-2</v>
      </c>
      <c r="M1409" s="925">
        <v>4.0374060738222798E-7</v>
      </c>
    </row>
    <row r="1410" spans="1:13" ht="11.25" customHeight="1" x14ac:dyDescent="0.2">
      <c r="A1410" s="924" t="s">
        <v>853</v>
      </c>
      <c r="B1410" s="924" t="s">
        <v>794</v>
      </c>
      <c r="C1410" s="924" t="s">
        <v>1179</v>
      </c>
      <c r="D1410" s="924" t="s">
        <v>1180</v>
      </c>
      <c r="E1410" s="924" t="s">
        <v>856</v>
      </c>
      <c r="F1410" s="924" t="s">
        <v>964</v>
      </c>
      <c r="G1410" s="924" t="s">
        <v>858</v>
      </c>
      <c r="H1410" s="924" t="s">
        <v>836</v>
      </c>
      <c r="I1410" s="924" t="s">
        <v>837</v>
      </c>
      <c r="J1410" s="924" t="s">
        <v>870</v>
      </c>
      <c r="K1410" s="924" t="s">
        <v>965</v>
      </c>
      <c r="L1410" s="925">
        <v>18.9864999204874</v>
      </c>
      <c r="M1410" s="925">
        <v>1.74324887302291E-4</v>
      </c>
    </row>
    <row r="1411" spans="1:13" ht="11.25" customHeight="1" x14ac:dyDescent="0.2">
      <c r="A1411" s="924" t="s">
        <v>853</v>
      </c>
      <c r="B1411" s="924" t="s">
        <v>794</v>
      </c>
      <c r="C1411" s="924" t="s">
        <v>1179</v>
      </c>
      <c r="D1411" s="924" t="s">
        <v>1180</v>
      </c>
      <c r="E1411" s="924" t="s">
        <v>856</v>
      </c>
      <c r="F1411" s="924" t="s">
        <v>966</v>
      </c>
      <c r="G1411" s="924" t="s">
        <v>858</v>
      </c>
      <c r="H1411" s="924" t="s">
        <v>836</v>
      </c>
      <c r="I1411" s="924" t="s">
        <v>837</v>
      </c>
      <c r="J1411" s="924" t="s">
        <v>870</v>
      </c>
      <c r="K1411" s="924" t="s">
        <v>871</v>
      </c>
      <c r="L1411" s="925">
        <v>52.830603659152999</v>
      </c>
      <c r="M1411" s="925">
        <v>4.5905492928532997E-4</v>
      </c>
    </row>
    <row r="1412" spans="1:13" ht="11.25" customHeight="1" x14ac:dyDescent="0.2">
      <c r="A1412" s="924" t="s">
        <v>853</v>
      </c>
      <c r="B1412" s="924" t="s">
        <v>794</v>
      </c>
      <c r="C1412" s="924" t="s">
        <v>1179</v>
      </c>
      <c r="D1412" s="924" t="s">
        <v>1180</v>
      </c>
      <c r="E1412" s="924" t="s">
        <v>856</v>
      </c>
      <c r="F1412" s="924" t="s">
        <v>967</v>
      </c>
      <c r="G1412" s="924" t="s">
        <v>858</v>
      </c>
      <c r="H1412" s="924" t="s">
        <v>836</v>
      </c>
      <c r="I1412" s="924" t="s">
        <v>837</v>
      </c>
      <c r="J1412" s="924" t="s">
        <v>870</v>
      </c>
      <c r="K1412" s="924" t="s">
        <v>873</v>
      </c>
      <c r="L1412" s="925">
        <v>38.937663063406902</v>
      </c>
      <c r="M1412" s="925">
        <v>6.5781888079285999E-4</v>
      </c>
    </row>
    <row r="1413" spans="1:13" ht="11.25" customHeight="1" x14ac:dyDescent="0.2">
      <c r="A1413" s="924" t="s">
        <v>853</v>
      </c>
      <c r="B1413" s="924" t="s">
        <v>794</v>
      </c>
      <c r="C1413" s="924" t="s">
        <v>1179</v>
      </c>
      <c r="D1413" s="924" t="s">
        <v>1180</v>
      </c>
      <c r="E1413" s="924" t="s">
        <v>856</v>
      </c>
      <c r="F1413" s="924" t="s">
        <v>968</v>
      </c>
      <c r="G1413" s="924" t="s">
        <v>858</v>
      </c>
      <c r="H1413" s="924" t="s">
        <v>836</v>
      </c>
      <c r="I1413" s="924" t="s">
        <v>837</v>
      </c>
      <c r="J1413" s="924" t="s">
        <v>875</v>
      </c>
      <c r="K1413" s="924" t="s">
        <v>876</v>
      </c>
      <c r="L1413" s="925">
        <v>443.68967056274403</v>
      </c>
      <c r="M1413" s="925">
        <v>1.18926667130381E-2</v>
      </c>
    </row>
    <row r="1414" spans="1:13" ht="11.25" customHeight="1" x14ac:dyDescent="0.2">
      <c r="A1414" s="924" t="s">
        <v>853</v>
      </c>
      <c r="B1414" s="924" t="s">
        <v>794</v>
      </c>
      <c r="C1414" s="924" t="s">
        <v>1179</v>
      </c>
      <c r="D1414" s="924" t="s">
        <v>1180</v>
      </c>
      <c r="E1414" s="924" t="s">
        <v>856</v>
      </c>
      <c r="F1414" s="924" t="s">
        <v>969</v>
      </c>
      <c r="G1414" s="924" t="s">
        <v>858</v>
      </c>
      <c r="H1414" s="924" t="s">
        <v>836</v>
      </c>
      <c r="I1414" s="924" t="s">
        <v>837</v>
      </c>
      <c r="J1414" s="924" t="s">
        <v>875</v>
      </c>
      <c r="K1414" s="924" t="s">
        <v>878</v>
      </c>
      <c r="L1414" s="925">
        <v>104.716836333275</v>
      </c>
      <c r="M1414" s="925">
        <v>2.7738860966621801E-3</v>
      </c>
    </row>
    <row r="1415" spans="1:13" ht="11.25" customHeight="1" x14ac:dyDescent="0.2">
      <c r="A1415" s="924" t="s">
        <v>853</v>
      </c>
      <c r="B1415" s="924" t="s">
        <v>794</v>
      </c>
      <c r="C1415" s="924" t="s">
        <v>1179</v>
      </c>
      <c r="D1415" s="924" t="s">
        <v>1180</v>
      </c>
      <c r="E1415" s="924" t="s">
        <v>856</v>
      </c>
      <c r="F1415" s="924" t="s">
        <v>1031</v>
      </c>
      <c r="G1415" s="924" t="s">
        <v>858</v>
      </c>
      <c r="H1415" s="924" t="s">
        <v>836</v>
      </c>
      <c r="I1415" s="924" t="s">
        <v>837</v>
      </c>
      <c r="J1415" s="924" t="s">
        <v>940</v>
      </c>
      <c r="K1415" s="924" t="s">
        <v>1032</v>
      </c>
      <c r="L1415" s="925">
        <v>25.6329933181405</v>
      </c>
      <c r="M1415" s="925">
        <v>5.3483486233929501E-4</v>
      </c>
    </row>
    <row r="1416" spans="1:13" ht="11.25" customHeight="1" x14ac:dyDescent="0.2">
      <c r="A1416" s="924" t="s">
        <v>853</v>
      </c>
      <c r="B1416" s="924" t="s">
        <v>794</v>
      </c>
      <c r="C1416" s="924" t="s">
        <v>1179</v>
      </c>
      <c r="D1416" s="924" t="s">
        <v>1180</v>
      </c>
      <c r="E1416" s="924" t="s">
        <v>856</v>
      </c>
      <c r="F1416" s="924" t="s">
        <v>971</v>
      </c>
      <c r="G1416" s="924" t="s">
        <v>858</v>
      </c>
      <c r="H1416" s="924" t="s">
        <v>836</v>
      </c>
      <c r="I1416" s="924" t="s">
        <v>837</v>
      </c>
      <c r="J1416" s="924" t="s">
        <v>875</v>
      </c>
      <c r="K1416" s="924" t="s">
        <v>948</v>
      </c>
      <c r="L1416" s="925">
        <v>147.63306665420501</v>
      </c>
      <c r="M1416" s="925">
        <v>6.3147749997369803E-3</v>
      </c>
    </row>
    <row r="1417" spans="1:13" ht="11.25" customHeight="1" x14ac:dyDescent="0.2">
      <c r="A1417" s="924" t="s">
        <v>853</v>
      </c>
      <c r="B1417" s="924" t="s">
        <v>794</v>
      </c>
      <c r="C1417" s="924" t="s">
        <v>1179</v>
      </c>
      <c r="D1417" s="924" t="s">
        <v>1180</v>
      </c>
      <c r="E1417" s="924" t="s">
        <v>856</v>
      </c>
      <c r="F1417" s="924" t="s">
        <v>1030</v>
      </c>
      <c r="G1417" s="924" t="s">
        <v>858</v>
      </c>
      <c r="H1417" s="924" t="s">
        <v>836</v>
      </c>
      <c r="I1417" s="924" t="s">
        <v>837</v>
      </c>
      <c r="J1417" s="924" t="s">
        <v>940</v>
      </c>
      <c r="K1417" s="924" t="s">
        <v>941</v>
      </c>
      <c r="L1417" s="925">
        <v>217.58170551061599</v>
      </c>
      <c r="M1417" s="925">
        <v>4.0871771982722302E-3</v>
      </c>
    </row>
    <row r="1418" spans="1:13" ht="11.25" customHeight="1" x14ac:dyDescent="0.2">
      <c r="A1418" s="924" t="s">
        <v>853</v>
      </c>
      <c r="B1418" s="924" t="s">
        <v>794</v>
      </c>
      <c r="C1418" s="924" t="s">
        <v>1179</v>
      </c>
      <c r="D1418" s="924" t="s">
        <v>1180</v>
      </c>
      <c r="E1418" s="924" t="s">
        <v>856</v>
      </c>
      <c r="F1418" s="924" t="s">
        <v>974</v>
      </c>
      <c r="G1418" s="924" t="s">
        <v>858</v>
      </c>
      <c r="H1418" s="924" t="s">
        <v>836</v>
      </c>
      <c r="I1418" s="924" t="s">
        <v>837</v>
      </c>
      <c r="J1418" s="924" t="s">
        <v>875</v>
      </c>
      <c r="K1418" s="924" t="s">
        <v>952</v>
      </c>
      <c r="L1418" s="925">
        <v>12.555055350065199</v>
      </c>
      <c r="M1418" s="925">
        <v>2.8366110448274602E-4</v>
      </c>
    </row>
    <row r="1419" spans="1:13" ht="11.25" customHeight="1" x14ac:dyDescent="0.2">
      <c r="A1419" s="924" t="s">
        <v>853</v>
      </c>
      <c r="B1419" s="924" t="s">
        <v>794</v>
      </c>
      <c r="C1419" s="924" t="s">
        <v>1179</v>
      </c>
      <c r="D1419" s="924" t="s">
        <v>1180</v>
      </c>
      <c r="E1419" s="924" t="s">
        <v>856</v>
      </c>
      <c r="F1419" s="924" t="s">
        <v>955</v>
      </c>
      <c r="G1419" s="924" t="s">
        <v>858</v>
      </c>
      <c r="H1419" s="924" t="s">
        <v>836</v>
      </c>
      <c r="I1419" s="924" t="s">
        <v>837</v>
      </c>
      <c r="J1419" s="924" t="s">
        <v>956</v>
      </c>
      <c r="K1419" s="924" t="s">
        <v>957</v>
      </c>
      <c r="L1419" s="925">
        <v>22.175080925226201</v>
      </c>
      <c r="M1419" s="925">
        <v>1.2735936681806899E-4</v>
      </c>
    </row>
    <row r="1420" spans="1:13" ht="11.25" customHeight="1" x14ac:dyDescent="0.2">
      <c r="A1420" s="924" t="s">
        <v>853</v>
      </c>
      <c r="B1420" s="924" t="s">
        <v>794</v>
      </c>
      <c r="C1420" s="924" t="s">
        <v>1179</v>
      </c>
      <c r="D1420" s="924" t="s">
        <v>1180</v>
      </c>
      <c r="E1420" s="924" t="s">
        <v>856</v>
      </c>
      <c r="F1420" s="924" t="s">
        <v>980</v>
      </c>
      <c r="G1420" s="924" t="s">
        <v>981</v>
      </c>
      <c r="H1420" s="924" t="s">
        <v>835</v>
      </c>
      <c r="I1420" s="924" t="s">
        <v>839</v>
      </c>
      <c r="J1420" s="924" t="s">
        <v>982</v>
      </c>
      <c r="K1420" s="924" t="s">
        <v>983</v>
      </c>
      <c r="L1420" s="925">
        <v>4646.4288873672504</v>
      </c>
      <c r="M1420" s="925">
        <v>5.2996630435809502</v>
      </c>
    </row>
    <row r="1421" spans="1:13" ht="11.25" customHeight="1" x14ac:dyDescent="0.2">
      <c r="A1421" s="924" t="s">
        <v>853</v>
      </c>
      <c r="B1421" s="924" t="s">
        <v>794</v>
      </c>
      <c r="C1421" s="924" t="s">
        <v>1179</v>
      </c>
      <c r="D1421" s="924" t="s">
        <v>1180</v>
      </c>
      <c r="E1421" s="924" t="s">
        <v>856</v>
      </c>
      <c r="F1421" s="924" t="s">
        <v>984</v>
      </c>
      <c r="G1421" s="924" t="s">
        <v>981</v>
      </c>
      <c r="H1421" s="924" t="s">
        <v>835</v>
      </c>
      <c r="I1421" s="924" t="s">
        <v>839</v>
      </c>
      <c r="J1421" s="924" t="s">
        <v>982</v>
      </c>
      <c r="K1421" s="924" t="s">
        <v>985</v>
      </c>
      <c r="L1421" s="925">
        <v>1962.97339820862</v>
      </c>
      <c r="M1421" s="925">
        <v>2.1896753348410098</v>
      </c>
    </row>
    <row r="1422" spans="1:13" ht="11.25" customHeight="1" x14ac:dyDescent="0.2">
      <c r="A1422" s="924" t="s">
        <v>853</v>
      </c>
      <c r="B1422" s="924" t="s">
        <v>794</v>
      </c>
      <c r="C1422" s="924" t="s">
        <v>1179</v>
      </c>
      <c r="D1422" s="924" t="s">
        <v>1180</v>
      </c>
      <c r="E1422" s="924" t="s">
        <v>856</v>
      </c>
      <c r="F1422" s="924" t="s">
        <v>986</v>
      </c>
      <c r="G1422" s="924" t="s">
        <v>981</v>
      </c>
      <c r="H1422" s="924" t="s">
        <v>835</v>
      </c>
      <c r="I1422" s="924" t="s">
        <v>839</v>
      </c>
      <c r="J1422" s="924" t="s">
        <v>987</v>
      </c>
      <c r="K1422" s="924" t="s">
        <v>988</v>
      </c>
      <c r="L1422" s="925">
        <v>2588.7014760971101</v>
      </c>
      <c r="M1422" s="925">
        <v>1.30777612980455</v>
      </c>
    </row>
    <row r="1423" spans="1:13" ht="11.25" customHeight="1" x14ac:dyDescent="0.2">
      <c r="A1423" s="924" t="s">
        <v>853</v>
      </c>
      <c r="B1423" s="924" t="s">
        <v>794</v>
      </c>
      <c r="C1423" s="924" t="s">
        <v>1179</v>
      </c>
      <c r="D1423" s="924" t="s">
        <v>1180</v>
      </c>
      <c r="E1423" s="924" t="s">
        <v>856</v>
      </c>
      <c r="F1423" s="924" t="s">
        <v>989</v>
      </c>
      <c r="G1423" s="924" t="s">
        <v>990</v>
      </c>
      <c r="H1423" s="924" t="s">
        <v>836</v>
      </c>
      <c r="I1423" s="924" t="s">
        <v>839</v>
      </c>
      <c r="J1423" s="924" t="s">
        <v>224</v>
      </c>
      <c r="K1423" s="924" t="s">
        <v>988</v>
      </c>
      <c r="L1423" s="925">
        <v>2038.66839647293</v>
      </c>
      <c r="M1423" s="925">
        <v>6.9412037227564796E-2</v>
      </c>
    </row>
    <row r="1424" spans="1:13" ht="11.25" customHeight="1" x14ac:dyDescent="0.2">
      <c r="A1424" s="924" t="s">
        <v>853</v>
      </c>
      <c r="B1424" s="924" t="s">
        <v>794</v>
      </c>
      <c r="C1424" s="924" t="s">
        <v>1179</v>
      </c>
      <c r="D1424" s="924" t="s">
        <v>1180</v>
      </c>
      <c r="E1424" s="924" t="s">
        <v>856</v>
      </c>
      <c r="F1424" s="924" t="s">
        <v>991</v>
      </c>
      <c r="G1424" s="924" t="s">
        <v>990</v>
      </c>
      <c r="H1424" s="924" t="s">
        <v>836</v>
      </c>
      <c r="I1424" s="924" t="s">
        <v>839</v>
      </c>
      <c r="J1424" s="924" t="s">
        <v>224</v>
      </c>
      <c r="K1424" s="924" t="s">
        <v>983</v>
      </c>
      <c r="L1424" s="925">
        <v>9.4018441680818796</v>
      </c>
      <c r="M1424" s="925">
        <v>5.6141525534325598E-4</v>
      </c>
    </row>
    <row r="1425" spans="1:13" ht="11.25" customHeight="1" x14ac:dyDescent="0.2">
      <c r="A1425" s="924" t="s">
        <v>853</v>
      </c>
      <c r="B1425" s="924" t="s">
        <v>794</v>
      </c>
      <c r="C1425" s="924" t="s">
        <v>1179</v>
      </c>
      <c r="D1425" s="924" t="s">
        <v>1180</v>
      </c>
      <c r="E1425" s="924" t="s">
        <v>856</v>
      </c>
      <c r="F1425" s="924" t="s">
        <v>992</v>
      </c>
      <c r="G1425" s="924" t="s">
        <v>858</v>
      </c>
      <c r="H1425" s="924" t="s">
        <v>836</v>
      </c>
      <c r="I1425" s="924" t="s">
        <v>834</v>
      </c>
      <c r="J1425" s="924" t="s">
        <v>224</v>
      </c>
      <c r="K1425" s="924" t="s">
        <v>993</v>
      </c>
      <c r="L1425" s="925">
        <v>136.83282065391501</v>
      </c>
      <c r="M1425" s="925">
        <v>5.3252550662250498E-3</v>
      </c>
    </row>
    <row r="1426" spans="1:13" ht="11.25" customHeight="1" x14ac:dyDescent="0.2">
      <c r="A1426" s="924" t="s">
        <v>853</v>
      </c>
      <c r="B1426" s="924" t="s">
        <v>794</v>
      </c>
      <c r="C1426" s="924" t="s">
        <v>1179</v>
      </c>
      <c r="D1426" s="924" t="s">
        <v>1180</v>
      </c>
      <c r="E1426" s="924" t="s">
        <v>856</v>
      </c>
      <c r="F1426" s="924" t="s">
        <v>994</v>
      </c>
      <c r="G1426" s="924" t="s">
        <v>981</v>
      </c>
      <c r="H1426" s="924" t="s">
        <v>835</v>
      </c>
      <c r="I1426" s="924" t="s">
        <v>834</v>
      </c>
      <c r="J1426" s="924" t="s">
        <v>995</v>
      </c>
      <c r="K1426" s="924" t="s">
        <v>993</v>
      </c>
      <c r="L1426" s="925">
        <v>8.0738085880875605</v>
      </c>
      <c r="M1426" s="925">
        <v>5.25150834525334E-3</v>
      </c>
    </row>
    <row r="1427" spans="1:13" ht="11.25" customHeight="1" x14ac:dyDescent="0.2">
      <c r="A1427" s="924" t="s">
        <v>853</v>
      </c>
      <c r="B1427" s="924" t="s">
        <v>794</v>
      </c>
      <c r="C1427" s="924" t="s">
        <v>1179</v>
      </c>
      <c r="D1427" s="924" t="s">
        <v>1180</v>
      </c>
      <c r="E1427" s="924" t="s">
        <v>856</v>
      </c>
      <c r="F1427" s="924" t="s">
        <v>1074</v>
      </c>
      <c r="G1427" s="924" t="s">
        <v>911</v>
      </c>
      <c r="H1427" s="924" t="s">
        <v>665</v>
      </c>
      <c r="I1427" s="924" t="s">
        <v>706</v>
      </c>
      <c r="J1427" s="924" t="s">
        <v>859</v>
      </c>
      <c r="K1427" s="924" t="s">
        <v>903</v>
      </c>
      <c r="L1427" s="925">
        <v>5.3535918071866</v>
      </c>
      <c r="M1427" s="925">
        <v>5.9790394857372998E-4</v>
      </c>
    </row>
    <row r="1428" spans="1:13" ht="11.25" customHeight="1" x14ac:dyDescent="0.2">
      <c r="A1428" s="924" t="s">
        <v>853</v>
      </c>
      <c r="B1428" s="924" t="s">
        <v>794</v>
      </c>
      <c r="C1428" s="924" t="s">
        <v>1179</v>
      </c>
      <c r="D1428" s="924" t="s">
        <v>1180</v>
      </c>
      <c r="E1428" s="924" t="s">
        <v>856</v>
      </c>
      <c r="F1428" s="924" t="s">
        <v>970</v>
      </c>
      <c r="G1428" s="924" t="s">
        <v>858</v>
      </c>
      <c r="H1428" s="924" t="s">
        <v>836</v>
      </c>
      <c r="I1428" s="924" t="s">
        <v>837</v>
      </c>
      <c r="J1428" s="924" t="s">
        <v>875</v>
      </c>
      <c r="K1428" s="924" t="s">
        <v>880</v>
      </c>
      <c r="L1428" s="925">
        <v>290.49520874023398</v>
      </c>
      <c r="M1428" s="925">
        <v>5.6448268237545597E-3</v>
      </c>
    </row>
    <row r="1429" spans="1:13" ht="11.25" customHeight="1" x14ac:dyDescent="0.2">
      <c r="A1429" s="924" t="s">
        <v>853</v>
      </c>
      <c r="B1429" s="924" t="s">
        <v>794</v>
      </c>
      <c r="C1429" s="924" t="s">
        <v>1179</v>
      </c>
      <c r="D1429" s="924" t="s">
        <v>1180</v>
      </c>
      <c r="E1429" s="924" t="s">
        <v>856</v>
      </c>
      <c r="F1429" s="924" t="s">
        <v>1013</v>
      </c>
      <c r="G1429" s="924" t="s">
        <v>858</v>
      </c>
      <c r="H1429" s="924" t="s">
        <v>836</v>
      </c>
      <c r="I1429" s="924" t="s">
        <v>837</v>
      </c>
      <c r="J1429" s="924" t="s">
        <v>863</v>
      </c>
      <c r="K1429" s="924" t="s">
        <v>931</v>
      </c>
      <c r="L1429" s="925">
        <v>70.236411035060897</v>
      </c>
      <c r="M1429" s="925">
        <v>2.56739473763901E-3</v>
      </c>
    </row>
    <row r="1430" spans="1:13" ht="11.25" customHeight="1" x14ac:dyDescent="0.2">
      <c r="A1430" s="924" t="s">
        <v>853</v>
      </c>
      <c r="B1430" s="924" t="s">
        <v>794</v>
      </c>
      <c r="C1430" s="924" t="s">
        <v>1179</v>
      </c>
      <c r="D1430" s="924" t="s">
        <v>1180</v>
      </c>
      <c r="E1430" s="924" t="s">
        <v>856</v>
      </c>
      <c r="F1430" s="924" t="s">
        <v>1037</v>
      </c>
      <c r="G1430" s="924" t="s">
        <v>858</v>
      </c>
      <c r="H1430" s="924" t="s">
        <v>836</v>
      </c>
      <c r="I1430" s="924" t="s">
        <v>837</v>
      </c>
      <c r="J1430" s="924" t="s">
        <v>859</v>
      </c>
      <c r="K1430" s="924" t="s">
        <v>918</v>
      </c>
      <c r="L1430" s="925">
        <v>488.475902080536</v>
      </c>
      <c r="M1430" s="925">
        <v>4.7273911712864001E-3</v>
      </c>
    </row>
    <row r="1431" spans="1:13" ht="11.25" customHeight="1" x14ac:dyDescent="0.2">
      <c r="A1431" s="924" t="s">
        <v>853</v>
      </c>
      <c r="B1431" s="924" t="s">
        <v>794</v>
      </c>
      <c r="C1431" s="924" t="s">
        <v>1179</v>
      </c>
      <c r="D1431" s="924" t="s">
        <v>1180</v>
      </c>
      <c r="E1431" s="924" t="s">
        <v>856</v>
      </c>
      <c r="F1431" s="924" t="s">
        <v>886</v>
      </c>
      <c r="G1431" s="924" t="s">
        <v>858</v>
      </c>
      <c r="H1431" s="924" t="s">
        <v>836</v>
      </c>
      <c r="I1431" s="924" t="s">
        <v>837</v>
      </c>
      <c r="J1431" s="924" t="s">
        <v>859</v>
      </c>
      <c r="K1431" s="924" t="s">
        <v>887</v>
      </c>
      <c r="L1431" s="925">
        <v>531.59002733230602</v>
      </c>
      <c r="M1431" s="925">
        <v>3.9342714074450703E-3</v>
      </c>
    </row>
    <row r="1432" spans="1:13" ht="11.25" customHeight="1" x14ac:dyDescent="0.2">
      <c r="A1432" s="924" t="s">
        <v>853</v>
      </c>
      <c r="B1432" s="924" t="s">
        <v>794</v>
      </c>
      <c r="C1432" s="924" t="s">
        <v>1179</v>
      </c>
      <c r="D1432" s="924" t="s">
        <v>1180</v>
      </c>
      <c r="E1432" s="924" t="s">
        <v>856</v>
      </c>
      <c r="F1432" s="924" t="s">
        <v>1071</v>
      </c>
      <c r="G1432" s="924" t="s">
        <v>858</v>
      </c>
      <c r="H1432" s="924" t="s">
        <v>836</v>
      </c>
      <c r="I1432" s="924" t="s">
        <v>837</v>
      </c>
      <c r="J1432" s="924" t="s">
        <v>859</v>
      </c>
      <c r="K1432" s="924" t="s">
        <v>1072</v>
      </c>
      <c r="L1432" s="925">
        <v>1828.5364303588899</v>
      </c>
      <c r="M1432" s="925">
        <v>1.6262455543028399E-2</v>
      </c>
    </row>
    <row r="1433" spans="1:13" ht="11.25" customHeight="1" x14ac:dyDescent="0.2">
      <c r="A1433" s="924" t="s">
        <v>853</v>
      </c>
      <c r="B1433" s="924" t="s">
        <v>794</v>
      </c>
      <c r="C1433" s="924" t="s">
        <v>1179</v>
      </c>
      <c r="D1433" s="924" t="s">
        <v>1180</v>
      </c>
      <c r="E1433" s="924" t="s">
        <v>856</v>
      </c>
      <c r="F1433" s="924" t="s">
        <v>953</v>
      </c>
      <c r="G1433" s="924" t="s">
        <v>858</v>
      </c>
      <c r="H1433" s="924" t="s">
        <v>836</v>
      </c>
      <c r="I1433" s="924" t="s">
        <v>837</v>
      </c>
      <c r="J1433" s="924" t="s">
        <v>859</v>
      </c>
      <c r="K1433" s="924" t="s">
        <v>920</v>
      </c>
      <c r="L1433" s="925">
        <v>86.014155745506301</v>
      </c>
      <c r="M1433" s="925">
        <v>1.1094754694625001E-3</v>
      </c>
    </row>
    <row r="1434" spans="1:13" ht="11.25" customHeight="1" x14ac:dyDescent="0.2">
      <c r="A1434" s="924" t="s">
        <v>853</v>
      </c>
      <c r="B1434" s="924" t="s">
        <v>794</v>
      </c>
      <c r="C1434" s="924" t="s">
        <v>1179</v>
      </c>
      <c r="D1434" s="924" t="s">
        <v>1180</v>
      </c>
      <c r="E1434" s="924" t="s">
        <v>856</v>
      </c>
      <c r="F1434" s="924" t="s">
        <v>1002</v>
      </c>
      <c r="G1434" s="924" t="s">
        <v>858</v>
      </c>
      <c r="H1434" s="924" t="s">
        <v>836</v>
      </c>
      <c r="I1434" s="924" t="s">
        <v>837</v>
      </c>
      <c r="J1434" s="924" t="s">
        <v>859</v>
      </c>
      <c r="K1434" s="924" t="s">
        <v>922</v>
      </c>
      <c r="L1434" s="925">
        <v>684.06516361236595</v>
      </c>
      <c r="M1434" s="925">
        <v>7.8209449451378497E-3</v>
      </c>
    </row>
    <row r="1435" spans="1:13" ht="11.25" customHeight="1" x14ac:dyDescent="0.2">
      <c r="A1435" s="924" t="s">
        <v>853</v>
      </c>
      <c r="B1435" s="924" t="s">
        <v>794</v>
      </c>
      <c r="C1435" s="924" t="s">
        <v>1179</v>
      </c>
      <c r="D1435" s="924" t="s">
        <v>1180</v>
      </c>
      <c r="E1435" s="924" t="s">
        <v>856</v>
      </c>
      <c r="F1435" s="924" t="s">
        <v>1003</v>
      </c>
      <c r="G1435" s="924" t="s">
        <v>858</v>
      </c>
      <c r="H1435" s="924" t="s">
        <v>836</v>
      </c>
      <c r="I1435" s="924" t="s">
        <v>837</v>
      </c>
      <c r="J1435" s="924" t="s">
        <v>859</v>
      </c>
      <c r="K1435" s="924" t="s">
        <v>924</v>
      </c>
      <c r="L1435" s="925">
        <v>2325.8297042846698</v>
      </c>
      <c r="M1435" s="925">
        <v>2.2183278781085398E-2</v>
      </c>
    </row>
    <row r="1436" spans="1:13" ht="11.25" customHeight="1" x14ac:dyDescent="0.2">
      <c r="A1436" s="924" t="s">
        <v>853</v>
      </c>
      <c r="B1436" s="924" t="s">
        <v>794</v>
      </c>
      <c r="C1436" s="924" t="s">
        <v>1179</v>
      </c>
      <c r="D1436" s="924" t="s">
        <v>1180</v>
      </c>
      <c r="E1436" s="924" t="s">
        <v>856</v>
      </c>
      <c r="F1436" s="924" t="s">
        <v>1004</v>
      </c>
      <c r="G1436" s="924" t="s">
        <v>858</v>
      </c>
      <c r="H1436" s="924" t="s">
        <v>836</v>
      </c>
      <c r="I1436" s="924" t="s">
        <v>837</v>
      </c>
      <c r="J1436" s="924" t="s">
        <v>859</v>
      </c>
      <c r="K1436" s="924" t="s">
        <v>926</v>
      </c>
      <c r="L1436" s="925">
        <v>1409.5384197235101</v>
      </c>
      <c r="M1436" s="925">
        <v>5.7520026050042403E-2</v>
      </c>
    </row>
    <row r="1437" spans="1:13" ht="11.25" customHeight="1" x14ac:dyDescent="0.2">
      <c r="A1437" s="924" t="s">
        <v>853</v>
      </c>
      <c r="B1437" s="924" t="s">
        <v>794</v>
      </c>
      <c r="C1437" s="924" t="s">
        <v>1179</v>
      </c>
      <c r="D1437" s="924" t="s">
        <v>1180</v>
      </c>
      <c r="E1437" s="924" t="s">
        <v>856</v>
      </c>
      <c r="F1437" s="924" t="s">
        <v>1005</v>
      </c>
      <c r="G1437" s="924" t="s">
        <v>858</v>
      </c>
      <c r="H1437" s="924" t="s">
        <v>836</v>
      </c>
      <c r="I1437" s="924" t="s">
        <v>837</v>
      </c>
      <c r="J1437" s="924" t="s">
        <v>859</v>
      </c>
      <c r="K1437" s="924" t="s">
        <v>1006</v>
      </c>
      <c r="L1437" s="925">
        <v>2127.4039459228502</v>
      </c>
      <c r="M1437" s="925">
        <v>1.6477828005918099E-2</v>
      </c>
    </row>
    <row r="1438" spans="1:13" ht="11.25" customHeight="1" x14ac:dyDescent="0.2">
      <c r="A1438" s="924" t="s">
        <v>853</v>
      </c>
      <c r="B1438" s="924" t="s">
        <v>794</v>
      </c>
      <c r="C1438" s="924" t="s">
        <v>1179</v>
      </c>
      <c r="D1438" s="924" t="s">
        <v>1180</v>
      </c>
      <c r="E1438" s="924" t="s">
        <v>856</v>
      </c>
      <c r="F1438" s="924" t="s">
        <v>1007</v>
      </c>
      <c r="G1438" s="924" t="s">
        <v>858</v>
      </c>
      <c r="H1438" s="924" t="s">
        <v>836</v>
      </c>
      <c r="I1438" s="924" t="s">
        <v>837</v>
      </c>
      <c r="J1438" s="924" t="s">
        <v>859</v>
      </c>
      <c r="K1438" s="924" t="s">
        <v>928</v>
      </c>
      <c r="L1438" s="925">
        <v>979.42426204681396</v>
      </c>
      <c r="M1438" s="925">
        <v>4.2708260818471899E-2</v>
      </c>
    </row>
    <row r="1439" spans="1:13" ht="11.25" customHeight="1" x14ac:dyDescent="0.2">
      <c r="A1439" s="924" t="s">
        <v>853</v>
      </c>
      <c r="B1439" s="924" t="s">
        <v>794</v>
      </c>
      <c r="C1439" s="924" t="s">
        <v>1179</v>
      </c>
      <c r="D1439" s="924" t="s">
        <v>1180</v>
      </c>
      <c r="E1439" s="924" t="s">
        <v>856</v>
      </c>
      <c r="F1439" s="924" t="s">
        <v>1008</v>
      </c>
      <c r="G1439" s="924" t="s">
        <v>858</v>
      </c>
      <c r="H1439" s="924" t="s">
        <v>836</v>
      </c>
      <c r="I1439" s="924" t="s">
        <v>837</v>
      </c>
      <c r="J1439" s="924" t="s">
        <v>859</v>
      </c>
      <c r="K1439" s="924" t="s">
        <v>1009</v>
      </c>
      <c r="L1439" s="925">
        <v>228.32395029067999</v>
      </c>
      <c r="M1439" s="925">
        <v>1.8600848520407001E-3</v>
      </c>
    </row>
    <row r="1440" spans="1:13" ht="11.25" customHeight="1" x14ac:dyDescent="0.2">
      <c r="A1440" s="924" t="s">
        <v>853</v>
      </c>
      <c r="B1440" s="924" t="s">
        <v>794</v>
      </c>
      <c r="C1440" s="924" t="s">
        <v>1179</v>
      </c>
      <c r="D1440" s="924" t="s">
        <v>1180</v>
      </c>
      <c r="E1440" s="924" t="s">
        <v>856</v>
      </c>
      <c r="F1440" s="924" t="s">
        <v>975</v>
      </c>
      <c r="G1440" s="924" t="s">
        <v>858</v>
      </c>
      <c r="H1440" s="924" t="s">
        <v>836</v>
      </c>
      <c r="I1440" s="924" t="s">
        <v>837</v>
      </c>
      <c r="J1440" s="924" t="s">
        <v>870</v>
      </c>
      <c r="K1440" s="924" t="s">
        <v>976</v>
      </c>
      <c r="L1440" s="925">
        <v>2699.3300218582199</v>
      </c>
      <c r="M1440" s="925">
        <v>4.0399402698881197E-2</v>
      </c>
    </row>
    <row r="1441" spans="1:13" ht="11.25" customHeight="1" x14ac:dyDescent="0.2">
      <c r="A1441" s="924" t="s">
        <v>853</v>
      </c>
      <c r="B1441" s="924" t="s">
        <v>794</v>
      </c>
      <c r="C1441" s="924" t="s">
        <v>1179</v>
      </c>
      <c r="D1441" s="924" t="s">
        <v>1180</v>
      </c>
      <c r="E1441" s="924" t="s">
        <v>856</v>
      </c>
      <c r="F1441" s="924" t="s">
        <v>1012</v>
      </c>
      <c r="G1441" s="924" t="s">
        <v>858</v>
      </c>
      <c r="H1441" s="924" t="s">
        <v>836</v>
      </c>
      <c r="I1441" s="924" t="s">
        <v>837</v>
      </c>
      <c r="J1441" s="924" t="s">
        <v>859</v>
      </c>
      <c r="K1441" s="924" t="s">
        <v>891</v>
      </c>
      <c r="L1441" s="925">
        <v>219.60696601867701</v>
      </c>
      <c r="M1441" s="925">
        <v>2.9107250878155399E-3</v>
      </c>
    </row>
    <row r="1442" spans="1:13" ht="11.25" customHeight="1" x14ac:dyDescent="0.2">
      <c r="A1442" s="924" t="s">
        <v>853</v>
      </c>
      <c r="B1442" s="924" t="s">
        <v>794</v>
      </c>
      <c r="C1442" s="924" t="s">
        <v>1179</v>
      </c>
      <c r="D1442" s="924" t="s">
        <v>1180</v>
      </c>
      <c r="E1442" s="924" t="s">
        <v>856</v>
      </c>
      <c r="F1442" s="924" t="s">
        <v>1033</v>
      </c>
      <c r="G1442" s="924" t="s">
        <v>858</v>
      </c>
      <c r="H1442" s="924" t="s">
        <v>836</v>
      </c>
      <c r="I1442" s="924" t="s">
        <v>837</v>
      </c>
      <c r="J1442" s="924" t="s">
        <v>940</v>
      </c>
      <c r="K1442" s="924" t="s">
        <v>1034</v>
      </c>
      <c r="L1442" s="925">
        <v>0.65094222291372705</v>
      </c>
      <c r="M1442" s="925">
        <v>2.13460763925921E-5</v>
      </c>
    </row>
    <row r="1443" spans="1:13" ht="11.25" customHeight="1" x14ac:dyDescent="0.2">
      <c r="A1443" s="924" t="s">
        <v>853</v>
      </c>
      <c r="B1443" s="924" t="s">
        <v>794</v>
      </c>
      <c r="C1443" s="924" t="s">
        <v>1179</v>
      </c>
      <c r="D1443" s="924" t="s">
        <v>1180</v>
      </c>
      <c r="E1443" s="924" t="s">
        <v>856</v>
      </c>
      <c r="F1443" s="924" t="s">
        <v>1014</v>
      </c>
      <c r="G1443" s="924" t="s">
        <v>858</v>
      </c>
      <c r="H1443" s="924" t="s">
        <v>836</v>
      </c>
      <c r="I1443" s="924" t="s">
        <v>837</v>
      </c>
      <c r="J1443" s="924" t="s">
        <v>863</v>
      </c>
      <c r="K1443" s="924" t="s">
        <v>933</v>
      </c>
      <c r="L1443" s="925">
        <v>1017.52602100372</v>
      </c>
      <c r="M1443" s="925">
        <v>7.2036241325577101E-3</v>
      </c>
    </row>
    <row r="1444" spans="1:13" ht="11.25" customHeight="1" x14ac:dyDescent="0.2">
      <c r="A1444" s="924" t="s">
        <v>853</v>
      </c>
      <c r="B1444" s="924" t="s">
        <v>794</v>
      </c>
      <c r="C1444" s="924" t="s">
        <v>1179</v>
      </c>
      <c r="D1444" s="924" t="s">
        <v>1180</v>
      </c>
      <c r="E1444" s="924" t="s">
        <v>856</v>
      </c>
      <c r="F1444" s="924" t="s">
        <v>1038</v>
      </c>
      <c r="G1444" s="924" t="s">
        <v>858</v>
      </c>
      <c r="H1444" s="924" t="s">
        <v>836</v>
      </c>
      <c r="I1444" s="924" t="s">
        <v>837</v>
      </c>
      <c r="J1444" s="924" t="s">
        <v>863</v>
      </c>
      <c r="K1444" s="924" t="s">
        <v>935</v>
      </c>
      <c r="L1444" s="925">
        <v>444.47283506393399</v>
      </c>
      <c r="M1444" s="925">
        <v>4.8104658911825001E-3</v>
      </c>
    </row>
    <row r="1445" spans="1:13" ht="11.25" customHeight="1" x14ac:dyDescent="0.2">
      <c r="A1445" s="924" t="s">
        <v>853</v>
      </c>
      <c r="B1445" s="924" t="s">
        <v>794</v>
      </c>
      <c r="C1445" s="924" t="s">
        <v>1179</v>
      </c>
      <c r="D1445" s="924" t="s">
        <v>1180</v>
      </c>
      <c r="E1445" s="924" t="s">
        <v>856</v>
      </c>
      <c r="F1445" s="924" t="s">
        <v>1017</v>
      </c>
      <c r="G1445" s="924" t="s">
        <v>858</v>
      </c>
      <c r="H1445" s="924" t="s">
        <v>836</v>
      </c>
      <c r="I1445" s="924" t="s">
        <v>837</v>
      </c>
      <c r="J1445" s="924" t="s">
        <v>863</v>
      </c>
      <c r="K1445" s="924" t="s">
        <v>864</v>
      </c>
      <c r="L1445" s="925">
        <v>450.75963926315302</v>
      </c>
      <c r="M1445" s="925">
        <v>6.1131970491032899E-3</v>
      </c>
    </row>
    <row r="1446" spans="1:13" ht="11.25" customHeight="1" x14ac:dyDescent="0.2">
      <c r="A1446" s="924" t="s">
        <v>853</v>
      </c>
      <c r="B1446" s="924" t="s">
        <v>794</v>
      </c>
      <c r="C1446" s="924" t="s">
        <v>1179</v>
      </c>
      <c r="D1446" s="924" t="s">
        <v>1180</v>
      </c>
      <c r="E1446" s="924" t="s">
        <v>856</v>
      </c>
      <c r="F1446" s="924" t="s">
        <v>1001</v>
      </c>
      <c r="G1446" s="924" t="s">
        <v>858</v>
      </c>
      <c r="H1446" s="924" t="s">
        <v>836</v>
      </c>
      <c r="I1446" s="924" t="s">
        <v>837</v>
      </c>
      <c r="J1446" s="924" t="s">
        <v>863</v>
      </c>
      <c r="K1446" s="924" t="s">
        <v>915</v>
      </c>
      <c r="L1446" s="925">
        <v>17.397343814372999</v>
      </c>
      <c r="M1446" s="925">
        <v>5.3156305641266499E-4</v>
      </c>
    </row>
    <row r="1447" spans="1:13" ht="11.25" customHeight="1" x14ac:dyDescent="0.2">
      <c r="A1447" s="924" t="s">
        <v>853</v>
      </c>
      <c r="B1447" s="924" t="s">
        <v>794</v>
      </c>
      <c r="C1447" s="924" t="s">
        <v>1179</v>
      </c>
      <c r="D1447" s="924" t="s">
        <v>1180</v>
      </c>
      <c r="E1447" s="924" t="s">
        <v>856</v>
      </c>
      <c r="F1447" s="924" t="s">
        <v>1020</v>
      </c>
      <c r="G1447" s="924" t="s">
        <v>858</v>
      </c>
      <c r="H1447" s="924" t="s">
        <v>836</v>
      </c>
      <c r="I1447" s="924" t="s">
        <v>837</v>
      </c>
      <c r="J1447" s="924" t="s">
        <v>863</v>
      </c>
      <c r="K1447" s="924" t="s">
        <v>866</v>
      </c>
      <c r="L1447" s="925">
        <v>1819.7177352905301</v>
      </c>
      <c r="M1447" s="925">
        <v>4.4169206020796999E-2</v>
      </c>
    </row>
    <row r="1448" spans="1:13" ht="11.25" customHeight="1" x14ac:dyDescent="0.2">
      <c r="A1448" s="924" t="s">
        <v>853</v>
      </c>
      <c r="B1448" s="924" t="s">
        <v>794</v>
      </c>
      <c r="C1448" s="924" t="s">
        <v>1179</v>
      </c>
      <c r="D1448" s="924" t="s">
        <v>1180</v>
      </c>
      <c r="E1448" s="924" t="s">
        <v>856</v>
      </c>
      <c r="F1448" s="924" t="s">
        <v>1021</v>
      </c>
      <c r="G1448" s="924" t="s">
        <v>858</v>
      </c>
      <c r="H1448" s="924" t="s">
        <v>836</v>
      </c>
      <c r="I1448" s="924" t="s">
        <v>837</v>
      </c>
      <c r="J1448" s="924" t="s">
        <v>863</v>
      </c>
      <c r="K1448" s="924" t="s">
        <v>868</v>
      </c>
      <c r="L1448" s="925">
        <v>641.29549980163597</v>
      </c>
      <c r="M1448" s="925">
        <v>3.4470773399561901E-3</v>
      </c>
    </row>
    <row r="1449" spans="1:13" ht="11.25" customHeight="1" x14ac:dyDescent="0.2">
      <c r="A1449" s="924" t="s">
        <v>853</v>
      </c>
      <c r="B1449" s="924" t="s">
        <v>794</v>
      </c>
      <c r="C1449" s="924" t="s">
        <v>1179</v>
      </c>
      <c r="D1449" s="924" t="s">
        <v>1180</v>
      </c>
      <c r="E1449" s="924" t="s">
        <v>856</v>
      </c>
      <c r="F1449" s="924" t="s">
        <v>1022</v>
      </c>
      <c r="G1449" s="924" t="s">
        <v>858</v>
      </c>
      <c r="H1449" s="924" t="s">
        <v>836</v>
      </c>
      <c r="I1449" s="924" t="s">
        <v>837</v>
      </c>
      <c r="J1449" s="924" t="s">
        <v>940</v>
      </c>
      <c r="K1449" s="924" t="s">
        <v>1023</v>
      </c>
      <c r="L1449" s="925">
        <v>2.2771436051698402E-2</v>
      </c>
      <c r="M1449" s="925">
        <v>1.02287182524724E-6</v>
      </c>
    </row>
    <row r="1450" spans="1:13" ht="11.25" customHeight="1" x14ac:dyDescent="0.2">
      <c r="A1450" s="924" t="s">
        <v>853</v>
      </c>
      <c r="B1450" s="924" t="s">
        <v>794</v>
      </c>
      <c r="C1450" s="924" t="s">
        <v>1179</v>
      </c>
      <c r="D1450" s="924" t="s">
        <v>1180</v>
      </c>
      <c r="E1450" s="924" t="s">
        <v>856</v>
      </c>
      <c r="F1450" s="924" t="s">
        <v>1024</v>
      </c>
      <c r="G1450" s="924" t="s">
        <v>858</v>
      </c>
      <c r="H1450" s="924" t="s">
        <v>836</v>
      </c>
      <c r="I1450" s="924" t="s">
        <v>837</v>
      </c>
      <c r="J1450" s="924" t="s">
        <v>940</v>
      </c>
      <c r="K1450" s="924" t="s">
        <v>1025</v>
      </c>
      <c r="L1450" s="925">
        <v>6.0468362569809004</v>
      </c>
      <c r="M1450" s="925">
        <v>9.9470666754086805E-5</v>
      </c>
    </row>
    <row r="1451" spans="1:13" ht="11.25" customHeight="1" x14ac:dyDescent="0.2">
      <c r="A1451" s="924" t="s">
        <v>853</v>
      </c>
      <c r="B1451" s="924" t="s">
        <v>794</v>
      </c>
      <c r="C1451" s="924" t="s">
        <v>1179</v>
      </c>
      <c r="D1451" s="924" t="s">
        <v>1180</v>
      </c>
      <c r="E1451" s="924" t="s">
        <v>856</v>
      </c>
      <c r="F1451" s="924" t="s">
        <v>1026</v>
      </c>
      <c r="G1451" s="924" t="s">
        <v>858</v>
      </c>
      <c r="H1451" s="924" t="s">
        <v>836</v>
      </c>
      <c r="I1451" s="924" t="s">
        <v>837</v>
      </c>
      <c r="J1451" s="924" t="s">
        <v>940</v>
      </c>
      <c r="K1451" s="924" t="s">
        <v>1027</v>
      </c>
      <c r="L1451" s="925">
        <v>159.60873687267301</v>
      </c>
      <c r="M1451" s="925">
        <v>6.7364730795702599E-3</v>
      </c>
    </row>
    <row r="1452" spans="1:13" ht="11.25" customHeight="1" x14ac:dyDescent="0.2">
      <c r="A1452" s="924" t="s">
        <v>853</v>
      </c>
      <c r="B1452" s="924" t="s">
        <v>794</v>
      </c>
      <c r="C1452" s="924" t="s">
        <v>1179</v>
      </c>
      <c r="D1452" s="924" t="s">
        <v>1180</v>
      </c>
      <c r="E1452" s="924" t="s">
        <v>856</v>
      </c>
      <c r="F1452" s="924" t="s">
        <v>1028</v>
      </c>
      <c r="G1452" s="924" t="s">
        <v>858</v>
      </c>
      <c r="H1452" s="924" t="s">
        <v>836</v>
      </c>
      <c r="I1452" s="924" t="s">
        <v>837</v>
      </c>
      <c r="J1452" s="924" t="s">
        <v>940</v>
      </c>
      <c r="K1452" s="924" t="s">
        <v>1029</v>
      </c>
      <c r="L1452" s="925">
        <v>32.943260088563001</v>
      </c>
      <c r="M1452" s="925">
        <v>1.78697831350938E-3</v>
      </c>
    </row>
    <row r="1453" spans="1:13" ht="11.25" customHeight="1" x14ac:dyDescent="0.2">
      <c r="A1453" s="924" t="s">
        <v>853</v>
      </c>
      <c r="B1453" s="924" t="s">
        <v>794</v>
      </c>
      <c r="C1453" s="924" t="s">
        <v>1179</v>
      </c>
      <c r="D1453" s="924" t="s">
        <v>1180</v>
      </c>
      <c r="E1453" s="924" t="s">
        <v>856</v>
      </c>
      <c r="F1453" s="924" t="s">
        <v>972</v>
      </c>
      <c r="G1453" s="924" t="s">
        <v>858</v>
      </c>
      <c r="H1453" s="924" t="s">
        <v>836</v>
      </c>
      <c r="I1453" s="924" t="s">
        <v>837</v>
      </c>
      <c r="J1453" s="924" t="s">
        <v>859</v>
      </c>
      <c r="K1453" s="924" t="s">
        <v>973</v>
      </c>
      <c r="L1453" s="925">
        <v>8.4512870684266108</v>
      </c>
      <c r="M1453" s="925">
        <v>2.15291170214016E-4</v>
      </c>
    </row>
    <row r="1454" spans="1:13" ht="11.25" customHeight="1" x14ac:dyDescent="0.2">
      <c r="A1454" s="924" t="s">
        <v>853</v>
      </c>
      <c r="B1454" s="924" t="s">
        <v>794</v>
      </c>
      <c r="C1454" s="924" t="s">
        <v>1179</v>
      </c>
      <c r="D1454" s="924" t="s">
        <v>1180</v>
      </c>
      <c r="E1454" s="924" t="s">
        <v>856</v>
      </c>
      <c r="F1454" s="924" t="s">
        <v>1010</v>
      </c>
      <c r="G1454" s="924" t="s">
        <v>858</v>
      </c>
      <c r="H1454" s="924" t="s">
        <v>836</v>
      </c>
      <c r="I1454" s="924" t="s">
        <v>837</v>
      </c>
      <c r="J1454" s="924" t="s">
        <v>859</v>
      </c>
      <c r="K1454" s="924" t="s">
        <v>1011</v>
      </c>
      <c r="L1454" s="925">
        <v>2.9965764135122299</v>
      </c>
      <c r="M1454" s="925">
        <v>1.37885323923115E-4</v>
      </c>
    </row>
    <row r="1455" spans="1:13" ht="11.25" customHeight="1" x14ac:dyDescent="0.2">
      <c r="A1455" s="924" t="s">
        <v>853</v>
      </c>
      <c r="B1455" s="924" t="s">
        <v>794</v>
      </c>
      <c r="C1455" s="924" t="s">
        <v>1179</v>
      </c>
      <c r="D1455" s="924" t="s">
        <v>1180</v>
      </c>
      <c r="E1455" s="924" t="s">
        <v>856</v>
      </c>
      <c r="F1455" s="924" t="s">
        <v>1039</v>
      </c>
      <c r="G1455" s="924" t="s">
        <v>981</v>
      </c>
      <c r="H1455" s="924" t="s">
        <v>835</v>
      </c>
      <c r="I1455" s="924" t="s">
        <v>1040</v>
      </c>
      <c r="J1455" s="924" t="s">
        <v>859</v>
      </c>
      <c r="K1455" s="924" t="s">
        <v>901</v>
      </c>
      <c r="L1455" s="925">
        <v>0.92977238819003105</v>
      </c>
      <c r="M1455" s="925">
        <v>6.8781876234424999E-4</v>
      </c>
    </row>
    <row r="1456" spans="1:13" ht="11.25" customHeight="1" x14ac:dyDescent="0.2">
      <c r="A1456" s="924" t="s">
        <v>853</v>
      </c>
      <c r="B1456" s="924" t="s">
        <v>794</v>
      </c>
      <c r="C1456" s="924" t="s">
        <v>1179</v>
      </c>
      <c r="D1456" s="924" t="s">
        <v>1180</v>
      </c>
      <c r="E1456" s="924" t="s">
        <v>856</v>
      </c>
      <c r="F1456" s="924" t="s">
        <v>997</v>
      </c>
      <c r="G1456" s="924" t="s">
        <v>981</v>
      </c>
      <c r="H1456" s="924" t="s">
        <v>835</v>
      </c>
      <c r="I1456" s="924" t="s">
        <v>998</v>
      </c>
      <c r="J1456" s="924" t="s">
        <v>884</v>
      </c>
      <c r="K1456" s="924" t="s">
        <v>999</v>
      </c>
      <c r="L1456" s="925">
        <v>503.70559787750199</v>
      </c>
      <c r="M1456" s="925">
        <v>1.60464026220143</v>
      </c>
    </row>
    <row r="1457" spans="1:13" ht="11.25" customHeight="1" x14ac:dyDescent="0.2">
      <c r="A1457" s="924" t="s">
        <v>853</v>
      </c>
      <c r="B1457" s="924" t="s">
        <v>794</v>
      </c>
      <c r="C1457" s="924" t="s">
        <v>1179</v>
      </c>
      <c r="D1457" s="924" t="s">
        <v>1180</v>
      </c>
      <c r="E1457" s="924" t="s">
        <v>856</v>
      </c>
      <c r="F1457" s="924" t="s">
        <v>1042</v>
      </c>
      <c r="G1457" s="924" t="s">
        <v>981</v>
      </c>
      <c r="H1457" s="924" t="s">
        <v>835</v>
      </c>
      <c r="I1457" s="924" t="s">
        <v>998</v>
      </c>
      <c r="J1457" s="924" t="s">
        <v>956</v>
      </c>
      <c r="K1457" s="924" t="s">
        <v>1043</v>
      </c>
      <c r="L1457" s="925">
        <v>0.40775543637573702</v>
      </c>
      <c r="M1457" s="925">
        <v>7.0628029607178199E-4</v>
      </c>
    </row>
    <row r="1458" spans="1:13" ht="11.25" customHeight="1" x14ac:dyDescent="0.2">
      <c r="A1458" s="924" t="s">
        <v>853</v>
      </c>
      <c r="B1458" s="924" t="s">
        <v>794</v>
      </c>
      <c r="C1458" s="924" t="s">
        <v>1179</v>
      </c>
      <c r="D1458" s="924" t="s">
        <v>1180</v>
      </c>
      <c r="E1458" s="924" t="s">
        <v>856</v>
      </c>
      <c r="F1458" s="924" t="s">
        <v>1044</v>
      </c>
      <c r="G1458" s="924" t="s">
        <v>981</v>
      </c>
      <c r="H1458" s="924" t="s">
        <v>835</v>
      </c>
      <c r="I1458" s="924" t="s">
        <v>1040</v>
      </c>
      <c r="J1458" s="924" t="s">
        <v>884</v>
      </c>
      <c r="K1458" s="924" t="s">
        <v>999</v>
      </c>
      <c r="L1458" s="925">
        <v>229.49285984039301</v>
      </c>
      <c r="M1458" s="925">
        <v>0.31651329016676799</v>
      </c>
    </row>
    <row r="1459" spans="1:13" ht="11.25" customHeight="1" x14ac:dyDescent="0.2">
      <c r="A1459" s="924" t="s">
        <v>853</v>
      </c>
      <c r="B1459" s="924" t="s">
        <v>794</v>
      </c>
      <c r="C1459" s="924" t="s">
        <v>1179</v>
      </c>
      <c r="D1459" s="924" t="s">
        <v>1180</v>
      </c>
      <c r="E1459" s="924" t="s">
        <v>856</v>
      </c>
      <c r="F1459" s="924" t="s">
        <v>1045</v>
      </c>
      <c r="G1459" s="924" t="s">
        <v>981</v>
      </c>
      <c r="H1459" s="924" t="s">
        <v>835</v>
      </c>
      <c r="I1459" s="924" t="s">
        <v>1040</v>
      </c>
      <c r="J1459" s="924" t="s">
        <v>884</v>
      </c>
      <c r="K1459" s="924" t="s">
        <v>1046</v>
      </c>
      <c r="L1459" s="925">
        <v>2183.70581817627</v>
      </c>
      <c r="M1459" s="925">
        <v>2.2328863361908602</v>
      </c>
    </row>
    <row r="1460" spans="1:13" ht="11.25" customHeight="1" x14ac:dyDescent="0.2">
      <c r="A1460" s="924" t="s">
        <v>853</v>
      </c>
      <c r="B1460" s="924" t="s">
        <v>794</v>
      </c>
      <c r="C1460" s="924" t="s">
        <v>1179</v>
      </c>
      <c r="D1460" s="924" t="s">
        <v>1180</v>
      </c>
      <c r="E1460" s="924" t="s">
        <v>856</v>
      </c>
      <c r="F1460" s="924" t="s">
        <v>1047</v>
      </c>
      <c r="G1460" s="924" t="s">
        <v>981</v>
      </c>
      <c r="H1460" s="924" t="s">
        <v>835</v>
      </c>
      <c r="I1460" s="924" t="s">
        <v>1040</v>
      </c>
      <c r="J1460" s="924" t="s">
        <v>884</v>
      </c>
      <c r="K1460" s="924" t="s">
        <v>1048</v>
      </c>
      <c r="L1460" s="925">
        <v>372.96611309051502</v>
      </c>
      <c r="M1460" s="925">
        <v>0.280873899813741</v>
      </c>
    </row>
    <row r="1461" spans="1:13" ht="11.25" customHeight="1" x14ac:dyDescent="0.2">
      <c r="A1461" s="924" t="s">
        <v>853</v>
      </c>
      <c r="B1461" s="924" t="s">
        <v>794</v>
      </c>
      <c r="C1461" s="924" t="s">
        <v>1179</v>
      </c>
      <c r="D1461" s="924" t="s">
        <v>1180</v>
      </c>
      <c r="E1461" s="924" t="s">
        <v>856</v>
      </c>
      <c r="F1461" s="924" t="s">
        <v>1049</v>
      </c>
      <c r="G1461" s="924" t="s">
        <v>981</v>
      </c>
      <c r="H1461" s="924" t="s">
        <v>835</v>
      </c>
      <c r="I1461" s="924" t="s">
        <v>1040</v>
      </c>
      <c r="J1461" s="924" t="s">
        <v>884</v>
      </c>
      <c r="K1461" s="924" t="s">
        <v>885</v>
      </c>
      <c r="L1461" s="925">
        <v>287.528736591339</v>
      </c>
      <c r="M1461" s="925">
        <v>0.273709898639936</v>
      </c>
    </row>
    <row r="1462" spans="1:13" ht="11.25" customHeight="1" x14ac:dyDescent="0.2">
      <c r="A1462" s="924" t="s">
        <v>853</v>
      </c>
      <c r="B1462" s="924" t="s">
        <v>794</v>
      </c>
      <c r="C1462" s="924" t="s">
        <v>1179</v>
      </c>
      <c r="D1462" s="924" t="s">
        <v>1180</v>
      </c>
      <c r="E1462" s="924" t="s">
        <v>856</v>
      </c>
      <c r="F1462" s="924" t="s">
        <v>1050</v>
      </c>
      <c r="G1462" s="924" t="s">
        <v>981</v>
      </c>
      <c r="H1462" s="924" t="s">
        <v>835</v>
      </c>
      <c r="I1462" s="924" t="s">
        <v>1040</v>
      </c>
      <c r="J1462" s="924" t="s">
        <v>859</v>
      </c>
      <c r="K1462" s="924" t="s">
        <v>913</v>
      </c>
      <c r="L1462" s="925">
        <v>11.9702658355236</v>
      </c>
      <c r="M1462" s="925">
        <v>7.1067612340698404E-3</v>
      </c>
    </row>
    <row r="1463" spans="1:13" ht="11.25" customHeight="1" x14ac:dyDescent="0.2">
      <c r="A1463" s="924" t="s">
        <v>853</v>
      </c>
      <c r="B1463" s="924" t="s">
        <v>794</v>
      </c>
      <c r="C1463" s="924" t="s">
        <v>1179</v>
      </c>
      <c r="D1463" s="924" t="s">
        <v>1180</v>
      </c>
      <c r="E1463" s="924" t="s">
        <v>856</v>
      </c>
      <c r="F1463" s="924" t="s">
        <v>1051</v>
      </c>
      <c r="G1463" s="924" t="s">
        <v>981</v>
      </c>
      <c r="H1463" s="924" t="s">
        <v>835</v>
      </c>
      <c r="I1463" s="924" t="s">
        <v>1040</v>
      </c>
      <c r="J1463" s="924" t="s">
        <v>859</v>
      </c>
      <c r="K1463" s="924" t="s">
        <v>889</v>
      </c>
      <c r="L1463" s="925">
        <v>8.9575761114247102E-2</v>
      </c>
      <c r="M1463" s="925">
        <v>5.837856792823E-5</v>
      </c>
    </row>
    <row r="1464" spans="1:13" ht="11.25" customHeight="1" x14ac:dyDescent="0.2">
      <c r="A1464" s="924" t="s">
        <v>853</v>
      </c>
      <c r="B1464" s="924" t="s">
        <v>794</v>
      </c>
      <c r="C1464" s="924" t="s">
        <v>1179</v>
      </c>
      <c r="D1464" s="924" t="s">
        <v>1180</v>
      </c>
      <c r="E1464" s="924" t="s">
        <v>856</v>
      </c>
      <c r="F1464" s="924" t="s">
        <v>1052</v>
      </c>
      <c r="G1464" s="924" t="s">
        <v>981</v>
      </c>
      <c r="H1464" s="924" t="s">
        <v>835</v>
      </c>
      <c r="I1464" s="924" t="s">
        <v>1040</v>
      </c>
      <c r="J1464" s="924" t="s">
        <v>859</v>
      </c>
      <c r="K1464" s="924" t="s">
        <v>860</v>
      </c>
      <c r="L1464" s="925">
        <v>22.546419858932499</v>
      </c>
      <c r="M1464" s="925">
        <v>1.5947235195199E-2</v>
      </c>
    </row>
    <row r="1465" spans="1:13" ht="11.25" customHeight="1" x14ac:dyDescent="0.2">
      <c r="A1465" s="924" t="s">
        <v>853</v>
      </c>
      <c r="B1465" s="924" t="s">
        <v>794</v>
      </c>
      <c r="C1465" s="924" t="s">
        <v>1179</v>
      </c>
      <c r="D1465" s="924" t="s">
        <v>1180</v>
      </c>
      <c r="E1465" s="924" t="s">
        <v>856</v>
      </c>
      <c r="F1465" s="924" t="s">
        <v>1053</v>
      </c>
      <c r="G1465" s="924" t="s">
        <v>981</v>
      </c>
      <c r="H1465" s="924" t="s">
        <v>835</v>
      </c>
      <c r="I1465" s="924" t="s">
        <v>1040</v>
      </c>
      <c r="J1465" s="924" t="s">
        <v>859</v>
      </c>
      <c r="K1465" s="924" t="s">
        <v>893</v>
      </c>
      <c r="L1465" s="925">
        <v>21.2238819301128</v>
      </c>
      <c r="M1465" s="925">
        <v>1.29494747816352E-2</v>
      </c>
    </row>
    <row r="1466" spans="1:13" ht="11.25" customHeight="1" x14ac:dyDescent="0.2">
      <c r="A1466" s="924" t="s">
        <v>853</v>
      </c>
      <c r="B1466" s="924" t="s">
        <v>794</v>
      </c>
      <c r="C1466" s="924" t="s">
        <v>1179</v>
      </c>
      <c r="D1466" s="924" t="s">
        <v>1180</v>
      </c>
      <c r="E1466" s="924" t="s">
        <v>856</v>
      </c>
      <c r="F1466" s="924" t="s">
        <v>1067</v>
      </c>
      <c r="G1466" s="924" t="s">
        <v>981</v>
      </c>
      <c r="H1466" s="924" t="s">
        <v>835</v>
      </c>
      <c r="I1466" s="924" t="s">
        <v>1040</v>
      </c>
      <c r="J1466" s="924" t="s">
        <v>859</v>
      </c>
      <c r="K1466" s="924" t="s">
        <v>1011</v>
      </c>
      <c r="L1466" s="925">
        <v>5.7622629478573799</v>
      </c>
      <c r="M1466" s="925">
        <v>4.09897909077017E-3</v>
      </c>
    </row>
    <row r="1467" spans="1:13" ht="11.25" customHeight="1" x14ac:dyDescent="0.2">
      <c r="A1467" s="924" t="s">
        <v>853</v>
      </c>
      <c r="B1467" s="924" t="s">
        <v>794</v>
      </c>
      <c r="C1467" s="924" t="s">
        <v>1179</v>
      </c>
      <c r="D1467" s="924" t="s">
        <v>1180</v>
      </c>
      <c r="E1467" s="924" t="s">
        <v>856</v>
      </c>
      <c r="F1467" s="924" t="s">
        <v>1055</v>
      </c>
      <c r="G1467" s="924" t="s">
        <v>981</v>
      </c>
      <c r="H1467" s="924" t="s">
        <v>835</v>
      </c>
      <c r="I1467" s="924" t="s">
        <v>1040</v>
      </c>
      <c r="J1467" s="924" t="s">
        <v>859</v>
      </c>
      <c r="K1467" s="924" t="s">
        <v>899</v>
      </c>
      <c r="L1467" s="925">
        <v>17.835828617215199</v>
      </c>
      <c r="M1467" s="925">
        <v>1.2589199735806701E-2</v>
      </c>
    </row>
    <row r="1468" spans="1:13" ht="11.25" customHeight="1" x14ac:dyDescent="0.2">
      <c r="A1468" s="924" t="s">
        <v>853</v>
      </c>
      <c r="B1468" s="924" t="s">
        <v>794</v>
      </c>
      <c r="C1468" s="924" t="s">
        <v>1179</v>
      </c>
      <c r="D1468" s="924" t="s">
        <v>1180</v>
      </c>
      <c r="E1468" s="924" t="s">
        <v>856</v>
      </c>
      <c r="F1468" s="924" t="s">
        <v>1101</v>
      </c>
      <c r="G1468" s="924" t="s">
        <v>981</v>
      </c>
      <c r="H1468" s="924" t="s">
        <v>835</v>
      </c>
      <c r="I1468" s="924" t="s">
        <v>998</v>
      </c>
      <c r="J1468" s="924" t="s">
        <v>870</v>
      </c>
      <c r="K1468" s="924" t="s">
        <v>961</v>
      </c>
      <c r="L1468" s="925">
        <v>0.344887841842137</v>
      </c>
      <c r="M1468" s="925">
        <v>5.6784919866004202E-4</v>
      </c>
    </row>
    <row r="1469" spans="1:13" ht="11.25" customHeight="1" x14ac:dyDescent="0.2">
      <c r="A1469" s="924" t="s">
        <v>853</v>
      </c>
      <c r="B1469" s="924" t="s">
        <v>794</v>
      </c>
      <c r="C1469" s="924" t="s">
        <v>1179</v>
      </c>
      <c r="D1469" s="924" t="s">
        <v>1180</v>
      </c>
      <c r="E1469" s="924" t="s">
        <v>856</v>
      </c>
      <c r="F1469" s="924" t="s">
        <v>1057</v>
      </c>
      <c r="G1469" s="924" t="s">
        <v>981</v>
      </c>
      <c r="H1469" s="924" t="s">
        <v>835</v>
      </c>
      <c r="I1469" s="924" t="s">
        <v>1040</v>
      </c>
      <c r="J1469" s="924" t="s">
        <v>859</v>
      </c>
      <c r="K1469" s="924" t="s">
        <v>903</v>
      </c>
      <c r="L1469" s="925">
        <v>37.223598986864097</v>
      </c>
      <c r="M1469" s="925">
        <v>2.3021350493536399E-2</v>
      </c>
    </row>
    <row r="1470" spans="1:13" ht="11.25" customHeight="1" x14ac:dyDescent="0.2">
      <c r="A1470" s="924" t="s">
        <v>853</v>
      </c>
      <c r="B1470" s="924" t="s">
        <v>794</v>
      </c>
      <c r="C1470" s="924" t="s">
        <v>1179</v>
      </c>
      <c r="D1470" s="924" t="s">
        <v>1180</v>
      </c>
      <c r="E1470" s="924" t="s">
        <v>856</v>
      </c>
      <c r="F1470" s="924" t="s">
        <v>1058</v>
      </c>
      <c r="G1470" s="924" t="s">
        <v>981</v>
      </c>
      <c r="H1470" s="924" t="s">
        <v>835</v>
      </c>
      <c r="I1470" s="924" t="s">
        <v>1040</v>
      </c>
      <c r="J1470" s="924" t="s">
        <v>859</v>
      </c>
      <c r="K1470" s="924" t="s">
        <v>905</v>
      </c>
      <c r="L1470" s="925">
        <v>13.053788200020801</v>
      </c>
      <c r="M1470" s="925">
        <v>1.0356365235566E-2</v>
      </c>
    </row>
    <row r="1471" spans="1:13" ht="11.25" customHeight="1" x14ac:dyDescent="0.2">
      <c r="A1471" s="924" t="s">
        <v>853</v>
      </c>
      <c r="B1471" s="924" t="s">
        <v>794</v>
      </c>
      <c r="C1471" s="924" t="s">
        <v>1179</v>
      </c>
      <c r="D1471" s="924" t="s">
        <v>1180</v>
      </c>
      <c r="E1471" s="924" t="s">
        <v>856</v>
      </c>
      <c r="F1471" s="924" t="s">
        <v>1059</v>
      </c>
      <c r="G1471" s="924" t="s">
        <v>981</v>
      </c>
      <c r="H1471" s="924" t="s">
        <v>835</v>
      </c>
      <c r="I1471" s="924" t="s">
        <v>1040</v>
      </c>
      <c r="J1471" s="924" t="s">
        <v>859</v>
      </c>
      <c r="K1471" s="924" t="s">
        <v>909</v>
      </c>
      <c r="L1471" s="925">
        <v>77.795407414436298</v>
      </c>
      <c r="M1471" s="925">
        <v>5.3908790636341998E-2</v>
      </c>
    </row>
    <row r="1472" spans="1:13" ht="11.25" customHeight="1" x14ac:dyDescent="0.2">
      <c r="A1472" s="924" t="s">
        <v>853</v>
      </c>
      <c r="B1472" s="924" t="s">
        <v>794</v>
      </c>
      <c r="C1472" s="924" t="s">
        <v>1179</v>
      </c>
      <c r="D1472" s="924" t="s">
        <v>1180</v>
      </c>
      <c r="E1472" s="924" t="s">
        <v>856</v>
      </c>
      <c r="F1472" s="924" t="s">
        <v>1060</v>
      </c>
      <c r="G1472" s="924" t="s">
        <v>981</v>
      </c>
      <c r="H1472" s="924" t="s">
        <v>835</v>
      </c>
      <c r="I1472" s="924" t="s">
        <v>1040</v>
      </c>
      <c r="J1472" s="924" t="s">
        <v>859</v>
      </c>
      <c r="K1472" s="924" t="s">
        <v>973</v>
      </c>
      <c r="L1472" s="925">
        <v>37.315022081136703</v>
      </c>
      <c r="M1472" s="925">
        <v>2.5453776655183401E-2</v>
      </c>
    </row>
    <row r="1473" spans="1:13" ht="11.25" customHeight="1" x14ac:dyDescent="0.2">
      <c r="A1473" s="924" t="s">
        <v>853</v>
      </c>
      <c r="B1473" s="924" t="s">
        <v>794</v>
      </c>
      <c r="C1473" s="924" t="s">
        <v>1179</v>
      </c>
      <c r="D1473" s="924" t="s">
        <v>1180</v>
      </c>
      <c r="E1473" s="924" t="s">
        <v>856</v>
      </c>
      <c r="F1473" s="924" t="s">
        <v>1061</v>
      </c>
      <c r="G1473" s="924" t="s">
        <v>981</v>
      </c>
      <c r="H1473" s="924" t="s">
        <v>835</v>
      </c>
      <c r="I1473" s="924" t="s">
        <v>1040</v>
      </c>
      <c r="J1473" s="924" t="s">
        <v>859</v>
      </c>
      <c r="K1473" s="924" t="s">
        <v>918</v>
      </c>
      <c r="L1473" s="925">
        <v>2.89053018391132</v>
      </c>
      <c r="M1473" s="925">
        <v>1.27582333789178E-3</v>
      </c>
    </row>
    <row r="1474" spans="1:13" ht="11.25" customHeight="1" x14ac:dyDescent="0.2">
      <c r="A1474" s="924" t="s">
        <v>853</v>
      </c>
      <c r="B1474" s="924" t="s">
        <v>794</v>
      </c>
      <c r="C1474" s="924" t="s">
        <v>1179</v>
      </c>
      <c r="D1474" s="924" t="s">
        <v>1180</v>
      </c>
      <c r="E1474" s="924" t="s">
        <v>856</v>
      </c>
      <c r="F1474" s="924" t="s">
        <v>1062</v>
      </c>
      <c r="G1474" s="924" t="s">
        <v>981</v>
      </c>
      <c r="H1474" s="924" t="s">
        <v>835</v>
      </c>
      <c r="I1474" s="924" t="s">
        <v>1040</v>
      </c>
      <c r="J1474" s="924" t="s">
        <v>859</v>
      </c>
      <c r="K1474" s="924" t="s">
        <v>920</v>
      </c>
      <c r="L1474" s="925">
        <v>5.0362560711801097</v>
      </c>
      <c r="M1474" s="925">
        <v>3.4185933390631401E-3</v>
      </c>
    </row>
    <row r="1475" spans="1:13" ht="11.25" customHeight="1" x14ac:dyDescent="0.2">
      <c r="A1475" s="924" t="s">
        <v>853</v>
      </c>
      <c r="B1475" s="924" t="s">
        <v>794</v>
      </c>
      <c r="C1475" s="924" t="s">
        <v>1179</v>
      </c>
      <c r="D1475" s="924" t="s">
        <v>1180</v>
      </c>
      <c r="E1475" s="924" t="s">
        <v>856</v>
      </c>
      <c r="F1475" s="924" t="s">
        <v>1063</v>
      </c>
      <c r="G1475" s="924" t="s">
        <v>981</v>
      </c>
      <c r="H1475" s="924" t="s">
        <v>835</v>
      </c>
      <c r="I1475" s="924" t="s">
        <v>1040</v>
      </c>
      <c r="J1475" s="924" t="s">
        <v>859</v>
      </c>
      <c r="K1475" s="924" t="s">
        <v>922</v>
      </c>
      <c r="L1475" s="925">
        <v>4.4259768798947299</v>
      </c>
      <c r="M1475" s="925">
        <v>8.02379855826985E-4</v>
      </c>
    </row>
    <row r="1476" spans="1:13" ht="11.25" customHeight="1" x14ac:dyDescent="0.2">
      <c r="A1476" s="924" t="s">
        <v>853</v>
      </c>
      <c r="B1476" s="924" t="s">
        <v>794</v>
      </c>
      <c r="C1476" s="924" t="s">
        <v>1179</v>
      </c>
      <c r="D1476" s="924" t="s">
        <v>1180</v>
      </c>
      <c r="E1476" s="924" t="s">
        <v>856</v>
      </c>
      <c r="F1476" s="924" t="s">
        <v>1064</v>
      </c>
      <c r="G1476" s="924" t="s">
        <v>981</v>
      </c>
      <c r="H1476" s="924" t="s">
        <v>835</v>
      </c>
      <c r="I1476" s="924" t="s">
        <v>1040</v>
      </c>
      <c r="J1476" s="924" t="s">
        <v>859</v>
      </c>
      <c r="K1476" s="924" t="s">
        <v>924</v>
      </c>
      <c r="L1476" s="925">
        <v>10.6602238416672</v>
      </c>
      <c r="M1476" s="925">
        <v>7.9903541336534501E-4</v>
      </c>
    </row>
    <row r="1477" spans="1:13" ht="11.25" customHeight="1" x14ac:dyDescent="0.2">
      <c r="A1477" s="924" t="s">
        <v>853</v>
      </c>
      <c r="B1477" s="924" t="s">
        <v>794</v>
      </c>
      <c r="C1477" s="924" t="s">
        <v>1179</v>
      </c>
      <c r="D1477" s="924" t="s">
        <v>1180</v>
      </c>
      <c r="E1477" s="924" t="s">
        <v>856</v>
      </c>
      <c r="F1477" s="924" t="s">
        <v>1065</v>
      </c>
      <c r="G1477" s="924" t="s">
        <v>981</v>
      </c>
      <c r="H1477" s="924" t="s">
        <v>835</v>
      </c>
      <c r="I1477" s="924" t="s">
        <v>1040</v>
      </c>
      <c r="J1477" s="924" t="s">
        <v>859</v>
      </c>
      <c r="K1477" s="924" t="s">
        <v>926</v>
      </c>
      <c r="L1477" s="925">
        <v>25.536523789167401</v>
      </c>
      <c r="M1477" s="925">
        <v>1.7006392226903699E-2</v>
      </c>
    </row>
    <row r="1478" spans="1:13" ht="11.25" customHeight="1" x14ac:dyDescent="0.2">
      <c r="A1478" s="924" t="s">
        <v>853</v>
      </c>
      <c r="B1478" s="924" t="s">
        <v>794</v>
      </c>
      <c r="C1478" s="924" t="s">
        <v>1179</v>
      </c>
      <c r="D1478" s="924" t="s">
        <v>1180</v>
      </c>
      <c r="E1478" s="924" t="s">
        <v>856</v>
      </c>
      <c r="F1478" s="924" t="s">
        <v>1066</v>
      </c>
      <c r="G1478" s="924" t="s">
        <v>981</v>
      </c>
      <c r="H1478" s="924" t="s">
        <v>835</v>
      </c>
      <c r="I1478" s="924" t="s">
        <v>1040</v>
      </c>
      <c r="J1478" s="924" t="s">
        <v>859</v>
      </c>
      <c r="K1478" s="924" t="s">
        <v>928</v>
      </c>
      <c r="L1478" s="925">
        <v>17.334260955452901</v>
      </c>
      <c r="M1478" s="925">
        <v>8.7866042222230992E-3</v>
      </c>
    </row>
    <row r="1479" spans="1:13" ht="11.25" customHeight="1" x14ac:dyDescent="0.2">
      <c r="A1479" s="924" t="s">
        <v>853</v>
      </c>
      <c r="B1479" s="924" t="s">
        <v>794</v>
      </c>
      <c r="C1479" s="924" t="s">
        <v>1179</v>
      </c>
      <c r="D1479" s="924" t="s">
        <v>1180</v>
      </c>
      <c r="E1479" s="924" t="s">
        <v>856</v>
      </c>
      <c r="F1479" s="924" t="s">
        <v>1068</v>
      </c>
      <c r="G1479" s="924" t="s">
        <v>981</v>
      </c>
      <c r="H1479" s="924" t="s">
        <v>835</v>
      </c>
      <c r="I1479" s="924" t="s">
        <v>1040</v>
      </c>
      <c r="J1479" s="924" t="s">
        <v>859</v>
      </c>
      <c r="K1479" s="924" t="s">
        <v>897</v>
      </c>
      <c r="L1479" s="925">
        <v>42.316183447837801</v>
      </c>
      <c r="M1479" s="925">
        <v>2.83289345973117E-2</v>
      </c>
    </row>
    <row r="1480" spans="1:13" ht="11.25" customHeight="1" x14ac:dyDescent="0.2">
      <c r="A1480" s="924" t="s">
        <v>853</v>
      </c>
      <c r="B1480" s="924" t="s">
        <v>794</v>
      </c>
      <c r="C1480" s="924" t="s">
        <v>1179</v>
      </c>
      <c r="D1480" s="924" t="s">
        <v>1180</v>
      </c>
      <c r="E1480" s="924" t="s">
        <v>856</v>
      </c>
      <c r="F1480" s="924" t="s">
        <v>1083</v>
      </c>
      <c r="G1480" s="924" t="s">
        <v>981</v>
      </c>
      <c r="H1480" s="924" t="s">
        <v>835</v>
      </c>
      <c r="I1480" s="924" t="s">
        <v>998</v>
      </c>
      <c r="J1480" s="924" t="s">
        <v>940</v>
      </c>
      <c r="K1480" s="924" t="s">
        <v>1084</v>
      </c>
      <c r="L1480" s="925">
        <v>3.20756753534079</v>
      </c>
      <c r="M1480" s="925">
        <v>5.8600106094672802E-3</v>
      </c>
    </row>
    <row r="1481" spans="1:13" ht="11.25" customHeight="1" x14ac:dyDescent="0.2">
      <c r="A1481" s="924" t="s">
        <v>853</v>
      </c>
      <c r="B1481" s="924" t="s">
        <v>794</v>
      </c>
      <c r="C1481" s="924" t="s">
        <v>1179</v>
      </c>
      <c r="D1481" s="924" t="s">
        <v>1180</v>
      </c>
      <c r="E1481" s="924" t="s">
        <v>856</v>
      </c>
      <c r="F1481" s="924" t="s">
        <v>906</v>
      </c>
      <c r="G1481" s="924" t="s">
        <v>858</v>
      </c>
      <c r="H1481" s="924" t="s">
        <v>836</v>
      </c>
      <c r="I1481" s="924" t="s">
        <v>837</v>
      </c>
      <c r="J1481" s="924" t="s">
        <v>859</v>
      </c>
      <c r="K1481" s="924" t="s">
        <v>907</v>
      </c>
      <c r="L1481" s="925">
        <v>2136.5506935119602</v>
      </c>
      <c r="M1481" s="925">
        <v>1.4224019118955799E-2</v>
      </c>
    </row>
    <row r="1482" spans="1:13" ht="11.25" customHeight="1" x14ac:dyDescent="0.2">
      <c r="A1482" s="924" t="s">
        <v>853</v>
      </c>
      <c r="B1482" s="924" t="s">
        <v>794</v>
      </c>
      <c r="C1482" s="924" t="s">
        <v>1179</v>
      </c>
      <c r="D1482" s="924" t="s">
        <v>1180</v>
      </c>
      <c r="E1482" s="924" t="s">
        <v>856</v>
      </c>
      <c r="F1482" s="924" t="s">
        <v>1133</v>
      </c>
      <c r="G1482" s="924" t="s">
        <v>911</v>
      </c>
      <c r="H1482" s="924" t="s">
        <v>665</v>
      </c>
      <c r="I1482" s="924" t="s">
        <v>706</v>
      </c>
      <c r="J1482" s="924" t="s">
        <v>859</v>
      </c>
      <c r="K1482" s="924" t="s">
        <v>899</v>
      </c>
      <c r="L1482" s="925">
        <v>0.29819932626560303</v>
      </c>
      <c r="M1482" s="925">
        <v>2.9708496377622901E-5</v>
      </c>
    </row>
    <row r="1483" spans="1:13" ht="11.25" customHeight="1" x14ac:dyDescent="0.2">
      <c r="A1483" s="924" t="s">
        <v>853</v>
      </c>
      <c r="B1483" s="924" t="s">
        <v>794</v>
      </c>
      <c r="C1483" s="924" t="s">
        <v>1179</v>
      </c>
      <c r="D1483" s="924" t="s">
        <v>1180</v>
      </c>
      <c r="E1483" s="924" t="s">
        <v>856</v>
      </c>
      <c r="F1483" s="924" t="s">
        <v>1073</v>
      </c>
      <c r="G1483" s="924" t="s">
        <v>981</v>
      </c>
      <c r="H1483" s="924" t="s">
        <v>835</v>
      </c>
      <c r="I1483" s="924" t="s">
        <v>998</v>
      </c>
      <c r="J1483" s="924" t="s">
        <v>884</v>
      </c>
      <c r="K1483" s="924" t="s">
        <v>1046</v>
      </c>
      <c r="L1483" s="925">
        <v>228.234922885895</v>
      </c>
      <c r="M1483" s="925">
        <v>0.38535962766036402</v>
      </c>
    </row>
    <row r="1484" spans="1:13" ht="11.25" customHeight="1" x14ac:dyDescent="0.2">
      <c r="A1484" s="924" t="s">
        <v>853</v>
      </c>
      <c r="B1484" s="924" t="s">
        <v>794</v>
      </c>
      <c r="C1484" s="924" t="s">
        <v>1179</v>
      </c>
      <c r="D1484" s="924" t="s">
        <v>1180</v>
      </c>
      <c r="E1484" s="924" t="s">
        <v>856</v>
      </c>
      <c r="F1484" s="924" t="s">
        <v>1085</v>
      </c>
      <c r="G1484" s="924" t="s">
        <v>981</v>
      </c>
      <c r="H1484" s="924" t="s">
        <v>835</v>
      </c>
      <c r="I1484" s="924" t="s">
        <v>998</v>
      </c>
      <c r="J1484" s="924" t="s">
        <v>884</v>
      </c>
      <c r="K1484" s="924" t="s">
        <v>885</v>
      </c>
      <c r="L1484" s="925">
        <v>306.12988519668602</v>
      </c>
      <c r="M1484" s="925">
        <v>0.224863860756159</v>
      </c>
    </row>
    <row r="1485" spans="1:13" ht="11.25" customHeight="1" x14ac:dyDescent="0.2">
      <c r="A1485" s="924" t="s">
        <v>853</v>
      </c>
      <c r="B1485" s="924" t="s">
        <v>794</v>
      </c>
      <c r="C1485" s="924" t="s">
        <v>1179</v>
      </c>
      <c r="D1485" s="924" t="s">
        <v>1180</v>
      </c>
      <c r="E1485" s="924" t="s">
        <v>856</v>
      </c>
      <c r="F1485" s="924" t="s">
        <v>1075</v>
      </c>
      <c r="G1485" s="924" t="s">
        <v>981</v>
      </c>
      <c r="H1485" s="924" t="s">
        <v>835</v>
      </c>
      <c r="I1485" s="924" t="s">
        <v>998</v>
      </c>
      <c r="J1485" s="924" t="s">
        <v>859</v>
      </c>
      <c r="K1485" s="924" t="s">
        <v>889</v>
      </c>
      <c r="L1485" s="925">
        <v>13.528825044632001</v>
      </c>
      <c r="M1485" s="925">
        <v>2.1895786747336402E-2</v>
      </c>
    </row>
    <row r="1486" spans="1:13" ht="11.25" customHeight="1" x14ac:dyDescent="0.2">
      <c r="A1486" s="924" t="s">
        <v>853</v>
      </c>
      <c r="B1486" s="924" t="s">
        <v>794</v>
      </c>
      <c r="C1486" s="924" t="s">
        <v>1179</v>
      </c>
      <c r="D1486" s="924" t="s">
        <v>1180</v>
      </c>
      <c r="E1486" s="924" t="s">
        <v>856</v>
      </c>
      <c r="F1486" s="924" t="s">
        <v>1076</v>
      </c>
      <c r="G1486" s="924" t="s">
        <v>981</v>
      </c>
      <c r="H1486" s="924" t="s">
        <v>835</v>
      </c>
      <c r="I1486" s="924" t="s">
        <v>998</v>
      </c>
      <c r="J1486" s="924" t="s">
        <v>859</v>
      </c>
      <c r="K1486" s="924" t="s">
        <v>860</v>
      </c>
      <c r="L1486" s="925">
        <v>0.87704396247863803</v>
      </c>
      <c r="M1486" s="925">
        <v>1.8119583255611399E-3</v>
      </c>
    </row>
    <row r="1487" spans="1:13" ht="11.25" customHeight="1" x14ac:dyDescent="0.2">
      <c r="A1487" s="924" t="s">
        <v>853</v>
      </c>
      <c r="B1487" s="924" t="s">
        <v>794</v>
      </c>
      <c r="C1487" s="924" t="s">
        <v>1179</v>
      </c>
      <c r="D1487" s="924" t="s">
        <v>1180</v>
      </c>
      <c r="E1487" s="924" t="s">
        <v>856</v>
      </c>
      <c r="F1487" s="924" t="s">
        <v>1077</v>
      </c>
      <c r="G1487" s="924" t="s">
        <v>981</v>
      </c>
      <c r="H1487" s="924" t="s">
        <v>835</v>
      </c>
      <c r="I1487" s="924" t="s">
        <v>998</v>
      </c>
      <c r="J1487" s="924" t="s">
        <v>859</v>
      </c>
      <c r="K1487" s="924" t="s">
        <v>897</v>
      </c>
      <c r="L1487" s="925">
        <v>1.04835038166493</v>
      </c>
      <c r="M1487" s="925">
        <v>2.1954040767013798E-3</v>
      </c>
    </row>
    <row r="1488" spans="1:13" ht="11.25" customHeight="1" x14ac:dyDescent="0.2">
      <c r="A1488" s="924" t="s">
        <v>853</v>
      </c>
      <c r="B1488" s="924" t="s">
        <v>794</v>
      </c>
      <c r="C1488" s="924" t="s">
        <v>1179</v>
      </c>
      <c r="D1488" s="924" t="s">
        <v>1180</v>
      </c>
      <c r="E1488" s="924" t="s">
        <v>856</v>
      </c>
      <c r="F1488" s="924" t="s">
        <v>1078</v>
      </c>
      <c r="G1488" s="924" t="s">
        <v>981</v>
      </c>
      <c r="H1488" s="924" t="s">
        <v>835</v>
      </c>
      <c r="I1488" s="924" t="s">
        <v>998</v>
      </c>
      <c r="J1488" s="924" t="s">
        <v>859</v>
      </c>
      <c r="K1488" s="924" t="s">
        <v>901</v>
      </c>
      <c r="L1488" s="925">
        <v>7.2642902014194996E-3</v>
      </c>
      <c r="M1488" s="925">
        <v>1.6231358060281299E-5</v>
      </c>
    </row>
    <row r="1489" spans="1:13" ht="11.25" customHeight="1" x14ac:dyDescent="0.2">
      <c r="A1489" s="924" t="s">
        <v>853</v>
      </c>
      <c r="B1489" s="924" t="s">
        <v>794</v>
      </c>
      <c r="C1489" s="924" t="s">
        <v>1179</v>
      </c>
      <c r="D1489" s="924" t="s">
        <v>1180</v>
      </c>
      <c r="E1489" s="924" t="s">
        <v>856</v>
      </c>
      <c r="F1489" s="924" t="s">
        <v>1079</v>
      </c>
      <c r="G1489" s="924" t="s">
        <v>981</v>
      </c>
      <c r="H1489" s="924" t="s">
        <v>835</v>
      </c>
      <c r="I1489" s="924" t="s">
        <v>998</v>
      </c>
      <c r="J1489" s="924" t="s">
        <v>859</v>
      </c>
      <c r="K1489" s="924" t="s">
        <v>909</v>
      </c>
      <c r="L1489" s="925">
        <v>34.934778988361401</v>
      </c>
      <c r="M1489" s="925">
        <v>6.2564043386373697E-2</v>
      </c>
    </row>
    <row r="1490" spans="1:13" ht="11.25" customHeight="1" x14ac:dyDescent="0.2">
      <c r="A1490" s="924" t="s">
        <v>853</v>
      </c>
      <c r="B1490" s="924" t="s">
        <v>794</v>
      </c>
      <c r="C1490" s="924" t="s">
        <v>1179</v>
      </c>
      <c r="D1490" s="924" t="s">
        <v>1180</v>
      </c>
      <c r="E1490" s="924" t="s">
        <v>856</v>
      </c>
      <c r="F1490" s="924" t="s">
        <v>1080</v>
      </c>
      <c r="G1490" s="924" t="s">
        <v>981</v>
      </c>
      <c r="H1490" s="924" t="s">
        <v>835</v>
      </c>
      <c r="I1490" s="924" t="s">
        <v>998</v>
      </c>
      <c r="J1490" s="924" t="s">
        <v>859</v>
      </c>
      <c r="K1490" s="924" t="s">
        <v>920</v>
      </c>
      <c r="L1490" s="925">
        <v>0.20472938730381399</v>
      </c>
      <c r="M1490" s="925">
        <v>4.5744819271931197E-4</v>
      </c>
    </row>
    <row r="1491" spans="1:13" ht="11.25" customHeight="1" x14ac:dyDescent="0.2">
      <c r="A1491" s="924" t="s">
        <v>853</v>
      </c>
      <c r="B1491" s="924" t="s">
        <v>794</v>
      </c>
      <c r="C1491" s="924" t="s">
        <v>1179</v>
      </c>
      <c r="D1491" s="924" t="s">
        <v>1180</v>
      </c>
      <c r="E1491" s="924" t="s">
        <v>856</v>
      </c>
      <c r="F1491" s="924" t="s">
        <v>1054</v>
      </c>
      <c r="G1491" s="924" t="s">
        <v>981</v>
      </c>
      <c r="H1491" s="924" t="s">
        <v>835</v>
      </c>
      <c r="I1491" s="924" t="s">
        <v>998</v>
      </c>
      <c r="J1491" s="924" t="s">
        <v>875</v>
      </c>
      <c r="K1491" s="924" t="s">
        <v>880</v>
      </c>
      <c r="L1491" s="925">
        <v>6.8293817166704702E-3</v>
      </c>
      <c r="M1491" s="925">
        <v>1.5259615935292499E-5</v>
      </c>
    </row>
    <row r="1492" spans="1:13" ht="11.25" customHeight="1" x14ac:dyDescent="0.2">
      <c r="A1492" s="924" t="s">
        <v>853</v>
      </c>
      <c r="B1492" s="924" t="s">
        <v>794</v>
      </c>
      <c r="C1492" s="924" t="s">
        <v>1179</v>
      </c>
      <c r="D1492" s="924" t="s">
        <v>1180</v>
      </c>
      <c r="E1492" s="924" t="s">
        <v>856</v>
      </c>
      <c r="F1492" s="924" t="s">
        <v>1103</v>
      </c>
      <c r="G1492" s="924" t="s">
        <v>981</v>
      </c>
      <c r="H1492" s="924" t="s">
        <v>835</v>
      </c>
      <c r="I1492" s="924" t="s">
        <v>998</v>
      </c>
      <c r="J1492" s="924" t="s">
        <v>863</v>
      </c>
      <c r="K1492" s="924" t="s">
        <v>864</v>
      </c>
      <c r="L1492" s="925">
        <v>5.4695009894203402E-2</v>
      </c>
      <c r="M1492" s="925">
        <v>1.22210668791922E-4</v>
      </c>
    </row>
    <row r="1493" spans="1:13" ht="11.25" customHeight="1" x14ac:dyDescent="0.2">
      <c r="A1493" s="924" t="s">
        <v>853</v>
      </c>
      <c r="B1493" s="924" t="s">
        <v>794</v>
      </c>
      <c r="C1493" s="924" t="s">
        <v>1179</v>
      </c>
      <c r="D1493" s="924" t="s">
        <v>1180</v>
      </c>
      <c r="E1493" s="924" t="s">
        <v>856</v>
      </c>
      <c r="F1493" s="924" t="s">
        <v>1102</v>
      </c>
      <c r="G1493" s="924" t="s">
        <v>981</v>
      </c>
      <c r="H1493" s="924" t="s">
        <v>835</v>
      </c>
      <c r="I1493" s="924" t="s">
        <v>998</v>
      </c>
      <c r="J1493" s="924" t="s">
        <v>875</v>
      </c>
      <c r="K1493" s="924" t="s">
        <v>876</v>
      </c>
      <c r="L1493" s="925">
        <v>2.9508998319506601</v>
      </c>
      <c r="M1493" s="925">
        <v>5.9710124187404299E-3</v>
      </c>
    </row>
    <row r="1494" spans="1:13" ht="11.25" customHeight="1" x14ac:dyDescent="0.2">
      <c r="A1494" s="924" t="s">
        <v>853</v>
      </c>
      <c r="B1494" s="924" t="s">
        <v>794</v>
      </c>
      <c r="C1494" s="924" t="s">
        <v>1179</v>
      </c>
      <c r="D1494" s="924" t="s">
        <v>1180</v>
      </c>
      <c r="E1494" s="924" t="s">
        <v>856</v>
      </c>
      <c r="F1494" s="924" t="s">
        <v>1069</v>
      </c>
      <c r="G1494" s="924" t="s">
        <v>981</v>
      </c>
      <c r="H1494" s="924" t="s">
        <v>835</v>
      </c>
      <c r="I1494" s="924" t="s">
        <v>998</v>
      </c>
      <c r="J1494" s="924" t="s">
        <v>940</v>
      </c>
      <c r="K1494" s="924" t="s">
        <v>1070</v>
      </c>
      <c r="L1494" s="925">
        <v>8.2897939607500994</v>
      </c>
      <c r="M1494" s="925">
        <v>1.5391588938655301E-2</v>
      </c>
    </row>
    <row r="1495" spans="1:13" ht="11.25" customHeight="1" x14ac:dyDescent="0.2">
      <c r="A1495" s="924" t="s">
        <v>853</v>
      </c>
      <c r="B1495" s="924" t="s">
        <v>794</v>
      </c>
      <c r="C1495" s="924" t="s">
        <v>1179</v>
      </c>
      <c r="D1495" s="924" t="s">
        <v>1180</v>
      </c>
      <c r="E1495" s="924" t="s">
        <v>856</v>
      </c>
      <c r="F1495" s="924" t="s">
        <v>1086</v>
      </c>
      <c r="G1495" s="924" t="s">
        <v>981</v>
      </c>
      <c r="H1495" s="924" t="s">
        <v>835</v>
      </c>
      <c r="I1495" s="924" t="s">
        <v>998</v>
      </c>
      <c r="J1495" s="924" t="s">
        <v>940</v>
      </c>
      <c r="K1495" s="924" t="s">
        <v>1087</v>
      </c>
      <c r="L1495" s="925">
        <v>42.924779057502697</v>
      </c>
      <c r="M1495" s="925">
        <v>8.2644491922110305E-2</v>
      </c>
    </row>
    <row r="1496" spans="1:13" ht="11.25" customHeight="1" x14ac:dyDescent="0.2">
      <c r="A1496" s="924" t="s">
        <v>853</v>
      </c>
      <c r="B1496" s="924" t="s">
        <v>794</v>
      </c>
      <c r="C1496" s="924" t="s">
        <v>1179</v>
      </c>
      <c r="D1496" s="924" t="s">
        <v>1180</v>
      </c>
      <c r="E1496" s="924" t="s">
        <v>856</v>
      </c>
      <c r="F1496" s="924" t="s">
        <v>1088</v>
      </c>
      <c r="G1496" s="924" t="s">
        <v>981</v>
      </c>
      <c r="H1496" s="924" t="s">
        <v>835</v>
      </c>
      <c r="I1496" s="924" t="s">
        <v>998</v>
      </c>
      <c r="J1496" s="924" t="s">
        <v>940</v>
      </c>
      <c r="K1496" s="924" t="s">
        <v>1089</v>
      </c>
      <c r="L1496" s="925">
        <v>79.996900796890301</v>
      </c>
      <c r="M1496" s="925">
        <v>0.14613888086751101</v>
      </c>
    </row>
    <row r="1497" spans="1:13" ht="11.25" customHeight="1" x14ac:dyDescent="0.2">
      <c r="A1497" s="924" t="s">
        <v>853</v>
      </c>
      <c r="B1497" s="924" t="s">
        <v>794</v>
      </c>
      <c r="C1497" s="924" t="s">
        <v>1179</v>
      </c>
      <c r="D1497" s="924" t="s">
        <v>1180</v>
      </c>
      <c r="E1497" s="924" t="s">
        <v>856</v>
      </c>
      <c r="F1497" s="924" t="s">
        <v>1090</v>
      </c>
      <c r="G1497" s="924" t="s">
        <v>981</v>
      </c>
      <c r="H1497" s="924" t="s">
        <v>835</v>
      </c>
      <c r="I1497" s="924" t="s">
        <v>998</v>
      </c>
      <c r="J1497" s="924" t="s">
        <v>940</v>
      </c>
      <c r="K1497" s="924" t="s">
        <v>1091</v>
      </c>
      <c r="L1497" s="925">
        <v>59.478804290294597</v>
      </c>
      <c r="M1497" s="925">
        <v>0.10129575442988401</v>
      </c>
    </row>
    <row r="1498" spans="1:13" ht="11.25" customHeight="1" x14ac:dyDescent="0.2">
      <c r="A1498" s="924" t="s">
        <v>853</v>
      </c>
      <c r="B1498" s="924" t="s">
        <v>794</v>
      </c>
      <c r="C1498" s="924" t="s">
        <v>1179</v>
      </c>
      <c r="D1498" s="924" t="s">
        <v>1180</v>
      </c>
      <c r="E1498" s="924" t="s">
        <v>856</v>
      </c>
      <c r="F1498" s="924" t="s">
        <v>1092</v>
      </c>
      <c r="G1498" s="924" t="s">
        <v>981</v>
      </c>
      <c r="H1498" s="924" t="s">
        <v>835</v>
      </c>
      <c r="I1498" s="924" t="s">
        <v>998</v>
      </c>
      <c r="J1498" s="924" t="s">
        <v>940</v>
      </c>
      <c r="K1498" s="924" t="s">
        <v>1093</v>
      </c>
      <c r="L1498" s="925">
        <v>69.745286852121396</v>
      </c>
      <c r="M1498" s="925">
        <v>0.13801478384994001</v>
      </c>
    </row>
    <row r="1499" spans="1:13" ht="11.25" customHeight="1" x14ac:dyDescent="0.2">
      <c r="A1499" s="924" t="s">
        <v>853</v>
      </c>
      <c r="B1499" s="924" t="s">
        <v>794</v>
      </c>
      <c r="C1499" s="924" t="s">
        <v>1179</v>
      </c>
      <c r="D1499" s="924" t="s">
        <v>1180</v>
      </c>
      <c r="E1499" s="924" t="s">
        <v>856</v>
      </c>
      <c r="F1499" s="924" t="s">
        <v>1094</v>
      </c>
      <c r="G1499" s="924" t="s">
        <v>981</v>
      </c>
      <c r="H1499" s="924" t="s">
        <v>835</v>
      </c>
      <c r="I1499" s="924" t="s">
        <v>998</v>
      </c>
      <c r="J1499" s="924" t="s">
        <v>940</v>
      </c>
      <c r="K1499" s="924" t="s">
        <v>1095</v>
      </c>
      <c r="L1499" s="925">
        <v>38.280406743287998</v>
      </c>
      <c r="M1499" s="925">
        <v>7.1397917636204497E-2</v>
      </c>
    </row>
    <row r="1500" spans="1:13" ht="11.25" customHeight="1" x14ac:dyDescent="0.2">
      <c r="A1500" s="924" t="s">
        <v>853</v>
      </c>
      <c r="B1500" s="924" t="s">
        <v>794</v>
      </c>
      <c r="C1500" s="924" t="s">
        <v>1179</v>
      </c>
      <c r="D1500" s="924" t="s">
        <v>1180</v>
      </c>
      <c r="E1500" s="924" t="s">
        <v>856</v>
      </c>
      <c r="F1500" s="924" t="s">
        <v>1096</v>
      </c>
      <c r="G1500" s="924" t="s">
        <v>981</v>
      </c>
      <c r="H1500" s="924" t="s">
        <v>835</v>
      </c>
      <c r="I1500" s="924" t="s">
        <v>998</v>
      </c>
      <c r="J1500" s="924" t="s">
        <v>940</v>
      </c>
      <c r="K1500" s="924" t="s">
        <v>1023</v>
      </c>
      <c r="L1500" s="925">
        <v>65.125449806451797</v>
      </c>
      <c r="M1500" s="925">
        <v>0.12180660816375199</v>
      </c>
    </row>
    <row r="1501" spans="1:13" ht="11.25" customHeight="1" x14ac:dyDescent="0.2">
      <c r="A1501" s="924" t="s">
        <v>853</v>
      </c>
      <c r="B1501" s="924" t="s">
        <v>794</v>
      </c>
      <c r="C1501" s="924" t="s">
        <v>1179</v>
      </c>
      <c r="D1501" s="924" t="s">
        <v>1180</v>
      </c>
      <c r="E1501" s="924" t="s">
        <v>856</v>
      </c>
      <c r="F1501" s="924" t="s">
        <v>1097</v>
      </c>
      <c r="G1501" s="924" t="s">
        <v>981</v>
      </c>
      <c r="H1501" s="924" t="s">
        <v>835</v>
      </c>
      <c r="I1501" s="924" t="s">
        <v>998</v>
      </c>
      <c r="J1501" s="924" t="s">
        <v>940</v>
      </c>
      <c r="K1501" s="924" t="s">
        <v>1098</v>
      </c>
      <c r="L1501" s="925">
        <v>19.1515872478485</v>
      </c>
      <c r="M1501" s="925">
        <v>0.13083361834287599</v>
      </c>
    </row>
    <row r="1502" spans="1:13" ht="11.25" customHeight="1" x14ac:dyDescent="0.2">
      <c r="A1502" s="924" t="s">
        <v>853</v>
      </c>
      <c r="B1502" s="924" t="s">
        <v>794</v>
      </c>
      <c r="C1502" s="924" t="s">
        <v>1179</v>
      </c>
      <c r="D1502" s="924" t="s">
        <v>1180</v>
      </c>
      <c r="E1502" s="924" t="s">
        <v>856</v>
      </c>
      <c r="F1502" s="924" t="s">
        <v>1099</v>
      </c>
      <c r="G1502" s="924" t="s">
        <v>981</v>
      </c>
      <c r="H1502" s="924" t="s">
        <v>835</v>
      </c>
      <c r="I1502" s="924" t="s">
        <v>998</v>
      </c>
      <c r="J1502" s="924" t="s">
        <v>940</v>
      </c>
      <c r="K1502" s="924" t="s">
        <v>1025</v>
      </c>
      <c r="L1502" s="925">
        <v>23.986054539680499</v>
      </c>
      <c r="M1502" s="925">
        <v>0.16364567168057001</v>
      </c>
    </row>
    <row r="1503" spans="1:13" ht="11.25" customHeight="1" x14ac:dyDescent="0.2">
      <c r="A1503" s="924" t="s">
        <v>853</v>
      </c>
      <c r="B1503" s="924" t="s">
        <v>794</v>
      </c>
      <c r="C1503" s="924" t="s">
        <v>1179</v>
      </c>
      <c r="D1503" s="924" t="s">
        <v>1180</v>
      </c>
      <c r="E1503" s="924" t="s">
        <v>856</v>
      </c>
      <c r="F1503" s="924" t="s">
        <v>1100</v>
      </c>
      <c r="G1503" s="924" t="s">
        <v>981</v>
      </c>
      <c r="H1503" s="924" t="s">
        <v>835</v>
      </c>
      <c r="I1503" s="924" t="s">
        <v>998</v>
      </c>
      <c r="J1503" s="924" t="s">
        <v>940</v>
      </c>
      <c r="K1503" s="924" t="s">
        <v>1032</v>
      </c>
      <c r="L1503" s="925">
        <v>3.4751376791973598E-2</v>
      </c>
      <c r="M1503" s="925">
        <v>6.9672995323344394E-5</v>
      </c>
    </row>
    <row r="1504" spans="1:13" ht="11.25" customHeight="1" x14ac:dyDescent="0.2">
      <c r="A1504" s="924" t="s">
        <v>853</v>
      </c>
      <c r="B1504" s="924" t="s">
        <v>794</v>
      </c>
      <c r="C1504" s="924" t="s">
        <v>1179</v>
      </c>
      <c r="D1504" s="924" t="s">
        <v>1180</v>
      </c>
      <c r="E1504" s="924" t="s">
        <v>856</v>
      </c>
      <c r="F1504" s="924" t="s">
        <v>1082</v>
      </c>
      <c r="G1504" s="924" t="s">
        <v>981</v>
      </c>
      <c r="H1504" s="924" t="s">
        <v>835</v>
      </c>
      <c r="I1504" s="924" t="s">
        <v>998</v>
      </c>
      <c r="J1504" s="924" t="s">
        <v>875</v>
      </c>
      <c r="K1504" s="924" t="s">
        <v>952</v>
      </c>
      <c r="L1504" s="925">
        <v>0.119125954108313</v>
      </c>
      <c r="M1504" s="925">
        <v>2.6617583421284502E-4</v>
      </c>
    </row>
    <row r="1505" spans="1:13" ht="11.25" customHeight="1" x14ac:dyDescent="0.2">
      <c r="A1505" s="924" t="s">
        <v>853</v>
      </c>
      <c r="B1505" s="924" t="s">
        <v>794</v>
      </c>
      <c r="C1505" s="924" t="s">
        <v>1179</v>
      </c>
      <c r="D1505" s="924" t="s">
        <v>1180</v>
      </c>
      <c r="E1505" s="924" t="s">
        <v>856</v>
      </c>
      <c r="F1505" s="924" t="s">
        <v>1081</v>
      </c>
      <c r="G1505" s="924" t="s">
        <v>981</v>
      </c>
      <c r="H1505" s="924" t="s">
        <v>835</v>
      </c>
      <c r="I1505" s="924" t="s">
        <v>998</v>
      </c>
      <c r="J1505" s="924" t="s">
        <v>863</v>
      </c>
      <c r="K1505" s="924" t="s">
        <v>935</v>
      </c>
      <c r="L1505" s="925">
        <v>0.71476874500513099</v>
      </c>
      <c r="M1505" s="925">
        <v>1.5970802269293901E-3</v>
      </c>
    </row>
    <row r="1506" spans="1:13" ht="11.25" customHeight="1" x14ac:dyDescent="0.2">
      <c r="A1506" s="924" t="s">
        <v>853</v>
      </c>
      <c r="B1506" s="924" t="s">
        <v>794</v>
      </c>
      <c r="C1506" s="924" t="s">
        <v>1179</v>
      </c>
      <c r="D1506" s="924" t="s">
        <v>1180</v>
      </c>
      <c r="E1506" s="924" t="s">
        <v>856</v>
      </c>
      <c r="F1506" s="924" t="s">
        <v>1120</v>
      </c>
      <c r="G1506" s="924" t="s">
        <v>981</v>
      </c>
      <c r="H1506" s="924" t="s">
        <v>835</v>
      </c>
      <c r="I1506" s="924" t="s">
        <v>1040</v>
      </c>
      <c r="J1506" s="924" t="s">
        <v>875</v>
      </c>
      <c r="K1506" s="924" t="s">
        <v>880</v>
      </c>
      <c r="L1506" s="925">
        <v>80.186479449272198</v>
      </c>
      <c r="M1506" s="925">
        <v>4.6659937528147601E-2</v>
      </c>
    </row>
    <row r="1507" spans="1:13" ht="11.25" customHeight="1" x14ac:dyDescent="0.2">
      <c r="A1507" s="924" t="s">
        <v>853</v>
      </c>
      <c r="B1507" s="924" t="s">
        <v>794</v>
      </c>
      <c r="C1507" s="924" t="s">
        <v>1179</v>
      </c>
      <c r="D1507" s="924" t="s">
        <v>1180</v>
      </c>
      <c r="E1507" s="924" t="s">
        <v>856</v>
      </c>
      <c r="F1507" s="924" t="s">
        <v>1105</v>
      </c>
      <c r="G1507" s="924" t="s">
        <v>981</v>
      </c>
      <c r="H1507" s="924" t="s">
        <v>835</v>
      </c>
      <c r="I1507" s="924" t="s">
        <v>1040</v>
      </c>
      <c r="J1507" s="924" t="s">
        <v>940</v>
      </c>
      <c r="K1507" s="924" t="s">
        <v>1106</v>
      </c>
      <c r="L1507" s="925">
        <v>52.381953865289702</v>
      </c>
      <c r="M1507" s="925">
        <v>3.8419828924006097E-2</v>
      </c>
    </row>
    <row r="1508" spans="1:13" ht="11.25" customHeight="1" x14ac:dyDescent="0.2">
      <c r="A1508" s="924" t="s">
        <v>853</v>
      </c>
      <c r="B1508" s="924" t="s">
        <v>794</v>
      </c>
      <c r="C1508" s="924" t="s">
        <v>1179</v>
      </c>
      <c r="D1508" s="924" t="s">
        <v>1180</v>
      </c>
      <c r="E1508" s="924" t="s">
        <v>856</v>
      </c>
      <c r="F1508" s="924" t="s">
        <v>1107</v>
      </c>
      <c r="G1508" s="924" t="s">
        <v>981</v>
      </c>
      <c r="H1508" s="924" t="s">
        <v>835</v>
      </c>
      <c r="I1508" s="924" t="s">
        <v>1040</v>
      </c>
      <c r="J1508" s="924" t="s">
        <v>940</v>
      </c>
      <c r="K1508" s="924" t="s">
        <v>1034</v>
      </c>
      <c r="L1508" s="925">
        <v>34.932022228836999</v>
      </c>
      <c r="M1508" s="925">
        <v>2.54201571550325E-2</v>
      </c>
    </row>
    <row r="1509" spans="1:13" ht="11.25" customHeight="1" x14ac:dyDescent="0.2">
      <c r="A1509" s="924" t="s">
        <v>853</v>
      </c>
      <c r="B1509" s="924" t="s">
        <v>794</v>
      </c>
      <c r="C1509" s="924" t="s">
        <v>1179</v>
      </c>
      <c r="D1509" s="924" t="s">
        <v>1180</v>
      </c>
      <c r="E1509" s="924" t="s">
        <v>856</v>
      </c>
      <c r="F1509" s="924" t="s">
        <v>1108</v>
      </c>
      <c r="G1509" s="924" t="s">
        <v>981</v>
      </c>
      <c r="H1509" s="924" t="s">
        <v>835</v>
      </c>
      <c r="I1509" s="924" t="s">
        <v>1040</v>
      </c>
      <c r="J1509" s="924" t="s">
        <v>870</v>
      </c>
      <c r="K1509" s="924" t="s">
        <v>1036</v>
      </c>
      <c r="L1509" s="925">
        <v>0.83910215133801103</v>
      </c>
      <c r="M1509" s="925">
        <v>5.6842638423404402E-4</v>
      </c>
    </row>
    <row r="1510" spans="1:13" ht="11.25" customHeight="1" x14ac:dyDescent="0.2">
      <c r="A1510" s="924" t="s">
        <v>853</v>
      </c>
      <c r="B1510" s="924" t="s">
        <v>794</v>
      </c>
      <c r="C1510" s="924" t="s">
        <v>1179</v>
      </c>
      <c r="D1510" s="924" t="s">
        <v>1180</v>
      </c>
      <c r="E1510" s="924" t="s">
        <v>856</v>
      </c>
      <c r="F1510" s="924" t="s">
        <v>1109</v>
      </c>
      <c r="G1510" s="924" t="s">
        <v>981</v>
      </c>
      <c r="H1510" s="924" t="s">
        <v>835</v>
      </c>
      <c r="I1510" s="924" t="s">
        <v>1040</v>
      </c>
      <c r="J1510" s="924" t="s">
        <v>870</v>
      </c>
      <c r="K1510" s="924" t="s">
        <v>976</v>
      </c>
      <c r="L1510" s="925">
        <v>3.2378689972683801</v>
      </c>
      <c r="M1510" s="925">
        <v>6.6340413281906795E-4</v>
      </c>
    </row>
    <row r="1511" spans="1:13" ht="11.25" customHeight="1" x14ac:dyDescent="0.2">
      <c r="A1511" s="924" t="s">
        <v>853</v>
      </c>
      <c r="B1511" s="924" t="s">
        <v>794</v>
      </c>
      <c r="C1511" s="924" t="s">
        <v>1179</v>
      </c>
      <c r="D1511" s="924" t="s">
        <v>1180</v>
      </c>
      <c r="E1511" s="924" t="s">
        <v>856</v>
      </c>
      <c r="F1511" s="924" t="s">
        <v>1110</v>
      </c>
      <c r="G1511" s="924" t="s">
        <v>981</v>
      </c>
      <c r="H1511" s="924" t="s">
        <v>835</v>
      </c>
      <c r="I1511" s="924" t="s">
        <v>1040</v>
      </c>
      <c r="J1511" s="924" t="s">
        <v>870</v>
      </c>
      <c r="K1511" s="924" t="s">
        <v>1019</v>
      </c>
      <c r="L1511" s="925">
        <v>2.5004444098158302E-2</v>
      </c>
      <c r="M1511" s="925">
        <v>2.0967269502847299E-5</v>
      </c>
    </row>
    <row r="1512" spans="1:13" ht="11.25" customHeight="1" x14ac:dyDescent="0.2">
      <c r="A1512" s="924" t="s">
        <v>853</v>
      </c>
      <c r="B1512" s="924" t="s">
        <v>794</v>
      </c>
      <c r="C1512" s="924" t="s">
        <v>1179</v>
      </c>
      <c r="D1512" s="924" t="s">
        <v>1180</v>
      </c>
      <c r="E1512" s="924" t="s">
        <v>856</v>
      </c>
      <c r="F1512" s="924" t="s">
        <v>1111</v>
      </c>
      <c r="G1512" s="924" t="s">
        <v>981</v>
      </c>
      <c r="H1512" s="924" t="s">
        <v>835</v>
      </c>
      <c r="I1512" s="924" t="s">
        <v>1040</v>
      </c>
      <c r="J1512" s="924" t="s">
        <v>870</v>
      </c>
      <c r="K1512" s="924" t="s">
        <v>1016</v>
      </c>
      <c r="L1512" s="925">
        <v>2.2385808248072898</v>
      </c>
      <c r="M1512" s="925">
        <v>1.88323627389764E-3</v>
      </c>
    </row>
    <row r="1513" spans="1:13" ht="11.25" customHeight="1" x14ac:dyDescent="0.2">
      <c r="A1513" s="924" t="s">
        <v>853</v>
      </c>
      <c r="B1513" s="924" t="s">
        <v>794</v>
      </c>
      <c r="C1513" s="924" t="s">
        <v>1179</v>
      </c>
      <c r="D1513" s="924" t="s">
        <v>1180</v>
      </c>
      <c r="E1513" s="924" t="s">
        <v>856</v>
      </c>
      <c r="F1513" s="924" t="s">
        <v>1112</v>
      </c>
      <c r="G1513" s="924" t="s">
        <v>981</v>
      </c>
      <c r="H1513" s="924" t="s">
        <v>835</v>
      </c>
      <c r="I1513" s="924" t="s">
        <v>1040</v>
      </c>
      <c r="J1513" s="924" t="s">
        <v>870</v>
      </c>
      <c r="K1513" s="924" t="s">
        <v>959</v>
      </c>
      <c r="L1513" s="925">
        <v>0.68968408904038403</v>
      </c>
      <c r="M1513" s="925">
        <v>4.5519536502070001E-4</v>
      </c>
    </row>
    <row r="1514" spans="1:13" ht="11.25" customHeight="1" x14ac:dyDescent="0.2">
      <c r="A1514" s="924" t="s">
        <v>853</v>
      </c>
      <c r="B1514" s="924" t="s">
        <v>794</v>
      </c>
      <c r="C1514" s="924" t="s">
        <v>1179</v>
      </c>
      <c r="D1514" s="924" t="s">
        <v>1180</v>
      </c>
      <c r="E1514" s="924" t="s">
        <v>856</v>
      </c>
      <c r="F1514" s="924" t="s">
        <v>1113</v>
      </c>
      <c r="G1514" s="924" t="s">
        <v>981</v>
      </c>
      <c r="H1514" s="924" t="s">
        <v>835</v>
      </c>
      <c r="I1514" s="924" t="s">
        <v>1040</v>
      </c>
      <c r="J1514" s="924" t="s">
        <v>870</v>
      </c>
      <c r="K1514" s="924" t="s">
        <v>961</v>
      </c>
      <c r="L1514" s="925">
        <v>7.5366623736917999</v>
      </c>
      <c r="M1514" s="925">
        <v>5.7139977734550502E-3</v>
      </c>
    </row>
    <row r="1515" spans="1:13" ht="11.25" customHeight="1" x14ac:dyDescent="0.2">
      <c r="A1515" s="924" t="s">
        <v>853</v>
      </c>
      <c r="B1515" s="924" t="s">
        <v>794</v>
      </c>
      <c r="C1515" s="924" t="s">
        <v>1179</v>
      </c>
      <c r="D1515" s="924" t="s">
        <v>1180</v>
      </c>
      <c r="E1515" s="924" t="s">
        <v>856</v>
      </c>
      <c r="F1515" s="924" t="s">
        <v>1114</v>
      </c>
      <c r="G1515" s="924" t="s">
        <v>981</v>
      </c>
      <c r="H1515" s="924" t="s">
        <v>835</v>
      </c>
      <c r="I1515" s="924" t="s">
        <v>1040</v>
      </c>
      <c r="J1515" s="924" t="s">
        <v>870</v>
      </c>
      <c r="K1515" s="924" t="s">
        <v>963</v>
      </c>
      <c r="L1515" s="925">
        <v>16.436529491096699</v>
      </c>
      <c r="M1515" s="925">
        <v>2.7334717933627E-2</v>
      </c>
    </row>
    <row r="1516" spans="1:13" ht="11.25" customHeight="1" x14ac:dyDescent="0.2">
      <c r="A1516" s="924" t="s">
        <v>853</v>
      </c>
      <c r="B1516" s="924" t="s">
        <v>794</v>
      </c>
      <c r="C1516" s="924" t="s">
        <v>1179</v>
      </c>
      <c r="D1516" s="924" t="s">
        <v>1180</v>
      </c>
      <c r="E1516" s="924" t="s">
        <v>856</v>
      </c>
      <c r="F1516" s="924" t="s">
        <v>1130</v>
      </c>
      <c r="G1516" s="924" t="s">
        <v>981</v>
      </c>
      <c r="H1516" s="924" t="s">
        <v>835</v>
      </c>
      <c r="I1516" s="924" t="s">
        <v>1040</v>
      </c>
      <c r="J1516" s="924" t="s">
        <v>870</v>
      </c>
      <c r="K1516" s="924" t="s">
        <v>871</v>
      </c>
      <c r="L1516" s="925">
        <v>5.10868095234036</v>
      </c>
      <c r="M1516" s="925">
        <v>4.07173877079003E-3</v>
      </c>
    </row>
    <row r="1517" spans="1:13" ht="11.25" customHeight="1" x14ac:dyDescent="0.2">
      <c r="A1517" s="924" t="s">
        <v>853</v>
      </c>
      <c r="B1517" s="924" t="s">
        <v>794</v>
      </c>
      <c r="C1517" s="924" t="s">
        <v>1179</v>
      </c>
      <c r="D1517" s="924" t="s">
        <v>1180</v>
      </c>
      <c r="E1517" s="924" t="s">
        <v>856</v>
      </c>
      <c r="F1517" s="924" t="s">
        <v>1116</v>
      </c>
      <c r="G1517" s="924" t="s">
        <v>981</v>
      </c>
      <c r="H1517" s="924" t="s">
        <v>835</v>
      </c>
      <c r="I1517" s="924" t="s">
        <v>1040</v>
      </c>
      <c r="J1517" s="924" t="s">
        <v>940</v>
      </c>
      <c r="K1517" s="924" t="s">
        <v>1032</v>
      </c>
      <c r="L1517" s="925">
        <v>1136.3936953544601</v>
      </c>
      <c r="M1517" s="925">
        <v>0.71681817481294297</v>
      </c>
    </row>
    <row r="1518" spans="1:13" ht="11.25" customHeight="1" x14ac:dyDescent="0.2">
      <c r="A1518" s="924" t="s">
        <v>853</v>
      </c>
      <c r="B1518" s="924" t="s">
        <v>794</v>
      </c>
      <c r="C1518" s="924" t="s">
        <v>1179</v>
      </c>
      <c r="D1518" s="924" t="s">
        <v>1180</v>
      </c>
      <c r="E1518" s="924" t="s">
        <v>856</v>
      </c>
      <c r="F1518" s="924" t="s">
        <v>1119</v>
      </c>
      <c r="G1518" s="924" t="s">
        <v>981</v>
      </c>
      <c r="H1518" s="924" t="s">
        <v>835</v>
      </c>
      <c r="I1518" s="924" t="s">
        <v>1040</v>
      </c>
      <c r="J1518" s="924" t="s">
        <v>875</v>
      </c>
      <c r="K1518" s="924" t="s">
        <v>878</v>
      </c>
      <c r="L1518" s="925">
        <v>151.61576414108299</v>
      </c>
      <c r="M1518" s="925">
        <v>0.101155241650304</v>
      </c>
    </row>
    <row r="1519" spans="1:13" ht="11.25" customHeight="1" x14ac:dyDescent="0.2">
      <c r="A1519" s="924" t="s">
        <v>853</v>
      </c>
      <c r="B1519" s="924" t="s">
        <v>794</v>
      </c>
      <c r="C1519" s="924" t="s">
        <v>1179</v>
      </c>
      <c r="D1519" s="924" t="s">
        <v>1180</v>
      </c>
      <c r="E1519" s="924" t="s">
        <v>856</v>
      </c>
      <c r="F1519" s="924" t="s">
        <v>1115</v>
      </c>
      <c r="G1519" s="924" t="s">
        <v>981</v>
      </c>
      <c r="H1519" s="924" t="s">
        <v>835</v>
      </c>
      <c r="I1519" s="924" t="s">
        <v>1040</v>
      </c>
      <c r="J1519" s="924" t="s">
        <v>870</v>
      </c>
      <c r="K1519" s="924" t="s">
        <v>965</v>
      </c>
      <c r="L1519" s="925">
        <v>3.5452240351587498</v>
      </c>
      <c r="M1519" s="925">
        <v>2.98246691750137E-3</v>
      </c>
    </row>
    <row r="1520" spans="1:13" ht="11.25" customHeight="1" x14ac:dyDescent="0.2">
      <c r="A1520" s="924" t="s">
        <v>853</v>
      </c>
      <c r="B1520" s="924" t="s">
        <v>794</v>
      </c>
      <c r="C1520" s="924" t="s">
        <v>1179</v>
      </c>
      <c r="D1520" s="924" t="s">
        <v>1180</v>
      </c>
      <c r="E1520" s="924" t="s">
        <v>856</v>
      </c>
      <c r="F1520" s="924" t="s">
        <v>1121</v>
      </c>
      <c r="G1520" s="924" t="s">
        <v>981</v>
      </c>
      <c r="H1520" s="924" t="s">
        <v>835</v>
      </c>
      <c r="I1520" s="924" t="s">
        <v>1040</v>
      </c>
      <c r="J1520" s="924" t="s">
        <v>875</v>
      </c>
      <c r="K1520" s="924" t="s">
        <v>948</v>
      </c>
      <c r="L1520" s="925">
        <v>172.54236197471599</v>
      </c>
      <c r="M1520" s="925">
        <v>0.108178671486485</v>
      </c>
    </row>
    <row r="1521" spans="1:13" ht="11.25" customHeight="1" x14ac:dyDescent="0.2">
      <c r="A1521" s="924" t="s">
        <v>853</v>
      </c>
      <c r="B1521" s="924" t="s">
        <v>794</v>
      </c>
      <c r="C1521" s="924" t="s">
        <v>1179</v>
      </c>
      <c r="D1521" s="924" t="s">
        <v>1180</v>
      </c>
      <c r="E1521" s="924" t="s">
        <v>856</v>
      </c>
      <c r="F1521" s="924" t="s">
        <v>1122</v>
      </c>
      <c r="G1521" s="924" t="s">
        <v>981</v>
      </c>
      <c r="H1521" s="924" t="s">
        <v>835</v>
      </c>
      <c r="I1521" s="924" t="s">
        <v>1040</v>
      </c>
      <c r="J1521" s="924" t="s">
        <v>875</v>
      </c>
      <c r="K1521" s="924" t="s">
        <v>950</v>
      </c>
      <c r="L1521" s="925">
        <v>272.90822744369501</v>
      </c>
      <c r="M1521" s="925">
        <v>0.18970778311948799</v>
      </c>
    </row>
    <row r="1522" spans="1:13" ht="11.25" customHeight="1" x14ac:dyDescent="0.2">
      <c r="A1522" s="924" t="s">
        <v>853</v>
      </c>
      <c r="B1522" s="924" t="s">
        <v>794</v>
      </c>
      <c r="C1522" s="924" t="s">
        <v>1179</v>
      </c>
      <c r="D1522" s="924" t="s">
        <v>1180</v>
      </c>
      <c r="E1522" s="924" t="s">
        <v>856</v>
      </c>
      <c r="F1522" s="924" t="s">
        <v>1123</v>
      </c>
      <c r="G1522" s="924" t="s">
        <v>981</v>
      </c>
      <c r="H1522" s="924" t="s">
        <v>835</v>
      </c>
      <c r="I1522" s="924" t="s">
        <v>1040</v>
      </c>
      <c r="J1522" s="924" t="s">
        <v>875</v>
      </c>
      <c r="K1522" s="924" t="s">
        <v>952</v>
      </c>
      <c r="L1522" s="925">
        <v>12.802218601107599</v>
      </c>
      <c r="M1522" s="925">
        <v>8.9260875965990697E-3</v>
      </c>
    </row>
    <row r="1523" spans="1:13" ht="11.25" customHeight="1" x14ac:dyDescent="0.2">
      <c r="A1523" s="924" t="s">
        <v>853</v>
      </c>
      <c r="B1523" s="924" t="s">
        <v>794</v>
      </c>
      <c r="C1523" s="924" t="s">
        <v>1179</v>
      </c>
      <c r="D1523" s="924" t="s">
        <v>1180</v>
      </c>
      <c r="E1523" s="924" t="s">
        <v>856</v>
      </c>
      <c r="F1523" s="924" t="s">
        <v>1124</v>
      </c>
      <c r="G1523" s="924" t="s">
        <v>981</v>
      </c>
      <c r="H1523" s="924" t="s">
        <v>835</v>
      </c>
      <c r="I1523" s="924" t="s">
        <v>1040</v>
      </c>
      <c r="J1523" s="924" t="s">
        <v>956</v>
      </c>
      <c r="K1523" s="924" t="s">
        <v>1125</v>
      </c>
      <c r="L1523" s="925">
        <v>0.90888455696404002</v>
      </c>
      <c r="M1523" s="925">
        <v>7.2906001422978805E-4</v>
      </c>
    </row>
    <row r="1524" spans="1:13" ht="11.25" customHeight="1" x14ac:dyDescent="0.2">
      <c r="A1524" s="924" t="s">
        <v>853</v>
      </c>
      <c r="B1524" s="924" t="s">
        <v>794</v>
      </c>
      <c r="C1524" s="924" t="s">
        <v>1179</v>
      </c>
      <c r="D1524" s="924" t="s">
        <v>1180</v>
      </c>
      <c r="E1524" s="924" t="s">
        <v>856</v>
      </c>
      <c r="F1524" s="924" t="s">
        <v>1126</v>
      </c>
      <c r="G1524" s="924" t="s">
        <v>981</v>
      </c>
      <c r="H1524" s="924" t="s">
        <v>835</v>
      </c>
      <c r="I1524" s="924" t="s">
        <v>1040</v>
      </c>
      <c r="J1524" s="924" t="s">
        <v>956</v>
      </c>
      <c r="K1524" s="924" t="s">
        <v>957</v>
      </c>
      <c r="L1524" s="925">
        <v>1.04720033414196E-2</v>
      </c>
      <c r="M1524" s="925">
        <v>8.2372635361593893E-6</v>
      </c>
    </row>
    <row r="1525" spans="1:13" ht="11.25" customHeight="1" x14ac:dyDescent="0.2">
      <c r="A1525" s="924" t="s">
        <v>853</v>
      </c>
      <c r="B1525" s="924" t="s">
        <v>794</v>
      </c>
      <c r="C1525" s="924" t="s">
        <v>1179</v>
      </c>
      <c r="D1525" s="924" t="s">
        <v>1180</v>
      </c>
      <c r="E1525" s="924" t="s">
        <v>856</v>
      </c>
      <c r="F1525" s="924" t="s">
        <v>1127</v>
      </c>
      <c r="G1525" s="924" t="s">
        <v>911</v>
      </c>
      <c r="H1525" s="924" t="s">
        <v>665</v>
      </c>
      <c r="I1525" s="924" t="s">
        <v>706</v>
      </c>
      <c r="J1525" s="924" t="s">
        <v>884</v>
      </c>
      <c r="K1525" s="924" t="s">
        <v>885</v>
      </c>
      <c r="L1525" s="925">
        <v>19.6675035357475</v>
      </c>
      <c r="M1525" s="925">
        <v>8.5462154893321002E-3</v>
      </c>
    </row>
    <row r="1526" spans="1:13" ht="11.25" customHeight="1" x14ac:dyDescent="0.2">
      <c r="A1526" s="924" t="s">
        <v>853</v>
      </c>
      <c r="B1526" s="924" t="s">
        <v>794</v>
      </c>
      <c r="C1526" s="924" t="s">
        <v>1179</v>
      </c>
      <c r="D1526" s="924" t="s">
        <v>1180</v>
      </c>
      <c r="E1526" s="924" t="s">
        <v>856</v>
      </c>
      <c r="F1526" s="924" t="s">
        <v>1128</v>
      </c>
      <c r="G1526" s="924" t="s">
        <v>911</v>
      </c>
      <c r="H1526" s="924" t="s">
        <v>665</v>
      </c>
      <c r="I1526" s="924" t="s">
        <v>706</v>
      </c>
      <c r="J1526" s="924" t="s">
        <v>859</v>
      </c>
      <c r="K1526" s="924" t="s">
        <v>913</v>
      </c>
      <c r="L1526" s="925">
        <v>1.73347685672343</v>
      </c>
      <c r="M1526" s="925">
        <v>1.9113837427653401E-4</v>
      </c>
    </row>
    <row r="1527" spans="1:13" ht="11.25" customHeight="1" x14ac:dyDescent="0.2">
      <c r="A1527" s="924" t="s">
        <v>853</v>
      </c>
      <c r="B1527" s="924" t="s">
        <v>794</v>
      </c>
      <c r="C1527" s="924" t="s">
        <v>1179</v>
      </c>
      <c r="D1527" s="924" t="s">
        <v>1180</v>
      </c>
      <c r="E1527" s="924" t="s">
        <v>856</v>
      </c>
      <c r="F1527" s="924" t="s">
        <v>1041</v>
      </c>
      <c r="G1527" s="924" t="s">
        <v>981</v>
      </c>
      <c r="H1527" s="924" t="s">
        <v>835</v>
      </c>
      <c r="I1527" s="924" t="s">
        <v>1040</v>
      </c>
      <c r="J1527" s="924" t="s">
        <v>859</v>
      </c>
      <c r="K1527" s="924" t="s">
        <v>891</v>
      </c>
      <c r="L1527" s="925">
        <v>3.9840988777577899</v>
      </c>
      <c r="M1527" s="925">
        <v>1.9997012632302401E-3</v>
      </c>
    </row>
    <row r="1528" spans="1:13" ht="11.25" customHeight="1" x14ac:dyDescent="0.2">
      <c r="A1528" s="924" t="s">
        <v>853</v>
      </c>
      <c r="B1528" s="924" t="s">
        <v>794</v>
      </c>
      <c r="C1528" s="924" t="s">
        <v>1179</v>
      </c>
      <c r="D1528" s="924" t="s">
        <v>1180</v>
      </c>
      <c r="E1528" s="924" t="s">
        <v>856</v>
      </c>
      <c r="F1528" s="924" t="s">
        <v>1129</v>
      </c>
      <c r="G1528" s="924" t="s">
        <v>911</v>
      </c>
      <c r="H1528" s="924" t="s">
        <v>665</v>
      </c>
      <c r="I1528" s="924" t="s">
        <v>706</v>
      </c>
      <c r="J1528" s="924" t="s">
        <v>859</v>
      </c>
      <c r="K1528" s="924" t="s">
        <v>897</v>
      </c>
      <c r="L1528" s="925">
        <v>0.47872398933395699</v>
      </c>
      <c r="M1528" s="925">
        <v>1.73999483166654E-4</v>
      </c>
    </row>
    <row r="1529" spans="1:13" ht="11.25" customHeight="1" x14ac:dyDescent="0.2">
      <c r="A1529" s="924" t="s">
        <v>853</v>
      </c>
      <c r="B1529" s="924" t="s">
        <v>794</v>
      </c>
      <c r="C1529" s="924" t="s">
        <v>1179</v>
      </c>
      <c r="D1529" s="924" t="s">
        <v>1180</v>
      </c>
      <c r="E1529" s="924" t="s">
        <v>856</v>
      </c>
      <c r="F1529" s="924" t="s">
        <v>1056</v>
      </c>
      <c r="G1529" s="924" t="s">
        <v>981</v>
      </c>
      <c r="H1529" s="924" t="s">
        <v>835</v>
      </c>
      <c r="I1529" s="924" t="s">
        <v>998</v>
      </c>
      <c r="J1529" s="924" t="s">
        <v>875</v>
      </c>
      <c r="K1529" s="924" t="s">
        <v>878</v>
      </c>
      <c r="L1529" s="925">
        <v>19.689056187868101</v>
      </c>
      <c r="M1529" s="925">
        <v>3.7973300903104197E-2</v>
      </c>
    </row>
    <row r="1530" spans="1:13" ht="11.25" customHeight="1" x14ac:dyDescent="0.2">
      <c r="A1530" s="924" t="s">
        <v>853</v>
      </c>
      <c r="B1530" s="924" t="s">
        <v>794</v>
      </c>
      <c r="C1530" s="924" t="s">
        <v>1179</v>
      </c>
      <c r="D1530" s="924" t="s">
        <v>1180</v>
      </c>
      <c r="E1530" s="924" t="s">
        <v>856</v>
      </c>
      <c r="F1530" s="924" t="s">
        <v>1118</v>
      </c>
      <c r="G1530" s="924" t="s">
        <v>911</v>
      </c>
      <c r="H1530" s="924" t="s">
        <v>665</v>
      </c>
      <c r="I1530" s="924" t="s">
        <v>706</v>
      </c>
      <c r="J1530" s="924" t="s">
        <v>859</v>
      </c>
      <c r="K1530" s="924" t="s">
        <v>893</v>
      </c>
      <c r="L1530" s="925">
        <v>2.9394379109144202</v>
      </c>
      <c r="M1530" s="925">
        <v>1.4221385140444901E-4</v>
      </c>
    </row>
    <row r="1531" spans="1:13" ht="11.25" customHeight="1" x14ac:dyDescent="0.2">
      <c r="A1531" s="924" t="s">
        <v>853</v>
      </c>
      <c r="B1531" s="924" t="s">
        <v>794</v>
      </c>
      <c r="C1531" s="924" t="s">
        <v>1179</v>
      </c>
      <c r="D1531" s="924" t="s">
        <v>1180</v>
      </c>
      <c r="E1531" s="924" t="s">
        <v>856</v>
      </c>
      <c r="F1531" s="924" t="s">
        <v>1104</v>
      </c>
      <c r="G1531" s="924" t="s">
        <v>981</v>
      </c>
      <c r="H1531" s="924" t="s">
        <v>835</v>
      </c>
      <c r="I1531" s="924" t="s">
        <v>1040</v>
      </c>
      <c r="J1531" s="924" t="s">
        <v>875</v>
      </c>
      <c r="K1531" s="924" t="s">
        <v>876</v>
      </c>
      <c r="L1531" s="925">
        <v>607.08831024169899</v>
      </c>
      <c r="M1531" s="925">
        <v>0.40948708076029999</v>
      </c>
    </row>
    <row r="1532" spans="1:13" ht="11.25" customHeight="1" x14ac:dyDescent="0.2">
      <c r="A1532" s="924" t="s">
        <v>853</v>
      </c>
      <c r="B1532" s="924" t="s">
        <v>794</v>
      </c>
      <c r="C1532" s="924" t="s">
        <v>1179</v>
      </c>
      <c r="D1532" s="924" t="s">
        <v>1180</v>
      </c>
      <c r="E1532" s="924" t="s">
        <v>856</v>
      </c>
      <c r="F1532" s="924" t="s">
        <v>1136</v>
      </c>
      <c r="G1532" s="924" t="s">
        <v>981</v>
      </c>
      <c r="H1532" s="924" t="s">
        <v>835</v>
      </c>
      <c r="I1532" s="924" t="s">
        <v>1040</v>
      </c>
      <c r="J1532" s="924" t="s">
        <v>863</v>
      </c>
      <c r="K1532" s="924" t="s">
        <v>864</v>
      </c>
      <c r="L1532" s="925">
        <v>121.004909038544</v>
      </c>
      <c r="M1532" s="925">
        <v>9.0760318795219105E-2</v>
      </c>
    </row>
    <row r="1533" spans="1:13" ht="11.25" customHeight="1" x14ac:dyDescent="0.2">
      <c r="A1533" s="924" t="s">
        <v>853</v>
      </c>
      <c r="B1533" s="924" t="s">
        <v>794</v>
      </c>
      <c r="C1533" s="924" t="s">
        <v>1179</v>
      </c>
      <c r="D1533" s="924" t="s">
        <v>1180</v>
      </c>
      <c r="E1533" s="924" t="s">
        <v>856</v>
      </c>
      <c r="F1533" s="924" t="s">
        <v>1138</v>
      </c>
      <c r="G1533" s="924" t="s">
        <v>981</v>
      </c>
      <c r="H1533" s="924" t="s">
        <v>835</v>
      </c>
      <c r="I1533" s="924" t="s">
        <v>1040</v>
      </c>
      <c r="J1533" s="924" t="s">
        <v>863</v>
      </c>
      <c r="K1533" s="924" t="s">
        <v>931</v>
      </c>
      <c r="L1533" s="925">
        <v>77.950383186340304</v>
      </c>
      <c r="M1533" s="925">
        <v>3.01523239977541E-2</v>
      </c>
    </row>
    <row r="1534" spans="1:13" ht="11.25" customHeight="1" x14ac:dyDescent="0.2">
      <c r="A1534" s="924" t="s">
        <v>853</v>
      </c>
      <c r="B1534" s="924" t="s">
        <v>794</v>
      </c>
      <c r="C1534" s="924" t="s">
        <v>1179</v>
      </c>
      <c r="D1534" s="924" t="s">
        <v>1180</v>
      </c>
      <c r="E1534" s="924" t="s">
        <v>856</v>
      </c>
      <c r="F1534" s="924" t="s">
        <v>1117</v>
      </c>
      <c r="G1534" s="924" t="s">
        <v>981</v>
      </c>
      <c r="H1534" s="924" t="s">
        <v>835</v>
      </c>
      <c r="I1534" s="924" t="s">
        <v>1040</v>
      </c>
      <c r="J1534" s="924" t="s">
        <v>870</v>
      </c>
      <c r="K1534" s="924" t="s">
        <v>873</v>
      </c>
      <c r="L1534" s="925">
        <v>5.6329836715012798</v>
      </c>
      <c r="M1534" s="925">
        <v>5.6574642485429595E-4</v>
      </c>
    </row>
    <row r="1535" spans="1:13" ht="11.25" customHeight="1" x14ac:dyDescent="0.2">
      <c r="A1535" s="924" t="s">
        <v>853</v>
      </c>
      <c r="B1535" s="924" t="s">
        <v>794</v>
      </c>
      <c r="C1535" s="924" t="s">
        <v>1179</v>
      </c>
      <c r="D1535" s="924" t="s">
        <v>1180</v>
      </c>
      <c r="E1535" s="924" t="s">
        <v>856</v>
      </c>
      <c r="F1535" s="924" t="s">
        <v>1135</v>
      </c>
      <c r="G1535" s="924" t="s">
        <v>981</v>
      </c>
      <c r="H1535" s="924" t="s">
        <v>835</v>
      </c>
      <c r="I1535" s="924" t="s">
        <v>1040</v>
      </c>
      <c r="J1535" s="924" t="s">
        <v>863</v>
      </c>
      <c r="K1535" s="924" t="s">
        <v>935</v>
      </c>
      <c r="L1535" s="925">
        <v>64.396057724952698</v>
      </c>
      <c r="M1535" s="925">
        <v>2.32869250176009E-2</v>
      </c>
    </row>
    <row r="1536" spans="1:13" ht="11.25" customHeight="1" x14ac:dyDescent="0.2">
      <c r="A1536" s="924" t="s">
        <v>853</v>
      </c>
      <c r="B1536" s="924" t="s">
        <v>794</v>
      </c>
      <c r="C1536" s="924" t="s">
        <v>1179</v>
      </c>
      <c r="D1536" s="924" t="s">
        <v>1180</v>
      </c>
      <c r="E1536" s="924" t="s">
        <v>856</v>
      </c>
      <c r="F1536" s="924" t="s">
        <v>1148</v>
      </c>
      <c r="G1536" s="924" t="s">
        <v>981</v>
      </c>
      <c r="H1536" s="924" t="s">
        <v>835</v>
      </c>
      <c r="I1536" s="924" t="s">
        <v>1040</v>
      </c>
      <c r="J1536" s="924" t="s">
        <v>863</v>
      </c>
      <c r="K1536" s="924" t="s">
        <v>915</v>
      </c>
      <c r="L1536" s="925">
        <v>5.4929961413145101</v>
      </c>
      <c r="M1536" s="925">
        <v>2.0572920637960102E-3</v>
      </c>
    </row>
    <row r="1537" spans="1:13" ht="11.25" customHeight="1" x14ac:dyDescent="0.2">
      <c r="A1537" s="924" t="s">
        <v>853</v>
      </c>
      <c r="B1537" s="924" t="s">
        <v>794</v>
      </c>
      <c r="C1537" s="924" t="s">
        <v>1179</v>
      </c>
      <c r="D1537" s="924" t="s">
        <v>1180</v>
      </c>
      <c r="E1537" s="924" t="s">
        <v>856</v>
      </c>
      <c r="F1537" s="924" t="s">
        <v>1137</v>
      </c>
      <c r="G1537" s="924" t="s">
        <v>981</v>
      </c>
      <c r="H1537" s="924" t="s">
        <v>835</v>
      </c>
      <c r="I1537" s="924" t="s">
        <v>1040</v>
      </c>
      <c r="J1537" s="924" t="s">
        <v>863</v>
      </c>
      <c r="K1537" s="924" t="s">
        <v>866</v>
      </c>
      <c r="L1537" s="925">
        <v>3.38734251260757</v>
      </c>
      <c r="M1537" s="925">
        <v>2.2804800901212699E-3</v>
      </c>
    </row>
    <row r="1538" spans="1:13" ht="11.25" customHeight="1" x14ac:dyDescent="0.2">
      <c r="A1538" s="924" t="s">
        <v>853</v>
      </c>
      <c r="B1538" s="924" t="s">
        <v>794</v>
      </c>
      <c r="C1538" s="924" t="s">
        <v>1179</v>
      </c>
      <c r="D1538" s="924" t="s">
        <v>1180</v>
      </c>
      <c r="E1538" s="924" t="s">
        <v>856</v>
      </c>
      <c r="F1538" s="924" t="s">
        <v>1131</v>
      </c>
      <c r="G1538" s="924" t="s">
        <v>981</v>
      </c>
      <c r="H1538" s="924" t="s">
        <v>835</v>
      </c>
      <c r="I1538" s="924" t="s">
        <v>1040</v>
      </c>
      <c r="J1538" s="924" t="s">
        <v>863</v>
      </c>
      <c r="K1538" s="924" t="s">
        <v>868</v>
      </c>
      <c r="L1538" s="925">
        <v>26.480227768421202</v>
      </c>
      <c r="M1538" s="925">
        <v>1.8783455743687199E-3</v>
      </c>
    </row>
    <row r="1539" spans="1:13" ht="11.25" customHeight="1" x14ac:dyDescent="0.2">
      <c r="A1539" s="924" t="s">
        <v>853</v>
      </c>
      <c r="B1539" s="924" t="s">
        <v>794</v>
      </c>
      <c r="C1539" s="924" t="s">
        <v>1179</v>
      </c>
      <c r="D1539" s="924" t="s">
        <v>1180</v>
      </c>
      <c r="E1539" s="924" t="s">
        <v>856</v>
      </c>
      <c r="F1539" s="924" t="s">
        <v>1139</v>
      </c>
      <c r="G1539" s="924" t="s">
        <v>981</v>
      </c>
      <c r="H1539" s="924" t="s">
        <v>835</v>
      </c>
      <c r="I1539" s="924" t="s">
        <v>1040</v>
      </c>
      <c r="J1539" s="924" t="s">
        <v>940</v>
      </c>
      <c r="K1539" s="924" t="s">
        <v>1140</v>
      </c>
      <c r="L1539" s="925">
        <v>543.57101488113403</v>
      </c>
      <c r="M1539" s="925">
        <v>0.39853757793573402</v>
      </c>
    </row>
    <row r="1540" spans="1:13" ht="11.25" customHeight="1" x14ac:dyDescent="0.2">
      <c r="A1540" s="924" t="s">
        <v>853</v>
      </c>
      <c r="B1540" s="924" t="s">
        <v>794</v>
      </c>
      <c r="C1540" s="924" t="s">
        <v>1179</v>
      </c>
      <c r="D1540" s="924" t="s">
        <v>1180</v>
      </c>
      <c r="E1540" s="924" t="s">
        <v>856</v>
      </c>
      <c r="F1540" s="924" t="s">
        <v>1141</v>
      </c>
      <c r="G1540" s="924" t="s">
        <v>981</v>
      </c>
      <c r="H1540" s="924" t="s">
        <v>835</v>
      </c>
      <c r="I1540" s="924" t="s">
        <v>1040</v>
      </c>
      <c r="J1540" s="924" t="s">
        <v>940</v>
      </c>
      <c r="K1540" s="924" t="s">
        <v>1142</v>
      </c>
      <c r="L1540" s="925">
        <v>203.88345164060601</v>
      </c>
      <c r="M1540" s="925">
        <v>0.150538056041114</v>
      </c>
    </row>
    <row r="1541" spans="1:13" ht="11.25" customHeight="1" x14ac:dyDescent="0.2">
      <c r="A1541" s="924" t="s">
        <v>853</v>
      </c>
      <c r="B1541" s="924" t="s">
        <v>794</v>
      </c>
      <c r="C1541" s="924" t="s">
        <v>1179</v>
      </c>
      <c r="D1541" s="924" t="s">
        <v>1180</v>
      </c>
      <c r="E1541" s="924" t="s">
        <v>856</v>
      </c>
      <c r="F1541" s="924" t="s">
        <v>1143</v>
      </c>
      <c r="G1541" s="924" t="s">
        <v>981</v>
      </c>
      <c r="H1541" s="924" t="s">
        <v>835</v>
      </c>
      <c r="I1541" s="924" t="s">
        <v>1040</v>
      </c>
      <c r="J1541" s="924" t="s">
        <v>940</v>
      </c>
      <c r="K1541" s="924" t="s">
        <v>1084</v>
      </c>
      <c r="L1541" s="925">
        <v>46.775308698415799</v>
      </c>
      <c r="M1541" s="925">
        <v>3.4240195556776598E-2</v>
      </c>
    </row>
    <row r="1542" spans="1:13" ht="11.25" customHeight="1" x14ac:dyDescent="0.2">
      <c r="A1542" s="924" t="s">
        <v>853</v>
      </c>
      <c r="B1542" s="924" t="s">
        <v>794</v>
      </c>
      <c r="C1542" s="924" t="s">
        <v>1179</v>
      </c>
      <c r="D1542" s="924" t="s">
        <v>1180</v>
      </c>
      <c r="E1542" s="924" t="s">
        <v>856</v>
      </c>
      <c r="F1542" s="924" t="s">
        <v>1144</v>
      </c>
      <c r="G1542" s="924" t="s">
        <v>981</v>
      </c>
      <c r="H1542" s="924" t="s">
        <v>835</v>
      </c>
      <c r="I1542" s="924" t="s">
        <v>1040</v>
      </c>
      <c r="J1542" s="924" t="s">
        <v>940</v>
      </c>
      <c r="K1542" s="924" t="s">
        <v>1070</v>
      </c>
      <c r="L1542" s="925">
        <v>121.220547676086</v>
      </c>
      <c r="M1542" s="925">
        <v>8.44903896213509E-2</v>
      </c>
    </row>
    <row r="1543" spans="1:13" ht="11.25" customHeight="1" x14ac:dyDescent="0.2">
      <c r="A1543" s="924" t="s">
        <v>853</v>
      </c>
      <c r="B1543" s="924" t="s">
        <v>794</v>
      </c>
      <c r="C1543" s="924" t="s">
        <v>1179</v>
      </c>
      <c r="D1543" s="924" t="s">
        <v>1180</v>
      </c>
      <c r="E1543" s="924" t="s">
        <v>856</v>
      </c>
      <c r="F1543" s="924" t="s">
        <v>1149</v>
      </c>
      <c r="G1543" s="924" t="s">
        <v>981</v>
      </c>
      <c r="H1543" s="924" t="s">
        <v>835</v>
      </c>
      <c r="I1543" s="924" t="s">
        <v>1040</v>
      </c>
      <c r="J1543" s="924" t="s">
        <v>940</v>
      </c>
      <c r="K1543" s="924" t="s">
        <v>1091</v>
      </c>
      <c r="L1543" s="925">
        <v>3.01433331519365</v>
      </c>
      <c r="M1543" s="925">
        <v>2.1069014383101599E-3</v>
      </c>
    </row>
    <row r="1544" spans="1:13" ht="11.25" customHeight="1" x14ac:dyDescent="0.2">
      <c r="A1544" s="924" t="s">
        <v>853</v>
      </c>
      <c r="B1544" s="924" t="s">
        <v>794</v>
      </c>
      <c r="C1544" s="924" t="s">
        <v>1179</v>
      </c>
      <c r="D1544" s="924" t="s">
        <v>1180</v>
      </c>
      <c r="E1544" s="924" t="s">
        <v>856</v>
      </c>
      <c r="F1544" s="924" t="s">
        <v>1160</v>
      </c>
      <c r="G1544" s="924" t="s">
        <v>981</v>
      </c>
      <c r="H1544" s="924" t="s">
        <v>835</v>
      </c>
      <c r="I1544" s="924" t="s">
        <v>1040</v>
      </c>
      <c r="J1544" s="924" t="s">
        <v>940</v>
      </c>
      <c r="K1544" s="924" t="s">
        <v>1093</v>
      </c>
      <c r="L1544" s="925">
        <v>4.7225776985287702</v>
      </c>
      <c r="M1544" s="925">
        <v>3.3341425933031102E-3</v>
      </c>
    </row>
    <row r="1545" spans="1:13" ht="11.25" customHeight="1" x14ac:dyDescent="0.2">
      <c r="A1545" s="924" t="s">
        <v>853</v>
      </c>
      <c r="B1545" s="924" t="s">
        <v>794</v>
      </c>
      <c r="C1545" s="924" t="s">
        <v>1179</v>
      </c>
      <c r="D1545" s="924" t="s">
        <v>1180</v>
      </c>
      <c r="E1545" s="924" t="s">
        <v>856</v>
      </c>
      <c r="F1545" s="924" t="s">
        <v>1146</v>
      </c>
      <c r="G1545" s="924" t="s">
        <v>981</v>
      </c>
      <c r="H1545" s="924" t="s">
        <v>835</v>
      </c>
      <c r="I1545" s="924" t="s">
        <v>1040</v>
      </c>
      <c r="J1545" s="924" t="s">
        <v>940</v>
      </c>
      <c r="K1545" s="924" t="s">
        <v>1147</v>
      </c>
      <c r="L1545" s="925">
        <v>1473.46788597107</v>
      </c>
      <c r="M1545" s="925">
        <v>0.94904553797096003</v>
      </c>
    </row>
    <row r="1546" spans="1:13" ht="11.25" customHeight="1" x14ac:dyDescent="0.2">
      <c r="A1546" s="924" t="s">
        <v>853</v>
      </c>
      <c r="B1546" s="924" t="s">
        <v>794</v>
      </c>
      <c r="C1546" s="924" t="s">
        <v>1179</v>
      </c>
      <c r="D1546" s="924" t="s">
        <v>1180</v>
      </c>
      <c r="E1546" s="924" t="s">
        <v>856</v>
      </c>
      <c r="F1546" s="924" t="s">
        <v>1134</v>
      </c>
      <c r="G1546" s="924" t="s">
        <v>981</v>
      </c>
      <c r="H1546" s="924" t="s">
        <v>835</v>
      </c>
      <c r="I1546" s="924" t="s">
        <v>1040</v>
      </c>
      <c r="J1546" s="924" t="s">
        <v>863</v>
      </c>
      <c r="K1546" s="924" t="s">
        <v>933</v>
      </c>
      <c r="L1546" s="925">
        <v>299.11929893493698</v>
      </c>
      <c r="M1546" s="925">
        <v>2.1228645753581101E-2</v>
      </c>
    </row>
    <row r="1547" spans="1:13" ht="11.25" customHeight="1" x14ac:dyDescent="0.2">
      <c r="A1547" s="924" t="s">
        <v>853</v>
      </c>
      <c r="B1547" s="924" t="s">
        <v>794</v>
      </c>
      <c r="C1547" s="924" t="s">
        <v>1179</v>
      </c>
      <c r="D1547" s="924" t="s">
        <v>1180</v>
      </c>
      <c r="E1547" s="924" t="s">
        <v>856</v>
      </c>
      <c r="F1547" s="924" t="s">
        <v>1159</v>
      </c>
      <c r="G1547" s="924" t="s">
        <v>981</v>
      </c>
      <c r="H1547" s="924" t="s">
        <v>835</v>
      </c>
      <c r="I1547" s="924" t="s">
        <v>1040</v>
      </c>
      <c r="J1547" s="924" t="s">
        <v>940</v>
      </c>
      <c r="K1547" s="924" t="s">
        <v>1095</v>
      </c>
      <c r="L1547" s="925">
        <v>5.7504641041159603</v>
      </c>
      <c r="M1547" s="925">
        <v>4.0200406619987899E-3</v>
      </c>
    </row>
    <row r="1548" spans="1:13" ht="11.25" customHeight="1" x14ac:dyDescent="0.2">
      <c r="A1548" s="924" t="s">
        <v>853</v>
      </c>
      <c r="B1548" s="924" t="s">
        <v>794</v>
      </c>
      <c r="C1548" s="924" t="s">
        <v>1179</v>
      </c>
      <c r="D1548" s="924" t="s">
        <v>1180</v>
      </c>
      <c r="E1548" s="924" t="s">
        <v>856</v>
      </c>
      <c r="F1548" s="924" t="s">
        <v>1132</v>
      </c>
      <c r="G1548" s="924" t="s">
        <v>981</v>
      </c>
      <c r="H1548" s="924" t="s">
        <v>835</v>
      </c>
      <c r="I1548" s="924" t="s">
        <v>1040</v>
      </c>
      <c r="J1548" s="924" t="s">
        <v>940</v>
      </c>
      <c r="K1548" s="924" t="s">
        <v>941</v>
      </c>
      <c r="L1548" s="925">
        <v>58.743453487753897</v>
      </c>
      <c r="M1548" s="925">
        <v>2.5667047651950301E-2</v>
      </c>
    </row>
    <row r="1549" spans="1:13" ht="11.25" customHeight="1" x14ac:dyDescent="0.2">
      <c r="A1549" s="924" t="s">
        <v>853</v>
      </c>
      <c r="B1549" s="924" t="s">
        <v>794</v>
      </c>
      <c r="C1549" s="924" t="s">
        <v>1179</v>
      </c>
      <c r="D1549" s="924" t="s">
        <v>1180</v>
      </c>
      <c r="E1549" s="924" t="s">
        <v>856</v>
      </c>
      <c r="F1549" s="924" t="s">
        <v>1145</v>
      </c>
      <c r="G1549" s="924" t="s">
        <v>981</v>
      </c>
      <c r="H1549" s="924" t="s">
        <v>835</v>
      </c>
      <c r="I1549" s="924" t="s">
        <v>1040</v>
      </c>
      <c r="J1549" s="924" t="s">
        <v>940</v>
      </c>
      <c r="K1549" s="924" t="s">
        <v>1029</v>
      </c>
      <c r="L1549" s="925">
        <v>352.04451858997299</v>
      </c>
      <c r="M1549" s="925">
        <v>0.231606087414548</v>
      </c>
    </row>
    <row r="1550" spans="1:13" ht="11.25" customHeight="1" x14ac:dyDescent="0.2">
      <c r="A1550" s="924" t="s">
        <v>853</v>
      </c>
      <c r="B1550" s="924" t="s">
        <v>794</v>
      </c>
      <c r="C1550" s="924" t="s">
        <v>1179</v>
      </c>
      <c r="D1550" s="924" t="s">
        <v>1180</v>
      </c>
      <c r="E1550" s="924" t="s">
        <v>856</v>
      </c>
      <c r="F1550" s="924" t="s">
        <v>1150</v>
      </c>
      <c r="G1550" s="924" t="s">
        <v>981</v>
      </c>
      <c r="H1550" s="924" t="s">
        <v>835</v>
      </c>
      <c r="I1550" s="924" t="s">
        <v>1040</v>
      </c>
      <c r="J1550" s="924" t="s">
        <v>940</v>
      </c>
      <c r="K1550" s="924" t="s">
        <v>1151</v>
      </c>
      <c r="L1550" s="925">
        <v>13.9640823192894</v>
      </c>
      <c r="M1550" s="925">
        <v>9.8377125068509503E-3</v>
      </c>
    </row>
    <row r="1551" spans="1:13" ht="11.25" customHeight="1" x14ac:dyDescent="0.2">
      <c r="A1551" s="924" t="s">
        <v>853</v>
      </c>
      <c r="B1551" s="924" t="s">
        <v>794</v>
      </c>
      <c r="C1551" s="924" t="s">
        <v>1179</v>
      </c>
      <c r="D1551" s="924" t="s">
        <v>1180</v>
      </c>
      <c r="E1551" s="924" t="s">
        <v>856</v>
      </c>
      <c r="F1551" s="924" t="s">
        <v>1161</v>
      </c>
      <c r="G1551" s="924" t="s">
        <v>981</v>
      </c>
      <c r="H1551" s="924" t="s">
        <v>835</v>
      </c>
      <c r="I1551" s="924" t="s">
        <v>1040</v>
      </c>
      <c r="J1551" s="924" t="s">
        <v>940</v>
      </c>
      <c r="K1551" s="924" t="s">
        <v>1027</v>
      </c>
      <c r="L1551" s="925">
        <v>29.261151269078301</v>
      </c>
      <c r="M1551" s="925">
        <v>2.0239871423910899E-2</v>
      </c>
    </row>
    <row r="1552" spans="1:13" ht="11.25" customHeight="1" x14ac:dyDescent="0.2">
      <c r="A1552" s="924" t="s">
        <v>853</v>
      </c>
      <c r="B1552" s="924" t="s">
        <v>794</v>
      </c>
      <c r="C1552" s="924" t="s">
        <v>1179</v>
      </c>
      <c r="D1552" s="924" t="s">
        <v>1180</v>
      </c>
      <c r="E1552" s="924" t="s">
        <v>856</v>
      </c>
      <c r="F1552" s="924" t="s">
        <v>1158</v>
      </c>
      <c r="G1552" s="924" t="s">
        <v>981</v>
      </c>
      <c r="H1552" s="924" t="s">
        <v>835</v>
      </c>
      <c r="I1552" s="924" t="s">
        <v>1040</v>
      </c>
      <c r="J1552" s="924" t="s">
        <v>940</v>
      </c>
      <c r="K1552" s="924" t="s">
        <v>1023</v>
      </c>
      <c r="L1552" s="925">
        <v>193.498235523701</v>
      </c>
      <c r="M1552" s="925">
        <v>0.111290440058383</v>
      </c>
    </row>
    <row r="1553" spans="1:13" ht="11.25" customHeight="1" x14ac:dyDescent="0.2">
      <c r="A1553" s="924" t="s">
        <v>853</v>
      </c>
      <c r="B1553" s="924" t="s">
        <v>794</v>
      </c>
      <c r="C1553" s="924" t="s">
        <v>1179</v>
      </c>
      <c r="D1553" s="924" t="s">
        <v>1180</v>
      </c>
      <c r="E1553" s="924" t="s">
        <v>856</v>
      </c>
      <c r="F1553" s="924" t="s">
        <v>1154</v>
      </c>
      <c r="G1553" s="924" t="s">
        <v>981</v>
      </c>
      <c r="H1553" s="924" t="s">
        <v>835</v>
      </c>
      <c r="I1553" s="924" t="s">
        <v>1040</v>
      </c>
      <c r="J1553" s="924" t="s">
        <v>940</v>
      </c>
      <c r="K1553" s="924" t="s">
        <v>1155</v>
      </c>
      <c r="L1553" s="925">
        <v>109.917843580246</v>
      </c>
      <c r="M1553" s="925">
        <v>7.0919881072825305E-2</v>
      </c>
    </row>
    <row r="1554" spans="1:13" ht="11.25" customHeight="1" x14ac:dyDescent="0.2">
      <c r="A1554" s="924" t="s">
        <v>853</v>
      </c>
      <c r="B1554" s="924" t="s">
        <v>794</v>
      </c>
      <c r="C1554" s="924" t="s">
        <v>1179</v>
      </c>
      <c r="D1554" s="924" t="s">
        <v>1180</v>
      </c>
      <c r="E1554" s="924" t="s">
        <v>856</v>
      </c>
      <c r="F1554" s="924" t="s">
        <v>1156</v>
      </c>
      <c r="G1554" s="924" t="s">
        <v>981</v>
      </c>
      <c r="H1554" s="924" t="s">
        <v>835</v>
      </c>
      <c r="I1554" s="924" t="s">
        <v>1040</v>
      </c>
      <c r="J1554" s="924" t="s">
        <v>940</v>
      </c>
      <c r="K1554" s="924" t="s">
        <v>1025</v>
      </c>
      <c r="L1554" s="925">
        <v>77.526133537292495</v>
      </c>
      <c r="M1554" s="925">
        <v>0.145987202529795</v>
      </c>
    </row>
    <row r="1555" spans="1:13" ht="11.25" customHeight="1" x14ac:dyDescent="0.2">
      <c r="A1555" s="924" t="s">
        <v>853</v>
      </c>
      <c r="B1555" s="924" t="s">
        <v>794</v>
      </c>
      <c r="C1555" s="924" t="s">
        <v>1179</v>
      </c>
      <c r="D1555" s="924" t="s">
        <v>1180</v>
      </c>
      <c r="E1555" s="924" t="s">
        <v>856</v>
      </c>
      <c r="F1555" s="924" t="s">
        <v>1157</v>
      </c>
      <c r="G1555" s="924" t="s">
        <v>981</v>
      </c>
      <c r="H1555" s="924" t="s">
        <v>835</v>
      </c>
      <c r="I1555" s="924" t="s">
        <v>1040</v>
      </c>
      <c r="J1555" s="924" t="s">
        <v>940</v>
      </c>
      <c r="K1555" s="924" t="s">
        <v>1098</v>
      </c>
      <c r="L1555" s="925">
        <v>61.919268608093297</v>
      </c>
      <c r="M1555" s="925">
        <v>0.116750613437034</v>
      </c>
    </row>
    <row r="1556" spans="1:13" ht="11.25" customHeight="1" x14ac:dyDescent="0.2">
      <c r="A1556" s="924" t="s">
        <v>853</v>
      </c>
      <c r="B1556" s="924" t="s">
        <v>794</v>
      </c>
      <c r="C1556" s="924" t="s">
        <v>1179</v>
      </c>
      <c r="D1556" s="924" t="s">
        <v>1180</v>
      </c>
      <c r="E1556" s="924" t="s">
        <v>856</v>
      </c>
      <c r="F1556" s="924" t="s">
        <v>1152</v>
      </c>
      <c r="G1556" s="924" t="s">
        <v>981</v>
      </c>
      <c r="H1556" s="924" t="s">
        <v>835</v>
      </c>
      <c r="I1556" s="924" t="s">
        <v>1040</v>
      </c>
      <c r="J1556" s="924" t="s">
        <v>940</v>
      </c>
      <c r="K1556" s="924" t="s">
        <v>1153</v>
      </c>
      <c r="L1556" s="925">
        <v>25.904595248401201</v>
      </c>
      <c r="M1556" s="925">
        <v>1.7045910703018301E-2</v>
      </c>
    </row>
    <row r="1557" spans="1:13" ht="11.25" customHeight="1" x14ac:dyDescent="0.2">
      <c r="A1557" s="924" t="s">
        <v>853</v>
      </c>
      <c r="B1557" s="924" t="s">
        <v>795</v>
      </c>
      <c r="C1557" s="924" t="s">
        <v>1181</v>
      </c>
      <c r="D1557" s="924" t="s">
        <v>1176</v>
      </c>
      <c r="E1557" s="924" t="s">
        <v>856</v>
      </c>
      <c r="F1557" s="924" t="s">
        <v>881</v>
      </c>
      <c r="G1557" s="924" t="s">
        <v>862</v>
      </c>
      <c r="H1557" s="924" t="s">
        <v>665</v>
      </c>
      <c r="I1557" s="924" t="s">
        <v>787</v>
      </c>
      <c r="J1557" s="924" t="s">
        <v>875</v>
      </c>
      <c r="K1557" s="924" t="s">
        <v>882</v>
      </c>
      <c r="L1557" s="925">
        <v>48.067981004715001</v>
      </c>
      <c r="M1557" s="925">
        <v>0.22969837859273001</v>
      </c>
    </row>
    <row r="1558" spans="1:13" ht="11.25" customHeight="1" x14ac:dyDescent="0.2">
      <c r="A1558" s="924" t="s">
        <v>853</v>
      </c>
      <c r="B1558" s="924" t="s">
        <v>795</v>
      </c>
      <c r="C1558" s="924" t="s">
        <v>1181</v>
      </c>
      <c r="D1558" s="924" t="s">
        <v>1176</v>
      </c>
      <c r="E1558" s="924" t="s">
        <v>856</v>
      </c>
      <c r="F1558" s="924" t="s">
        <v>879</v>
      </c>
      <c r="G1558" s="924" t="s">
        <v>862</v>
      </c>
      <c r="H1558" s="924" t="s">
        <v>665</v>
      </c>
      <c r="I1558" s="924" t="s">
        <v>787</v>
      </c>
      <c r="J1558" s="924" t="s">
        <v>875</v>
      </c>
      <c r="K1558" s="924" t="s">
        <v>880</v>
      </c>
      <c r="L1558" s="925">
        <v>1.35058225877583</v>
      </c>
      <c r="M1558" s="925">
        <v>7.5981212930855699E-3</v>
      </c>
    </row>
    <row r="1559" spans="1:13" ht="11.25" customHeight="1" x14ac:dyDescent="0.2">
      <c r="A1559" s="924" t="s">
        <v>853</v>
      </c>
      <c r="B1559" s="924" t="s">
        <v>795</v>
      </c>
      <c r="C1559" s="924" t="s">
        <v>1181</v>
      </c>
      <c r="D1559" s="924" t="s">
        <v>1176</v>
      </c>
      <c r="E1559" s="924" t="s">
        <v>856</v>
      </c>
      <c r="F1559" s="924" t="s">
        <v>877</v>
      </c>
      <c r="G1559" s="924" t="s">
        <v>862</v>
      </c>
      <c r="H1559" s="924" t="s">
        <v>665</v>
      </c>
      <c r="I1559" s="924" t="s">
        <v>787</v>
      </c>
      <c r="J1559" s="924" t="s">
        <v>875</v>
      </c>
      <c r="K1559" s="924" t="s">
        <v>878</v>
      </c>
      <c r="L1559" s="925">
        <v>0.91567547526210502</v>
      </c>
      <c r="M1559" s="925">
        <v>1.5001240484707501E-2</v>
      </c>
    </row>
    <row r="1560" spans="1:13" ht="11.25" customHeight="1" x14ac:dyDescent="0.2">
      <c r="A1560" s="924" t="s">
        <v>853</v>
      </c>
      <c r="B1560" s="924" t="s">
        <v>795</v>
      </c>
      <c r="C1560" s="924" t="s">
        <v>1181</v>
      </c>
      <c r="D1560" s="924" t="s">
        <v>1176</v>
      </c>
      <c r="E1560" s="924" t="s">
        <v>856</v>
      </c>
      <c r="F1560" s="924" t="s">
        <v>861</v>
      </c>
      <c r="G1560" s="924" t="s">
        <v>862</v>
      </c>
      <c r="H1560" s="924" t="s">
        <v>665</v>
      </c>
      <c r="I1560" s="924" t="s">
        <v>787</v>
      </c>
      <c r="J1560" s="924" t="s">
        <v>863</v>
      </c>
      <c r="K1560" s="924" t="s">
        <v>864</v>
      </c>
      <c r="L1560" s="925">
        <v>3.9174841891508501E-2</v>
      </c>
      <c r="M1560" s="925">
        <v>1.6096194508463701E-4</v>
      </c>
    </row>
    <row r="1561" spans="1:13" ht="11.25" customHeight="1" x14ac:dyDescent="0.2">
      <c r="A1561" s="924" t="s">
        <v>853</v>
      </c>
      <c r="B1561" s="924" t="s">
        <v>795</v>
      </c>
      <c r="C1561" s="924" t="s">
        <v>1181</v>
      </c>
      <c r="D1561" s="924" t="s">
        <v>1176</v>
      </c>
      <c r="E1561" s="924" t="s">
        <v>856</v>
      </c>
      <c r="F1561" s="924" t="s">
        <v>874</v>
      </c>
      <c r="G1561" s="924" t="s">
        <v>862</v>
      </c>
      <c r="H1561" s="924" t="s">
        <v>665</v>
      </c>
      <c r="I1561" s="924" t="s">
        <v>787</v>
      </c>
      <c r="J1561" s="924" t="s">
        <v>875</v>
      </c>
      <c r="K1561" s="924" t="s">
        <v>876</v>
      </c>
      <c r="L1561" s="925">
        <v>19.142736673355099</v>
      </c>
      <c r="M1561" s="925">
        <v>0.58229608624242202</v>
      </c>
    </row>
    <row r="1562" spans="1:13" ht="11.25" customHeight="1" x14ac:dyDescent="0.2">
      <c r="A1562" s="924" t="s">
        <v>853</v>
      </c>
      <c r="B1562" s="924" t="s">
        <v>795</v>
      </c>
      <c r="C1562" s="924" t="s">
        <v>1181</v>
      </c>
      <c r="D1562" s="924" t="s">
        <v>1176</v>
      </c>
      <c r="E1562" s="924" t="s">
        <v>856</v>
      </c>
      <c r="F1562" s="924" t="s">
        <v>867</v>
      </c>
      <c r="G1562" s="924" t="s">
        <v>862</v>
      </c>
      <c r="H1562" s="924" t="s">
        <v>665</v>
      </c>
      <c r="I1562" s="924" t="s">
        <v>787</v>
      </c>
      <c r="J1562" s="924" t="s">
        <v>863</v>
      </c>
      <c r="K1562" s="924" t="s">
        <v>868</v>
      </c>
      <c r="L1562" s="925">
        <v>0.479113874956965</v>
      </c>
      <c r="M1562" s="925">
        <v>1.9602543652581499E-3</v>
      </c>
    </row>
    <row r="1563" spans="1:13" ht="11.25" customHeight="1" x14ac:dyDescent="0.2">
      <c r="A1563" s="924" t="s">
        <v>853</v>
      </c>
      <c r="B1563" s="924" t="s">
        <v>795</v>
      </c>
      <c r="C1563" s="924" t="s">
        <v>1181</v>
      </c>
      <c r="D1563" s="924" t="s">
        <v>1176</v>
      </c>
      <c r="E1563" s="924" t="s">
        <v>856</v>
      </c>
      <c r="F1563" s="924" t="s">
        <v>865</v>
      </c>
      <c r="G1563" s="924" t="s">
        <v>862</v>
      </c>
      <c r="H1563" s="924" t="s">
        <v>665</v>
      </c>
      <c r="I1563" s="924" t="s">
        <v>787</v>
      </c>
      <c r="J1563" s="924" t="s">
        <v>863</v>
      </c>
      <c r="K1563" s="924" t="s">
        <v>866</v>
      </c>
      <c r="L1563" s="925">
        <v>0.87135775387287095</v>
      </c>
      <c r="M1563" s="925">
        <v>4.2039342708903903E-3</v>
      </c>
    </row>
    <row r="1564" spans="1:13" ht="11.25" customHeight="1" x14ac:dyDescent="0.2">
      <c r="A1564" s="924" t="s">
        <v>853</v>
      </c>
      <c r="B1564" s="924" t="s">
        <v>795</v>
      </c>
      <c r="C1564" s="924" t="s">
        <v>1181</v>
      </c>
      <c r="D1564" s="924" t="s">
        <v>1176</v>
      </c>
      <c r="E1564" s="924" t="s">
        <v>856</v>
      </c>
      <c r="F1564" s="924" t="s">
        <v>869</v>
      </c>
      <c r="G1564" s="924" t="s">
        <v>862</v>
      </c>
      <c r="H1564" s="924" t="s">
        <v>665</v>
      </c>
      <c r="I1564" s="924" t="s">
        <v>787</v>
      </c>
      <c r="J1564" s="924" t="s">
        <v>870</v>
      </c>
      <c r="K1564" s="924" t="s">
        <v>871</v>
      </c>
      <c r="L1564" s="925">
        <v>2.62360718043055E-2</v>
      </c>
      <c r="M1564" s="925">
        <v>1.5053611389248499E-3</v>
      </c>
    </row>
    <row r="1565" spans="1:13" ht="11.25" customHeight="1" x14ac:dyDescent="0.2">
      <c r="A1565" s="924" t="s">
        <v>853</v>
      </c>
      <c r="B1565" s="924" t="s">
        <v>795</v>
      </c>
      <c r="C1565" s="924" t="s">
        <v>1181</v>
      </c>
      <c r="D1565" s="924" t="s">
        <v>1176</v>
      </c>
      <c r="E1565" s="924" t="s">
        <v>856</v>
      </c>
      <c r="F1565" s="924" t="s">
        <v>883</v>
      </c>
      <c r="G1565" s="924" t="s">
        <v>858</v>
      </c>
      <c r="H1565" s="924" t="s">
        <v>836</v>
      </c>
      <c r="I1565" s="924" t="s">
        <v>837</v>
      </c>
      <c r="J1565" s="924" t="s">
        <v>884</v>
      </c>
      <c r="K1565" s="924" t="s">
        <v>885</v>
      </c>
      <c r="L1565" s="925">
        <v>118.161397457123</v>
      </c>
      <c r="M1565" s="925">
        <v>4.5321243297848897E-3</v>
      </c>
    </row>
    <row r="1566" spans="1:13" ht="11.25" customHeight="1" x14ac:dyDescent="0.2">
      <c r="A1566" s="924" t="s">
        <v>853</v>
      </c>
      <c r="B1566" s="924" t="s">
        <v>795</v>
      </c>
      <c r="C1566" s="924" t="s">
        <v>1181</v>
      </c>
      <c r="D1566" s="924" t="s">
        <v>1176</v>
      </c>
      <c r="E1566" s="924" t="s">
        <v>856</v>
      </c>
      <c r="F1566" s="924" t="s">
        <v>900</v>
      </c>
      <c r="G1566" s="924" t="s">
        <v>858</v>
      </c>
      <c r="H1566" s="924" t="s">
        <v>836</v>
      </c>
      <c r="I1566" s="924" t="s">
        <v>837</v>
      </c>
      <c r="J1566" s="924" t="s">
        <v>859</v>
      </c>
      <c r="K1566" s="924" t="s">
        <v>901</v>
      </c>
      <c r="L1566" s="925">
        <v>90.130979657173199</v>
      </c>
      <c r="M1566" s="925">
        <v>3.92812666640907E-3</v>
      </c>
    </row>
    <row r="1567" spans="1:13" ht="11.25" customHeight="1" x14ac:dyDescent="0.2">
      <c r="A1567" s="924" t="s">
        <v>853</v>
      </c>
      <c r="B1567" s="924" t="s">
        <v>795</v>
      </c>
      <c r="C1567" s="924" t="s">
        <v>1181</v>
      </c>
      <c r="D1567" s="924" t="s">
        <v>1176</v>
      </c>
      <c r="E1567" s="924" t="s">
        <v>856</v>
      </c>
      <c r="F1567" s="924" t="s">
        <v>872</v>
      </c>
      <c r="G1567" s="924" t="s">
        <v>862</v>
      </c>
      <c r="H1567" s="924" t="s">
        <v>665</v>
      </c>
      <c r="I1567" s="924" t="s">
        <v>787</v>
      </c>
      <c r="J1567" s="924" t="s">
        <v>870</v>
      </c>
      <c r="K1567" s="924" t="s">
        <v>873</v>
      </c>
      <c r="L1567" s="925">
        <v>2.8859619535505798</v>
      </c>
      <c r="M1567" s="925">
        <v>1.16160395555198E-2</v>
      </c>
    </row>
    <row r="1568" spans="1:13" ht="11.25" customHeight="1" x14ac:dyDescent="0.2">
      <c r="A1568" s="924" t="s">
        <v>853</v>
      </c>
      <c r="B1568" s="924" t="s">
        <v>795</v>
      </c>
      <c r="C1568" s="924" t="s">
        <v>1181</v>
      </c>
      <c r="D1568" s="924" t="s">
        <v>1176</v>
      </c>
      <c r="E1568" s="924" t="s">
        <v>856</v>
      </c>
      <c r="F1568" s="924" t="s">
        <v>912</v>
      </c>
      <c r="G1568" s="924" t="s">
        <v>858</v>
      </c>
      <c r="H1568" s="924" t="s">
        <v>836</v>
      </c>
      <c r="I1568" s="924" t="s">
        <v>837</v>
      </c>
      <c r="J1568" s="924" t="s">
        <v>859</v>
      </c>
      <c r="K1568" s="924" t="s">
        <v>913</v>
      </c>
      <c r="L1568" s="925">
        <v>326.00677347183199</v>
      </c>
      <c r="M1568" s="925">
        <v>3.5901301905596501E-3</v>
      </c>
    </row>
    <row r="1569" spans="1:13" ht="11.25" customHeight="1" x14ac:dyDescent="0.2">
      <c r="A1569" s="924" t="s">
        <v>853</v>
      </c>
      <c r="B1569" s="924" t="s">
        <v>795</v>
      </c>
      <c r="C1569" s="924" t="s">
        <v>1181</v>
      </c>
      <c r="D1569" s="924" t="s">
        <v>1176</v>
      </c>
      <c r="E1569" s="924" t="s">
        <v>856</v>
      </c>
      <c r="F1569" s="924" t="s">
        <v>888</v>
      </c>
      <c r="G1569" s="924" t="s">
        <v>858</v>
      </c>
      <c r="H1569" s="924" t="s">
        <v>836</v>
      </c>
      <c r="I1569" s="924" t="s">
        <v>837</v>
      </c>
      <c r="J1569" s="924" t="s">
        <v>859</v>
      </c>
      <c r="K1569" s="924" t="s">
        <v>889</v>
      </c>
      <c r="L1569" s="925">
        <v>0.53082151431590296</v>
      </c>
      <c r="M1569" s="925">
        <v>5.8569795191365501E-5</v>
      </c>
    </row>
    <row r="1570" spans="1:13" ht="11.25" customHeight="1" x14ac:dyDescent="0.2">
      <c r="A1570" s="924" t="s">
        <v>853</v>
      </c>
      <c r="B1570" s="924" t="s">
        <v>795</v>
      </c>
      <c r="C1570" s="924" t="s">
        <v>1181</v>
      </c>
      <c r="D1570" s="924" t="s">
        <v>1176</v>
      </c>
      <c r="E1570" s="924" t="s">
        <v>856</v>
      </c>
      <c r="F1570" s="924" t="s">
        <v>857</v>
      </c>
      <c r="G1570" s="924" t="s">
        <v>858</v>
      </c>
      <c r="H1570" s="924" t="s">
        <v>836</v>
      </c>
      <c r="I1570" s="924" t="s">
        <v>837</v>
      </c>
      <c r="J1570" s="924" t="s">
        <v>859</v>
      </c>
      <c r="K1570" s="924" t="s">
        <v>860</v>
      </c>
      <c r="L1570" s="925">
        <v>8.7451730221509898</v>
      </c>
      <c r="M1570" s="925">
        <v>8.0483066606440402E-4</v>
      </c>
    </row>
    <row r="1571" spans="1:13" ht="11.25" customHeight="1" x14ac:dyDescent="0.2">
      <c r="A1571" s="924" t="s">
        <v>853</v>
      </c>
      <c r="B1571" s="924" t="s">
        <v>795</v>
      </c>
      <c r="C1571" s="924" t="s">
        <v>1181</v>
      </c>
      <c r="D1571" s="924" t="s">
        <v>1176</v>
      </c>
      <c r="E1571" s="924" t="s">
        <v>856</v>
      </c>
      <c r="F1571" s="924" t="s">
        <v>892</v>
      </c>
      <c r="G1571" s="924" t="s">
        <v>858</v>
      </c>
      <c r="H1571" s="924" t="s">
        <v>836</v>
      </c>
      <c r="I1571" s="924" t="s">
        <v>837</v>
      </c>
      <c r="J1571" s="924" t="s">
        <v>859</v>
      </c>
      <c r="K1571" s="924" t="s">
        <v>893</v>
      </c>
      <c r="L1571" s="925">
        <v>816.09543800354004</v>
      </c>
      <c r="M1571" s="925">
        <v>1.03234555404015E-2</v>
      </c>
    </row>
    <row r="1572" spans="1:13" ht="11.25" customHeight="1" x14ac:dyDescent="0.2">
      <c r="A1572" s="924" t="s">
        <v>853</v>
      </c>
      <c r="B1572" s="924" t="s">
        <v>795</v>
      </c>
      <c r="C1572" s="924" t="s">
        <v>1181</v>
      </c>
      <c r="D1572" s="924" t="s">
        <v>1176</v>
      </c>
      <c r="E1572" s="924" t="s">
        <v>856</v>
      </c>
      <c r="F1572" s="924" t="s">
        <v>894</v>
      </c>
      <c r="G1572" s="924" t="s">
        <v>858</v>
      </c>
      <c r="H1572" s="924" t="s">
        <v>836</v>
      </c>
      <c r="I1572" s="924" t="s">
        <v>837</v>
      </c>
      <c r="J1572" s="924" t="s">
        <v>859</v>
      </c>
      <c r="K1572" s="924" t="s">
        <v>895</v>
      </c>
      <c r="L1572" s="925">
        <v>887.93747901916504</v>
      </c>
      <c r="M1572" s="925">
        <v>5.8816456911472397E-3</v>
      </c>
    </row>
    <row r="1573" spans="1:13" ht="11.25" customHeight="1" x14ac:dyDescent="0.2">
      <c r="A1573" s="924" t="s">
        <v>853</v>
      </c>
      <c r="B1573" s="924" t="s">
        <v>795</v>
      </c>
      <c r="C1573" s="924" t="s">
        <v>1181</v>
      </c>
      <c r="D1573" s="924" t="s">
        <v>1176</v>
      </c>
      <c r="E1573" s="924" t="s">
        <v>856</v>
      </c>
      <c r="F1573" s="924" t="s">
        <v>898</v>
      </c>
      <c r="G1573" s="924" t="s">
        <v>858</v>
      </c>
      <c r="H1573" s="924" t="s">
        <v>836</v>
      </c>
      <c r="I1573" s="924" t="s">
        <v>837</v>
      </c>
      <c r="J1573" s="924" t="s">
        <v>859</v>
      </c>
      <c r="K1573" s="924" t="s">
        <v>899</v>
      </c>
      <c r="L1573" s="925">
        <v>30.008349448442502</v>
      </c>
      <c r="M1573" s="925">
        <v>5.2196600654497204E-4</v>
      </c>
    </row>
    <row r="1574" spans="1:13" ht="11.25" customHeight="1" x14ac:dyDescent="0.2">
      <c r="A1574" s="924" t="s">
        <v>853</v>
      </c>
      <c r="B1574" s="924" t="s">
        <v>795</v>
      </c>
      <c r="C1574" s="924" t="s">
        <v>1181</v>
      </c>
      <c r="D1574" s="924" t="s">
        <v>1176</v>
      </c>
      <c r="E1574" s="924" t="s">
        <v>856</v>
      </c>
      <c r="F1574" s="924" t="s">
        <v>902</v>
      </c>
      <c r="G1574" s="924" t="s">
        <v>858</v>
      </c>
      <c r="H1574" s="924" t="s">
        <v>836</v>
      </c>
      <c r="I1574" s="924" t="s">
        <v>837</v>
      </c>
      <c r="J1574" s="924" t="s">
        <v>859</v>
      </c>
      <c r="K1574" s="924" t="s">
        <v>903</v>
      </c>
      <c r="L1574" s="925">
        <v>387.03487634658802</v>
      </c>
      <c r="M1574" s="925">
        <v>6.7281428122214501E-3</v>
      </c>
    </row>
    <row r="1575" spans="1:13" ht="11.25" customHeight="1" x14ac:dyDescent="0.2">
      <c r="A1575" s="924" t="s">
        <v>853</v>
      </c>
      <c r="B1575" s="924" t="s">
        <v>795</v>
      </c>
      <c r="C1575" s="924" t="s">
        <v>1181</v>
      </c>
      <c r="D1575" s="924" t="s">
        <v>1176</v>
      </c>
      <c r="E1575" s="924" t="s">
        <v>856</v>
      </c>
      <c r="F1575" s="924" t="s">
        <v>906</v>
      </c>
      <c r="G1575" s="924" t="s">
        <v>858</v>
      </c>
      <c r="H1575" s="924" t="s">
        <v>836</v>
      </c>
      <c r="I1575" s="924" t="s">
        <v>837</v>
      </c>
      <c r="J1575" s="924" t="s">
        <v>859</v>
      </c>
      <c r="K1575" s="924" t="s">
        <v>907</v>
      </c>
      <c r="L1575" s="925">
        <v>3307.1950035095201</v>
      </c>
      <c r="M1575" s="925">
        <v>2.20175498379831E-2</v>
      </c>
    </row>
    <row r="1576" spans="1:13" ht="11.25" customHeight="1" x14ac:dyDescent="0.2">
      <c r="A1576" s="924" t="s">
        <v>853</v>
      </c>
      <c r="B1576" s="924" t="s">
        <v>795</v>
      </c>
      <c r="C1576" s="924" t="s">
        <v>1181</v>
      </c>
      <c r="D1576" s="924" t="s">
        <v>1176</v>
      </c>
      <c r="E1576" s="924" t="s">
        <v>856</v>
      </c>
      <c r="F1576" s="924" t="s">
        <v>972</v>
      </c>
      <c r="G1576" s="924" t="s">
        <v>858</v>
      </c>
      <c r="H1576" s="924" t="s">
        <v>836</v>
      </c>
      <c r="I1576" s="924" t="s">
        <v>837</v>
      </c>
      <c r="J1576" s="924" t="s">
        <v>859</v>
      </c>
      <c r="K1576" s="924" t="s">
        <v>973</v>
      </c>
      <c r="L1576" s="925">
        <v>13.081860929727601</v>
      </c>
      <c r="M1576" s="925">
        <v>3.33252080984892E-4</v>
      </c>
    </row>
    <row r="1577" spans="1:13" ht="11.25" customHeight="1" x14ac:dyDescent="0.2">
      <c r="A1577" s="924" t="s">
        <v>853</v>
      </c>
      <c r="B1577" s="924" t="s">
        <v>795</v>
      </c>
      <c r="C1577" s="924" t="s">
        <v>1181</v>
      </c>
      <c r="D1577" s="924" t="s">
        <v>1176</v>
      </c>
      <c r="E1577" s="924" t="s">
        <v>856</v>
      </c>
      <c r="F1577" s="924" t="s">
        <v>910</v>
      </c>
      <c r="G1577" s="924" t="s">
        <v>911</v>
      </c>
      <c r="H1577" s="924" t="s">
        <v>665</v>
      </c>
      <c r="I1577" s="924" t="s">
        <v>706</v>
      </c>
      <c r="J1577" s="924" t="s">
        <v>859</v>
      </c>
      <c r="K1577" s="924" t="s">
        <v>905</v>
      </c>
      <c r="L1577" s="925">
        <v>3.2603104561567302</v>
      </c>
      <c r="M1577" s="925">
        <v>2.6652912702047598E-3</v>
      </c>
    </row>
    <row r="1578" spans="1:13" ht="11.25" customHeight="1" x14ac:dyDescent="0.2">
      <c r="A1578" s="924" t="s">
        <v>853</v>
      </c>
      <c r="B1578" s="924" t="s">
        <v>795</v>
      </c>
      <c r="C1578" s="924" t="s">
        <v>1181</v>
      </c>
      <c r="D1578" s="924" t="s">
        <v>1176</v>
      </c>
      <c r="E1578" s="924" t="s">
        <v>856</v>
      </c>
      <c r="F1578" s="924" t="s">
        <v>934</v>
      </c>
      <c r="G1578" s="924" t="s">
        <v>862</v>
      </c>
      <c r="H1578" s="924" t="s">
        <v>665</v>
      </c>
      <c r="I1578" s="924" t="s">
        <v>787</v>
      </c>
      <c r="J1578" s="924" t="s">
        <v>863</v>
      </c>
      <c r="K1578" s="924" t="s">
        <v>935</v>
      </c>
      <c r="L1578" s="925">
        <v>7.1883363067172495E-2</v>
      </c>
      <c r="M1578" s="925">
        <v>3.0217303901736202E-4</v>
      </c>
    </row>
    <row r="1579" spans="1:13" ht="11.25" customHeight="1" x14ac:dyDescent="0.2">
      <c r="A1579" s="924" t="s">
        <v>853</v>
      </c>
      <c r="B1579" s="924" t="s">
        <v>795</v>
      </c>
      <c r="C1579" s="924" t="s">
        <v>1181</v>
      </c>
      <c r="D1579" s="924" t="s">
        <v>1176</v>
      </c>
      <c r="E1579" s="924" t="s">
        <v>856</v>
      </c>
      <c r="F1579" s="924" t="s">
        <v>896</v>
      </c>
      <c r="G1579" s="924" t="s">
        <v>858</v>
      </c>
      <c r="H1579" s="924" t="s">
        <v>836</v>
      </c>
      <c r="I1579" s="924" t="s">
        <v>837</v>
      </c>
      <c r="J1579" s="924" t="s">
        <v>859</v>
      </c>
      <c r="K1579" s="924" t="s">
        <v>897</v>
      </c>
      <c r="L1579" s="925">
        <v>48.963717043399797</v>
      </c>
      <c r="M1579" s="925">
        <v>7.9290958589695005E-4</v>
      </c>
    </row>
    <row r="1580" spans="1:13" ht="11.25" customHeight="1" x14ac:dyDescent="0.2">
      <c r="A1580" s="924" t="s">
        <v>853</v>
      </c>
      <c r="B1580" s="924" t="s">
        <v>795</v>
      </c>
      <c r="C1580" s="924" t="s">
        <v>1181</v>
      </c>
      <c r="D1580" s="924" t="s">
        <v>1176</v>
      </c>
      <c r="E1580" s="924" t="s">
        <v>856</v>
      </c>
      <c r="F1580" s="924" t="s">
        <v>914</v>
      </c>
      <c r="G1580" s="924" t="s">
        <v>911</v>
      </c>
      <c r="H1580" s="924" t="s">
        <v>665</v>
      </c>
      <c r="I1580" s="924" t="s">
        <v>706</v>
      </c>
      <c r="J1580" s="924" t="s">
        <v>863</v>
      </c>
      <c r="K1580" s="924" t="s">
        <v>915</v>
      </c>
      <c r="L1580" s="925">
        <v>0.71842740476131395</v>
      </c>
      <c r="M1580" s="925">
        <v>1.02510776187614E-4</v>
      </c>
    </row>
    <row r="1581" spans="1:13" ht="11.25" customHeight="1" x14ac:dyDescent="0.2">
      <c r="A1581" s="924" t="s">
        <v>853</v>
      </c>
      <c r="B1581" s="924" t="s">
        <v>795</v>
      </c>
      <c r="C1581" s="924" t="s">
        <v>1181</v>
      </c>
      <c r="D1581" s="924" t="s">
        <v>1176</v>
      </c>
      <c r="E1581" s="924" t="s">
        <v>856</v>
      </c>
      <c r="F1581" s="924" t="s">
        <v>1037</v>
      </c>
      <c r="G1581" s="924" t="s">
        <v>858</v>
      </c>
      <c r="H1581" s="924" t="s">
        <v>836</v>
      </c>
      <c r="I1581" s="924" t="s">
        <v>837</v>
      </c>
      <c r="J1581" s="924" t="s">
        <v>859</v>
      </c>
      <c r="K1581" s="924" t="s">
        <v>918</v>
      </c>
      <c r="L1581" s="925">
        <v>756.11836910247803</v>
      </c>
      <c r="M1581" s="925">
        <v>7.3175903735318596E-3</v>
      </c>
    </row>
    <row r="1582" spans="1:13" ht="11.25" customHeight="1" x14ac:dyDescent="0.2">
      <c r="A1582" s="924" t="s">
        <v>853</v>
      </c>
      <c r="B1582" s="924" t="s">
        <v>795</v>
      </c>
      <c r="C1582" s="924" t="s">
        <v>1181</v>
      </c>
      <c r="D1582" s="924" t="s">
        <v>1176</v>
      </c>
      <c r="E1582" s="924" t="s">
        <v>856</v>
      </c>
      <c r="F1582" s="924" t="s">
        <v>916</v>
      </c>
      <c r="G1582" s="924" t="s">
        <v>911</v>
      </c>
      <c r="H1582" s="924" t="s">
        <v>665</v>
      </c>
      <c r="I1582" s="924" t="s">
        <v>706</v>
      </c>
      <c r="J1582" s="924" t="s">
        <v>859</v>
      </c>
      <c r="K1582" s="924" t="s">
        <v>909</v>
      </c>
      <c r="L1582" s="925">
        <v>7.7973054125905001</v>
      </c>
      <c r="M1582" s="925">
        <v>3.6088705110159897E-4</v>
      </c>
    </row>
    <row r="1583" spans="1:13" ht="11.25" customHeight="1" x14ac:dyDescent="0.2">
      <c r="A1583" s="924" t="s">
        <v>853</v>
      </c>
      <c r="B1583" s="924" t="s">
        <v>795</v>
      </c>
      <c r="C1583" s="924" t="s">
        <v>1181</v>
      </c>
      <c r="D1583" s="924" t="s">
        <v>1176</v>
      </c>
      <c r="E1583" s="924" t="s">
        <v>856</v>
      </c>
      <c r="F1583" s="924" t="s">
        <v>919</v>
      </c>
      <c r="G1583" s="924" t="s">
        <v>911</v>
      </c>
      <c r="H1583" s="924" t="s">
        <v>665</v>
      </c>
      <c r="I1583" s="924" t="s">
        <v>706</v>
      </c>
      <c r="J1583" s="924" t="s">
        <v>859</v>
      </c>
      <c r="K1583" s="924" t="s">
        <v>920</v>
      </c>
      <c r="L1583" s="925">
        <v>0.49903161497786602</v>
      </c>
      <c r="M1583" s="925">
        <v>1.39810368636972E-4</v>
      </c>
    </row>
    <row r="1584" spans="1:13" ht="11.25" customHeight="1" x14ac:dyDescent="0.2">
      <c r="A1584" s="924" t="s">
        <v>853</v>
      </c>
      <c r="B1584" s="924" t="s">
        <v>795</v>
      </c>
      <c r="C1584" s="924" t="s">
        <v>1181</v>
      </c>
      <c r="D1584" s="924" t="s">
        <v>1176</v>
      </c>
      <c r="E1584" s="924" t="s">
        <v>856</v>
      </c>
      <c r="F1584" s="924" t="s">
        <v>921</v>
      </c>
      <c r="G1584" s="924" t="s">
        <v>911</v>
      </c>
      <c r="H1584" s="924" t="s">
        <v>665</v>
      </c>
      <c r="I1584" s="924" t="s">
        <v>706</v>
      </c>
      <c r="J1584" s="924" t="s">
        <v>859</v>
      </c>
      <c r="K1584" s="924" t="s">
        <v>922</v>
      </c>
      <c r="L1584" s="925">
        <v>5.2992799803614599</v>
      </c>
      <c r="M1584" s="925">
        <v>7.0779927591502201E-4</v>
      </c>
    </row>
    <row r="1585" spans="1:13" ht="11.25" customHeight="1" x14ac:dyDescent="0.2">
      <c r="A1585" s="924" t="s">
        <v>853</v>
      </c>
      <c r="B1585" s="924" t="s">
        <v>795</v>
      </c>
      <c r="C1585" s="924" t="s">
        <v>1181</v>
      </c>
      <c r="D1585" s="924" t="s">
        <v>1176</v>
      </c>
      <c r="E1585" s="924" t="s">
        <v>856</v>
      </c>
      <c r="F1585" s="924" t="s">
        <v>923</v>
      </c>
      <c r="G1585" s="924" t="s">
        <v>911</v>
      </c>
      <c r="H1585" s="924" t="s">
        <v>665</v>
      </c>
      <c r="I1585" s="924" t="s">
        <v>706</v>
      </c>
      <c r="J1585" s="924" t="s">
        <v>859</v>
      </c>
      <c r="K1585" s="924" t="s">
        <v>924</v>
      </c>
      <c r="L1585" s="925">
        <v>13.011079922318499</v>
      </c>
      <c r="M1585" s="925">
        <v>6.8979643219790898E-4</v>
      </c>
    </row>
    <row r="1586" spans="1:13" ht="11.25" customHeight="1" x14ac:dyDescent="0.2">
      <c r="A1586" s="924" t="s">
        <v>853</v>
      </c>
      <c r="B1586" s="924" t="s">
        <v>795</v>
      </c>
      <c r="C1586" s="924" t="s">
        <v>1181</v>
      </c>
      <c r="D1586" s="924" t="s">
        <v>1176</v>
      </c>
      <c r="E1586" s="924" t="s">
        <v>856</v>
      </c>
      <c r="F1586" s="924" t="s">
        <v>925</v>
      </c>
      <c r="G1586" s="924" t="s">
        <v>911</v>
      </c>
      <c r="H1586" s="924" t="s">
        <v>665</v>
      </c>
      <c r="I1586" s="924" t="s">
        <v>706</v>
      </c>
      <c r="J1586" s="924" t="s">
        <v>859</v>
      </c>
      <c r="K1586" s="924" t="s">
        <v>926</v>
      </c>
      <c r="L1586" s="925">
        <v>1.37527242861688</v>
      </c>
      <c r="M1586" s="925">
        <v>6.3402230694009604E-5</v>
      </c>
    </row>
    <row r="1587" spans="1:13" ht="11.25" customHeight="1" x14ac:dyDescent="0.2">
      <c r="A1587" s="924" t="s">
        <v>853</v>
      </c>
      <c r="B1587" s="924" t="s">
        <v>795</v>
      </c>
      <c r="C1587" s="924" t="s">
        <v>1181</v>
      </c>
      <c r="D1587" s="924" t="s">
        <v>1176</v>
      </c>
      <c r="E1587" s="924" t="s">
        <v>856</v>
      </c>
      <c r="F1587" s="924" t="s">
        <v>927</v>
      </c>
      <c r="G1587" s="924" t="s">
        <v>911</v>
      </c>
      <c r="H1587" s="924" t="s">
        <v>665</v>
      </c>
      <c r="I1587" s="924" t="s">
        <v>706</v>
      </c>
      <c r="J1587" s="924" t="s">
        <v>859</v>
      </c>
      <c r="K1587" s="924" t="s">
        <v>928</v>
      </c>
      <c r="L1587" s="925">
        <v>11.181995943188699</v>
      </c>
      <c r="M1587" s="925">
        <v>3.31634123449476E-3</v>
      </c>
    </row>
    <row r="1588" spans="1:13" ht="11.25" customHeight="1" x14ac:dyDescent="0.2">
      <c r="A1588" s="924" t="s">
        <v>853</v>
      </c>
      <c r="B1588" s="924" t="s">
        <v>795</v>
      </c>
      <c r="C1588" s="924" t="s">
        <v>1181</v>
      </c>
      <c r="D1588" s="924" t="s">
        <v>1176</v>
      </c>
      <c r="E1588" s="924" t="s">
        <v>856</v>
      </c>
      <c r="F1588" s="924" t="s">
        <v>929</v>
      </c>
      <c r="G1588" s="924" t="s">
        <v>911</v>
      </c>
      <c r="H1588" s="924" t="s">
        <v>665</v>
      </c>
      <c r="I1588" s="924" t="s">
        <v>706</v>
      </c>
      <c r="J1588" s="924" t="s">
        <v>859</v>
      </c>
      <c r="K1588" s="924" t="s">
        <v>891</v>
      </c>
      <c r="L1588" s="925">
        <v>4.6036348342895499</v>
      </c>
      <c r="M1588" s="925">
        <v>1.8445333935233101E-3</v>
      </c>
    </row>
    <row r="1589" spans="1:13" ht="11.25" customHeight="1" x14ac:dyDescent="0.2">
      <c r="A1589" s="924" t="s">
        <v>853</v>
      </c>
      <c r="B1589" s="924" t="s">
        <v>795</v>
      </c>
      <c r="C1589" s="924" t="s">
        <v>1181</v>
      </c>
      <c r="D1589" s="924" t="s">
        <v>1176</v>
      </c>
      <c r="E1589" s="924" t="s">
        <v>856</v>
      </c>
      <c r="F1589" s="924" t="s">
        <v>930</v>
      </c>
      <c r="G1589" s="924" t="s">
        <v>911</v>
      </c>
      <c r="H1589" s="924" t="s">
        <v>665</v>
      </c>
      <c r="I1589" s="924" t="s">
        <v>706</v>
      </c>
      <c r="J1589" s="924" t="s">
        <v>863</v>
      </c>
      <c r="K1589" s="924" t="s">
        <v>931</v>
      </c>
      <c r="L1589" s="925">
        <v>13.5277496874332</v>
      </c>
      <c r="M1589" s="925">
        <v>2.7568539853746201E-3</v>
      </c>
    </row>
    <row r="1590" spans="1:13" ht="11.25" customHeight="1" x14ac:dyDescent="0.2">
      <c r="A1590" s="924" t="s">
        <v>853</v>
      </c>
      <c r="B1590" s="924" t="s">
        <v>795</v>
      </c>
      <c r="C1590" s="924" t="s">
        <v>1181</v>
      </c>
      <c r="D1590" s="924" t="s">
        <v>1176</v>
      </c>
      <c r="E1590" s="924" t="s">
        <v>856</v>
      </c>
      <c r="F1590" s="924" t="s">
        <v>932</v>
      </c>
      <c r="G1590" s="924" t="s">
        <v>911</v>
      </c>
      <c r="H1590" s="924" t="s">
        <v>665</v>
      </c>
      <c r="I1590" s="924" t="s">
        <v>706</v>
      </c>
      <c r="J1590" s="924" t="s">
        <v>863</v>
      </c>
      <c r="K1590" s="924" t="s">
        <v>933</v>
      </c>
      <c r="L1590" s="925">
        <v>1258.51025390625</v>
      </c>
      <c r="M1590" s="925">
        <v>6.0822195722721503E-2</v>
      </c>
    </row>
    <row r="1591" spans="1:13" ht="11.25" customHeight="1" x14ac:dyDescent="0.2">
      <c r="A1591" s="924" t="s">
        <v>853</v>
      </c>
      <c r="B1591" s="924" t="s">
        <v>795</v>
      </c>
      <c r="C1591" s="924" t="s">
        <v>1181</v>
      </c>
      <c r="D1591" s="924" t="s">
        <v>1176</v>
      </c>
      <c r="E1591" s="924" t="s">
        <v>856</v>
      </c>
      <c r="F1591" s="924" t="s">
        <v>917</v>
      </c>
      <c r="G1591" s="924" t="s">
        <v>911</v>
      </c>
      <c r="H1591" s="924" t="s">
        <v>665</v>
      </c>
      <c r="I1591" s="924" t="s">
        <v>706</v>
      </c>
      <c r="J1591" s="924" t="s">
        <v>859</v>
      </c>
      <c r="K1591" s="924" t="s">
        <v>918</v>
      </c>
      <c r="L1591" s="925">
        <v>3.0244187861680998</v>
      </c>
      <c r="M1591" s="925">
        <v>9.7654899582266797E-4</v>
      </c>
    </row>
    <row r="1592" spans="1:13" ht="11.25" customHeight="1" x14ac:dyDescent="0.2">
      <c r="A1592" s="924" t="s">
        <v>853</v>
      </c>
      <c r="B1592" s="924" t="s">
        <v>795</v>
      </c>
      <c r="C1592" s="924" t="s">
        <v>1181</v>
      </c>
      <c r="D1592" s="924" t="s">
        <v>1176</v>
      </c>
      <c r="E1592" s="924" t="s">
        <v>856</v>
      </c>
      <c r="F1592" s="924" t="s">
        <v>936</v>
      </c>
      <c r="G1592" s="924" t="s">
        <v>911</v>
      </c>
      <c r="H1592" s="924" t="s">
        <v>665</v>
      </c>
      <c r="I1592" s="924" t="s">
        <v>706</v>
      </c>
      <c r="J1592" s="924" t="s">
        <v>863</v>
      </c>
      <c r="K1592" s="924" t="s">
        <v>864</v>
      </c>
      <c r="L1592" s="925">
        <v>2.9618917182087898</v>
      </c>
      <c r="M1592" s="925">
        <v>1.3785959004053401E-4</v>
      </c>
    </row>
    <row r="1593" spans="1:13" ht="11.25" customHeight="1" x14ac:dyDescent="0.2">
      <c r="A1593" s="924" t="s">
        <v>853</v>
      </c>
      <c r="B1593" s="924" t="s">
        <v>795</v>
      </c>
      <c r="C1593" s="924" t="s">
        <v>1181</v>
      </c>
      <c r="D1593" s="924" t="s">
        <v>1176</v>
      </c>
      <c r="E1593" s="924" t="s">
        <v>856</v>
      </c>
      <c r="F1593" s="924" t="s">
        <v>937</v>
      </c>
      <c r="G1593" s="924" t="s">
        <v>862</v>
      </c>
      <c r="H1593" s="924" t="s">
        <v>665</v>
      </c>
      <c r="I1593" s="924" t="s">
        <v>787</v>
      </c>
      <c r="J1593" s="924" t="s">
        <v>863</v>
      </c>
      <c r="K1593" s="924" t="s">
        <v>933</v>
      </c>
      <c r="L1593" s="925">
        <v>84.837977409362793</v>
      </c>
      <c r="M1593" s="925">
        <v>0.36135752219706802</v>
      </c>
    </row>
    <row r="1594" spans="1:13" ht="11.25" customHeight="1" x14ac:dyDescent="0.2">
      <c r="A1594" s="924" t="s">
        <v>853</v>
      </c>
      <c r="B1594" s="924" t="s">
        <v>795</v>
      </c>
      <c r="C1594" s="924" t="s">
        <v>1181</v>
      </c>
      <c r="D1594" s="924" t="s">
        <v>1176</v>
      </c>
      <c r="E1594" s="924" t="s">
        <v>856</v>
      </c>
      <c r="F1594" s="924" t="s">
        <v>938</v>
      </c>
      <c r="G1594" s="924" t="s">
        <v>911</v>
      </c>
      <c r="H1594" s="924" t="s">
        <v>665</v>
      </c>
      <c r="I1594" s="924" t="s">
        <v>706</v>
      </c>
      <c r="J1594" s="924" t="s">
        <v>863</v>
      </c>
      <c r="K1594" s="924" t="s">
        <v>868</v>
      </c>
      <c r="L1594" s="925">
        <v>5.8232144713401803</v>
      </c>
      <c r="M1594" s="925">
        <v>2.6907785559160402E-4</v>
      </c>
    </row>
    <row r="1595" spans="1:13" ht="11.25" customHeight="1" x14ac:dyDescent="0.2">
      <c r="A1595" s="924" t="s">
        <v>853</v>
      </c>
      <c r="B1595" s="924" t="s">
        <v>795</v>
      </c>
      <c r="C1595" s="924" t="s">
        <v>1181</v>
      </c>
      <c r="D1595" s="924" t="s">
        <v>1176</v>
      </c>
      <c r="E1595" s="924" t="s">
        <v>856</v>
      </c>
      <c r="F1595" s="924" t="s">
        <v>939</v>
      </c>
      <c r="G1595" s="924" t="s">
        <v>911</v>
      </c>
      <c r="H1595" s="924" t="s">
        <v>665</v>
      </c>
      <c r="I1595" s="924" t="s">
        <v>706</v>
      </c>
      <c r="J1595" s="924" t="s">
        <v>940</v>
      </c>
      <c r="K1595" s="924" t="s">
        <v>941</v>
      </c>
      <c r="L1595" s="925">
        <v>37.234636783599903</v>
      </c>
      <c r="M1595" s="925">
        <v>1.7913942738232401E-3</v>
      </c>
    </row>
    <row r="1596" spans="1:13" ht="11.25" customHeight="1" x14ac:dyDescent="0.2">
      <c r="A1596" s="924" t="s">
        <v>853</v>
      </c>
      <c r="B1596" s="924" t="s">
        <v>795</v>
      </c>
      <c r="C1596" s="924" t="s">
        <v>1181</v>
      </c>
      <c r="D1596" s="924" t="s">
        <v>1176</v>
      </c>
      <c r="E1596" s="924" t="s">
        <v>856</v>
      </c>
      <c r="F1596" s="924" t="s">
        <v>942</v>
      </c>
      <c r="G1596" s="924" t="s">
        <v>911</v>
      </c>
      <c r="H1596" s="924" t="s">
        <v>665</v>
      </c>
      <c r="I1596" s="924" t="s">
        <v>706</v>
      </c>
      <c r="J1596" s="924" t="s">
        <v>870</v>
      </c>
      <c r="K1596" s="924" t="s">
        <v>871</v>
      </c>
      <c r="L1596" s="925">
        <v>1.39385224101716E-2</v>
      </c>
      <c r="M1596" s="925">
        <v>8.6991446028861202E-6</v>
      </c>
    </row>
    <row r="1597" spans="1:13" ht="11.25" customHeight="1" x14ac:dyDescent="0.2">
      <c r="A1597" s="924" t="s">
        <v>853</v>
      </c>
      <c r="B1597" s="924" t="s">
        <v>795</v>
      </c>
      <c r="C1597" s="924" t="s">
        <v>1181</v>
      </c>
      <c r="D1597" s="924" t="s">
        <v>1176</v>
      </c>
      <c r="E1597" s="924" t="s">
        <v>856</v>
      </c>
      <c r="F1597" s="924" t="s">
        <v>943</v>
      </c>
      <c r="G1597" s="924" t="s">
        <v>911</v>
      </c>
      <c r="H1597" s="924" t="s">
        <v>665</v>
      </c>
      <c r="I1597" s="924" t="s">
        <v>706</v>
      </c>
      <c r="J1597" s="924" t="s">
        <v>870</v>
      </c>
      <c r="K1597" s="924" t="s">
        <v>873</v>
      </c>
      <c r="L1597" s="925">
        <v>2.8332120244158401E-2</v>
      </c>
      <c r="M1597" s="925">
        <v>1.2865834859709901E-6</v>
      </c>
    </row>
    <row r="1598" spans="1:13" ht="11.25" customHeight="1" x14ac:dyDescent="0.2">
      <c r="A1598" s="924" t="s">
        <v>853</v>
      </c>
      <c r="B1598" s="924" t="s">
        <v>795</v>
      </c>
      <c r="C1598" s="924" t="s">
        <v>1181</v>
      </c>
      <c r="D1598" s="924" t="s">
        <v>1176</v>
      </c>
      <c r="E1598" s="924" t="s">
        <v>856</v>
      </c>
      <c r="F1598" s="924" t="s">
        <v>944</v>
      </c>
      <c r="G1598" s="924" t="s">
        <v>911</v>
      </c>
      <c r="H1598" s="924" t="s">
        <v>665</v>
      </c>
      <c r="I1598" s="924" t="s">
        <v>706</v>
      </c>
      <c r="J1598" s="924" t="s">
        <v>875</v>
      </c>
      <c r="K1598" s="924" t="s">
        <v>876</v>
      </c>
      <c r="L1598" s="925">
        <v>62.620988905429797</v>
      </c>
      <c r="M1598" s="925">
        <v>1.97985768536455E-2</v>
      </c>
    </row>
    <row r="1599" spans="1:13" ht="11.25" customHeight="1" x14ac:dyDescent="0.2">
      <c r="A1599" s="924" t="s">
        <v>853</v>
      </c>
      <c r="B1599" s="924" t="s">
        <v>795</v>
      </c>
      <c r="C1599" s="924" t="s">
        <v>1181</v>
      </c>
      <c r="D1599" s="924" t="s">
        <v>1176</v>
      </c>
      <c r="E1599" s="924" t="s">
        <v>856</v>
      </c>
      <c r="F1599" s="924" t="s">
        <v>945</v>
      </c>
      <c r="G1599" s="924" t="s">
        <v>911</v>
      </c>
      <c r="H1599" s="924" t="s">
        <v>665</v>
      </c>
      <c r="I1599" s="924" t="s">
        <v>706</v>
      </c>
      <c r="J1599" s="924" t="s">
        <v>875</v>
      </c>
      <c r="K1599" s="924" t="s">
        <v>878</v>
      </c>
      <c r="L1599" s="925">
        <v>13.8281455785036</v>
      </c>
      <c r="M1599" s="925">
        <v>2.0457351643017301E-3</v>
      </c>
    </row>
    <row r="1600" spans="1:13" ht="11.25" customHeight="1" x14ac:dyDescent="0.2">
      <c r="A1600" s="924" t="s">
        <v>853</v>
      </c>
      <c r="B1600" s="924" t="s">
        <v>795</v>
      </c>
      <c r="C1600" s="924" t="s">
        <v>1181</v>
      </c>
      <c r="D1600" s="924" t="s">
        <v>1176</v>
      </c>
      <c r="E1600" s="924" t="s">
        <v>856</v>
      </c>
      <c r="F1600" s="924" t="s">
        <v>946</v>
      </c>
      <c r="G1600" s="924" t="s">
        <v>911</v>
      </c>
      <c r="H1600" s="924" t="s">
        <v>665</v>
      </c>
      <c r="I1600" s="924" t="s">
        <v>706</v>
      </c>
      <c r="J1600" s="924" t="s">
        <v>875</v>
      </c>
      <c r="K1600" s="924" t="s">
        <v>880</v>
      </c>
      <c r="L1600" s="925">
        <v>16.346882790327101</v>
      </c>
      <c r="M1600" s="925">
        <v>1.0403949163446701E-3</v>
      </c>
    </row>
    <row r="1601" spans="1:13" ht="11.25" customHeight="1" x14ac:dyDescent="0.2">
      <c r="A1601" s="924" t="s">
        <v>853</v>
      </c>
      <c r="B1601" s="924" t="s">
        <v>795</v>
      </c>
      <c r="C1601" s="924" t="s">
        <v>1181</v>
      </c>
      <c r="D1601" s="924" t="s">
        <v>1176</v>
      </c>
      <c r="E1601" s="924" t="s">
        <v>856</v>
      </c>
      <c r="F1601" s="924" t="s">
        <v>947</v>
      </c>
      <c r="G1601" s="924" t="s">
        <v>911</v>
      </c>
      <c r="H1601" s="924" t="s">
        <v>665</v>
      </c>
      <c r="I1601" s="924" t="s">
        <v>706</v>
      </c>
      <c r="J1601" s="924" t="s">
        <v>875</v>
      </c>
      <c r="K1601" s="924" t="s">
        <v>948</v>
      </c>
      <c r="L1601" s="925">
        <v>20.318297147750901</v>
      </c>
      <c r="M1601" s="925">
        <v>1.5526994126275899E-3</v>
      </c>
    </row>
    <row r="1602" spans="1:13" ht="11.25" customHeight="1" x14ac:dyDescent="0.2">
      <c r="A1602" s="924" t="s">
        <v>853</v>
      </c>
      <c r="B1602" s="924" t="s">
        <v>795</v>
      </c>
      <c r="C1602" s="924" t="s">
        <v>1181</v>
      </c>
      <c r="D1602" s="924" t="s">
        <v>1176</v>
      </c>
      <c r="E1602" s="924" t="s">
        <v>856</v>
      </c>
      <c r="F1602" s="924" t="s">
        <v>949</v>
      </c>
      <c r="G1602" s="924" t="s">
        <v>911</v>
      </c>
      <c r="H1602" s="924" t="s">
        <v>665</v>
      </c>
      <c r="I1602" s="924" t="s">
        <v>706</v>
      </c>
      <c r="J1602" s="924" t="s">
        <v>875</v>
      </c>
      <c r="K1602" s="924" t="s">
        <v>950</v>
      </c>
      <c r="L1602" s="925">
        <v>0.27244412060827</v>
      </c>
      <c r="M1602" s="925">
        <v>5.8434482511415802E-5</v>
      </c>
    </row>
    <row r="1603" spans="1:13" ht="11.25" customHeight="1" x14ac:dyDescent="0.2">
      <c r="A1603" s="924" t="s">
        <v>853</v>
      </c>
      <c r="B1603" s="924" t="s">
        <v>795</v>
      </c>
      <c r="C1603" s="924" t="s">
        <v>1181</v>
      </c>
      <c r="D1603" s="924" t="s">
        <v>1176</v>
      </c>
      <c r="E1603" s="924" t="s">
        <v>856</v>
      </c>
      <c r="F1603" s="924" t="s">
        <v>951</v>
      </c>
      <c r="G1603" s="924" t="s">
        <v>911</v>
      </c>
      <c r="H1603" s="924" t="s">
        <v>665</v>
      </c>
      <c r="I1603" s="924" t="s">
        <v>706</v>
      </c>
      <c r="J1603" s="924" t="s">
        <v>875</v>
      </c>
      <c r="K1603" s="924" t="s">
        <v>952</v>
      </c>
      <c r="L1603" s="925">
        <v>0.25146193895489</v>
      </c>
      <c r="M1603" s="925">
        <v>1.5635594982299501E-5</v>
      </c>
    </row>
    <row r="1604" spans="1:13" ht="11.25" customHeight="1" x14ac:dyDescent="0.2">
      <c r="A1604" s="924" t="s">
        <v>853</v>
      </c>
      <c r="B1604" s="924" t="s">
        <v>795</v>
      </c>
      <c r="C1604" s="924" t="s">
        <v>1181</v>
      </c>
      <c r="D1604" s="924" t="s">
        <v>1176</v>
      </c>
      <c r="E1604" s="924" t="s">
        <v>856</v>
      </c>
      <c r="F1604" s="924" t="s">
        <v>890</v>
      </c>
      <c r="G1604" s="924" t="s">
        <v>862</v>
      </c>
      <c r="H1604" s="924" t="s">
        <v>665</v>
      </c>
      <c r="I1604" s="924" t="s">
        <v>787</v>
      </c>
      <c r="J1604" s="924" t="s">
        <v>859</v>
      </c>
      <c r="K1604" s="924" t="s">
        <v>891</v>
      </c>
      <c r="L1604" s="925">
        <v>0.159058709861711</v>
      </c>
      <c r="M1604" s="925">
        <v>5.6620172381372002E-3</v>
      </c>
    </row>
    <row r="1605" spans="1:13" ht="11.25" customHeight="1" x14ac:dyDescent="0.2">
      <c r="A1605" s="924" t="s">
        <v>853</v>
      </c>
      <c r="B1605" s="924" t="s">
        <v>795</v>
      </c>
      <c r="C1605" s="924" t="s">
        <v>1181</v>
      </c>
      <c r="D1605" s="924" t="s">
        <v>1176</v>
      </c>
      <c r="E1605" s="924" t="s">
        <v>856</v>
      </c>
      <c r="F1605" s="924" t="s">
        <v>954</v>
      </c>
      <c r="G1605" s="924" t="s">
        <v>911</v>
      </c>
      <c r="H1605" s="924" t="s">
        <v>665</v>
      </c>
      <c r="I1605" s="924" t="s">
        <v>706</v>
      </c>
      <c r="J1605" s="924" t="s">
        <v>863</v>
      </c>
      <c r="K1605" s="924" t="s">
        <v>935</v>
      </c>
      <c r="L1605" s="925">
        <v>9.3902553915977496</v>
      </c>
      <c r="M1605" s="925">
        <v>4.43365082446689E-4</v>
      </c>
    </row>
    <row r="1606" spans="1:13" ht="11.25" customHeight="1" x14ac:dyDescent="0.2">
      <c r="A1606" s="924" t="s">
        <v>853</v>
      </c>
      <c r="B1606" s="924" t="s">
        <v>795</v>
      </c>
      <c r="C1606" s="924" t="s">
        <v>1181</v>
      </c>
      <c r="D1606" s="924" t="s">
        <v>1176</v>
      </c>
      <c r="E1606" s="924" t="s">
        <v>856</v>
      </c>
      <c r="F1606" s="924" t="s">
        <v>1000</v>
      </c>
      <c r="G1606" s="924" t="s">
        <v>858</v>
      </c>
      <c r="H1606" s="924" t="s">
        <v>836</v>
      </c>
      <c r="I1606" s="924" t="s">
        <v>837</v>
      </c>
      <c r="J1606" s="924" t="s">
        <v>875</v>
      </c>
      <c r="K1606" s="924" t="s">
        <v>950</v>
      </c>
      <c r="L1606" s="925">
        <v>15.673028141260099</v>
      </c>
      <c r="M1606" s="925">
        <v>3.6814298315590598E-4</v>
      </c>
    </row>
    <row r="1607" spans="1:13" ht="11.25" customHeight="1" x14ac:dyDescent="0.2">
      <c r="A1607" s="924" t="s">
        <v>853</v>
      </c>
      <c r="B1607" s="924" t="s">
        <v>795</v>
      </c>
      <c r="C1607" s="924" t="s">
        <v>1181</v>
      </c>
      <c r="D1607" s="924" t="s">
        <v>1176</v>
      </c>
      <c r="E1607" s="924" t="s">
        <v>856</v>
      </c>
      <c r="F1607" s="924" t="s">
        <v>994</v>
      </c>
      <c r="G1607" s="924" t="s">
        <v>981</v>
      </c>
      <c r="H1607" s="924" t="s">
        <v>835</v>
      </c>
      <c r="I1607" s="924" t="s">
        <v>834</v>
      </c>
      <c r="J1607" s="924" t="s">
        <v>995</v>
      </c>
      <c r="K1607" s="924" t="s">
        <v>993</v>
      </c>
      <c r="L1607" s="925">
        <v>0.17681243841070701</v>
      </c>
      <c r="M1607" s="925">
        <v>1.14566689263684E-4</v>
      </c>
    </row>
    <row r="1608" spans="1:13" ht="11.25" customHeight="1" x14ac:dyDescent="0.2">
      <c r="A1608" s="924" t="s">
        <v>853</v>
      </c>
      <c r="B1608" s="924" t="s">
        <v>795</v>
      </c>
      <c r="C1608" s="924" t="s">
        <v>1181</v>
      </c>
      <c r="D1608" s="924" t="s">
        <v>1176</v>
      </c>
      <c r="E1608" s="924" t="s">
        <v>856</v>
      </c>
      <c r="F1608" s="924" t="s">
        <v>1015</v>
      </c>
      <c r="G1608" s="924" t="s">
        <v>858</v>
      </c>
      <c r="H1608" s="924" t="s">
        <v>836</v>
      </c>
      <c r="I1608" s="924" t="s">
        <v>837</v>
      </c>
      <c r="J1608" s="924" t="s">
        <v>870</v>
      </c>
      <c r="K1608" s="924" t="s">
        <v>1016</v>
      </c>
      <c r="L1608" s="925">
        <v>0.58566678408533301</v>
      </c>
      <c r="M1608" s="925">
        <v>7.11570540745665E-6</v>
      </c>
    </row>
    <row r="1609" spans="1:13" ht="11.25" customHeight="1" x14ac:dyDescent="0.2">
      <c r="A1609" s="924" t="s">
        <v>853</v>
      </c>
      <c r="B1609" s="924" t="s">
        <v>795</v>
      </c>
      <c r="C1609" s="924" t="s">
        <v>1181</v>
      </c>
      <c r="D1609" s="924" t="s">
        <v>1176</v>
      </c>
      <c r="E1609" s="924" t="s">
        <v>856</v>
      </c>
      <c r="F1609" s="924" t="s">
        <v>958</v>
      </c>
      <c r="G1609" s="924" t="s">
        <v>858</v>
      </c>
      <c r="H1609" s="924" t="s">
        <v>836</v>
      </c>
      <c r="I1609" s="924" t="s">
        <v>837</v>
      </c>
      <c r="J1609" s="924" t="s">
        <v>870</v>
      </c>
      <c r="K1609" s="924" t="s">
        <v>959</v>
      </c>
      <c r="L1609" s="925">
        <v>0.123021040693857</v>
      </c>
      <c r="M1609" s="925">
        <v>1.14646112260586E-6</v>
      </c>
    </row>
    <row r="1610" spans="1:13" ht="11.25" customHeight="1" x14ac:dyDescent="0.2">
      <c r="A1610" s="924" t="s">
        <v>853</v>
      </c>
      <c r="B1610" s="924" t="s">
        <v>795</v>
      </c>
      <c r="C1610" s="924" t="s">
        <v>1181</v>
      </c>
      <c r="D1610" s="924" t="s">
        <v>1176</v>
      </c>
      <c r="E1610" s="924" t="s">
        <v>856</v>
      </c>
      <c r="F1610" s="924" t="s">
        <v>960</v>
      </c>
      <c r="G1610" s="924" t="s">
        <v>858</v>
      </c>
      <c r="H1610" s="924" t="s">
        <v>836</v>
      </c>
      <c r="I1610" s="924" t="s">
        <v>837</v>
      </c>
      <c r="J1610" s="924" t="s">
        <v>870</v>
      </c>
      <c r="K1610" s="924" t="s">
        <v>961</v>
      </c>
      <c r="L1610" s="925">
        <v>8.9722017198801005</v>
      </c>
      <c r="M1610" s="925">
        <v>7.9606674955101693E-5</v>
      </c>
    </row>
    <row r="1611" spans="1:13" ht="11.25" customHeight="1" x14ac:dyDescent="0.2">
      <c r="A1611" s="924" t="s">
        <v>853</v>
      </c>
      <c r="B1611" s="924" t="s">
        <v>795</v>
      </c>
      <c r="C1611" s="924" t="s">
        <v>1181</v>
      </c>
      <c r="D1611" s="924" t="s">
        <v>1176</v>
      </c>
      <c r="E1611" s="924" t="s">
        <v>856</v>
      </c>
      <c r="F1611" s="924" t="s">
        <v>962</v>
      </c>
      <c r="G1611" s="924" t="s">
        <v>858</v>
      </c>
      <c r="H1611" s="924" t="s">
        <v>836</v>
      </c>
      <c r="I1611" s="924" t="s">
        <v>837</v>
      </c>
      <c r="J1611" s="924" t="s">
        <v>870</v>
      </c>
      <c r="K1611" s="924" t="s">
        <v>963</v>
      </c>
      <c r="L1611" s="925">
        <v>2.4815623517497401E-2</v>
      </c>
      <c r="M1611" s="925">
        <v>1.7637896711914001E-7</v>
      </c>
    </row>
    <row r="1612" spans="1:13" ht="11.25" customHeight="1" x14ac:dyDescent="0.2">
      <c r="A1612" s="924" t="s">
        <v>853</v>
      </c>
      <c r="B1612" s="924" t="s">
        <v>795</v>
      </c>
      <c r="C1612" s="924" t="s">
        <v>1181</v>
      </c>
      <c r="D1612" s="924" t="s">
        <v>1176</v>
      </c>
      <c r="E1612" s="924" t="s">
        <v>856</v>
      </c>
      <c r="F1612" s="924" t="s">
        <v>964</v>
      </c>
      <c r="G1612" s="924" t="s">
        <v>858</v>
      </c>
      <c r="H1612" s="924" t="s">
        <v>836</v>
      </c>
      <c r="I1612" s="924" t="s">
        <v>837</v>
      </c>
      <c r="J1612" s="924" t="s">
        <v>870</v>
      </c>
      <c r="K1612" s="924" t="s">
        <v>965</v>
      </c>
      <c r="L1612" s="925">
        <v>8.2944800108671206</v>
      </c>
      <c r="M1612" s="925">
        <v>7.6155935213151297E-5</v>
      </c>
    </row>
    <row r="1613" spans="1:13" ht="11.25" customHeight="1" x14ac:dyDescent="0.2">
      <c r="A1613" s="924" t="s">
        <v>853</v>
      </c>
      <c r="B1613" s="924" t="s">
        <v>795</v>
      </c>
      <c r="C1613" s="924" t="s">
        <v>1181</v>
      </c>
      <c r="D1613" s="924" t="s">
        <v>1176</v>
      </c>
      <c r="E1613" s="924" t="s">
        <v>856</v>
      </c>
      <c r="F1613" s="924" t="s">
        <v>966</v>
      </c>
      <c r="G1613" s="924" t="s">
        <v>858</v>
      </c>
      <c r="H1613" s="924" t="s">
        <v>836</v>
      </c>
      <c r="I1613" s="924" t="s">
        <v>837</v>
      </c>
      <c r="J1613" s="924" t="s">
        <v>870</v>
      </c>
      <c r="K1613" s="924" t="s">
        <v>871</v>
      </c>
      <c r="L1613" s="925">
        <v>23.079677909612698</v>
      </c>
      <c r="M1613" s="925">
        <v>2.00543628640304E-4</v>
      </c>
    </row>
    <row r="1614" spans="1:13" ht="11.25" customHeight="1" x14ac:dyDescent="0.2">
      <c r="A1614" s="924" t="s">
        <v>853</v>
      </c>
      <c r="B1614" s="924" t="s">
        <v>795</v>
      </c>
      <c r="C1614" s="924" t="s">
        <v>1181</v>
      </c>
      <c r="D1614" s="924" t="s">
        <v>1176</v>
      </c>
      <c r="E1614" s="924" t="s">
        <v>856</v>
      </c>
      <c r="F1614" s="924" t="s">
        <v>967</v>
      </c>
      <c r="G1614" s="924" t="s">
        <v>858</v>
      </c>
      <c r="H1614" s="924" t="s">
        <v>836</v>
      </c>
      <c r="I1614" s="924" t="s">
        <v>837</v>
      </c>
      <c r="J1614" s="924" t="s">
        <v>870</v>
      </c>
      <c r="K1614" s="924" t="s">
        <v>873</v>
      </c>
      <c r="L1614" s="925">
        <v>17.0103855803609</v>
      </c>
      <c r="M1614" s="925">
        <v>2.8737603480344398E-4</v>
      </c>
    </row>
    <row r="1615" spans="1:13" ht="11.25" customHeight="1" x14ac:dyDescent="0.2">
      <c r="A1615" s="924" t="s">
        <v>853</v>
      </c>
      <c r="B1615" s="924" t="s">
        <v>795</v>
      </c>
      <c r="C1615" s="924" t="s">
        <v>1181</v>
      </c>
      <c r="D1615" s="924" t="s">
        <v>1176</v>
      </c>
      <c r="E1615" s="924" t="s">
        <v>856</v>
      </c>
      <c r="F1615" s="924" t="s">
        <v>968</v>
      </c>
      <c r="G1615" s="924" t="s">
        <v>858</v>
      </c>
      <c r="H1615" s="924" t="s">
        <v>836</v>
      </c>
      <c r="I1615" s="924" t="s">
        <v>837</v>
      </c>
      <c r="J1615" s="924" t="s">
        <v>875</v>
      </c>
      <c r="K1615" s="924" t="s">
        <v>876</v>
      </c>
      <c r="L1615" s="925">
        <v>490.14072132110601</v>
      </c>
      <c r="M1615" s="925">
        <v>1.31377385744145E-2</v>
      </c>
    </row>
    <row r="1616" spans="1:13" ht="11.25" customHeight="1" x14ac:dyDescent="0.2">
      <c r="A1616" s="924" t="s">
        <v>853</v>
      </c>
      <c r="B1616" s="924" t="s">
        <v>795</v>
      </c>
      <c r="C1616" s="924" t="s">
        <v>1181</v>
      </c>
      <c r="D1616" s="924" t="s">
        <v>1176</v>
      </c>
      <c r="E1616" s="924" t="s">
        <v>856</v>
      </c>
      <c r="F1616" s="924" t="s">
        <v>969</v>
      </c>
      <c r="G1616" s="924" t="s">
        <v>858</v>
      </c>
      <c r="H1616" s="924" t="s">
        <v>836</v>
      </c>
      <c r="I1616" s="924" t="s">
        <v>837</v>
      </c>
      <c r="J1616" s="924" t="s">
        <v>875</v>
      </c>
      <c r="K1616" s="924" t="s">
        <v>878</v>
      </c>
      <c r="L1616" s="925">
        <v>115.679908633232</v>
      </c>
      <c r="M1616" s="925">
        <v>3.0642915594398801E-3</v>
      </c>
    </row>
    <row r="1617" spans="1:13" ht="11.25" customHeight="1" x14ac:dyDescent="0.2">
      <c r="A1617" s="924" t="s">
        <v>853</v>
      </c>
      <c r="B1617" s="924" t="s">
        <v>795</v>
      </c>
      <c r="C1617" s="924" t="s">
        <v>1181</v>
      </c>
      <c r="D1617" s="924" t="s">
        <v>1176</v>
      </c>
      <c r="E1617" s="924" t="s">
        <v>856</v>
      </c>
      <c r="F1617" s="924" t="s">
        <v>975</v>
      </c>
      <c r="G1617" s="924" t="s">
        <v>858</v>
      </c>
      <c r="H1617" s="924" t="s">
        <v>836</v>
      </c>
      <c r="I1617" s="924" t="s">
        <v>837</v>
      </c>
      <c r="J1617" s="924" t="s">
        <v>870</v>
      </c>
      <c r="K1617" s="924" t="s">
        <v>976</v>
      </c>
      <c r="L1617" s="925">
        <v>1179.2347068786601</v>
      </c>
      <c r="M1617" s="925">
        <v>1.76489631570576E-2</v>
      </c>
    </row>
    <row r="1618" spans="1:13" ht="11.25" customHeight="1" x14ac:dyDescent="0.2">
      <c r="A1618" s="924" t="s">
        <v>853</v>
      </c>
      <c r="B1618" s="924" t="s">
        <v>795</v>
      </c>
      <c r="C1618" s="924" t="s">
        <v>1181</v>
      </c>
      <c r="D1618" s="924" t="s">
        <v>1176</v>
      </c>
      <c r="E1618" s="924" t="s">
        <v>856</v>
      </c>
      <c r="F1618" s="924" t="s">
        <v>971</v>
      </c>
      <c r="G1618" s="924" t="s">
        <v>858</v>
      </c>
      <c r="H1618" s="924" t="s">
        <v>836</v>
      </c>
      <c r="I1618" s="924" t="s">
        <v>837</v>
      </c>
      <c r="J1618" s="924" t="s">
        <v>875</v>
      </c>
      <c r="K1618" s="924" t="s">
        <v>948</v>
      </c>
      <c r="L1618" s="925">
        <v>163.08915877342201</v>
      </c>
      <c r="M1618" s="925">
        <v>6.97588499349422E-3</v>
      </c>
    </row>
    <row r="1619" spans="1:13" ht="11.25" customHeight="1" x14ac:dyDescent="0.2">
      <c r="A1619" s="924" t="s">
        <v>853</v>
      </c>
      <c r="B1619" s="924" t="s">
        <v>795</v>
      </c>
      <c r="C1619" s="924" t="s">
        <v>1181</v>
      </c>
      <c r="D1619" s="924" t="s">
        <v>1176</v>
      </c>
      <c r="E1619" s="924" t="s">
        <v>856</v>
      </c>
      <c r="F1619" s="924" t="s">
        <v>1035</v>
      </c>
      <c r="G1619" s="924" t="s">
        <v>858</v>
      </c>
      <c r="H1619" s="924" t="s">
        <v>836</v>
      </c>
      <c r="I1619" s="924" t="s">
        <v>837</v>
      </c>
      <c r="J1619" s="924" t="s">
        <v>870</v>
      </c>
      <c r="K1619" s="924" t="s">
        <v>1036</v>
      </c>
      <c r="L1619" s="925">
        <v>2.8381180178257599E-2</v>
      </c>
      <c r="M1619" s="925">
        <v>3.4758921775568398E-6</v>
      </c>
    </row>
    <row r="1620" spans="1:13" ht="11.25" customHeight="1" x14ac:dyDescent="0.2">
      <c r="A1620" s="924" t="s">
        <v>853</v>
      </c>
      <c r="B1620" s="924" t="s">
        <v>795</v>
      </c>
      <c r="C1620" s="924" t="s">
        <v>1181</v>
      </c>
      <c r="D1620" s="924" t="s">
        <v>1176</v>
      </c>
      <c r="E1620" s="924" t="s">
        <v>856</v>
      </c>
      <c r="F1620" s="924" t="s">
        <v>974</v>
      </c>
      <c r="G1620" s="924" t="s">
        <v>858</v>
      </c>
      <c r="H1620" s="924" t="s">
        <v>836</v>
      </c>
      <c r="I1620" s="924" t="s">
        <v>837</v>
      </c>
      <c r="J1620" s="924" t="s">
        <v>875</v>
      </c>
      <c r="K1620" s="924" t="s">
        <v>952</v>
      </c>
      <c r="L1620" s="925">
        <v>13.869476020336201</v>
      </c>
      <c r="M1620" s="925">
        <v>3.1335826361455999E-4</v>
      </c>
    </row>
    <row r="1621" spans="1:13" ht="11.25" customHeight="1" x14ac:dyDescent="0.2">
      <c r="A1621" s="924" t="s">
        <v>853</v>
      </c>
      <c r="B1621" s="924" t="s">
        <v>795</v>
      </c>
      <c r="C1621" s="924" t="s">
        <v>1181</v>
      </c>
      <c r="D1621" s="924" t="s">
        <v>1176</v>
      </c>
      <c r="E1621" s="924" t="s">
        <v>856</v>
      </c>
      <c r="F1621" s="924" t="s">
        <v>955</v>
      </c>
      <c r="G1621" s="924" t="s">
        <v>858</v>
      </c>
      <c r="H1621" s="924" t="s">
        <v>836</v>
      </c>
      <c r="I1621" s="924" t="s">
        <v>837</v>
      </c>
      <c r="J1621" s="924" t="s">
        <v>956</v>
      </c>
      <c r="K1621" s="924" t="s">
        <v>957</v>
      </c>
      <c r="L1621" s="925">
        <v>811.82672214508102</v>
      </c>
      <c r="M1621" s="925">
        <v>4.6626100250932697E-3</v>
      </c>
    </row>
    <row r="1622" spans="1:13" ht="11.25" customHeight="1" x14ac:dyDescent="0.2">
      <c r="A1622" s="924" t="s">
        <v>853</v>
      </c>
      <c r="B1622" s="924" t="s">
        <v>795</v>
      </c>
      <c r="C1622" s="924" t="s">
        <v>1181</v>
      </c>
      <c r="D1622" s="924" t="s">
        <v>1176</v>
      </c>
      <c r="E1622" s="924" t="s">
        <v>856</v>
      </c>
      <c r="F1622" s="924" t="s">
        <v>980</v>
      </c>
      <c r="G1622" s="924" t="s">
        <v>981</v>
      </c>
      <c r="H1622" s="924" t="s">
        <v>835</v>
      </c>
      <c r="I1622" s="924" t="s">
        <v>839</v>
      </c>
      <c r="J1622" s="924" t="s">
        <v>982</v>
      </c>
      <c r="K1622" s="924" t="s">
        <v>983</v>
      </c>
      <c r="L1622" s="925">
        <v>3479.5663566589401</v>
      </c>
      <c r="M1622" s="925">
        <v>3.9687533983960699</v>
      </c>
    </row>
    <row r="1623" spans="1:13" ht="11.25" customHeight="1" x14ac:dyDescent="0.2">
      <c r="A1623" s="924" t="s">
        <v>853</v>
      </c>
      <c r="B1623" s="924" t="s">
        <v>795</v>
      </c>
      <c r="C1623" s="924" t="s">
        <v>1181</v>
      </c>
      <c r="D1623" s="924" t="s">
        <v>1176</v>
      </c>
      <c r="E1623" s="924" t="s">
        <v>856</v>
      </c>
      <c r="F1623" s="924" t="s">
        <v>984</v>
      </c>
      <c r="G1623" s="924" t="s">
        <v>981</v>
      </c>
      <c r="H1623" s="924" t="s">
        <v>835</v>
      </c>
      <c r="I1623" s="924" t="s">
        <v>839</v>
      </c>
      <c r="J1623" s="924" t="s">
        <v>982</v>
      </c>
      <c r="K1623" s="924" t="s">
        <v>985</v>
      </c>
      <c r="L1623" s="925">
        <v>1470.00963020325</v>
      </c>
      <c r="M1623" s="925">
        <v>1.6397794815711699</v>
      </c>
    </row>
    <row r="1624" spans="1:13" ht="11.25" customHeight="1" x14ac:dyDescent="0.2">
      <c r="A1624" s="924" t="s">
        <v>853</v>
      </c>
      <c r="B1624" s="924" t="s">
        <v>795</v>
      </c>
      <c r="C1624" s="924" t="s">
        <v>1181</v>
      </c>
      <c r="D1624" s="924" t="s">
        <v>1176</v>
      </c>
      <c r="E1624" s="924" t="s">
        <v>856</v>
      </c>
      <c r="F1624" s="924" t="s">
        <v>986</v>
      </c>
      <c r="G1624" s="924" t="s">
        <v>981</v>
      </c>
      <c r="H1624" s="924" t="s">
        <v>835</v>
      </c>
      <c r="I1624" s="924" t="s">
        <v>839</v>
      </c>
      <c r="J1624" s="924" t="s">
        <v>987</v>
      </c>
      <c r="K1624" s="924" t="s">
        <v>988</v>
      </c>
      <c r="L1624" s="925">
        <v>3198.01782226563</v>
      </c>
      <c r="M1624" s="925">
        <v>1.61147772427648</v>
      </c>
    </row>
    <row r="1625" spans="1:13" ht="11.25" customHeight="1" x14ac:dyDescent="0.2">
      <c r="A1625" s="924" t="s">
        <v>853</v>
      </c>
      <c r="B1625" s="924" t="s">
        <v>795</v>
      </c>
      <c r="C1625" s="924" t="s">
        <v>1181</v>
      </c>
      <c r="D1625" s="924" t="s">
        <v>1176</v>
      </c>
      <c r="E1625" s="924" t="s">
        <v>856</v>
      </c>
      <c r="F1625" s="924" t="s">
        <v>989</v>
      </c>
      <c r="G1625" s="924" t="s">
        <v>990</v>
      </c>
      <c r="H1625" s="924" t="s">
        <v>836</v>
      </c>
      <c r="I1625" s="924" t="s">
        <v>839</v>
      </c>
      <c r="J1625" s="924" t="s">
        <v>224</v>
      </c>
      <c r="K1625" s="924" t="s">
        <v>988</v>
      </c>
      <c r="L1625" s="925">
        <v>2518.5210442542998</v>
      </c>
      <c r="M1625" s="925">
        <v>8.5749946809983199E-2</v>
      </c>
    </row>
    <row r="1626" spans="1:13" ht="11.25" customHeight="1" x14ac:dyDescent="0.2">
      <c r="A1626" s="924" t="s">
        <v>853</v>
      </c>
      <c r="B1626" s="924" t="s">
        <v>795</v>
      </c>
      <c r="C1626" s="924" t="s">
        <v>1181</v>
      </c>
      <c r="D1626" s="924" t="s">
        <v>1176</v>
      </c>
      <c r="E1626" s="924" t="s">
        <v>856</v>
      </c>
      <c r="F1626" s="924" t="s">
        <v>991</v>
      </c>
      <c r="G1626" s="924" t="s">
        <v>990</v>
      </c>
      <c r="H1626" s="924" t="s">
        <v>836</v>
      </c>
      <c r="I1626" s="924" t="s">
        <v>839</v>
      </c>
      <c r="J1626" s="924" t="s">
        <v>224</v>
      </c>
      <c r="K1626" s="924" t="s">
        <v>983</v>
      </c>
      <c r="L1626" s="925">
        <v>7.0407491475343704</v>
      </c>
      <c r="M1626" s="925">
        <v>4.2042640261108499E-4</v>
      </c>
    </row>
    <row r="1627" spans="1:13" ht="11.25" customHeight="1" x14ac:dyDescent="0.2">
      <c r="A1627" s="924" t="s">
        <v>853</v>
      </c>
      <c r="B1627" s="924" t="s">
        <v>795</v>
      </c>
      <c r="C1627" s="924" t="s">
        <v>1181</v>
      </c>
      <c r="D1627" s="924" t="s">
        <v>1176</v>
      </c>
      <c r="E1627" s="924" t="s">
        <v>856</v>
      </c>
      <c r="F1627" s="924" t="s">
        <v>992</v>
      </c>
      <c r="G1627" s="924" t="s">
        <v>858</v>
      </c>
      <c r="H1627" s="924" t="s">
        <v>836</v>
      </c>
      <c r="I1627" s="924" t="s">
        <v>834</v>
      </c>
      <c r="J1627" s="924" t="s">
        <v>224</v>
      </c>
      <c r="K1627" s="924" t="s">
        <v>993</v>
      </c>
      <c r="L1627" s="925">
        <v>2.9965722411871001</v>
      </c>
      <c r="M1627" s="925">
        <v>1.1662047431571E-4</v>
      </c>
    </row>
    <row r="1628" spans="1:13" ht="11.25" customHeight="1" x14ac:dyDescent="0.2">
      <c r="A1628" s="924" t="s">
        <v>853</v>
      </c>
      <c r="B1628" s="924" t="s">
        <v>795</v>
      </c>
      <c r="C1628" s="924" t="s">
        <v>1181</v>
      </c>
      <c r="D1628" s="924" t="s">
        <v>1176</v>
      </c>
      <c r="E1628" s="924" t="s">
        <v>856</v>
      </c>
      <c r="F1628" s="924" t="s">
        <v>1074</v>
      </c>
      <c r="G1628" s="924" t="s">
        <v>911</v>
      </c>
      <c r="H1628" s="924" t="s">
        <v>665</v>
      </c>
      <c r="I1628" s="924" t="s">
        <v>706</v>
      </c>
      <c r="J1628" s="924" t="s">
        <v>859</v>
      </c>
      <c r="K1628" s="924" t="s">
        <v>903</v>
      </c>
      <c r="L1628" s="925">
        <v>8.2868979275226593</v>
      </c>
      <c r="M1628" s="925">
        <v>9.2550366730392896E-4</v>
      </c>
    </row>
    <row r="1629" spans="1:13" ht="11.25" customHeight="1" x14ac:dyDescent="0.2">
      <c r="A1629" s="924" t="s">
        <v>853</v>
      </c>
      <c r="B1629" s="924" t="s">
        <v>795</v>
      </c>
      <c r="C1629" s="924" t="s">
        <v>1181</v>
      </c>
      <c r="D1629" s="924" t="s">
        <v>1176</v>
      </c>
      <c r="E1629" s="924" t="s">
        <v>856</v>
      </c>
      <c r="F1629" s="924" t="s">
        <v>996</v>
      </c>
      <c r="G1629" s="924" t="s">
        <v>911</v>
      </c>
      <c r="H1629" s="924" t="s">
        <v>665</v>
      </c>
      <c r="I1629" s="924" t="s">
        <v>834</v>
      </c>
      <c r="J1629" s="924" t="s">
        <v>706</v>
      </c>
      <c r="K1629" s="924" t="s">
        <v>993</v>
      </c>
      <c r="L1629" s="925">
        <v>5.3012917414889697E-3</v>
      </c>
      <c r="M1629" s="925">
        <v>6.5725745745925902E-7</v>
      </c>
    </row>
    <row r="1630" spans="1:13" ht="11.25" customHeight="1" x14ac:dyDescent="0.2">
      <c r="A1630" s="924" t="s">
        <v>853</v>
      </c>
      <c r="B1630" s="924" t="s">
        <v>795</v>
      </c>
      <c r="C1630" s="924" t="s">
        <v>1181</v>
      </c>
      <c r="D1630" s="924" t="s">
        <v>1176</v>
      </c>
      <c r="E1630" s="924" t="s">
        <v>856</v>
      </c>
      <c r="F1630" s="924" t="s">
        <v>904</v>
      </c>
      <c r="G1630" s="924" t="s">
        <v>858</v>
      </c>
      <c r="H1630" s="924" t="s">
        <v>836</v>
      </c>
      <c r="I1630" s="924" t="s">
        <v>837</v>
      </c>
      <c r="J1630" s="924" t="s">
        <v>859</v>
      </c>
      <c r="K1630" s="924" t="s">
        <v>905</v>
      </c>
      <c r="L1630" s="925">
        <v>335.109910488129</v>
      </c>
      <c r="M1630" s="925">
        <v>6.3484691105486499E-3</v>
      </c>
    </row>
    <row r="1631" spans="1:13" ht="11.25" customHeight="1" x14ac:dyDescent="0.2">
      <c r="A1631" s="924" t="s">
        <v>853</v>
      </c>
      <c r="B1631" s="924" t="s">
        <v>795</v>
      </c>
      <c r="C1631" s="924" t="s">
        <v>1181</v>
      </c>
      <c r="D1631" s="924" t="s">
        <v>1176</v>
      </c>
      <c r="E1631" s="924" t="s">
        <v>856</v>
      </c>
      <c r="F1631" s="924" t="s">
        <v>970</v>
      </c>
      <c r="G1631" s="924" t="s">
        <v>858</v>
      </c>
      <c r="H1631" s="924" t="s">
        <v>836</v>
      </c>
      <c r="I1631" s="924" t="s">
        <v>837</v>
      </c>
      <c r="J1631" s="924" t="s">
        <v>875</v>
      </c>
      <c r="K1631" s="924" t="s">
        <v>880</v>
      </c>
      <c r="L1631" s="925">
        <v>320.90786409378097</v>
      </c>
      <c r="M1631" s="925">
        <v>6.2357991130284098E-3</v>
      </c>
    </row>
    <row r="1632" spans="1:13" ht="11.25" customHeight="1" x14ac:dyDescent="0.2">
      <c r="A1632" s="924" t="s">
        <v>853</v>
      </c>
      <c r="B1632" s="924" t="s">
        <v>795</v>
      </c>
      <c r="C1632" s="924" t="s">
        <v>1181</v>
      </c>
      <c r="D1632" s="924" t="s">
        <v>1176</v>
      </c>
      <c r="E1632" s="924" t="s">
        <v>856</v>
      </c>
      <c r="F1632" s="924" t="s">
        <v>1038</v>
      </c>
      <c r="G1632" s="924" t="s">
        <v>858</v>
      </c>
      <c r="H1632" s="924" t="s">
        <v>836</v>
      </c>
      <c r="I1632" s="924" t="s">
        <v>837</v>
      </c>
      <c r="J1632" s="924" t="s">
        <v>863</v>
      </c>
      <c r="K1632" s="924" t="s">
        <v>935</v>
      </c>
      <c r="L1632" s="925">
        <v>143.72695517540001</v>
      </c>
      <c r="M1632" s="925">
        <v>1.5555360207884E-3</v>
      </c>
    </row>
    <row r="1633" spans="1:13" ht="11.25" customHeight="1" x14ac:dyDescent="0.2">
      <c r="A1633" s="924" t="s">
        <v>853</v>
      </c>
      <c r="B1633" s="924" t="s">
        <v>795</v>
      </c>
      <c r="C1633" s="924" t="s">
        <v>1181</v>
      </c>
      <c r="D1633" s="924" t="s">
        <v>1176</v>
      </c>
      <c r="E1633" s="924" t="s">
        <v>856</v>
      </c>
      <c r="F1633" s="924" t="s">
        <v>1071</v>
      </c>
      <c r="G1633" s="924" t="s">
        <v>858</v>
      </c>
      <c r="H1633" s="924" t="s">
        <v>836</v>
      </c>
      <c r="I1633" s="924" t="s">
        <v>837</v>
      </c>
      <c r="J1633" s="924" t="s">
        <v>859</v>
      </c>
      <c r="K1633" s="924" t="s">
        <v>1072</v>
      </c>
      <c r="L1633" s="925">
        <v>2830.4159545898401</v>
      </c>
      <c r="M1633" s="925">
        <v>2.5172872776920499E-2</v>
      </c>
    </row>
    <row r="1634" spans="1:13" ht="11.25" customHeight="1" x14ac:dyDescent="0.2">
      <c r="A1634" s="924" t="s">
        <v>853</v>
      </c>
      <c r="B1634" s="924" t="s">
        <v>795</v>
      </c>
      <c r="C1634" s="924" t="s">
        <v>1181</v>
      </c>
      <c r="D1634" s="924" t="s">
        <v>1176</v>
      </c>
      <c r="E1634" s="924" t="s">
        <v>856</v>
      </c>
      <c r="F1634" s="924" t="s">
        <v>953</v>
      </c>
      <c r="G1634" s="924" t="s">
        <v>858</v>
      </c>
      <c r="H1634" s="924" t="s">
        <v>836</v>
      </c>
      <c r="I1634" s="924" t="s">
        <v>837</v>
      </c>
      <c r="J1634" s="924" t="s">
        <v>859</v>
      </c>
      <c r="K1634" s="924" t="s">
        <v>920</v>
      </c>
      <c r="L1634" s="925">
        <v>133.14245247840901</v>
      </c>
      <c r="M1634" s="925">
        <v>1.71737192164301E-3</v>
      </c>
    </row>
    <row r="1635" spans="1:13" ht="11.25" customHeight="1" x14ac:dyDescent="0.2">
      <c r="A1635" s="924" t="s">
        <v>853</v>
      </c>
      <c r="B1635" s="924" t="s">
        <v>795</v>
      </c>
      <c r="C1635" s="924" t="s">
        <v>1181</v>
      </c>
      <c r="D1635" s="924" t="s">
        <v>1176</v>
      </c>
      <c r="E1635" s="924" t="s">
        <v>856</v>
      </c>
      <c r="F1635" s="924" t="s">
        <v>1002</v>
      </c>
      <c r="G1635" s="924" t="s">
        <v>858</v>
      </c>
      <c r="H1635" s="924" t="s">
        <v>836</v>
      </c>
      <c r="I1635" s="924" t="s">
        <v>837</v>
      </c>
      <c r="J1635" s="924" t="s">
        <v>859</v>
      </c>
      <c r="K1635" s="924" t="s">
        <v>922</v>
      </c>
      <c r="L1635" s="925">
        <v>1058.8736743927</v>
      </c>
      <c r="M1635" s="925">
        <v>1.21061390861996E-2</v>
      </c>
    </row>
    <row r="1636" spans="1:13" ht="11.25" customHeight="1" x14ac:dyDescent="0.2">
      <c r="A1636" s="924" t="s">
        <v>853</v>
      </c>
      <c r="B1636" s="924" t="s">
        <v>795</v>
      </c>
      <c r="C1636" s="924" t="s">
        <v>1181</v>
      </c>
      <c r="D1636" s="924" t="s">
        <v>1176</v>
      </c>
      <c r="E1636" s="924" t="s">
        <v>856</v>
      </c>
      <c r="F1636" s="924" t="s">
        <v>1003</v>
      </c>
      <c r="G1636" s="924" t="s">
        <v>858</v>
      </c>
      <c r="H1636" s="924" t="s">
        <v>836</v>
      </c>
      <c r="I1636" s="924" t="s">
        <v>837</v>
      </c>
      <c r="J1636" s="924" t="s">
        <v>859</v>
      </c>
      <c r="K1636" s="924" t="s">
        <v>924</v>
      </c>
      <c r="L1636" s="925">
        <v>3600.1827087402298</v>
      </c>
      <c r="M1636" s="925">
        <v>3.4337781345129798E-2</v>
      </c>
    </row>
    <row r="1637" spans="1:13" ht="11.25" customHeight="1" x14ac:dyDescent="0.2">
      <c r="A1637" s="924" t="s">
        <v>853</v>
      </c>
      <c r="B1637" s="924" t="s">
        <v>795</v>
      </c>
      <c r="C1637" s="924" t="s">
        <v>1181</v>
      </c>
      <c r="D1637" s="924" t="s">
        <v>1176</v>
      </c>
      <c r="E1637" s="924" t="s">
        <v>856</v>
      </c>
      <c r="F1637" s="924" t="s">
        <v>1004</v>
      </c>
      <c r="G1637" s="924" t="s">
        <v>858</v>
      </c>
      <c r="H1637" s="924" t="s">
        <v>836</v>
      </c>
      <c r="I1637" s="924" t="s">
        <v>837</v>
      </c>
      <c r="J1637" s="924" t="s">
        <v>859</v>
      </c>
      <c r="K1637" s="924" t="s">
        <v>926</v>
      </c>
      <c r="L1637" s="925">
        <v>2181.8429527282701</v>
      </c>
      <c r="M1637" s="925">
        <v>8.9036013050645096E-2</v>
      </c>
    </row>
    <row r="1638" spans="1:13" ht="11.25" customHeight="1" x14ac:dyDescent="0.2">
      <c r="A1638" s="924" t="s">
        <v>853</v>
      </c>
      <c r="B1638" s="924" t="s">
        <v>795</v>
      </c>
      <c r="C1638" s="924" t="s">
        <v>1181</v>
      </c>
      <c r="D1638" s="924" t="s">
        <v>1176</v>
      </c>
      <c r="E1638" s="924" t="s">
        <v>856</v>
      </c>
      <c r="F1638" s="924" t="s">
        <v>1005</v>
      </c>
      <c r="G1638" s="924" t="s">
        <v>858</v>
      </c>
      <c r="H1638" s="924" t="s">
        <v>836</v>
      </c>
      <c r="I1638" s="924" t="s">
        <v>837</v>
      </c>
      <c r="J1638" s="924" t="s">
        <v>859</v>
      </c>
      <c r="K1638" s="924" t="s">
        <v>1006</v>
      </c>
      <c r="L1638" s="925">
        <v>3293.0369491577098</v>
      </c>
      <c r="M1638" s="925">
        <v>2.55062501478278E-2</v>
      </c>
    </row>
    <row r="1639" spans="1:13" ht="11.25" customHeight="1" x14ac:dyDescent="0.2">
      <c r="A1639" s="924" t="s">
        <v>853</v>
      </c>
      <c r="B1639" s="924" t="s">
        <v>795</v>
      </c>
      <c r="C1639" s="924" t="s">
        <v>1181</v>
      </c>
      <c r="D1639" s="924" t="s">
        <v>1176</v>
      </c>
      <c r="E1639" s="924" t="s">
        <v>856</v>
      </c>
      <c r="F1639" s="924" t="s">
        <v>1007</v>
      </c>
      <c r="G1639" s="924" t="s">
        <v>858</v>
      </c>
      <c r="H1639" s="924" t="s">
        <v>836</v>
      </c>
      <c r="I1639" s="924" t="s">
        <v>837</v>
      </c>
      <c r="J1639" s="924" t="s">
        <v>859</v>
      </c>
      <c r="K1639" s="924" t="s">
        <v>928</v>
      </c>
      <c r="L1639" s="925">
        <v>1516.06382369995</v>
      </c>
      <c r="M1639" s="925">
        <v>6.6108686862207805E-2</v>
      </c>
    </row>
    <row r="1640" spans="1:13" ht="11.25" customHeight="1" x14ac:dyDescent="0.2">
      <c r="A1640" s="924" t="s">
        <v>853</v>
      </c>
      <c r="B1640" s="924" t="s">
        <v>795</v>
      </c>
      <c r="C1640" s="924" t="s">
        <v>1181</v>
      </c>
      <c r="D1640" s="924" t="s">
        <v>1176</v>
      </c>
      <c r="E1640" s="924" t="s">
        <v>856</v>
      </c>
      <c r="F1640" s="924" t="s">
        <v>1008</v>
      </c>
      <c r="G1640" s="924" t="s">
        <v>858</v>
      </c>
      <c r="H1640" s="924" t="s">
        <v>836</v>
      </c>
      <c r="I1640" s="924" t="s">
        <v>837</v>
      </c>
      <c r="J1640" s="924" t="s">
        <v>859</v>
      </c>
      <c r="K1640" s="924" t="s">
        <v>1009</v>
      </c>
      <c r="L1640" s="925">
        <v>353.42565059661899</v>
      </c>
      <c r="M1640" s="925">
        <v>2.8792501712473499E-3</v>
      </c>
    </row>
    <row r="1641" spans="1:13" ht="11.25" customHeight="1" x14ac:dyDescent="0.2">
      <c r="A1641" s="924" t="s">
        <v>853</v>
      </c>
      <c r="B1641" s="924" t="s">
        <v>795</v>
      </c>
      <c r="C1641" s="924" t="s">
        <v>1181</v>
      </c>
      <c r="D1641" s="924" t="s">
        <v>1176</v>
      </c>
      <c r="E1641" s="924" t="s">
        <v>856</v>
      </c>
      <c r="F1641" s="924" t="s">
        <v>1010</v>
      </c>
      <c r="G1641" s="924" t="s">
        <v>858</v>
      </c>
      <c r="H1641" s="924" t="s">
        <v>836</v>
      </c>
      <c r="I1641" s="924" t="s">
        <v>837</v>
      </c>
      <c r="J1641" s="924" t="s">
        <v>859</v>
      </c>
      <c r="K1641" s="924" t="s">
        <v>1011</v>
      </c>
      <c r="L1641" s="925">
        <v>4.63843986392021</v>
      </c>
      <c r="M1641" s="925">
        <v>2.1343451044231201E-4</v>
      </c>
    </row>
    <row r="1642" spans="1:13" ht="11.25" customHeight="1" x14ac:dyDescent="0.2">
      <c r="A1642" s="924" t="s">
        <v>853</v>
      </c>
      <c r="B1642" s="924" t="s">
        <v>795</v>
      </c>
      <c r="C1642" s="924" t="s">
        <v>1181</v>
      </c>
      <c r="D1642" s="924" t="s">
        <v>1176</v>
      </c>
      <c r="E1642" s="924" t="s">
        <v>856</v>
      </c>
      <c r="F1642" s="924" t="s">
        <v>1012</v>
      </c>
      <c r="G1642" s="924" t="s">
        <v>858</v>
      </c>
      <c r="H1642" s="924" t="s">
        <v>836</v>
      </c>
      <c r="I1642" s="924" t="s">
        <v>837</v>
      </c>
      <c r="J1642" s="924" t="s">
        <v>859</v>
      </c>
      <c r="K1642" s="924" t="s">
        <v>891</v>
      </c>
      <c r="L1642" s="925">
        <v>339.93254470825201</v>
      </c>
      <c r="M1642" s="925">
        <v>4.5055498394504E-3</v>
      </c>
    </row>
    <row r="1643" spans="1:13" ht="11.25" customHeight="1" x14ac:dyDescent="0.2">
      <c r="A1643" s="924" t="s">
        <v>853</v>
      </c>
      <c r="B1643" s="924" t="s">
        <v>795</v>
      </c>
      <c r="C1643" s="924" t="s">
        <v>1181</v>
      </c>
      <c r="D1643" s="924" t="s">
        <v>1176</v>
      </c>
      <c r="E1643" s="924" t="s">
        <v>856</v>
      </c>
      <c r="F1643" s="924" t="s">
        <v>1018</v>
      </c>
      <c r="G1643" s="924" t="s">
        <v>858</v>
      </c>
      <c r="H1643" s="924" t="s">
        <v>836</v>
      </c>
      <c r="I1643" s="924" t="s">
        <v>837</v>
      </c>
      <c r="J1643" s="924" t="s">
        <v>870</v>
      </c>
      <c r="K1643" s="924" t="s">
        <v>1019</v>
      </c>
      <c r="L1643" s="925">
        <v>105.76147466898</v>
      </c>
      <c r="M1643" s="925">
        <v>7.9484328733769904E-4</v>
      </c>
    </row>
    <row r="1644" spans="1:13" ht="11.25" customHeight="1" x14ac:dyDescent="0.2">
      <c r="A1644" s="924" t="s">
        <v>853</v>
      </c>
      <c r="B1644" s="924" t="s">
        <v>795</v>
      </c>
      <c r="C1644" s="924" t="s">
        <v>1181</v>
      </c>
      <c r="D1644" s="924" t="s">
        <v>1176</v>
      </c>
      <c r="E1644" s="924" t="s">
        <v>856</v>
      </c>
      <c r="F1644" s="924" t="s">
        <v>1014</v>
      </c>
      <c r="G1644" s="924" t="s">
        <v>858</v>
      </c>
      <c r="H1644" s="924" t="s">
        <v>836</v>
      </c>
      <c r="I1644" s="924" t="s">
        <v>837</v>
      </c>
      <c r="J1644" s="924" t="s">
        <v>863</v>
      </c>
      <c r="K1644" s="924" t="s">
        <v>933</v>
      </c>
      <c r="L1644" s="925">
        <v>329.03238248825102</v>
      </c>
      <c r="M1644" s="925">
        <v>2.3293986186274699E-3</v>
      </c>
    </row>
    <row r="1645" spans="1:13" ht="11.25" customHeight="1" x14ac:dyDescent="0.2">
      <c r="A1645" s="924" t="s">
        <v>853</v>
      </c>
      <c r="B1645" s="924" t="s">
        <v>795</v>
      </c>
      <c r="C1645" s="924" t="s">
        <v>1181</v>
      </c>
      <c r="D1645" s="924" t="s">
        <v>1176</v>
      </c>
      <c r="E1645" s="924" t="s">
        <v>856</v>
      </c>
      <c r="F1645" s="924" t="s">
        <v>886</v>
      </c>
      <c r="G1645" s="924" t="s">
        <v>858</v>
      </c>
      <c r="H1645" s="924" t="s">
        <v>836</v>
      </c>
      <c r="I1645" s="924" t="s">
        <v>837</v>
      </c>
      <c r="J1645" s="924" t="s">
        <v>859</v>
      </c>
      <c r="K1645" s="924" t="s">
        <v>887</v>
      </c>
      <c r="L1645" s="925">
        <v>822.85533523559604</v>
      </c>
      <c r="M1645" s="925">
        <v>6.0899109826095801E-3</v>
      </c>
    </row>
    <row r="1646" spans="1:13" ht="11.25" customHeight="1" x14ac:dyDescent="0.2">
      <c r="A1646" s="924" t="s">
        <v>853</v>
      </c>
      <c r="B1646" s="924" t="s">
        <v>795</v>
      </c>
      <c r="C1646" s="924" t="s">
        <v>1181</v>
      </c>
      <c r="D1646" s="924" t="s">
        <v>1176</v>
      </c>
      <c r="E1646" s="924" t="s">
        <v>856</v>
      </c>
      <c r="F1646" s="924" t="s">
        <v>1017</v>
      </c>
      <c r="G1646" s="924" t="s">
        <v>858</v>
      </c>
      <c r="H1646" s="924" t="s">
        <v>836</v>
      </c>
      <c r="I1646" s="924" t="s">
        <v>837</v>
      </c>
      <c r="J1646" s="924" t="s">
        <v>863</v>
      </c>
      <c r="K1646" s="924" t="s">
        <v>864</v>
      </c>
      <c r="L1646" s="925">
        <v>145.75985455513</v>
      </c>
      <c r="M1646" s="925">
        <v>1.97679420475083E-3</v>
      </c>
    </row>
    <row r="1647" spans="1:13" ht="11.25" customHeight="1" x14ac:dyDescent="0.2">
      <c r="A1647" s="924" t="s">
        <v>853</v>
      </c>
      <c r="B1647" s="924" t="s">
        <v>795</v>
      </c>
      <c r="C1647" s="924" t="s">
        <v>1181</v>
      </c>
      <c r="D1647" s="924" t="s">
        <v>1176</v>
      </c>
      <c r="E1647" s="924" t="s">
        <v>856</v>
      </c>
      <c r="F1647" s="924" t="s">
        <v>1001</v>
      </c>
      <c r="G1647" s="924" t="s">
        <v>858</v>
      </c>
      <c r="H1647" s="924" t="s">
        <v>836</v>
      </c>
      <c r="I1647" s="924" t="s">
        <v>837</v>
      </c>
      <c r="J1647" s="924" t="s">
        <v>863</v>
      </c>
      <c r="K1647" s="924" t="s">
        <v>915</v>
      </c>
      <c r="L1647" s="925">
        <v>5.6256925240158999</v>
      </c>
      <c r="M1647" s="925">
        <v>1.7188891676056501E-4</v>
      </c>
    </row>
    <row r="1648" spans="1:13" ht="11.25" customHeight="1" x14ac:dyDescent="0.2">
      <c r="A1648" s="924" t="s">
        <v>853</v>
      </c>
      <c r="B1648" s="924" t="s">
        <v>795</v>
      </c>
      <c r="C1648" s="924" t="s">
        <v>1181</v>
      </c>
      <c r="D1648" s="924" t="s">
        <v>1176</v>
      </c>
      <c r="E1648" s="924" t="s">
        <v>856</v>
      </c>
      <c r="F1648" s="924" t="s">
        <v>1020</v>
      </c>
      <c r="G1648" s="924" t="s">
        <v>858</v>
      </c>
      <c r="H1648" s="924" t="s">
        <v>836</v>
      </c>
      <c r="I1648" s="924" t="s">
        <v>837</v>
      </c>
      <c r="J1648" s="924" t="s">
        <v>863</v>
      </c>
      <c r="K1648" s="924" t="s">
        <v>866</v>
      </c>
      <c r="L1648" s="925">
        <v>2273.24583053589</v>
      </c>
      <c r="M1648" s="925">
        <v>5.51775064654976E-2</v>
      </c>
    </row>
    <row r="1649" spans="1:13" ht="11.25" customHeight="1" x14ac:dyDescent="0.2">
      <c r="A1649" s="924" t="s">
        <v>853</v>
      </c>
      <c r="B1649" s="924" t="s">
        <v>795</v>
      </c>
      <c r="C1649" s="924" t="s">
        <v>1181</v>
      </c>
      <c r="D1649" s="924" t="s">
        <v>1176</v>
      </c>
      <c r="E1649" s="924" t="s">
        <v>856</v>
      </c>
      <c r="F1649" s="924" t="s">
        <v>1021</v>
      </c>
      <c r="G1649" s="924" t="s">
        <v>858</v>
      </c>
      <c r="H1649" s="924" t="s">
        <v>836</v>
      </c>
      <c r="I1649" s="924" t="s">
        <v>837</v>
      </c>
      <c r="J1649" s="924" t="s">
        <v>863</v>
      </c>
      <c r="K1649" s="924" t="s">
        <v>868</v>
      </c>
      <c r="L1649" s="925">
        <v>207.372555017471</v>
      </c>
      <c r="M1649" s="925">
        <v>1.11466384352354E-3</v>
      </c>
    </row>
    <row r="1650" spans="1:13" ht="11.25" customHeight="1" x14ac:dyDescent="0.2">
      <c r="A1650" s="924" t="s">
        <v>853</v>
      </c>
      <c r="B1650" s="924" t="s">
        <v>795</v>
      </c>
      <c r="C1650" s="924" t="s">
        <v>1181</v>
      </c>
      <c r="D1650" s="924" t="s">
        <v>1176</v>
      </c>
      <c r="E1650" s="924" t="s">
        <v>856</v>
      </c>
      <c r="F1650" s="924" t="s">
        <v>1022</v>
      </c>
      <c r="G1650" s="924" t="s">
        <v>858</v>
      </c>
      <c r="H1650" s="924" t="s">
        <v>836</v>
      </c>
      <c r="I1650" s="924" t="s">
        <v>837</v>
      </c>
      <c r="J1650" s="924" t="s">
        <v>940</v>
      </c>
      <c r="K1650" s="924" t="s">
        <v>1023</v>
      </c>
      <c r="L1650" s="925">
        <v>4.3801778054330498E-2</v>
      </c>
      <c r="M1650" s="925">
        <v>1.9675351742715102E-6</v>
      </c>
    </row>
    <row r="1651" spans="1:13" ht="11.25" customHeight="1" x14ac:dyDescent="0.2">
      <c r="A1651" s="924" t="s">
        <v>853</v>
      </c>
      <c r="B1651" s="924" t="s">
        <v>795</v>
      </c>
      <c r="C1651" s="924" t="s">
        <v>1181</v>
      </c>
      <c r="D1651" s="924" t="s">
        <v>1176</v>
      </c>
      <c r="E1651" s="924" t="s">
        <v>856</v>
      </c>
      <c r="F1651" s="924" t="s">
        <v>1024</v>
      </c>
      <c r="G1651" s="924" t="s">
        <v>858</v>
      </c>
      <c r="H1651" s="924" t="s">
        <v>836</v>
      </c>
      <c r="I1651" s="924" t="s">
        <v>837</v>
      </c>
      <c r="J1651" s="924" t="s">
        <v>940</v>
      </c>
      <c r="K1651" s="924" t="s">
        <v>1025</v>
      </c>
      <c r="L1651" s="925">
        <v>11.8414266109467</v>
      </c>
      <c r="M1651" s="925">
        <v>1.9479198408589601E-4</v>
      </c>
    </row>
    <row r="1652" spans="1:13" ht="11.25" customHeight="1" x14ac:dyDescent="0.2">
      <c r="A1652" s="924" t="s">
        <v>853</v>
      </c>
      <c r="B1652" s="924" t="s">
        <v>795</v>
      </c>
      <c r="C1652" s="924" t="s">
        <v>1181</v>
      </c>
      <c r="D1652" s="924" t="s">
        <v>1176</v>
      </c>
      <c r="E1652" s="924" t="s">
        <v>856</v>
      </c>
      <c r="F1652" s="924" t="s">
        <v>1026</v>
      </c>
      <c r="G1652" s="924" t="s">
        <v>858</v>
      </c>
      <c r="H1652" s="924" t="s">
        <v>836</v>
      </c>
      <c r="I1652" s="924" t="s">
        <v>837</v>
      </c>
      <c r="J1652" s="924" t="s">
        <v>940</v>
      </c>
      <c r="K1652" s="924" t="s">
        <v>1027</v>
      </c>
      <c r="L1652" s="925">
        <v>307.01382875442499</v>
      </c>
      <c r="M1652" s="925">
        <v>1.29578793408314E-2</v>
      </c>
    </row>
    <row r="1653" spans="1:13" ht="11.25" customHeight="1" x14ac:dyDescent="0.2">
      <c r="A1653" s="924" t="s">
        <v>853</v>
      </c>
      <c r="B1653" s="924" t="s">
        <v>795</v>
      </c>
      <c r="C1653" s="924" t="s">
        <v>1181</v>
      </c>
      <c r="D1653" s="924" t="s">
        <v>1176</v>
      </c>
      <c r="E1653" s="924" t="s">
        <v>856</v>
      </c>
      <c r="F1653" s="924" t="s">
        <v>1028</v>
      </c>
      <c r="G1653" s="924" t="s">
        <v>858</v>
      </c>
      <c r="H1653" s="924" t="s">
        <v>836</v>
      </c>
      <c r="I1653" s="924" t="s">
        <v>837</v>
      </c>
      <c r="J1653" s="924" t="s">
        <v>940</v>
      </c>
      <c r="K1653" s="924" t="s">
        <v>1029</v>
      </c>
      <c r="L1653" s="925">
        <v>63.367673218250303</v>
      </c>
      <c r="M1653" s="925">
        <v>3.43732568045851E-3</v>
      </c>
    </row>
    <row r="1654" spans="1:13" ht="11.25" customHeight="1" x14ac:dyDescent="0.2">
      <c r="A1654" s="924" t="s">
        <v>853</v>
      </c>
      <c r="B1654" s="924" t="s">
        <v>795</v>
      </c>
      <c r="C1654" s="924" t="s">
        <v>1181</v>
      </c>
      <c r="D1654" s="924" t="s">
        <v>1176</v>
      </c>
      <c r="E1654" s="924" t="s">
        <v>856</v>
      </c>
      <c r="F1654" s="924" t="s">
        <v>1030</v>
      </c>
      <c r="G1654" s="924" t="s">
        <v>858</v>
      </c>
      <c r="H1654" s="924" t="s">
        <v>836</v>
      </c>
      <c r="I1654" s="924" t="s">
        <v>837</v>
      </c>
      <c r="J1654" s="924" t="s">
        <v>940</v>
      </c>
      <c r="K1654" s="924" t="s">
        <v>941</v>
      </c>
      <c r="L1654" s="925">
        <v>418.52721977233898</v>
      </c>
      <c r="M1654" s="925">
        <v>7.8618511498689293E-3</v>
      </c>
    </row>
    <row r="1655" spans="1:13" ht="11.25" customHeight="1" x14ac:dyDescent="0.2">
      <c r="A1655" s="924" t="s">
        <v>853</v>
      </c>
      <c r="B1655" s="924" t="s">
        <v>795</v>
      </c>
      <c r="C1655" s="924" t="s">
        <v>1181</v>
      </c>
      <c r="D1655" s="924" t="s">
        <v>1176</v>
      </c>
      <c r="E1655" s="924" t="s">
        <v>856</v>
      </c>
      <c r="F1655" s="924" t="s">
        <v>1031</v>
      </c>
      <c r="G1655" s="924" t="s">
        <v>858</v>
      </c>
      <c r="H1655" s="924" t="s">
        <v>836</v>
      </c>
      <c r="I1655" s="924" t="s">
        <v>837</v>
      </c>
      <c r="J1655" s="924" t="s">
        <v>940</v>
      </c>
      <c r="K1655" s="924" t="s">
        <v>1032</v>
      </c>
      <c r="L1655" s="925">
        <v>49.306100815534599</v>
      </c>
      <c r="M1655" s="925">
        <v>1.0287766102585699E-3</v>
      </c>
    </row>
    <row r="1656" spans="1:13" ht="11.25" customHeight="1" x14ac:dyDescent="0.2">
      <c r="A1656" s="924" t="s">
        <v>853</v>
      </c>
      <c r="B1656" s="924" t="s">
        <v>795</v>
      </c>
      <c r="C1656" s="924" t="s">
        <v>1181</v>
      </c>
      <c r="D1656" s="924" t="s">
        <v>1176</v>
      </c>
      <c r="E1656" s="924" t="s">
        <v>856</v>
      </c>
      <c r="F1656" s="924" t="s">
        <v>1033</v>
      </c>
      <c r="G1656" s="924" t="s">
        <v>858</v>
      </c>
      <c r="H1656" s="924" t="s">
        <v>836</v>
      </c>
      <c r="I1656" s="924" t="s">
        <v>837</v>
      </c>
      <c r="J1656" s="924" t="s">
        <v>940</v>
      </c>
      <c r="K1656" s="924" t="s">
        <v>1034</v>
      </c>
      <c r="L1656" s="925">
        <v>1.2521136784926099</v>
      </c>
      <c r="M1656" s="925">
        <v>4.1060042941909499E-5</v>
      </c>
    </row>
    <row r="1657" spans="1:13" ht="11.25" customHeight="1" x14ac:dyDescent="0.2">
      <c r="A1657" s="924" t="s">
        <v>853</v>
      </c>
      <c r="B1657" s="924" t="s">
        <v>795</v>
      </c>
      <c r="C1657" s="924" t="s">
        <v>1181</v>
      </c>
      <c r="D1657" s="924" t="s">
        <v>1176</v>
      </c>
      <c r="E1657" s="924" t="s">
        <v>856</v>
      </c>
      <c r="F1657" s="924" t="s">
        <v>1013</v>
      </c>
      <c r="G1657" s="924" t="s">
        <v>858</v>
      </c>
      <c r="H1657" s="924" t="s">
        <v>836</v>
      </c>
      <c r="I1657" s="924" t="s">
        <v>837</v>
      </c>
      <c r="J1657" s="924" t="s">
        <v>863</v>
      </c>
      <c r="K1657" s="924" t="s">
        <v>931</v>
      </c>
      <c r="L1657" s="925">
        <v>22.711997896432901</v>
      </c>
      <c r="M1657" s="925">
        <v>8.3020555779000904E-4</v>
      </c>
    </row>
    <row r="1658" spans="1:13" ht="11.25" customHeight="1" x14ac:dyDescent="0.2">
      <c r="A1658" s="924" t="s">
        <v>853</v>
      </c>
      <c r="B1658" s="924" t="s">
        <v>795</v>
      </c>
      <c r="C1658" s="924" t="s">
        <v>1181</v>
      </c>
      <c r="D1658" s="924" t="s">
        <v>1176</v>
      </c>
      <c r="E1658" s="924" t="s">
        <v>856</v>
      </c>
      <c r="F1658" s="924" t="s">
        <v>1055</v>
      </c>
      <c r="G1658" s="924" t="s">
        <v>981</v>
      </c>
      <c r="H1658" s="924" t="s">
        <v>835</v>
      </c>
      <c r="I1658" s="924" t="s">
        <v>1040</v>
      </c>
      <c r="J1658" s="924" t="s">
        <v>859</v>
      </c>
      <c r="K1658" s="924" t="s">
        <v>899</v>
      </c>
      <c r="L1658" s="925">
        <v>27.608310729265199</v>
      </c>
      <c r="M1658" s="925">
        <v>1.9418532174270801E-2</v>
      </c>
    </row>
    <row r="1659" spans="1:13" ht="11.25" customHeight="1" x14ac:dyDescent="0.2">
      <c r="A1659" s="924" t="s">
        <v>853</v>
      </c>
      <c r="B1659" s="924" t="s">
        <v>795</v>
      </c>
      <c r="C1659" s="924" t="s">
        <v>1181</v>
      </c>
      <c r="D1659" s="924" t="s">
        <v>1176</v>
      </c>
      <c r="E1659" s="924" t="s">
        <v>856</v>
      </c>
      <c r="F1659" s="924" t="s">
        <v>1054</v>
      </c>
      <c r="G1659" s="924" t="s">
        <v>981</v>
      </c>
      <c r="H1659" s="924" t="s">
        <v>835</v>
      </c>
      <c r="I1659" s="924" t="s">
        <v>998</v>
      </c>
      <c r="J1659" s="924" t="s">
        <v>875</v>
      </c>
      <c r="K1659" s="924" t="s">
        <v>880</v>
      </c>
      <c r="L1659" s="925">
        <v>7.5443578753038301E-3</v>
      </c>
      <c r="M1659" s="925">
        <v>1.6857159096161898E-5</v>
      </c>
    </row>
    <row r="1660" spans="1:13" ht="11.25" customHeight="1" x14ac:dyDescent="0.2">
      <c r="A1660" s="924" t="s">
        <v>853</v>
      </c>
      <c r="B1660" s="924" t="s">
        <v>795</v>
      </c>
      <c r="C1660" s="924" t="s">
        <v>1181</v>
      </c>
      <c r="D1660" s="924" t="s">
        <v>1176</v>
      </c>
      <c r="E1660" s="924" t="s">
        <v>856</v>
      </c>
      <c r="F1660" s="924" t="s">
        <v>1082</v>
      </c>
      <c r="G1660" s="924" t="s">
        <v>981</v>
      </c>
      <c r="H1660" s="924" t="s">
        <v>835</v>
      </c>
      <c r="I1660" s="924" t="s">
        <v>998</v>
      </c>
      <c r="J1660" s="924" t="s">
        <v>875</v>
      </c>
      <c r="K1660" s="924" t="s">
        <v>952</v>
      </c>
      <c r="L1660" s="925">
        <v>0.13159764348529299</v>
      </c>
      <c r="M1660" s="925">
        <v>2.9404223687379299E-4</v>
      </c>
    </row>
    <row r="1661" spans="1:13" ht="11.25" customHeight="1" x14ac:dyDescent="0.2">
      <c r="A1661" s="924" t="s">
        <v>853</v>
      </c>
      <c r="B1661" s="924" t="s">
        <v>795</v>
      </c>
      <c r="C1661" s="924" t="s">
        <v>1181</v>
      </c>
      <c r="D1661" s="924" t="s">
        <v>1176</v>
      </c>
      <c r="E1661" s="924" t="s">
        <v>856</v>
      </c>
      <c r="F1661" s="924" t="s">
        <v>1042</v>
      </c>
      <c r="G1661" s="924" t="s">
        <v>981</v>
      </c>
      <c r="H1661" s="924" t="s">
        <v>835</v>
      </c>
      <c r="I1661" s="924" t="s">
        <v>998</v>
      </c>
      <c r="J1661" s="924" t="s">
        <v>956</v>
      </c>
      <c r="K1661" s="924" t="s">
        <v>1043</v>
      </c>
      <c r="L1661" s="925">
        <v>14.9278777688742</v>
      </c>
      <c r="M1661" s="925">
        <v>2.5856820575427299E-2</v>
      </c>
    </row>
    <row r="1662" spans="1:13" ht="11.25" customHeight="1" x14ac:dyDescent="0.2">
      <c r="A1662" s="924" t="s">
        <v>853</v>
      </c>
      <c r="B1662" s="924" t="s">
        <v>795</v>
      </c>
      <c r="C1662" s="924" t="s">
        <v>1181</v>
      </c>
      <c r="D1662" s="924" t="s">
        <v>1176</v>
      </c>
      <c r="E1662" s="924" t="s">
        <v>856</v>
      </c>
      <c r="F1662" s="924" t="s">
        <v>1044</v>
      </c>
      <c r="G1662" s="924" t="s">
        <v>981</v>
      </c>
      <c r="H1662" s="924" t="s">
        <v>835</v>
      </c>
      <c r="I1662" s="924" t="s">
        <v>1040</v>
      </c>
      <c r="J1662" s="924" t="s">
        <v>884</v>
      </c>
      <c r="K1662" s="924" t="s">
        <v>999</v>
      </c>
      <c r="L1662" s="925">
        <v>86.059841752052293</v>
      </c>
      <c r="M1662" s="925">
        <v>0.118394987040119</v>
      </c>
    </row>
    <row r="1663" spans="1:13" ht="11.25" customHeight="1" x14ac:dyDescent="0.2">
      <c r="A1663" s="924" t="s">
        <v>853</v>
      </c>
      <c r="B1663" s="924" t="s">
        <v>795</v>
      </c>
      <c r="C1663" s="924" t="s">
        <v>1181</v>
      </c>
      <c r="D1663" s="924" t="s">
        <v>1176</v>
      </c>
      <c r="E1663" s="924" t="s">
        <v>856</v>
      </c>
      <c r="F1663" s="924" t="s">
        <v>1045</v>
      </c>
      <c r="G1663" s="924" t="s">
        <v>981</v>
      </c>
      <c r="H1663" s="924" t="s">
        <v>835</v>
      </c>
      <c r="I1663" s="924" t="s">
        <v>1040</v>
      </c>
      <c r="J1663" s="924" t="s">
        <v>884</v>
      </c>
      <c r="K1663" s="924" t="s">
        <v>1046</v>
      </c>
      <c r="L1663" s="925">
        <v>818.88962554931595</v>
      </c>
      <c r="M1663" s="925">
        <v>0.83524501406645901</v>
      </c>
    </row>
    <row r="1664" spans="1:13" ht="11.25" customHeight="1" x14ac:dyDescent="0.2">
      <c r="A1664" s="924" t="s">
        <v>853</v>
      </c>
      <c r="B1664" s="924" t="s">
        <v>795</v>
      </c>
      <c r="C1664" s="924" t="s">
        <v>1181</v>
      </c>
      <c r="D1664" s="924" t="s">
        <v>1176</v>
      </c>
      <c r="E1664" s="924" t="s">
        <v>856</v>
      </c>
      <c r="F1664" s="924" t="s">
        <v>1047</v>
      </c>
      <c r="G1664" s="924" t="s">
        <v>981</v>
      </c>
      <c r="H1664" s="924" t="s">
        <v>835</v>
      </c>
      <c r="I1664" s="924" t="s">
        <v>1040</v>
      </c>
      <c r="J1664" s="924" t="s">
        <v>884</v>
      </c>
      <c r="K1664" s="924" t="s">
        <v>1048</v>
      </c>
      <c r="L1664" s="925">
        <v>279.72468614578202</v>
      </c>
      <c r="M1664" s="925">
        <v>0.21012419695034601</v>
      </c>
    </row>
    <row r="1665" spans="1:13" ht="11.25" customHeight="1" x14ac:dyDescent="0.2">
      <c r="A1665" s="924" t="s">
        <v>853</v>
      </c>
      <c r="B1665" s="924" t="s">
        <v>795</v>
      </c>
      <c r="C1665" s="924" t="s">
        <v>1181</v>
      </c>
      <c r="D1665" s="924" t="s">
        <v>1176</v>
      </c>
      <c r="E1665" s="924" t="s">
        <v>856</v>
      </c>
      <c r="F1665" s="924" t="s">
        <v>1049</v>
      </c>
      <c r="G1665" s="924" t="s">
        <v>981</v>
      </c>
      <c r="H1665" s="924" t="s">
        <v>835</v>
      </c>
      <c r="I1665" s="924" t="s">
        <v>1040</v>
      </c>
      <c r="J1665" s="924" t="s">
        <v>884</v>
      </c>
      <c r="K1665" s="924" t="s">
        <v>885</v>
      </c>
      <c r="L1665" s="925">
        <v>107.823253512383</v>
      </c>
      <c r="M1665" s="925">
        <v>0.102399012903334</v>
      </c>
    </row>
    <row r="1666" spans="1:13" ht="11.25" customHeight="1" x14ac:dyDescent="0.2">
      <c r="A1666" s="924" t="s">
        <v>853</v>
      </c>
      <c r="B1666" s="924" t="s">
        <v>795</v>
      </c>
      <c r="C1666" s="924" t="s">
        <v>1181</v>
      </c>
      <c r="D1666" s="924" t="s">
        <v>1176</v>
      </c>
      <c r="E1666" s="924" t="s">
        <v>856</v>
      </c>
      <c r="F1666" s="924" t="s">
        <v>1050</v>
      </c>
      <c r="G1666" s="924" t="s">
        <v>981</v>
      </c>
      <c r="H1666" s="924" t="s">
        <v>835</v>
      </c>
      <c r="I1666" s="924" t="s">
        <v>1040</v>
      </c>
      <c r="J1666" s="924" t="s">
        <v>859</v>
      </c>
      <c r="K1666" s="924" t="s">
        <v>913</v>
      </c>
      <c r="L1666" s="925">
        <v>18.528936743736299</v>
      </c>
      <c r="M1666" s="925">
        <v>1.09622152380098E-2</v>
      </c>
    </row>
    <row r="1667" spans="1:13" ht="11.25" customHeight="1" x14ac:dyDescent="0.2">
      <c r="A1667" s="924" t="s">
        <v>853</v>
      </c>
      <c r="B1667" s="924" t="s">
        <v>795</v>
      </c>
      <c r="C1667" s="924" t="s">
        <v>1181</v>
      </c>
      <c r="D1667" s="924" t="s">
        <v>1176</v>
      </c>
      <c r="E1667" s="924" t="s">
        <v>856</v>
      </c>
      <c r="F1667" s="924" t="s">
        <v>1051</v>
      </c>
      <c r="G1667" s="924" t="s">
        <v>981</v>
      </c>
      <c r="H1667" s="924" t="s">
        <v>835</v>
      </c>
      <c r="I1667" s="924" t="s">
        <v>1040</v>
      </c>
      <c r="J1667" s="924" t="s">
        <v>859</v>
      </c>
      <c r="K1667" s="924" t="s">
        <v>889</v>
      </c>
      <c r="L1667" s="925">
        <v>0.13865549606271099</v>
      </c>
      <c r="M1667" s="925">
        <v>9.0047289063477405E-5</v>
      </c>
    </row>
    <row r="1668" spans="1:13" ht="11.25" customHeight="1" x14ac:dyDescent="0.2">
      <c r="A1668" s="924" t="s">
        <v>853</v>
      </c>
      <c r="B1668" s="924" t="s">
        <v>795</v>
      </c>
      <c r="C1668" s="924" t="s">
        <v>1181</v>
      </c>
      <c r="D1668" s="924" t="s">
        <v>1176</v>
      </c>
      <c r="E1668" s="924" t="s">
        <v>856</v>
      </c>
      <c r="F1668" s="924" t="s">
        <v>1052</v>
      </c>
      <c r="G1668" s="924" t="s">
        <v>981</v>
      </c>
      <c r="H1668" s="924" t="s">
        <v>835</v>
      </c>
      <c r="I1668" s="924" t="s">
        <v>1040</v>
      </c>
      <c r="J1668" s="924" t="s">
        <v>859</v>
      </c>
      <c r="K1668" s="924" t="s">
        <v>860</v>
      </c>
      <c r="L1668" s="925">
        <v>34.899902522563899</v>
      </c>
      <c r="M1668" s="925">
        <v>2.4598160118330301E-2</v>
      </c>
    </row>
    <row r="1669" spans="1:13" ht="11.25" customHeight="1" x14ac:dyDescent="0.2">
      <c r="A1669" s="924" t="s">
        <v>853</v>
      </c>
      <c r="B1669" s="924" t="s">
        <v>795</v>
      </c>
      <c r="C1669" s="924" t="s">
        <v>1181</v>
      </c>
      <c r="D1669" s="924" t="s">
        <v>1176</v>
      </c>
      <c r="E1669" s="924" t="s">
        <v>856</v>
      </c>
      <c r="F1669" s="924" t="s">
        <v>1066</v>
      </c>
      <c r="G1669" s="924" t="s">
        <v>981</v>
      </c>
      <c r="H1669" s="924" t="s">
        <v>835</v>
      </c>
      <c r="I1669" s="924" t="s">
        <v>1040</v>
      </c>
      <c r="J1669" s="924" t="s">
        <v>859</v>
      </c>
      <c r="K1669" s="924" t="s">
        <v>928</v>
      </c>
      <c r="L1669" s="925">
        <v>26.831936508417101</v>
      </c>
      <c r="M1669" s="925">
        <v>1.35570042493782E-2</v>
      </c>
    </row>
    <row r="1670" spans="1:13" ht="11.25" customHeight="1" x14ac:dyDescent="0.2">
      <c r="A1670" s="924" t="s">
        <v>853</v>
      </c>
      <c r="B1670" s="924" t="s">
        <v>795</v>
      </c>
      <c r="C1670" s="924" t="s">
        <v>1181</v>
      </c>
      <c r="D1670" s="924" t="s">
        <v>1176</v>
      </c>
      <c r="E1670" s="924" t="s">
        <v>856</v>
      </c>
      <c r="F1670" s="924" t="s">
        <v>1068</v>
      </c>
      <c r="G1670" s="924" t="s">
        <v>981</v>
      </c>
      <c r="H1670" s="924" t="s">
        <v>835</v>
      </c>
      <c r="I1670" s="924" t="s">
        <v>1040</v>
      </c>
      <c r="J1670" s="924" t="s">
        <v>859</v>
      </c>
      <c r="K1670" s="924" t="s">
        <v>897</v>
      </c>
      <c r="L1670" s="925">
        <v>65.501776754856095</v>
      </c>
      <c r="M1670" s="925">
        <v>4.3696956669350598E-2</v>
      </c>
    </row>
    <row r="1671" spans="1:13" ht="11.25" customHeight="1" x14ac:dyDescent="0.2">
      <c r="A1671" s="924" t="s">
        <v>853</v>
      </c>
      <c r="B1671" s="924" t="s">
        <v>795</v>
      </c>
      <c r="C1671" s="924" t="s">
        <v>1181</v>
      </c>
      <c r="D1671" s="924" t="s">
        <v>1176</v>
      </c>
      <c r="E1671" s="924" t="s">
        <v>856</v>
      </c>
      <c r="F1671" s="924" t="s">
        <v>1101</v>
      </c>
      <c r="G1671" s="924" t="s">
        <v>981</v>
      </c>
      <c r="H1671" s="924" t="s">
        <v>835</v>
      </c>
      <c r="I1671" s="924" t="s">
        <v>998</v>
      </c>
      <c r="J1671" s="924" t="s">
        <v>870</v>
      </c>
      <c r="K1671" s="924" t="s">
        <v>961</v>
      </c>
      <c r="L1671" s="925">
        <v>0.15066834155004499</v>
      </c>
      <c r="M1671" s="925">
        <v>2.4807178635910499E-4</v>
      </c>
    </row>
    <row r="1672" spans="1:13" ht="11.25" customHeight="1" x14ac:dyDescent="0.2">
      <c r="A1672" s="924" t="s">
        <v>853</v>
      </c>
      <c r="B1672" s="924" t="s">
        <v>795</v>
      </c>
      <c r="C1672" s="924" t="s">
        <v>1181</v>
      </c>
      <c r="D1672" s="924" t="s">
        <v>1176</v>
      </c>
      <c r="E1672" s="924" t="s">
        <v>856</v>
      </c>
      <c r="F1672" s="924" t="s">
        <v>1039</v>
      </c>
      <c r="G1672" s="924" t="s">
        <v>981</v>
      </c>
      <c r="H1672" s="924" t="s">
        <v>835</v>
      </c>
      <c r="I1672" s="924" t="s">
        <v>1040</v>
      </c>
      <c r="J1672" s="924" t="s">
        <v>859</v>
      </c>
      <c r="K1672" s="924" t="s">
        <v>901</v>
      </c>
      <c r="L1672" s="925">
        <v>1.4392075426876501</v>
      </c>
      <c r="M1672" s="925">
        <v>1.0609411065161101E-3</v>
      </c>
    </row>
    <row r="1673" spans="1:13" ht="11.25" customHeight="1" x14ac:dyDescent="0.2">
      <c r="A1673" s="924" t="s">
        <v>853</v>
      </c>
      <c r="B1673" s="924" t="s">
        <v>795</v>
      </c>
      <c r="C1673" s="924" t="s">
        <v>1181</v>
      </c>
      <c r="D1673" s="924" t="s">
        <v>1176</v>
      </c>
      <c r="E1673" s="924" t="s">
        <v>856</v>
      </c>
      <c r="F1673" s="924" t="s">
        <v>1057</v>
      </c>
      <c r="G1673" s="924" t="s">
        <v>981</v>
      </c>
      <c r="H1673" s="924" t="s">
        <v>835</v>
      </c>
      <c r="I1673" s="924" t="s">
        <v>1040</v>
      </c>
      <c r="J1673" s="924" t="s">
        <v>859</v>
      </c>
      <c r="K1673" s="924" t="s">
        <v>903</v>
      </c>
      <c r="L1673" s="925">
        <v>57.618900775909403</v>
      </c>
      <c r="M1673" s="925">
        <v>3.5510518371666001E-2</v>
      </c>
    </row>
    <row r="1674" spans="1:13" ht="11.25" customHeight="1" x14ac:dyDescent="0.2">
      <c r="A1674" s="924" t="s">
        <v>853</v>
      </c>
      <c r="B1674" s="924" t="s">
        <v>795</v>
      </c>
      <c r="C1674" s="924" t="s">
        <v>1181</v>
      </c>
      <c r="D1674" s="924" t="s">
        <v>1176</v>
      </c>
      <c r="E1674" s="924" t="s">
        <v>856</v>
      </c>
      <c r="F1674" s="924" t="s">
        <v>1058</v>
      </c>
      <c r="G1674" s="924" t="s">
        <v>981</v>
      </c>
      <c r="H1674" s="924" t="s">
        <v>835</v>
      </c>
      <c r="I1674" s="924" t="s">
        <v>1040</v>
      </c>
      <c r="J1674" s="924" t="s">
        <v>859</v>
      </c>
      <c r="K1674" s="924" t="s">
        <v>905</v>
      </c>
      <c r="L1674" s="925">
        <v>20.206130445003499</v>
      </c>
      <c r="M1674" s="925">
        <v>1.5978517953044499E-2</v>
      </c>
    </row>
    <row r="1675" spans="1:13" ht="11.25" customHeight="1" x14ac:dyDescent="0.2">
      <c r="A1675" s="924" t="s">
        <v>853</v>
      </c>
      <c r="B1675" s="924" t="s">
        <v>795</v>
      </c>
      <c r="C1675" s="924" t="s">
        <v>1181</v>
      </c>
      <c r="D1675" s="924" t="s">
        <v>1176</v>
      </c>
      <c r="E1675" s="924" t="s">
        <v>856</v>
      </c>
      <c r="F1675" s="924" t="s">
        <v>1059</v>
      </c>
      <c r="G1675" s="924" t="s">
        <v>981</v>
      </c>
      <c r="H1675" s="924" t="s">
        <v>835</v>
      </c>
      <c r="I1675" s="924" t="s">
        <v>1040</v>
      </c>
      <c r="J1675" s="924" t="s">
        <v>859</v>
      </c>
      <c r="K1675" s="924" t="s">
        <v>909</v>
      </c>
      <c r="L1675" s="925">
        <v>120.420451164246</v>
      </c>
      <c r="M1675" s="925">
        <v>8.3152841310948106E-2</v>
      </c>
    </row>
    <row r="1676" spans="1:13" ht="11.25" customHeight="1" x14ac:dyDescent="0.2">
      <c r="A1676" s="924" t="s">
        <v>853</v>
      </c>
      <c r="B1676" s="924" t="s">
        <v>795</v>
      </c>
      <c r="C1676" s="924" t="s">
        <v>1181</v>
      </c>
      <c r="D1676" s="924" t="s">
        <v>1176</v>
      </c>
      <c r="E1676" s="924" t="s">
        <v>856</v>
      </c>
      <c r="F1676" s="924" t="s">
        <v>1060</v>
      </c>
      <c r="G1676" s="924" t="s">
        <v>981</v>
      </c>
      <c r="H1676" s="924" t="s">
        <v>835</v>
      </c>
      <c r="I1676" s="924" t="s">
        <v>1040</v>
      </c>
      <c r="J1676" s="924" t="s">
        <v>859</v>
      </c>
      <c r="K1676" s="924" t="s">
        <v>973</v>
      </c>
      <c r="L1676" s="925">
        <v>57.760421514511101</v>
      </c>
      <c r="M1676" s="925">
        <v>3.92619425280714E-2</v>
      </c>
    </row>
    <row r="1677" spans="1:13" ht="11.25" customHeight="1" x14ac:dyDescent="0.2">
      <c r="A1677" s="924" t="s">
        <v>853</v>
      </c>
      <c r="B1677" s="924" t="s">
        <v>795</v>
      </c>
      <c r="C1677" s="924" t="s">
        <v>1181</v>
      </c>
      <c r="D1677" s="924" t="s">
        <v>1176</v>
      </c>
      <c r="E1677" s="924" t="s">
        <v>856</v>
      </c>
      <c r="F1677" s="924" t="s">
        <v>1061</v>
      </c>
      <c r="G1677" s="924" t="s">
        <v>981</v>
      </c>
      <c r="H1677" s="924" t="s">
        <v>835</v>
      </c>
      <c r="I1677" s="924" t="s">
        <v>1040</v>
      </c>
      <c r="J1677" s="924" t="s">
        <v>859</v>
      </c>
      <c r="K1677" s="924" t="s">
        <v>918</v>
      </c>
      <c r="L1677" s="925">
        <v>4.4742901697754904</v>
      </c>
      <c r="M1677" s="925">
        <v>1.9690779727170602E-3</v>
      </c>
    </row>
    <row r="1678" spans="1:13" ht="11.25" customHeight="1" x14ac:dyDescent="0.2">
      <c r="A1678" s="924" t="s">
        <v>853</v>
      </c>
      <c r="B1678" s="924" t="s">
        <v>795</v>
      </c>
      <c r="C1678" s="924" t="s">
        <v>1181</v>
      </c>
      <c r="D1678" s="924" t="s">
        <v>1176</v>
      </c>
      <c r="E1678" s="924" t="s">
        <v>856</v>
      </c>
      <c r="F1678" s="924" t="s">
        <v>1062</v>
      </c>
      <c r="G1678" s="924" t="s">
        <v>981</v>
      </c>
      <c r="H1678" s="924" t="s">
        <v>835</v>
      </c>
      <c r="I1678" s="924" t="s">
        <v>1040</v>
      </c>
      <c r="J1678" s="924" t="s">
        <v>859</v>
      </c>
      <c r="K1678" s="924" t="s">
        <v>920</v>
      </c>
      <c r="L1678" s="925">
        <v>7.79568781703711</v>
      </c>
      <c r="M1678" s="925">
        <v>5.2732508314079496E-3</v>
      </c>
    </row>
    <row r="1679" spans="1:13" ht="11.25" customHeight="1" x14ac:dyDescent="0.2">
      <c r="A1679" s="924" t="s">
        <v>853</v>
      </c>
      <c r="B1679" s="924" t="s">
        <v>795</v>
      </c>
      <c r="C1679" s="924" t="s">
        <v>1181</v>
      </c>
      <c r="D1679" s="924" t="s">
        <v>1176</v>
      </c>
      <c r="E1679" s="924" t="s">
        <v>856</v>
      </c>
      <c r="F1679" s="924" t="s">
        <v>1063</v>
      </c>
      <c r="G1679" s="924" t="s">
        <v>981</v>
      </c>
      <c r="H1679" s="924" t="s">
        <v>835</v>
      </c>
      <c r="I1679" s="924" t="s">
        <v>1040</v>
      </c>
      <c r="J1679" s="924" t="s">
        <v>859</v>
      </c>
      <c r="K1679" s="924" t="s">
        <v>922</v>
      </c>
      <c r="L1679" s="925">
        <v>6.8510290980339104</v>
      </c>
      <c r="M1679" s="925">
        <v>1.23828088408118E-3</v>
      </c>
    </row>
    <row r="1680" spans="1:13" ht="11.25" customHeight="1" x14ac:dyDescent="0.2">
      <c r="A1680" s="924" t="s">
        <v>853</v>
      </c>
      <c r="B1680" s="924" t="s">
        <v>795</v>
      </c>
      <c r="C1680" s="924" t="s">
        <v>1181</v>
      </c>
      <c r="D1680" s="924" t="s">
        <v>1176</v>
      </c>
      <c r="E1680" s="924" t="s">
        <v>856</v>
      </c>
      <c r="F1680" s="924" t="s">
        <v>1064</v>
      </c>
      <c r="G1680" s="924" t="s">
        <v>981</v>
      </c>
      <c r="H1680" s="924" t="s">
        <v>835</v>
      </c>
      <c r="I1680" s="924" t="s">
        <v>1040</v>
      </c>
      <c r="J1680" s="924" t="s">
        <v>859</v>
      </c>
      <c r="K1680" s="924" t="s">
        <v>924</v>
      </c>
      <c r="L1680" s="925">
        <v>16.501103296876</v>
      </c>
      <c r="M1680" s="925">
        <v>1.2324900253588599E-3</v>
      </c>
    </row>
    <row r="1681" spans="1:13" ht="11.25" customHeight="1" x14ac:dyDescent="0.2">
      <c r="A1681" s="924" t="s">
        <v>853</v>
      </c>
      <c r="B1681" s="924" t="s">
        <v>795</v>
      </c>
      <c r="C1681" s="924" t="s">
        <v>1181</v>
      </c>
      <c r="D1681" s="924" t="s">
        <v>1176</v>
      </c>
      <c r="E1681" s="924" t="s">
        <v>856</v>
      </c>
      <c r="F1681" s="924" t="s">
        <v>1065</v>
      </c>
      <c r="G1681" s="924" t="s">
        <v>981</v>
      </c>
      <c r="H1681" s="924" t="s">
        <v>835</v>
      </c>
      <c r="I1681" s="924" t="s">
        <v>1040</v>
      </c>
      <c r="J1681" s="924" t="s">
        <v>859</v>
      </c>
      <c r="K1681" s="924" t="s">
        <v>926</v>
      </c>
      <c r="L1681" s="925">
        <v>39.528321385383599</v>
      </c>
      <c r="M1681" s="925">
        <v>2.62319013418164E-2</v>
      </c>
    </row>
    <row r="1682" spans="1:13" ht="11.25" customHeight="1" x14ac:dyDescent="0.2">
      <c r="A1682" s="924" t="s">
        <v>853</v>
      </c>
      <c r="B1682" s="924" t="s">
        <v>795</v>
      </c>
      <c r="C1682" s="924" t="s">
        <v>1181</v>
      </c>
      <c r="D1682" s="924" t="s">
        <v>1176</v>
      </c>
      <c r="E1682" s="924" t="s">
        <v>856</v>
      </c>
      <c r="F1682" s="924" t="s">
        <v>1053</v>
      </c>
      <c r="G1682" s="924" t="s">
        <v>981</v>
      </c>
      <c r="H1682" s="924" t="s">
        <v>835</v>
      </c>
      <c r="I1682" s="924" t="s">
        <v>1040</v>
      </c>
      <c r="J1682" s="924" t="s">
        <v>859</v>
      </c>
      <c r="K1682" s="924" t="s">
        <v>893</v>
      </c>
      <c r="L1682" s="925">
        <v>32.852732688188603</v>
      </c>
      <c r="M1682" s="925">
        <v>1.9974199094576799E-2</v>
      </c>
    </row>
    <row r="1683" spans="1:13" ht="11.25" customHeight="1" x14ac:dyDescent="0.2">
      <c r="A1683" s="924" t="s">
        <v>853</v>
      </c>
      <c r="B1683" s="924" t="s">
        <v>795</v>
      </c>
      <c r="C1683" s="924" t="s">
        <v>1181</v>
      </c>
      <c r="D1683" s="924" t="s">
        <v>1176</v>
      </c>
      <c r="E1683" s="924" t="s">
        <v>856</v>
      </c>
      <c r="F1683" s="924" t="s">
        <v>1083</v>
      </c>
      <c r="G1683" s="924" t="s">
        <v>981</v>
      </c>
      <c r="H1683" s="924" t="s">
        <v>835</v>
      </c>
      <c r="I1683" s="924" t="s">
        <v>998</v>
      </c>
      <c r="J1683" s="924" t="s">
        <v>940</v>
      </c>
      <c r="K1683" s="924" t="s">
        <v>1084</v>
      </c>
      <c r="L1683" s="925">
        <v>3.3639446943998301</v>
      </c>
      <c r="M1683" s="925">
        <v>6.1456991825252797E-3</v>
      </c>
    </row>
    <row r="1684" spans="1:13" ht="11.25" customHeight="1" x14ac:dyDescent="0.2">
      <c r="A1684" s="924" t="s">
        <v>853</v>
      </c>
      <c r="B1684" s="924" t="s">
        <v>795</v>
      </c>
      <c r="C1684" s="924" t="s">
        <v>1181</v>
      </c>
      <c r="D1684" s="924" t="s">
        <v>1176</v>
      </c>
      <c r="E1684" s="924" t="s">
        <v>856</v>
      </c>
      <c r="F1684" s="924" t="s">
        <v>908</v>
      </c>
      <c r="G1684" s="924" t="s">
        <v>858</v>
      </c>
      <c r="H1684" s="924" t="s">
        <v>836</v>
      </c>
      <c r="I1684" s="924" t="s">
        <v>837</v>
      </c>
      <c r="J1684" s="924" t="s">
        <v>859</v>
      </c>
      <c r="K1684" s="924" t="s">
        <v>909</v>
      </c>
      <c r="L1684" s="925">
        <v>27.514547586441001</v>
      </c>
      <c r="M1684" s="925">
        <v>5.7588988158840905E-4</v>
      </c>
    </row>
    <row r="1685" spans="1:13" ht="11.25" customHeight="1" x14ac:dyDescent="0.2">
      <c r="A1685" s="924" t="s">
        <v>853</v>
      </c>
      <c r="B1685" s="924" t="s">
        <v>795</v>
      </c>
      <c r="C1685" s="924" t="s">
        <v>1181</v>
      </c>
      <c r="D1685" s="924" t="s">
        <v>1176</v>
      </c>
      <c r="E1685" s="924" t="s">
        <v>856</v>
      </c>
      <c r="F1685" s="924" t="s">
        <v>1133</v>
      </c>
      <c r="G1685" s="924" t="s">
        <v>911</v>
      </c>
      <c r="H1685" s="924" t="s">
        <v>665</v>
      </c>
      <c r="I1685" s="924" t="s">
        <v>706</v>
      </c>
      <c r="J1685" s="924" t="s">
        <v>859</v>
      </c>
      <c r="K1685" s="924" t="s">
        <v>899</v>
      </c>
      <c r="L1685" s="925">
        <v>0.46158670121803902</v>
      </c>
      <c r="M1685" s="925">
        <v>4.5986185213564602E-5</v>
      </c>
    </row>
    <row r="1686" spans="1:13" ht="11.25" customHeight="1" x14ac:dyDescent="0.2">
      <c r="A1686" s="924" t="s">
        <v>853</v>
      </c>
      <c r="B1686" s="924" t="s">
        <v>795</v>
      </c>
      <c r="C1686" s="924" t="s">
        <v>1181</v>
      </c>
      <c r="D1686" s="924" t="s">
        <v>1176</v>
      </c>
      <c r="E1686" s="924" t="s">
        <v>856</v>
      </c>
      <c r="F1686" s="924" t="s">
        <v>997</v>
      </c>
      <c r="G1686" s="924" t="s">
        <v>981</v>
      </c>
      <c r="H1686" s="924" t="s">
        <v>835</v>
      </c>
      <c r="I1686" s="924" t="s">
        <v>998</v>
      </c>
      <c r="J1686" s="924" t="s">
        <v>884</v>
      </c>
      <c r="K1686" s="924" t="s">
        <v>999</v>
      </c>
      <c r="L1686" s="925">
        <v>188.889589071274</v>
      </c>
      <c r="M1686" s="925">
        <v>0.60174027550965503</v>
      </c>
    </row>
    <row r="1687" spans="1:13" ht="11.25" customHeight="1" x14ac:dyDescent="0.2">
      <c r="A1687" s="924" t="s">
        <v>853</v>
      </c>
      <c r="B1687" s="924" t="s">
        <v>795</v>
      </c>
      <c r="C1687" s="924" t="s">
        <v>1181</v>
      </c>
      <c r="D1687" s="924" t="s">
        <v>1176</v>
      </c>
      <c r="E1687" s="924" t="s">
        <v>856</v>
      </c>
      <c r="F1687" s="924" t="s">
        <v>1085</v>
      </c>
      <c r="G1687" s="924" t="s">
        <v>981</v>
      </c>
      <c r="H1687" s="924" t="s">
        <v>835</v>
      </c>
      <c r="I1687" s="924" t="s">
        <v>998</v>
      </c>
      <c r="J1687" s="924" t="s">
        <v>884</v>
      </c>
      <c r="K1687" s="924" t="s">
        <v>885</v>
      </c>
      <c r="L1687" s="925">
        <v>114.79876971244801</v>
      </c>
      <c r="M1687" s="925">
        <v>8.4323944291099906E-2</v>
      </c>
    </row>
    <row r="1688" spans="1:13" ht="11.25" customHeight="1" x14ac:dyDescent="0.2">
      <c r="A1688" s="924" t="s">
        <v>853</v>
      </c>
      <c r="B1688" s="924" t="s">
        <v>795</v>
      </c>
      <c r="C1688" s="924" t="s">
        <v>1181</v>
      </c>
      <c r="D1688" s="924" t="s">
        <v>1176</v>
      </c>
      <c r="E1688" s="924" t="s">
        <v>856</v>
      </c>
      <c r="F1688" s="924" t="s">
        <v>1075</v>
      </c>
      <c r="G1688" s="924" t="s">
        <v>981</v>
      </c>
      <c r="H1688" s="924" t="s">
        <v>835</v>
      </c>
      <c r="I1688" s="924" t="s">
        <v>998</v>
      </c>
      <c r="J1688" s="924" t="s">
        <v>859</v>
      </c>
      <c r="K1688" s="924" t="s">
        <v>889</v>
      </c>
      <c r="L1688" s="925">
        <v>20.941444009542501</v>
      </c>
      <c r="M1688" s="925">
        <v>3.3892778155859601E-2</v>
      </c>
    </row>
    <row r="1689" spans="1:13" ht="11.25" customHeight="1" x14ac:dyDescent="0.2">
      <c r="A1689" s="924" t="s">
        <v>853</v>
      </c>
      <c r="B1689" s="924" t="s">
        <v>795</v>
      </c>
      <c r="C1689" s="924" t="s">
        <v>1181</v>
      </c>
      <c r="D1689" s="924" t="s">
        <v>1176</v>
      </c>
      <c r="E1689" s="924" t="s">
        <v>856</v>
      </c>
      <c r="F1689" s="924" t="s">
        <v>1076</v>
      </c>
      <c r="G1689" s="924" t="s">
        <v>981</v>
      </c>
      <c r="H1689" s="924" t="s">
        <v>835</v>
      </c>
      <c r="I1689" s="924" t="s">
        <v>998</v>
      </c>
      <c r="J1689" s="924" t="s">
        <v>859</v>
      </c>
      <c r="K1689" s="924" t="s">
        <v>860</v>
      </c>
      <c r="L1689" s="925">
        <v>1.35758847557008</v>
      </c>
      <c r="M1689" s="925">
        <v>2.8047531959600699E-3</v>
      </c>
    </row>
    <row r="1690" spans="1:13" ht="11.25" customHeight="1" x14ac:dyDescent="0.2">
      <c r="A1690" s="924" t="s">
        <v>853</v>
      </c>
      <c r="B1690" s="924" t="s">
        <v>795</v>
      </c>
      <c r="C1690" s="924" t="s">
        <v>1181</v>
      </c>
      <c r="D1690" s="924" t="s">
        <v>1176</v>
      </c>
      <c r="E1690" s="924" t="s">
        <v>856</v>
      </c>
      <c r="F1690" s="924" t="s">
        <v>1077</v>
      </c>
      <c r="G1690" s="924" t="s">
        <v>981</v>
      </c>
      <c r="H1690" s="924" t="s">
        <v>835</v>
      </c>
      <c r="I1690" s="924" t="s">
        <v>998</v>
      </c>
      <c r="J1690" s="924" t="s">
        <v>859</v>
      </c>
      <c r="K1690" s="924" t="s">
        <v>897</v>
      </c>
      <c r="L1690" s="925">
        <v>1.62275581434369</v>
      </c>
      <c r="M1690" s="925">
        <v>3.3982952991209502E-3</v>
      </c>
    </row>
    <row r="1691" spans="1:13" ht="11.25" customHeight="1" x14ac:dyDescent="0.2">
      <c r="A1691" s="924" t="s">
        <v>853</v>
      </c>
      <c r="B1691" s="924" t="s">
        <v>795</v>
      </c>
      <c r="C1691" s="924" t="s">
        <v>1181</v>
      </c>
      <c r="D1691" s="924" t="s">
        <v>1176</v>
      </c>
      <c r="E1691" s="924" t="s">
        <v>856</v>
      </c>
      <c r="F1691" s="924" t="s">
        <v>1078</v>
      </c>
      <c r="G1691" s="924" t="s">
        <v>981</v>
      </c>
      <c r="H1691" s="924" t="s">
        <v>835</v>
      </c>
      <c r="I1691" s="924" t="s">
        <v>998</v>
      </c>
      <c r="J1691" s="924" t="s">
        <v>859</v>
      </c>
      <c r="K1691" s="924" t="s">
        <v>901</v>
      </c>
      <c r="L1691" s="925">
        <v>1.1244496534345699E-2</v>
      </c>
      <c r="M1691" s="925">
        <v>2.5124763681105799E-5</v>
      </c>
    </row>
    <row r="1692" spans="1:13" ht="11.25" customHeight="1" x14ac:dyDescent="0.2">
      <c r="A1692" s="924" t="s">
        <v>853</v>
      </c>
      <c r="B1692" s="924" t="s">
        <v>795</v>
      </c>
      <c r="C1692" s="924" t="s">
        <v>1181</v>
      </c>
      <c r="D1692" s="924" t="s">
        <v>1176</v>
      </c>
      <c r="E1692" s="924" t="s">
        <v>856</v>
      </c>
      <c r="F1692" s="924" t="s">
        <v>1079</v>
      </c>
      <c r="G1692" s="924" t="s">
        <v>981</v>
      </c>
      <c r="H1692" s="924" t="s">
        <v>835</v>
      </c>
      <c r="I1692" s="924" t="s">
        <v>998</v>
      </c>
      <c r="J1692" s="924" t="s">
        <v>859</v>
      </c>
      <c r="K1692" s="924" t="s">
        <v>909</v>
      </c>
      <c r="L1692" s="925">
        <v>54.076018333435101</v>
      </c>
      <c r="M1692" s="925">
        <v>9.6843805280514103E-2</v>
      </c>
    </row>
    <row r="1693" spans="1:13" ht="11.25" customHeight="1" x14ac:dyDescent="0.2">
      <c r="A1693" s="924" t="s">
        <v>853</v>
      </c>
      <c r="B1693" s="924" t="s">
        <v>795</v>
      </c>
      <c r="C1693" s="924" t="s">
        <v>1181</v>
      </c>
      <c r="D1693" s="924" t="s">
        <v>1176</v>
      </c>
      <c r="E1693" s="924" t="s">
        <v>856</v>
      </c>
      <c r="F1693" s="924" t="s">
        <v>1080</v>
      </c>
      <c r="G1693" s="924" t="s">
        <v>981</v>
      </c>
      <c r="H1693" s="924" t="s">
        <v>835</v>
      </c>
      <c r="I1693" s="924" t="s">
        <v>998</v>
      </c>
      <c r="J1693" s="924" t="s">
        <v>859</v>
      </c>
      <c r="K1693" s="924" t="s">
        <v>920</v>
      </c>
      <c r="L1693" s="925">
        <v>0.31690329872071699</v>
      </c>
      <c r="M1693" s="925">
        <v>7.0809043972985797E-4</v>
      </c>
    </row>
    <row r="1694" spans="1:13" ht="11.25" customHeight="1" x14ac:dyDescent="0.2">
      <c r="A1694" s="924" t="s">
        <v>853</v>
      </c>
      <c r="B1694" s="924" t="s">
        <v>795</v>
      </c>
      <c r="C1694" s="924" t="s">
        <v>1181</v>
      </c>
      <c r="D1694" s="924" t="s">
        <v>1176</v>
      </c>
      <c r="E1694" s="924" t="s">
        <v>856</v>
      </c>
      <c r="F1694" s="924" t="s">
        <v>1056</v>
      </c>
      <c r="G1694" s="924" t="s">
        <v>981</v>
      </c>
      <c r="H1694" s="924" t="s">
        <v>835</v>
      </c>
      <c r="I1694" s="924" t="s">
        <v>998</v>
      </c>
      <c r="J1694" s="924" t="s">
        <v>875</v>
      </c>
      <c r="K1694" s="924" t="s">
        <v>878</v>
      </c>
      <c r="L1694" s="925">
        <v>21.750370472669601</v>
      </c>
      <c r="M1694" s="925">
        <v>4.19488560291938E-2</v>
      </c>
    </row>
    <row r="1695" spans="1:13" ht="11.25" customHeight="1" x14ac:dyDescent="0.2">
      <c r="A1695" s="924" t="s">
        <v>853</v>
      </c>
      <c r="B1695" s="924" t="s">
        <v>795</v>
      </c>
      <c r="C1695" s="924" t="s">
        <v>1181</v>
      </c>
      <c r="D1695" s="924" t="s">
        <v>1176</v>
      </c>
      <c r="E1695" s="924" t="s">
        <v>856</v>
      </c>
      <c r="F1695" s="924" t="s">
        <v>1103</v>
      </c>
      <c r="G1695" s="924" t="s">
        <v>981</v>
      </c>
      <c r="H1695" s="924" t="s">
        <v>835</v>
      </c>
      <c r="I1695" s="924" t="s">
        <v>998</v>
      </c>
      <c r="J1695" s="924" t="s">
        <v>863</v>
      </c>
      <c r="K1695" s="924" t="s">
        <v>864</v>
      </c>
      <c r="L1695" s="925">
        <v>1.7686443810816899E-2</v>
      </c>
      <c r="M1695" s="925">
        <v>3.9518681148820199E-5</v>
      </c>
    </row>
    <row r="1696" spans="1:13" ht="11.25" customHeight="1" x14ac:dyDescent="0.2">
      <c r="A1696" s="924" t="s">
        <v>853</v>
      </c>
      <c r="B1696" s="924" t="s">
        <v>795</v>
      </c>
      <c r="C1696" s="924" t="s">
        <v>1181</v>
      </c>
      <c r="D1696" s="924" t="s">
        <v>1176</v>
      </c>
      <c r="E1696" s="924" t="s">
        <v>856</v>
      </c>
      <c r="F1696" s="924" t="s">
        <v>1102</v>
      </c>
      <c r="G1696" s="924" t="s">
        <v>981</v>
      </c>
      <c r="H1696" s="924" t="s">
        <v>835</v>
      </c>
      <c r="I1696" s="924" t="s">
        <v>998</v>
      </c>
      <c r="J1696" s="924" t="s">
        <v>875</v>
      </c>
      <c r="K1696" s="924" t="s">
        <v>876</v>
      </c>
      <c r="L1696" s="925">
        <v>3.2598377168178598</v>
      </c>
      <c r="M1696" s="925">
        <v>6.5961275467998296E-3</v>
      </c>
    </row>
    <row r="1697" spans="1:13" ht="11.25" customHeight="1" x14ac:dyDescent="0.2">
      <c r="A1697" s="924" t="s">
        <v>853</v>
      </c>
      <c r="B1697" s="924" t="s">
        <v>795</v>
      </c>
      <c r="C1697" s="924" t="s">
        <v>1181</v>
      </c>
      <c r="D1697" s="924" t="s">
        <v>1176</v>
      </c>
      <c r="E1697" s="924" t="s">
        <v>856</v>
      </c>
      <c r="F1697" s="924" t="s">
        <v>1069</v>
      </c>
      <c r="G1697" s="924" t="s">
        <v>981</v>
      </c>
      <c r="H1697" s="924" t="s">
        <v>835</v>
      </c>
      <c r="I1697" s="924" t="s">
        <v>998</v>
      </c>
      <c r="J1697" s="924" t="s">
        <v>940</v>
      </c>
      <c r="K1697" s="924" t="s">
        <v>1070</v>
      </c>
      <c r="L1697" s="925">
        <v>15.9457522779703</v>
      </c>
      <c r="M1697" s="925">
        <v>2.96063345449511E-2</v>
      </c>
    </row>
    <row r="1698" spans="1:13" ht="11.25" customHeight="1" x14ac:dyDescent="0.2">
      <c r="A1698" s="924" t="s">
        <v>853</v>
      </c>
      <c r="B1698" s="924" t="s">
        <v>795</v>
      </c>
      <c r="C1698" s="924" t="s">
        <v>1181</v>
      </c>
      <c r="D1698" s="924" t="s">
        <v>1176</v>
      </c>
      <c r="E1698" s="924" t="s">
        <v>856</v>
      </c>
      <c r="F1698" s="924" t="s">
        <v>1086</v>
      </c>
      <c r="G1698" s="924" t="s">
        <v>981</v>
      </c>
      <c r="H1698" s="924" t="s">
        <v>835</v>
      </c>
      <c r="I1698" s="924" t="s">
        <v>998</v>
      </c>
      <c r="J1698" s="924" t="s">
        <v>940</v>
      </c>
      <c r="K1698" s="924" t="s">
        <v>1087</v>
      </c>
      <c r="L1698" s="925">
        <v>45.151506423950202</v>
      </c>
      <c r="M1698" s="925">
        <v>8.6931683588772998E-2</v>
      </c>
    </row>
    <row r="1699" spans="1:13" ht="11.25" customHeight="1" x14ac:dyDescent="0.2">
      <c r="A1699" s="924" t="s">
        <v>853</v>
      </c>
      <c r="B1699" s="924" t="s">
        <v>795</v>
      </c>
      <c r="C1699" s="924" t="s">
        <v>1181</v>
      </c>
      <c r="D1699" s="924" t="s">
        <v>1176</v>
      </c>
      <c r="E1699" s="924" t="s">
        <v>856</v>
      </c>
      <c r="F1699" s="924" t="s">
        <v>1088</v>
      </c>
      <c r="G1699" s="924" t="s">
        <v>981</v>
      </c>
      <c r="H1699" s="924" t="s">
        <v>835</v>
      </c>
      <c r="I1699" s="924" t="s">
        <v>998</v>
      </c>
      <c r="J1699" s="924" t="s">
        <v>940</v>
      </c>
      <c r="K1699" s="924" t="s">
        <v>1089</v>
      </c>
      <c r="L1699" s="925">
        <v>154.06000113487201</v>
      </c>
      <c r="M1699" s="925">
        <v>0.28143771132454298</v>
      </c>
    </row>
    <row r="1700" spans="1:13" ht="11.25" customHeight="1" x14ac:dyDescent="0.2">
      <c r="A1700" s="924" t="s">
        <v>853</v>
      </c>
      <c r="B1700" s="924" t="s">
        <v>795</v>
      </c>
      <c r="C1700" s="924" t="s">
        <v>1181</v>
      </c>
      <c r="D1700" s="924" t="s">
        <v>1176</v>
      </c>
      <c r="E1700" s="924" t="s">
        <v>856</v>
      </c>
      <c r="F1700" s="924" t="s">
        <v>1090</v>
      </c>
      <c r="G1700" s="924" t="s">
        <v>981</v>
      </c>
      <c r="H1700" s="924" t="s">
        <v>835</v>
      </c>
      <c r="I1700" s="924" t="s">
        <v>998</v>
      </c>
      <c r="J1700" s="924" t="s">
        <v>940</v>
      </c>
      <c r="K1700" s="924" t="s">
        <v>1091</v>
      </c>
      <c r="L1700" s="925">
        <v>62.378525435924502</v>
      </c>
      <c r="M1700" s="925">
        <v>0.10623413429129901</v>
      </c>
    </row>
    <row r="1701" spans="1:13" ht="11.25" customHeight="1" x14ac:dyDescent="0.2">
      <c r="A1701" s="924" t="s">
        <v>853</v>
      </c>
      <c r="B1701" s="924" t="s">
        <v>795</v>
      </c>
      <c r="C1701" s="924" t="s">
        <v>1181</v>
      </c>
      <c r="D1701" s="924" t="s">
        <v>1176</v>
      </c>
      <c r="E1701" s="924" t="s">
        <v>856</v>
      </c>
      <c r="F1701" s="924" t="s">
        <v>1092</v>
      </c>
      <c r="G1701" s="924" t="s">
        <v>981</v>
      </c>
      <c r="H1701" s="924" t="s">
        <v>835</v>
      </c>
      <c r="I1701" s="924" t="s">
        <v>998</v>
      </c>
      <c r="J1701" s="924" t="s">
        <v>940</v>
      </c>
      <c r="K1701" s="924" t="s">
        <v>1093</v>
      </c>
      <c r="L1701" s="925">
        <v>134.157870173454</v>
      </c>
      <c r="M1701" s="925">
        <v>0.26547711039893301</v>
      </c>
    </row>
    <row r="1702" spans="1:13" ht="11.25" customHeight="1" x14ac:dyDescent="0.2">
      <c r="A1702" s="924" t="s">
        <v>853</v>
      </c>
      <c r="B1702" s="924" t="s">
        <v>795</v>
      </c>
      <c r="C1702" s="924" t="s">
        <v>1181</v>
      </c>
      <c r="D1702" s="924" t="s">
        <v>1176</v>
      </c>
      <c r="E1702" s="924" t="s">
        <v>856</v>
      </c>
      <c r="F1702" s="924" t="s">
        <v>1094</v>
      </c>
      <c r="G1702" s="924" t="s">
        <v>981</v>
      </c>
      <c r="H1702" s="924" t="s">
        <v>835</v>
      </c>
      <c r="I1702" s="924" t="s">
        <v>998</v>
      </c>
      <c r="J1702" s="924" t="s">
        <v>940</v>
      </c>
      <c r="K1702" s="924" t="s">
        <v>1095</v>
      </c>
      <c r="L1702" s="925">
        <v>40.146650195121801</v>
      </c>
      <c r="M1702" s="925">
        <v>7.4878760031424504E-2</v>
      </c>
    </row>
    <row r="1703" spans="1:13" ht="11.25" customHeight="1" x14ac:dyDescent="0.2">
      <c r="A1703" s="924" t="s">
        <v>853</v>
      </c>
      <c r="B1703" s="924" t="s">
        <v>795</v>
      </c>
      <c r="C1703" s="924" t="s">
        <v>1181</v>
      </c>
      <c r="D1703" s="924" t="s">
        <v>1176</v>
      </c>
      <c r="E1703" s="924" t="s">
        <v>856</v>
      </c>
      <c r="F1703" s="924" t="s">
        <v>1096</v>
      </c>
      <c r="G1703" s="924" t="s">
        <v>981</v>
      </c>
      <c r="H1703" s="924" t="s">
        <v>835</v>
      </c>
      <c r="I1703" s="924" t="s">
        <v>998</v>
      </c>
      <c r="J1703" s="924" t="s">
        <v>940</v>
      </c>
      <c r="K1703" s="924" t="s">
        <v>1023</v>
      </c>
      <c r="L1703" s="925">
        <v>125.271434545517</v>
      </c>
      <c r="M1703" s="925">
        <v>0.23430006089620301</v>
      </c>
    </row>
    <row r="1704" spans="1:13" ht="11.25" customHeight="1" x14ac:dyDescent="0.2">
      <c r="A1704" s="924" t="s">
        <v>853</v>
      </c>
      <c r="B1704" s="924" t="s">
        <v>795</v>
      </c>
      <c r="C1704" s="924" t="s">
        <v>1181</v>
      </c>
      <c r="D1704" s="924" t="s">
        <v>1176</v>
      </c>
      <c r="E1704" s="924" t="s">
        <v>856</v>
      </c>
      <c r="F1704" s="924" t="s">
        <v>1097</v>
      </c>
      <c r="G1704" s="924" t="s">
        <v>981</v>
      </c>
      <c r="H1704" s="924" t="s">
        <v>835</v>
      </c>
      <c r="I1704" s="924" t="s">
        <v>998</v>
      </c>
      <c r="J1704" s="924" t="s">
        <v>940</v>
      </c>
      <c r="K1704" s="924" t="s">
        <v>1098</v>
      </c>
      <c r="L1704" s="925">
        <v>20.994402885437001</v>
      </c>
      <c r="M1704" s="925">
        <v>0.14342275634408</v>
      </c>
    </row>
    <row r="1705" spans="1:13" ht="11.25" customHeight="1" x14ac:dyDescent="0.2">
      <c r="A1705" s="924" t="s">
        <v>853</v>
      </c>
      <c r="B1705" s="924" t="s">
        <v>795</v>
      </c>
      <c r="C1705" s="924" t="s">
        <v>1181</v>
      </c>
      <c r="D1705" s="924" t="s">
        <v>1176</v>
      </c>
      <c r="E1705" s="924" t="s">
        <v>856</v>
      </c>
      <c r="F1705" s="924" t="s">
        <v>1099</v>
      </c>
      <c r="G1705" s="924" t="s">
        <v>981</v>
      </c>
      <c r="H1705" s="924" t="s">
        <v>835</v>
      </c>
      <c r="I1705" s="924" t="s">
        <v>998</v>
      </c>
      <c r="J1705" s="924" t="s">
        <v>940</v>
      </c>
      <c r="K1705" s="924" t="s">
        <v>1025</v>
      </c>
      <c r="L1705" s="925">
        <v>46.971529483795202</v>
      </c>
      <c r="M1705" s="925">
        <v>0.32046497985720601</v>
      </c>
    </row>
    <row r="1706" spans="1:13" ht="11.25" customHeight="1" x14ac:dyDescent="0.2">
      <c r="A1706" s="924" t="s">
        <v>853</v>
      </c>
      <c r="B1706" s="924" t="s">
        <v>795</v>
      </c>
      <c r="C1706" s="924" t="s">
        <v>1181</v>
      </c>
      <c r="D1706" s="924" t="s">
        <v>1176</v>
      </c>
      <c r="E1706" s="924" t="s">
        <v>856</v>
      </c>
      <c r="F1706" s="924" t="s">
        <v>1100</v>
      </c>
      <c r="G1706" s="924" t="s">
        <v>981</v>
      </c>
      <c r="H1706" s="924" t="s">
        <v>835</v>
      </c>
      <c r="I1706" s="924" t="s">
        <v>998</v>
      </c>
      <c r="J1706" s="924" t="s">
        <v>940</v>
      </c>
      <c r="K1706" s="924" t="s">
        <v>1032</v>
      </c>
      <c r="L1706" s="925">
        <v>6.6845676396042095E-2</v>
      </c>
      <c r="M1706" s="925">
        <v>1.34018827679938E-4</v>
      </c>
    </row>
    <row r="1707" spans="1:13" ht="11.25" customHeight="1" x14ac:dyDescent="0.2">
      <c r="A1707" s="924" t="s">
        <v>853</v>
      </c>
      <c r="B1707" s="924" t="s">
        <v>795</v>
      </c>
      <c r="C1707" s="924" t="s">
        <v>1181</v>
      </c>
      <c r="D1707" s="924" t="s">
        <v>1176</v>
      </c>
      <c r="E1707" s="924" t="s">
        <v>856</v>
      </c>
      <c r="F1707" s="924" t="s">
        <v>1073</v>
      </c>
      <c r="G1707" s="924" t="s">
        <v>981</v>
      </c>
      <c r="H1707" s="924" t="s">
        <v>835</v>
      </c>
      <c r="I1707" s="924" t="s">
        <v>998</v>
      </c>
      <c r="J1707" s="924" t="s">
        <v>884</v>
      </c>
      <c r="K1707" s="924" t="s">
        <v>1046</v>
      </c>
      <c r="L1707" s="925">
        <v>85.588096857070894</v>
      </c>
      <c r="M1707" s="925">
        <v>0.144509856123477</v>
      </c>
    </row>
    <row r="1708" spans="1:13" ht="11.25" customHeight="1" x14ac:dyDescent="0.2">
      <c r="A1708" s="924" t="s">
        <v>853</v>
      </c>
      <c r="B1708" s="924" t="s">
        <v>795</v>
      </c>
      <c r="C1708" s="924" t="s">
        <v>1181</v>
      </c>
      <c r="D1708" s="924" t="s">
        <v>1176</v>
      </c>
      <c r="E1708" s="924" t="s">
        <v>856</v>
      </c>
      <c r="F1708" s="924" t="s">
        <v>1081</v>
      </c>
      <c r="G1708" s="924" t="s">
        <v>981</v>
      </c>
      <c r="H1708" s="924" t="s">
        <v>835</v>
      </c>
      <c r="I1708" s="924" t="s">
        <v>998</v>
      </c>
      <c r="J1708" s="924" t="s">
        <v>863</v>
      </c>
      <c r="K1708" s="924" t="s">
        <v>935</v>
      </c>
      <c r="L1708" s="925">
        <v>0.23113097110763201</v>
      </c>
      <c r="M1708" s="925">
        <v>5.16439572493255E-4</v>
      </c>
    </row>
    <row r="1709" spans="1:13" ht="11.25" customHeight="1" x14ac:dyDescent="0.2">
      <c r="A1709" s="924" t="s">
        <v>853</v>
      </c>
      <c r="B1709" s="924" t="s">
        <v>795</v>
      </c>
      <c r="C1709" s="924" t="s">
        <v>1181</v>
      </c>
      <c r="D1709" s="924" t="s">
        <v>1176</v>
      </c>
      <c r="E1709" s="924" t="s">
        <v>856</v>
      </c>
      <c r="F1709" s="924" t="s">
        <v>1104</v>
      </c>
      <c r="G1709" s="924" t="s">
        <v>981</v>
      </c>
      <c r="H1709" s="924" t="s">
        <v>835</v>
      </c>
      <c r="I1709" s="924" t="s">
        <v>1040</v>
      </c>
      <c r="J1709" s="924" t="s">
        <v>875</v>
      </c>
      <c r="K1709" s="924" t="s">
        <v>876</v>
      </c>
      <c r="L1709" s="925">
        <v>670.64599132537796</v>
      </c>
      <c r="M1709" s="925">
        <v>0.45062319701537501</v>
      </c>
    </row>
    <row r="1710" spans="1:13" ht="11.25" customHeight="1" x14ac:dyDescent="0.2">
      <c r="A1710" s="924" t="s">
        <v>853</v>
      </c>
      <c r="B1710" s="924" t="s">
        <v>795</v>
      </c>
      <c r="C1710" s="924" t="s">
        <v>1181</v>
      </c>
      <c r="D1710" s="924" t="s">
        <v>1176</v>
      </c>
      <c r="E1710" s="924" t="s">
        <v>856</v>
      </c>
      <c r="F1710" s="924" t="s">
        <v>1105</v>
      </c>
      <c r="G1710" s="924" t="s">
        <v>981</v>
      </c>
      <c r="H1710" s="924" t="s">
        <v>835</v>
      </c>
      <c r="I1710" s="924" t="s">
        <v>1040</v>
      </c>
      <c r="J1710" s="924" t="s">
        <v>940</v>
      </c>
      <c r="K1710" s="924" t="s">
        <v>1106</v>
      </c>
      <c r="L1710" s="925">
        <v>54.935691714286797</v>
      </c>
      <c r="M1710" s="925">
        <v>4.0162588370051801E-2</v>
      </c>
    </row>
    <row r="1711" spans="1:13" ht="11.25" customHeight="1" x14ac:dyDescent="0.2">
      <c r="A1711" s="924" t="s">
        <v>853</v>
      </c>
      <c r="B1711" s="924" t="s">
        <v>795</v>
      </c>
      <c r="C1711" s="924" t="s">
        <v>1181</v>
      </c>
      <c r="D1711" s="924" t="s">
        <v>1176</v>
      </c>
      <c r="E1711" s="924" t="s">
        <v>856</v>
      </c>
      <c r="F1711" s="924" t="s">
        <v>1107</v>
      </c>
      <c r="G1711" s="924" t="s">
        <v>981</v>
      </c>
      <c r="H1711" s="924" t="s">
        <v>835</v>
      </c>
      <c r="I1711" s="924" t="s">
        <v>1040</v>
      </c>
      <c r="J1711" s="924" t="s">
        <v>940</v>
      </c>
      <c r="K1711" s="924" t="s">
        <v>1034</v>
      </c>
      <c r="L1711" s="925">
        <v>67.193150401115403</v>
      </c>
      <c r="M1711" s="925">
        <v>4.8761019947562503E-2</v>
      </c>
    </row>
    <row r="1712" spans="1:13" ht="11.25" customHeight="1" x14ac:dyDescent="0.2">
      <c r="A1712" s="924" t="s">
        <v>853</v>
      </c>
      <c r="B1712" s="924" t="s">
        <v>795</v>
      </c>
      <c r="C1712" s="924" t="s">
        <v>1181</v>
      </c>
      <c r="D1712" s="924" t="s">
        <v>1176</v>
      </c>
      <c r="E1712" s="924" t="s">
        <v>856</v>
      </c>
      <c r="F1712" s="924" t="s">
        <v>1108</v>
      </c>
      <c r="G1712" s="924" t="s">
        <v>981</v>
      </c>
      <c r="H1712" s="924" t="s">
        <v>835</v>
      </c>
      <c r="I1712" s="924" t="s">
        <v>1040</v>
      </c>
      <c r="J1712" s="924" t="s">
        <v>870</v>
      </c>
      <c r="K1712" s="924" t="s">
        <v>1036</v>
      </c>
      <c r="L1712" s="925">
        <v>0.36657184828072797</v>
      </c>
      <c r="M1712" s="925">
        <v>2.4764755403339201E-4</v>
      </c>
    </row>
    <row r="1713" spans="1:13" ht="11.25" customHeight="1" x14ac:dyDescent="0.2">
      <c r="A1713" s="924" t="s">
        <v>853</v>
      </c>
      <c r="B1713" s="924" t="s">
        <v>795</v>
      </c>
      <c r="C1713" s="924" t="s">
        <v>1181</v>
      </c>
      <c r="D1713" s="924" t="s">
        <v>1176</v>
      </c>
      <c r="E1713" s="924" t="s">
        <v>856</v>
      </c>
      <c r="F1713" s="924" t="s">
        <v>1109</v>
      </c>
      <c r="G1713" s="924" t="s">
        <v>981</v>
      </c>
      <c r="H1713" s="924" t="s">
        <v>835</v>
      </c>
      <c r="I1713" s="924" t="s">
        <v>1040</v>
      </c>
      <c r="J1713" s="924" t="s">
        <v>870</v>
      </c>
      <c r="K1713" s="924" t="s">
        <v>976</v>
      </c>
      <c r="L1713" s="925">
        <v>1.4145016185939301</v>
      </c>
      <c r="M1713" s="925">
        <v>2.8903033344818098E-4</v>
      </c>
    </row>
    <row r="1714" spans="1:13" ht="11.25" customHeight="1" x14ac:dyDescent="0.2">
      <c r="A1714" s="924" t="s">
        <v>853</v>
      </c>
      <c r="B1714" s="924" t="s">
        <v>795</v>
      </c>
      <c r="C1714" s="924" t="s">
        <v>1181</v>
      </c>
      <c r="D1714" s="924" t="s">
        <v>1176</v>
      </c>
      <c r="E1714" s="924" t="s">
        <v>856</v>
      </c>
      <c r="F1714" s="924" t="s">
        <v>1110</v>
      </c>
      <c r="G1714" s="924" t="s">
        <v>981</v>
      </c>
      <c r="H1714" s="924" t="s">
        <v>835</v>
      </c>
      <c r="I1714" s="924" t="s">
        <v>1040</v>
      </c>
      <c r="J1714" s="924" t="s">
        <v>870</v>
      </c>
      <c r="K1714" s="924" t="s">
        <v>1019</v>
      </c>
      <c r="L1714" s="925">
        <v>1.09234917836147E-2</v>
      </c>
      <c r="M1714" s="925">
        <v>9.1416018381806907E-6</v>
      </c>
    </row>
    <row r="1715" spans="1:13" ht="11.25" customHeight="1" x14ac:dyDescent="0.2">
      <c r="A1715" s="924" t="s">
        <v>853</v>
      </c>
      <c r="B1715" s="924" t="s">
        <v>795</v>
      </c>
      <c r="C1715" s="924" t="s">
        <v>1181</v>
      </c>
      <c r="D1715" s="924" t="s">
        <v>1176</v>
      </c>
      <c r="E1715" s="924" t="s">
        <v>856</v>
      </c>
      <c r="F1715" s="924" t="s">
        <v>1111</v>
      </c>
      <c r="G1715" s="924" t="s">
        <v>981</v>
      </c>
      <c r="H1715" s="924" t="s">
        <v>835</v>
      </c>
      <c r="I1715" s="924" t="s">
        <v>1040</v>
      </c>
      <c r="J1715" s="924" t="s">
        <v>870</v>
      </c>
      <c r="K1715" s="924" t="s">
        <v>1016</v>
      </c>
      <c r="L1715" s="925">
        <v>0.97795093292370405</v>
      </c>
      <c r="M1715" s="925">
        <v>8.2107978539625005E-4</v>
      </c>
    </row>
    <row r="1716" spans="1:13" ht="11.25" customHeight="1" x14ac:dyDescent="0.2">
      <c r="A1716" s="924" t="s">
        <v>853</v>
      </c>
      <c r="B1716" s="924" t="s">
        <v>795</v>
      </c>
      <c r="C1716" s="924" t="s">
        <v>1181</v>
      </c>
      <c r="D1716" s="924" t="s">
        <v>1176</v>
      </c>
      <c r="E1716" s="924" t="s">
        <v>856</v>
      </c>
      <c r="F1716" s="924" t="s">
        <v>1112</v>
      </c>
      <c r="G1716" s="924" t="s">
        <v>981</v>
      </c>
      <c r="H1716" s="924" t="s">
        <v>835</v>
      </c>
      <c r="I1716" s="924" t="s">
        <v>1040</v>
      </c>
      <c r="J1716" s="924" t="s">
        <v>870</v>
      </c>
      <c r="K1716" s="924" t="s">
        <v>959</v>
      </c>
      <c r="L1716" s="925">
        <v>0.30129692330956498</v>
      </c>
      <c r="M1716" s="925">
        <v>1.98315981037922E-4</v>
      </c>
    </row>
    <row r="1717" spans="1:13" ht="11.25" customHeight="1" x14ac:dyDescent="0.2">
      <c r="A1717" s="924" t="s">
        <v>853</v>
      </c>
      <c r="B1717" s="924" t="s">
        <v>795</v>
      </c>
      <c r="C1717" s="924" t="s">
        <v>1181</v>
      </c>
      <c r="D1717" s="924" t="s">
        <v>1176</v>
      </c>
      <c r="E1717" s="924" t="s">
        <v>856</v>
      </c>
      <c r="F1717" s="924" t="s">
        <v>1113</v>
      </c>
      <c r="G1717" s="924" t="s">
        <v>981</v>
      </c>
      <c r="H1717" s="924" t="s">
        <v>835</v>
      </c>
      <c r="I1717" s="924" t="s">
        <v>1040</v>
      </c>
      <c r="J1717" s="924" t="s">
        <v>870</v>
      </c>
      <c r="K1717" s="924" t="s">
        <v>961</v>
      </c>
      <c r="L1717" s="925">
        <v>3.2924815192818602</v>
      </c>
      <c r="M1717" s="925">
        <v>2.4900461284005399E-3</v>
      </c>
    </row>
    <row r="1718" spans="1:13" ht="11.25" customHeight="1" x14ac:dyDescent="0.2">
      <c r="A1718" s="924" t="s">
        <v>853</v>
      </c>
      <c r="B1718" s="924" t="s">
        <v>795</v>
      </c>
      <c r="C1718" s="924" t="s">
        <v>1181</v>
      </c>
      <c r="D1718" s="924" t="s">
        <v>1176</v>
      </c>
      <c r="E1718" s="924" t="s">
        <v>856</v>
      </c>
      <c r="F1718" s="924" t="s">
        <v>1114</v>
      </c>
      <c r="G1718" s="924" t="s">
        <v>981</v>
      </c>
      <c r="H1718" s="924" t="s">
        <v>835</v>
      </c>
      <c r="I1718" s="924" t="s">
        <v>1040</v>
      </c>
      <c r="J1718" s="924" t="s">
        <v>870</v>
      </c>
      <c r="K1718" s="924" t="s">
        <v>963</v>
      </c>
      <c r="L1718" s="925">
        <v>7.1804940477013597</v>
      </c>
      <c r="M1718" s="925">
        <v>1.1914655418877399E-2</v>
      </c>
    </row>
    <row r="1719" spans="1:13" ht="11.25" customHeight="1" x14ac:dyDescent="0.2">
      <c r="A1719" s="924" t="s">
        <v>853</v>
      </c>
      <c r="B1719" s="924" t="s">
        <v>795</v>
      </c>
      <c r="C1719" s="924" t="s">
        <v>1181</v>
      </c>
      <c r="D1719" s="924" t="s">
        <v>1176</v>
      </c>
      <c r="E1719" s="924" t="s">
        <v>856</v>
      </c>
      <c r="F1719" s="924" t="s">
        <v>1128</v>
      </c>
      <c r="G1719" s="924" t="s">
        <v>911</v>
      </c>
      <c r="H1719" s="924" t="s">
        <v>665</v>
      </c>
      <c r="I1719" s="924" t="s">
        <v>706</v>
      </c>
      <c r="J1719" s="924" t="s">
        <v>859</v>
      </c>
      <c r="K1719" s="924" t="s">
        <v>913</v>
      </c>
      <c r="L1719" s="925">
        <v>2.6832718402147302</v>
      </c>
      <c r="M1719" s="925">
        <v>2.9586567865180801E-4</v>
      </c>
    </row>
    <row r="1720" spans="1:13" ht="11.25" customHeight="1" x14ac:dyDescent="0.2">
      <c r="A1720" s="924" t="s">
        <v>853</v>
      </c>
      <c r="B1720" s="924" t="s">
        <v>795</v>
      </c>
      <c r="C1720" s="924" t="s">
        <v>1181</v>
      </c>
      <c r="D1720" s="924" t="s">
        <v>1176</v>
      </c>
      <c r="E1720" s="924" t="s">
        <v>856</v>
      </c>
      <c r="F1720" s="924" t="s">
        <v>1116</v>
      </c>
      <c r="G1720" s="924" t="s">
        <v>981</v>
      </c>
      <c r="H1720" s="924" t="s">
        <v>835</v>
      </c>
      <c r="I1720" s="924" t="s">
        <v>1040</v>
      </c>
      <c r="J1720" s="924" t="s">
        <v>940</v>
      </c>
      <c r="K1720" s="924" t="s">
        <v>1032</v>
      </c>
      <c r="L1720" s="925">
        <v>2185.8990821838402</v>
      </c>
      <c r="M1720" s="925">
        <v>1.3749989606440101</v>
      </c>
    </row>
    <row r="1721" spans="1:13" ht="11.25" customHeight="1" x14ac:dyDescent="0.2">
      <c r="A1721" s="924" t="s">
        <v>853</v>
      </c>
      <c r="B1721" s="924" t="s">
        <v>795</v>
      </c>
      <c r="C1721" s="924" t="s">
        <v>1181</v>
      </c>
      <c r="D1721" s="924" t="s">
        <v>1176</v>
      </c>
      <c r="E1721" s="924" t="s">
        <v>856</v>
      </c>
      <c r="F1721" s="924" t="s">
        <v>1067</v>
      </c>
      <c r="G1721" s="924" t="s">
        <v>981</v>
      </c>
      <c r="H1721" s="924" t="s">
        <v>835</v>
      </c>
      <c r="I1721" s="924" t="s">
        <v>1040</v>
      </c>
      <c r="J1721" s="924" t="s">
        <v>859</v>
      </c>
      <c r="K1721" s="924" t="s">
        <v>1011</v>
      </c>
      <c r="L1721" s="925">
        <v>8.91948401927948</v>
      </c>
      <c r="M1721" s="925">
        <v>6.32290036924132E-3</v>
      </c>
    </row>
    <row r="1722" spans="1:13" ht="11.25" customHeight="1" x14ac:dyDescent="0.2">
      <c r="A1722" s="924" t="s">
        <v>853</v>
      </c>
      <c r="B1722" s="924" t="s">
        <v>795</v>
      </c>
      <c r="C1722" s="924" t="s">
        <v>1181</v>
      </c>
      <c r="D1722" s="924" t="s">
        <v>1176</v>
      </c>
      <c r="E1722" s="924" t="s">
        <v>856</v>
      </c>
      <c r="F1722" s="924" t="s">
        <v>1115</v>
      </c>
      <c r="G1722" s="924" t="s">
        <v>981</v>
      </c>
      <c r="H1722" s="924" t="s">
        <v>835</v>
      </c>
      <c r="I1722" s="924" t="s">
        <v>1040</v>
      </c>
      <c r="J1722" s="924" t="s">
        <v>870</v>
      </c>
      <c r="K1722" s="924" t="s">
        <v>965</v>
      </c>
      <c r="L1722" s="925">
        <v>1.5487734442576799</v>
      </c>
      <c r="M1722" s="925">
        <v>1.3003379642668701E-3</v>
      </c>
    </row>
    <row r="1723" spans="1:13" ht="11.25" customHeight="1" x14ac:dyDescent="0.2">
      <c r="A1723" s="924" t="s">
        <v>853</v>
      </c>
      <c r="B1723" s="924" t="s">
        <v>795</v>
      </c>
      <c r="C1723" s="924" t="s">
        <v>1181</v>
      </c>
      <c r="D1723" s="924" t="s">
        <v>1176</v>
      </c>
      <c r="E1723" s="924" t="s">
        <v>856</v>
      </c>
      <c r="F1723" s="924" t="s">
        <v>1119</v>
      </c>
      <c r="G1723" s="924" t="s">
        <v>981</v>
      </c>
      <c r="H1723" s="924" t="s">
        <v>835</v>
      </c>
      <c r="I1723" s="924" t="s">
        <v>1040</v>
      </c>
      <c r="J1723" s="924" t="s">
        <v>875</v>
      </c>
      <c r="K1723" s="924" t="s">
        <v>878</v>
      </c>
      <c r="L1723" s="925">
        <v>167.48878335952799</v>
      </c>
      <c r="M1723" s="925">
        <v>0.111319823432495</v>
      </c>
    </row>
    <row r="1724" spans="1:13" ht="11.25" customHeight="1" x14ac:dyDescent="0.2">
      <c r="A1724" s="924" t="s">
        <v>853</v>
      </c>
      <c r="B1724" s="924" t="s">
        <v>795</v>
      </c>
      <c r="C1724" s="924" t="s">
        <v>1181</v>
      </c>
      <c r="D1724" s="924" t="s">
        <v>1176</v>
      </c>
      <c r="E1724" s="924" t="s">
        <v>856</v>
      </c>
      <c r="F1724" s="924" t="s">
        <v>1120</v>
      </c>
      <c r="G1724" s="924" t="s">
        <v>981</v>
      </c>
      <c r="H1724" s="924" t="s">
        <v>835</v>
      </c>
      <c r="I1724" s="924" t="s">
        <v>1040</v>
      </c>
      <c r="J1724" s="924" t="s">
        <v>875</v>
      </c>
      <c r="K1724" s="924" t="s">
        <v>880</v>
      </c>
      <c r="L1724" s="925">
        <v>88.581384062767</v>
      </c>
      <c r="M1724" s="925">
        <v>5.13478322066021E-2</v>
      </c>
    </row>
    <row r="1725" spans="1:13" ht="11.25" customHeight="1" x14ac:dyDescent="0.2">
      <c r="A1725" s="924" t="s">
        <v>853</v>
      </c>
      <c r="B1725" s="924" t="s">
        <v>795</v>
      </c>
      <c r="C1725" s="924" t="s">
        <v>1181</v>
      </c>
      <c r="D1725" s="924" t="s">
        <v>1176</v>
      </c>
      <c r="E1725" s="924" t="s">
        <v>856</v>
      </c>
      <c r="F1725" s="924" t="s">
        <v>1121</v>
      </c>
      <c r="G1725" s="924" t="s">
        <v>981</v>
      </c>
      <c r="H1725" s="924" t="s">
        <v>835</v>
      </c>
      <c r="I1725" s="924" t="s">
        <v>1040</v>
      </c>
      <c r="J1725" s="924" t="s">
        <v>875</v>
      </c>
      <c r="K1725" s="924" t="s">
        <v>948</v>
      </c>
      <c r="L1725" s="925">
        <v>190.60623788833601</v>
      </c>
      <c r="M1725" s="925">
        <v>0.119046774214894</v>
      </c>
    </row>
    <row r="1726" spans="1:13" ht="11.25" customHeight="1" x14ac:dyDescent="0.2">
      <c r="A1726" s="924" t="s">
        <v>853</v>
      </c>
      <c r="B1726" s="924" t="s">
        <v>795</v>
      </c>
      <c r="C1726" s="924" t="s">
        <v>1181</v>
      </c>
      <c r="D1726" s="924" t="s">
        <v>1176</v>
      </c>
      <c r="E1726" s="924" t="s">
        <v>856</v>
      </c>
      <c r="F1726" s="924" t="s">
        <v>1122</v>
      </c>
      <c r="G1726" s="924" t="s">
        <v>981</v>
      </c>
      <c r="H1726" s="924" t="s">
        <v>835</v>
      </c>
      <c r="I1726" s="924" t="s">
        <v>1040</v>
      </c>
      <c r="J1726" s="924" t="s">
        <v>875</v>
      </c>
      <c r="K1726" s="924" t="s">
        <v>950</v>
      </c>
      <c r="L1726" s="925">
        <v>301.47964286804199</v>
      </c>
      <c r="M1726" s="925">
        <v>0.20876542010094601</v>
      </c>
    </row>
    <row r="1727" spans="1:13" ht="11.25" customHeight="1" x14ac:dyDescent="0.2">
      <c r="A1727" s="924" t="s">
        <v>853</v>
      </c>
      <c r="B1727" s="924" t="s">
        <v>795</v>
      </c>
      <c r="C1727" s="924" t="s">
        <v>1181</v>
      </c>
      <c r="D1727" s="924" t="s">
        <v>1176</v>
      </c>
      <c r="E1727" s="924" t="s">
        <v>856</v>
      </c>
      <c r="F1727" s="924" t="s">
        <v>1123</v>
      </c>
      <c r="G1727" s="924" t="s">
        <v>981</v>
      </c>
      <c r="H1727" s="924" t="s">
        <v>835</v>
      </c>
      <c r="I1727" s="924" t="s">
        <v>1040</v>
      </c>
      <c r="J1727" s="924" t="s">
        <v>875</v>
      </c>
      <c r="K1727" s="924" t="s">
        <v>952</v>
      </c>
      <c r="L1727" s="925">
        <v>14.142516940832101</v>
      </c>
      <c r="M1727" s="925">
        <v>9.8227888442430408E-3</v>
      </c>
    </row>
    <row r="1728" spans="1:13" ht="11.25" customHeight="1" x14ac:dyDescent="0.2">
      <c r="A1728" s="924" t="s">
        <v>853</v>
      </c>
      <c r="B1728" s="924" t="s">
        <v>795</v>
      </c>
      <c r="C1728" s="924" t="s">
        <v>1181</v>
      </c>
      <c r="D1728" s="924" t="s">
        <v>1176</v>
      </c>
      <c r="E1728" s="924" t="s">
        <v>856</v>
      </c>
      <c r="F1728" s="924" t="s">
        <v>1124</v>
      </c>
      <c r="G1728" s="924" t="s">
        <v>981</v>
      </c>
      <c r="H1728" s="924" t="s">
        <v>835</v>
      </c>
      <c r="I1728" s="924" t="s">
        <v>1040</v>
      </c>
      <c r="J1728" s="924" t="s">
        <v>956</v>
      </c>
      <c r="K1728" s="924" t="s">
        <v>1125</v>
      </c>
      <c r="L1728" s="925">
        <v>33.2741647958755</v>
      </c>
      <c r="M1728" s="925">
        <v>2.65889457501771E-2</v>
      </c>
    </row>
    <row r="1729" spans="1:13" ht="11.25" customHeight="1" x14ac:dyDescent="0.2">
      <c r="A1729" s="924" t="s">
        <v>853</v>
      </c>
      <c r="B1729" s="924" t="s">
        <v>795</v>
      </c>
      <c r="C1729" s="924" t="s">
        <v>1181</v>
      </c>
      <c r="D1729" s="924" t="s">
        <v>1176</v>
      </c>
      <c r="E1729" s="924" t="s">
        <v>856</v>
      </c>
      <c r="F1729" s="924" t="s">
        <v>1126</v>
      </c>
      <c r="G1729" s="924" t="s">
        <v>981</v>
      </c>
      <c r="H1729" s="924" t="s">
        <v>835</v>
      </c>
      <c r="I1729" s="924" t="s">
        <v>1040</v>
      </c>
      <c r="J1729" s="924" t="s">
        <v>956</v>
      </c>
      <c r="K1729" s="924" t="s">
        <v>957</v>
      </c>
      <c r="L1729" s="925">
        <v>0.38337864773348002</v>
      </c>
      <c r="M1729" s="925">
        <v>3.0040924411878201E-4</v>
      </c>
    </row>
    <row r="1730" spans="1:13" ht="11.25" customHeight="1" x14ac:dyDescent="0.2">
      <c r="A1730" s="924" t="s">
        <v>853</v>
      </c>
      <c r="B1730" s="924" t="s">
        <v>795</v>
      </c>
      <c r="C1730" s="924" t="s">
        <v>1181</v>
      </c>
      <c r="D1730" s="924" t="s">
        <v>1176</v>
      </c>
      <c r="E1730" s="924" t="s">
        <v>856</v>
      </c>
      <c r="F1730" s="924" t="s">
        <v>1127</v>
      </c>
      <c r="G1730" s="924" t="s">
        <v>911</v>
      </c>
      <c r="H1730" s="924" t="s">
        <v>665</v>
      </c>
      <c r="I1730" s="924" t="s">
        <v>706</v>
      </c>
      <c r="J1730" s="924" t="s">
        <v>884</v>
      </c>
      <c r="K1730" s="924" t="s">
        <v>885</v>
      </c>
      <c r="L1730" s="925">
        <v>7.3753137737512597</v>
      </c>
      <c r="M1730" s="925">
        <v>3.2048308439698299E-3</v>
      </c>
    </row>
    <row r="1731" spans="1:13" ht="11.25" customHeight="1" x14ac:dyDescent="0.2">
      <c r="A1731" s="924" t="s">
        <v>853</v>
      </c>
      <c r="B1731" s="924" t="s">
        <v>795</v>
      </c>
      <c r="C1731" s="924" t="s">
        <v>1181</v>
      </c>
      <c r="D1731" s="924" t="s">
        <v>1176</v>
      </c>
      <c r="E1731" s="924" t="s">
        <v>856</v>
      </c>
      <c r="F1731" s="924" t="s">
        <v>1118</v>
      </c>
      <c r="G1731" s="924" t="s">
        <v>911</v>
      </c>
      <c r="H1731" s="924" t="s">
        <v>665</v>
      </c>
      <c r="I1731" s="924" t="s">
        <v>706</v>
      </c>
      <c r="J1731" s="924" t="s">
        <v>859</v>
      </c>
      <c r="K1731" s="924" t="s">
        <v>893</v>
      </c>
      <c r="L1731" s="925">
        <v>4.5499948933720598</v>
      </c>
      <c r="M1731" s="925">
        <v>2.2013477678228799E-4</v>
      </c>
    </row>
    <row r="1732" spans="1:13" ht="11.25" customHeight="1" x14ac:dyDescent="0.2">
      <c r="A1732" s="924" t="s">
        <v>853</v>
      </c>
      <c r="B1732" s="924" t="s">
        <v>795</v>
      </c>
      <c r="C1732" s="924" t="s">
        <v>1181</v>
      </c>
      <c r="D1732" s="924" t="s">
        <v>1176</v>
      </c>
      <c r="E1732" s="924" t="s">
        <v>856</v>
      </c>
      <c r="F1732" s="924" t="s">
        <v>1129</v>
      </c>
      <c r="G1732" s="924" t="s">
        <v>911</v>
      </c>
      <c r="H1732" s="924" t="s">
        <v>665</v>
      </c>
      <c r="I1732" s="924" t="s">
        <v>706</v>
      </c>
      <c r="J1732" s="924" t="s">
        <v>859</v>
      </c>
      <c r="K1732" s="924" t="s">
        <v>897</v>
      </c>
      <c r="L1732" s="925">
        <v>0.74102322198450599</v>
      </c>
      <c r="M1732" s="925">
        <v>2.6933619062674601E-4</v>
      </c>
    </row>
    <row r="1733" spans="1:13" ht="11.25" customHeight="1" x14ac:dyDescent="0.2">
      <c r="A1733" s="924" t="s">
        <v>853</v>
      </c>
      <c r="B1733" s="924" t="s">
        <v>795</v>
      </c>
      <c r="C1733" s="924" t="s">
        <v>1181</v>
      </c>
      <c r="D1733" s="924" t="s">
        <v>1176</v>
      </c>
      <c r="E1733" s="924" t="s">
        <v>856</v>
      </c>
      <c r="F1733" s="924" t="s">
        <v>1130</v>
      </c>
      <c r="G1733" s="924" t="s">
        <v>981</v>
      </c>
      <c r="H1733" s="924" t="s">
        <v>835</v>
      </c>
      <c r="I1733" s="924" t="s">
        <v>1040</v>
      </c>
      <c r="J1733" s="924" t="s">
        <v>870</v>
      </c>
      <c r="K1733" s="924" t="s">
        <v>871</v>
      </c>
      <c r="L1733" s="925">
        <v>2.2317885067313901</v>
      </c>
      <c r="M1733" s="925">
        <v>1.7749713088051099E-3</v>
      </c>
    </row>
    <row r="1734" spans="1:13" ht="11.25" customHeight="1" x14ac:dyDescent="0.2">
      <c r="A1734" s="924" t="s">
        <v>853</v>
      </c>
      <c r="B1734" s="924" t="s">
        <v>795</v>
      </c>
      <c r="C1734" s="924" t="s">
        <v>1181</v>
      </c>
      <c r="D1734" s="924" t="s">
        <v>1176</v>
      </c>
      <c r="E1734" s="924" t="s">
        <v>856</v>
      </c>
      <c r="F1734" s="924" t="s">
        <v>1131</v>
      </c>
      <c r="G1734" s="924" t="s">
        <v>981</v>
      </c>
      <c r="H1734" s="924" t="s">
        <v>835</v>
      </c>
      <c r="I1734" s="924" t="s">
        <v>1040</v>
      </c>
      <c r="J1734" s="924" t="s">
        <v>863</v>
      </c>
      <c r="K1734" s="924" t="s">
        <v>868</v>
      </c>
      <c r="L1734" s="925">
        <v>8.5627739131450706</v>
      </c>
      <c r="M1734" s="925">
        <v>6.0506285808514804E-4</v>
      </c>
    </row>
    <row r="1735" spans="1:13" ht="11.25" customHeight="1" x14ac:dyDescent="0.2">
      <c r="A1735" s="924" t="s">
        <v>853</v>
      </c>
      <c r="B1735" s="924" t="s">
        <v>795</v>
      </c>
      <c r="C1735" s="924" t="s">
        <v>1181</v>
      </c>
      <c r="D1735" s="924" t="s">
        <v>1176</v>
      </c>
      <c r="E1735" s="924" t="s">
        <v>856</v>
      </c>
      <c r="F1735" s="924" t="s">
        <v>1041</v>
      </c>
      <c r="G1735" s="924" t="s">
        <v>981</v>
      </c>
      <c r="H1735" s="924" t="s">
        <v>835</v>
      </c>
      <c r="I1735" s="924" t="s">
        <v>1040</v>
      </c>
      <c r="J1735" s="924" t="s">
        <v>859</v>
      </c>
      <c r="K1735" s="924" t="s">
        <v>891</v>
      </c>
      <c r="L1735" s="925">
        <v>6.16703914105892</v>
      </c>
      <c r="M1735" s="925">
        <v>3.0869182155583998E-3</v>
      </c>
    </row>
    <row r="1736" spans="1:13" ht="11.25" customHeight="1" x14ac:dyDescent="0.2">
      <c r="A1736" s="924" t="s">
        <v>853</v>
      </c>
      <c r="B1736" s="924" t="s">
        <v>795</v>
      </c>
      <c r="C1736" s="924" t="s">
        <v>1181</v>
      </c>
      <c r="D1736" s="924" t="s">
        <v>1176</v>
      </c>
      <c r="E1736" s="924" t="s">
        <v>856</v>
      </c>
      <c r="F1736" s="924" t="s">
        <v>1117</v>
      </c>
      <c r="G1736" s="924" t="s">
        <v>981</v>
      </c>
      <c r="H1736" s="924" t="s">
        <v>835</v>
      </c>
      <c r="I1736" s="924" t="s">
        <v>1040</v>
      </c>
      <c r="J1736" s="924" t="s">
        <v>870</v>
      </c>
      <c r="K1736" s="924" t="s">
        <v>873</v>
      </c>
      <c r="L1736" s="925">
        <v>2.46083600819111</v>
      </c>
      <c r="M1736" s="925">
        <v>2.4648013237538202E-4</v>
      </c>
    </row>
    <row r="1737" spans="1:13" ht="11.25" customHeight="1" x14ac:dyDescent="0.2">
      <c r="A1737" s="924" t="s">
        <v>853</v>
      </c>
      <c r="B1737" s="924" t="s">
        <v>795</v>
      </c>
      <c r="C1737" s="924" t="s">
        <v>1181</v>
      </c>
      <c r="D1737" s="924" t="s">
        <v>1176</v>
      </c>
      <c r="E1737" s="924" t="s">
        <v>856</v>
      </c>
      <c r="F1737" s="924" t="s">
        <v>1132</v>
      </c>
      <c r="G1737" s="924" t="s">
        <v>981</v>
      </c>
      <c r="H1737" s="924" t="s">
        <v>835</v>
      </c>
      <c r="I1737" s="924" t="s">
        <v>1040</v>
      </c>
      <c r="J1737" s="924" t="s">
        <v>940</v>
      </c>
      <c r="K1737" s="924" t="s">
        <v>941</v>
      </c>
      <c r="L1737" s="925">
        <v>112.995413601398</v>
      </c>
      <c r="M1737" s="925">
        <v>4.9234461926971597E-2</v>
      </c>
    </row>
    <row r="1738" spans="1:13" ht="11.25" customHeight="1" x14ac:dyDescent="0.2">
      <c r="A1738" s="924" t="s">
        <v>853</v>
      </c>
      <c r="B1738" s="924" t="s">
        <v>795</v>
      </c>
      <c r="C1738" s="924" t="s">
        <v>1181</v>
      </c>
      <c r="D1738" s="924" t="s">
        <v>1176</v>
      </c>
      <c r="E1738" s="924" t="s">
        <v>856</v>
      </c>
      <c r="F1738" s="924" t="s">
        <v>1134</v>
      </c>
      <c r="G1738" s="924" t="s">
        <v>981</v>
      </c>
      <c r="H1738" s="924" t="s">
        <v>835</v>
      </c>
      <c r="I1738" s="924" t="s">
        <v>1040</v>
      </c>
      <c r="J1738" s="924" t="s">
        <v>863</v>
      </c>
      <c r="K1738" s="924" t="s">
        <v>933</v>
      </c>
      <c r="L1738" s="925">
        <v>96.724667429923997</v>
      </c>
      <c r="M1738" s="925">
        <v>6.8382841127459003E-3</v>
      </c>
    </row>
    <row r="1739" spans="1:13" ht="11.25" customHeight="1" x14ac:dyDescent="0.2">
      <c r="A1739" s="924" t="s">
        <v>853</v>
      </c>
      <c r="B1739" s="924" t="s">
        <v>795</v>
      </c>
      <c r="C1739" s="924" t="s">
        <v>1181</v>
      </c>
      <c r="D1739" s="924" t="s">
        <v>1176</v>
      </c>
      <c r="E1739" s="924" t="s">
        <v>856</v>
      </c>
      <c r="F1739" s="924" t="s">
        <v>1135</v>
      </c>
      <c r="G1739" s="924" t="s">
        <v>981</v>
      </c>
      <c r="H1739" s="924" t="s">
        <v>835</v>
      </c>
      <c r="I1739" s="924" t="s">
        <v>1040</v>
      </c>
      <c r="J1739" s="924" t="s">
        <v>863</v>
      </c>
      <c r="K1739" s="924" t="s">
        <v>935</v>
      </c>
      <c r="L1739" s="925">
        <v>20.823420912027402</v>
      </c>
      <c r="M1739" s="925">
        <v>7.5013092864537603E-3</v>
      </c>
    </row>
    <row r="1740" spans="1:13" ht="11.25" customHeight="1" x14ac:dyDescent="0.2">
      <c r="A1740" s="924" t="s">
        <v>853</v>
      </c>
      <c r="B1740" s="924" t="s">
        <v>795</v>
      </c>
      <c r="C1740" s="924" t="s">
        <v>1181</v>
      </c>
      <c r="D1740" s="924" t="s">
        <v>1176</v>
      </c>
      <c r="E1740" s="924" t="s">
        <v>856</v>
      </c>
      <c r="F1740" s="924" t="s">
        <v>1136</v>
      </c>
      <c r="G1740" s="924" t="s">
        <v>981</v>
      </c>
      <c r="H1740" s="924" t="s">
        <v>835</v>
      </c>
      <c r="I1740" s="924" t="s">
        <v>1040</v>
      </c>
      <c r="J1740" s="924" t="s">
        <v>863</v>
      </c>
      <c r="K1740" s="924" t="s">
        <v>864</v>
      </c>
      <c r="L1740" s="925">
        <v>39.128737509250598</v>
      </c>
      <c r="M1740" s="925">
        <v>2.9236207134090399E-2</v>
      </c>
    </row>
    <row r="1741" spans="1:13" ht="11.25" customHeight="1" x14ac:dyDescent="0.2">
      <c r="A1741" s="924" t="s">
        <v>853</v>
      </c>
      <c r="B1741" s="924" t="s">
        <v>795</v>
      </c>
      <c r="C1741" s="924" t="s">
        <v>1181</v>
      </c>
      <c r="D1741" s="924" t="s">
        <v>1176</v>
      </c>
      <c r="E1741" s="924" t="s">
        <v>856</v>
      </c>
      <c r="F1741" s="924" t="s">
        <v>1137</v>
      </c>
      <c r="G1741" s="924" t="s">
        <v>981</v>
      </c>
      <c r="H1741" s="924" t="s">
        <v>835</v>
      </c>
      <c r="I1741" s="924" t="s">
        <v>1040</v>
      </c>
      <c r="J1741" s="924" t="s">
        <v>863</v>
      </c>
      <c r="K1741" s="924" t="s">
        <v>866</v>
      </c>
      <c r="L1741" s="925">
        <v>4.2315700203180304</v>
      </c>
      <c r="M1741" s="925">
        <v>2.83784964267397E-3</v>
      </c>
    </row>
    <row r="1742" spans="1:13" ht="11.25" customHeight="1" x14ac:dyDescent="0.2">
      <c r="A1742" s="924" t="s">
        <v>853</v>
      </c>
      <c r="B1742" s="924" t="s">
        <v>795</v>
      </c>
      <c r="C1742" s="924" t="s">
        <v>1181</v>
      </c>
      <c r="D1742" s="924" t="s">
        <v>1176</v>
      </c>
      <c r="E1742" s="924" t="s">
        <v>856</v>
      </c>
      <c r="F1742" s="924" t="s">
        <v>1138</v>
      </c>
      <c r="G1742" s="924" t="s">
        <v>981</v>
      </c>
      <c r="H1742" s="924" t="s">
        <v>835</v>
      </c>
      <c r="I1742" s="924" t="s">
        <v>1040</v>
      </c>
      <c r="J1742" s="924" t="s">
        <v>863</v>
      </c>
      <c r="K1742" s="924" t="s">
        <v>931</v>
      </c>
      <c r="L1742" s="925">
        <v>25.206412702798801</v>
      </c>
      <c r="M1742" s="925">
        <v>9.7161542407775397E-3</v>
      </c>
    </row>
    <row r="1743" spans="1:13" ht="11.25" customHeight="1" x14ac:dyDescent="0.2">
      <c r="A1743" s="924" t="s">
        <v>853</v>
      </c>
      <c r="B1743" s="924" t="s">
        <v>795</v>
      </c>
      <c r="C1743" s="924" t="s">
        <v>1181</v>
      </c>
      <c r="D1743" s="924" t="s">
        <v>1176</v>
      </c>
      <c r="E1743" s="924" t="s">
        <v>856</v>
      </c>
      <c r="F1743" s="924" t="s">
        <v>1139</v>
      </c>
      <c r="G1743" s="924" t="s">
        <v>981</v>
      </c>
      <c r="H1743" s="924" t="s">
        <v>835</v>
      </c>
      <c r="I1743" s="924" t="s">
        <v>1040</v>
      </c>
      <c r="J1743" s="924" t="s">
        <v>940</v>
      </c>
      <c r="K1743" s="924" t="s">
        <v>1140</v>
      </c>
      <c r="L1743" s="925">
        <v>570.07118606567406</v>
      </c>
      <c r="M1743" s="925">
        <v>0.41661531540248098</v>
      </c>
    </row>
    <row r="1744" spans="1:13" ht="11.25" customHeight="1" x14ac:dyDescent="0.2">
      <c r="A1744" s="924" t="s">
        <v>853</v>
      </c>
      <c r="B1744" s="924" t="s">
        <v>795</v>
      </c>
      <c r="C1744" s="924" t="s">
        <v>1181</v>
      </c>
      <c r="D1744" s="924" t="s">
        <v>1176</v>
      </c>
      <c r="E1744" s="924" t="s">
        <v>856</v>
      </c>
      <c r="F1744" s="924" t="s">
        <v>1141</v>
      </c>
      <c r="G1744" s="924" t="s">
        <v>981</v>
      </c>
      <c r="H1744" s="924" t="s">
        <v>835</v>
      </c>
      <c r="I1744" s="924" t="s">
        <v>1040</v>
      </c>
      <c r="J1744" s="924" t="s">
        <v>940</v>
      </c>
      <c r="K1744" s="924" t="s">
        <v>1142</v>
      </c>
      <c r="L1744" s="925">
        <v>392.17789125442499</v>
      </c>
      <c r="M1744" s="925">
        <v>0.28876156324986402</v>
      </c>
    </row>
    <row r="1745" spans="1:13" ht="11.25" customHeight="1" x14ac:dyDescent="0.2">
      <c r="A1745" s="924" t="s">
        <v>853</v>
      </c>
      <c r="B1745" s="924" t="s">
        <v>795</v>
      </c>
      <c r="C1745" s="924" t="s">
        <v>1181</v>
      </c>
      <c r="D1745" s="924" t="s">
        <v>1176</v>
      </c>
      <c r="E1745" s="924" t="s">
        <v>856</v>
      </c>
      <c r="F1745" s="924" t="s">
        <v>1143</v>
      </c>
      <c r="G1745" s="924" t="s">
        <v>981</v>
      </c>
      <c r="H1745" s="924" t="s">
        <v>835</v>
      </c>
      <c r="I1745" s="924" t="s">
        <v>1040</v>
      </c>
      <c r="J1745" s="924" t="s">
        <v>940</v>
      </c>
      <c r="K1745" s="924" t="s">
        <v>1084</v>
      </c>
      <c r="L1745" s="925">
        <v>49.055719017982497</v>
      </c>
      <c r="M1745" s="925">
        <v>3.5793337709037601E-2</v>
      </c>
    </row>
    <row r="1746" spans="1:13" ht="11.25" customHeight="1" x14ac:dyDescent="0.2">
      <c r="A1746" s="924" t="s">
        <v>853</v>
      </c>
      <c r="B1746" s="924" t="s">
        <v>795</v>
      </c>
      <c r="C1746" s="924" t="s">
        <v>1181</v>
      </c>
      <c r="D1746" s="924" t="s">
        <v>1176</v>
      </c>
      <c r="E1746" s="924" t="s">
        <v>856</v>
      </c>
      <c r="F1746" s="924" t="s">
        <v>1144</v>
      </c>
      <c r="G1746" s="924" t="s">
        <v>981</v>
      </c>
      <c r="H1746" s="924" t="s">
        <v>835</v>
      </c>
      <c r="I1746" s="924" t="s">
        <v>1040</v>
      </c>
      <c r="J1746" s="924" t="s">
        <v>940</v>
      </c>
      <c r="K1746" s="924" t="s">
        <v>1070</v>
      </c>
      <c r="L1746" s="925">
        <v>233.17264533042899</v>
      </c>
      <c r="M1746" s="925">
        <v>0.162069337209687</v>
      </c>
    </row>
    <row r="1747" spans="1:13" ht="11.25" customHeight="1" x14ac:dyDescent="0.2">
      <c r="A1747" s="924" t="s">
        <v>853</v>
      </c>
      <c r="B1747" s="924" t="s">
        <v>795</v>
      </c>
      <c r="C1747" s="924" t="s">
        <v>1181</v>
      </c>
      <c r="D1747" s="924" t="s">
        <v>1176</v>
      </c>
      <c r="E1747" s="924" t="s">
        <v>856</v>
      </c>
      <c r="F1747" s="924" t="s">
        <v>1146</v>
      </c>
      <c r="G1747" s="924" t="s">
        <v>981</v>
      </c>
      <c r="H1747" s="924" t="s">
        <v>835</v>
      </c>
      <c r="I1747" s="924" t="s">
        <v>1040</v>
      </c>
      <c r="J1747" s="924" t="s">
        <v>940</v>
      </c>
      <c r="K1747" s="924" t="s">
        <v>1147</v>
      </c>
      <c r="L1747" s="925">
        <v>1545.30259895325</v>
      </c>
      <c r="M1747" s="925">
        <v>0.99209447763860203</v>
      </c>
    </row>
    <row r="1748" spans="1:13" ht="11.25" customHeight="1" x14ac:dyDescent="0.2">
      <c r="A1748" s="924" t="s">
        <v>853</v>
      </c>
      <c r="B1748" s="924" t="s">
        <v>795</v>
      </c>
      <c r="C1748" s="924" t="s">
        <v>1181</v>
      </c>
      <c r="D1748" s="924" t="s">
        <v>1176</v>
      </c>
      <c r="E1748" s="924" t="s">
        <v>856</v>
      </c>
      <c r="F1748" s="924" t="s">
        <v>1148</v>
      </c>
      <c r="G1748" s="924" t="s">
        <v>981</v>
      </c>
      <c r="H1748" s="924" t="s">
        <v>835</v>
      </c>
      <c r="I1748" s="924" t="s">
        <v>1040</v>
      </c>
      <c r="J1748" s="924" t="s">
        <v>863</v>
      </c>
      <c r="K1748" s="924" t="s">
        <v>915</v>
      </c>
      <c r="L1748" s="925">
        <v>1.7762435581535101</v>
      </c>
      <c r="M1748" s="925">
        <v>6.6282400950967702E-4</v>
      </c>
    </row>
    <row r="1749" spans="1:13" ht="11.25" customHeight="1" x14ac:dyDescent="0.2">
      <c r="A1749" s="924" t="s">
        <v>853</v>
      </c>
      <c r="B1749" s="924" t="s">
        <v>795</v>
      </c>
      <c r="C1749" s="924" t="s">
        <v>1181</v>
      </c>
      <c r="D1749" s="924" t="s">
        <v>1176</v>
      </c>
      <c r="E1749" s="924" t="s">
        <v>856</v>
      </c>
      <c r="F1749" s="924" t="s">
        <v>1145</v>
      </c>
      <c r="G1749" s="924" t="s">
        <v>981</v>
      </c>
      <c r="H1749" s="924" t="s">
        <v>835</v>
      </c>
      <c r="I1749" s="924" t="s">
        <v>1040</v>
      </c>
      <c r="J1749" s="924" t="s">
        <v>940</v>
      </c>
      <c r="K1749" s="924" t="s">
        <v>1029</v>
      </c>
      <c r="L1749" s="925">
        <v>677.17159509658802</v>
      </c>
      <c r="M1749" s="925">
        <v>0.44426640868187001</v>
      </c>
    </row>
    <row r="1750" spans="1:13" ht="11.25" customHeight="1" x14ac:dyDescent="0.2">
      <c r="A1750" s="924" t="s">
        <v>853</v>
      </c>
      <c r="B1750" s="924" t="s">
        <v>795</v>
      </c>
      <c r="C1750" s="924" t="s">
        <v>1181</v>
      </c>
      <c r="D1750" s="924" t="s">
        <v>1176</v>
      </c>
      <c r="E1750" s="924" t="s">
        <v>856</v>
      </c>
      <c r="F1750" s="924" t="s">
        <v>1149</v>
      </c>
      <c r="G1750" s="924" t="s">
        <v>981</v>
      </c>
      <c r="H1750" s="924" t="s">
        <v>835</v>
      </c>
      <c r="I1750" s="924" t="s">
        <v>1040</v>
      </c>
      <c r="J1750" s="924" t="s">
        <v>940</v>
      </c>
      <c r="K1750" s="924" t="s">
        <v>1091</v>
      </c>
      <c r="L1750" s="925">
        <v>3.1612884514033799</v>
      </c>
      <c r="M1750" s="925">
        <v>2.2024700920155699E-3</v>
      </c>
    </row>
    <row r="1751" spans="1:13" ht="11.25" customHeight="1" x14ac:dyDescent="0.2">
      <c r="A1751" s="924" t="s">
        <v>853</v>
      </c>
      <c r="B1751" s="924" t="s">
        <v>795</v>
      </c>
      <c r="C1751" s="924" t="s">
        <v>1181</v>
      </c>
      <c r="D1751" s="924" t="s">
        <v>1176</v>
      </c>
      <c r="E1751" s="924" t="s">
        <v>856</v>
      </c>
      <c r="F1751" s="924" t="s">
        <v>1150</v>
      </c>
      <c r="G1751" s="924" t="s">
        <v>981</v>
      </c>
      <c r="H1751" s="924" t="s">
        <v>835</v>
      </c>
      <c r="I1751" s="924" t="s">
        <v>1040</v>
      </c>
      <c r="J1751" s="924" t="s">
        <v>940</v>
      </c>
      <c r="K1751" s="924" t="s">
        <v>1151</v>
      </c>
      <c r="L1751" s="925">
        <v>26.860479086637501</v>
      </c>
      <c r="M1751" s="925">
        <v>1.8870679741667101E-2</v>
      </c>
    </row>
    <row r="1752" spans="1:13" ht="11.25" customHeight="1" x14ac:dyDescent="0.2">
      <c r="A1752" s="924" t="s">
        <v>853</v>
      </c>
      <c r="B1752" s="924" t="s">
        <v>795</v>
      </c>
      <c r="C1752" s="924" t="s">
        <v>1181</v>
      </c>
      <c r="D1752" s="924" t="s">
        <v>1176</v>
      </c>
      <c r="E1752" s="924" t="s">
        <v>856</v>
      </c>
      <c r="F1752" s="924" t="s">
        <v>1161</v>
      </c>
      <c r="G1752" s="924" t="s">
        <v>981</v>
      </c>
      <c r="H1752" s="924" t="s">
        <v>835</v>
      </c>
      <c r="I1752" s="924" t="s">
        <v>1040</v>
      </c>
      <c r="J1752" s="924" t="s">
        <v>940</v>
      </c>
      <c r="K1752" s="924" t="s">
        <v>1027</v>
      </c>
      <c r="L1752" s="925">
        <v>56.285005927085898</v>
      </c>
      <c r="M1752" s="925">
        <v>3.8824263662320398E-2</v>
      </c>
    </row>
    <row r="1753" spans="1:13" ht="11.25" customHeight="1" x14ac:dyDescent="0.2">
      <c r="A1753" s="924" t="s">
        <v>853</v>
      </c>
      <c r="B1753" s="924" t="s">
        <v>795</v>
      </c>
      <c r="C1753" s="924" t="s">
        <v>1181</v>
      </c>
      <c r="D1753" s="924" t="s">
        <v>1176</v>
      </c>
      <c r="E1753" s="924" t="s">
        <v>856</v>
      </c>
      <c r="F1753" s="924" t="s">
        <v>1152</v>
      </c>
      <c r="G1753" s="924" t="s">
        <v>981</v>
      </c>
      <c r="H1753" s="924" t="s">
        <v>835</v>
      </c>
      <c r="I1753" s="924" t="s">
        <v>1040</v>
      </c>
      <c r="J1753" s="924" t="s">
        <v>940</v>
      </c>
      <c r="K1753" s="924" t="s">
        <v>1153</v>
      </c>
      <c r="L1753" s="925">
        <v>49.828530251979799</v>
      </c>
      <c r="M1753" s="925">
        <v>3.2697421367629403E-2</v>
      </c>
    </row>
    <row r="1754" spans="1:13" ht="11.25" customHeight="1" x14ac:dyDescent="0.2">
      <c r="A1754" s="924" t="s">
        <v>853</v>
      </c>
      <c r="B1754" s="924" t="s">
        <v>795</v>
      </c>
      <c r="C1754" s="924" t="s">
        <v>1181</v>
      </c>
      <c r="D1754" s="924" t="s">
        <v>1176</v>
      </c>
      <c r="E1754" s="924" t="s">
        <v>856</v>
      </c>
      <c r="F1754" s="924" t="s">
        <v>1156</v>
      </c>
      <c r="G1754" s="924" t="s">
        <v>981</v>
      </c>
      <c r="H1754" s="924" t="s">
        <v>835</v>
      </c>
      <c r="I1754" s="924" t="s">
        <v>1040</v>
      </c>
      <c r="J1754" s="924" t="s">
        <v>940</v>
      </c>
      <c r="K1754" s="924" t="s">
        <v>1025</v>
      </c>
      <c r="L1754" s="925">
        <v>151.81828880310101</v>
      </c>
      <c r="M1754" s="925">
        <v>0.28412306401878601</v>
      </c>
    </row>
    <row r="1755" spans="1:13" ht="11.25" customHeight="1" x14ac:dyDescent="0.2">
      <c r="A1755" s="924" t="s">
        <v>853</v>
      </c>
      <c r="B1755" s="924" t="s">
        <v>795</v>
      </c>
      <c r="C1755" s="924" t="s">
        <v>1181</v>
      </c>
      <c r="D1755" s="924" t="s">
        <v>1176</v>
      </c>
      <c r="E1755" s="924" t="s">
        <v>856</v>
      </c>
      <c r="F1755" s="924" t="s">
        <v>1157</v>
      </c>
      <c r="G1755" s="924" t="s">
        <v>981</v>
      </c>
      <c r="H1755" s="924" t="s">
        <v>835</v>
      </c>
      <c r="I1755" s="924" t="s">
        <v>1040</v>
      </c>
      <c r="J1755" s="924" t="s">
        <v>940</v>
      </c>
      <c r="K1755" s="924" t="s">
        <v>1098</v>
      </c>
      <c r="L1755" s="925">
        <v>67.877272605895996</v>
      </c>
      <c r="M1755" s="925">
        <v>0.127200820250437</v>
      </c>
    </row>
    <row r="1756" spans="1:13" ht="11.25" customHeight="1" x14ac:dyDescent="0.2">
      <c r="A1756" s="924" t="s">
        <v>853</v>
      </c>
      <c r="B1756" s="924" t="s">
        <v>795</v>
      </c>
      <c r="C1756" s="924" t="s">
        <v>1181</v>
      </c>
      <c r="D1756" s="924" t="s">
        <v>1176</v>
      </c>
      <c r="E1756" s="924" t="s">
        <v>856</v>
      </c>
      <c r="F1756" s="924" t="s">
        <v>1158</v>
      </c>
      <c r="G1756" s="924" t="s">
        <v>981</v>
      </c>
      <c r="H1756" s="924" t="s">
        <v>835</v>
      </c>
      <c r="I1756" s="924" t="s">
        <v>1040</v>
      </c>
      <c r="J1756" s="924" t="s">
        <v>940</v>
      </c>
      <c r="K1756" s="924" t="s">
        <v>1023</v>
      </c>
      <c r="L1756" s="925">
        <v>372.201646089554</v>
      </c>
      <c r="M1756" s="925">
        <v>0.213479502820519</v>
      </c>
    </row>
    <row r="1757" spans="1:13" ht="11.25" customHeight="1" x14ac:dyDescent="0.2">
      <c r="A1757" s="924" t="s">
        <v>853</v>
      </c>
      <c r="B1757" s="924" t="s">
        <v>795</v>
      </c>
      <c r="C1757" s="924" t="s">
        <v>1181</v>
      </c>
      <c r="D1757" s="924" t="s">
        <v>1176</v>
      </c>
      <c r="E1757" s="924" t="s">
        <v>856</v>
      </c>
      <c r="F1757" s="924" t="s">
        <v>1159</v>
      </c>
      <c r="G1757" s="924" t="s">
        <v>981</v>
      </c>
      <c r="H1757" s="924" t="s">
        <v>835</v>
      </c>
      <c r="I1757" s="924" t="s">
        <v>1040</v>
      </c>
      <c r="J1757" s="924" t="s">
        <v>940</v>
      </c>
      <c r="K1757" s="924" t="s">
        <v>1095</v>
      </c>
      <c r="L1757" s="925">
        <v>6.0308123528957402</v>
      </c>
      <c r="M1757" s="925">
        <v>4.2023891655844602E-3</v>
      </c>
    </row>
    <row r="1758" spans="1:13" ht="11.25" customHeight="1" x14ac:dyDescent="0.2">
      <c r="A1758" s="924" t="s">
        <v>853</v>
      </c>
      <c r="B1758" s="924" t="s">
        <v>795</v>
      </c>
      <c r="C1758" s="924" t="s">
        <v>1181</v>
      </c>
      <c r="D1758" s="924" t="s">
        <v>1176</v>
      </c>
      <c r="E1758" s="924" t="s">
        <v>856</v>
      </c>
      <c r="F1758" s="924" t="s">
        <v>1160</v>
      </c>
      <c r="G1758" s="924" t="s">
        <v>981</v>
      </c>
      <c r="H1758" s="924" t="s">
        <v>835</v>
      </c>
      <c r="I1758" s="924" t="s">
        <v>1040</v>
      </c>
      <c r="J1758" s="924" t="s">
        <v>940</v>
      </c>
      <c r="K1758" s="924" t="s">
        <v>1093</v>
      </c>
      <c r="L1758" s="925">
        <v>9.0840689316391892</v>
      </c>
      <c r="M1758" s="925">
        <v>6.3955462683225103E-3</v>
      </c>
    </row>
    <row r="1759" spans="1:13" ht="11.25" customHeight="1" x14ac:dyDescent="0.2">
      <c r="A1759" s="924" t="s">
        <v>853</v>
      </c>
      <c r="B1759" s="924" t="s">
        <v>795</v>
      </c>
      <c r="C1759" s="924" t="s">
        <v>1181</v>
      </c>
      <c r="D1759" s="924" t="s">
        <v>1176</v>
      </c>
      <c r="E1759" s="924" t="s">
        <v>856</v>
      </c>
      <c r="F1759" s="924" t="s">
        <v>1154</v>
      </c>
      <c r="G1759" s="924" t="s">
        <v>981</v>
      </c>
      <c r="H1759" s="924" t="s">
        <v>835</v>
      </c>
      <c r="I1759" s="924" t="s">
        <v>1040</v>
      </c>
      <c r="J1759" s="924" t="s">
        <v>940</v>
      </c>
      <c r="K1759" s="924" t="s">
        <v>1155</v>
      </c>
      <c r="L1759" s="925">
        <v>115.27659547328901</v>
      </c>
      <c r="M1759" s="925">
        <v>7.4136836958345498E-2</v>
      </c>
    </row>
    <row r="1760" spans="1:13" ht="11.25" customHeight="1" x14ac:dyDescent="0.2">
      <c r="A1760" s="924" t="s">
        <v>853</v>
      </c>
      <c r="B1760" s="924" t="s">
        <v>796</v>
      </c>
      <c r="C1760" s="924" t="s">
        <v>1182</v>
      </c>
      <c r="D1760" s="924" t="s">
        <v>855</v>
      </c>
      <c r="E1760" s="924" t="s">
        <v>856</v>
      </c>
      <c r="F1760" s="924" t="s">
        <v>867</v>
      </c>
      <c r="G1760" s="924" t="s">
        <v>862</v>
      </c>
      <c r="H1760" s="924" t="s">
        <v>665</v>
      </c>
      <c r="I1760" s="924" t="s">
        <v>787</v>
      </c>
      <c r="J1760" s="924" t="s">
        <v>863</v>
      </c>
      <c r="K1760" s="924" t="s">
        <v>868</v>
      </c>
      <c r="L1760" s="925">
        <v>1.0559332286939001</v>
      </c>
      <c r="M1760" s="925">
        <v>4.3202641536481696E-3</v>
      </c>
    </row>
    <row r="1761" spans="1:13" ht="11.25" customHeight="1" x14ac:dyDescent="0.2">
      <c r="A1761" s="924" t="s">
        <v>853</v>
      </c>
      <c r="B1761" s="924" t="s">
        <v>796</v>
      </c>
      <c r="C1761" s="924" t="s">
        <v>1182</v>
      </c>
      <c r="D1761" s="924" t="s">
        <v>855</v>
      </c>
      <c r="E1761" s="924" t="s">
        <v>856</v>
      </c>
      <c r="F1761" s="924" t="s">
        <v>912</v>
      </c>
      <c r="G1761" s="924" t="s">
        <v>858</v>
      </c>
      <c r="H1761" s="924" t="s">
        <v>836</v>
      </c>
      <c r="I1761" s="924" t="s">
        <v>837</v>
      </c>
      <c r="J1761" s="924" t="s">
        <v>859</v>
      </c>
      <c r="K1761" s="924" t="s">
        <v>913</v>
      </c>
      <c r="L1761" s="925">
        <v>45.6558880209923</v>
      </c>
      <c r="M1761" s="925">
        <v>5.0278276314941195E-4</v>
      </c>
    </row>
    <row r="1762" spans="1:13" ht="11.25" customHeight="1" x14ac:dyDescent="0.2">
      <c r="A1762" s="924" t="s">
        <v>853</v>
      </c>
      <c r="B1762" s="924" t="s">
        <v>796</v>
      </c>
      <c r="C1762" s="924" t="s">
        <v>1182</v>
      </c>
      <c r="D1762" s="924" t="s">
        <v>855</v>
      </c>
      <c r="E1762" s="924" t="s">
        <v>856</v>
      </c>
      <c r="F1762" s="924" t="s">
        <v>883</v>
      </c>
      <c r="G1762" s="924" t="s">
        <v>858</v>
      </c>
      <c r="H1762" s="924" t="s">
        <v>836</v>
      </c>
      <c r="I1762" s="924" t="s">
        <v>837</v>
      </c>
      <c r="J1762" s="924" t="s">
        <v>884</v>
      </c>
      <c r="K1762" s="924" t="s">
        <v>885</v>
      </c>
      <c r="L1762" s="925">
        <v>39.387131989002199</v>
      </c>
      <c r="M1762" s="925">
        <v>1.51070806154507E-3</v>
      </c>
    </row>
    <row r="1763" spans="1:13" ht="11.25" customHeight="1" x14ac:dyDescent="0.2">
      <c r="A1763" s="924" t="s">
        <v>853</v>
      </c>
      <c r="B1763" s="924" t="s">
        <v>796</v>
      </c>
      <c r="C1763" s="924" t="s">
        <v>1182</v>
      </c>
      <c r="D1763" s="924" t="s">
        <v>855</v>
      </c>
      <c r="E1763" s="924" t="s">
        <v>856</v>
      </c>
      <c r="F1763" s="924" t="s">
        <v>881</v>
      </c>
      <c r="G1763" s="924" t="s">
        <v>862</v>
      </c>
      <c r="H1763" s="924" t="s">
        <v>665</v>
      </c>
      <c r="I1763" s="924" t="s">
        <v>787</v>
      </c>
      <c r="J1763" s="924" t="s">
        <v>875</v>
      </c>
      <c r="K1763" s="924" t="s">
        <v>882</v>
      </c>
      <c r="L1763" s="925">
        <v>31.9545285999775</v>
      </c>
      <c r="M1763" s="925">
        <v>0.152698464458808</v>
      </c>
    </row>
    <row r="1764" spans="1:13" ht="11.25" customHeight="1" x14ac:dyDescent="0.2">
      <c r="A1764" s="924" t="s">
        <v>853</v>
      </c>
      <c r="B1764" s="924" t="s">
        <v>796</v>
      </c>
      <c r="C1764" s="924" t="s">
        <v>1182</v>
      </c>
      <c r="D1764" s="924" t="s">
        <v>855</v>
      </c>
      <c r="E1764" s="924" t="s">
        <v>856</v>
      </c>
      <c r="F1764" s="924" t="s">
        <v>879</v>
      </c>
      <c r="G1764" s="924" t="s">
        <v>862</v>
      </c>
      <c r="H1764" s="924" t="s">
        <v>665</v>
      </c>
      <c r="I1764" s="924" t="s">
        <v>787</v>
      </c>
      <c r="J1764" s="924" t="s">
        <v>875</v>
      </c>
      <c r="K1764" s="924" t="s">
        <v>880</v>
      </c>
      <c r="L1764" s="925">
        <v>0.89783726818859599</v>
      </c>
      <c r="M1764" s="925">
        <v>5.0510598925939103E-3</v>
      </c>
    </row>
    <row r="1765" spans="1:13" ht="11.25" customHeight="1" x14ac:dyDescent="0.2">
      <c r="A1765" s="924" t="s">
        <v>853</v>
      </c>
      <c r="B1765" s="924" t="s">
        <v>796</v>
      </c>
      <c r="C1765" s="924" t="s">
        <v>1182</v>
      </c>
      <c r="D1765" s="924" t="s">
        <v>855</v>
      </c>
      <c r="E1765" s="924" t="s">
        <v>856</v>
      </c>
      <c r="F1765" s="924" t="s">
        <v>877</v>
      </c>
      <c r="G1765" s="924" t="s">
        <v>862</v>
      </c>
      <c r="H1765" s="924" t="s">
        <v>665</v>
      </c>
      <c r="I1765" s="924" t="s">
        <v>787</v>
      </c>
      <c r="J1765" s="924" t="s">
        <v>875</v>
      </c>
      <c r="K1765" s="924" t="s">
        <v>878</v>
      </c>
      <c r="L1765" s="925">
        <v>0.60872069466859102</v>
      </c>
      <c r="M1765" s="925">
        <v>9.9724914834951103E-3</v>
      </c>
    </row>
    <row r="1766" spans="1:13" ht="11.25" customHeight="1" x14ac:dyDescent="0.2">
      <c r="A1766" s="924" t="s">
        <v>853</v>
      </c>
      <c r="B1766" s="924" t="s">
        <v>796</v>
      </c>
      <c r="C1766" s="924" t="s">
        <v>1182</v>
      </c>
      <c r="D1766" s="924" t="s">
        <v>855</v>
      </c>
      <c r="E1766" s="924" t="s">
        <v>856</v>
      </c>
      <c r="F1766" s="924" t="s">
        <v>874</v>
      </c>
      <c r="G1766" s="924" t="s">
        <v>862</v>
      </c>
      <c r="H1766" s="924" t="s">
        <v>665</v>
      </c>
      <c r="I1766" s="924" t="s">
        <v>787</v>
      </c>
      <c r="J1766" s="924" t="s">
        <v>875</v>
      </c>
      <c r="K1766" s="924" t="s">
        <v>876</v>
      </c>
      <c r="L1766" s="925">
        <v>12.725666433572799</v>
      </c>
      <c r="M1766" s="925">
        <v>0.38709738641045999</v>
      </c>
    </row>
    <row r="1767" spans="1:13" ht="11.25" customHeight="1" x14ac:dyDescent="0.2">
      <c r="A1767" s="924" t="s">
        <v>853</v>
      </c>
      <c r="B1767" s="924" t="s">
        <v>796</v>
      </c>
      <c r="C1767" s="924" t="s">
        <v>1182</v>
      </c>
      <c r="D1767" s="924" t="s">
        <v>855</v>
      </c>
      <c r="E1767" s="924" t="s">
        <v>856</v>
      </c>
      <c r="F1767" s="924" t="s">
        <v>865</v>
      </c>
      <c r="G1767" s="924" t="s">
        <v>862</v>
      </c>
      <c r="H1767" s="924" t="s">
        <v>665</v>
      </c>
      <c r="I1767" s="924" t="s">
        <v>787</v>
      </c>
      <c r="J1767" s="924" t="s">
        <v>863</v>
      </c>
      <c r="K1767" s="924" t="s">
        <v>866</v>
      </c>
      <c r="L1767" s="925">
        <v>0.23537671938538601</v>
      </c>
      <c r="M1767" s="925">
        <v>1.13559392872276E-3</v>
      </c>
    </row>
    <row r="1768" spans="1:13" ht="11.25" customHeight="1" x14ac:dyDescent="0.2">
      <c r="A1768" s="924" t="s">
        <v>853</v>
      </c>
      <c r="B1768" s="924" t="s">
        <v>796</v>
      </c>
      <c r="C1768" s="924" t="s">
        <v>1182</v>
      </c>
      <c r="D1768" s="924" t="s">
        <v>855</v>
      </c>
      <c r="E1768" s="924" t="s">
        <v>856</v>
      </c>
      <c r="F1768" s="924" t="s">
        <v>869</v>
      </c>
      <c r="G1768" s="924" t="s">
        <v>862</v>
      </c>
      <c r="H1768" s="924" t="s">
        <v>665</v>
      </c>
      <c r="I1768" s="924" t="s">
        <v>787</v>
      </c>
      <c r="J1768" s="924" t="s">
        <v>870</v>
      </c>
      <c r="K1768" s="924" t="s">
        <v>871</v>
      </c>
      <c r="L1768" s="925">
        <v>9.8479032894829302E-2</v>
      </c>
      <c r="M1768" s="925">
        <v>5.65048454518546E-3</v>
      </c>
    </row>
    <row r="1769" spans="1:13" ht="11.25" customHeight="1" x14ac:dyDescent="0.2">
      <c r="A1769" s="924" t="s">
        <v>853</v>
      </c>
      <c r="B1769" s="924" t="s">
        <v>796</v>
      </c>
      <c r="C1769" s="924" t="s">
        <v>1182</v>
      </c>
      <c r="D1769" s="924" t="s">
        <v>855</v>
      </c>
      <c r="E1769" s="924" t="s">
        <v>856</v>
      </c>
      <c r="F1769" s="924" t="s">
        <v>888</v>
      </c>
      <c r="G1769" s="924" t="s">
        <v>858</v>
      </c>
      <c r="H1769" s="924" t="s">
        <v>836</v>
      </c>
      <c r="I1769" s="924" t="s">
        <v>837</v>
      </c>
      <c r="J1769" s="924" t="s">
        <v>859</v>
      </c>
      <c r="K1769" s="924" t="s">
        <v>889</v>
      </c>
      <c r="L1769" s="925">
        <v>7.4339332000818104E-2</v>
      </c>
      <c r="M1769" s="925">
        <v>8.2024593430068993E-6</v>
      </c>
    </row>
    <row r="1770" spans="1:13" ht="11.25" customHeight="1" x14ac:dyDescent="0.2">
      <c r="A1770" s="924" t="s">
        <v>853</v>
      </c>
      <c r="B1770" s="924" t="s">
        <v>796</v>
      </c>
      <c r="C1770" s="924" t="s">
        <v>1182</v>
      </c>
      <c r="D1770" s="924" t="s">
        <v>855</v>
      </c>
      <c r="E1770" s="924" t="s">
        <v>856</v>
      </c>
      <c r="F1770" s="924" t="s">
        <v>872</v>
      </c>
      <c r="G1770" s="924" t="s">
        <v>862</v>
      </c>
      <c r="H1770" s="924" t="s">
        <v>665</v>
      </c>
      <c r="I1770" s="924" t="s">
        <v>787</v>
      </c>
      <c r="J1770" s="924" t="s">
        <v>870</v>
      </c>
      <c r="K1770" s="924" t="s">
        <v>873</v>
      </c>
      <c r="L1770" s="925">
        <v>10.832675907760899</v>
      </c>
      <c r="M1770" s="925">
        <v>4.3601684476016103E-2</v>
      </c>
    </row>
    <row r="1771" spans="1:13" ht="11.25" customHeight="1" x14ac:dyDescent="0.2">
      <c r="A1771" s="924" t="s">
        <v>853</v>
      </c>
      <c r="B1771" s="924" t="s">
        <v>796</v>
      </c>
      <c r="C1771" s="924" t="s">
        <v>1182</v>
      </c>
      <c r="D1771" s="924" t="s">
        <v>855</v>
      </c>
      <c r="E1771" s="924" t="s">
        <v>856</v>
      </c>
      <c r="F1771" s="924" t="s">
        <v>857</v>
      </c>
      <c r="G1771" s="924" t="s">
        <v>858</v>
      </c>
      <c r="H1771" s="924" t="s">
        <v>836</v>
      </c>
      <c r="I1771" s="924" t="s">
        <v>837</v>
      </c>
      <c r="J1771" s="924" t="s">
        <v>859</v>
      </c>
      <c r="K1771" s="924" t="s">
        <v>860</v>
      </c>
      <c r="L1771" s="925">
        <v>1.2247250359505399</v>
      </c>
      <c r="M1771" s="925">
        <v>1.12713138440634E-4</v>
      </c>
    </row>
    <row r="1772" spans="1:13" ht="11.25" customHeight="1" x14ac:dyDescent="0.2">
      <c r="A1772" s="924" t="s">
        <v>853</v>
      </c>
      <c r="B1772" s="924" t="s">
        <v>796</v>
      </c>
      <c r="C1772" s="924" t="s">
        <v>1182</v>
      </c>
      <c r="D1772" s="924" t="s">
        <v>855</v>
      </c>
      <c r="E1772" s="924" t="s">
        <v>856</v>
      </c>
      <c r="F1772" s="924" t="s">
        <v>892</v>
      </c>
      <c r="G1772" s="924" t="s">
        <v>858</v>
      </c>
      <c r="H1772" s="924" t="s">
        <v>836</v>
      </c>
      <c r="I1772" s="924" t="s">
        <v>837</v>
      </c>
      <c r="J1772" s="924" t="s">
        <v>859</v>
      </c>
      <c r="K1772" s="924" t="s">
        <v>893</v>
      </c>
      <c r="L1772" s="925">
        <v>114.29074859619099</v>
      </c>
      <c r="M1772" s="925">
        <v>1.44575647239265E-3</v>
      </c>
    </row>
    <row r="1773" spans="1:13" ht="11.25" customHeight="1" x14ac:dyDescent="0.2">
      <c r="A1773" s="924" t="s">
        <v>853</v>
      </c>
      <c r="B1773" s="924" t="s">
        <v>796</v>
      </c>
      <c r="C1773" s="924" t="s">
        <v>1182</v>
      </c>
      <c r="D1773" s="924" t="s">
        <v>855</v>
      </c>
      <c r="E1773" s="924" t="s">
        <v>856</v>
      </c>
      <c r="F1773" s="924" t="s">
        <v>894</v>
      </c>
      <c r="G1773" s="924" t="s">
        <v>858</v>
      </c>
      <c r="H1773" s="924" t="s">
        <v>836</v>
      </c>
      <c r="I1773" s="924" t="s">
        <v>837</v>
      </c>
      <c r="J1773" s="924" t="s">
        <v>859</v>
      </c>
      <c r="K1773" s="924" t="s">
        <v>895</v>
      </c>
      <c r="L1773" s="925">
        <v>124.351929187775</v>
      </c>
      <c r="M1773" s="925">
        <v>8.2369987309505199E-4</v>
      </c>
    </row>
    <row r="1774" spans="1:13" ht="11.25" customHeight="1" x14ac:dyDescent="0.2">
      <c r="A1774" s="924" t="s">
        <v>853</v>
      </c>
      <c r="B1774" s="924" t="s">
        <v>796</v>
      </c>
      <c r="C1774" s="924" t="s">
        <v>1182</v>
      </c>
      <c r="D1774" s="924" t="s">
        <v>855</v>
      </c>
      <c r="E1774" s="924" t="s">
        <v>856</v>
      </c>
      <c r="F1774" s="924" t="s">
        <v>896</v>
      </c>
      <c r="G1774" s="924" t="s">
        <v>858</v>
      </c>
      <c r="H1774" s="924" t="s">
        <v>836</v>
      </c>
      <c r="I1774" s="924" t="s">
        <v>837</v>
      </c>
      <c r="J1774" s="924" t="s">
        <v>859</v>
      </c>
      <c r="K1774" s="924" t="s">
        <v>897</v>
      </c>
      <c r="L1774" s="925">
        <v>6.8571638613939303</v>
      </c>
      <c r="M1774" s="925">
        <v>1.11043656652043E-4</v>
      </c>
    </row>
    <row r="1775" spans="1:13" ht="11.25" customHeight="1" x14ac:dyDescent="0.2">
      <c r="A1775" s="924" t="s">
        <v>853</v>
      </c>
      <c r="B1775" s="924" t="s">
        <v>796</v>
      </c>
      <c r="C1775" s="924" t="s">
        <v>1182</v>
      </c>
      <c r="D1775" s="924" t="s">
        <v>855</v>
      </c>
      <c r="E1775" s="924" t="s">
        <v>856</v>
      </c>
      <c r="F1775" s="924" t="s">
        <v>898</v>
      </c>
      <c r="G1775" s="924" t="s">
        <v>858</v>
      </c>
      <c r="H1775" s="924" t="s">
        <v>836</v>
      </c>
      <c r="I1775" s="924" t="s">
        <v>837</v>
      </c>
      <c r="J1775" s="924" t="s">
        <v>859</v>
      </c>
      <c r="K1775" s="924" t="s">
        <v>899</v>
      </c>
      <c r="L1775" s="925">
        <v>4.2025444060563997</v>
      </c>
      <c r="M1775" s="925">
        <v>7.3099175426527606E-5</v>
      </c>
    </row>
    <row r="1776" spans="1:13" ht="11.25" customHeight="1" x14ac:dyDescent="0.2">
      <c r="A1776" s="924" t="s">
        <v>853</v>
      </c>
      <c r="B1776" s="924" t="s">
        <v>796</v>
      </c>
      <c r="C1776" s="924" t="s">
        <v>1182</v>
      </c>
      <c r="D1776" s="924" t="s">
        <v>855</v>
      </c>
      <c r="E1776" s="924" t="s">
        <v>856</v>
      </c>
      <c r="F1776" s="924" t="s">
        <v>900</v>
      </c>
      <c r="G1776" s="924" t="s">
        <v>858</v>
      </c>
      <c r="H1776" s="924" t="s">
        <v>836</v>
      </c>
      <c r="I1776" s="924" t="s">
        <v>837</v>
      </c>
      <c r="J1776" s="924" t="s">
        <v>859</v>
      </c>
      <c r="K1776" s="924" t="s">
        <v>901</v>
      </c>
      <c r="L1776" s="925">
        <v>12.6224677711725</v>
      </c>
      <c r="M1776" s="925">
        <v>5.5011767596369098E-4</v>
      </c>
    </row>
    <row r="1777" spans="1:13" ht="11.25" customHeight="1" x14ac:dyDescent="0.2">
      <c r="A1777" s="924" t="s">
        <v>853</v>
      </c>
      <c r="B1777" s="924" t="s">
        <v>796</v>
      </c>
      <c r="C1777" s="924" t="s">
        <v>1182</v>
      </c>
      <c r="D1777" s="924" t="s">
        <v>855</v>
      </c>
      <c r="E1777" s="924" t="s">
        <v>856</v>
      </c>
      <c r="F1777" s="924" t="s">
        <v>902</v>
      </c>
      <c r="G1777" s="924" t="s">
        <v>858</v>
      </c>
      <c r="H1777" s="924" t="s">
        <v>836</v>
      </c>
      <c r="I1777" s="924" t="s">
        <v>837</v>
      </c>
      <c r="J1777" s="924" t="s">
        <v>859</v>
      </c>
      <c r="K1777" s="924" t="s">
        <v>903</v>
      </c>
      <c r="L1777" s="925">
        <v>54.202620983123801</v>
      </c>
      <c r="M1777" s="925">
        <v>9.4224823023125704E-4</v>
      </c>
    </row>
    <row r="1778" spans="1:13" ht="11.25" customHeight="1" x14ac:dyDescent="0.2">
      <c r="A1778" s="924" t="s">
        <v>853</v>
      </c>
      <c r="B1778" s="924" t="s">
        <v>796</v>
      </c>
      <c r="C1778" s="924" t="s">
        <v>1182</v>
      </c>
      <c r="D1778" s="924" t="s">
        <v>855</v>
      </c>
      <c r="E1778" s="924" t="s">
        <v>856</v>
      </c>
      <c r="F1778" s="924" t="s">
        <v>904</v>
      </c>
      <c r="G1778" s="924" t="s">
        <v>858</v>
      </c>
      <c r="H1778" s="924" t="s">
        <v>836</v>
      </c>
      <c r="I1778" s="924" t="s">
        <v>837</v>
      </c>
      <c r="J1778" s="924" t="s">
        <v>859</v>
      </c>
      <c r="K1778" s="924" t="s">
        <v>905</v>
      </c>
      <c r="L1778" s="925">
        <v>46.930745601654102</v>
      </c>
      <c r="M1778" s="925">
        <v>8.8907662730264303E-4</v>
      </c>
    </row>
    <row r="1779" spans="1:13" ht="11.25" customHeight="1" x14ac:dyDescent="0.2">
      <c r="A1779" s="924" t="s">
        <v>853</v>
      </c>
      <c r="B1779" s="924" t="s">
        <v>796</v>
      </c>
      <c r="C1779" s="924" t="s">
        <v>1182</v>
      </c>
      <c r="D1779" s="924" t="s">
        <v>855</v>
      </c>
      <c r="E1779" s="924" t="s">
        <v>856</v>
      </c>
      <c r="F1779" s="924" t="s">
        <v>906</v>
      </c>
      <c r="G1779" s="924" t="s">
        <v>858</v>
      </c>
      <c r="H1779" s="924" t="s">
        <v>836</v>
      </c>
      <c r="I1779" s="924" t="s">
        <v>837</v>
      </c>
      <c r="J1779" s="924" t="s">
        <v>859</v>
      </c>
      <c r="K1779" s="924" t="s">
        <v>907</v>
      </c>
      <c r="L1779" s="925">
        <v>463.15886068344099</v>
      </c>
      <c r="M1779" s="925">
        <v>3.0834656142815198E-3</v>
      </c>
    </row>
    <row r="1780" spans="1:13" ht="11.25" customHeight="1" x14ac:dyDescent="0.2">
      <c r="A1780" s="924" t="s">
        <v>853</v>
      </c>
      <c r="B1780" s="924" t="s">
        <v>796</v>
      </c>
      <c r="C1780" s="924" t="s">
        <v>1182</v>
      </c>
      <c r="D1780" s="924" t="s">
        <v>855</v>
      </c>
      <c r="E1780" s="924" t="s">
        <v>856</v>
      </c>
      <c r="F1780" s="924" t="s">
        <v>908</v>
      </c>
      <c r="G1780" s="924" t="s">
        <v>858</v>
      </c>
      <c r="H1780" s="924" t="s">
        <v>836</v>
      </c>
      <c r="I1780" s="924" t="s">
        <v>837</v>
      </c>
      <c r="J1780" s="924" t="s">
        <v>859</v>
      </c>
      <c r="K1780" s="924" t="s">
        <v>909</v>
      </c>
      <c r="L1780" s="925">
        <v>3.85329780355096</v>
      </c>
      <c r="M1780" s="925">
        <v>8.0650975113449901E-5</v>
      </c>
    </row>
    <row r="1781" spans="1:13" ht="11.25" customHeight="1" x14ac:dyDescent="0.2">
      <c r="A1781" s="924" t="s">
        <v>853</v>
      </c>
      <c r="B1781" s="924" t="s">
        <v>796</v>
      </c>
      <c r="C1781" s="924" t="s">
        <v>1182</v>
      </c>
      <c r="D1781" s="924" t="s">
        <v>855</v>
      </c>
      <c r="E1781" s="924" t="s">
        <v>856</v>
      </c>
      <c r="F1781" s="924" t="s">
        <v>1037</v>
      </c>
      <c r="G1781" s="924" t="s">
        <v>858</v>
      </c>
      <c r="H1781" s="924" t="s">
        <v>836</v>
      </c>
      <c r="I1781" s="924" t="s">
        <v>837</v>
      </c>
      <c r="J1781" s="924" t="s">
        <v>859</v>
      </c>
      <c r="K1781" s="924" t="s">
        <v>918</v>
      </c>
      <c r="L1781" s="925">
        <v>105.891213178635</v>
      </c>
      <c r="M1781" s="925">
        <v>1.02479787939558E-3</v>
      </c>
    </row>
    <row r="1782" spans="1:13" ht="11.25" customHeight="1" x14ac:dyDescent="0.2">
      <c r="A1782" s="924" t="s">
        <v>853</v>
      </c>
      <c r="B1782" s="924" t="s">
        <v>796</v>
      </c>
      <c r="C1782" s="924" t="s">
        <v>1182</v>
      </c>
      <c r="D1782" s="924" t="s">
        <v>855</v>
      </c>
      <c r="E1782" s="924" t="s">
        <v>856</v>
      </c>
      <c r="F1782" s="924" t="s">
        <v>972</v>
      </c>
      <c r="G1782" s="924" t="s">
        <v>858</v>
      </c>
      <c r="H1782" s="924" t="s">
        <v>836</v>
      </c>
      <c r="I1782" s="924" t="s">
        <v>837</v>
      </c>
      <c r="J1782" s="924" t="s">
        <v>859</v>
      </c>
      <c r="K1782" s="924" t="s">
        <v>973</v>
      </c>
      <c r="L1782" s="925">
        <v>1.8320600725710401</v>
      </c>
      <c r="M1782" s="925">
        <v>4.6670557040329199E-5</v>
      </c>
    </row>
    <row r="1783" spans="1:13" ht="11.25" customHeight="1" x14ac:dyDescent="0.2">
      <c r="A1783" s="924" t="s">
        <v>853</v>
      </c>
      <c r="B1783" s="924" t="s">
        <v>796</v>
      </c>
      <c r="C1783" s="924" t="s">
        <v>1182</v>
      </c>
      <c r="D1783" s="924" t="s">
        <v>855</v>
      </c>
      <c r="E1783" s="924" t="s">
        <v>856</v>
      </c>
      <c r="F1783" s="924" t="s">
        <v>939</v>
      </c>
      <c r="G1783" s="924" t="s">
        <v>911</v>
      </c>
      <c r="H1783" s="924" t="s">
        <v>665</v>
      </c>
      <c r="I1783" s="924" t="s">
        <v>706</v>
      </c>
      <c r="J1783" s="924" t="s">
        <v>940</v>
      </c>
      <c r="K1783" s="924" t="s">
        <v>941</v>
      </c>
      <c r="L1783" s="925">
        <v>52.494504764676101</v>
      </c>
      <c r="M1783" s="925">
        <v>2.5255619138988502E-3</v>
      </c>
    </row>
    <row r="1784" spans="1:13" ht="11.25" customHeight="1" x14ac:dyDescent="0.2">
      <c r="A1784" s="924" t="s">
        <v>853</v>
      </c>
      <c r="B1784" s="924" t="s">
        <v>796</v>
      </c>
      <c r="C1784" s="924" t="s">
        <v>1182</v>
      </c>
      <c r="D1784" s="924" t="s">
        <v>855</v>
      </c>
      <c r="E1784" s="924" t="s">
        <v>856</v>
      </c>
      <c r="F1784" s="924" t="s">
        <v>919</v>
      </c>
      <c r="G1784" s="924" t="s">
        <v>911</v>
      </c>
      <c r="H1784" s="924" t="s">
        <v>665</v>
      </c>
      <c r="I1784" s="924" t="s">
        <v>706</v>
      </c>
      <c r="J1784" s="924" t="s">
        <v>859</v>
      </c>
      <c r="K1784" s="924" t="s">
        <v>920</v>
      </c>
      <c r="L1784" s="925">
        <v>6.9887328136246707E-2</v>
      </c>
      <c r="M1784" s="925">
        <v>1.9579860481400099E-5</v>
      </c>
    </row>
    <row r="1785" spans="1:13" ht="11.25" customHeight="1" x14ac:dyDescent="0.2">
      <c r="A1785" s="924" t="s">
        <v>853</v>
      </c>
      <c r="B1785" s="924" t="s">
        <v>796</v>
      </c>
      <c r="C1785" s="924" t="s">
        <v>1182</v>
      </c>
      <c r="D1785" s="924" t="s">
        <v>855</v>
      </c>
      <c r="E1785" s="924" t="s">
        <v>856</v>
      </c>
      <c r="F1785" s="924" t="s">
        <v>1035</v>
      </c>
      <c r="G1785" s="924" t="s">
        <v>858</v>
      </c>
      <c r="H1785" s="924" t="s">
        <v>836</v>
      </c>
      <c r="I1785" s="924" t="s">
        <v>837</v>
      </c>
      <c r="J1785" s="924" t="s">
        <v>870</v>
      </c>
      <c r="K1785" s="924" t="s">
        <v>1036</v>
      </c>
      <c r="L1785" s="925">
        <v>0.106530906516127</v>
      </c>
      <c r="M1785" s="925">
        <v>1.30470198827469E-5</v>
      </c>
    </row>
    <row r="1786" spans="1:13" ht="11.25" customHeight="1" x14ac:dyDescent="0.2">
      <c r="A1786" s="924" t="s">
        <v>853</v>
      </c>
      <c r="B1786" s="924" t="s">
        <v>796</v>
      </c>
      <c r="C1786" s="924" t="s">
        <v>1182</v>
      </c>
      <c r="D1786" s="924" t="s">
        <v>855</v>
      </c>
      <c r="E1786" s="924" t="s">
        <v>856</v>
      </c>
      <c r="F1786" s="924" t="s">
        <v>921</v>
      </c>
      <c r="G1786" s="924" t="s">
        <v>911</v>
      </c>
      <c r="H1786" s="924" t="s">
        <v>665</v>
      </c>
      <c r="I1786" s="924" t="s">
        <v>706</v>
      </c>
      <c r="J1786" s="924" t="s">
        <v>859</v>
      </c>
      <c r="K1786" s="924" t="s">
        <v>922</v>
      </c>
      <c r="L1786" s="925">
        <v>0.74214214738458395</v>
      </c>
      <c r="M1786" s="925">
        <v>9.9124304938413802E-5</v>
      </c>
    </row>
    <row r="1787" spans="1:13" ht="11.25" customHeight="1" x14ac:dyDescent="0.2">
      <c r="A1787" s="924" t="s">
        <v>853</v>
      </c>
      <c r="B1787" s="924" t="s">
        <v>796</v>
      </c>
      <c r="C1787" s="924" t="s">
        <v>1182</v>
      </c>
      <c r="D1787" s="924" t="s">
        <v>855</v>
      </c>
      <c r="E1787" s="924" t="s">
        <v>856</v>
      </c>
      <c r="F1787" s="924" t="s">
        <v>925</v>
      </c>
      <c r="G1787" s="924" t="s">
        <v>911</v>
      </c>
      <c r="H1787" s="924" t="s">
        <v>665</v>
      </c>
      <c r="I1787" s="924" t="s">
        <v>706</v>
      </c>
      <c r="J1787" s="924" t="s">
        <v>859</v>
      </c>
      <c r="K1787" s="924" t="s">
        <v>926</v>
      </c>
      <c r="L1787" s="925">
        <v>0.19260118552483599</v>
      </c>
      <c r="M1787" s="925">
        <v>8.8792144481431007E-6</v>
      </c>
    </row>
    <row r="1788" spans="1:13" ht="11.25" customHeight="1" x14ac:dyDescent="0.2">
      <c r="A1788" s="924" t="s">
        <v>853</v>
      </c>
      <c r="B1788" s="924" t="s">
        <v>796</v>
      </c>
      <c r="C1788" s="924" t="s">
        <v>1182</v>
      </c>
      <c r="D1788" s="924" t="s">
        <v>855</v>
      </c>
      <c r="E1788" s="924" t="s">
        <v>856</v>
      </c>
      <c r="F1788" s="924" t="s">
        <v>927</v>
      </c>
      <c r="G1788" s="924" t="s">
        <v>911</v>
      </c>
      <c r="H1788" s="924" t="s">
        <v>665</v>
      </c>
      <c r="I1788" s="924" t="s">
        <v>706</v>
      </c>
      <c r="J1788" s="924" t="s">
        <v>859</v>
      </c>
      <c r="K1788" s="924" t="s">
        <v>928</v>
      </c>
      <c r="L1788" s="925">
        <v>1.56599185056984</v>
      </c>
      <c r="M1788" s="925">
        <v>4.6443959251973898E-4</v>
      </c>
    </row>
    <row r="1789" spans="1:13" ht="11.25" customHeight="1" x14ac:dyDescent="0.2">
      <c r="A1789" s="924" t="s">
        <v>853</v>
      </c>
      <c r="B1789" s="924" t="s">
        <v>796</v>
      </c>
      <c r="C1789" s="924" t="s">
        <v>1182</v>
      </c>
      <c r="D1789" s="924" t="s">
        <v>855</v>
      </c>
      <c r="E1789" s="924" t="s">
        <v>856</v>
      </c>
      <c r="F1789" s="924" t="s">
        <v>929</v>
      </c>
      <c r="G1789" s="924" t="s">
        <v>911</v>
      </c>
      <c r="H1789" s="924" t="s">
        <v>665</v>
      </c>
      <c r="I1789" s="924" t="s">
        <v>706</v>
      </c>
      <c r="J1789" s="924" t="s">
        <v>859</v>
      </c>
      <c r="K1789" s="924" t="s">
        <v>891</v>
      </c>
      <c r="L1789" s="925">
        <v>0.64471993688494</v>
      </c>
      <c r="M1789" s="925">
        <v>2.5831919072061299E-4</v>
      </c>
    </row>
    <row r="1790" spans="1:13" ht="11.25" customHeight="1" x14ac:dyDescent="0.2">
      <c r="A1790" s="924" t="s">
        <v>853</v>
      </c>
      <c r="B1790" s="924" t="s">
        <v>796</v>
      </c>
      <c r="C1790" s="924" t="s">
        <v>1182</v>
      </c>
      <c r="D1790" s="924" t="s">
        <v>855</v>
      </c>
      <c r="E1790" s="924" t="s">
        <v>856</v>
      </c>
      <c r="F1790" s="924" t="s">
        <v>930</v>
      </c>
      <c r="G1790" s="924" t="s">
        <v>911</v>
      </c>
      <c r="H1790" s="924" t="s">
        <v>665</v>
      </c>
      <c r="I1790" s="924" t="s">
        <v>706</v>
      </c>
      <c r="J1790" s="924" t="s">
        <v>863</v>
      </c>
      <c r="K1790" s="924" t="s">
        <v>931</v>
      </c>
      <c r="L1790" s="925">
        <v>29.814217358827602</v>
      </c>
      <c r="M1790" s="925">
        <v>6.07591634889104E-3</v>
      </c>
    </row>
    <row r="1791" spans="1:13" ht="11.25" customHeight="1" x14ac:dyDescent="0.2">
      <c r="A1791" s="924" t="s">
        <v>853</v>
      </c>
      <c r="B1791" s="924" t="s">
        <v>796</v>
      </c>
      <c r="C1791" s="924" t="s">
        <v>1182</v>
      </c>
      <c r="D1791" s="924" t="s">
        <v>855</v>
      </c>
      <c r="E1791" s="924" t="s">
        <v>856</v>
      </c>
      <c r="F1791" s="924" t="s">
        <v>932</v>
      </c>
      <c r="G1791" s="924" t="s">
        <v>911</v>
      </c>
      <c r="H1791" s="924" t="s">
        <v>665</v>
      </c>
      <c r="I1791" s="924" t="s">
        <v>706</v>
      </c>
      <c r="J1791" s="924" t="s">
        <v>863</v>
      </c>
      <c r="K1791" s="924" t="s">
        <v>933</v>
      </c>
      <c r="L1791" s="925">
        <v>2773.6688194274898</v>
      </c>
      <c r="M1791" s="925">
        <v>0.134047897299752</v>
      </c>
    </row>
    <row r="1792" spans="1:13" ht="11.25" customHeight="1" x14ac:dyDescent="0.2">
      <c r="A1792" s="924" t="s">
        <v>853</v>
      </c>
      <c r="B1792" s="924" t="s">
        <v>796</v>
      </c>
      <c r="C1792" s="924" t="s">
        <v>1182</v>
      </c>
      <c r="D1792" s="924" t="s">
        <v>855</v>
      </c>
      <c r="E1792" s="924" t="s">
        <v>856</v>
      </c>
      <c r="F1792" s="924" t="s">
        <v>954</v>
      </c>
      <c r="G1792" s="924" t="s">
        <v>911</v>
      </c>
      <c r="H1792" s="924" t="s">
        <v>665</v>
      </c>
      <c r="I1792" s="924" t="s">
        <v>706</v>
      </c>
      <c r="J1792" s="924" t="s">
        <v>863</v>
      </c>
      <c r="K1792" s="924" t="s">
        <v>935</v>
      </c>
      <c r="L1792" s="925">
        <v>20.6954687535763</v>
      </c>
      <c r="M1792" s="925">
        <v>9.7714593721320896E-4</v>
      </c>
    </row>
    <row r="1793" spans="1:13" ht="11.25" customHeight="1" x14ac:dyDescent="0.2">
      <c r="A1793" s="924" t="s">
        <v>853</v>
      </c>
      <c r="B1793" s="924" t="s">
        <v>796</v>
      </c>
      <c r="C1793" s="924" t="s">
        <v>1182</v>
      </c>
      <c r="D1793" s="924" t="s">
        <v>855</v>
      </c>
      <c r="E1793" s="924" t="s">
        <v>856</v>
      </c>
      <c r="F1793" s="924" t="s">
        <v>936</v>
      </c>
      <c r="G1793" s="924" t="s">
        <v>911</v>
      </c>
      <c r="H1793" s="924" t="s">
        <v>665</v>
      </c>
      <c r="I1793" s="924" t="s">
        <v>706</v>
      </c>
      <c r="J1793" s="924" t="s">
        <v>863</v>
      </c>
      <c r="K1793" s="924" t="s">
        <v>864</v>
      </c>
      <c r="L1793" s="925">
        <v>6.5278033837676004</v>
      </c>
      <c r="M1793" s="925">
        <v>3.0383312787307703E-4</v>
      </c>
    </row>
    <row r="1794" spans="1:13" ht="11.25" customHeight="1" x14ac:dyDescent="0.2">
      <c r="A1794" s="924" t="s">
        <v>853</v>
      </c>
      <c r="B1794" s="924" t="s">
        <v>796</v>
      </c>
      <c r="C1794" s="924" t="s">
        <v>1182</v>
      </c>
      <c r="D1794" s="924" t="s">
        <v>855</v>
      </c>
      <c r="E1794" s="924" t="s">
        <v>856</v>
      </c>
      <c r="F1794" s="924" t="s">
        <v>923</v>
      </c>
      <c r="G1794" s="924" t="s">
        <v>911</v>
      </c>
      <c r="H1794" s="924" t="s">
        <v>665</v>
      </c>
      <c r="I1794" s="924" t="s">
        <v>706</v>
      </c>
      <c r="J1794" s="924" t="s">
        <v>859</v>
      </c>
      <c r="K1794" s="924" t="s">
        <v>924</v>
      </c>
      <c r="L1794" s="925">
        <v>1.8221473265439301</v>
      </c>
      <c r="M1794" s="925">
        <v>9.6603098768355294E-5</v>
      </c>
    </row>
    <row r="1795" spans="1:13" ht="11.25" customHeight="1" x14ac:dyDescent="0.2">
      <c r="A1795" s="924" t="s">
        <v>853</v>
      </c>
      <c r="B1795" s="924" t="s">
        <v>796</v>
      </c>
      <c r="C1795" s="924" t="s">
        <v>1182</v>
      </c>
      <c r="D1795" s="924" t="s">
        <v>855</v>
      </c>
      <c r="E1795" s="924" t="s">
        <v>856</v>
      </c>
      <c r="F1795" s="924" t="s">
        <v>938</v>
      </c>
      <c r="G1795" s="924" t="s">
        <v>911</v>
      </c>
      <c r="H1795" s="924" t="s">
        <v>665</v>
      </c>
      <c r="I1795" s="924" t="s">
        <v>706</v>
      </c>
      <c r="J1795" s="924" t="s">
        <v>863</v>
      </c>
      <c r="K1795" s="924" t="s">
        <v>868</v>
      </c>
      <c r="L1795" s="925">
        <v>12.833953782916099</v>
      </c>
      <c r="M1795" s="925">
        <v>5.9302905174263298E-4</v>
      </c>
    </row>
    <row r="1796" spans="1:13" ht="11.25" customHeight="1" x14ac:dyDescent="0.2">
      <c r="A1796" s="924" t="s">
        <v>853</v>
      </c>
      <c r="B1796" s="924" t="s">
        <v>796</v>
      </c>
      <c r="C1796" s="924" t="s">
        <v>1182</v>
      </c>
      <c r="D1796" s="924" t="s">
        <v>855</v>
      </c>
      <c r="E1796" s="924" t="s">
        <v>856</v>
      </c>
      <c r="F1796" s="924" t="s">
        <v>861</v>
      </c>
      <c r="G1796" s="924" t="s">
        <v>862</v>
      </c>
      <c r="H1796" s="924" t="s">
        <v>665</v>
      </c>
      <c r="I1796" s="924" t="s">
        <v>787</v>
      </c>
      <c r="J1796" s="924" t="s">
        <v>863</v>
      </c>
      <c r="K1796" s="924" t="s">
        <v>864</v>
      </c>
      <c r="L1796" s="925">
        <v>8.6338615394197404E-2</v>
      </c>
      <c r="M1796" s="925">
        <v>3.5474831020110298E-4</v>
      </c>
    </row>
    <row r="1797" spans="1:13" ht="11.25" customHeight="1" x14ac:dyDescent="0.2">
      <c r="A1797" s="924" t="s">
        <v>853</v>
      </c>
      <c r="B1797" s="924" t="s">
        <v>796</v>
      </c>
      <c r="C1797" s="924" t="s">
        <v>1182</v>
      </c>
      <c r="D1797" s="924" t="s">
        <v>855</v>
      </c>
      <c r="E1797" s="924" t="s">
        <v>856</v>
      </c>
      <c r="F1797" s="924" t="s">
        <v>942</v>
      </c>
      <c r="G1797" s="924" t="s">
        <v>911</v>
      </c>
      <c r="H1797" s="924" t="s">
        <v>665</v>
      </c>
      <c r="I1797" s="924" t="s">
        <v>706</v>
      </c>
      <c r="J1797" s="924" t="s">
        <v>870</v>
      </c>
      <c r="K1797" s="924" t="s">
        <v>871</v>
      </c>
      <c r="L1797" s="925">
        <v>5.2319284630357302E-2</v>
      </c>
      <c r="M1797" s="925">
        <v>3.2652881598593801E-5</v>
      </c>
    </row>
    <row r="1798" spans="1:13" ht="11.25" customHeight="1" x14ac:dyDescent="0.2">
      <c r="A1798" s="924" t="s">
        <v>853</v>
      </c>
      <c r="B1798" s="924" t="s">
        <v>796</v>
      </c>
      <c r="C1798" s="924" t="s">
        <v>1182</v>
      </c>
      <c r="D1798" s="924" t="s">
        <v>855</v>
      </c>
      <c r="E1798" s="924" t="s">
        <v>856</v>
      </c>
      <c r="F1798" s="924" t="s">
        <v>943</v>
      </c>
      <c r="G1798" s="924" t="s">
        <v>911</v>
      </c>
      <c r="H1798" s="924" t="s">
        <v>665</v>
      </c>
      <c r="I1798" s="924" t="s">
        <v>706</v>
      </c>
      <c r="J1798" s="924" t="s">
        <v>870</v>
      </c>
      <c r="K1798" s="924" t="s">
        <v>873</v>
      </c>
      <c r="L1798" s="925">
        <v>0.10634668509010201</v>
      </c>
      <c r="M1798" s="925">
        <v>4.8292931058568902E-6</v>
      </c>
    </row>
    <row r="1799" spans="1:13" ht="11.25" customHeight="1" x14ac:dyDescent="0.2">
      <c r="A1799" s="924" t="s">
        <v>853</v>
      </c>
      <c r="B1799" s="924" t="s">
        <v>796</v>
      </c>
      <c r="C1799" s="924" t="s">
        <v>1182</v>
      </c>
      <c r="D1799" s="924" t="s">
        <v>855</v>
      </c>
      <c r="E1799" s="924" t="s">
        <v>856</v>
      </c>
      <c r="F1799" s="924" t="s">
        <v>944</v>
      </c>
      <c r="G1799" s="924" t="s">
        <v>911</v>
      </c>
      <c r="H1799" s="924" t="s">
        <v>665</v>
      </c>
      <c r="I1799" s="924" t="s">
        <v>706</v>
      </c>
      <c r="J1799" s="924" t="s">
        <v>875</v>
      </c>
      <c r="K1799" s="924" t="s">
        <v>876</v>
      </c>
      <c r="L1799" s="925">
        <v>41.629048705100999</v>
      </c>
      <c r="M1799" s="925">
        <v>1.3161658083845401E-2</v>
      </c>
    </row>
    <row r="1800" spans="1:13" ht="11.25" customHeight="1" x14ac:dyDescent="0.2">
      <c r="A1800" s="924" t="s">
        <v>853</v>
      </c>
      <c r="B1800" s="924" t="s">
        <v>796</v>
      </c>
      <c r="C1800" s="924" t="s">
        <v>1182</v>
      </c>
      <c r="D1800" s="924" t="s">
        <v>855</v>
      </c>
      <c r="E1800" s="924" t="s">
        <v>856</v>
      </c>
      <c r="F1800" s="924" t="s">
        <v>945</v>
      </c>
      <c r="G1800" s="924" t="s">
        <v>911</v>
      </c>
      <c r="H1800" s="924" t="s">
        <v>665</v>
      </c>
      <c r="I1800" s="924" t="s">
        <v>706</v>
      </c>
      <c r="J1800" s="924" t="s">
        <v>875</v>
      </c>
      <c r="K1800" s="924" t="s">
        <v>878</v>
      </c>
      <c r="L1800" s="925">
        <v>9.1926441937684995</v>
      </c>
      <c r="M1800" s="925">
        <v>1.3599591668480601E-3</v>
      </c>
    </row>
    <row r="1801" spans="1:13" ht="11.25" customHeight="1" x14ac:dyDescent="0.2">
      <c r="A1801" s="924" t="s">
        <v>853</v>
      </c>
      <c r="B1801" s="924" t="s">
        <v>796</v>
      </c>
      <c r="C1801" s="924" t="s">
        <v>1182</v>
      </c>
      <c r="D1801" s="924" t="s">
        <v>855</v>
      </c>
      <c r="E1801" s="924" t="s">
        <v>856</v>
      </c>
      <c r="F1801" s="924" t="s">
        <v>946</v>
      </c>
      <c r="G1801" s="924" t="s">
        <v>911</v>
      </c>
      <c r="H1801" s="924" t="s">
        <v>665</v>
      </c>
      <c r="I1801" s="924" t="s">
        <v>706</v>
      </c>
      <c r="J1801" s="924" t="s">
        <v>875</v>
      </c>
      <c r="K1801" s="924" t="s">
        <v>880</v>
      </c>
      <c r="L1801" s="925">
        <v>10.867045268416399</v>
      </c>
      <c r="M1801" s="925">
        <v>6.9163125061777497E-4</v>
      </c>
    </row>
    <row r="1802" spans="1:13" ht="11.25" customHeight="1" x14ac:dyDescent="0.2">
      <c r="A1802" s="924" t="s">
        <v>853</v>
      </c>
      <c r="B1802" s="924" t="s">
        <v>796</v>
      </c>
      <c r="C1802" s="924" t="s">
        <v>1182</v>
      </c>
      <c r="D1802" s="924" t="s">
        <v>855</v>
      </c>
      <c r="E1802" s="924" t="s">
        <v>856</v>
      </c>
      <c r="F1802" s="924" t="s">
        <v>947</v>
      </c>
      <c r="G1802" s="924" t="s">
        <v>911</v>
      </c>
      <c r="H1802" s="924" t="s">
        <v>665</v>
      </c>
      <c r="I1802" s="924" t="s">
        <v>706</v>
      </c>
      <c r="J1802" s="924" t="s">
        <v>875</v>
      </c>
      <c r="K1802" s="924" t="s">
        <v>948</v>
      </c>
      <c r="L1802" s="925">
        <v>13.5071522146463</v>
      </c>
      <c r="M1802" s="925">
        <v>1.0321999301936601E-3</v>
      </c>
    </row>
    <row r="1803" spans="1:13" ht="11.25" customHeight="1" x14ac:dyDescent="0.2">
      <c r="A1803" s="924" t="s">
        <v>853</v>
      </c>
      <c r="B1803" s="924" t="s">
        <v>796</v>
      </c>
      <c r="C1803" s="924" t="s">
        <v>1182</v>
      </c>
      <c r="D1803" s="924" t="s">
        <v>855</v>
      </c>
      <c r="E1803" s="924" t="s">
        <v>856</v>
      </c>
      <c r="F1803" s="924" t="s">
        <v>949</v>
      </c>
      <c r="G1803" s="924" t="s">
        <v>911</v>
      </c>
      <c r="H1803" s="924" t="s">
        <v>665</v>
      </c>
      <c r="I1803" s="924" t="s">
        <v>706</v>
      </c>
      <c r="J1803" s="924" t="s">
        <v>875</v>
      </c>
      <c r="K1803" s="924" t="s">
        <v>950</v>
      </c>
      <c r="L1803" s="925">
        <v>0.181114773498848</v>
      </c>
      <c r="M1803" s="925">
        <v>3.88459363094285E-5</v>
      </c>
    </row>
    <row r="1804" spans="1:13" ht="11.25" customHeight="1" x14ac:dyDescent="0.2">
      <c r="A1804" s="924" t="s">
        <v>853</v>
      </c>
      <c r="B1804" s="924" t="s">
        <v>796</v>
      </c>
      <c r="C1804" s="924" t="s">
        <v>1182</v>
      </c>
      <c r="D1804" s="924" t="s">
        <v>855</v>
      </c>
      <c r="E1804" s="924" t="s">
        <v>856</v>
      </c>
      <c r="F1804" s="924" t="s">
        <v>951</v>
      </c>
      <c r="G1804" s="924" t="s">
        <v>911</v>
      </c>
      <c r="H1804" s="924" t="s">
        <v>665</v>
      </c>
      <c r="I1804" s="924" t="s">
        <v>706</v>
      </c>
      <c r="J1804" s="924" t="s">
        <v>875</v>
      </c>
      <c r="K1804" s="924" t="s">
        <v>952</v>
      </c>
      <c r="L1804" s="925">
        <v>0.16716630058363099</v>
      </c>
      <c r="M1804" s="925">
        <v>1.03941912401595E-5</v>
      </c>
    </row>
    <row r="1805" spans="1:13" ht="11.25" customHeight="1" x14ac:dyDescent="0.2">
      <c r="A1805" s="924" t="s">
        <v>853</v>
      </c>
      <c r="B1805" s="924" t="s">
        <v>796</v>
      </c>
      <c r="C1805" s="924" t="s">
        <v>1182</v>
      </c>
      <c r="D1805" s="924" t="s">
        <v>855</v>
      </c>
      <c r="E1805" s="924" t="s">
        <v>856</v>
      </c>
      <c r="F1805" s="924" t="s">
        <v>890</v>
      </c>
      <c r="G1805" s="924" t="s">
        <v>862</v>
      </c>
      <c r="H1805" s="924" t="s">
        <v>665</v>
      </c>
      <c r="I1805" s="924" t="s">
        <v>787</v>
      </c>
      <c r="J1805" s="924" t="s">
        <v>859</v>
      </c>
      <c r="K1805" s="924" t="s">
        <v>891</v>
      </c>
      <c r="L1805" s="925">
        <v>2.22755078575574E-2</v>
      </c>
      <c r="M1805" s="925">
        <v>7.92941768622768E-4</v>
      </c>
    </row>
    <row r="1806" spans="1:13" ht="11.25" customHeight="1" x14ac:dyDescent="0.2">
      <c r="A1806" s="924" t="s">
        <v>853</v>
      </c>
      <c r="B1806" s="924" t="s">
        <v>796</v>
      </c>
      <c r="C1806" s="924" t="s">
        <v>1182</v>
      </c>
      <c r="D1806" s="924" t="s">
        <v>855</v>
      </c>
      <c r="E1806" s="924" t="s">
        <v>856</v>
      </c>
      <c r="F1806" s="924" t="s">
        <v>937</v>
      </c>
      <c r="G1806" s="924" t="s">
        <v>862</v>
      </c>
      <c r="H1806" s="924" t="s">
        <v>665</v>
      </c>
      <c r="I1806" s="924" t="s">
        <v>787</v>
      </c>
      <c r="J1806" s="924" t="s">
        <v>863</v>
      </c>
      <c r="K1806" s="924" t="s">
        <v>933</v>
      </c>
      <c r="L1806" s="925">
        <v>186.97697496414199</v>
      </c>
      <c r="M1806" s="925">
        <v>0.79640721902251199</v>
      </c>
    </row>
    <row r="1807" spans="1:13" ht="11.25" customHeight="1" x14ac:dyDescent="0.2">
      <c r="A1807" s="924" t="s">
        <v>853</v>
      </c>
      <c r="B1807" s="924" t="s">
        <v>796</v>
      </c>
      <c r="C1807" s="924" t="s">
        <v>1182</v>
      </c>
      <c r="D1807" s="924" t="s">
        <v>855</v>
      </c>
      <c r="E1807" s="924" t="s">
        <v>856</v>
      </c>
      <c r="F1807" s="924" t="s">
        <v>934</v>
      </c>
      <c r="G1807" s="924" t="s">
        <v>862</v>
      </c>
      <c r="H1807" s="924" t="s">
        <v>665</v>
      </c>
      <c r="I1807" s="924" t="s">
        <v>787</v>
      </c>
      <c r="J1807" s="924" t="s">
        <v>863</v>
      </c>
      <c r="K1807" s="924" t="s">
        <v>935</v>
      </c>
      <c r="L1807" s="925">
        <v>0.15842600143514601</v>
      </c>
      <c r="M1807" s="925">
        <v>6.65968268549477E-4</v>
      </c>
    </row>
    <row r="1808" spans="1:13" ht="11.25" customHeight="1" x14ac:dyDescent="0.2">
      <c r="A1808" s="924" t="s">
        <v>853</v>
      </c>
      <c r="B1808" s="924" t="s">
        <v>796</v>
      </c>
      <c r="C1808" s="924" t="s">
        <v>1182</v>
      </c>
      <c r="D1808" s="924" t="s">
        <v>855</v>
      </c>
      <c r="E1808" s="924" t="s">
        <v>856</v>
      </c>
      <c r="F1808" s="924" t="s">
        <v>914</v>
      </c>
      <c r="G1808" s="924" t="s">
        <v>911</v>
      </c>
      <c r="H1808" s="924" t="s">
        <v>665</v>
      </c>
      <c r="I1808" s="924" t="s">
        <v>706</v>
      </c>
      <c r="J1808" s="924" t="s">
        <v>863</v>
      </c>
      <c r="K1808" s="924" t="s">
        <v>915</v>
      </c>
      <c r="L1808" s="925">
        <v>1.58336380496621</v>
      </c>
      <c r="M1808" s="925">
        <v>2.2592659530573699E-4</v>
      </c>
    </row>
    <row r="1809" spans="1:13" ht="11.25" customHeight="1" x14ac:dyDescent="0.2">
      <c r="A1809" s="924" t="s">
        <v>853</v>
      </c>
      <c r="B1809" s="924" t="s">
        <v>796</v>
      </c>
      <c r="C1809" s="924" t="s">
        <v>1182</v>
      </c>
      <c r="D1809" s="924" t="s">
        <v>855</v>
      </c>
      <c r="E1809" s="924" t="s">
        <v>856</v>
      </c>
      <c r="F1809" s="924" t="s">
        <v>1000</v>
      </c>
      <c r="G1809" s="924" t="s">
        <v>858</v>
      </c>
      <c r="H1809" s="924" t="s">
        <v>836</v>
      </c>
      <c r="I1809" s="924" t="s">
        <v>837</v>
      </c>
      <c r="J1809" s="924" t="s">
        <v>875</v>
      </c>
      <c r="K1809" s="924" t="s">
        <v>950</v>
      </c>
      <c r="L1809" s="925">
        <v>10.4190812408924</v>
      </c>
      <c r="M1809" s="925">
        <v>2.4473327083995898E-4</v>
      </c>
    </row>
    <row r="1810" spans="1:13" ht="11.25" customHeight="1" x14ac:dyDescent="0.2">
      <c r="A1810" s="924" t="s">
        <v>853</v>
      </c>
      <c r="B1810" s="924" t="s">
        <v>796</v>
      </c>
      <c r="C1810" s="924" t="s">
        <v>1182</v>
      </c>
      <c r="D1810" s="924" t="s">
        <v>855</v>
      </c>
      <c r="E1810" s="924" t="s">
        <v>856</v>
      </c>
      <c r="F1810" s="924" t="s">
        <v>1015</v>
      </c>
      <c r="G1810" s="924" t="s">
        <v>858</v>
      </c>
      <c r="H1810" s="924" t="s">
        <v>836</v>
      </c>
      <c r="I1810" s="924" t="s">
        <v>837</v>
      </c>
      <c r="J1810" s="924" t="s">
        <v>870</v>
      </c>
      <c r="K1810" s="924" t="s">
        <v>1016</v>
      </c>
      <c r="L1810" s="925">
        <v>2.1983438013121499</v>
      </c>
      <c r="M1810" s="925">
        <v>2.6709332401786398E-5</v>
      </c>
    </row>
    <row r="1811" spans="1:13" ht="11.25" customHeight="1" x14ac:dyDescent="0.2">
      <c r="A1811" s="924" t="s">
        <v>853</v>
      </c>
      <c r="B1811" s="924" t="s">
        <v>796</v>
      </c>
      <c r="C1811" s="924" t="s">
        <v>1182</v>
      </c>
      <c r="D1811" s="924" t="s">
        <v>855</v>
      </c>
      <c r="E1811" s="924" t="s">
        <v>856</v>
      </c>
      <c r="F1811" s="924" t="s">
        <v>958</v>
      </c>
      <c r="G1811" s="924" t="s">
        <v>858</v>
      </c>
      <c r="H1811" s="924" t="s">
        <v>836</v>
      </c>
      <c r="I1811" s="924" t="s">
        <v>837</v>
      </c>
      <c r="J1811" s="924" t="s">
        <v>870</v>
      </c>
      <c r="K1811" s="924" t="s">
        <v>959</v>
      </c>
      <c r="L1811" s="925">
        <v>0.46176862914580902</v>
      </c>
      <c r="M1811" s="925">
        <v>4.3033265997582897E-6</v>
      </c>
    </row>
    <row r="1812" spans="1:13" ht="11.25" customHeight="1" x14ac:dyDescent="0.2">
      <c r="A1812" s="924" t="s">
        <v>853</v>
      </c>
      <c r="B1812" s="924" t="s">
        <v>796</v>
      </c>
      <c r="C1812" s="924" t="s">
        <v>1182</v>
      </c>
      <c r="D1812" s="924" t="s">
        <v>855</v>
      </c>
      <c r="E1812" s="924" t="s">
        <v>856</v>
      </c>
      <c r="F1812" s="924" t="s">
        <v>960</v>
      </c>
      <c r="G1812" s="924" t="s">
        <v>858</v>
      </c>
      <c r="H1812" s="924" t="s">
        <v>836</v>
      </c>
      <c r="I1812" s="924" t="s">
        <v>837</v>
      </c>
      <c r="J1812" s="924" t="s">
        <v>870</v>
      </c>
      <c r="K1812" s="924" t="s">
        <v>961</v>
      </c>
      <c r="L1812" s="925">
        <v>33.677829340100303</v>
      </c>
      <c r="M1812" s="925">
        <v>2.9880947781535399E-4</v>
      </c>
    </row>
    <row r="1813" spans="1:13" ht="11.25" customHeight="1" x14ac:dyDescent="0.2">
      <c r="A1813" s="924" t="s">
        <v>853</v>
      </c>
      <c r="B1813" s="924" t="s">
        <v>796</v>
      </c>
      <c r="C1813" s="924" t="s">
        <v>1182</v>
      </c>
      <c r="D1813" s="924" t="s">
        <v>855</v>
      </c>
      <c r="E1813" s="924" t="s">
        <v>856</v>
      </c>
      <c r="F1813" s="924" t="s">
        <v>962</v>
      </c>
      <c r="G1813" s="924" t="s">
        <v>858</v>
      </c>
      <c r="H1813" s="924" t="s">
        <v>836</v>
      </c>
      <c r="I1813" s="924" t="s">
        <v>837</v>
      </c>
      <c r="J1813" s="924" t="s">
        <v>870</v>
      </c>
      <c r="K1813" s="924" t="s">
        <v>963</v>
      </c>
      <c r="L1813" s="925">
        <v>9.3147289211629E-2</v>
      </c>
      <c r="M1813" s="925">
        <v>6.6205159715213003E-7</v>
      </c>
    </row>
    <row r="1814" spans="1:13" ht="11.25" customHeight="1" x14ac:dyDescent="0.2">
      <c r="A1814" s="924" t="s">
        <v>853</v>
      </c>
      <c r="B1814" s="924" t="s">
        <v>796</v>
      </c>
      <c r="C1814" s="924" t="s">
        <v>1182</v>
      </c>
      <c r="D1814" s="924" t="s">
        <v>855</v>
      </c>
      <c r="E1814" s="924" t="s">
        <v>856</v>
      </c>
      <c r="F1814" s="924" t="s">
        <v>964</v>
      </c>
      <c r="G1814" s="924" t="s">
        <v>858</v>
      </c>
      <c r="H1814" s="924" t="s">
        <v>836</v>
      </c>
      <c r="I1814" s="924" t="s">
        <v>837</v>
      </c>
      <c r="J1814" s="924" t="s">
        <v>870</v>
      </c>
      <c r="K1814" s="924" t="s">
        <v>965</v>
      </c>
      <c r="L1814" s="925">
        <v>31.133947081863901</v>
      </c>
      <c r="M1814" s="925">
        <v>2.8585689720905799E-4</v>
      </c>
    </row>
    <row r="1815" spans="1:13" ht="11.25" customHeight="1" x14ac:dyDescent="0.2">
      <c r="A1815" s="924" t="s">
        <v>853</v>
      </c>
      <c r="B1815" s="924" t="s">
        <v>796</v>
      </c>
      <c r="C1815" s="924" t="s">
        <v>1182</v>
      </c>
      <c r="D1815" s="924" t="s">
        <v>855</v>
      </c>
      <c r="E1815" s="924" t="s">
        <v>856</v>
      </c>
      <c r="F1815" s="924" t="s">
        <v>966</v>
      </c>
      <c r="G1815" s="924" t="s">
        <v>858</v>
      </c>
      <c r="H1815" s="924" t="s">
        <v>836</v>
      </c>
      <c r="I1815" s="924" t="s">
        <v>837</v>
      </c>
      <c r="J1815" s="924" t="s">
        <v>870</v>
      </c>
      <c r="K1815" s="924" t="s">
        <v>871</v>
      </c>
      <c r="L1815" s="925">
        <v>86.631294280290604</v>
      </c>
      <c r="M1815" s="925">
        <v>7.5275517527373403E-4</v>
      </c>
    </row>
    <row r="1816" spans="1:13" ht="11.25" customHeight="1" x14ac:dyDescent="0.2">
      <c r="A1816" s="924" t="s">
        <v>853</v>
      </c>
      <c r="B1816" s="924" t="s">
        <v>796</v>
      </c>
      <c r="C1816" s="924" t="s">
        <v>1182</v>
      </c>
      <c r="D1816" s="924" t="s">
        <v>855</v>
      </c>
      <c r="E1816" s="924" t="s">
        <v>856</v>
      </c>
      <c r="F1816" s="924" t="s">
        <v>967</v>
      </c>
      <c r="G1816" s="924" t="s">
        <v>858</v>
      </c>
      <c r="H1816" s="924" t="s">
        <v>836</v>
      </c>
      <c r="I1816" s="924" t="s">
        <v>837</v>
      </c>
      <c r="J1816" s="924" t="s">
        <v>870</v>
      </c>
      <c r="K1816" s="924" t="s">
        <v>873</v>
      </c>
      <c r="L1816" s="925">
        <v>63.849759325385101</v>
      </c>
      <c r="M1816" s="925">
        <v>1.0786875136794499E-3</v>
      </c>
    </row>
    <row r="1817" spans="1:13" ht="11.25" customHeight="1" x14ac:dyDescent="0.2">
      <c r="A1817" s="924" t="s">
        <v>853</v>
      </c>
      <c r="B1817" s="924" t="s">
        <v>796</v>
      </c>
      <c r="C1817" s="924" t="s">
        <v>1182</v>
      </c>
      <c r="D1817" s="924" t="s">
        <v>855</v>
      </c>
      <c r="E1817" s="924" t="s">
        <v>856</v>
      </c>
      <c r="F1817" s="924" t="s">
        <v>968</v>
      </c>
      <c r="G1817" s="924" t="s">
        <v>858</v>
      </c>
      <c r="H1817" s="924" t="s">
        <v>836</v>
      </c>
      <c r="I1817" s="924" t="s">
        <v>837</v>
      </c>
      <c r="J1817" s="924" t="s">
        <v>875</v>
      </c>
      <c r="K1817" s="924" t="s">
        <v>876</v>
      </c>
      <c r="L1817" s="925">
        <v>325.83464431762701</v>
      </c>
      <c r="M1817" s="925">
        <v>8.7336780524083207E-3</v>
      </c>
    </row>
    <row r="1818" spans="1:13" ht="11.25" customHeight="1" x14ac:dyDescent="0.2">
      <c r="A1818" s="924" t="s">
        <v>853</v>
      </c>
      <c r="B1818" s="924" t="s">
        <v>796</v>
      </c>
      <c r="C1818" s="924" t="s">
        <v>1182</v>
      </c>
      <c r="D1818" s="924" t="s">
        <v>855</v>
      </c>
      <c r="E1818" s="924" t="s">
        <v>856</v>
      </c>
      <c r="F1818" s="924" t="s">
        <v>969</v>
      </c>
      <c r="G1818" s="924" t="s">
        <v>858</v>
      </c>
      <c r="H1818" s="924" t="s">
        <v>836</v>
      </c>
      <c r="I1818" s="924" t="s">
        <v>837</v>
      </c>
      <c r="J1818" s="924" t="s">
        <v>875</v>
      </c>
      <c r="K1818" s="924" t="s">
        <v>878</v>
      </c>
      <c r="L1818" s="925">
        <v>76.901422500610394</v>
      </c>
      <c r="M1818" s="925">
        <v>2.0370726674911999E-3</v>
      </c>
    </row>
    <row r="1819" spans="1:13" ht="11.25" customHeight="1" x14ac:dyDescent="0.2">
      <c r="A1819" s="924" t="s">
        <v>853</v>
      </c>
      <c r="B1819" s="924" t="s">
        <v>796</v>
      </c>
      <c r="C1819" s="924" t="s">
        <v>1182</v>
      </c>
      <c r="D1819" s="924" t="s">
        <v>855</v>
      </c>
      <c r="E1819" s="924" t="s">
        <v>856</v>
      </c>
      <c r="F1819" s="924" t="s">
        <v>1031</v>
      </c>
      <c r="G1819" s="924" t="s">
        <v>858</v>
      </c>
      <c r="H1819" s="924" t="s">
        <v>836</v>
      </c>
      <c r="I1819" s="924" t="s">
        <v>837</v>
      </c>
      <c r="J1819" s="924" t="s">
        <v>940</v>
      </c>
      <c r="K1819" s="924" t="s">
        <v>1032</v>
      </c>
      <c r="L1819" s="925">
        <v>69.513211756944699</v>
      </c>
      <c r="M1819" s="925">
        <v>1.4503994231489499E-3</v>
      </c>
    </row>
    <row r="1820" spans="1:13" ht="11.25" customHeight="1" x14ac:dyDescent="0.2">
      <c r="A1820" s="924" t="s">
        <v>853</v>
      </c>
      <c r="B1820" s="924" t="s">
        <v>796</v>
      </c>
      <c r="C1820" s="924" t="s">
        <v>1182</v>
      </c>
      <c r="D1820" s="924" t="s">
        <v>855</v>
      </c>
      <c r="E1820" s="924" t="s">
        <v>856</v>
      </c>
      <c r="F1820" s="924" t="s">
        <v>971</v>
      </c>
      <c r="G1820" s="924" t="s">
        <v>858</v>
      </c>
      <c r="H1820" s="924" t="s">
        <v>836</v>
      </c>
      <c r="I1820" s="924" t="s">
        <v>837</v>
      </c>
      <c r="J1820" s="924" t="s">
        <v>875</v>
      </c>
      <c r="K1820" s="924" t="s">
        <v>948</v>
      </c>
      <c r="L1820" s="925">
        <v>108.418034315109</v>
      </c>
      <c r="M1820" s="925">
        <v>4.6374134158213599E-3</v>
      </c>
    </row>
    <row r="1821" spans="1:13" ht="11.25" customHeight="1" x14ac:dyDescent="0.2">
      <c r="A1821" s="924" t="s">
        <v>853</v>
      </c>
      <c r="B1821" s="924" t="s">
        <v>796</v>
      </c>
      <c r="C1821" s="924" t="s">
        <v>1182</v>
      </c>
      <c r="D1821" s="924" t="s">
        <v>855</v>
      </c>
      <c r="E1821" s="924" t="s">
        <v>856</v>
      </c>
      <c r="F1821" s="924" t="s">
        <v>1033</v>
      </c>
      <c r="G1821" s="924" t="s">
        <v>858</v>
      </c>
      <c r="H1821" s="924" t="s">
        <v>836</v>
      </c>
      <c r="I1821" s="924" t="s">
        <v>837</v>
      </c>
      <c r="J1821" s="924" t="s">
        <v>940</v>
      </c>
      <c r="K1821" s="924" t="s">
        <v>1034</v>
      </c>
      <c r="L1821" s="925">
        <v>1.76526722218841</v>
      </c>
      <c r="M1821" s="925">
        <v>5.7887657793687097E-5</v>
      </c>
    </row>
    <row r="1822" spans="1:13" ht="11.25" customHeight="1" x14ac:dyDescent="0.2">
      <c r="A1822" s="924" t="s">
        <v>853</v>
      </c>
      <c r="B1822" s="924" t="s">
        <v>796</v>
      </c>
      <c r="C1822" s="924" t="s">
        <v>1182</v>
      </c>
      <c r="D1822" s="924" t="s">
        <v>855</v>
      </c>
      <c r="E1822" s="924" t="s">
        <v>856</v>
      </c>
      <c r="F1822" s="924" t="s">
        <v>974</v>
      </c>
      <c r="G1822" s="924" t="s">
        <v>858</v>
      </c>
      <c r="H1822" s="924" t="s">
        <v>836</v>
      </c>
      <c r="I1822" s="924" t="s">
        <v>837</v>
      </c>
      <c r="J1822" s="924" t="s">
        <v>875</v>
      </c>
      <c r="K1822" s="924" t="s">
        <v>952</v>
      </c>
      <c r="L1822" s="925">
        <v>9.2201176136732101</v>
      </c>
      <c r="M1822" s="925">
        <v>2.0831354514783099E-4</v>
      </c>
    </row>
    <row r="1823" spans="1:13" ht="11.25" customHeight="1" x14ac:dyDescent="0.2">
      <c r="A1823" s="924" t="s">
        <v>853</v>
      </c>
      <c r="B1823" s="924" t="s">
        <v>796</v>
      </c>
      <c r="C1823" s="924" t="s">
        <v>1182</v>
      </c>
      <c r="D1823" s="924" t="s">
        <v>855</v>
      </c>
      <c r="E1823" s="924" t="s">
        <v>856</v>
      </c>
      <c r="F1823" s="924" t="s">
        <v>955</v>
      </c>
      <c r="G1823" s="924" t="s">
        <v>858</v>
      </c>
      <c r="H1823" s="924" t="s">
        <v>836</v>
      </c>
      <c r="I1823" s="924" t="s">
        <v>837</v>
      </c>
      <c r="J1823" s="924" t="s">
        <v>956</v>
      </c>
      <c r="K1823" s="924" t="s">
        <v>957</v>
      </c>
      <c r="L1823" s="925">
        <v>719.26609325408901</v>
      </c>
      <c r="M1823" s="925">
        <v>4.1310030350700799E-3</v>
      </c>
    </row>
    <row r="1824" spans="1:13" ht="11.25" customHeight="1" x14ac:dyDescent="0.2">
      <c r="A1824" s="924" t="s">
        <v>853</v>
      </c>
      <c r="B1824" s="924" t="s">
        <v>796</v>
      </c>
      <c r="C1824" s="924" t="s">
        <v>1182</v>
      </c>
      <c r="D1824" s="924" t="s">
        <v>855</v>
      </c>
      <c r="E1824" s="924" t="s">
        <v>856</v>
      </c>
      <c r="F1824" s="924" t="s">
        <v>980</v>
      </c>
      <c r="G1824" s="924" t="s">
        <v>981</v>
      </c>
      <c r="H1824" s="924" t="s">
        <v>835</v>
      </c>
      <c r="I1824" s="924" t="s">
        <v>839</v>
      </c>
      <c r="J1824" s="924" t="s">
        <v>982</v>
      </c>
      <c r="K1824" s="924" t="s">
        <v>983</v>
      </c>
      <c r="L1824" s="925">
        <v>15197.694763183599</v>
      </c>
      <c r="M1824" s="925">
        <v>17.334315571933999</v>
      </c>
    </row>
    <row r="1825" spans="1:13" ht="11.25" customHeight="1" x14ac:dyDescent="0.2">
      <c r="A1825" s="924" t="s">
        <v>853</v>
      </c>
      <c r="B1825" s="924" t="s">
        <v>796</v>
      </c>
      <c r="C1825" s="924" t="s">
        <v>1182</v>
      </c>
      <c r="D1825" s="924" t="s">
        <v>855</v>
      </c>
      <c r="E1825" s="924" t="s">
        <v>856</v>
      </c>
      <c r="F1825" s="924" t="s">
        <v>984</v>
      </c>
      <c r="G1825" s="924" t="s">
        <v>981</v>
      </c>
      <c r="H1825" s="924" t="s">
        <v>835</v>
      </c>
      <c r="I1825" s="924" t="s">
        <v>839</v>
      </c>
      <c r="J1825" s="924" t="s">
        <v>982</v>
      </c>
      <c r="K1825" s="924" t="s">
        <v>985</v>
      </c>
      <c r="L1825" s="925">
        <v>6420.5578413009598</v>
      </c>
      <c r="M1825" s="925">
        <v>7.1620619231834999</v>
      </c>
    </row>
    <row r="1826" spans="1:13" ht="11.25" customHeight="1" x14ac:dyDescent="0.2">
      <c r="A1826" s="924" t="s">
        <v>853</v>
      </c>
      <c r="B1826" s="924" t="s">
        <v>796</v>
      </c>
      <c r="C1826" s="924" t="s">
        <v>1182</v>
      </c>
      <c r="D1826" s="924" t="s">
        <v>855</v>
      </c>
      <c r="E1826" s="924" t="s">
        <v>856</v>
      </c>
      <c r="F1826" s="924" t="s">
        <v>986</v>
      </c>
      <c r="G1826" s="924" t="s">
        <v>981</v>
      </c>
      <c r="H1826" s="924" t="s">
        <v>835</v>
      </c>
      <c r="I1826" s="924" t="s">
        <v>839</v>
      </c>
      <c r="J1826" s="924" t="s">
        <v>987</v>
      </c>
      <c r="K1826" s="924" t="s">
        <v>988</v>
      </c>
      <c r="L1826" s="925">
        <v>11455.7473182678</v>
      </c>
      <c r="M1826" s="925">
        <v>5.77673267200589</v>
      </c>
    </row>
    <row r="1827" spans="1:13" ht="11.25" customHeight="1" x14ac:dyDescent="0.2">
      <c r="A1827" s="924" t="s">
        <v>853</v>
      </c>
      <c r="B1827" s="924" t="s">
        <v>796</v>
      </c>
      <c r="C1827" s="924" t="s">
        <v>1182</v>
      </c>
      <c r="D1827" s="924" t="s">
        <v>855</v>
      </c>
      <c r="E1827" s="924" t="s">
        <v>856</v>
      </c>
      <c r="F1827" s="924" t="s">
        <v>989</v>
      </c>
      <c r="G1827" s="924" t="s">
        <v>990</v>
      </c>
      <c r="H1827" s="924" t="s">
        <v>836</v>
      </c>
      <c r="I1827" s="924" t="s">
        <v>839</v>
      </c>
      <c r="J1827" s="924" t="s">
        <v>224</v>
      </c>
      <c r="K1827" s="924" t="s">
        <v>988</v>
      </c>
      <c r="L1827" s="925">
        <v>9021.6935310363806</v>
      </c>
      <c r="M1827" s="925">
        <v>0.30716825541475101</v>
      </c>
    </row>
    <row r="1828" spans="1:13" ht="11.25" customHeight="1" x14ac:dyDescent="0.2">
      <c r="A1828" s="924" t="s">
        <v>853</v>
      </c>
      <c r="B1828" s="924" t="s">
        <v>796</v>
      </c>
      <c r="C1828" s="924" t="s">
        <v>1182</v>
      </c>
      <c r="D1828" s="924" t="s">
        <v>855</v>
      </c>
      <c r="E1828" s="924" t="s">
        <v>856</v>
      </c>
      <c r="F1828" s="924" t="s">
        <v>991</v>
      </c>
      <c r="G1828" s="924" t="s">
        <v>990</v>
      </c>
      <c r="H1828" s="924" t="s">
        <v>836</v>
      </c>
      <c r="I1828" s="924" t="s">
        <v>839</v>
      </c>
      <c r="J1828" s="924" t="s">
        <v>224</v>
      </c>
      <c r="K1828" s="924" t="s">
        <v>983</v>
      </c>
      <c r="L1828" s="925">
        <v>30.751868069171898</v>
      </c>
      <c r="M1828" s="925">
        <v>1.8362955231072699E-3</v>
      </c>
    </row>
    <row r="1829" spans="1:13" ht="11.25" customHeight="1" x14ac:dyDescent="0.2">
      <c r="A1829" s="924" t="s">
        <v>853</v>
      </c>
      <c r="B1829" s="924" t="s">
        <v>796</v>
      </c>
      <c r="C1829" s="924" t="s">
        <v>1182</v>
      </c>
      <c r="D1829" s="924" t="s">
        <v>855</v>
      </c>
      <c r="E1829" s="924" t="s">
        <v>1164</v>
      </c>
      <c r="F1829" s="924" t="s">
        <v>1165</v>
      </c>
      <c r="G1829" s="924" t="s">
        <v>981</v>
      </c>
      <c r="H1829" s="924" t="s">
        <v>835</v>
      </c>
      <c r="I1829" s="924" t="s">
        <v>1040</v>
      </c>
      <c r="J1829" s="924" t="s">
        <v>1166</v>
      </c>
      <c r="K1829" s="924" t="s">
        <v>1166</v>
      </c>
      <c r="L1829" s="925">
        <v>8.9615092729218304E-3</v>
      </c>
      <c r="M1829" s="925">
        <v>2.56659070529963E-6</v>
      </c>
    </row>
    <row r="1830" spans="1:13" ht="11.25" customHeight="1" x14ac:dyDescent="0.2">
      <c r="A1830" s="924" t="s">
        <v>853</v>
      </c>
      <c r="B1830" s="924" t="s">
        <v>796</v>
      </c>
      <c r="C1830" s="924" t="s">
        <v>1182</v>
      </c>
      <c r="D1830" s="924" t="s">
        <v>855</v>
      </c>
      <c r="E1830" s="924" t="s">
        <v>856</v>
      </c>
      <c r="F1830" s="924" t="s">
        <v>917</v>
      </c>
      <c r="G1830" s="924" t="s">
        <v>911</v>
      </c>
      <c r="H1830" s="924" t="s">
        <v>665</v>
      </c>
      <c r="I1830" s="924" t="s">
        <v>706</v>
      </c>
      <c r="J1830" s="924" t="s">
        <v>859</v>
      </c>
      <c r="K1830" s="924" t="s">
        <v>918</v>
      </c>
      <c r="L1830" s="925">
        <v>0.42355728801339898</v>
      </c>
      <c r="M1830" s="925">
        <v>1.36761579994982E-4</v>
      </c>
    </row>
    <row r="1831" spans="1:13" ht="11.25" customHeight="1" x14ac:dyDescent="0.2">
      <c r="A1831" s="924" t="s">
        <v>853</v>
      </c>
      <c r="B1831" s="924" t="s">
        <v>796</v>
      </c>
      <c r="C1831" s="924" t="s">
        <v>1182</v>
      </c>
      <c r="D1831" s="924" t="s">
        <v>855</v>
      </c>
      <c r="E1831" s="924" t="s">
        <v>856</v>
      </c>
      <c r="F1831" s="924" t="s">
        <v>1067</v>
      </c>
      <c r="G1831" s="924" t="s">
        <v>981</v>
      </c>
      <c r="H1831" s="924" t="s">
        <v>835</v>
      </c>
      <c r="I1831" s="924" t="s">
        <v>1040</v>
      </c>
      <c r="J1831" s="924" t="s">
        <v>859</v>
      </c>
      <c r="K1831" s="924" t="s">
        <v>1011</v>
      </c>
      <c r="L1831" s="925">
        <v>1.2491366229951399</v>
      </c>
      <c r="M1831" s="925">
        <v>8.8426470982483395E-4</v>
      </c>
    </row>
    <row r="1832" spans="1:13" ht="11.25" customHeight="1" x14ac:dyDescent="0.2">
      <c r="A1832" s="924" t="s">
        <v>853</v>
      </c>
      <c r="B1832" s="924" t="s">
        <v>796</v>
      </c>
      <c r="C1832" s="924" t="s">
        <v>1182</v>
      </c>
      <c r="D1832" s="924" t="s">
        <v>855</v>
      </c>
      <c r="E1832" s="924" t="s">
        <v>856</v>
      </c>
      <c r="F1832" s="924" t="s">
        <v>970</v>
      </c>
      <c r="G1832" s="924" t="s">
        <v>858</v>
      </c>
      <c r="H1832" s="924" t="s">
        <v>836</v>
      </c>
      <c r="I1832" s="924" t="s">
        <v>837</v>
      </c>
      <c r="J1832" s="924" t="s">
        <v>875</v>
      </c>
      <c r="K1832" s="924" t="s">
        <v>880</v>
      </c>
      <c r="L1832" s="925">
        <v>213.332402467728</v>
      </c>
      <c r="M1832" s="925">
        <v>4.1454197022971996E-3</v>
      </c>
    </row>
    <row r="1833" spans="1:13" ht="11.25" customHeight="1" x14ac:dyDescent="0.2">
      <c r="A1833" s="924" t="s">
        <v>853</v>
      </c>
      <c r="B1833" s="924" t="s">
        <v>796</v>
      </c>
      <c r="C1833" s="924" t="s">
        <v>1182</v>
      </c>
      <c r="D1833" s="924" t="s">
        <v>855</v>
      </c>
      <c r="E1833" s="924" t="s">
        <v>856</v>
      </c>
      <c r="F1833" s="924" t="s">
        <v>1038</v>
      </c>
      <c r="G1833" s="924" t="s">
        <v>858</v>
      </c>
      <c r="H1833" s="924" t="s">
        <v>836</v>
      </c>
      <c r="I1833" s="924" t="s">
        <v>837</v>
      </c>
      <c r="J1833" s="924" t="s">
        <v>863</v>
      </c>
      <c r="K1833" s="924" t="s">
        <v>935</v>
      </c>
      <c r="L1833" s="925">
        <v>316.76414918899502</v>
      </c>
      <c r="M1833" s="925">
        <v>3.4282932642781799E-3</v>
      </c>
    </row>
    <row r="1834" spans="1:13" ht="11.25" customHeight="1" x14ac:dyDescent="0.2">
      <c r="A1834" s="924" t="s">
        <v>853</v>
      </c>
      <c r="B1834" s="924" t="s">
        <v>796</v>
      </c>
      <c r="C1834" s="924" t="s">
        <v>1182</v>
      </c>
      <c r="D1834" s="924" t="s">
        <v>855</v>
      </c>
      <c r="E1834" s="924" t="s">
        <v>856</v>
      </c>
      <c r="F1834" s="924" t="s">
        <v>1071</v>
      </c>
      <c r="G1834" s="924" t="s">
        <v>858</v>
      </c>
      <c r="H1834" s="924" t="s">
        <v>836</v>
      </c>
      <c r="I1834" s="924" t="s">
        <v>837</v>
      </c>
      <c r="J1834" s="924" t="s">
        <v>859</v>
      </c>
      <c r="K1834" s="924" t="s">
        <v>1072</v>
      </c>
      <c r="L1834" s="925">
        <v>396.38792800903298</v>
      </c>
      <c r="M1834" s="925">
        <v>3.5253554545988698E-3</v>
      </c>
    </row>
    <row r="1835" spans="1:13" ht="11.25" customHeight="1" x14ac:dyDescent="0.2">
      <c r="A1835" s="924" t="s">
        <v>853</v>
      </c>
      <c r="B1835" s="924" t="s">
        <v>796</v>
      </c>
      <c r="C1835" s="924" t="s">
        <v>1182</v>
      </c>
      <c r="D1835" s="924" t="s">
        <v>855</v>
      </c>
      <c r="E1835" s="924" t="s">
        <v>856</v>
      </c>
      <c r="F1835" s="924" t="s">
        <v>953</v>
      </c>
      <c r="G1835" s="924" t="s">
        <v>858</v>
      </c>
      <c r="H1835" s="924" t="s">
        <v>836</v>
      </c>
      <c r="I1835" s="924" t="s">
        <v>837</v>
      </c>
      <c r="J1835" s="924" t="s">
        <v>859</v>
      </c>
      <c r="K1835" s="924" t="s">
        <v>920</v>
      </c>
      <c r="L1835" s="925">
        <v>18.6460444778204</v>
      </c>
      <c r="M1835" s="925">
        <v>2.4051075114783801E-4</v>
      </c>
    </row>
    <row r="1836" spans="1:13" ht="11.25" customHeight="1" x14ac:dyDescent="0.2">
      <c r="A1836" s="924" t="s">
        <v>853</v>
      </c>
      <c r="B1836" s="924" t="s">
        <v>796</v>
      </c>
      <c r="C1836" s="924" t="s">
        <v>1182</v>
      </c>
      <c r="D1836" s="924" t="s">
        <v>855</v>
      </c>
      <c r="E1836" s="924" t="s">
        <v>856</v>
      </c>
      <c r="F1836" s="924" t="s">
        <v>1002</v>
      </c>
      <c r="G1836" s="924" t="s">
        <v>858</v>
      </c>
      <c r="H1836" s="924" t="s">
        <v>836</v>
      </c>
      <c r="I1836" s="924" t="s">
        <v>837</v>
      </c>
      <c r="J1836" s="924" t="s">
        <v>859</v>
      </c>
      <c r="K1836" s="924" t="s">
        <v>922</v>
      </c>
      <c r="L1836" s="925">
        <v>148.29081368446401</v>
      </c>
      <c r="M1836" s="925">
        <v>1.69541420470409E-3</v>
      </c>
    </row>
    <row r="1837" spans="1:13" ht="11.25" customHeight="1" x14ac:dyDescent="0.2">
      <c r="A1837" s="924" t="s">
        <v>853</v>
      </c>
      <c r="B1837" s="924" t="s">
        <v>796</v>
      </c>
      <c r="C1837" s="924" t="s">
        <v>1182</v>
      </c>
      <c r="D1837" s="924" t="s">
        <v>855</v>
      </c>
      <c r="E1837" s="924" t="s">
        <v>856</v>
      </c>
      <c r="F1837" s="924" t="s">
        <v>1003</v>
      </c>
      <c r="G1837" s="924" t="s">
        <v>858</v>
      </c>
      <c r="H1837" s="924" t="s">
        <v>836</v>
      </c>
      <c r="I1837" s="924" t="s">
        <v>837</v>
      </c>
      <c r="J1837" s="924" t="s">
        <v>859</v>
      </c>
      <c r="K1837" s="924" t="s">
        <v>924</v>
      </c>
      <c r="L1837" s="925">
        <v>504.19054412841803</v>
      </c>
      <c r="M1837" s="925">
        <v>4.8088644820154496E-3</v>
      </c>
    </row>
    <row r="1838" spans="1:13" ht="11.25" customHeight="1" x14ac:dyDescent="0.2">
      <c r="A1838" s="924" t="s">
        <v>853</v>
      </c>
      <c r="B1838" s="924" t="s">
        <v>796</v>
      </c>
      <c r="C1838" s="924" t="s">
        <v>1182</v>
      </c>
      <c r="D1838" s="924" t="s">
        <v>855</v>
      </c>
      <c r="E1838" s="924" t="s">
        <v>856</v>
      </c>
      <c r="F1838" s="924" t="s">
        <v>1004</v>
      </c>
      <c r="G1838" s="924" t="s">
        <v>858</v>
      </c>
      <c r="H1838" s="924" t="s">
        <v>836</v>
      </c>
      <c r="I1838" s="924" t="s">
        <v>837</v>
      </c>
      <c r="J1838" s="924" t="s">
        <v>859</v>
      </c>
      <c r="K1838" s="924" t="s">
        <v>926</v>
      </c>
      <c r="L1838" s="925">
        <v>305.55798721313499</v>
      </c>
      <c r="M1838" s="925">
        <v>1.24691222695219E-2</v>
      </c>
    </row>
    <row r="1839" spans="1:13" ht="11.25" customHeight="1" x14ac:dyDescent="0.2">
      <c r="A1839" s="924" t="s">
        <v>853</v>
      </c>
      <c r="B1839" s="924" t="s">
        <v>796</v>
      </c>
      <c r="C1839" s="924" t="s">
        <v>1182</v>
      </c>
      <c r="D1839" s="924" t="s">
        <v>855</v>
      </c>
      <c r="E1839" s="924" t="s">
        <v>856</v>
      </c>
      <c r="F1839" s="924" t="s">
        <v>1005</v>
      </c>
      <c r="G1839" s="924" t="s">
        <v>858</v>
      </c>
      <c r="H1839" s="924" t="s">
        <v>836</v>
      </c>
      <c r="I1839" s="924" t="s">
        <v>837</v>
      </c>
      <c r="J1839" s="924" t="s">
        <v>859</v>
      </c>
      <c r="K1839" s="924" t="s">
        <v>1006</v>
      </c>
      <c r="L1839" s="925">
        <v>461.17605590820301</v>
      </c>
      <c r="M1839" s="925">
        <v>3.57204314354931E-3</v>
      </c>
    </row>
    <row r="1840" spans="1:13" ht="11.25" customHeight="1" x14ac:dyDescent="0.2">
      <c r="A1840" s="924" t="s">
        <v>853</v>
      </c>
      <c r="B1840" s="924" t="s">
        <v>796</v>
      </c>
      <c r="C1840" s="924" t="s">
        <v>1182</v>
      </c>
      <c r="D1840" s="924" t="s">
        <v>855</v>
      </c>
      <c r="E1840" s="924" t="s">
        <v>856</v>
      </c>
      <c r="F1840" s="924" t="s">
        <v>1007</v>
      </c>
      <c r="G1840" s="924" t="s">
        <v>858</v>
      </c>
      <c r="H1840" s="924" t="s">
        <v>836</v>
      </c>
      <c r="I1840" s="924" t="s">
        <v>837</v>
      </c>
      <c r="J1840" s="924" t="s">
        <v>859</v>
      </c>
      <c r="K1840" s="924" t="s">
        <v>928</v>
      </c>
      <c r="L1840" s="925">
        <v>212.31840181350699</v>
      </c>
      <c r="M1840" s="925">
        <v>9.2582450338341005E-3</v>
      </c>
    </row>
    <row r="1841" spans="1:13" ht="11.25" customHeight="1" x14ac:dyDescent="0.2">
      <c r="A1841" s="924" t="s">
        <v>853</v>
      </c>
      <c r="B1841" s="924" t="s">
        <v>796</v>
      </c>
      <c r="C1841" s="924" t="s">
        <v>1182</v>
      </c>
      <c r="D1841" s="924" t="s">
        <v>855</v>
      </c>
      <c r="E1841" s="924" t="s">
        <v>856</v>
      </c>
      <c r="F1841" s="924" t="s">
        <v>1008</v>
      </c>
      <c r="G1841" s="924" t="s">
        <v>858</v>
      </c>
      <c r="H1841" s="924" t="s">
        <v>836</v>
      </c>
      <c r="I1841" s="924" t="s">
        <v>837</v>
      </c>
      <c r="J1841" s="924" t="s">
        <v>859</v>
      </c>
      <c r="K1841" s="924" t="s">
        <v>1009</v>
      </c>
      <c r="L1841" s="925">
        <v>49.495789110660603</v>
      </c>
      <c r="M1841" s="925">
        <v>4.03226911089405E-4</v>
      </c>
    </row>
    <row r="1842" spans="1:13" ht="11.25" customHeight="1" x14ac:dyDescent="0.2">
      <c r="A1842" s="924" t="s">
        <v>853</v>
      </c>
      <c r="B1842" s="924" t="s">
        <v>796</v>
      </c>
      <c r="C1842" s="924" t="s">
        <v>1182</v>
      </c>
      <c r="D1842" s="924" t="s">
        <v>855</v>
      </c>
      <c r="E1842" s="924" t="s">
        <v>856</v>
      </c>
      <c r="F1842" s="924" t="s">
        <v>1010</v>
      </c>
      <c r="G1842" s="924" t="s">
        <v>858</v>
      </c>
      <c r="H1842" s="924" t="s">
        <v>836</v>
      </c>
      <c r="I1842" s="924" t="s">
        <v>837</v>
      </c>
      <c r="J1842" s="924" t="s">
        <v>859</v>
      </c>
      <c r="K1842" s="924" t="s">
        <v>1011</v>
      </c>
      <c r="L1842" s="925">
        <v>0.64959419332444701</v>
      </c>
      <c r="M1842" s="925">
        <v>2.9890610049765299E-5</v>
      </c>
    </row>
    <row r="1843" spans="1:13" ht="11.25" customHeight="1" x14ac:dyDescent="0.2">
      <c r="A1843" s="924" t="s">
        <v>853</v>
      </c>
      <c r="B1843" s="924" t="s">
        <v>796</v>
      </c>
      <c r="C1843" s="924" t="s">
        <v>1182</v>
      </c>
      <c r="D1843" s="924" t="s">
        <v>855</v>
      </c>
      <c r="E1843" s="924" t="s">
        <v>856</v>
      </c>
      <c r="F1843" s="924" t="s">
        <v>1012</v>
      </c>
      <c r="G1843" s="924" t="s">
        <v>858</v>
      </c>
      <c r="H1843" s="924" t="s">
        <v>836</v>
      </c>
      <c r="I1843" s="924" t="s">
        <v>837</v>
      </c>
      <c r="J1843" s="924" t="s">
        <v>859</v>
      </c>
      <c r="K1843" s="924" t="s">
        <v>891</v>
      </c>
      <c r="L1843" s="925">
        <v>47.606139123439803</v>
      </c>
      <c r="M1843" s="925">
        <v>6.3098351972712397E-4</v>
      </c>
    </row>
    <row r="1844" spans="1:13" ht="11.25" customHeight="1" x14ac:dyDescent="0.2">
      <c r="A1844" s="924" t="s">
        <v>853</v>
      </c>
      <c r="B1844" s="924" t="s">
        <v>796</v>
      </c>
      <c r="C1844" s="924" t="s">
        <v>1182</v>
      </c>
      <c r="D1844" s="924" t="s">
        <v>855</v>
      </c>
      <c r="E1844" s="924" t="s">
        <v>856</v>
      </c>
      <c r="F1844" s="924" t="s">
        <v>1018</v>
      </c>
      <c r="G1844" s="924" t="s">
        <v>858</v>
      </c>
      <c r="H1844" s="924" t="s">
        <v>836</v>
      </c>
      <c r="I1844" s="924" t="s">
        <v>837</v>
      </c>
      <c r="J1844" s="924" t="s">
        <v>870</v>
      </c>
      <c r="K1844" s="924" t="s">
        <v>1019</v>
      </c>
      <c r="L1844" s="925">
        <v>396.98360228538502</v>
      </c>
      <c r="M1844" s="925">
        <v>2.98350318880125E-3</v>
      </c>
    </row>
    <row r="1845" spans="1:13" ht="11.25" customHeight="1" x14ac:dyDescent="0.2">
      <c r="A1845" s="924" t="s">
        <v>853</v>
      </c>
      <c r="B1845" s="924" t="s">
        <v>796</v>
      </c>
      <c r="C1845" s="924" t="s">
        <v>1182</v>
      </c>
      <c r="D1845" s="924" t="s">
        <v>855</v>
      </c>
      <c r="E1845" s="924" t="s">
        <v>856</v>
      </c>
      <c r="F1845" s="924" t="s">
        <v>1014</v>
      </c>
      <c r="G1845" s="924" t="s">
        <v>858</v>
      </c>
      <c r="H1845" s="924" t="s">
        <v>836</v>
      </c>
      <c r="I1845" s="924" t="s">
        <v>837</v>
      </c>
      <c r="J1845" s="924" t="s">
        <v>863</v>
      </c>
      <c r="K1845" s="924" t="s">
        <v>933</v>
      </c>
      <c r="L1845" s="925">
        <v>725.16423892974899</v>
      </c>
      <c r="M1845" s="925">
        <v>5.13383313915483E-3</v>
      </c>
    </row>
    <row r="1846" spans="1:13" ht="11.25" customHeight="1" x14ac:dyDescent="0.2">
      <c r="A1846" s="924" t="s">
        <v>853</v>
      </c>
      <c r="B1846" s="924" t="s">
        <v>796</v>
      </c>
      <c r="C1846" s="924" t="s">
        <v>1182</v>
      </c>
      <c r="D1846" s="924" t="s">
        <v>855</v>
      </c>
      <c r="E1846" s="924" t="s">
        <v>856</v>
      </c>
      <c r="F1846" s="924" t="s">
        <v>975</v>
      </c>
      <c r="G1846" s="924" t="s">
        <v>858</v>
      </c>
      <c r="H1846" s="924" t="s">
        <v>836</v>
      </c>
      <c r="I1846" s="924" t="s">
        <v>837</v>
      </c>
      <c r="J1846" s="924" t="s">
        <v>870</v>
      </c>
      <c r="K1846" s="924" t="s">
        <v>976</v>
      </c>
      <c r="L1846" s="925">
        <v>4426.3450832366898</v>
      </c>
      <c r="M1846" s="925">
        <v>6.6246678296465702E-2</v>
      </c>
    </row>
    <row r="1847" spans="1:13" ht="11.25" customHeight="1" x14ac:dyDescent="0.2">
      <c r="A1847" s="924" t="s">
        <v>853</v>
      </c>
      <c r="B1847" s="924" t="s">
        <v>796</v>
      </c>
      <c r="C1847" s="924" t="s">
        <v>1182</v>
      </c>
      <c r="D1847" s="924" t="s">
        <v>855</v>
      </c>
      <c r="E1847" s="924" t="s">
        <v>856</v>
      </c>
      <c r="F1847" s="924" t="s">
        <v>1017</v>
      </c>
      <c r="G1847" s="924" t="s">
        <v>858</v>
      </c>
      <c r="H1847" s="924" t="s">
        <v>836</v>
      </c>
      <c r="I1847" s="924" t="s">
        <v>837</v>
      </c>
      <c r="J1847" s="924" t="s">
        <v>863</v>
      </c>
      <c r="K1847" s="924" t="s">
        <v>864</v>
      </c>
      <c r="L1847" s="925">
        <v>321.24455022811901</v>
      </c>
      <c r="M1847" s="925">
        <v>4.3567171210838803E-3</v>
      </c>
    </row>
    <row r="1848" spans="1:13" ht="11.25" customHeight="1" x14ac:dyDescent="0.2">
      <c r="A1848" s="924" t="s">
        <v>853</v>
      </c>
      <c r="B1848" s="924" t="s">
        <v>796</v>
      </c>
      <c r="C1848" s="924" t="s">
        <v>1182</v>
      </c>
      <c r="D1848" s="924" t="s">
        <v>855</v>
      </c>
      <c r="E1848" s="924" t="s">
        <v>856</v>
      </c>
      <c r="F1848" s="924" t="s">
        <v>1001</v>
      </c>
      <c r="G1848" s="924" t="s">
        <v>858</v>
      </c>
      <c r="H1848" s="924" t="s">
        <v>836</v>
      </c>
      <c r="I1848" s="924" t="s">
        <v>837</v>
      </c>
      <c r="J1848" s="924" t="s">
        <v>863</v>
      </c>
      <c r="K1848" s="924" t="s">
        <v>915</v>
      </c>
      <c r="L1848" s="925">
        <v>12.398634403944</v>
      </c>
      <c r="M1848" s="925">
        <v>3.7883103778568701E-4</v>
      </c>
    </row>
    <row r="1849" spans="1:13" ht="11.25" customHeight="1" x14ac:dyDescent="0.2">
      <c r="A1849" s="924" t="s">
        <v>853</v>
      </c>
      <c r="B1849" s="924" t="s">
        <v>796</v>
      </c>
      <c r="C1849" s="924" t="s">
        <v>1182</v>
      </c>
      <c r="D1849" s="924" t="s">
        <v>855</v>
      </c>
      <c r="E1849" s="924" t="s">
        <v>856</v>
      </c>
      <c r="F1849" s="924" t="s">
        <v>1020</v>
      </c>
      <c r="G1849" s="924" t="s">
        <v>858</v>
      </c>
      <c r="H1849" s="924" t="s">
        <v>836</v>
      </c>
      <c r="I1849" s="924" t="s">
        <v>837</v>
      </c>
      <c r="J1849" s="924" t="s">
        <v>863</v>
      </c>
      <c r="K1849" s="924" t="s">
        <v>866</v>
      </c>
      <c r="L1849" s="925">
        <v>614.06357002258301</v>
      </c>
      <c r="M1849" s="925">
        <v>1.4904902169746499E-2</v>
      </c>
    </row>
    <row r="1850" spans="1:13" ht="11.25" customHeight="1" x14ac:dyDescent="0.2">
      <c r="A1850" s="924" t="s">
        <v>853</v>
      </c>
      <c r="B1850" s="924" t="s">
        <v>796</v>
      </c>
      <c r="C1850" s="924" t="s">
        <v>1182</v>
      </c>
      <c r="D1850" s="924" t="s">
        <v>855</v>
      </c>
      <c r="E1850" s="924" t="s">
        <v>856</v>
      </c>
      <c r="F1850" s="924" t="s">
        <v>1021</v>
      </c>
      <c r="G1850" s="924" t="s">
        <v>858</v>
      </c>
      <c r="H1850" s="924" t="s">
        <v>836</v>
      </c>
      <c r="I1850" s="924" t="s">
        <v>837</v>
      </c>
      <c r="J1850" s="924" t="s">
        <v>863</v>
      </c>
      <c r="K1850" s="924" t="s">
        <v>868</v>
      </c>
      <c r="L1850" s="925">
        <v>457.03466558456398</v>
      </c>
      <c r="M1850" s="925">
        <v>2.4566421683687202E-3</v>
      </c>
    </row>
    <row r="1851" spans="1:13" ht="11.25" customHeight="1" x14ac:dyDescent="0.2">
      <c r="A1851" s="924" t="s">
        <v>853</v>
      </c>
      <c r="B1851" s="924" t="s">
        <v>796</v>
      </c>
      <c r="C1851" s="924" t="s">
        <v>1182</v>
      </c>
      <c r="D1851" s="924" t="s">
        <v>855</v>
      </c>
      <c r="E1851" s="924" t="s">
        <v>856</v>
      </c>
      <c r="F1851" s="924" t="s">
        <v>1022</v>
      </c>
      <c r="G1851" s="924" t="s">
        <v>858</v>
      </c>
      <c r="H1851" s="924" t="s">
        <v>836</v>
      </c>
      <c r="I1851" s="924" t="s">
        <v>837</v>
      </c>
      <c r="J1851" s="924" t="s">
        <v>940</v>
      </c>
      <c r="K1851" s="924" t="s">
        <v>1023</v>
      </c>
      <c r="L1851" s="925">
        <v>6.1753048881655601E-2</v>
      </c>
      <c r="M1851" s="925">
        <v>2.7738887329320501E-6</v>
      </c>
    </row>
    <row r="1852" spans="1:13" ht="11.25" customHeight="1" x14ac:dyDescent="0.2">
      <c r="A1852" s="924" t="s">
        <v>853</v>
      </c>
      <c r="B1852" s="924" t="s">
        <v>796</v>
      </c>
      <c r="C1852" s="924" t="s">
        <v>1182</v>
      </c>
      <c r="D1852" s="924" t="s">
        <v>855</v>
      </c>
      <c r="E1852" s="924" t="s">
        <v>856</v>
      </c>
      <c r="F1852" s="924" t="s">
        <v>1026</v>
      </c>
      <c r="G1852" s="924" t="s">
        <v>858</v>
      </c>
      <c r="H1852" s="924" t="s">
        <v>836</v>
      </c>
      <c r="I1852" s="924" t="s">
        <v>837</v>
      </c>
      <c r="J1852" s="924" t="s">
        <v>940</v>
      </c>
      <c r="K1852" s="924" t="s">
        <v>1027</v>
      </c>
      <c r="L1852" s="925">
        <v>432.83725607395201</v>
      </c>
      <c r="M1852" s="925">
        <v>1.8268399505501499E-2</v>
      </c>
    </row>
    <row r="1853" spans="1:13" ht="11.25" customHeight="1" x14ac:dyDescent="0.2">
      <c r="A1853" s="924" t="s">
        <v>853</v>
      </c>
      <c r="B1853" s="924" t="s">
        <v>796</v>
      </c>
      <c r="C1853" s="924" t="s">
        <v>1182</v>
      </c>
      <c r="D1853" s="924" t="s">
        <v>855</v>
      </c>
      <c r="E1853" s="924" t="s">
        <v>856</v>
      </c>
      <c r="F1853" s="924" t="s">
        <v>1028</v>
      </c>
      <c r="G1853" s="924" t="s">
        <v>858</v>
      </c>
      <c r="H1853" s="924" t="s">
        <v>836</v>
      </c>
      <c r="I1853" s="924" t="s">
        <v>837</v>
      </c>
      <c r="J1853" s="924" t="s">
        <v>940</v>
      </c>
      <c r="K1853" s="924" t="s">
        <v>1029</v>
      </c>
      <c r="L1853" s="925">
        <v>89.337632149457903</v>
      </c>
      <c r="M1853" s="925">
        <v>4.8460422235407901E-3</v>
      </c>
    </row>
    <row r="1854" spans="1:13" ht="11.25" customHeight="1" x14ac:dyDescent="0.2">
      <c r="A1854" s="924" t="s">
        <v>853</v>
      </c>
      <c r="B1854" s="924" t="s">
        <v>796</v>
      </c>
      <c r="C1854" s="924" t="s">
        <v>1182</v>
      </c>
      <c r="D1854" s="924" t="s">
        <v>855</v>
      </c>
      <c r="E1854" s="924" t="s">
        <v>856</v>
      </c>
      <c r="F1854" s="924" t="s">
        <v>1030</v>
      </c>
      <c r="G1854" s="924" t="s">
        <v>858</v>
      </c>
      <c r="H1854" s="924" t="s">
        <v>836</v>
      </c>
      <c r="I1854" s="924" t="s">
        <v>837</v>
      </c>
      <c r="J1854" s="924" t="s">
        <v>940</v>
      </c>
      <c r="K1854" s="924" t="s">
        <v>941</v>
      </c>
      <c r="L1854" s="925">
        <v>590.05217552185104</v>
      </c>
      <c r="M1854" s="925">
        <v>1.1083870184052101E-2</v>
      </c>
    </row>
    <row r="1855" spans="1:13" ht="11.25" customHeight="1" x14ac:dyDescent="0.2">
      <c r="A1855" s="924" t="s">
        <v>853</v>
      </c>
      <c r="B1855" s="924" t="s">
        <v>796</v>
      </c>
      <c r="C1855" s="924" t="s">
        <v>1182</v>
      </c>
      <c r="D1855" s="924" t="s">
        <v>855</v>
      </c>
      <c r="E1855" s="924" t="s">
        <v>1164</v>
      </c>
      <c r="F1855" s="924" t="s">
        <v>1167</v>
      </c>
      <c r="G1855" s="924" t="s">
        <v>911</v>
      </c>
      <c r="H1855" s="924" t="s">
        <v>665</v>
      </c>
      <c r="I1855" s="924" t="s">
        <v>706</v>
      </c>
      <c r="J1855" s="924" t="s">
        <v>1166</v>
      </c>
      <c r="K1855" s="924" t="s">
        <v>1166</v>
      </c>
      <c r="L1855" s="925">
        <v>4.9990826082648701E-3</v>
      </c>
      <c r="M1855" s="925">
        <v>2.3171224228235601E-7</v>
      </c>
    </row>
    <row r="1856" spans="1:13" ht="11.25" customHeight="1" x14ac:dyDescent="0.2">
      <c r="A1856" s="924" t="s">
        <v>853</v>
      </c>
      <c r="B1856" s="924" t="s">
        <v>796</v>
      </c>
      <c r="C1856" s="924" t="s">
        <v>1182</v>
      </c>
      <c r="D1856" s="924" t="s">
        <v>855</v>
      </c>
      <c r="E1856" s="924" t="s">
        <v>856</v>
      </c>
      <c r="F1856" s="924" t="s">
        <v>886</v>
      </c>
      <c r="G1856" s="924" t="s">
        <v>858</v>
      </c>
      <c r="H1856" s="924" t="s">
        <v>836</v>
      </c>
      <c r="I1856" s="924" t="s">
        <v>837</v>
      </c>
      <c r="J1856" s="924" t="s">
        <v>859</v>
      </c>
      <c r="K1856" s="924" t="s">
        <v>887</v>
      </c>
      <c r="L1856" s="925">
        <v>115.237416386604</v>
      </c>
      <c r="M1856" s="925">
        <v>8.5286655371419296E-4</v>
      </c>
    </row>
    <row r="1857" spans="1:13" ht="11.25" customHeight="1" x14ac:dyDescent="0.2">
      <c r="A1857" s="924" t="s">
        <v>853</v>
      </c>
      <c r="B1857" s="924" t="s">
        <v>796</v>
      </c>
      <c r="C1857" s="924" t="s">
        <v>1182</v>
      </c>
      <c r="D1857" s="924" t="s">
        <v>855</v>
      </c>
      <c r="E1857" s="924" t="s">
        <v>856</v>
      </c>
      <c r="F1857" s="924" t="s">
        <v>1013</v>
      </c>
      <c r="G1857" s="924" t="s">
        <v>858</v>
      </c>
      <c r="H1857" s="924" t="s">
        <v>836</v>
      </c>
      <c r="I1857" s="924" t="s">
        <v>837</v>
      </c>
      <c r="J1857" s="924" t="s">
        <v>863</v>
      </c>
      <c r="K1857" s="924" t="s">
        <v>931</v>
      </c>
      <c r="L1857" s="925">
        <v>50.055655777454398</v>
      </c>
      <c r="M1857" s="925">
        <v>1.82971451766889E-3</v>
      </c>
    </row>
    <row r="1858" spans="1:13" ht="11.25" customHeight="1" x14ac:dyDescent="0.2">
      <c r="A1858" s="924" t="s">
        <v>853</v>
      </c>
      <c r="B1858" s="924" t="s">
        <v>796</v>
      </c>
      <c r="C1858" s="924" t="s">
        <v>1182</v>
      </c>
      <c r="D1858" s="924" t="s">
        <v>855</v>
      </c>
      <c r="E1858" s="924" t="s">
        <v>1164</v>
      </c>
      <c r="F1858" s="924" t="s">
        <v>1168</v>
      </c>
      <c r="G1858" s="924" t="s">
        <v>858</v>
      </c>
      <c r="H1858" s="924" t="s">
        <v>836</v>
      </c>
      <c r="I1858" s="924" t="s">
        <v>837</v>
      </c>
      <c r="J1858" s="924" t="s">
        <v>1166</v>
      </c>
      <c r="K1858" s="924" t="s">
        <v>1166</v>
      </c>
      <c r="L1858" s="925">
        <v>0.27690873667597798</v>
      </c>
      <c r="M1858" s="925">
        <v>3.5423017892277599E-6</v>
      </c>
    </row>
    <row r="1859" spans="1:13" ht="11.25" customHeight="1" x14ac:dyDescent="0.2">
      <c r="A1859" s="924" t="s">
        <v>853</v>
      </c>
      <c r="B1859" s="924" t="s">
        <v>796</v>
      </c>
      <c r="C1859" s="924" t="s">
        <v>1182</v>
      </c>
      <c r="D1859" s="924" t="s">
        <v>855</v>
      </c>
      <c r="E1859" s="924" t="s">
        <v>856</v>
      </c>
      <c r="F1859" s="924" t="s">
        <v>1082</v>
      </c>
      <c r="G1859" s="924" t="s">
        <v>981</v>
      </c>
      <c r="H1859" s="924" t="s">
        <v>835</v>
      </c>
      <c r="I1859" s="924" t="s">
        <v>998</v>
      </c>
      <c r="J1859" s="924" t="s">
        <v>875</v>
      </c>
      <c r="K1859" s="924" t="s">
        <v>952</v>
      </c>
      <c r="L1859" s="925">
        <v>8.7483002687804401E-2</v>
      </c>
      <c r="M1859" s="925">
        <v>1.9547273859643599E-4</v>
      </c>
    </row>
    <row r="1860" spans="1:13" ht="11.25" customHeight="1" x14ac:dyDescent="0.2">
      <c r="A1860" s="924" t="s">
        <v>853</v>
      </c>
      <c r="B1860" s="924" t="s">
        <v>796</v>
      </c>
      <c r="C1860" s="924" t="s">
        <v>1182</v>
      </c>
      <c r="D1860" s="924" t="s">
        <v>855</v>
      </c>
      <c r="E1860" s="924" t="s">
        <v>856</v>
      </c>
      <c r="F1860" s="924" t="s">
        <v>1042</v>
      </c>
      <c r="G1860" s="924" t="s">
        <v>981</v>
      </c>
      <c r="H1860" s="924" t="s">
        <v>835</v>
      </c>
      <c r="I1860" s="924" t="s">
        <v>998</v>
      </c>
      <c r="J1860" s="924" t="s">
        <v>956</v>
      </c>
      <c r="K1860" s="924" t="s">
        <v>1043</v>
      </c>
      <c r="L1860" s="925">
        <v>13.225860118866001</v>
      </c>
      <c r="M1860" s="925">
        <v>2.2908738639671401E-2</v>
      </c>
    </row>
    <row r="1861" spans="1:13" ht="11.25" customHeight="1" x14ac:dyDescent="0.2">
      <c r="A1861" s="924" t="s">
        <v>853</v>
      </c>
      <c r="B1861" s="924" t="s">
        <v>796</v>
      </c>
      <c r="C1861" s="924" t="s">
        <v>1182</v>
      </c>
      <c r="D1861" s="924" t="s">
        <v>855</v>
      </c>
      <c r="E1861" s="924" t="s">
        <v>856</v>
      </c>
      <c r="F1861" s="924" t="s">
        <v>1044</v>
      </c>
      <c r="G1861" s="924" t="s">
        <v>981</v>
      </c>
      <c r="H1861" s="924" t="s">
        <v>835</v>
      </c>
      <c r="I1861" s="924" t="s">
        <v>1040</v>
      </c>
      <c r="J1861" s="924" t="s">
        <v>884</v>
      </c>
      <c r="K1861" s="924" t="s">
        <v>999</v>
      </c>
      <c r="L1861" s="925">
        <v>28.686618268489799</v>
      </c>
      <c r="M1861" s="925">
        <v>3.9423182519385598E-2</v>
      </c>
    </row>
    <row r="1862" spans="1:13" ht="11.25" customHeight="1" x14ac:dyDescent="0.2">
      <c r="A1862" s="924" t="s">
        <v>853</v>
      </c>
      <c r="B1862" s="924" t="s">
        <v>796</v>
      </c>
      <c r="C1862" s="924" t="s">
        <v>1182</v>
      </c>
      <c r="D1862" s="924" t="s">
        <v>855</v>
      </c>
      <c r="E1862" s="924" t="s">
        <v>856</v>
      </c>
      <c r="F1862" s="924" t="s">
        <v>1045</v>
      </c>
      <c r="G1862" s="924" t="s">
        <v>981</v>
      </c>
      <c r="H1862" s="924" t="s">
        <v>835</v>
      </c>
      <c r="I1862" s="924" t="s">
        <v>1040</v>
      </c>
      <c r="J1862" s="924" t="s">
        <v>884</v>
      </c>
      <c r="K1862" s="924" t="s">
        <v>1046</v>
      </c>
      <c r="L1862" s="925">
        <v>272.96323204040499</v>
      </c>
      <c r="M1862" s="925">
        <v>0.278121660921897</v>
      </c>
    </row>
    <row r="1863" spans="1:13" ht="11.25" customHeight="1" x14ac:dyDescent="0.2">
      <c r="A1863" s="924" t="s">
        <v>853</v>
      </c>
      <c r="B1863" s="924" t="s">
        <v>796</v>
      </c>
      <c r="C1863" s="924" t="s">
        <v>1182</v>
      </c>
      <c r="D1863" s="924" t="s">
        <v>855</v>
      </c>
      <c r="E1863" s="924" t="s">
        <v>856</v>
      </c>
      <c r="F1863" s="924" t="s">
        <v>1047</v>
      </c>
      <c r="G1863" s="924" t="s">
        <v>981</v>
      </c>
      <c r="H1863" s="924" t="s">
        <v>835</v>
      </c>
      <c r="I1863" s="924" t="s">
        <v>1040</v>
      </c>
      <c r="J1863" s="924" t="s">
        <v>884</v>
      </c>
      <c r="K1863" s="924" t="s">
        <v>1048</v>
      </c>
      <c r="L1863" s="925">
        <v>186.48304176330601</v>
      </c>
      <c r="M1863" s="925">
        <v>0.13993351813405799</v>
      </c>
    </row>
    <row r="1864" spans="1:13" ht="11.25" customHeight="1" x14ac:dyDescent="0.2">
      <c r="A1864" s="924" t="s">
        <v>853</v>
      </c>
      <c r="B1864" s="924" t="s">
        <v>796</v>
      </c>
      <c r="C1864" s="924" t="s">
        <v>1182</v>
      </c>
      <c r="D1864" s="924" t="s">
        <v>855</v>
      </c>
      <c r="E1864" s="924" t="s">
        <v>856</v>
      </c>
      <c r="F1864" s="924" t="s">
        <v>1049</v>
      </c>
      <c r="G1864" s="924" t="s">
        <v>981</v>
      </c>
      <c r="H1864" s="924" t="s">
        <v>835</v>
      </c>
      <c r="I1864" s="924" t="s">
        <v>1040</v>
      </c>
      <c r="J1864" s="924" t="s">
        <v>884</v>
      </c>
      <c r="K1864" s="924" t="s">
        <v>885</v>
      </c>
      <c r="L1864" s="925">
        <v>35.941084921360002</v>
      </c>
      <c r="M1864" s="925">
        <v>3.4098965821613099E-2</v>
      </c>
    </row>
    <row r="1865" spans="1:13" ht="11.25" customHeight="1" x14ac:dyDescent="0.2">
      <c r="A1865" s="924" t="s">
        <v>853</v>
      </c>
      <c r="B1865" s="924" t="s">
        <v>796</v>
      </c>
      <c r="C1865" s="924" t="s">
        <v>1182</v>
      </c>
      <c r="D1865" s="924" t="s">
        <v>855</v>
      </c>
      <c r="E1865" s="924" t="s">
        <v>856</v>
      </c>
      <c r="F1865" s="924" t="s">
        <v>1050</v>
      </c>
      <c r="G1865" s="924" t="s">
        <v>981</v>
      </c>
      <c r="H1865" s="924" t="s">
        <v>835</v>
      </c>
      <c r="I1865" s="924" t="s">
        <v>1040</v>
      </c>
      <c r="J1865" s="924" t="s">
        <v>859</v>
      </c>
      <c r="K1865" s="924" t="s">
        <v>913</v>
      </c>
      <c r="L1865" s="925">
        <v>2.5948999635875198</v>
      </c>
      <c r="M1865" s="925">
        <v>1.5330588482242999E-3</v>
      </c>
    </row>
    <row r="1866" spans="1:13" ht="11.25" customHeight="1" x14ac:dyDescent="0.2">
      <c r="A1866" s="924" t="s">
        <v>853</v>
      </c>
      <c r="B1866" s="924" t="s">
        <v>796</v>
      </c>
      <c r="C1866" s="924" t="s">
        <v>1182</v>
      </c>
      <c r="D1866" s="924" t="s">
        <v>855</v>
      </c>
      <c r="E1866" s="924" t="s">
        <v>856</v>
      </c>
      <c r="F1866" s="924" t="s">
        <v>1051</v>
      </c>
      <c r="G1866" s="924" t="s">
        <v>981</v>
      </c>
      <c r="H1866" s="924" t="s">
        <v>835</v>
      </c>
      <c r="I1866" s="924" t="s">
        <v>1040</v>
      </c>
      <c r="J1866" s="924" t="s">
        <v>859</v>
      </c>
      <c r="K1866" s="924" t="s">
        <v>889</v>
      </c>
      <c r="L1866" s="925">
        <v>1.94181266560918E-2</v>
      </c>
      <c r="M1866" s="925">
        <v>1.25929499716904E-5</v>
      </c>
    </row>
    <row r="1867" spans="1:13" ht="11.25" customHeight="1" x14ac:dyDescent="0.2">
      <c r="A1867" s="924" t="s">
        <v>853</v>
      </c>
      <c r="B1867" s="924" t="s">
        <v>796</v>
      </c>
      <c r="C1867" s="924" t="s">
        <v>1182</v>
      </c>
      <c r="D1867" s="924" t="s">
        <v>855</v>
      </c>
      <c r="E1867" s="924" t="s">
        <v>856</v>
      </c>
      <c r="F1867" s="924" t="s">
        <v>1052</v>
      </c>
      <c r="G1867" s="924" t="s">
        <v>981</v>
      </c>
      <c r="H1867" s="924" t="s">
        <v>835</v>
      </c>
      <c r="I1867" s="924" t="s">
        <v>1040</v>
      </c>
      <c r="J1867" s="924" t="s">
        <v>859</v>
      </c>
      <c r="K1867" s="924" t="s">
        <v>860</v>
      </c>
      <c r="L1867" s="925">
        <v>4.8875867128372201</v>
      </c>
      <c r="M1867" s="925">
        <v>3.4400079784973098E-3</v>
      </c>
    </row>
    <row r="1868" spans="1:13" ht="11.25" customHeight="1" x14ac:dyDescent="0.2">
      <c r="A1868" s="924" t="s">
        <v>853</v>
      </c>
      <c r="B1868" s="924" t="s">
        <v>796</v>
      </c>
      <c r="C1868" s="924" t="s">
        <v>1182</v>
      </c>
      <c r="D1868" s="924" t="s">
        <v>855</v>
      </c>
      <c r="E1868" s="924" t="s">
        <v>856</v>
      </c>
      <c r="F1868" s="924" t="s">
        <v>1138</v>
      </c>
      <c r="G1868" s="924" t="s">
        <v>981</v>
      </c>
      <c r="H1868" s="924" t="s">
        <v>835</v>
      </c>
      <c r="I1868" s="924" t="s">
        <v>1040</v>
      </c>
      <c r="J1868" s="924" t="s">
        <v>863</v>
      </c>
      <c r="K1868" s="924" t="s">
        <v>931</v>
      </c>
      <c r="L1868" s="925">
        <v>55.553183078765898</v>
      </c>
      <c r="M1868" s="925">
        <v>2.13828890227887E-2</v>
      </c>
    </row>
    <row r="1869" spans="1:13" ht="11.25" customHeight="1" x14ac:dyDescent="0.2">
      <c r="A1869" s="924" t="s">
        <v>853</v>
      </c>
      <c r="B1869" s="924" t="s">
        <v>796</v>
      </c>
      <c r="C1869" s="924" t="s">
        <v>1182</v>
      </c>
      <c r="D1869" s="924" t="s">
        <v>855</v>
      </c>
      <c r="E1869" s="924" t="s">
        <v>856</v>
      </c>
      <c r="F1869" s="924" t="s">
        <v>1068</v>
      </c>
      <c r="G1869" s="924" t="s">
        <v>981</v>
      </c>
      <c r="H1869" s="924" t="s">
        <v>835</v>
      </c>
      <c r="I1869" s="924" t="s">
        <v>1040</v>
      </c>
      <c r="J1869" s="924" t="s">
        <v>859</v>
      </c>
      <c r="K1869" s="924" t="s">
        <v>897</v>
      </c>
      <c r="L1869" s="925">
        <v>9.1732523590326291</v>
      </c>
      <c r="M1869" s="925">
        <v>6.1109570536075396E-3</v>
      </c>
    </row>
    <row r="1870" spans="1:13" ht="11.25" customHeight="1" x14ac:dyDescent="0.2">
      <c r="A1870" s="924" t="s">
        <v>853</v>
      </c>
      <c r="B1870" s="924" t="s">
        <v>796</v>
      </c>
      <c r="C1870" s="924" t="s">
        <v>1182</v>
      </c>
      <c r="D1870" s="924" t="s">
        <v>855</v>
      </c>
      <c r="E1870" s="924" t="s">
        <v>856</v>
      </c>
      <c r="F1870" s="924" t="s">
        <v>1102</v>
      </c>
      <c r="G1870" s="924" t="s">
        <v>981</v>
      </c>
      <c r="H1870" s="924" t="s">
        <v>835</v>
      </c>
      <c r="I1870" s="924" t="s">
        <v>998</v>
      </c>
      <c r="J1870" s="924" t="s">
        <v>875</v>
      </c>
      <c r="K1870" s="924" t="s">
        <v>876</v>
      </c>
      <c r="L1870" s="925">
        <v>2.1670662462711299</v>
      </c>
      <c r="M1870" s="925">
        <v>4.3849597677763103E-3</v>
      </c>
    </row>
    <row r="1871" spans="1:13" ht="11.25" customHeight="1" x14ac:dyDescent="0.2">
      <c r="A1871" s="924" t="s">
        <v>853</v>
      </c>
      <c r="B1871" s="924" t="s">
        <v>796</v>
      </c>
      <c r="C1871" s="924" t="s">
        <v>1182</v>
      </c>
      <c r="D1871" s="924" t="s">
        <v>855</v>
      </c>
      <c r="E1871" s="924" t="s">
        <v>856</v>
      </c>
      <c r="F1871" s="924" t="s">
        <v>1039</v>
      </c>
      <c r="G1871" s="924" t="s">
        <v>981</v>
      </c>
      <c r="H1871" s="924" t="s">
        <v>835</v>
      </c>
      <c r="I1871" s="924" t="s">
        <v>1040</v>
      </c>
      <c r="J1871" s="924" t="s">
        <v>859</v>
      </c>
      <c r="K1871" s="924" t="s">
        <v>901</v>
      </c>
      <c r="L1871" s="925">
        <v>0.20155493984930201</v>
      </c>
      <c r="M1871" s="925">
        <v>1.48370652709673E-4</v>
      </c>
    </row>
    <row r="1872" spans="1:13" ht="11.25" customHeight="1" x14ac:dyDescent="0.2">
      <c r="A1872" s="924" t="s">
        <v>853</v>
      </c>
      <c r="B1872" s="924" t="s">
        <v>796</v>
      </c>
      <c r="C1872" s="924" t="s">
        <v>1182</v>
      </c>
      <c r="D1872" s="924" t="s">
        <v>855</v>
      </c>
      <c r="E1872" s="924" t="s">
        <v>856</v>
      </c>
      <c r="F1872" s="924" t="s">
        <v>1058</v>
      </c>
      <c r="G1872" s="924" t="s">
        <v>981</v>
      </c>
      <c r="H1872" s="924" t="s">
        <v>835</v>
      </c>
      <c r="I1872" s="924" t="s">
        <v>1040</v>
      </c>
      <c r="J1872" s="924" t="s">
        <v>859</v>
      </c>
      <c r="K1872" s="924" t="s">
        <v>905</v>
      </c>
      <c r="L1872" s="925">
        <v>2.82978442683816</v>
      </c>
      <c r="M1872" s="925">
        <v>2.2347970511873401E-3</v>
      </c>
    </row>
    <row r="1873" spans="1:13" ht="11.25" customHeight="1" x14ac:dyDescent="0.2">
      <c r="A1873" s="924" t="s">
        <v>853</v>
      </c>
      <c r="B1873" s="924" t="s">
        <v>796</v>
      </c>
      <c r="C1873" s="924" t="s">
        <v>1182</v>
      </c>
      <c r="D1873" s="924" t="s">
        <v>855</v>
      </c>
      <c r="E1873" s="924" t="s">
        <v>856</v>
      </c>
      <c r="F1873" s="924" t="s">
        <v>1059</v>
      </c>
      <c r="G1873" s="924" t="s">
        <v>981</v>
      </c>
      <c r="H1873" s="924" t="s">
        <v>835</v>
      </c>
      <c r="I1873" s="924" t="s">
        <v>1040</v>
      </c>
      <c r="J1873" s="924" t="s">
        <v>859</v>
      </c>
      <c r="K1873" s="924" t="s">
        <v>909</v>
      </c>
      <c r="L1873" s="925">
        <v>16.864379301667199</v>
      </c>
      <c r="M1873" s="925">
        <v>1.1628769076196499E-2</v>
      </c>
    </row>
    <row r="1874" spans="1:13" ht="11.25" customHeight="1" x14ac:dyDescent="0.2">
      <c r="A1874" s="924" t="s">
        <v>853</v>
      </c>
      <c r="B1874" s="924" t="s">
        <v>796</v>
      </c>
      <c r="C1874" s="924" t="s">
        <v>1182</v>
      </c>
      <c r="D1874" s="924" t="s">
        <v>855</v>
      </c>
      <c r="E1874" s="924" t="s">
        <v>856</v>
      </c>
      <c r="F1874" s="924" t="s">
        <v>1060</v>
      </c>
      <c r="G1874" s="924" t="s">
        <v>981</v>
      </c>
      <c r="H1874" s="924" t="s">
        <v>835</v>
      </c>
      <c r="I1874" s="924" t="s">
        <v>1040</v>
      </c>
      <c r="J1874" s="924" t="s">
        <v>859</v>
      </c>
      <c r="K1874" s="924" t="s">
        <v>973</v>
      </c>
      <c r="L1874" s="925">
        <v>8.0891062319278699</v>
      </c>
      <c r="M1874" s="925">
        <v>5.4907221273339203E-3</v>
      </c>
    </row>
    <row r="1875" spans="1:13" ht="11.25" customHeight="1" x14ac:dyDescent="0.2">
      <c r="A1875" s="924" t="s">
        <v>853</v>
      </c>
      <c r="B1875" s="924" t="s">
        <v>796</v>
      </c>
      <c r="C1875" s="924" t="s">
        <v>1182</v>
      </c>
      <c r="D1875" s="924" t="s">
        <v>855</v>
      </c>
      <c r="E1875" s="924" t="s">
        <v>856</v>
      </c>
      <c r="F1875" s="924" t="s">
        <v>1061</v>
      </c>
      <c r="G1875" s="924" t="s">
        <v>981</v>
      </c>
      <c r="H1875" s="924" t="s">
        <v>835</v>
      </c>
      <c r="I1875" s="924" t="s">
        <v>1040</v>
      </c>
      <c r="J1875" s="924" t="s">
        <v>859</v>
      </c>
      <c r="K1875" s="924" t="s">
        <v>918</v>
      </c>
      <c r="L1875" s="925">
        <v>0.62660575704649102</v>
      </c>
      <c r="M1875" s="925">
        <v>2.75436894526138E-4</v>
      </c>
    </row>
    <row r="1876" spans="1:13" ht="11.25" customHeight="1" x14ac:dyDescent="0.2">
      <c r="A1876" s="924" t="s">
        <v>853</v>
      </c>
      <c r="B1876" s="924" t="s">
        <v>796</v>
      </c>
      <c r="C1876" s="924" t="s">
        <v>1182</v>
      </c>
      <c r="D1876" s="924" t="s">
        <v>855</v>
      </c>
      <c r="E1876" s="924" t="s">
        <v>856</v>
      </c>
      <c r="F1876" s="924" t="s">
        <v>1062</v>
      </c>
      <c r="G1876" s="924" t="s">
        <v>981</v>
      </c>
      <c r="H1876" s="924" t="s">
        <v>835</v>
      </c>
      <c r="I1876" s="924" t="s">
        <v>1040</v>
      </c>
      <c r="J1876" s="924" t="s">
        <v>859</v>
      </c>
      <c r="K1876" s="924" t="s">
        <v>920</v>
      </c>
      <c r="L1876" s="925">
        <v>1.09175359457731</v>
      </c>
      <c r="M1876" s="925">
        <v>7.3746390779660899E-4</v>
      </c>
    </row>
    <row r="1877" spans="1:13" ht="11.25" customHeight="1" x14ac:dyDescent="0.2">
      <c r="A1877" s="924" t="s">
        <v>853</v>
      </c>
      <c r="B1877" s="924" t="s">
        <v>796</v>
      </c>
      <c r="C1877" s="924" t="s">
        <v>1182</v>
      </c>
      <c r="D1877" s="924" t="s">
        <v>855</v>
      </c>
      <c r="E1877" s="924" t="s">
        <v>856</v>
      </c>
      <c r="F1877" s="924" t="s">
        <v>1063</v>
      </c>
      <c r="G1877" s="924" t="s">
        <v>981</v>
      </c>
      <c r="H1877" s="924" t="s">
        <v>835</v>
      </c>
      <c r="I1877" s="924" t="s">
        <v>1040</v>
      </c>
      <c r="J1877" s="924" t="s">
        <v>859</v>
      </c>
      <c r="K1877" s="924" t="s">
        <v>922</v>
      </c>
      <c r="L1877" s="925">
        <v>0.95945767592638698</v>
      </c>
      <c r="M1877" s="925">
        <v>1.7320681314458901E-4</v>
      </c>
    </row>
    <row r="1878" spans="1:13" ht="11.25" customHeight="1" x14ac:dyDescent="0.2">
      <c r="A1878" s="924" t="s">
        <v>853</v>
      </c>
      <c r="B1878" s="924" t="s">
        <v>796</v>
      </c>
      <c r="C1878" s="924" t="s">
        <v>1182</v>
      </c>
      <c r="D1878" s="924" t="s">
        <v>855</v>
      </c>
      <c r="E1878" s="924" t="s">
        <v>856</v>
      </c>
      <c r="F1878" s="924" t="s">
        <v>1064</v>
      </c>
      <c r="G1878" s="924" t="s">
        <v>981</v>
      </c>
      <c r="H1878" s="924" t="s">
        <v>835</v>
      </c>
      <c r="I1878" s="924" t="s">
        <v>1040</v>
      </c>
      <c r="J1878" s="924" t="s">
        <v>859</v>
      </c>
      <c r="K1878" s="924" t="s">
        <v>924</v>
      </c>
      <c r="L1878" s="925">
        <v>2.31091073155403</v>
      </c>
      <c r="M1878" s="925">
        <v>1.72361439126689E-4</v>
      </c>
    </row>
    <row r="1879" spans="1:13" ht="11.25" customHeight="1" x14ac:dyDescent="0.2">
      <c r="A1879" s="924" t="s">
        <v>853</v>
      </c>
      <c r="B1879" s="924" t="s">
        <v>796</v>
      </c>
      <c r="C1879" s="924" t="s">
        <v>1182</v>
      </c>
      <c r="D1879" s="924" t="s">
        <v>855</v>
      </c>
      <c r="E1879" s="924" t="s">
        <v>856</v>
      </c>
      <c r="F1879" s="924" t="s">
        <v>1065</v>
      </c>
      <c r="G1879" s="924" t="s">
        <v>981</v>
      </c>
      <c r="H1879" s="924" t="s">
        <v>835</v>
      </c>
      <c r="I1879" s="924" t="s">
        <v>1040</v>
      </c>
      <c r="J1879" s="924" t="s">
        <v>859</v>
      </c>
      <c r="K1879" s="924" t="s">
        <v>926</v>
      </c>
      <c r="L1879" s="925">
        <v>5.5357763245701799</v>
      </c>
      <c r="M1879" s="925">
        <v>3.6684835395135499E-3</v>
      </c>
    </row>
    <row r="1880" spans="1:13" ht="11.25" customHeight="1" x14ac:dyDescent="0.2">
      <c r="A1880" s="924" t="s">
        <v>853</v>
      </c>
      <c r="B1880" s="924" t="s">
        <v>796</v>
      </c>
      <c r="C1880" s="924" t="s">
        <v>1182</v>
      </c>
      <c r="D1880" s="924" t="s">
        <v>855</v>
      </c>
      <c r="E1880" s="924" t="s">
        <v>856</v>
      </c>
      <c r="F1880" s="924" t="s">
        <v>1066</v>
      </c>
      <c r="G1880" s="924" t="s">
        <v>981</v>
      </c>
      <c r="H1880" s="924" t="s">
        <v>835</v>
      </c>
      <c r="I1880" s="924" t="s">
        <v>1040</v>
      </c>
      <c r="J1880" s="924" t="s">
        <v>859</v>
      </c>
      <c r="K1880" s="924" t="s">
        <v>928</v>
      </c>
      <c r="L1880" s="925">
        <v>3.7577007859945302</v>
      </c>
      <c r="M1880" s="925">
        <v>1.89614223904755E-3</v>
      </c>
    </row>
    <row r="1881" spans="1:13" ht="11.25" customHeight="1" x14ac:dyDescent="0.2">
      <c r="A1881" s="924" t="s">
        <v>853</v>
      </c>
      <c r="B1881" s="924" t="s">
        <v>796</v>
      </c>
      <c r="C1881" s="924" t="s">
        <v>1182</v>
      </c>
      <c r="D1881" s="924" t="s">
        <v>855</v>
      </c>
      <c r="E1881" s="924" t="s">
        <v>856</v>
      </c>
      <c r="F1881" s="924" t="s">
        <v>1053</v>
      </c>
      <c r="G1881" s="924" t="s">
        <v>981</v>
      </c>
      <c r="H1881" s="924" t="s">
        <v>835</v>
      </c>
      <c r="I1881" s="924" t="s">
        <v>1040</v>
      </c>
      <c r="J1881" s="924" t="s">
        <v>859</v>
      </c>
      <c r="K1881" s="924" t="s">
        <v>893</v>
      </c>
      <c r="L1881" s="925">
        <v>4.6008887700736496</v>
      </c>
      <c r="M1881" s="925">
        <v>2.7933549827139398E-3</v>
      </c>
    </row>
    <row r="1882" spans="1:13" ht="11.25" customHeight="1" x14ac:dyDescent="0.2">
      <c r="A1882" s="924" t="s">
        <v>853</v>
      </c>
      <c r="B1882" s="924" t="s">
        <v>796</v>
      </c>
      <c r="C1882" s="924" t="s">
        <v>1182</v>
      </c>
      <c r="D1882" s="924" t="s">
        <v>855</v>
      </c>
      <c r="E1882" s="924" t="s">
        <v>856</v>
      </c>
      <c r="F1882" s="924" t="s">
        <v>1083</v>
      </c>
      <c r="G1882" s="924" t="s">
        <v>981</v>
      </c>
      <c r="H1882" s="924" t="s">
        <v>835</v>
      </c>
      <c r="I1882" s="924" t="s">
        <v>998</v>
      </c>
      <c r="J1882" s="924" t="s">
        <v>940</v>
      </c>
      <c r="K1882" s="924" t="s">
        <v>1084</v>
      </c>
      <c r="L1882" s="925">
        <v>1.3106629317626399</v>
      </c>
      <c r="M1882" s="925">
        <v>2.3944936474436002E-3</v>
      </c>
    </row>
    <row r="1883" spans="1:13" ht="11.25" customHeight="1" x14ac:dyDescent="0.2">
      <c r="A1883" s="924" t="s">
        <v>853</v>
      </c>
      <c r="B1883" s="924" t="s">
        <v>796</v>
      </c>
      <c r="C1883" s="924" t="s">
        <v>1182</v>
      </c>
      <c r="D1883" s="924" t="s">
        <v>855</v>
      </c>
      <c r="E1883" s="924" t="s">
        <v>856</v>
      </c>
      <c r="F1883" s="924" t="s">
        <v>1057</v>
      </c>
      <c r="G1883" s="924" t="s">
        <v>981</v>
      </c>
      <c r="H1883" s="924" t="s">
        <v>835</v>
      </c>
      <c r="I1883" s="924" t="s">
        <v>1040</v>
      </c>
      <c r="J1883" s="924" t="s">
        <v>859</v>
      </c>
      <c r="K1883" s="924" t="s">
        <v>903</v>
      </c>
      <c r="L1883" s="925">
        <v>8.0692861974239296</v>
      </c>
      <c r="M1883" s="925">
        <v>4.9661215400931304E-3</v>
      </c>
    </row>
    <row r="1884" spans="1:13" ht="11.25" customHeight="1" x14ac:dyDescent="0.2">
      <c r="A1884" s="924" t="s">
        <v>853</v>
      </c>
      <c r="B1884" s="924" t="s">
        <v>796</v>
      </c>
      <c r="C1884" s="924" t="s">
        <v>1182</v>
      </c>
      <c r="D1884" s="924" t="s">
        <v>855</v>
      </c>
      <c r="E1884" s="924" t="s">
        <v>856</v>
      </c>
      <c r="F1884" s="924" t="s">
        <v>997</v>
      </c>
      <c r="G1884" s="924" t="s">
        <v>981</v>
      </c>
      <c r="H1884" s="924" t="s">
        <v>835</v>
      </c>
      <c r="I1884" s="924" t="s">
        <v>998</v>
      </c>
      <c r="J1884" s="924" t="s">
        <v>884</v>
      </c>
      <c r="K1884" s="924" t="s">
        <v>999</v>
      </c>
      <c r="L1884" s="925">
        <v>62.963210105896003</v>
      </c>
      <c r="M1884" s="925">
        <v>0.200580061413348</v>
      </c>
    </row>
    <row r="1885" spans="1:13" ht="11.25" customHeight="1" x14ac:dyDescent="0.2">
      <c r="A1885" s="924" t="s">
        <v>853</v>
      </c>
      <c r="B1885" s="924" t="s">
        <v>796</v>
      </c>
      <c r="C1885" s="924" t="s">
        <v>1182</v>
      </c>
      <c r="D1885" s="924" t="s">
        <v>855</v>
      </c>
      <c r="E1885" s="924" t="s">
        <v>856</v>
      </c>
      <c r="F1885" s="924" t="s">
        <v>1073</v>
      </c>
      <c r="G1885" s="924" t="s">
        <v>981</v>
      </c>
      <c r="H1885" s="924" t="s">
        <v>835</v>
      </c>
      <c r="I1885" s="924" t="s">
        <v>998</v>
      </c>
      <c r="J1885" s="924" t="s">
        <v>884</v>
      </c>
      <c r="K1885" s="924" t="s">
        <v>1046</v>
      </c>
      <c r="L1885" s="925">
        <v>28.529369592666601</v>
      </c>
      <c r="M1885" s="925">
        <v>4.8169958114158397E-2</v>
      </c>
    </row>
    <row r="1886" spans="1:13" ht="11.25" customHeight="1" x14ac:dyDescent="0.2">
      <c r="A1886" s="924" t="s">
        <v>853</v>
      </c>
      <c r="B1886" s="924" t="s">
        <v>796</v>
      </c>
      <c r="C1886" s="924" t="s">
        <v>1182</v>
      </c>
      <c r="D1886" s="924" t="s">
        <v>855</v>
      </c>
      <c r="E1886" s="924" t="s">
        <v>856</v>
      </c>
      <c r="F1886" s="924" t="s">
        <v>1085</v>
      </c>
      <c r="G1886" s="924" t="s">
        <v>981</v>
      </c>
      <c r="H1886" s="924" t="s">
        <v>835</v>
      </c>
      <c r="I1886" s="924" t="s">
        <v>998</v>
      </c>
      <c r="J1886" s="924" t="s">
        <v>884</v>
      </c>
      <c r="K1886" s="924" t="s">
        <v>885</v>
      </c>
      <c r="L1886" s="925">
        <v>38.2662491202354</v>
      </c>
      <c r="M1886" s="925">
        <v>2.8107974852901001E-2</v>
      </c>
    </row>
    <row r="1887" spans="1:13" ht="11.25" customHeight="1" x14ac:dyDescent="0.2">
      <c r="A1887" s="924" t="s">
        <v>853</v>
      </c>
      <c r="B1887" s="924" t="s">
        <v>796</v>
      </c>
      <c r="C1887" s="924" t="s">
        <v>1182</v>
      </c>
      <c r="D1887" s="924" t="s">
        <v>855</v>
      </c>
      <c r="E1887" s="924" t="s">
        <v>856</v>
      </c>
      <c r="F1887" s="924" t="s">
        <v>1075</v>
      </c>
      <c r="G1887" s="924" t="s">
        <v>981</v>
      </c>
      <c r="H1887" s="924" t="s">
        <v>835</v>
      </c>
      <c r="I1887" s="924" t="s">
        <v>998</v>
      </c>
      <c r="J1887" s="924" t="s">
        <v>859</v>
      </c>
      <c r="K1887" s="924" t="s">
        <v>889</v>
      </c>
      <c r="L1887" s="925">
        <v>2.9327614791691299</v>
      </c>
      <c r="M1887" s="925">
        <v>4.7465425013797401E-3</v>
      </c>
    </row>
    <row r="1888" spans="1:13" ht="11.25" customHeight="1" x14ac:dyDescent="0.2">
      <c r="A1888" s="924" t="s">
        <v>853</v>
      </c>
      <c r="B1888" s="924" t="s">
        <v>796</v>
      </c>
      <c r="C1888" s="924" t="s">
        <v>1182</v>
      </c>
      <c r="D1888" s="924" t="s">
        <v>855</v>
      </c>
      <c r="E1888" s="924" t="s">
        <v>856</v>
      </c>
      <c r="F1888" s="924" t="s">
        <v>1076</v>
      </c>
      <c r="G1888" s="924" t="s">
        <v>981</v>
      </c>
      <c r="H1888" s="924" t="s">
        <v>835</v>
      </c>
      <c r="I1888" s="924" t="s">
        <v>998</v>
      </c>
      <c r="J1888" s="924" t="s">
        <v>859</v>
      </c>
      <c r="K1888" s="924" t="s">
        <v>860</v>
      </c>
      <c r="L1888" s="925">
        <v>0.190124476328492</v>
      </c>
      <c r="M1888" s="925">
        <v>3.9279386874113698E-4</v>
      </c>
    </row>
    <row r="1889" spans="1:13" ht="11.25" customHeight="1" x14ac:dyDescent="0.2">
      <c r="A1889" s="924" t="s">
        <v>853</v>
      </c>
      <c r="B1889" s="924" t="s">
        <v>796</v>
      </c>
      <c r="C1889" s="924" t="s">
        <v>1182</v>
      </c>
      <c r="D1889" s="924" t="s">
        <v>855</v>
      </c>
      <c r="E1889" s="924" t="s">
        <v>856</v>
      </c>
      <c r="F1889" s="924" t="s">
        <v>1077</v>
      </c>
      <c r="G1889" s="924" t="s">
        <v>981</v>
      </c>
      <c r="H1889" s="924" t="s">
        <v>835</v>
      </c>
      <c r="I1889" s="924" t="s">
        <v>998</v>
      </c>
      <c r="J1889" s="924" t="s">
        <v>859</v>
      </c>
      <c r="K1889" s="924" t="s">
        <v>897</v>
      </c>
      <c r="L1889" s="925">
        <v>0.227260157233104</v>
      </c>
      <c r="M1889" s="925">
        <v>4.7591668953827999E-4</v>
      </c>
    </row>
    <row r="1890" spans="1:13" ht="11.25" customHeight="1" x14ac:dyDescent="0.2">
      <c r="A1890" s="924" t="s">
        <v>853</v>
      </c>
      <c r="B1890" s="924" t="s">
        <v>796</v>
      </c>
      <c r="C1890" s="924" t="s">
        <v>1182</v>
      </c>
      <c r="D1890" s="924" t="s">
        <v>855</v>
      </c>
      <c r="E1890" s="924" t="s">
        <v>856</v>
      </c>
      <c r="F1890" s="924" t="s">
        <v>1078</v>
      </c>
      <c r="G1890" s="924" t="s">
        <v>981</v>
      </c>
      <c r="H1890" s="924" t="s">
        <v>835</v>
      </c>
      <c r="I1890" s="924" t="s">
        <v>998</v>
      </c>
      <c r="J1890" s="924" t="s">
        <v>859</v>
      </c>
      <c r="K1890" s="924" t="s">
        <v>901</v>
      </c>
      <c r="L1890" s="925">
        <v>1.5747444322187199E-3</v>
      </c>
      <c r="M1890" s="925">
        <v>3.5186163245271001E-6</v>
      </c>
    </row>
    <row r="1891" spans="1:13" ht="11.25" customHeight="1" x14ac:dyDescent="0.2">
      <c r="A1891" s="924" t="s">
        <v>853</v>
      </c>
      <c r="B1891" s="924" t="s">
        <v>796</v>
      </c>
      <c r="C1891" s="924" t="s">
        <v>1182</v>
      </c>
      <c r="D1891" s="924" t="s">
        <v>855</v>
      </c>
      <c r="E1891" s="924" t="s">
        <v>856</v>
      </c>
      <c r="F1891" s="924" t="s">
        <v>1079</v>
      </c>
      <c r="G1891" s="924" t="s">
        <v>981</v>
      </c>
      <c r="H1891" s="924" t="s">
        <v>835</v>
      </c>
      <c r="I1891" s="924" t="s">
        <v>998</v>
      </c>
      <c r="J1891" s="924" t="s">
        <v>859</v>
      </c>
      <c r="K1891" s="924" t="s">
        <v>909</v>
      </c>
      <c r="L1891" s="925">
        <v>7.5731187313795099</v>
      </c>
      <c r="M1891" s="925">
        <v>1.35625520488247E-2</v>
      </c>
    </row>
    <row r="1892" spans="1:13" ht="11.25" customHeight="1" x14ac:dyDescent="0.2">
      <c r="A1892" s="924" t="s">
        <v>853</v>
      </c>
      <c r="B1892" s="924" t="s">
        <v>796</v>
      </c>
      <c r="C1892" s="924" t="s">
        <v>1182</v>
      </c>
      <c r="D1892" s="924" t="s">
        <v>855</v>
      </c>
      <c r="E1892" s="924" t="s">
        <v>856</v>
      </c>
      <c r="F1892" s="924" t="s">
        <v>1080</v>
      </c>
      <c r="G1892" s="924" t="s">
        <v>981</v>
      </c>
      <c r="H1892" s="924" t="s">
        <v>835</v>
      </c>
      <c r="I1892" s="924" t="s">
        <v>998</v>
      </c>
      <c r="J1892" s="924" t="s">
        <v>859</v>
      </c>
      <c r="K1892" s="924" t="s">
        <v>920</v>
      </c>
      <c r="L1892" s="925">
        <v>4.43809583084658E-2</v>
      </c>
      <c r="M1892" s="925">
        <v>9.9165071560491897E-5</v>
      </c>
    </row>
    <row r="1893" spans="1:13" ht="11.25" customHeight="1" x14ac:dyDescent="0.2">
      <c r="A1893" s="924" t="s">
        <v>853</v>
      </c>
      <c r="B1893" s="924" t="s">
        <v>796</v>
      </c>
      <c r="C1893" s="924" t="s">
        <v>1182</v>
      </c>
      <c r="D1893" s="924" t="s">
        <v>855</v>
      </c>
      <c r="E1893" s="924" t="s">
        <v>856</v>
      </c>
      <c r="F1893" s="924" t="s">
        <v>1054</v>
      </c>
      <c r="G1893" s="924" t="s">
        <v>981</v>
      </c>
      <c r="H1893" s="924" t="s">
        <v>835</v>
      </c>
      <c r="I1893" s="924" t="s">
        <v>998</v>
      </c>
      <c r="J1893" s="924" t="s">
        <v>875</v>
      </c>
      <c r="K1893" s="924" t="s">
        <v>880</v>
      </c>
      <c r="L1893" s="925">
        <v>5.0153239280916802E-3</v>
      </c>
      <c r="M1893" s="925">
        <v>1.1206263863527999E-5</v>
      </c>
    </row>
    <row r="1894" spans="1:13" ht="11.25" customHeight="1" x14ac:dyDescent="0.2">
      <c r="A1894" s="924" t="s">
        <v>853</v>
      </c>
      <c r="B1894" s="924" t="s">
        <v>796</v>
      </c>
      <c r="C1894" s="924" t="s">
        <v>1182</v>
      </c>
      <c r="D1894" s="924" t="s">
        <v>855</v>
      </c>
      <c r="E1894" s="924" t="s">
        <v>856</v>
      </c>
      <c r="F1894" s="924" t="s">
        <v>1103</v>
      </c>
      <c r="G1894" s="924" t="s">
        <v>981</v>
      </c>
      <c r="H1894" s="924" t="s">
        <v>835</v>
      </c>
      <c r="I1894" s="924" t="s">
        <v>998</v>
      </c>
      <c r="J1894" s="924" t="s">
        <v>863</v>
      </c>
      <c r="K1894" s="924" t="s">
        <v>864</v>
      </c>
      <c r="L1894" s="925">
        <v>3.8979688193649102E-2</v>
      </c>
      <c r="M1894" s="925">
        <v>8.7096590164037507E-5</v>
      </c>
    </row>
    <row r="1895" spans="1:13" ht="11.25" customHeight="1" x14ac:dyDescent="0.2">
      <c r="A1895" s="924" t="s">
        <v>853</v>
      </c>
      <c r="B1895" s="924" t="s">
        <v>796</v>
      </c>
      <c r="C1895" s="924" t="s">
        <v>1182</v>
      </c>
      <c r="D1895" s="924" t="s">
        <v>855</v>
      </c>
      <c r="E1895" s="924" t="s">
        <v>856</v>
      </c>
      <c r="F1895" s="924" t="s">
        <v>1056</v>
      </c>
      <c r="G1895" s="924" t="s">
        <v>981</v>
      </c>
      <c r="H1895" s="924" t="s">
        <v>835</v>
      </c>
      <c r="I1895" s="924" t="s">
        <v>998</v>
      </c>
      <c r="J1895" s="924" t="s">
        <v>875</v>
      </c>
      <c r="K1895" s="924" t="s">
        <v>878</v>
      </c>
      <c r="L1895" s="925">
        <v>14.459144368767699</v>
      </c>
      <c r="M1895" s="925">
        <v>2.7886640629731101E-2</v>
      </c>
    </row>
    <row r="1896" spans="1:13" ht="11.25" customHeight="1" x14ac:dyDescent="0.2">
      <c r="A1896" s="924" t="s">
        <v>853</v>
      </c>
      <c r="B1896" s="924" t="s">
        <v>796</v>
      </c>
      <c r="C1896" s="924" t="s">
        <v>1182</v>
      </c>
      <c r="D1896" s="924" t="s">
        <v>855</v>
      </c>
      <c r="E1896" s="924" t="s">
        <v>856</v>
      </c>
      <c r="F1896" s="924" t="s">
        <v>1069</v>
      </c>
      <c r="G1896" s="924" t="s">
        <v>981</v>
      </c>
      <c r="H1896" s="924" t="s">
        <v>835</v>
      </c>
      <c r="I1896" s="924" t="s">
        <v>998</v>
      </c>
      <c r="J1896" s="924" t="s">
        <v>940</v>
      </c>
      <c r="K1896" s="924" t="s">
        <v>1070</v>
      </c>
      <c r="L1896" s="925">
        <v>22.480803586542599</v>
      </c>
      <c r="M1896" s="925">
        <v>4.1739887630683398E-2</v>
      </c>
    </row>
    <row r="1897" spans="1:13" ht="11.25" customHeight="1" x14ac:dyDescent="0.2">
      <c r="A1897" s="924" t="s">
        <v>853</v>
      </c>
      <c r="B1897" s="924" t="s">
        <v>796</v>
      </c>
      <c r="C1897" s="924" t="s">
        <v>1182</v>
      </c>
      <c r="D1897" s="924" t="s">
        <v>855</v>
      </c>
      <c r="E1897" s="924" t="s">
        <v>856</v>
      </c>
      <c r="F1897" s="924" t="s">
        <v>1086</v>
      </c>
      <c r="G1897" s="924" t="s">
        <v>981</v>
      </c>
      <c r="H1897" s="924" t="s">
        <v>835</v>
      </c>
      <c r="I1897" s="924" t="s">
        <v>998</v>
      </c>
      <c r="J1897" s="924" t="s">
        <v>940</v>
      </c>
      <c r="K1897" s="924" t="s">
        <v>1087</v>
      </c>
      <c r="L1897" s="925">
        <v>17.539735794067401</v>
      </c>
      <c r="M1897" s="925">
        <v>3.3769852714613101E-2</v>
      </c>
    </row>
    <row r="1898" spans="1:13" ht="11.25" customHeight="1" x14ac:dyDescent="0.2">
      <c r="A1898" s="924" t="s">
        <v>853</v>
      </c>
      <c r="B1898" s="924" t="s">
        <v>796</v>
      </c>
      <c r="C1898" s="924" t="s">
        <v>1182</v>
      </c>
      <c r="D1898" s="924" t="s">
        <v>855</v>
      </c>
      <c r="E1898" s="924" t="s">
        <v>856</v>
      </c>
      <c r="F1898" s="924" t="s">
        <v>1088</v>
      </c>
      <c r="G1898" s="924" t="s">
        <v>981</v>
      </c>
      <c r="H1898" s="924" t="s">
        <v>835</v>
      </c>
      <c r="I1898" s="924" t="s">
        <v>998</v>
      </c>
      <c r="J1898" s="924" t="s">
        <v>940</v>
      </c>
      <c r="K1898" s="924" t="s">
        <v>1089</v>
      </c>
      <c r="L1898" s="925">
        <v>216.94069719314601</v>
      </c>
      <c r="M1898" s="925">
        <v>0.39630862651392801</v>
      </c>
    </row>
    <row r="1899" spans="1:13" ht="11.25" customHeight="1" x14ac:dyDescent="0.2">
      <c r="A1899" s="924" t="s">
        <v>853</v>
      </c>
      <c r="B1899" s="924" t="s">
        <v>796</v>
      </c>
      <c r="C1899" s="924" t="s">
        <v>1182</v>
      </c>
      <c r="D1899" s="924" t="s">
        <v>855</v>
      </c>
      <c r="E1899" s="924" t="s">
        <v>856</v>
      </c>
      <c r="F1899" s="924" t="s">
        <v>1090</v>
      </c>
      <c r="G1899" s="924" t="s">
        <v>981</v>
      </c>
      <c r="H1899" s="924" t="s">
        <v>835</v>
      </c>
      <c r="I1899" s="924" t="s">
        <v>998</v>
      </c>
      <c r="J1899" s="924" t="s">
        <v>940</v>
      </c>
      <c r="K1899" s="924" t="s">
        <v>1091</v>
      </c>
      <c r="L1899" s="925">
        <v>24.303980797529199</v>
      </c>
      <c r="M1899" s="925">
        <v>4.1391051112441297E-2</v>
      </c>
    </row>
    <row r="1900" spans="1:13" ht="11.25" customHeight="1" x14ac:dyDescent="0.2">
      <c r="A1900" s="924" t="s">
        <v>853</v>
      </c>
      <c r="B1900" s="924" t="s">
        <v>796</v>
      </c>
      <c r="C1900" s="924" t="s">
        <v>1182</v>
      </c>
      <c r="D1900" s="924" t="s">
        <v>855</v>
      </c>
      <c r="E1900" s="924" t="s">
        <v>856</v>
      </c>
      <c r="F1900" s="924" t="s">
        <v>1092</v>
      </c>
      <c r="G1900" s="924" t="s">
        <v>981</v>
      </c>
      <c r="H1900" s="924" t="s">
        <v>835</v>
      </c>
      <c r="I1900" s="924" t="s">
        <v>998</v>
      </c>
      <c r="J1900" s="924" t="s">
        <v>940</v>
      </c>
      <c r="K1900" s="924" t="s">
        <v>1093</v>
      </c>
      <c r="L1900" s="925">
        <v>189.13978010416</v>
      </c>
      <c r="M1900" s="925">
        <v>0.37427752336952802</v>
      </c>
    </row>
    <row r="1901" spans="1:13" ht="11.25" customHeight="1" x14ac:dyDescent="0.2">
      <c r="A1901" s="924" t="s">
        <v>853</v>
      </c>
      <c r="B1901" s="924" t="s">
        <v>796</v>
      </c>
      <c r="C1901" s="924" t="s">
        <v>1182</v>
      </c>
      <c r="D1901" s="924" t="s">
        <v>855</v>
      </c>
      <c r="E1901" s="924" t="s">
        <v>856</v>
      </c>
      <c r="F1901" s="924" t="s">
        <v>1094</v>
      </c>
      <c r="G1901" s="924" t="s">
        <v>981</v>
      </c>
      <c r="H1901" s="924" t="s">
        <v>835</v>
      </c>
      <c r="I1901" s="924" t="s">
        <v>998</v>
      </c>
      <c r="J1901" s="924" t="s">
        <v>940</v>
      </c>
      <c r="K1901" s="924" t="s">
        <v>1095</v>
      </c>
      <c r="L1901" s="925">
        <v>15.6419764906168</v>
      </c>
      <c r="M1901" s="925">
        <v>2.9174320661695698E-2</v>
      </c>
    </row>
    <row r="1902" spans="1:13" ht="11.25" customHeight="1" x14ac:dyDescent="0.2">
      <c r="A1902" s="924" t="s">
        <v>853</v>
      </c>
      <c r="B1902" s="924" t="s">
        <v>796</v>
      </c>
      <c r="C1902" s="924" t="s">
        <v>1182</v>
      </c>
      <c r="D1902" s="924" t="s">
        <v>855</v>
      </c>
      <c r="E1902" s="924" t="s">
        <v>856</v>
      </c>
      <c r="F1902" s="924" t="s">
        <v>1096</v>
      </c>
      <c r="G1902" s="924" t="s">
        <v>981</v>
      </c>
      <c r="H1902" s="924" t="s">
        <v>835</v>
      </c>
      <c r="I1902" s="924" t="s">
        <v>998</v>
      </c>
      <c r="J1902" s="924" t="s">
        <v>940</v>
      </c>
      <c r="K1902" s="924" t="s">
        <v>1023</v>
      </c>
      <c r="L1902" s="925">
        <v>176.61140930652601</v>
      </c>
      <c r="M1902" s="925">
        <v>0.33032326237298498</v>
      </c>
    </row>
    <row r="1903" spans="1:13" ht="11.25" customHeight="1" x14ac:dyDescent="0.2">
      <c r="A1903" s="924" t="s">
        <v>853</v>
      </c>
      <c r="B1903" s="924" t="s">
        <v>796</v>
      </c>
      <c r="C1903" s="924" t="s">
        <v>1182</v>
      </c>
      <c r="D1903" s="924" t="s">
        <v>855</v>
      </c>
      <c r="E1903" s="924" t="s">
        <v>856</v>
      </c>
      <c r="F1903" s="924" t="s">
        <v>1100</v>
      </c>
      <c r="G1903" s="924" t="s">
        <v>981</v>
      </c>
      <c r="H1903" s="924" t="s">
        <v>835</v>
      </c>
      <c r="I1903" s="924" t="s">
        <v>998</v>
      </c>
      <c r="J1903" s="924" t="s">
        <v>940</v>
      </c>
      <c r="K1903" s="924" t="s">
        <v>1032</v>
      </c>
      <c r="L1903" s="925">
        <v>9.42409825220238E-2</v>
      </c>
      <c r="M1903" s="925">
        <v>1.8894384106715701E-4</v>
      </c>
    </row>
    <row r="1904" spans="1:13" ht="11.25" customHeight="1" x14ac:dyDescent="0.2">
      <c r="A1904" s="924" t="s">
        <v>853</v>
      </c>
      <c r="B1904" s="924" t="s">
        <v>796</v>
      </c>
      <c r="C1904" s="924" t="s">
        <v>1182</v>
      </c>
      <c r="D1904" s="924" t="s">
        <v>855</v>
      </c>
      <c r="E1904" s="924" t="s">
        <v>856</v>
      </c>
      <c r="F1904" s="924" t="s">
        <v>1101</v>
      </c>
      <c r="G1904" s="924" t="s">
        <v>981</v>
      </c>
      <c r="H1904" s="924" t="s">
        <v>835</v>
      </c>
      <c r="I1904" s="924" t="s">
        <v>998</v>
      </c>
      <c r="J1904" s="924" t="s">
        <v>870</v>
      </c>
      <c r="K1904" s="924" t="s">
        <v>961</v>
      </c>
      <c r="L1904" s="925">
        <v>0.56554498849436596</v>
      </c>
      <c r="M1904" s="925">
        <v>9.3115602953730602E-4</v>
      </c>
    </row>
    <row r="1905" spans="1:13" ht="11.25" customHeight="1" x14ac:dyDescent="0.2">
      <c r="A1905" s="924" t="s">
        <v>853</v>
      </c>
      <c r="B1905" s="924" t="s">
        <v>796</v>
      </c>
      <c r="C1905" s="924" t="s">
        <v>1182</v>
      </c>
      <c r="D1905" s="924" t="s">
        <v>855</v>
      </c>
      <c r="E1905" s="924" t="s">
        <v>856</v>
      </c>
      <c r="F1905" s="924" t="s">
        <v>1135</v>
      </c>
      <c r="G1905" s="924" t="s">
        <v>981</v>
      </c>
      <c r="H1905" s="924" t="s">
        <v>835</v>
      </c>
      <c r="I1905" s="924" t="s">
        <v>1040</v>
      </c>
      <c r="J1905" s="924" t="s">
        <v>863</v>
      </c>
      <c r="K1905" s="924" t="s">
        <v>935</v>
      </c>
      <c r="L1905" s="925">
        <v>45.893375813961001</v>
      </c>
      <c r="M1905" s="925">
        <v>1.6506221014424199E-2</v>
      </c>
    </row>
    <row r="1906" spans="1:13" ht="11.25" customHeight="1" x14ac:dyDescent="0.2">
      <c r="A1906" s="924" t="s">
        <v>853</v>
      </c>
      <c r="B1906" s="924" t="s">
        <v>796</v>
      </c>
      <c r="C1906" s="924" t="s">
        <v>1182</v>
      </c>
      <c r="D1906" s="924" t="s">
        <v>855</v>
      </c>
      <c r="E1906" s="924" t="s">
        <v>856</v>
      </c>
      <c r="F1906" s="924" t="s">
        <v>1081</v>
      </c>
      <c r="G1906" s="924" t="s">
        <v>981</v>
      </c>
      <c r="H1906" s="924" t="s">
        <v>835</v>
      </c>
      <c r="I1906" s="924" t="s">
        <v>998</v>
      </c>
      <c r="J1906" s="924" t="s">
        <v>863</v>
      </c>
      <c r="K1906" s="924" t="s">
        <v>935</v>
      </c>
      <c r="L1906" s="925">
        <v>0.50939653487876102</v>
      </c>
      <c r="M1906" s="925">
        <v>1.13819708712981E-3</v>
      </c>
    </row>
    <row r="1907" spans="1:13" ht="11.25" customHeight="1" x14ac:dyDescent="0.2">
      <c r="A1907" s="924" t="s">
        <v>853</v>
      </c>
      <c r="B1907" s="924" t="s">
        <v>796</v>
      </c>
      <c r="C1907" s="924" t="s">
        <v>1182</v>
      </c>
      <c r="D1907" s="924" t="s">
        <v>855</v>
      </c>
      <c r="E1907" s="924" t="s">
        <v>856</v>
      </c>
      <c r="F1907" s="924" t="s">
        <v>1122</v>
      </c>
      <c r="G1907" s="924" t="s">
        <v>981</v>
      </c>
      <c r="H1907" s="924" t="s">
        <v>835</v>
      </c>
      <c r="I1907" s="924" t="s">
        <v>1040</v>
      </c>
      <c r="J1907" s="924" t="s">
        <v>875</v>
      </c>
      <c r="K1907" s="924" t="s">
        <v>950</v>
      </c>
      <c r="L1907" s="925">
        <v>200.41700553894</v>
      </c>
      <c r="M1907" s="925">
        <v>0.13856319630400499</v>
      </c>
    </row>
    <row r="1908" spans="1:13" ht="11.25" customHeight="1" x14ac:dyDescent="0.2">
      <c r="A1908" s="924" t="s">
        <v>853</v>
      </c>
      <c r="B1908" s="924" t="s">
        <v>796</v>
      </c>
      <c r="C1908" s="924" t="s">
        <v>1182</v>
      </c>
      <c r="D1908" s="924" t="s">
        <v>855</v>
      </c>
      <c r="E1908" s="924" t="s">
        <v>856</v>
      </c>
      <c r="F1908" s="924" t="s">
        <v>1041</v>
      </c>
      <c r="G1908" s="924" t="s">
        <v>981</v>
      </c>
      <c r="H1908" s="924" t="s">
        <v>835</v>
      </c>
      <c r="I1908" s="924" t="s">
        <v>1040</v>
      </c>
      <c r="J1908" s="924" t="s">
        <v>859</v>
      </c>
      <c r="K1908" s="924" t="s">
        <v>891</v>
      </c>
      <c r="L1908" s="925">
        <v>0.863668043166399</v>
      </c>
      <c r="M1908" s="925">
        <v>4.3183679485991899E-4</v>
      </c>
    </row>
    <row r="1909" spans="1:13" ht="11.25" customHeight="1" x14ac:dyDescent="0.2">
      <c r="A1909" s="924" t="s">
        <v>853</v>
      </c>
      <c r="B1909" s="924" t="s">
        <v>796</v>
      </c>
      <c r="C1909" s="924" t="s">
        <v>1182</v>
      </c>
      <c r="D1909" s="924" t="s">
        <v>855</v>
      </c>
      <c r="E1909" s="924" t="s">
        <v>856</v>
      </c>
      <c r="F1909" s="924" t="s">
        <v>1111</v>
      </c>
      <c r="G1909" s="924" t="s">
        <v>981</v>
      </c>
      <c r="H1909" s="924" t="s">
        <v>835</v>
      </c>
      <c r="I1909" s="924" t="s">
        <v>1040</v>
      </c>
      <c r="J1909" s="924" t="s">
        <v>870</v>
      </c>
      <c r="K1909" s="924" t="s">
        <v>1016</v>
      </c>
      <c r="L1909" s="925">
        <v>3.67081165406853</v>
      </c>
      <c r="M1909" s="925">
        <v>3.0802022167790702E-3</v>
      </c>
    </row>
    <row r="1910" spans="1:13" ht="11.25" customHeight="1" x14ac:dyDescent="0.2">
      <c r="A1910" s="924" t="s">
        <v>853</v>
      </c>
      <c r="B1910" s="924" t="s">
        <v>796</v>
      </c>
      <c r="C1910" s="924" t="s">
        <v>1182</v>
      </c>
      <c r="D1910" s="924" t="s">
        <v>855</v>
      </c>
      <c r="E1910" s="924" t="s">
        <v>856</v>
      </c>
      <c r="F1910" s="924" t="s">
        <v>1112</v>
      </c>
      <c r="G1910" s="924" t="s">
        <v>981</v>
      </c>
      <c r="H1910" s="924" t="s">
        <v>835</v>
      </c>
      <c r="I1910" s="924" t="s">
        <v>1040</v>
      </c>
      <c r="J1910" s="924" t="s">
        <v>870</v>
      </c>
      <c r="K1910" s="924" t="s">
        <v>959</v>
      </c>
      <c r="L1910" s="925">
        <v>1.13093991018832</v>
      </c>
      <c r="M1910" s="925">
        <v>7.4380367072990295E-4</v>
      </c>
    </row>
    <row r="1911" spans="1:13" ht="11.25" customHeight="1" x14ac:dyDescent="0.2">
      <c r="A1911" s="924" t="s">
        <v>853</v>
      </c>
      <c r="B1911" s="924" t="s">
        <v>796</v>
      </c>
      <c r="C1911" s="924" t="s">
        <v>1182</v>
      </c>
      <c r="D1911" s="924" t="s">
        <v>855</v>
      </c>
      <c r="E1911" s="924" t="s">
        <v>856</v>
      </c>
      <c r="F1911" s="924" t="s">
        <v>1113</v>
      </c>
      <c r="G1911" s="924" t="s">
        <v>981</v>
      </c>
      <c r="H1911" s="924" t="s">
        <v>835</v>
      </c>
      <c r="I1911" s="924" t="s">
        <v>1040</v>
      </c>
      <c r="J1911" s="924" t="s">
        <v>870</v>
      </c>
      <c r="K1911" s="924" t="s">
        <v>961</v>
      </c>
      <c r="L1911" s="925">
        <v>12.3585742264986</v>
      </c>
      <c r="M1911" s="925">
        <v>9.3398371595867502E-3</v>
      </c>
    </row>
    <row r="1912" spans="1:13" ht="11.25" customHeight="1" x14ac:dyDescent="0.2">
      <c r="A1912" s="924" t="s">
        <v>853</v>
      </c>
      <c r="B1912" s="924" t="s">
        <v>796</v>
      </c>
      <c r="C1912" s="924" t="s">
        <v>1182</v>
      </c>
      <c r="D1912" s="924" t="s">
        <v>855</v>
      </c>
      <c r="E1912" s="924" t="s">
        <v>856</v>
      </c>
      <c r="F1912" s="924" t="s">
        <v>1114</v>
      </c>
      <c r="G1912" s="924" t="s">
        <v>981</v>
      </c>
      <c r="H1912" s="924" t="s">
        <v>835</v>
      </c>
      <c r="I1912" s="924" t="s">
        <v>1040</v>
      </c>
      <c r="J1912" s="924" t="s">
        <v>870</v>
      </c>
      <c r="K1912" s="924" t="s">
        <v>963</v>
      </c>
      <c r="L1912" s="925">
        <v>26.952517606318001</v>
      </c>
      <c r="M1912" s="925">
        <v>4.4693299716527697E-2</v>
      </c>
    </row>
    <row r="1913" spans="1:13" ht="11.25" customHeight="1" x14ac:dyDescent="0.2">
      <c r="A1913" s="924" t="s">
        <v>853</v>
      </c>
      <c r="B1913" s="924" t="s">
        <v>796</v>
      </c>
      <c r="C1913" s="924" t="s">
        <v>1182</v>
      </c>
      <c r="D1913" s="924" t="s">
        <v>855</v>
      </c>
      <c r="E1913" s="924" t="s">
        <v>856</v>
      </c>
      <c r="F1913" s="924" t="s">
        <v>1115</v>
      </c>
      <c r="G1913" s="924" t="s">
        <v>981</v>
      </c>
      <c r="H1913" s="924" t="s">
        <v>835</v>
      </c>
      <c r="I1913" s="924" t="s">
        <v>1040</v>
      </c>
      <c r="J1913" s="924" t="s">
        <v>870</v>
      </c>
      <c r="K1913" s="924" t="s">
        <v>965</v>
      </c>
      <c r="L1913" s="925">
        <v>5.8134361337870404</v>
      </c>
      <c r="M1913" s="925">
        <v>4.8780937368064804E-3</v>
      </c>
    </row>
    <row r="1914" spans="1:13" ht="11.25" customHeight="1" x14ac:dyDescent="0.2">
      <c r="A1914" s="924" t="s">
        <v>853</v>
      </c>
      <c r="B1914" s="924" t="s">
        <v>796</v>
      </c>
      <c r="C1914" s="924" t="s">
        <v>1182</v>
      </c>
      <c r="D1914" s="924" t="s">
        <v>855</v>
      </c>
      <c r="E1914" s="924" t="s">
        <v>856</v>
      </c>
      <c r="F1914" s="924" t="s">
        <v>1130</v>
      </c>
      <c r="G1914" s="924" t="s">
        <v>981</v>
      </c>
      <c r="H1914" s="924" t="s">
        <v>835</v>
      </c>
      <c r="I1914" s="924" t="s">
        <v>1040</v>
      </c>
      <c r="J1914" s="924" t="s">
        <v>870</v>
      </c>
      <c r="K1914" s="924" t="s">
        <v>871</v>
      </c>
      <c r="L1914" s="925">
        <v>8.3771841209381801</v>
      </c>
      <c r="M1914" s="925">
        <v>6.6583285115484597E-3</v>
      </c>
    </row>
    <row r="1915" spans="1:13" ht="11.25" customHeight="1" x14ac:dyDescent="0.2">
      <c r="A1915" s="924" t="s">
        <v>853</v>
      </c>
      <c r="B1915" s="924" t="s">
        <v>796</v>
      </c>
      <c r="C1915" s="924" t="s">
        <v>1182</v>
      </c>
      <c r="D1915" s="924" t="s">
        <v>855</v>
      </c>
      <c r="E1915" s="924" t="s">
        <v>856</v>
      </c>
      <c r="F1915" s="924" t="s">
        <v>1117</v>
      </c>
      <c r="G1915" s="924" t="s">
        <v>981</v>
      </c>
      <c r="H1915" s="924" t="s">
        <v>835</v>
      </c>
      <c r="I1915" s="924" t="s">
        <v>1040</v>
      </c>
      <c r="J1915" s="924" t="s">
        <v>870</v>
      </c>
      <c r="K1915" s="924" t="s">
        <v>873</v>
      </c>
      <c r="L1915" s="925">
        <v>9.2369294129312003</v>
      </c>
      <c r="M1915" s="925">
        <v>9.2444810616143503E-4</v>
      </c>
    </row>
    <row r="1916" spans="1:13" ht="11.25" customHeight="1" x14ac:dyDescent="0.2">
      <c r="A1916" s="924" t="s">
        <v>853</v>
      </c>
      <c r="B1916" s="924" t="s">
        <v>796</v>
      </c>
      <c r="C1916" s="924" t="s">
        <v>1182</v>
      </c>
      <c r="D1916" s="924" t="s">
        <v>855</v>
      </c>
      <c r="E1916" s="924" t="s">
        <v>856</v>
      </c>
      <c r="F1916" s="924" t="s">
        <v>1104</v>
      </c>
      <c r="G1916" s="924" t="s">
        <v>981</v>
      </c>
      <c r="H1916" s="924" t="s">
        <v>835</v>
      </c>
      <c r="I1916" s="924" t="s">
        <v>1040</v>
      </c>
      <c r="J1916" s="924" t="s">
        <v>875</v>
      </c>
      <c r="K1916" s="924" t="s">
        <v>876</v>
      </c>
      <c r="L1916" s="925">
        <v>445.83050537109398</v>
      </c>
      <c r="M1916" s="925">
        <v>0.29909059638157498</v>
      </c>
    </row>
    <row r="1917" spans="1:13" ht="11.25" customHeight="1" x14ac:dyDescent="0.2">
      <c r="A1917" s="924" t="s">
        <v>853</v>
      </c>
      <c r="B1917" s="924" t="s">
        <v>796</v>
      </c>
      <c r="C1917" s="924" t="s">
        <v>1182</v>
      </c>
      <c r="D1917" s="924" t="s">
        <v>855</v>
      </c>
      <c r="E1917" s="924" t="s">
        <v>856</v>
      </c>
      <c r="F1917" s="924" t="s">
        <v>1119</v>
      </c>
      <c r="G1917" s="924" t="s">
        <v>981</v>
      </c>
      <c r="H1917" s="924" t="s">
        <v>835</v>
      </c>
      <c r="I1917" s="924" t="s">
        <v>1040</v>
      </c>
      <c r="J1917" s="924" t="s">
        <v>875</v>
      </c>
      <c r="K1917" s="924" t="s">
        <v>878</v>
      </c>
      <c r="L1917" s="925">
        <v>111.342806696892</v>
      </c>
      <c r="M1917" s="925">
        <v>7.3886712637431601E-2</v>
      </c>
    </row>
    <row r="1918" spans="1:13" ht="11.25" customHeight="1" x14ac:dyDescent="0.2">
      <c r="A1918" s="924" t="s">
        <v>853</v>
      </c>
      <c r="B1918" s="924" t="s">
        <v>796</v>
      </c>
      <c r="C1918" s="924" t="s">
        <v>1182</v>
      </c>
      <c r="D1918" s="924" t="s">
        <v>855</v>
      </c>
      <c r="E1918" s="924" t="s">
        <v>856</v>
      </c>
      <c r="F1918" s="924" t="s">
        <v>1109</v>
      </c>
      <c r="G1918" s="924" t="s">
        <v>981</v>
      </c>
      <c r="H1918" s="924" t="s">
        <v>835</v>
      </c>
      <c r="I1918" s="924" t="s">
        <v>1040</v>
      </c>
      <c r="J1918" s="924" t="s">
        <v>870</v>
      </c>
      <c r="K1918" s="924" t="s">
        <v>976</v>
      </c>
      <c r="L1918" s="925">
        <v>5.3094374351203397</v>
      </c>
      <c r="M1918" s="925">
        <v>1.08404063829504E-3</v>
      </c>
    </row>
    <row r="1919" spans="1:13" ht="11.25" customHeight="1" x14ac:dyDescent="0.2">
      <c r="A1919" s="924" t="s">
        <v>853</v>
      </c>
      <c r="B1919" s="924" t="s">
        <v>796</v>
      </c>
      <c r="C1919" s="924" t="s">
        <v>1182</v>
      </c>
      <c r="D1919" s="924" t="s">
        <v>855</v>
      </c>
      <c r="E1919" s="924" t="s">
        <v>856</v>
      </c>
      <c r="F1919" s="924" t="s">
        <v>1121</v>
      </c>
      <c r="G1919" s="924" t="s">
        <v>981</v>
      </c>
      <c r="H1919" s="924" t="s">
        <v>835</v>
      </c>
      <c r="I1919" s="924" t="s">
        <v>1040</v>
      </c>
      <c r="J1919" s="924" t="s">
        <v>875</v>
      </c>
      <c r="K1919" s="924" t="s">
        <v>948</v>
      </c>
      <c r="L1919" s="925">
        <v>126.71079158783</v>
      </c>
      <c r="M1919" s="925">
        <v>7.9014729253117394E-2</v>
      </c>
    </row>
    <row r="1920" spans="1:13" ht="11.25" customHeight="1" x14ac:dyDescent="0.2">
      <c r="A1920" s="924" t="s">
        <v>853</v>
      </c>
      <c r="B1920" s="924" t="s">
        <v>796</v>
      </c>
      <c r="C1920" s="924" t="s">
        <v>1182</v>
      </c>
      <c r="D1920" s="924" t="s">
        <v>855</v>
      </c>
      <c r="E1920" s="924" t="s">
        <v>856</v>
      </c>
      <c r="F1920" s="924" t="s">
        <v>1108</v>
      </c>
      <c r="G1920" s="924" t="s">
        <v>981</v>
      </c>
      <c r="H1920" s="924" t="s">
        <v>835</v>
      </c>
      <c r="I1920" s="924" t="s">
        <v>1040</v>
      </c>
      <c r="J1920" s="924" t="s">
        <v>870</v>
      </c>
      <c r="K1920" s="924" t="s">
        <v>1036</v>
      </c>
      <c r="L1920" s="925">
        <v>1.37595512485132</v>
      </c>
      <c r="M1920" s="925">
        <v>9.2882690864826102E-4</v>
      </c>
    </row>
    <row r="1921" spans="1:13" ht="11.25" customHeight="1" x14ac:dyDescent="0.2">
      <c r="A1921" s="924" t="s">
        <v>853</v>
      </c>
      <c r="B1921" s="924" t="s">
        <v>796</v>
      </c>
      <c r="C1921" s="924" t="s">
        <v>1182</v>
      </c>
      <c r="D1921" s="924" t="s">
        <v>855</v>
      </c>
      <c r="E1921" s="924" t="s">
        <v>856</v>
      </c>
      <c r="F1921" s="924" t="s">
        <v>1123</v>
      </c>
      <c r="G1921" s="924" t="s">
        <v>981</v>
      </c>
      <c r="H1921" s="924" t="s">
        <v>835</v>
      </c>
      <c r="I1921" s="924" t="s">
        <v>1040</v>
      </c>
      <c r="J1921" s="924" t="s">
        <v>875</v>
      </c>
      <c r="K1921" s="924" t="s">
        <v>952</v>
      </c>
      <c r="L1921" s="925">
        <v>9.4016341269016301</v>
      </c>
      <c r="M1921" s="925">
        <v>6.5196501292614801E-3</v>
      </c>
    </row>
    <row r="1922" spans="1:13" ht="11.25" customHeight="1" x14ac:dyDescent="0.2">
      <c r="A1922" s="924" t="s">
        <v>853</v>
      </c>
      <c r="B1922" s="924" t="s">
        <v>796</v>
      </c>
      <c r="C1922" s="924" t="s">
        <v>1182</v>
      </c>
      <c r="D1922" s="924" t="s">
        <v>855</v>
      </c>
      <c r="E1922" s="924" t="s">
        <v>856</v>
      </c>
      <c r="F1922" s="924" t="s">
        <v>1124</v>
      </c>
      <c r="G1922" s="924" t="s">
        <v>981</v>
      </c>
      <c r="H1922" s="924" t="s">
        <v>835</v>
      </c>
      <c r="I1922" s="924" t="s">
        <v>1040</v>
      </c>
      <c r="J1922" s="924" t="s">
        <v>956</v>
      </c>
      <c r="K1922" s="924" t="s">
        <v>1125</v>
      </c>
      <c r="L1922" s="925">
        <v>29.480392009019901</v>
      </c>
      <c r="M1922" s="925">
        <v>2.3520335464354499E-2</v>
      </c>
    </row>
    <row r="1923" spans="1:13" ht="11.25" customHeight="1" x14ac:dyDescent="0.2">
      <c r="A1923" s="924" t="s">
        <v>853</v>
      </c>
      <c r="B1923" s="924" t="s">
        <v>796</v>
      </c>
      <c r="C1923" s="924" t="s">
        <v>1182</v>
      </c>
      <c r="D1923" s="924" t="s">
        <v>855</v>
      </c>
      <c r="E1923" s="924" t="s">
        <v>856</v>
      </c>
      <c r="F1923" s="924" t="s">
        <v>1126</v>
      </c>
      <c r="G1923" s="924" t="s">
        <v>981</v>
      </c>
      <c r="H1923" s="924" t="s">
        <v>835</v>
      </c>
      <c r="I1923" s="924" t="s">
        <v>1040</v>
      </c>
      <c r="J1923" s="924" t="s">
        <v>956</v>
      </c>
      <c r="K1923" s="924" t="s">
        <v>957</v>
      </c>
      <c r="L1923" s="925">
        <v>0.33966783573851</v>
      </c>
      <c r="M1923" s="925">
        <v>2.65737284280476E-4</v>
      </c>
    </row>
    <row r="1924" spans="1:13" ht="11.25" customHeight="1" x14ac:dyDescent="0.2">
      <c r="A1924" s="924" t="s">
        <v>853</v>
      </c>
      <c r="B1924" s="924" t="s">
        <v>796</v>
      </c>
      <c r="C1924" s="924" t="s">
        <v>1182</v>
      </c>
      <c r="D1924" s="924" t="s">
        <v>855</v>
      </c>
      <c r="E1924" s="924" t="s">
        <v>856</v>
      </c>
      <c r="F1924" s="924" t="s">
        <v>1127</v>
      </c>
      <c r="G1924" s="924" t="s">
        <v>911</v>
      </c>
      <c r="H1924" s="924" t="s">
        <v>665</v>
      </c>
      <c r="I1924" s="924" t="s">
        <v>706</v>
      </c>
      <c r="J1924" s="924" t="s">
        <v>884</v>
      </c>
      <c r="K1924" s="924" t="s">
        <v>885</v>
      </c>
      <c r="L1924" s="925">
        <v>2.4584379009902499</v>
      </c>
      <c r="M1924" s="925">
        <v>1.0682770071070999E-3</v>
      </c>
    </row>
    <row r="1925" spans="1:13" ht="11.25" customHeight="1" x14ac:dyDescent="0.2">
      <c r="A1925" s="924" t="s">
        <v>853</v>
      </c>
      <c r="B1925" s="924" t="s">
        <v>796</v>
      </c>
      <c r="C1925" s="924" t="s">
        <v>1182</v>
      </c>
      <c r="D1925" s="924" t="s">
        <v>855</v>
      </c>
      <c r="E1925" s="924" t="s">
        <v>856</v>
      </c>
      <c r="F1925" s="924" t="s">
        <v>1128</v>
      </c>
      <c r="G1925" s="924" t="s">
        <v>911</v>
      </c>
      <c r="H1925" s="924" t="s">
        <v>665</v>
      </c>
      <c r="I1925" s="924" t="s">
        <v>706</v>
      </c>
      <c r="J1925" s="924" t="s">
        <v>859</v>
      </c>
      <c r="K1925" s="924" t="s">
        <v>913</v>
      </c>
      <c r="L1925" s="925">
        <v>0.37578101968392702</v>
      </c>
      <c r="M1925" s="925">
        <v>4.1434743089041597E-5</v>
      </c>
    </row>
    <row r="1926" spans="1:13" ht="11.25" customHeight="1" x14ac:dyDescent="0.2">
      <c r="A1926" s="924" t="s">
        <v>853</v>
      </c>
      <c r="B1926" s="924" t="s">
        <v>796</v>
      </c>
      <c r="C1926" s="924" t="s">
        <v>1182</v>
      </c>
      <c r="D1926" s="924" t="s">
        <v>855</v>
      </c>
      <c r="E1926" s="924" t="s">
        <v>856</v>
      </c>
      <c r="F1926" s="924" t="s">
        <v>1118</v>
      </c>
      <c r="G1926" s="924" t="s">
        <v>911</v>
      </c>
      <c r="H1926" s="924" t="s">
        <v>665</v>
      </c>
      <c r="I1926" s="924" t="s">
        <v>706</v>
      </c>
      <c r="J1926" s="924" t="s">
        <v>859</v>
      </c>
      <c r="K1926" s="924" t="s">
        <v>893</v>
      </c>
      <c r="L1926" s="925">
        <v>0.637207861989737</v>
      </c>
      <c r="M1926" s="925">
        <v>3.0828946165684101E-5</v>
      </c>
    </row>
    <row r="1927" spans="1:13" ht="11.25" customHeight="1" x14ac:dyDescent="0.2">
      <c r="A1927" s="924" t="s">
        <v>853</v>
      </c>
      <c r="B1927" s="924" t="s">
        <v>796</v>
      </c>
      <c r="C1927" s="924" t="s">
        <v>1182</v>
      </c>
      <c r="D1927" s="924" t="s">
        <v>855</v>
      </c>
      <c r="E1927" s="924" t="s">
        <v>856</v>
      </c>
      <c r="F1927" s="924" t="s">
        <v>1129</v>
      </c>
      <c r="G1927" s="924" t="s">
        <v>911</v>
      </c>
      <c r="H1927" s="924" t="s">
        <v>665</v>
      </c>
      <c r="I1927" s="924" t="s">
        <v>706</v>
      </c>
      <c r="J1927" s="924" t="s">
        <v>859</v>
      </c>
      <c r="K1927" s="924" t="s">
        <v>897</v>
      </c>
      <c r="L1927" s="925">
        <v>0.103777189855464</v>
      </c>
      <c r="M1927" s="925">
        <v>3.7719408020109299E-5</v>
      </c>
    </row>
    <row r="1928" spans="1:13" ht="11.25" customHeight="1" x14ac:dyDescent="0.2">
      <c r="A1928" s="924" t="s">
        <v>853</v>
      </c>
      <c r="B1928" s="924" t="s">
        <v>796</v>
      </c>
      <c r="C1928" s="924" t="s">
        <v>1182</v>
      </c>
      <c r="D1928" s="924" t="s">
        <v>855</v>
      </c>
      <c r="E1928" s="924" t="s">
        <v>856</v>
      </c>
      <c r="F1928" s="924" t="s">
        <v>1133</v>
      </c>
      <c r="G1928" s="924" t="s">
        <v>911</v>
      </c>
      <c r="H1928" s="924" t="s">
        <v>665</v>
      </c>
      <c r="I1928" s="924" t="s">
        <v>706</v>
      </c>
      <c r="J1928" s="924" t="s">
        <v>859</v>
      </c>
      <c r="K1928" s="924" t="s">
        <v>899</v>
      </c>
      <c r="L1928" s="925">
        <v>6.4643296704161898E-2</v>
      </c>
      <c r="M1928" s="925">
        <v>6.4401718349316201E-6</v>
      </c>
    </row>
    <row r="1929" spans="1:13" ht="11.25" customHeight="1" x14ac:dyDescent="0.2">
      <c r="A1929" s="924" t="s">
        <v>853</v>
      </c>
      <c r="B1929" s="924" t="s">
        <v>796</v>
      </c>
      <c r="C1929" s="924" t="s">
        <v>1182</v>
      </c>
      <c r="D1929" s="924" t="s">
        <v>855</v>
      </c>
      <c r="E1929" s="924" t="s">
        <v>856</v>
      </c>
      <c r="F1929" s="924" t="s">
        <v>1074</v>
      </c>
      <c r="G1929" s="924" t="s">
        <v>911</v>
      </c>
      <c r="H1929" s="924" t="s">
        <v>665</v>
      </c>
      <c r="I1929" s="924" t="s">
        <v>706</v>
      </c>
      <c r="J1929" s="924" t="s">
        <v>859</v>
      </c>
      <c r="K1929" s="924" t="s">
        <v>903</v>
      </c>
      <c r="L1929" s="925">
        <v>1.1605450939387101</v>
      </c>
      <c r="M1929" s="925">
        <v>1.2961294095248401E-4</v>
      </c>
    </row>
    <row r="1930" spans="1:13" ht="11.25" customHeight="1" x14ac:dyDescent="0.2">
      <c r="A1930" s="924" t="s">
        <v>853</v>
      </c>
      <c r="B1930" s="924" t="s">
        <v>796</v>
      </c>
      <c r="C1930" s="924" t="s">
        <v>1182</v>
      </c>
      <c r="D1930" s="924" t="s">
        <v>855</v>
      </c>
      <c r="E1930" s="924" t="s">
        <v>856</v>
      </c>
      <c r="F1930" s="924" t="s">
        <v>910</v>
      </c>
      <c r="G1930" s="924" t="s">
        <v>911</v>
      </c>
      <c r="H1930" s="924" t="s">
        <v>665</v>
      </c>
      <c r="I1930" s="924" t="s">
        <v>706</v>
      </c>
      <c r="J1930" s="924" t="s">
        <v>859</v>
      </c>
      <c r="K1930" s="924" t="s">
        <v>905</v>
      </c>
      <c r="L1930" s="925">
        <v>0.45659274980425801</v>
      </c>
      <c r="M1930" s="925">
        <v>3.7326292647321701E-4</v>
      </c>
    </row>
    <row r="1931" spans="1:13" ht="11.25" customHeight="1" x14ac:dyDescent="0.2">
      <c r="A1931" s="924" t="s">
        <v>853</v>
      </c>
      <c r="B1931" s="924" t="s">
        <v>796</v>
      </c>
      <c r="C1931" s="924" t="s">
        <v>1182</v>
      </c>
      <c r="D1931" s="924" t="s">
        <v>855</v>
      </c>
      <c r="E1931" s="924" t="s">
        <v>856</v>
      </c>
      <c r="F1931" s="924" t="s">
        <v>1120</v>
      </c>
      <c r="G1931" s="924" t="s">
        <v>981</v>
      </c>
      <c r="H1931" s="924" t="s">
        <v>835</v>
      </c>
      <c r="I1931" s="924" t="s">
        <v>1040</v>
      </c>
      <c r="J1931" s="924" t="s">
        <v>875</v>
      </c>
      <c r="K1931" s="924" t="s">
        <v>880</v>
      </c>
      <c r="L1931" s="925">
        <v>58.886916339397402</v>
      </c>
      <c r="M1931" s="925">
        <v>3.4081061900451501E-2</v>
      </c>
    </row>
    <row r="1932" spans="1:13" ht="11.25" customHeight="1" x14ac:dyDescent="0.2">
      <c r="A1932" s="924" t="s">
        <v>853</v>
      </c>
      <c r="B1932" s="924" t="s">
        <v>796</v>
      </c>
      <c r="C1932" s="924" t="s">
        <v>1182</v>
      </c>
      <c r="D1932" s="924" t="s">
        <v>855</v>
      </c>
      <c r="E1932" s="924" t="s">
        <v>856</v>
      </c>
      <c r="F1932" s="924" t="s">
        <v>1158</v>
      </c>
      <c r="G1932" s="924" t="s">
        <v>981</v>
      </c>
      <c r="H1932" s="924" t="s">
        <v>835</v>
      </c>
      <c r="I1932" s="924" t="s">
        <v>1040</v>
      </c>
      <c r="J1932" s="924" t="s">
        <v>940</v>
      </c>
      <c r="K1932" s="924" t="s">
        <v>1023</v>
      </c>
      <c r="L1932" s="925">
        <v>524.74081778526295</v>
      </c>
      <c r="M1932" s="925">
        <v>0.30074857379486297</v>
      </c>
    </row>
    <row r="1933" spans="1:13" ht="11.25" customHeight="1" x14ac:dyDescent="0.2">
      <c r="A1933" s="924" t="s">
        <v>853</v>
      </c>
      <c r="B1933" s="924" t="s">
        <v>796</v>
      </c>
      <c r="C1933" s="924" t="s">
        <v>1182</v>
      </c>
      <c r="D1933" s="924" t="s">
        <v>855</v>
      </c>
      <c r="E1933" s="924" t="s">
        <v>856</v>
      </c>
      <c r="F1933" s="924" t="s">
        <v>916</v>
      </c>
      <c r="G1933" s="924" t="s">
        <v>911</v>
      </c>
      <c r="H1933" s="924" t="s">
        <v>665</v>
      </c>
      <c r="I1933" s="924" t="s">
        <v>706</v>
      </c>
      <c r="J1933" s="924" t="s">
        <v>859</v>
      </c>
      <c r="K1933" s="924" t="s">
        <v>909</v>
      </c>
      <c r="L1933" s="925">
        <v>1.09197982493788</v>
      </c>
      <c r="M1933" s="925">
        <v>5.0540750578420598E-5</v>
      </c>
    </row>
    <row r="1934" spans="1:13" ht="11.25" customHeight="1" x14ac:dyDescent="0.2">
      <c r="A1934" s="924" t="s">
        <v>853</v>
      </c>
      <c r="B1934" s="924" t="s">
        <v>796</v>
      </c>
      <c r="C1934" s="924" t="s">
        <v>1182</v>
      </c>
      <c r="D1934" s="924" t="s">
        <v>855</v>
      </c>
      <c r="E1934" s="924" t="s">
        <v>856</v>
      </c>
      <c r="F1934" s="924" t="s">
        <v>1136</v>
      </c>
      <c r="G1934" s="924" t="s">
        <v>981</v>
      </c>
      <c r="H1934" s="924" t="s">
        <v>835</v>
      </c>
      <c r="I1934" s="924" t="s">
        <v>1040</v>
      </c>
      <c r="J1934" s="924" t="s">
        <v>863</v>
      </c>
      <c r="K1934" s="924" t="s">
        <v>864</v>
      </c>
      <c r="L1934" s="925">
        <v>86.236989140510602</v>
      </c>
      <c r="M1934" s="925">
        <v>6.4332672511227401E-2</v>
      </c>
    </row>
    <row r="1935" spans="1:13" ht="11.25" customHeight="1" x14ac:dyDescent="0.2">
      <c r="A1935" s="924" t="s">
        <v>853</v>
      </c>
      <c r="B1935" s="924" t="s">
        <v>796</v>
      </c>
      <c r="C1935" s="924" t="s">
        <v>1182</v>
      </c>
      <c r="D1935" s="924" t="s">
        <v>855</v>
      </c>
      <c r="E1935" s="924" t="s">
        <v>856</v>
      </c>
      <c r="F1935" s="924" t="s">
        <v>1148</v>
      </c>
      <c r="G1935" s="924" t="s">
        <v>981</v>
      </c>
      <c r="H1935" s="924" t="s">
        <v>835</v>
      </c>
      <c r="I1935" s="924" t="s">
        <v>1040</v>
      </c>
      <c r="J1935" s="924" t="s">
        <v>863</v>
      </c>
      <c r="K1935" s="924" t="s">
        <v>915</v>
      </c>
      <c r="L1935" s="925">
        <v>3.9147157035768001</v>
      </c>
      <c r="M1935" s="925">
        <v>1.4586155768370199E-3</v>
      </c>
    </row>
    <row r="1936" spans="1:13" ht="11.25" customHeight="1" x14ac:dyDescent="0.2">
      <c r="A1936" s="924" t="s">
        <v>853</v>
      </c>
      <c r="B1936" s="924" t="s">
        <v>796</v>
      </c>
      <c r="C1936" s="924" t="s">
        <v>1182</v>
      </c>
      <c r="D1936" s="924" t="s">
        <v>855</v>
      </c>
      <c r="E1936" s="924" t="s">
        <v>856</v>
      </c>
      <c r="F1936" s="924" t="s">
        <v>1137</v>
      </c>
      <c r="G1936" s="924" t="s">
        <v>981</v>
      </c>
      <c r="H1936" s="924" t="s">
        <v>835</v>
      </c>
      <c r="I1936" s="924" t="s">
        <v>1040</v>
      </c>
      <c r="J1936" s="924" t="s">
        <v>863</v>
      </c>
      <c r="K1936" s="924" t="s">
        <v>866</v>
      </c>
      <c r="L1936" s="925">
        <v>1.14305861853063</v>
      </c>
      <c r="M1936" s="925">
        <v>7.6538546454685296E-4</v>
      </c>
    </row>
    <row r="1937" spans="1:13" ht="11.25" customHeight="1" x14ac:dyDescent="0.2">
      <c r="A1937" s="924" t="s">
        <v>853</v>
      </c>
      <c r="B1937" s="924" t="s">
        <v>796</v>
      </c>
      <c r="C1937" s="924" t="s">
        <v>1182</v>
      </c>
      <c r="D1937" s="924" t="s">
        <v>855</v>
      </c>
      <c r="E1937" s="924" t="s">
        <v>856</v>
      </c>
      <c r="F1937" s="924" t="s">
        <v>1131</v>
      </c>
      <c r="G1937" s="924" t="s">
        <v>981</v>
      </c>
      <c r="H1937" s="924" t="s">
        <v>835</v>
      </c>
      <c r="I1937" s="924" t="s">
        <v>1040</v>
      </c>
      <c r="J1937" s="924" t="s">
        <v>863</v>
      </c>
      <c r="K1937" s="924" t="s">
        <v>868</v>
      </c>
      <c r="L1937" s="925">
        <v>18.871752798557299</v>
      </c>
      <c r="M1937" s="925">
        <v>1.33140788602759E-3</v>
      </c>
    </row>
    <row r="1938" spans="1:13" ht="11.25" customHeight="1" x14ac:dyDescent="0.2">
      <c r="A1938" s="924" t="s">
        <v>853</v>
      </c>
      <c r="B1938" s="924" t="s">
        <v>796</v>
      </c>
      <c r="C1938" s="924" t="s">
        <v>1182</v>
      </c>
      <c r="D1938" s="924" t="s">
        <v>855</v>
      </c>
      <c r="E1938" s="924" t="s">
        <v>856</v>
      </c>
      <c r="F1938" s="924" t="s">
        <v>1139</v>
      </c>
      <c r="G1938" s="924" t="s">
        <v>981</v>
      </c>
      <c r="H1938" s="924" t="s">
        <v>835</v>
      </c>
      <c r="I1938" s="924" t="s">
        <v>1040</v>
      </c>
      <c r="J1938" s="924" t="s">
        <v>940</v>
      </c>
      <c r="K1938" s="924" t="s">
        <v>1140</v>
      </c>
      <c r="L1938" s="925">
        <v>222.11176466941799</v>
      </c>
      <c r="M1938" s="925">
        <v>0.16227660016071399</v>
      </c>
    </row>
    <row r="1939" spans="1:13" ht="11.25" customHeight="1" x14ac:dyDescent="0.2">
      <c r="A1939" s="924" t="s">
        <v>853</v>
      </c>
      <c r="B1939" s="924" t="s">
        <v>796</v>
      </c>
      <c r="C1939" s="924" t="s">
        <v>1182</v>
      </c>
      <c r="D1939" s="924" t="s">
        <v>855</v>
      </c>
      <c r="E1939" s="924" t="s">
        <v>856</v>
      </c>
      <c r="F1939" s="924" t="s">
        <v>1141</v>
      </c>
      <c r="G1939" s="924" t="s">
        <v>981</v>
      </c>
      <c r="H1939" s="924" t="s">
        <v>835</v>
      </c>
      <c r="I1939" s="924" t="s">
        <v>1040</v>
      </c>
      <c r="J1939" s="924" t="s">
        <v>940</v>
      </c>
      <c r="K1939" s="924" t="s">
        <v>1142</v>
      </c>
      <c r="L1939" s="925">
        <v>552.90401363372803</v>
      </c>
      <c r="M1939" s="925">
        <v>0.40680438571143901</v>
      </c>
    </row>
    <row r="1940" spans="1:13" ht="11.25" customHeight="1" x14ac:dyDescent="0.2">
      <c r="A1940" s="924" t="s">
        <v>853</v>
      </c>
      <c r="B1940" s="924" t="s">
        <v>796</v>
      </c>
      <c r="C1940" s="924" t="s">
        <v>1182</v>
      </c>
      <c r="D1940" s="924" t="s">
        <v>855</v>
      </c>
      <c r="E1940" s="924" t="s">
        <v>856</v>
      </c>
      <c r="F1940" s="924" t="s">
        <v>1143</v>
      </c>
      <c r="G1940" s="924" t="s">
        <v>981</v>
      </c>
      <c r="H1940" s="924" t="s">
        <v>835</v>
      </c>
      <c r="I1940" s="924" t="s">
        <v>1040</v>
      </c>
      <c r="J1940" s="924" t="s">
        <v>940</v>
      </c>
      <c r="K1940" s="924" t="s">
        <v>1084</v>
      </c>
      <c r="L1940" s="925">
        <v>19.1131397485733</v>
      </c>
      <c r="M1940" s="925">
        <v>1.3941930577857401E-2</v>
      </c>
    </row>
    <row r="1941" spans="1:13" ht="11.25" customHeight="1" x14ac:dyDescent="0.2">
      <c r="A1941" s="924" t="s">
        <v>853</v>
      </c>
      <c r="B1941" s="924" t="s">
        <v>796</v>
      </c>
      <c r="C1941" s="924" t="s">
        <v>1182</v>
      </c>
      <c r="D1941" s="924" t="s">
        <v>855</v>
      </c>
      <c r="E1941" s="924" t="s">
        <v>856</v>
      </c>
      <c r="F1941" s="924" t="s">
        <v>1144</v>
      </c>
      <c r="G1941" s="924" t="s">
        <v>981</v>
      </c>
      <c r="H1941" s="924" t="s">
        <v>835</v>
      </c>
      <c r="I1941" s="924" t="s">
        <v>1040</v>
      </c>
      <c r="J1941" s="924" t="s">
        <v>940</v>
      </c>
      <c r="K1941" s="924" t="s">
        <v>1070</v>
      </c>
      <c r="L1941" s="925">
        <v>328.73373997211502</v>
      </c>
      <c r="M1941" s="925">
        <v>0.22832148568704699</v>
      </c>
    </row>
    <row r="1942" spans="1:13" ht="11.25" customHeight="1" x14ac:dyDescent="0.2">
      <c r="A1942" s="924" t="s">
        <v>853</v>
      </c>
      <c r="B1942" s="924" t="s">
        <v>796</v>
      </c>
      <c r="C1942" s="924" t="s">
        <v>1182</v>
      </c>
      <c r="D1942" s="924" t="s">
        <v>855</v>
      </c>
      <c r="E1942" s="924" t="s">
        <v>856</v>
      </c>
      <c r="F1942" s="924" t="s">
        <v>1149</v>
      </c>
      <c r="G1942" s="924" t="s">
        <v>981</v>
      </c>
      <c r="H1942" s="924" t="s">
        <v>835</v>
      </c>
      <c r="I1942" s="924" t="s">
        <v>1040</v>
      </c>
      <c r="J1942" s="924" t="s">
        <v>940</v>
      </c>
      <c r="K1942" s="924" t="s">
        <v>1091</v>
      </c>
      <c r="L1942" s="925">
        <v>1.2317048460245099</v>
      </c>
      <c r="M1942" s="925">
        <v>8.5788816795684397E-4</v>
      </c>
    </row>
    <row r="1943" spans="1:13" ht="11.25" customHeight="1" x14ac:dyDescent="0.2">
      <c r="A1943" s="924" t="s">
        <v>853</v>
      </c>
      <c r="B1943" s="924" t="s">
        <v>796</v>
      </c>
      <c r="C1943" s="924" t="s">
        <v>1182</v>
      </c>
      <c r="D1943" s="924" t="s">
        <v>855</v>
      </c>
      <c r="E1943" s="924" t="s">
        <v>856</v>
      </c>
      <c r="F1943" s="924" t="s">
        <v>1110</v>
      </c>
      <c r="G1943" s="924" t="s">
        <v>981</v>
      </c>
      <c r="H1943" s="924" t="s">
        <v>835</v>
      </c>
      <c r="I1943" s="924" t="s">
        <v>1040</v>
      </c>
      <c r="J1943" s="924" t="s">
        <v>870</v>
      </c>
      <c r="K1943" s="924" t="s">
        <v>1019</v>
      </c>
      <c r="L1943" s="925">
        <v>4.1002136131282903E-2</v>
      </c>
      <c r="M1943" s="925">
        <v>3.4293851992828202E-5</v>
      </c>
    </row>
    <row r="1944" spans="1:13" ht="11.25" customHeight="1" x14ac:dyDescent="0.2">
      <c r="A1944" s="924" t="s">
        <v>853</v>
      </c>
      <c r="B1944" s="924" t="s">
        <v>796</v>
      </c>
      <c r="C1944" s="924" t="s">
        <v>1182</v>
      </c>
      <c r="D1944" s="924" t="s">
        <v>855</v>
      </c>
      <c r="E1944" s="924" t="s">
        <v>856</v>
      </c>
      <c r="F1944" s="924" t="s">
        <v>1159</v>
      </c>
      <c r="G1944" s="924" t="s">
        <v>981</v>
      </c>
      <c r="H1944" s="924" t="s">
        <v>835</v>
      </c>
      <c r="I1944" s="924" t="s">
        <v>1040</v>
      </c>
      <c r="J1944" s="924" t="s">
        <v>940</v>
      </c>
      <c r="K1944" s="924" t="s">
        <v>1095</v>
      </c>
      <c r="L1944" s="925">
        <v>2.3497304748743799</v>
      </c>
      <c r="M1944" s="925">
        <v>1.6368803098885101E-3</v>
      </c>
    </row>
    <row r="1945" spans="1:13" ht="11.25" customHeight="1" x14ac:dyDescent="0.2">
      <c r="A1945" s="924" t="s">
        <v>853</v>
      </c>
      <c r="B1945" s="924" t="s">
        <v>796</v>
      </c>
      <c r="C1945" s="924" t="s">
        <v>1182</v>
      </c>
      <c r="D1945" s="924" t="s">
        <v>855</v>
      </c>
      <c r="E1945" s="924" t="s">
        <v>856</v>
      </c>
      <c r="F1945" s="924" t="s">
        <v>1134</v>
      </c>
      <c r="G1945" s="924" t="s">
        <v>981</v>
      </c>
      <c r="H1945" s="924" t="s">
        <v>835</v>
      </c>
      <c r="I1945" s="924" t="s">
        <v>1040</v>
      </c>
      <c r="J1945" s="924" t="s">
        <v>863</v>
      </c>
      <c r="K1945" s="924" t="s">
        <v>933</v>
      </c>
      <c r="L1945" s="925">
        <v>213.17451763153099</v>
      </c>
      <c r="M1945" s="925">
        <v>1.50472707900917E-2</v>
      </c>
    </row>
    <row r="1946" spans="1:13" ht="11.25" customHeight="1" x14ac:dyDescent="0.2">
      <c r="A1946" s="924" t="s">
        <v>853</v>
      </c>
      <c r="B1946" s="924" t="s">
        <v>796</v>
      </c>
      <c r="C1946" s="924" t="s">
        <v>1182</v>
      </c>
      <c r="D1946" s="924" t="s">
        <v>855</v>
      </c>
      <c r="E1946" s="924" t="s">
        <v>856</v>
      </c>
      <c r="F1946" s="924" t="s">
        <v>1154</v>
      </c>
      <c r="G1946" s="924" t="s">
        <v>981</v>
      </c>
      <c r="H1946" s="924" t="s">
        <v>835</v>
      </c>
      <c r="I1946" s="924" t="s">
        <v>1040</v>
      </c>
      <c r="J1946" s="924" t="s">
        <v>940</v>
      </c>
      <c r="K1946" s="924" t="s">
        <v>1155</v>
      </c>
      <c r="L1946" s="925">
        <v>44.914174407720601</v>
      </c>
      <c r="M1946" s="925">
        <v>2.8877176837440299E-2</v>
      </c>
    </row>
    <row r="1947" spans="1:13" ht="11.25" customHeight="1" x14ac:dyDescent="0.2">
      <c r="A1947" s="924" t="s">
        <v>853</v>
      </c>
      <c r="B1947" s="924" t="s">
        <v>796</v>
      </c>
      <c r="C1947" s="924" t="s">
        <v>1182</v>
      </c>
      <c r="D1947" s="924" t="s">
        <v>855</v>
      </c>
      <c r="E1947" s="924" t="s">
        <v>856</v>
      </c>
      <c r="F1947" s="924" t="s">
        <v>1152</v>
      </c>
      <c r="G1947" s="924" t="s">
        <v>981</v>
      </c>
      <c r="H1947" s="924" t="s">
        <v>835</v>
      </c>
      <c r="I1947" s="924" t="s">
        <v>1040</v>
      </c>
      <c r="J1947" s="924" t="s">
        <v>940</v>
      </c>
      <c r="K1947" s="924" t="s">
        <v>1153</v>
      </c>
      <c r="L1947" s="925">
        <v>70.249743044376402</v>
      </c>
      <c r="M1947" s="925">
        <v>4.60637676878832E-2</v>
      </c>
    </row>
    <row r="1948" spans="1:13" ht="11.25" customHeight="1" x14ac:dyDescent="0.2">
      <c r="A1948" s="924" t="s">
        <v>853</v>
      </c>
      <c r="B1948" s="924" t="s">
        <v>796</v>
      </c>
      <c r="C1948" s="924" t="s">
        <v>1182</v>
      </c>
      <c r="D1948" s="924" t="s">
        <v>855</v>
      </c>
      <c r="E1948" s="924" t="s">
        <v>856</v>
      </c>
      <c r="F1948" s="924" t="s">
        <v>1161</v>
      </c>
      <c r="G1948" s="924" t="s">
        <v>981</v>
      </c>
      <c r="H1948" s="924" t="s">
        <v>835</v>
      </c>
      <c r="I1948" s="924" t="s">
        <v>1040</v>
      </c>
      <c r="J1948" s="924" t="s">
        <v>940</v>
      </c>
      <c r="K1948" s="924" t="s">
        <v>1027</v>
      </c>
      <c r="L1948" s="925">
        <v>79.352275103330598</v>
      </c>
      <c r="M1948" s="925">
        <v>5.4695250512679601E-2</v>
      </c>
    </row>
    <row r="1949" spans="1:13" ht="11.25" customHeight="1" x14ac:dyDescent="0.2">
      <c r="A1949" s="924" t="s">
        <v>853</v>
      </c>
      <c r="B1949" s="924" t="s">
        <v>796</v>
      </c>
      <c r="C1949" s="924" t="s">
        <v>1182</v>
      </c>
      <c r="D1949" s="924" t="s">
        <v>855</v>
      </c>
      <c r="E1949" s="924" t="s">
        <v>856</v>
      </c>
      <c r="F1949" s="924" t="s">
        <v>1150</v>
      </c>
      <c r="G1949" s="924" t="s">
        <v>981</v>
      </c>
      <c r="H1949" s="924" t="s">
        <v>835</v>
      </c>
      <c r="I1949" s="924" t="s">
        <v>1040</v>
      </c>
      <c r="J1949" s="924" t="s">
        <v>940</v>
      </c>
      <c r="K1949" s="924" t="s">
        <v>1151</v>
      </c>
      <c r="L1949" s="925">
        <v>37.868702664971401</v>
      </c>
      <c r="M1949" s="925">
        <v>2.65848076960538E-2</v>
      </c>
    </row>
    <row r="1950" spans="1:13" ht="11.25" customHeight="1" x14ac:dyDescent="0.2">
      <c r="A1950" s="924" t="s">
        <v>853</v>
      </c>
      <c r="B1950" s="924" t="s">
        <v>796</v>
      </c>
      <c r="C1950" s="924" t="s">
        <v>1182</v>
      </c>
      <c r="D1950" s="924" t="s">
        <v>855</v>
      </c>
      <c r="E1950" s="924" t="s">
        <v>856</v>
      </c>
      <c r="F1950" s="924" t="s">
        <v>1146</v>
      </c>
      <c r="G1950" s="924" t="s">
        <v>981</v>
      </c>
      <c r="H1950" s="924" t="s">
        <v>835</v>
      </c>
      <c r="I1950" s="924" t="s">
        <v>1040</v>
      </c>
      <c r="J1950" s="924" t="s">
        <v>940</v>
      </c>
      <c r="K1950" s="924" t="s">
        <v>1147</v>
      </c>
      <c r="L1950" s="925">
        <v>602.08235549926803</v>
      </c>
      <c r="M1950" s="925">
        <v>0.386432520812377</v>
      </c>
    </row>
    <row r="1951" spans="1:13" ht="11.25" customHeight="1" x14ac:dyDescent="0.2">
      <c r="A1951" s="924" t="s">
        <v>853</v>
      </c>
      <c r="B1951" s="924" t="s">
        <v>796</v>
      </c>
      <c r="C1951" s="924" t="s">
        <v>1182</v>
      </c>
      <c r="D1951" s="924" t="s">
        <v>855</v>
      </c>
      <c r="E1951" s="924" t="s">
        <v>856</v>
      </c>
      <c r="F1951" s="924" t="s">
        <v>1145</v>
      </c>
      <c r="G1951" s="924" t="s">
        <v>981</v>
      </c>
      <c r="H1951" s="924" t="s">
        <v>835</v>
      </c>
      <c r="I1951" s="924" t="s">
        <v>1040</v>
      </c>
      <c r="J1951" s="924" t="s">
        <v>940</v>
      </c>
      <c r="K1951" s="924" t="s">
        <v>1029</v>
      </c>
      <c r="L1951" s="925">
        <v>954.69687032699596</v>
      </c>
      <c r="M1951" s="925">
        <v>0.62587746023200497</v>
      </c>
    </row>
    <row r="1952" spans="1:13" ht="11.25" customHeight="1" x14ac:dyDescent="0.2">
      <c r="A1952" s="924" t="s">
        <v>853</v>
      </c>
      <c r="B1952" s="924" t="s">
        <v>796</v>
      </c>
      <c r="C1952" s="924" t="s">
        <v>1182</v>
      </c>
      <c r="D1952" s="924" t="s">
        <v>855</v>
      </c>
      <c r="E1952" s="924" t="s">
        <v>856</v>
      </c>
      <c r="F1952" s="924" t="s">
        <v>1132</v>
      </c>
      <c r="G1952" s="924" t="s">
        <v>981</v>
      </c>
      <c r="H1952" s="924" t="s">
        <v>835</v>
      </c>
      <c r="I1952" s="924" t="s">
        <v>1040</v>
      </c>
      <c r="J1952" s="924" t="s">
        <v>940</v>
      </c>
      <c r="K1952" s="924" t="s">
        <v>941</v>
      </c>
      <c r="L1952" s="925">
        <v>159.304360449314</v>
      </c>
      <c r="M1952" s="925">
        <v>6.9360981375211794E-2</v>
      </c>
    </row>
    <row r="1953" spans="1:13" ht="11.25" customHeight="1" x14ac:dyDescent="0.2">
      <c r="A1953" s="924" t="s">
        <v>853</v>
      </c>
      <c r="B1953" s="924" t="s">
        <v>796</v>
      </c>
      <c r="C1953" s="924" t="s">
        <v>1182</v>
      </c>
      <c r="D1953" s="924" t="s">
        <v>855</v>
      </c>
      <c r="E1953" s="924" t="s">
        <v>856</v>
      </c>
      <c r="F1953" s="924" t="s">
        <v>1116</v>
      </c>
      <c r="G1953" s="924" t="s">
        <v>981</v>
      </c>
      <c r="H1953" s="924" t="s">
        <v>835</v>
      </c>
      <c r="I1953" s="924" t="s">
        <v>1040</v>
      </c>
      <c r="J1953" s="924" t="s">
        <v>940</v>
      </c>
      <c r="K1953" s="924" t="s">
        <v>1032</v>
      </c>
      <c r="L1953" s="925">
        <v>3081.7466211319002</v>
      </c>
      <c r="M1953" s="925">
        <v>1.9370837546885</v>
      </c>
    </row>
    <row r="1954" spans="1:13" ht="11.25" customHeight="1" x14ac:dyDescent="0.2">
      <c r="A1954" s="924" t="s">
        <v>853</v>
      </c>
      <c r="B1954" s="924" t="s">
        <v>796</v>
      </c>
      <c r="C1954" s="924" t="s">
        <v>1182</v>
      </c>
      <c r="D1954" s="924" t="s">
        <v>855</v>
      </c>
      <c r="E1954" s="924" t="s">
        <v>856</v>
      </c>
      <c r="F1954" s="924" t="s">
        <v>1105</v>
      </c>
      <c r="G1954" s="924" t="s">
        <v>981</v>
      </c>
      <c r="H1954" s="924" t="s">
        <v>835</v>
      </c>
      <c r="I1954" s="924" t="s">
        <v>1040</v>
      </c>
      <c r="J1954" s="924" t="s">
        <v>940</v>
      </c>
      <c r="K1954" s="924" t="s">
        <v>1106</v>
      </c>
      <c r="L1954" s="925">
        <v>21.4040976762772</v>
      </c>
      <c r="M1954" s="925">
        <v>1.5643802556379399E-2</v>
      </c>
    </row>
    <row r="1955" spans="1:13" ht="11.25" customHeight="1" x14ac:dyDescent="0.2">
      <c r="A1955" s="924" t="s">
        <v>853</v>
      </c>
      <c r="B1955" s="924" t="s">
        <v>796</v>
      </c>
      <c r="C1955" s="924" t="s">
        <v>1182</v>
      </c>
      <c r="D1955" s="924" t="s">
        <v>855</v>
      </c>
      <c r="E1955" s="924" t="s">
        <v>856</v>
      </c>
      <c r="F1955" s="924" t="s">
        <v>1107</v>
      </c>
      <c r="G1955" s="924" t="s">
        <v>981</v>
      </c>
      <c r="H1955" s="924" t="s">
        <v>835</v>
      </c>
      <c r="I1955" s="924" t="s">
        <v>1040</v>
      </c>
      <c r="J1955" s="924" t="s">
        <v>940</v>
      </c>
      <c r="K1955" s="924" t="s">
        <v>1034</v>
      </c>
      <c r="L1955" s="925">
        <v>94.730888336896896</v>
      </c>
      <c r="M1955" s="925">
        <v>6.8694031964611199E-2</v>
      </c>
    </row>
    <row r="1956" spans="1:13" ht="11.25" customHeight="1" x14ac:dyDescent="0.2">
      <c r="A1956" s="924" t="s">
        <v>853</v>
      </c>
      <c r="B1956" s="924" t="s">
        <v>796</v>
      </c>
      <c r="C1956" s="924" t="s">
        <v>1182</v>
      </c>
      <c r="D1956" s="924" t="s">
        <v>855</v>
      </c>
      <c r="E1956" s="924" t="s">
        <v>856</v>
      </c>
      <c r="F1956" s="924" t="s">
        <v>1160</v>
      </c>
      <c r="G1956" s="924" t="s">
        <v>981</v>
      </c>
      <c r="H1956" s="924" t="s">
        <v>835</v>
      </c>
      <c r="I1956" s="924" t="s">
        <v>1040</v>
      </c>
      <c r="J1956" s="924" t="s">
        <v>940</v>
      </c>
      <c r="K1956" s="924" t="s">
        <v>1093</v>
      </c>
      <c r="L1956" s="925">
        <v>12.806989621371001</v>
      </c>
      <c r="M1956" s="925">
        <v>9.0099742628808599E-3</v>
      </c>
    </row>
    <row r="1957" spans="1:13" ht="11.25" customHeight="1" x14ac:dyDescent="0.2">
      <c r="A1957" s="924" t="s">
        <v>853</v>
      </c>
      <c r="B1957" s="924" t="s">
        <v>796</v>
      </c>
      <c r="C1957" s="924" t="s">
        <v>1182</v>
      </c>
      <c r="D1957" s="924" t="s">
        <v>855</v>
      </c>
      <c r="E1957" s="924" t="s">
        <v>856</v>
      </c>
      <c r="F1957" s="924" t="s">
        <v>1055</v>
      </c>
      <c r="G1957" s="924" t="s">
        <v>981</v>
      </c>
      <c r="H1957" s="924" t="s">
        <v>835</v>
      </c>
      <c r="I1957" s="924" t="s">
        <v>1040</v>
      </c>
      <c r="J1957" s="924" t="s">
        <v>859</v>
      </c>
      <c r="K1957" s="924" t="s">
        <v>899</v>
      </c>
      <c r="L1957" s="925">
        <v>3.86643059179187</v>
      </c>
      <c r="M1957" s="925">
        <v>2.71564835345117E-3</v>
      </c>
    </row>
    <row r="1958" spans="1:13" ht="11.25" customHeight="1" x14ac:dyDescent="0.2">
      <c r="A1958" s="924" t="s">
        <v>853</v>
      </c>
      <c r="B1958" s="924" t="s">
        <v>797</v>
      </c>
      <c r="C1958" s="924" t="s">
        <v>1183</v>
      </c>
      <c r="D1958" s="924" t="s">
        <v>1176</v>
      </c>
      <c r="E1958" s="924" t="s">
        <v>856</v>
      </c>
      <c r="F1958" s="924" t="s">
        <v>1133</v>
      </c>
      <c r="G1958" s="924" t="s">
        <v>911</v>
      </c>
      <c r="H1958" s="924" t="s">
        <v>665</v>
      </c>
      <c r="I1958" s="924" t="s">
        <v>706</v>
      </c>
      <c r="J1958" s="924" t="s">
        <v>859</v>
      </c>
      <c r="K1958" s="924" t="s">
        <v>899</v>
      </c>
      <c r="L1958" s="925">
        <v>0.59433231921866503</v>
      </c>
      <c r="M1958" s="925">
        <v>5.9211138811576802E-5</v>
      </c>
    </row>
    <row r="1959" spans="1:13" ht="11.25" customHeight="1" x14ac:dyDescent="0.2">
      <c r="A1959" s="924" t="s">
        <v>853</v>
      </c>
      <c r="B1959" s="924" t="s">
        <v>797</v>
      </c>
      <c r="C1959" s="924" t="s">
        <v>1183</v>
      </c>
      <c r="D1959" s="924" t="s">
        <v>1176</v>
      </c>
      <c r="E1959" s="924" t="s">
        <v>856</v>
      </c>
      <c r="F1959" s="924" t="s">
        <v>1121</v>
      </c>
      <c r="G1959" s="924" t="s">
        <v>981</v>
      </c>
      <c r="H1959" s="924" t="s">
        <v>835</v>
      </c>
      <c r="I1959" s="924" t="s">
        <v>1040</v>
      </c>
      <c r="J1959" s="924" t="s">
        <v>875</v>
      </c>
      <c r="K1959" s="924" t="s">
        <v>948</v>
      </c>
      <c r="L1959" s="925">
        <v>630.85778045654297</v>
      </c>
      <c r="M1959" s="925">
        <v>0.39626805324132902</v>
      </c>
    </row>
    <row r="1960" spans="1:13" ht="11.25" customHeight="1" x14ac:dyDescent="0.2">
      <c r="A1960" s="924" t="s">
        <v>853</v>
      </c>
      <c r="B1960" s="924" t="s">
        <v>797</v>
      </c>
      <c r="C1960" s="924" t="s">
        <v>1183</v>
      </c>
      <c r="D1960" s="924" t="s">
        <v>1176</v>
      </c>
      <c r="E1960" s="924" t="s">
        <v>856</v>
      </c>
      <c r="F1960" s="924" t="s">
        <v>1122</v>
      </c>
      <c r="G1960" s="924" t="s">
        <v>981</v>
      </c>
      <c r="H1960" s="924" t="s">
        <v>835</v>
      </c>
      <c r="I1960" s="924" t="s">
        <v>1040</v>
      </c>
      <c r="J1960" s="924" t="s">
        <v>875</v>
      </c>
      <c r="K1960" s="924" t="s">
        <v>950</v>
      </c>
      <c r="L1960" s="925">
        <v>997.82052230834995</v>
      </c>
      <c r="M1960" s="925">
        <v>0.69491823266957897</v>
      </c>
    </row>
    <row r="1961" spans="1:13" ht="11.25" customHeight="1" x14ac:dyDescent="0.2">
      <c r="A1961" s="924" t="s">
        <v>853</v>
      </c>
      <c r="B1961" s="924" t="s">
        <v>797</v>
      </c>
      <c r="C1961" s="924" t="s">
        <v>1183</v>
      </c>
      <c r="D1961" s="924" t="s">
        <v>1176</v>
      </c>
      <c r="E1961" s="924" t="s">
        <v>856</v>
      </c>
      <c r="F1961" s="924" t="s">
        <v>1123</v>
      </c>
      <c r="G1961" s="924" t="s">
        <v>981</v>
      </c>
      <c r="H1961" s="924" t="s">
        <v>835</v>
      </c>
      <c r="I1961" s="924" t="s">
        <v>1040</v>
      </c>
      <c r="J1961" s="924" t="s">
        <v>875</v>
      </c>
      <c r="K1961" s="924" t="s">
        <v>952</v>
      </c>
      <c r="L1961" s="925">
        <v>46.808071792125702</v>
      </c>
      <c r="M1961" s="925">
        <v>3.2697146598252402E-2</v>
      </c>
    </row>
    <row r="1962" spans="1:13" ht="11.25" customHeight="1" x14ac:dyDescent="0.2">
      <c r="A1962" s="924" t="s">
        <v>853</v>
      </c>
      <c r="B1962" s="924" t="s">
        <v>797</v>
      </c>
      <c r="C1962" s="924" t="s">
        <v>1183</v>
      </c>
      <c r="D1962" s="924" t="s">
        <v>1176</v>
      </c>
      <c r="E1962" s="924" t="s">
        <v>856</v>
      </c>
      <c r="F1962" s="924" t="s">
        <v>1124</v>
      </c>
      <c r="G1962" s="924" t="s">
        <v>981</v>
      </c>
      <c r="H1962" s="924" t="s">
        <v>835</v>
      </c>
      <c r="I1962" s="924" t="s">
        <v>1040</v>
      </c>
      <c r="J1962" s="924" t="s">
        <v>956</v>
      </c>
      <c r="K1962" s="924" t="s">
        <v>1125</v>
      </c>
      <c r="L1962" s="925">
        <v>5.0227846428751901</v>
      </c>
      <c r="M1962" s="925">
        <v>4.0365294995297098E-3</v>
      </c>
    </row>
    <row r="1963" spans="1:13" ht="11.25" customHeight="1" x14ac:dyDescent="0.2">
      <c r="A1963" s="924" t="s">
        <v>853</v>
      </c>
      <c r="B1963" s="924" t="s">
        <v>797</v>
      </c>
      <c r="C1963" s="924" t="s">
        <v>1183</v>
      </c>
      <c r="D1963" s="924" t="s">
        <v>1176</v>
      </c>
      <c r="E1963" s="924" t="s">
        <v>856</v>
      </c>
      <c r="F1963" s="924" t="s">
        <v>1126</v>
      </c>
      <c r="G1963" s="924" t="s">
        <v>981</v>
      </c>
      <c r="H1963" s="924" t="s">
        <v>835</v>
      </c>
      <c r="I1963" s="924" t="s">
        <v>1040</v>
      </c>
      <c r="J1963" s="924" t="s">
        <v>956</v>
      </c>
      <c r="K1963" s="924" t="s">
        <v>957</v>
      </c>
      <c r="L1963" s="925">
        <v>5.7871590834111003E-2</v>
      </c>
      <c r="M1963" s="925">
        <v>4.5607022457261303E-5</v>
      </c>
    </row>
    <row r="1964" spans="1:13" ht="11.25" customHeight="1" x14ac:dyDescent="0.2">
      <c r="A1964" s="924" t="s">
        <v>853</v>
      </c>
      <c r="B1964" s="924" t="s">
        <v>797</v>
      </c>
      <c r="C1964" s="924" t="s">
        <v>1183</v>
      </c>
      <c r="D1964" s="924" t="s">
        <v>1176</v>
      </c>
      <c r="E1964" s="924" t="s">
        <v>856</v>
      </c>
      <c r="F1964" s="924" t="s">
        <v>1127</v>
      </c>
      <c r="G1964" s="924" t="s">
        <v>911</v>
      </c>
      <c r="H1964" s="924" t="s">
        <v>665</v>
      </c>
      <c r="I1964" s="924" t="s">
        <v>706</v>
      </c>
      <c r="J1964" s="924" t="s">
        <v>884</v>
      </c>
      <c r="K1964" s="924" t="s">
        <v>885</v>
      </c>
      <c r="L1964" s="925">
        <v>7.3753137737512597</v>
      </c>
      <c r="M1964" s="925">
        <v>3.2048308439698299E-3</v>
      </c>
    </row>
    <row r="1965" spans="1:13" ht="11.25" customHeight="1" x14ac:dyDescent="0.2">
      <c r="A1965" s="924" t="s">
        <v>853</v>
      </c>
      <c r="B1965" s="924" t="s">
        <v>797</v>
      </c>
      <c r="C1965" s="924" t="s">
        <v>1183</v>
      </c>
      <c r="D1965" s="924" t="s">
        <v>1176</v>
      </c>
      <c r="E1965" s="924" t="s">
        <v>856</v>
      </c>
      <c r="F1965" s="924" t="s">
        <v>1128</v>
      </c>
      <c r="G1965" s="924" t="s">
        <v>911</v>
      </c>
      <c r="H1965" s="924" t="s">
        <v>665</v>
      </c>
      <c r="I1965" s="924" t="s">
        <v>706</v>
      </c>
      <c r="J1965" s="924" t="s">
        <v>859</v>
      </c>
      <c r="K1965" s="924" t="s">
        <v>913</v>
      </c>
      <c r="L1965" s="925">
        <v>3.4549420885741702</v>
      </c>
      <c r="M1965" s="925">
        <v>3.8095214654276799E-4</v>
      </c>
    </row>
    <row r="1966" spans="1:13" ht="11.25" customHeight="1" x14ac:dyDescent="0.2">
      <c r="A1966" s="924" t="s">
        <v>853</v>
      </c>
      <c r="B1966" s="924" t="s">
        <v>797</v>
      </c>
      <c r="C1966" s="924" t="s">
        <v>1183</v>
      </c>
      <c r="D1966" s="924" t="s">
        <v>1176</v>
      </c>
      <c r="E1966" s="924" t="s">
        <v>856</v>
      </c>
      <c r="F1966" s="924" t="s">
        <v>1146</v>
      </c>
      <c r="G1966" s="924" t="s">
        <v>981</v>
      </c>
      <c r="H1966" s="924" t="s">
        <v>835</v>
      </c>
      <c r="I1966" s="924" t="s">
        <v>1040</v>
      </c>
      <c r="J1966" s="924" t="s">
        <v>940</v>
      </c>
      <c r="K1966" s="924" t="s">
        <v>1147</v>
      </c>
      <c r="L1966" s="925">
        <v>3182.4581546783402</v>
      </c>
      <c r="M1966" s="925">
        <v>2.0524145215749701</v>
      </c>
    </row>
    <row r="1967" spans="1:13" ht="11.25" customHeight="1" x14ac:dyDescent="0.2">
      <c r="A1967" s="924" t="s">
        <v>853</v>
      </c>
      <c r="B1967" s="924" t="s">
        <v>797</v>
      </c>
      <c r="C1967" s="924" t="s">
        <v>1183</v>
      </c>
      <c r="D1967" s="924" t="s">
        <v>1176</v>
      </c>
      <c r="E1967" s="924" t="s">
        <v>856</v>
      </c>
      <c r="F1967" s="924" t="s">
        <v>1129</v>
      </c>
      <c r="G1967" s="924" t="s">
        <v>911</v>
      </c>
      <c r="H1967" s="924" t="s">
        <v>665</v>
      </c>
      <c r="I1967" s="924" t="s">
        <v>706</v>
      </c>
      <c r="J1967" s="924" t="s">
        <v>859</v>
      </c>
      <c r="K1967" s="924" t="s">
        <v>897</v>
      </c>
      <c r="L1967" s="925">
        <v>0.95413050707429603</v>
      </c>
      <c r="M1967" s="925">
        <v>3.4679326228115298E-4</v>
      </c>
    </row>
    <row r="1968" spans="1:13" ht="11.25" customHeight="1" x14ac:dyDescent="0.2">
      <c r="A1968" s="924" t="s">
        <v>853</v>
      </c>
      <c r="B1968" s="924" t="s">
        <v>797</v>
      </c>
      <c r="C1968" s="924" t="s">
        <v>1183</v>
      </c>
      <c r="D1968" s="924" t="s">
        <v>1176</v>
      </c>
      <c r="E1968" s="924" t="s">
        <v>856</v>
      </c>
      <c r="F1968" s="924" t="s">
        <v>1104</v>
      </c>
      <c r="G1968" s="924" t="s">
        <v>981</v>
      </c>
      <c r="H1968" s="924" t="s">
        <v>835</v>
      </c>
      <c r="I1968" s="924" t="s">
        <v>1040</v>
      </c>
      <c r="J1968" s="924" t="s">
        <v>875</v>
      </c>
      <c r="K1968" s="924" t="s">
        <v>876</v>
      </c>
      <c r="L1968" s="925">
        <v>2219.66721343994</v>
      </c>
      <c r="M1968" s="925">
        <v>1.4999922867864399</v>
      </c>
    </row>
    <row r="1969" spans="1:13" ht="11.25" customHeight="1" x14ac:dyDescent="0.2">
      <c r="A1969" s="924" t="s">
        <v>853</v>
      </c>
      <c r="B1969" s="924" t="s">
        <v>797</v>
      </c>
      <c r="C1969" s="924" t="s">
        <v>1183</v>
      </c>
      <c r="D1969" s="924" t="s">
        <v>1176</v>
      </c>
      <c r="E1969" s="924" t="s">
        <v>856</v>
      </c>
      <c r="F1969" s="924" t="s">
        <v>1074</v>
      </c>
      <c r="G1969" s="924" t="s">
        <v>911</v>
      </c>
      <c r="H1969" s="924" t="s">
        <v>665</v>
      </c>
      <c r="I1969" s="924" t="s">
        <v>706</v>
      </c>
      <c r="J1969" s="924" t="s">
        <v>859</v>
      </c>
      <c r="K1969" s="924" t="s">
        <v>903</v>
      </c>
      <c r="L1969" s="925">
        <v>10.6700854003429</v>
      </c>
      <c r="M1969" s="925">
        <v>1.1916650466901001E-3</v>
      </c>
    </row>
    <row r="1970" spans="1:13" ht="11.25" customHeight="1" x14ac:dyDescent="0.2">
      <c r="A1970" s="924" t="s">
        <v>853</v>
      </c>
      <c r="B1970" s="924" t="s">
        <v>797</v>
      </c>
      <c r="C1970" s="924" t="s">
        <v>1183</v>
      </c>
      <c r="D1970" s="924" t="s">
        <v>1176</v>
      </c>
      <c r="E1970" s="924" t="s">
        <v>856</v>
      </c>
      <c r="F1970" s="924" t="s">
        <v>910</v>
      </c>
      <c r="G1970" s="924" t="s">
        <v>911</v>
      </c>
      <c r="H1970" s="924" t="s">
        <v>665</v>
      </c>
      <c r="I1970" s="924" t="s">
        <v>706</v>
      </c>
      <c r="J1970" s="924" t="s">
        <v>859</v>
      </c>
      <c r="K1970" s="924" t="s">
        <v>905</v>
      </c>
      <c r="L1970" s="925">
        <v>4.19792643561959</v>
      </c>
      <c r="M1970" s="925">
        <v>3.4317888148507301E-3</v>
      </c>
    </row>
    <row r="1971" spans="1:13" ht="11.25" customHeight="1" x14ac:dyDescent="0.2">
      <c r="A1971" s="924" t="s">
        <v>853</v>
      </c>
      <c r="B1971" s="924" t="s">
        <v>797</v>
      </c>
      <c r="C1971" s="924" t="s">
        <v>1183</v>
      </c>
      <c r="D1971" s="924" t="s">
        <v>1176</v>
      </c>
      <c r="E1971" s="924" t="s">
        <v>856</v>
      </c>
      <c r="F1971" s="924" t="s">
        <v>916</v>
      </c>
      <c r="G1971" s="924" t="s">
        <v>911</v>
      </c>
      <c r="H1971" s="924" t="s">
        <v>665</v>
      </c>
      <c r="I1971" s="924" t="s">
        <v>706</v>
      </c>
      <c r="J1971" s="924" t="s">
        <v>859</v>
      </c>
      <c r="K1971" s="924" t="s">
        <v>909</v>
      </c>
      <c r="L1971" s="925">
        <v>10.0396944135427</v>
      </c>
      <c r="M1971" s="925">
        <v>4.6467291622320799E-4</v>
      </c>
    </row>
    <row r="1972" spans="1:13" ht="11.25" customHeight="1" x14ac:dyDescent="0.2">
      <c r="A1972" s="924" t="s">
        <v>853</v>
      </c>
      <c r="B1972" s="924" t="s">
        <v>797</v>
      </c>
      <c r="C1972" s="924" t="s">
        <v>1183</v>
      </c>
      <c r="D1972" s="924" t="s">
        <v>1176</v>
      </c>
      <c r="E1972" s="924" t="s">
        <v>856</v>
      </c>
      <c r="F1972" s="924" t="s">
        <v>917</v>
      </c>
      <c r="G1972" s="924" t="s">
        <v>911</v>
      </c>
      <c r="H1972" s="924" t="s">
        <v>665</v>
      </c>
      <c r="I1972" s="924" t="s">
        <v>706</v>
      </c>
      <c r="J1972" s="924" t="s">
        <v>859</v>
      </c>
      <c r="K1972" s="924" t="s">
        <v>918</v>
      </c>
      <c r="L1972" s="925">
        <v>3.8941976353526102</v>
      </c>
      <c r="M1972" s="925">
        <v>1.25738987276236E-3</v>
      </c>
    </row>
    <row r="1973" spans="1:13" ht="11.25" customHeight="1" x14ac:dyDescent="0.2">
      <c r="A1973" s="924" t="s">
        <v>853</v>
      </c>
      <c r="B1973" s="924" t="s">
        <v>797</v>
      </c>
      <c r="C1973" s="924" t="s">
        <v>1183</v>
      </c>
      <c r="D1973" s="924" t="s">
        <v>1176</v>
      </c>
      <c r="E1973" s="924" t="s">
        <v>856</v>
      </c>
      <c r="F1973" s="924" t="s">
        <v>919</v>
      </c>
      <c r="G1973" s="924" t="s">
        <v>911</v>
      </c>
      <c r="H1973" s="924" t="s">
        <v>665</v>
      </c>
      <c r="I1973" s="924" t="s">
        <v>706</v>
      </c>
      <c r="J1973" s="924" t="s">
        <v>859</v>
      </c>
      <c r="K1973" s="924" t="s">
        <v>920</v>
      </c>
      <c r="L1973" s="925">
        <v>0.64254621788859401</v>
      </c>
      <c r="M1973" s="925">
        <v>1.8001777854692599E-4</v>
      </c>
    </row>
    <row r="1974" spans="1:13" ht="11.25" customHeight="1" x14ac:dyDescent="0.2">
      <c r="A1974" s="924" t="s">
        <v>853</v>
      </c>
      <c r="B1974" s="924" t="s">
        <v>797</v>
      </c>
      <c r="C1974" s="924" t="s">
        <v>1183</v>
      </c>
      <c r="D1974" s="924" t="s">
        <v>1176</v>
      </c>
      <c r="E1974" s="924" t="s">
        <v>856</v>
      </c>
      <c r="F1974" s="924" t="s">
        <v>921</v>
      </c>
      <c r="G1974" s="924" t="s">
        <v>911</v>
      </c>
      <c r="H1974" s="924" t="s">
        <v>665</v>
      </c>
      <c r="I1974" s="924" t="s">
        <v>706</v>
      </c>
      <c r="J1974" s="924" t="s">
        <v>859</v>
      </c>
      <c r="K1974" s="924" t="s">
        <v>922</v>
      </c>
      <c r="L1974" s="925">
        <v>6.8232757002115196</v>
      </c>
      <c r="M1974" s="925">
        <v>9.1135205684622601E-4</v>
      </c>
    </row>
    <row r="1975" spans="1:13" ht="11.25" customHeight="1" x14ac:dyDescent="0.2">
      <c r="A1975" s="924" t="s">
        <v>853</v>
      </c>
      <c r="B1975" s="924" t="s">
        <v>797</v>
      </c>
      <c r="C1975" s="924" t="s">
        <v>1183</v>
      </c>
      <c r="D1975" s="924" t="s">
        <v>1176</v>
      </c>
      <c r="E1975" s="924" t="s">
        <v>856</v>
      </c>
      <c r="F1975" s="924" t="s">
        <v>1118</v>
      </c>
      <c r="G1975" s="924" t="s">
        <v>911</v>
      </c>
      <c r="H1975" s="924" t="s">
        <v>665</v>
      </c>
      <c r="I1975" s="924" t="s">
        <v>706</v>
      </c>
      <c r="J1975" s="924" t="s">
        <v>859</v>
      </c>
      <c r="K1975" s="924" t="s">
        <v>893</v>
      </c>
      <c r="L1975" s="925">
        <v>5.8585056737065297</v>
      </c>
      <c r="M1975" s="925">
        <v>2.8344220163489797E-4</v>
      </c>
    </row>
    <row r="1976" spans="1:13" ht="11.25" customHeight="1" x14ac:dyDescent="0.2">
      <c r="A1976" s="924" t="s">
        <v>853</v>
      </c>
      <c r="B1976" s="924" t="s">
        <v>797</v>
      </c>
      <c r="C1976" s="924" t="s">
        <v>1183</v>
      </c>
      <c r="D1976" s="924" t="s">
        <v>1176</v>
      </c>
      <c r="E1976" s="924" t="s">
        <v>856</v>
      </c>
      <c r="F1976" s="924" t="s">
        <v>1111</v>
      </c>
      <c r="G1976" s="924" t="s">
        <v>981</v>
      </c>
      <c r="H1976" s="924" t="s">
        <v>835</v>
      </c>
      <c r="I1976" s="924" t="s">
        <v>1040</v>
      </c>
      <c r="J1976" s="924" t="s">
        <v>870</v>
      </c>
      <c r="K1976" s="924" t="s">
        <v>1016</v>
      </c>
      <c r="L1976" s="925">
        <v>5.6009963639080498</v>
      </c>
      <c r="M1976" s="925">
        <v>4.7163173580884203E-3</v>
      </c>
    </row>
    <row r="1977" spans="1:13" ht="11.25" customHeight="1" x14ac:dyDescent="0.2">
      <c r="A1977" s="924" t="s">
        <v>853</v>
      </c>
      <c r="B1977" s="924" t="s">
        <v>797</v>
      </c>
      <c r="C1977" s="924" t="s">
        <v>1183</v>
      </c>
      <c r="D1977" s="924" t="s">
        <v>1176</v>
      </c>
      <c r="E1977" s="924" t="s">
        <v>856</v>
      </c>
      <c r="F1977" s="924" t="s">
        <v>898</v>
      </c>
      <c r="G1977" s="924" t="s">
        <v>858</v>
      </c>
      <c r="H1977" s="924" t="s">
        <v>836</v>
      </c>
      <c r="I1977" s="924" t="s">
        <v>837</v>
      </c>
      <c r="J1977" s="924" t="s">
        <v>859</v>
      </c>
      <c r="K1977" s="924" t="s">
        <v>899</v>
      </c>
      <c r="L1977" s="925">
        <v>38.638308614492402</v>
      </c>
      <c r="M1977" s="925">
        <v>6.72075691710461E-4</v>
      </c>
    </row>
    <row r="1978" spans="1:13" ht="11.25" customHeight="1" x14ac:dyDescent="0.2">
      <c r="A1978" s="924" t="s">
        <v>853</v>
      </c>
      <c r="B1978" s="924" t="s">
        <v>797</v>
      </c>
      <c r="C1978" s="924" t="s">
        <v>1183</v>
      </c>
      <c r="D1978" s="924" t="s">
        <v>1176</v>
      </c>
      <c r="E1978" s="924" t="s">
        <v>856</v>
      </c>
      <c r="F1978" s="924" t="s">
        <v>1132</v>
      </c>
      <c r="G1978" s="924" t="s">
        <v>981</v>
      </c>
      <c r="H1978" s="924" t="s">
        <v>835</v>
      </c>
      <c r="I1978" s="924" t="s">
        <v>1040</v>
      </c>
      <c r="J1978" s="924" t="s">
        <v>940</v>
      </c>
      <c r="K1978" s="924" t="s">
        <v>941</v>
      </c>
      <c r="L1978" s="925">
        <v>750.72136521339405</v>
      </c>
      <c r="M1978" s="925">
        <v>0.328436326584779</v>
      </c>
    </row>
    <row r="1979" spans="1:13" ht="11.25" customHeight="1" x14ac:dyDescent="0.2">
      <c r="A1979" s="924" t="s">
        <v>853</v>
      </c>
      <c r="B1979" s="924" t="s">
        <v>797</v>
      </c>
      <c r="C1979" s="924" t="s">
        <v>1183</v>
      </c>
      <c r="D1979" s="924" t="s">
        <v>1176</v>
      </c>
      <c r="E1979" s="924" t="s">
        <v>856</v>
      </c>
      <c r="F1979" s="924" t="s">
        <v>1116</v>
      </c>
      <c r="G1979" s="924" t="s">
        <v>981</v>
      </c>
      <c r="H1979" s="924" t="s">
        <v>835</v>
      </c>
      <c r="I1979" s="924" t="s">
        <v>1040</v>
      </c>
      <c r="J1979" s="924" t="s">
        <v>940</v>
      </c>
      <c r="K1979" s="924" t="s">
        <v>1032</v>
      </c>
      <c r="L1979" s="925">
        <v>14522.7272529602</v>
      </c>
      <c r="M1979" s="925">
        <v>9.1724280789494497</v>
      </c>
    </row>
    <row r="1980" spans="1:13" ht="11.25" customHeight="1" x14ac:dyDescent="0.2">
      <c r="A1980" s="924" t="s">
        <v>853</v>
      </c>
      <c r="B1980" s="924" t="s">
        <v>797</v>
      </c>
      <c r="C1980" s="924" t="s">
        <v>1183</v>
      </c>
      <c r="D1980" s="924" t="s">
        <v>1176</v>
      </c>
      <c r="E1980" s="924" t="s">
        <v>856</v>
      </c>
      <c r="F1980" s="924" t="s">
        <v>1105</v>
      </c>
      <c r="G1980" s="924" t="s">
        <v>981</v>
      </c>
      <c r="H1980" s="924" t="s">
        <v>835</v>
      </c>
      <c r="I1980" s="924" t="s">
        <v>1040</v>
      </c>
      <c r="J1980" s="924" t="s">
        <v>940</v>
      </c>
      <c r="K1980" s="924" t="s">
        <v>1106</v>
      </c>
      <c r="L1980" s="925">
        <v>113.13677573203999</v>
      </c>
      <c r="M1980" s="925">
        <v>8.3087032151524895E-2</v>
      </c>
    </row>
    <row r="1981" spans="1:13" ht="11.25" customHeight="1" x14ac:dyDescent="0.2">
      <c r="A1981" s="924" t="s">
        <v>853</v>
      </c>
      <c r="B1981" s="924" t="s">
        <v>797</v>
      </c>
      <c r="C1981" s="924" t="s">
        <v>1183</v>
      </c>
      <c r="D1981" s="924" t="s">
        <v>1176</v>
      </c>
      <c r="E1981" s="924" t="s">
        <v>856</v>
      </c>
      <c r="F1981" s="924" t="s">
        <v>1107</v>
      </c>
      <c r="G1981" s="924" t="s">
        <v>981</v>
      </c>
      <c r="H1981" s="924" t="s">
        <v>835</v>
      </c>
      <c r="I1981" s="924" t="s">
        <v>1040</v>
      </c>
      <c r="J1981" s="924" t="s">
        <v>940</v>
      </c>
      <c r="K1981" s="924" t="s">
        <v>1034</v>
      </c>
      <c r="L1981" s="925">
        <v>446.41941761970497</v>
      </c>
      <c r="M1981" s="925">
        <v>0.32527665069983402</v>
      </c>
    </row>
    <row r="1982" spans="1:13" ht="11.25" customHeight="1" x14ac:dyDescent="0.2">
      <c r="A1982" s="924" t="s">
        <v>853</v>
      </c>
      <c r="B1982" s="924" t="s">
        <v>797</v>
      </c>
      <c r="C1982" s="924" t="s">
        <v>1183</v>
      </c>
      <c r="D1982" s="924" t="s">
        <v>1176</v>
      </c>
      <c r="E1982" s="924" t="s">
        <v>856</v>
      </c>
      <c r="F1982" s="924" t="s">
        <v>1108</v>
      </c>
      <c r="G1982" s="924" t="s">
        <v>981</v>
      </c>
      <c r="H1982" s="924" t="s">
        <v>835</v>
      </c>
      <c r="I1982" s="924" t="s">
        <v>1040</v>
      </c>
      <c r="J1982" s="924" t="s">
        <v>870</v>
      </c>
      <c r="K1982" s="924" t="s">
        <v>1036</v>
      </c>
      <c r="L1982" s="925">
        <v>2.09945843368769</v>
      </c>
      <c r="M1982" s="925">
        <v>1.4240412642720899E-3</v>
      </c>
    </row>
    <row r="1983" spans="1:13" ht="11.25" customHeight="1" x14ac:dyDescent="0.2">
      <c r="A1983" s="924" t="s">
        <v>853</v>
      </c>
      <c r="B1983" s="924" t="s">
        <v>797</v>
      </c>
      <c r="C1983" s="924" t="s">
        <v>1183</v>
      </c>
      <c r="D1983" s="924" t="s">
        <v>1176</v>
      </c>
      <c r="E1983" s="924" t="s">
        <v>856</v>
      </c>
      <c r="F1983" s="924" t="s">
        <v>1120</v>
      </c>
      <c r="G1983" s="924" t="s">
        <v>981</v>
      </c>
      <c r="H1983" s="924" t="s">
        <v>835</v>
      </c>
      <c r="I1983" s="924" t="s">
        <v>1040</v>
      </c>
      <c r="J1983" s="924" t="s">
        <v>875</v>
      </c>
      <c r="K1983" s="924" t="s">
        <v>880</v>
      </c>
      <c r="L1983" s="925">
        <v>293.18161678314198</v>
      </c>
      <c r="M1983" s="925">
        <v>0.17091911199440801</v>
      </c>
    </row>
    <row r="1984" spans="1:13" ht="11.25" customHeight="1" x14ac:dyDescent="0.2">
      <c r="A1984" s="924" t="s">
        <v>853</v>
      </c>
      <c r="B1984" s="924" t="s">
        <v>797</v>
      </c>
      <c r="C1984" s="924" t="s">
        <v>1183</v>
      </c>
      <c r="D1984" s="924" t="s">
        <v>1176</v>
      </c>
      <c r="E1984" s="924" t="s">
        <v>856</v>
      </c>
      <c r="F1984" s="924" t="s">
        <v>1110</v>
      </c>
      <c r="G1984" s="924" t="s">
        <v>981</v>
      </c>
      <c r="H1984" s="924" t="s">
        <v>835</v>
      </c>
      <c r="I1984" s="924" t="s">
        <v>1040</v>
      </c>
      <c r="J1984" s="924" t="s">
        <v>870</v>
      </c>
      <c r="K1984" s="924" t="s">
        <v>1019</v>
      </c>
      <c r="L1984" s="925">
        <v>6.2561844009906095E-2</v>
      </c>
      <c r="M1984" s="925">
        <v>5.2509776455878002E-5</v>
      </c>
    </row>
    <row r="1985" spans="1:13" ht="11.25" customHeight="1" x14ac:dyDescent="0.2">
      <c r="A1985" s="924" t="s">
        <v>853</v>
      </c>
      <c r="B1985" s="924" t="s">
        <v>797</v>
      </c>
      <c r="C1985" s="924" t="s">
        <v>1183</v>
      </c>
      <c r="D1985" s="924" t="s">
        <v>1176</v>
      </c>
      <c r="E1985" s="924" t="s">
        <v>856</v>
      </c>
      <c r="F1985" s="924" t="s">
        <v>1119</v>
      </c>
      <c r="G1985" s="924" t="s">
        <v>981</v>
      </c>
      <c r="H1985" s="924" t="s">
        <v>835</v>
      </c>
      <c r="I1985" s="924" t="s">
        <v>1040</v>
      </c>
      <c r="J1985" s="924" t="s">
        <v>875</v>
      </c>
      <c r="K1985" s="924" t="s">
        <v>878</v>
      </c>
      <c r="L1985" s="925">
        <v>554.34495878219604</v>
      </c>
      <c r="M1985" s="925">
        <v>0.37053726490557898</v>
      </c>
    </row>
    <row r="1986" spans="1:13" ht="11.25" customHeight="1" x14ac:dyDescent="0.2">
      <c r="A1986" s="924" t="s">
        <v>853</v>
      </c>
      <c r="B1986" s="924" t="s">
        <v>797</v>
      </c>
      <c r="C1986" s="924" t="s">
        <v>1183</v>
      </c>
      <c r="D1986" s="924" t="s">
        <v>1176</v>
      </c>
      <c r="E1986" s="924" t="s">
        <v>856</v>
      </c>
      <c r="F1986" s="924" t="s">
        <v>1112</v>
      </c>
      <c r="G1986" s="924" t="s">
        <v>981</v>
      </c>
      <c r="H1986" s="924" t="s">
        <v>835</v>
      </c>
      <c r="I1986" s="924" t="s">
        <v>1040</v>
      </c>
      <c r="J1986" s="924" t="s">
        <v>870</v>
      </c>
      <c r="K1986" s="924" t="s">
        <v>959</v>
      </c>
      <c r="L1986" s="925">
        <v>1.72561016492546</v>
      </c>
      <c r="M1986" s="925">
        <v>1.1403707794670501E-3</v>
      </c>
    </row>
    <row r="1987" spans="1:13" ht="11.25" customHeight="1" x14ac:dyDescent="0.2">
      <c r="A1987" s="924" t="s">
        <v>853</v>
      </c>
      <c r="B1987" s="924" t="s">
        <v>797</v>
      </c>
      <c r="C1987" s="924" t="s">
        <v>1183</v>
      </c>
      <c r="D1987" s="924" t="s">
        <v>1176</v>
      </c>
      <c r="E1987" s="924" t="s">
        <v>856</v>
      </c>
      <c r="F1987" s="924" t="s">
        <v>1113</v>
      </c>
      <c r="G1987" s="924" t="s">
        <v>981</v>
      </c>
      <c r="H1987" s="924" t="s">
        <v>835</v>
      </c>
      <c r="I1987" s="924" t="s">
        <v>1040</v>
      </c>
      <c r="J1987" s="924" t="s">
        <v>870</v>
      </c>
      <c r="K1987" s="924" t="s">
        <v>961</v>
      </c>
      <c r="L1987" s="925">
        <v>18.856956191361</v>
      </c>
      <c r="M1987" s="925">
        <v>1.4313247915652E-2</v>
      </c>
    </row>
    <row r="1988" spans="1:13" ht="11.25" customHeight="1" x14ac:dyDescent="0.2">
      <c r="A1988" s="924" t="s">
        <v>853</v>
      </c>
      <c r="B1988" s="924" t="s">
        <v>797</v>
      </c>
      <c r="C1988" s="924" t="s">
        <v>1183</v>
      </c>
      <c r="D1988" s="924" t="s">
        <v>1176</v>
      </c>
      <c r="E1988" s="924" t="s">
        <v>856</v>
      </c>
      <c r="F1988" s="924" t="s">
        <v>1114</v>
      </c>
      <c r="G1988" s="924" t="s">
        <v>981</v>
      </c>
      <c r="H1988" s="924" t="s">
        <v>835</v>
      </c>
      <c r="I1988" s="924" t="s">
        <v>1040</v>
      </c>
      <c r="J1988" s="924" t="s">
        <v>870</v>
      </c>
      <c r="K1988" s="924" t="s">
        <v>963</v>
      </c>
      <c r="L1988" s="925">
        <v>41.124685749411597</v>
      </c>
      <c r="M1988" s="925">
        <v>6.8464627682260498E-2</v>
      </c>
    </row>
    <row r="1989" spans="1:13" ht="11.25" customHeight="1" x14ac:dyDescent="0.2">
      <c r="A1989" s="924" t="s">
        <v>853</v>
      </c>
      <c r="B1989" s="924" t="s">
        <v>797</v>
      </c>
      <c r="C1989" s="924" t="s">
        <v>1183</v>
      </c>
      <c r="D1989" s="924" t="s">
        <v>1176</v>
      </c>
      <c r="E1989" s="924" t="s">
        <v>856</v>
      </c>
      <c r="F1989" s="924" t="s">
        <v>1115</v>
      </c>
      <c r="G1989" s="924" t="s">
        <v>981</v>
      </c>
      <c r="H1989" s="924" t="s">
        <v>835</v>
      </c>
      <c r="I1989" s="924" t="s">
        <v>1040</v>
      </c>
      <c r="J1989" s="924" t="s">
        <v>870</v>
      </c>
      <c r="K1989" s="924" t="s">
        <v>965</v>
      </c>
      <c r="L1989" s="925">
        <v>8.8702554646879399</v>
      </c>
      <c r="M1989" s="925">
        <v>7.4691959284791699E-3</v>
      </c>
    </row>
    <row r="1990" spans="1:13" ht="11.25" customHeight="1" x14ac:dyDescent="0.2">
      <c r="A1990" s="924" t="s">
        <v>853</v>
      </c>
      <c r="B1990" s="924" t="s">
        <v>797</v>
      </c>
      <c r="C1990" s="924" t="s">
        <v>1183</v>
      </c>
      <c r="D1990" s="924" t="s">
        <v>1176</v>
      </c>
      <c r="E1990" s="924" t="s">
        <v>856</v>
      </c>
      <c r="F1990" s="924" t="s">
        <v>1130</v>
      </c>
      <c r="G1990" s="924" t="s">
        <v>981</v>
      </c>
      <c r="H1990" s="924" t="s">
        <v>835</v>
      </c>
      <c r="I1990" s="924" t="s">
        <v>1040</v>
      </c>
      <c r="J1990" s="924" t="s">
        <v>870</v>
      </c>
      <c r="K1990" s="924" t="s">
        <v>871</v>
      </c>
      <c r="L1990" s="925">
        <v>12.782072756439399</v>
      </c>
      <c r="M1990" s="925">
        <v>1.01978928405515E-2</v>
      </c>
    </row>
    <row r="1991" spans="1:13" ht="11.25" customHeight="1" x14ac:dyDescent="0.2">
      <c r="A1991" s="924" t="s">
        <v>853</v>
      </c>
      <c r="B1991" s="924" t="s">
        <v>797</v>
      </c>
      <c r="C1991" s="924" t="s">
        <v>1183</v>
      </c>
      <c r="D1991" s="924" t="s">
        <v>1176</v>
      </c>
      <c r="E1991" s="924" t="s">
        <v>856</v>
      </c>
      <c r="F1991" s="924" t="s">
        <v>1117</v>
      </c>
      <c r="G1991" s="924" t="s">
        <v>981</v>
      </c>
      <c r="H1991" s="924" t="s">
        <v>835</v>
      </c>
      <c r="I1991" s="924" t="s">
        <v>1040</v>
      </c>
      <c r="J1991" s="924" t="s">
        <v>870</v>
      </c>
      <c r="K1991" s="924" t="s">
        <v>873</v>
      </c>
      <c r="L1991" s="925">
        <v>14.093893334269501</v>
      </c>
      <c r="M1991" s="925">
        <v>1.4173279259921401E-3</v>
      </c>
    </row>
    <row r="1992" spans="1:13" ht="11.25" customHeight="1" x14ac:dyDescent="0.2">
      <c r="A1992" s="924" t="s">
        <v>853</v>
      </c>
      <c r="B1992" s="924" t="s">
        <v>797</v>
      </c>
      <c r="C1992" s="924" t="s">
        <v>1183</v>
      </c>
      <c r="D1992" s="924" t="s">
        <v>1176</v>
      </c>
      <c r="E1992" s="924" t="s">
        <v>856</v>
      </c>
      <c r="F1992" s="924" t="s">
        <v>927</v>
      </c>
      <c r="G1992" s="924" t="s">
        <v>911</v>
      </c>
      <c r="H1992" s="924" t="s">
        <v>665</v>
      </c>
      <c r="I1992" s="924" t="s">
        <v>706</v>
      </c>
      <c r="J1992" s="924" t="s">
        <v>859</v>
      </c>
      <c r="K1992" s="924" t="s">
        <v>928</v>
      </c>
      <c r="L1992" s="925">
        <v>14.397775352001201</v>
      </c>
      <c r="M1992" s="925">
        <v>4.2700704098024298E-3</v>
      </c>
    </row>
    <row r="1993" spans="1:13" ht="11.25" customHeight="1" x14ac:dyDescent="0.2">
      <c r="A1993" s="924" t="s">
        <v>853</v>
      </c>
      <c r="B1993" s="924" t="s">
        <v>797</v>
      </c>
      <c r="C1993" s="924" t="s">
        <v>1183</v>
      </c>
      <c r="D1993" s="924" t="s">
        <v>1176</v>
      </c>
      <c r="E1993" s="924" t="s">
        <v>856</v>
      </c>
      <c r="F1993" s="924" t="s">
        <v>1109</v>
      </c>
      <c r="G1993" s="924" t="s">
        <v>981</v>
      </c>
      <c r="H1993" s="924" t="s">
        <v>835</v>
      </c>
      <c r="I1993" s="924" t="s">
        <v>1040</v>
      </c>
      <c r="J1993" s="924" t="s">
        <v>870</v>
      </c>
      <c r="K1993" s="924" t="s">
        <v>976</v>
      </c>
      <c r="L1993" s="925">
        <v>8.1012415774166602</v>
      </c>
      <c r="M1993" s="925">
        <v>1.6619733491758399E-3</v>
      </c>
    </row>
    <row r="1994" spans="1:13" ht="11.25" customHeight="1" x14ac:dyDescent="0.2">
      <c r="A1994" s="924" t="s">
        <v>853</v>
      </c>
      <c r="B1994" s="924" t="s">
        <v>797</v>
      </c>
      <c r="C1994" s="924" t="s">
        <v>1183</v>
      </c>
      <c r="D1994" s="924" t="s">
        <v>1176</v>
      </c>
      <c r="E1994" s="924" t="s">
        <v>856</v>
      </c>
      <c r="F1994" s="924" t="s">
        <v>877</v>
      </c>
      <c r="G1994" s="924" t="s">
        <v>862</v>
      </c>
      <c r="H1994" s="924" t="s">
        <v>665</v>
      </c>
      <c r="I1994" s="924" t="s">
        <v>787</v>
      </c>
      <c r="J1994" s="924" t="s">
        <v>875</v>
      </c>
      <c r="K1994" s="924" t="s">
        <v>878</v>
      </c>
      <c r="L1994" s="925">
        <v>3.03065240755677</v>
      </c>
      <c r="M1994" s="925">
        <v>4.9650281376670997E-2</v>
      </c>
    </row>
    <row r="1995" spans="1:13" ht="11.25" customHeight="1" x14ac:dyDescent="0.2">
      <c r="A1995" s="924" t="s">
        <v>853</v>
      </c>
      <c r="B1995" s="924" t="s">
        <v>797</v>
      </c>
      <c r="C1995" s="924" t="s">
        <v>1183</v>
      </c>
      <c r="D1995" s="924" t="s">
        <v>1176</v>
      </c>
      <c r="E1995" s="924" t="s">
        <v>856</v>
      </c>
      <c r="F1995" s="924" t="s">
        <v>923</v>
      </c>
      <c r="G1995" s="924" t="s">
        <v>911</v>
      </c>
      <c r="H1995" s="924" t="s">
        <v>665</v>
      </c>
      <c r="I1995" s="924" t="s">
        <v>706</v>
      </c>
      <c r="J1995" s="924" t="s">
        <v>859</v>
      </c>
      <c r="K1995" s="924" t="s">
        <v>924</v>
      </c>
      <c r="L1995" s="925">
        <v>16.752875015139601</v>
      </c>
      <c r="M1995" s="925">
        <v>8.8817197865864695E-4</v>
      </c>
    </row>
    <row r="1996" spans="1:13" ht="11.25" customHeight="1" x14ac:dyDescent="0.2">
      <c r="A1996" s="924" t="s">
        <v>853</v>
      </c>
      <c r="B1996" s="924" t="s">
        <v>797</v>
      </c>
      <c r="C1996" s="924" t="s">
        <v>1183</v>
      </c>
      <c r="D1996" s="924" t="s">
        <v>1176</v>
      </c>
      <c r="E1996" s="924" t="s">
        <v>856</v>
      </c>
      <c r="F1996" s="924" t="s">
        <v>934</v>
      </c>
      <c r="G1996" s="924" t="s">
        <v>862</v>
      </c>
      <c r="H1996" s="924" t="s">
        <v>665</v>
      </c>
      <c r="I1996" s="924" t="s">
        <v>787</v>
      </c>
      <c r="J1996" s="924" t="s">
        <v>863</v>
      </c>
      <c r="K1996" s="924" t="s">
        <v>935</v>
      </c>
      <c r="L1996" s="925">
        <v>0.58979407139122497</v>
      </c>
      <c r="M1996" s="925">
        <v>2.4792906369839299E-3</v>
      </c>
    </row>
    <row r="1997" spans="1:13" ht="11.25" customHeight="1" x14ac:dyDescent="0.2">
      <c r="A1997" s="924" t="s">
        <v>853</v>
      </c>
      <c r="B1997" s="924" t="s">
        <v>797</v>
      </c>
      <c r="C1997" s="924" t="s">
        <v>1183</v>
      </c>
      <c r="D1997" s="924" t="s">
        <v>1176</v>
      </c>
      <c r="E1997" s="924" t="s">
        <v>856</v>
      </c>
      <c r="F1997" s="924" t="s">
        <v>861</v>
      </c>
      <c r="G1997" s="924" t="s">
        <v>862</v>
      </c>
      <c r="H1997" s="924" t="s">
        <v>665</v>
      </c>
      <c r="I1997" s="924" t="s">
        <v>787</v>
      </c>
      <c r="J1997" s="924" t="s">
        <v>863</v>
      </c>
      <c r="K1997" s="924" t="s">
        <v>864</v>
      </c>
      <c r="L1997" s="925">
        <v>0.32142438879236601</v>
      </c>
      <c r="M1997" s="925">
        <v>1.32067172853567E-3</v>
      </c>
    </row>
    <row r="1998" spans="1:13" ht="11.25" customHeight="1" x14ac:dyDescent="0.2">
      <c r="A1998" s="924" t="s">
        <v>853</v>
      </c>
      <c r="B1998" s="924" t="s">
        <v>797</v>
      </c>
      <c r="C1998" s="924" t="s">
        <v>1183</v>
      </c>
      <c r="D1998" s="924" t="s">
        <v>1176</v>
      </c>
      <c r="E1998" s="924" t="s">
        <v>856</v>
      </c>
      <c r="F1998" s="924" t="s">
        <v>865</v>
      </c>
      <c r="G1998" s="924" t="s">
        <v>862</v>
      </c>
      <c r="H1998" s="924" t="s">
        <v>665</v>
      </c>
      <c r="I1998" s="924" t="s">
        <v>787</v>
      </c>
      <c r="J1998" s="924" t="s">
        <v>863</v>
      </c>
      <c r="K1998" s="924" t="s">
        <v>866</v>
      </c>
      <c r="L1998" s="925">
        <v>1.61402221769094</v>
      </c>
      <c r="M1998" s="925">
        <v>7.7869794195066797E-3</v>
      </c>
    </row>
    <row r="1999" spans="1:13" ht="11.25" customHeight="1" x14ac:dyDescent="0.2">
      <c r="A1999" s="924" t="s">
        <v>853</v>
      </c>
      <c r="B1999" s="924" t="s">
        <v>797</v>
      </c>
      <c r="C1999" s="924" t="s">
        <v>1183</v>
      </c>
      <c r="D1999" s="924" t="s">
        <v>1176</v>
      </c>
      <c r="E1999" s="924" t="s">
        <v>856</v>
      </c>
      <c r="F1999" s="924" t="s">
        <v>867</v>
      </c>
      <c r="G1999" s="924" t="s">
        <v>862</v>
      </c>
      <c r="H1999" s="924" t="s">
        <v>665</v>
      </c>
      <c r="I1999" s="924" t="s">
        <v>787</v>
      </c>
      <c r="J1999" s="924" t="s">
        <v>863</v>
      </c>
      <c r="K1999" s="924" t="s">
        <v>868</v>
      </c>
      <c r="L1999" s="925">
        <v>3.9310683235526098</v>
      </c>
      <c r="M1999" s="925">
        <v>1.6083645488834002E-2</v>
      </c>
    </row>
    <row r="2000" spans="1:13" ht="11.25" customHeight="1" x14ac:dyDescent="0.2">
      <c r="A2000" s="924" t="s">
        <v>853</v>
      </c>
      <c r="B2000" s="924" t="s">
        <v>797</v>
      </c>
      <c r="C2000" s="924" t="s">
        <v>1183</v>
      </c>
      <c r="D2000" s="924" t="s">
        <v>1176</v>
      </c>
      <c r="E2000" s="924" t="s">
        <v>856</v>
      </c>
      <c r="F2000" s="924" t="s">
        <v>869</v>
      </c>
      <c r="G2000" s="924" t="s">
        <v>862</v>
      </c>
      <c r="H2000" s="924" t="s">
        <v>665</v>
      </c>
      <c r="I2000" s="924" t="s">
        <v>787</v>
      </c>
      <c r="J2000" s="924" t="s">
        <v>870</v>
      </c>
      <c r="K2000" s="924" t="s">
        <v>871</v>
      </c>
      <c r="L2000" s="925">
        <v>0.15026126219891001</v>
      </c>
      <c r="M2000" s="925">
        <v>8.6216233644336206E-3</v>
      </c>
    </row>
    <row r="2001" spans="1:13" ht="11.25" customHeight="1" x14ac:dyDescent="0.2">
      <c r="A2001" s="924" t="s">
        <v>853</v>
      </c>
      <c r="B2001" s="924" t="s">
        <v>797</v>
      </c>
      <c r="C2001" s="924" t="s">
        <v>1183</v>
      </c>
      <c r="D2001" s="924" t="s">
        <v>1176</v>
      </c>
      <c r="E2001" s="924" t="s">
        <v>856</v>
      </c>
      <c r="F2001" s="924" t="s">
        <v>890</v>
      </c>
      <c r="G2001" s="924" t="s">
        <v>862</v>
      </c>
      <c r="H2001" s="924" t="s">
        <v>665</v>
      </c>
      <c r="I2001" s="924" t="s">
        <v>787</v>
      </c>
      <c r="J2001" s="924" t="s">
        <v>859</v>
      </c>
      <c r="K2001" s="924" t="s">
        <v>891</v>
      </c>
      <c r="L2001" s="925">
        <v>0.20480158366262899</v>
      </c>
      <c r="M2001" s="925">
        <v>7.2903280452010196E-3</v>
      </c>
    </row>
    <row r="2002" spans="1:13" ht="11.25" customHeight="1" x14ac:dyDescent="0.2">
      <c r="A2002" s="924" t="s">
        <v>853</v>
      </c>
      <c r="B2002" s="924" t="s">
        <v>797</v>
      </c>
      <c r="C2002" s="924" t="s">
        <v>1183</v>
      </c>
      <c r="D2002" s="924" t="s">
        <v>1176</v>
      </c>
      <c r="E2002" s="924" t="s">
        <v>856</v>
      </c>
      <c r="F2002" s="924" t="s">
        <v>874</v>
      </c>
      <c r="G2002" s="924" t="s">
        <v>862</v>
      </c>
      <c r="H2002" s="924" t="s">
        <v>665</v>
      </c>
      <c r="I2002" s="924" t="s">
        <v>787</v>
      </c>
      <c r="J2002" s="924" t="s">
        <v>875</v>
      </c>
      <c r="K2002" s="924" t="s">
        <v>876</v>
      </c>
      <c r="L2002" s="925">
        <v>63.357578277587898</v>
      </c>
      <c r="M2002" s="925">
        <v>1.9272505193948699</v>
      </c>
    </row>
    <row r="2003" spans="1:13" ht="11.25" customHeight="1" x14ac:dyDescent="0.2">
      <c r="A2003" s="924" t="s">
        <v>853</v>
      </c>
      <c r="B2003" s="924" t="s">
        <v>797</v>
      </c>
      <c r="C2003" s="924" t="s">
        <v>1183</v>
      </c>
      <c r="D2003" s="924" t="s">
        <v>1176</v>
      </c>
      <c r="E2003" s="924" t="s">
        <v>856</v>
      </c>
      <c r="F2003" s="924" t="s">
        <v>951</v>
      </c>
      <c r="G2003" s="924" t="s">
        <v>911</v>
      </c>
      <c r="H2003" s="924" t="s">
        <v>665</v>
      </c>
      <c r="I2003" s="924" t="s">
        <v>706</v>
      </c>
      <c r="J2003" s="924" t="s">
        <v>875</v>
      </c>
      <c r="K2003" s="924" t="s">
        <v>952</v>
      </c>
      <c r="L2003" s="925">
        <v>0.83227463718503703</v>
      </c>
      <c r="M2003" s="925">
        <v>5.1749813408719099E-5</v>
      </c>
    </row>
    <row r="2004" spans="1:13" ht="11.25" customHeight="1" x14ac:dyDescent="0.2">
      <c r="A2004" s="924" t="s">
        <v>853</v>
      </c>
      <c r="B2004" s="924" t="s">
        <v>797</v>
      </c>
      <c r="C2004" s="924" t="s">
        <v>1183</v>
      </c>
      <c r="D2004" s="924" t="s">
        <v>1176</v>
      </c>
      <c r="E2004" s="924" t="s">
        <v>856</v>
      </c>
      <c r="F2004" s="924" t="s">
        <v>881</v>
      </c>
      <c r="G2004" s="924" t="s">
        <v>862</v>
      </c>
      <c r="H2004" s="924" t="s">
        <v>665</v>
      </c>
      <c r="I2004" s="924" t="s">
        <v>787</v>
      </c>
      <c r="J2004" s="924" t="s">
        <v>875</v>
      </c>
      <c r="K2004" s="924" t="s">
        <v>882</v>
      </c>
      <c r="L2004" s="925">
        <v>159.09275054931601</v>
      </c>
      <c r="M2004" s="925">
        <v>0.76024320162832704</v>
      </c>
    </row>
    <row r="2005" spans="1:13" ht="11.25" customHeight="1" x14ac:dyDescent="0.2">
      <c r="A2005" s="924" t="s">
        <v>853</v>
      </c>
      <c r="B2005" s="924" t="s">
        <v>797</v>
      </c>
      <c r="C2005" s="924" t="s">
        <v>1183</v>
      </c>
      <c r="D2005" s="924" t="s">
        <v>1176</v>
      </c>
      <c r="E2005" s="924" t="s">
        <v>856</v>
      </c>
      <c r="F2005" s="924" t="s">
        <v>912</v>
      </c>
      <c r="G2005" s="924" t="s">
        <v>858</v>
      </c>
      <c r="H2005" s="924" t="s">
        <v>836</v>
      </c>
      <c r="I2005" s="924" t="s">
        <v>837</v>
      </c>
      <c r="J2005" s="924" t="s">
        <v>859</v>
      </c>
      <c r="K2005" s="924" t="s">
        <v>913</v>
      </c>
      <c r="L2005" s="925">
        <v>419.761506557465</v>
      </c>
      <c r="M2005" s="925">
        <v>4.6225984116290402E-3</v>
      </c>
    </row>
    <row r="2006" spans="1:13" ht="11.25" customHeight="1" x14ac:dyDescent="0.2">
      <c r="A2006" s="924" t="s">
        <v>853</v>
      </c>
      <c r="B2006" s="924" t="s">
        <v>797</v>
      </c>
      <c r="C2006" s="924" t="s">
        <v>1183</v>
      </c>
      <c r="D2006" s="924" t="s">
        <v>1176</v>
      </c>
      <c r="E2006" s="924" t="s">
        <v>856</v>
      </c>
      <c r="F2006" s="924" t="s">
        <v>888</v>
      </c>
      <c r="G2006" s="924" t="s">
        <v>858</v>
      </c>
      <c r="H2006" s="924" t="s">
        <v>836</v>
      </c>
      <c r="I2006" s="924" t="s">
        <v>837</v>
      </c>
      <c r="J2006" s="924" t="s">
        <v>859</v>
      </c>
      <c r="K2006" s="924" t="s">
        <v>889</v>
      </c>
      <c r="L2006" s="925">
        <v>0.68347780499607302</v>
      </c>
      <c r="M2006" s="925">
        <v>7.5413588016548503E-5</v>
      </c>
    </row>
    <row r="2007" spans="1:13" ht="11.25" customHeight="1" x14ac:dyDescent="0.2">
      <c r="A2007" s="924" t="s">
        <v>853</v>
      </c>
      <c r="B2007" s="924" t="s">
        <v>797</v>
      </c>
      <c r="C2007" s="924" t="s">
        <v>1183</v>
      </c>
      <c r="D2007" s="924" t="s">
        <v>1176</v>
      </c>
      <c r="E2007" s="924" t="s">
        <v>856</v>
      </c>
      <c r="F2007" s="924" t="s">
        <v>857</v>
      </c>
      <c r="G2007" s="924" t="s">
        <v>858</v>
      </c>
      <c r="H2007" s="924" t="s">
        <v>836</v>
      </c>
      <c r="I2007" s="924" t="s">
        <v>837</v>
      </c>
      <c r="J2007" s="924" t="s">
        <v>859</v>
      </c>
      <c r="K2007" s="924" t="s">
        <v>860</v>
      </c>
      <c r="L2007" s="925">
        <v>11.2601540386677</v>
      </c>
      <c r="M2007" s="925">
        <v>1.0362881544558899E-3</v>
      </c>
    </row>
    <row r="2008" spans="1:13" ht="11.25" customHeight="1" x14ac:dyDescent="0.2">
      <c r="A2008" s="924" t="s">
        <v>853</v>
      </c>
      <c r="B2008" s="924" t="s">
        <v>797</v>
      </c>
      <c r="C2008" s="924" t="s">
        <v>1183</v>
      </c>
      <c r="D2008" s="924" t="s">
        <v>1176</v>
      </c>
      <c r="E2008" s="924" t="s">
        <v>856</v>
      </c>
      <c r="F2008" s="924" t="s">
        <v>892</v>
      </c>
      <c r="G2008" s="924" t="s">
        <v>858</v>
      </c>
      <c r="H2008" s="924" t="s">
        <v>836</v>
      </c>
      <c r="I2008" s="924" t="s">
        <v>837</v>
      </c>
      <c r="J2008" s="924" t="s">
        <v>859</v>
      </c>
      <c r="K2008" s="924" t="s">
        <v>893</v>
      </c>
      <c r="L2008" s="925">
        <v>1050.79234981537</v>
      </c>
      <c r="M2008" s="925">
        <v>1.32923274546783E-2</v>
      </c>
    </row>
    <row r="2009" spans="1:13" ht="11.25" customHeight="1" x14ac:dyDescent="0.2">
      <c r="A2009" s="924" t="s">
        <v>853</v>
      </c>
      <c r="B2009" s="924" t="s">
        <v>797</v>
      </c>
      <c r="C2009" s="924" t="s">
        <v>1183</v>
      </c>
      <c r="D2009" s="924" t="s">
        <v>1176</v>
      </c>
      <c r="E2009" s="924" t="s">
        <v>856</v>
      </c>
      <c r="F2009" s="924" t="s">
        <v>894</v>
      </c>
      <c r="G2009" s="924" t="s">
        <v>858</v>
      </c>
      <c r="H2009" s="924" t="s">
        <v>836</v>
      </c>
      <c r="I2009" s="924" t="s">
        <v>837</v>
      </c>
      <c r="J2009" s="924" t="s">
        <v>859</v>
      </c>
      <c r="K2009" s="924" t="s">
        <v>895</v>
      </c>
      <c r="L2009" s="925">
        <v>1143.2953567504901</v>
      </c>
      <c r="M2009" s="925">
        <v>7.5731193456931604E-3</v>
      </c>
    </row>
    <row r="2010" spans="1:13" ht="11.25" customHeight="1" x14ac:dyDescent="0.2">
      <c r="A2010" s="924" t="s">
        <v>853</v>
      </c>
      <c r="B2010" s="924" t="s">
        <v>797</v>
      </c>
      <c r="C2010" s="924" t="s">
        <v>1183</v>
      </c>
      <c r="D2010" s="924" t="s">
        <v>1176</v>
      </c>
      <c r="E2010" s="924" t="s">
        <v>856</v>
      </c>
      <c r="F2010" s="924" t="s">
        <v>896</v>
      </c>
      <c r="G2010" s="924" t="s">
        <v>858</v>
      </c>
      <c r="H2010" s="924" t="s">
        <v>836</v>
      </c>
      <c r="I2010" s="924" t="s">
        <v>837</v>
      </c>
      <c r="J2010" s="924" t="s">
        <v>859</v>
      </c>
      <c r="K2010" s="924" t="s">
        <v>897</v>
      </c>
      <c r="L2010" s="925">
        <v>63.044951200485201</v>
      </c>
      <c r="M2010" s="925">
        <v>1.02093856963847E-3</v>
      </c>
    </row>
    <row r="2011" spans="1:13" ht="11.25" customHeight="1" x14ac:dyDescent="0.2">
      <c r="A2011" s="924" t="s">
        <v>853</v>
      </c>
      <c r="B2011" s="924" t="s">
        <v>797</v>
      </c>
      <c r="C2011" s="924" t="s">
        <v>1183</v>
      </c>
      <c r="D2011" s="924" t="s">
        <v>1176</v>
      </c>
      <c r="E2011" s="924" t="s">
        <v>856</v>
      </c>
      <c r="F2011" s="924" t="s">
        <v>872</v>
      </c>
      <c r="G2011" s="924" t="s">
        <v>862</v>
      </c>
      <c r="H2011" s="924" t="s">
        <v>665</v>
      </c>
      <c r="I2011" s="924" t="s">
        <v>787</v>
      </c>
      <c r="J2011" s="924" t="s">
        <v>870</v>
      </c>
      <c r="K2011" s="924" t="s">
        <v>873</v>
      </c>
      <c r="L2011" s="925">
        <v>16.528709217905998</v>
      </c>
      <c r="M2011" s="925">
        <v>6.6528269730042694E-2</v>
      </c>
    </row>
    <row r="2012" spans="1:13" ht="11.25" customHeight="1" x14ac:dyDescent="0.2">
      <c r="A2012" s="924" t="s">
        <v>853</v>
      </c>
      <c r="B2012" s="924" t="s">
        <v>797</v>
      </c>
      <c r="C2012" s="924" t="s">
        <v>1183</v>
      </c>
      <c r="D2012" s="924" t="s">
        <v>1176</v>
      </c>
      <c r="E2012" s="924" t="s">
        <v>856</v>
      </c>
      <c r="F2012" s="924" t="s">
        <v>939</v>
      </c>
      <c r="G2012" s="924" t="s">
        <v>911</v>
      </c>
      <c r="H2012" s="924" t="s">
        <v>665</v>
      </c>
      <c r="I2012" s="924" t="s">
        <v>706</v>
      </c>
      <c r="J2012" s="924" t="s">
        <v>940</v>
      </c>
      <c r="K2012" s="924" t="s">
        <v>941</v>
      </c>
      <c r="L2012" s="925">
        <v>247.380374550819</v>
      </c>
      <c r="M2012" s="925">
        <v>1.1901707293873199E-2</v>
      </c>
    </row>
    <row r="2013" spans="1:13" ht="11.25" customHeight="1" x14ac:dyDescent="0.2">
      <c r="A2013" s="924" t="s">
        <v>853</v>
      </c>
      <c r="B2013" s="924" t="s">
        <v>797</v>
      </c>
      <c r="C2013" s="924" t="s">
        <v>1183</v>
      </c>
      <c r="D2013" s="924" t="s">
        <v>1176</v>
      </c>
      <c r="E2013" s="924" t="s">
        <v>856</v>
      </c>
      <c r="F2013" s="924" t="s">
        <v>1150</v>
      </c>
      <c r="G2013" s="924" t="s">
        <v>981</v>
      </c>
      <c r="H2013" s="924" t="s">
        <v>835</v>
      </c>
      <c r="I2013" s="924" t="s">
        <v>1040</v>
      </c>
      <c r="J2013" s="924" t="s">
        <v>940</v>
      </c>
      <c r="K2013" s="924" t="s">
        <v>1151</v>
      </c>
      <c r="L2013" s="925">
        <v>178.456270456314</v>
      </c>
      <c r="M2013" s="925">
        <v>0.125883649510797</v>
      </c>
    </row>
    <row r="2014" spans="1:13" ht="11.25" customHeight="1" x14ac:dyDescent="0.2">
      <c r="A2014" s="924" t="s">
        <v>853</v>
      </c>
      <c r="B2014" s="924" t="s">
        <v>797</v>
      </c>
      <c r="C2014" s="924" t="s">
        <v>1183</v>
      </c>
      <c r="D2014" s="924" t="s">
        <v>1176</v>
      </c>
      <c r="E2014" s="924" t="s">
        <v>856</v>
      </c>
      <c r="F2014" s="924" t="s">
        <v>929</v>
      </c>
      <c r="G2014" s="924" t="s">
        <v>911</v>
      </c>
      <c r="H2014" s="924" t="s">
        <v>665</v>
      </c>
      <c r="I2014" s="924" t="s">
        <v>706</v>
      </c>
      <c r="J2014" s="924" t="s">
        <v>859</v>
      </c>
      <c r="K2014" s="924" t="s">
        <v>891</v>
      </c>
      <c r="L2014" s="925">
        <v>5.92757198959589</v>
      </c>
      <c r="M2014" s="925">
        <v>2.3749941947244198E-3</v>
      </c>
    </row>
    <row r="2015" spans="1:13" ht="11.25" customHeight="1" x14ac:dyDescent="0.2">
      <c r="A2015" s="924" t="s">
        <v>853</v>
      </c>
      <c r="B2015" s="924" t="s">
        <v>797</v>
      </c>
      <c r="C2015" s="924" t="s">
        <v>1183</v>
      </c>
      <c r="D2015" s="924" t="s">
        <v>1176</v>
      </c>
      <c r="E2015" s="924" t="s">
        <v>856</v>
      </c>
      <c r="F2015" s="924" t="s">
        <v>930</v>
      </c>
      <c r="G2015" s="924" t="s">
        <v>911</v>
      </c>
      <c r="H2015" s="924" t="s">
        <v>665</v>
      </c>
      <c r="I2015" s="924" t="s">
        <v>706</v>
      </c>
      <c r="J2015" s="924" t="s">
        <v>863</v>
      </c>
      <c r="K2015" s="924" t="s">
        <v>931</v>
      </c>
      <c r="L2015" s="925">
        <v>110.9934694767</v>
      </c>
      <c r="M2015" s="925">
        <v>2.2619638886681101E-2</v>
      </c>
    </row>
    <row r="2016" spans="1:13" ht="11.25" customHeight="1" x14ac:dyDescent="0.2">
      <c r="A2016" s="924" t="s">
        <v>853</v>
      </c>
      <c r="B2016" s="924" t="s">
        <v>797</v>
      </c>
      <c r="C2016" s="924" t="s">
        <v>1183</v>
      </c>
      <c r="D2016" s="924" t="s">
        <v>1176</v>
      </c>
      <c r="E2016" s="924" t="s">
        <v>856</v>
      </c>
      <c r="F2016" s="924" t="s">
        <v>932</v>
      </c>
      <c r="G2016" s="924" t="s">
        <v>911</v>
      </c>
      <c r="H2016" s="924" t="s">
        <v>665</v>
      </c>
      <c r="I2016" s="924" t="s">
        <v>706</v>
      </c>
      <c r="J2016" s="924" t="s">
        <v>863</v>
      </c>
      <c r="K2016" s="924" t="s">
        <v>933</v>
      </c>
      <c r="L2016" s="925">
        <v>10325.9148101807</v>
      </c>
      <c r="M2016" s="925">
        <v>0.49903834285214499</v>
      </c>
    </row>
    <row r="2017" spans="1:13" ht="11.25" customHeight="1" x14ac:dyDescent="0.2">
      <c r="A2017" s="924" t="s">
        <v>853</v>
      </c>
      <c r="B2017" s="924" t="s">
        <v>797</v>
      </c>
      <c r="C2017" s="924" t="s">
        <v>1183</v>
      </c>
      <c r="D2017" s="924" t="s">
        <v>1176</v>
      </c>
      <c r="E2017" s="924" t="s">
        <v>856</v>
      </c>
      <c r="F2017" s="924" t="s">
        <v>954</v>
      </c>
      <c r="G2017" s="924" t="s">
        <v>911</v>
      </c>
      <c r="H2017" s="924" t="s">
        <v>665</v>
      </c>
      <c r="I2017" s="924" t="s">
        <v>706</v>
      </c>
      <c r="J2017" s="924" t="s">
        <v>863</v>
      </c>
      <c r="K2017" s="924" t="s">
        <v>935</v>
      </c>
      <c r="L2017" s="925">
        <v>77.045881152153001</v>
      </c>
      <c r="M2017" s="925">
        <v>3.6377546530275101E-3</v>
      </c>
    </row>
    <row r="2018" spans="1:13" ht="11.25" customHeight="1" x14ac:dyDescent="0.2">
      <c r="A2018" s="924" t="s">
        <v>853</v>
      </c>
      <c r="B2018" s="924" t="s">
        <v>797</v>
      </c>
      <c r="C2018" s="924" t="s">
        <v>1183</v>
      </c>
      <c r="D2018" s="924" t="s">
        <v>1176</v>
      </c>
      <c r="E2018" s="924" t="s">
        <v>856</v>
      </c>
      <c r="F2018" s="924" t="s">
        <v>936</v>
      </c>
      <c r="G2018" s="924" t="s">
        <v>911</v>
      </c>
      <c r="H2018" s="924" t="s">
        <v>665</v>
      </c>
      <c r="I2018" s="924" t="s">
        <v>706</v>
      </c>
      <c r="J2018" s="924" t="s">
        <v>863</v>
      </c>
      <c r="K2018" s="924" t="s">
        <v>864</v>
      </c>
      <c r="L2018" s="925">
        <v>24.301949411630599</v>
      </c>
      <c r="M2018" s="925">
        <v>1.13112111102964E-3</v>
      </c>
    </row>
    <row r="2019" spans="1:13" ht="11.25" customHeight="1" x14ac:dyDescent="0.2">
      <c r="A2019" s="924" t="s">
        <v>853</v>
      </c>
      <c r="B2019" s="924" t="s">
        <v>797</v>
      </c>
      <c r="C2019" s="924" t="s">
        <v>1183</v>
      </c>
      <c r="D2019" s="924" t="s">
        <v>1176</v>
      </c>
      <c r="E2019" s="924" t="s">
        <v>856</v>
      </c>
      <c r="F2019" s="924" t="s">
        <v>937</v>
      </c>
      <c r="G2019" s="924" t="s">
        <v>862</v>
      </c>
      <c r="H2019" s="924" t="s">
        <v>665</v>
      </c>
      <c r="I2019" s="924" t="s">
        <v>787</v>
      </c>
      <c r="J2019" s="924" t="s">
        <v>863</v>
      </c>
      <c r="K2019" s="924" t="s">
        <v>933</v>
      </c>
      <c r="L2019" s="925">
        <v>696.08478069305397</v>
      </c>
      <c r="M2019" s="925">
        <v>2.96489294990897</v>
      </c>
    </row>
    <row r="2020" spans="1:13" ht="11.25" customHeight="1" x14ac:dyDescent="0.2">
      <c r="A2020" s="924" t="s">
        <v>853</v>
      </c>
      <c r="B2020" s="924" t="s">
        <v>797</v>
      </c>
      <c r="C2020" s="924" t="s">
        <v>1183</v>
      </c>
      <c r="D2020" s="924" t="s">
        <v>1176</v>
      </c>
      <c r="E2020" s="924" t="s">
        <v>856</v>
      </c>
      <c r="F2020" s="924" t="s">
        <v>938</v>
      </c>
      <c r="G2020" s="924" t="s">
        <v>911</v>
      </c>
      <c r="H2020" s="924" t="s">
        <v>665</v>
      </c>
      <c r="I2020" s="924" t="s">
        <v>706</v>
      </c>
      <c r="J2020" s="924" t="s">
        <v>863</v>
      </c>
      <c r="K2020" s="924" t="s">
        <v>868</v>
      </c>
      <c r="L2020" s="925">
        <v>47.778725743293798</v>
      </c>
      <c r="M2020" s="925">
        <v>2.2077504327171499E-3</v>
      </c>
    </row>
    <row r="2021" spans="1:13" ht="11.25" customHeight="1" x14ac:dyDescent="0.2">
      <c r="A2021" s="924" t="s">
        <v>853</v>
      </c>
      <c r="B2021" s="924" t="s">
        <v>797</v>
      </c>
      <c r="C2021" s="924" t="s">
        <v>1183</v>
      </c>
      <c r="D2021" s="924" t="s">
        <v>1176</v>
      </c>
      <c r="E2021" s="924" t="s">
        <v>856</v>
      </c>
      <c r="F2021" s="924" t="s">
        <v>925</v>
      </c>
      <c r="G2021" s="924" t="s">
        <v>911</v>
      </c>
      <c r="H2021" s="924" t="s">
        <v>665</v>
      </c>
      <c r="I2021" s="924" t="s">
        <v>706</v>
      </c>
      <c r="J2021" s="924" t="s">
        <v>859</v>
      </c>
      <c r="K2021" s="924" t="s">
        <v>926</v>
      </c>
      <c r="L2021" s="925">
        <v>1.7707806751132</v>
      </c>
      <c r="M2021" s="925">
        <v>8.1635794799694795E-5</v>
      </c>
    </row>
    <row r="2022" spans="1:13" ht="11.25" customHeight="1" x14ac:dyDescent="0.2">
      <c r="A2022" s="924" t="s">
        <v>853</v>
      </c>
      <c r="B2022" s="924" t="s">
        <v>797</v>
      </c>
      <c r="C2022" s="924" t="s">
        <v>1183</v>
      </c>
      <c r="D2022" s="924" t="s">
        <v>1176</v>
      </c>
      <c r="E2022" s="924" t="s">
        <v>856</v>
      </c>
      <c r="F2022" s="924" t="s">
        <v>942</v>
      </c>
      <c r="G2022" s="924" t="s">
        <v>911</v>
      </c>
      <c r="H2022" s="924" t="s">
        <v>665</v>
      </c>
      <c r="I2022" s="924" t="s">
        <v>706</v>
      </c>
      <c r="J2022" s="924" t="s">
        <v>870</v>
      </c>
      <c r="K2022" s="924" t="s">
        <v>871</v>
      </c>
      <c r="L2022" s="925">
        <v>7.9829800728475703E-2</v>
      </c>
      <c r="M2022" s="925">
        <v>4.9822424038836703E-5</v>
      </c>
    </row>
    <row r="2023" spans="1:13" ht="11.25" customHeight="1" x14ac:dyDescent="0.2">
      <c r="A2023" s="924" t="s">
        <v>853</v>
      </c>
      <c r="B2023" s="924" t="s">
        <v>797</v>
      </c>
      <c r="C2023" s="924" t="s">
        <v>1183</v>
      </c>
      <c r="D2023" s="924" t="s">
        <v>1176</v>
      </c>
      <c r="E2023" s="924" t="s">
        <v>856</v>
      </c>
      <c r="F2023" s="924" t="s">
        <v>943</v>
      </c>
      <c r="G2023" s="924" t="s">
        <v>911</v>
      </c>
      <c r="H2023" s="924" t="s">
        <v>665</v>
      </c>
      <c r="I2023" s="924" t="s">
        <v>706</v>
      </c>
      <c r="J2023" s="924" t="s">
        <v>870</v>
      </c>
      <c r="K2023" s="924" t="s">
        <v>873</v>
      </c>
      <c r="L2023" s="925">
        <v>0.16226583061506999</v>
      </c>
      <c r="M2023" s="925">
        <v>7.36862216044187E-6</v>
      </c>
    </row>
    <row r="2024" spans="1:13" ht="11.25" customHeight="1" x14ac:dyDescent="0.2">
      <c r="A2024" s="924" t="s">
        <v>853</v>
      </c>
      <c r="B2024" s="924" t="s">
        <v>797</v>
      </c>
      <c r="C2024" s="924" t="s">
        <v>1183</v>
      </c>
      <c r="D2024" s="924" t="s">
        <v>1176</v>
      </c>
      <c r="E2024" s="924" t="s">
        <v>856</v>
      </c>
      <c r="F2024" s="924" t="s">
        <v>944</v>
      </c>
      <c r="G2024" s="924" t="s">
        <v>911</v>
      </c>
      <c r="H2024" s="924" t="s">
        <v>665</v>
      </c>
      <c r="I2024" s="924" t="s">
        <v>706</v>
      </c>
      <c r="J2024" s="924" t="s">
        <v>875</v>
      </c>
      <c r="K2024" s="924" t="s">
        <v>876</v>
      </c>
      <c r="L2024" s="925">
        <v>207.25947237014799</v>
      </c>
      <c r="M2024" s="925">
        <v>6.5528244667802896E-2</v>
      </c>
    </row>
    <row r="2025" spans="1:13" ht="11.25" customHeight="1" x14ac:dyDescent="0.2">
      <c r="A2025" s="924" t="s">
        <v>853</v>
      </c>
      <c r="B2025" s="924" t="s">
        <v>797</v>
      </c>
      <c r="C2025" s="924" t="s">
        <v>1183</v>
      </c>
      <c r="D2025" s="924" t="s">
        <v>1176</v>
      </c>
      <c r="E2025" s="924" t="s">
        <v>856</v>
      </c>
      <c r="F2025" s="924" t="s">
        <v>945</v>
      </c>
      <c r="G2025" s="924" t="s">
        <v>911</v>
      </c>
      <c r="H2025" s="924" t="s">
        <v>665</v>
      </c>
      <c r="I2025" s="924" t="s">
        <v>706</v>
      </c>
      <c r="J2025" s="924" t="s">
        <v>875</v>
      </c>
      <c r="K2025" s="924" t="s">
        <v>878</v>
      </c>
      <c r="L2025" s="925">
        <v>45.767626166343703</v>
      </c>
      <c r="M2025" s="925">
        <v>6.7708588594541704E-3</v>
      </c>
    </row>
    <row r="2026" spans="1:13" ht="11.25" customHeight="1" x14ac:dyDescent="0.2">
      <c r="A2026" s="924" t="s">
        <v>853</v>
      </c>
      <c r="B2026" s="924" t="s">
        <v>797</v>
      </c>
      <c r="C2026" s="924" t="s">
        <v>1183</v>
      </c>
      <c r="D2026" s="924" t="s">
        <v>1176</v>
      </c>
      <c r="E2026" s="924" t="s">
        <v>856</v>
      </c>
      <c r="F2026" s="924" t="s">
        <v>946</v>
      </c>
      <c r="G2026" s="924" t="s">
        <v>911</v>
      </c>
      <c r="H2026" s="924" t="s">
        <v>665</v>
      </c>
      <c r="I2026" s="924" t="s">
        <v>706</v>
      </c>
      <c r="J2026" s="924" t="s">
        <v>875</v>
      </c>
      <c r="K2026" s="924" t="s">
        <v>880</v>
      </c>
      <c r="L2026" s="925">
        <v>54.104010105133099</v>
      </c>
      <c r="M2026" s="925">
        <v>3.4434403833074599E-3</v>
      </c>
    </row>
    <row r="2027" spans="1:13" ht="11.25" customHeight="1" x14ac:dyDescent="0.2">
      <c r="A2027" s="924" t="s">
        <v>853</v>
      </c>
      <c r="B2027" s="924" t="s">
        <v>797</v>
      </c>
      <c r="C2027" s="924" t="s">
        <v>1183</v>
      </c>
      <c r="D2027" s="924" t="s">
        <v>1176</v>
      </c>
      <c r="E2027" s="924" t="s">
        <v>856</v>
      </c>
      <c r="F2027" s="924" t="s">
        <v>947</v>
      </c>
      <c r="G2027" s="924" t="s">
        <v>911</v>
      </c>
      <c r="H2027" s="924" t="s">
        <v>665</v>
      </c>
      <c r="I2027" s="924" t="s">
        <v>706</v>
      </c>
      <c r="J2027" s="924" t="s">
        <v>875</v>
      </c>
      <c r="K2027" s="924" t="s">
        <v>948</v>
      </c>
      <c r="L2027" s="925">
        <v>67.248378276824994</v>
      </c>
      <c r="M2027" s="925">
        <v>5.1390364951657804E-3</v>
      </c>
    </row>
    <row r="2028" spans="1:13" ht="11.25" customHeight="1" x14ac:dyDescent="0.2">
      <c r="A2028" s="924" t="s">
        <v>853</v>
      </c>
      <c r="B2028" s="924" t="s">
        <v>797</v>
      </c>
      <c r="C2028" s="924" t="s">
        <v>1183</v>
      </c>
      <c r="D2028" s="924" t="s">
        <v>1176</v>
      </c>
      <c r="E2028" s="924" t="s">
        <v>856</v>
      </c>
      <c r="F2028" s="924" t="s">
        <v>949</v>
      </c>
      <c r="G2028" s="924" t="s">
        <v>911</v>
      </c>
      <c r="H2028" s="924" t="s">
        <v>665</v>
      </c>
      <c r="I2028" s="924" t="s">
        <v>706</v>
      </c>
      <c r="J2028" s="924" t="s">
        <v>875</v>
      </c>
      <c r="K2028" s="924" t="s">
        <v>950</v>
      </c>
      <c r="L2028" s="925">
        <v>0.90172054525464795</v>
      </c>
      <c r="M2028" s="925">
        <v>1.9340319514071799E-4</v>
      </c>
    </row>
    <row r="2029" spans="1:13" ht="11.25" customHeight="1" x14ac:dyDescent="0.2">
      <c r="A2029" s="924" t="s">
        <v>853</v>
      </c>
      <c r="B2029" s="924" t="s">
        <v>797</v>
      </c>
      <c r="C2029" s="924" t="s">
        <v>1183</v>
      </c>
      <c r="D2029" s="924" t="s">
        <v>1176</v>
      </c>
      <c r="E2029" s="924" t="s">
        <v>856</v>
      </c>
      <c r="F2029" s="924" t="s">
        <v>914</v>
      </c>
      <c r="G2029" s="924" t="s">
        <v>911</v>
      </c>
      <c r="H2029" s="924" t="s">
        <v>665</v>
      </c>
      <c r="I2029" s="924" t="s">
        <v>706</v>
      </c>
      <c r="J2029" s="924" t="s">
        <v>863</v>
      </c>
      <c r="K2029" s="924" t="s">
        <v>915</v>
      </c>
      <c r="L2029" s="925">
        <v>5.8946050629019702</v>
      </c>
      <c r="M2029" s="925">
        <v>8.4108802491300605E-4</v>
      </c>
    </row>
    <row r="2030" spans="1:13" ht="11.25" customHeight="1" x14ac:dyDescent="0.2">
      <c r="A2030" s="924" t="s">
        <v>853</v>
      </c>
      <c r="B2030" s="924" t="s">
        <v>797</v>
      </c>
      <c r="C2030" s="924" t="s">
        <v>1183</v>
      </c>
      <c r="D2030" s="924" t="s">
        <v>1176</v>
      </c>
      <c r="E2030" s="924" t="s">
        <v>856</v>
      </c>
      <c r="F2030" s="924" t="s">
        <v>1082</v>
      </c>
      <c r="G2030" s="924" t="s">
        <v>981</v>
      </c>
      <c r="H2030" s="924" t="s">
        <v>835</v>
      </c>
      <c r="I2030" s="924" t="s">
        <v>998</v>
      </c>
      <c r="J2030" s="924" t="s">
        <v>875</v>
      </c>
      <c r="K2030" s="924" t="s">
        <v>952</v>
      </c>
      <c r="L2030" s="925">
        <v>0.43555420031771103</v>
      </c>
      <c r="M2030" s="925">
        <v>9.7320635359210395E-4</v>
      </c>
    </row>
    <row r="2031" spans="1:13" ht="11.25" customHeight="1" x14ac:dyDescent="0.2">
      <c r="A2031" s="924" t="s">
        <v>853</v>
      </c>
      <c r="B2031" s="924" t="s">
        <v>797</v>
      </c>
      <c r="C2031" s="924" t="s">
        <v>1183</v>
      </c>
      <c r="D2031" s="924" t="s">
        <v>1176</v>
      </c>
      <c r="E2031" s="924" t="s">
        <v>856</v>
      </c>
      <c r="F2031" s="924" t="s">
        <v>1145</v>
      </c>
      <c r="G2031" s="924" t="s">
        <v>981</v>
      </c>
      <c r="H2031" s="924" t="s">
        <v>835</v>
      </c>
      <c r="I2031" s="924" t="s">
        <v>1040</v>
      </c>
      <c r="J2031" s="924" t="s">
        <v>940</v>
      </c>
      <c r="K2031" s="924" t="s">
        <v>1029</v>
      </c>
      <c r="L2031" s="925">
        <v>4499.0094680786096</v>
      </c>
      <c r="M2031" s="925">
        <v>2.9636386940255801</v>
      </c>
    </row>
    <row r="2032" spans="1:13" ht="11.25" customHeight="1" x14ac:dyDescent="0.2">
      <c r="A2032" s="924" t="s">
        <v>853</v>
      </c>
      <c r="B2032" s="924" t="s">
        <v>797</v>
      </c>
      <c r="C2032" s="924" t="s">
        <v>1183</v>
      </c>
      <c r="D2032" s="924" t="s">
        <v>1176</v>
      </c>
      <c r="E2032" s="924" t="s">
        <v>856</v>
      </c>
      <c r="F2032" s="924" t="s">
        <v>1097</v>
      </c>
      <c r="G2032" s="924" t="s">
        <v>981</v>
      </c>
      <c r="H2032" s="924" t="s">
        <v>835</v>
      </c>
      <c r="I2032" s="924" t="s">
        <v>998</v>
      </c>
      <c r="J2032" s="924" t="s">
        <v>940</v>
      </c>
      <c r="K2032" s="924" t="s">
        <v>1098</v>
      </c>
      <c r="L2032" s="925">
        <v>41.364407062530503</v>
      </c>
      <c r="M2032" s="925">
        <v>0.28257997334003399</v>
      </c>
    </row>
    <row r="2033" spans="1:13" ht="11.25" customHeight="1" x14ac:dyDescent="0.2">
      <c r="A2033" s="924" t="s">
        <v>853</v>
      </c>
      <c r="B2033" s="924" t="s">
        <v>797</v>
      </c>
      <c r="C2033" s="924" t="s">
        <v>1183</v>
      </c>
      <c r="D2033" s="924" t="s">
        <v>1176</v>
      </c>
      <c r="E2033" s="924" t="s">
        <v>856</v>
      </c>
      <c r="F2033" s="924" t="s">
        <v>1099</v>
      </c>
      <c r="G2033" s="924" t="s">
        <v>981</v>
      </c>
      <c r="H2033" s="924" t="s">
        <v>835</v>
      </c>
      <c r="I2033" s="924" t="s">
        <v>998</v>
      </c>
      <c r="J2033" s="924" t="s">
        <v>940</v>
      </c>
      <c r="K2033" s="924" t="s">
        <v>1025</v>
      </c>
      <c r="L2033" s="925">
        <v>306.53360939025902</v>
      </c>
      <c r="M2033" s="925">
        <v>2.0913370549678798</v>
      </c>
    </row>
    <row r="2034" spans="1:13" ht="11.25" customHeight="1" x14ac:dyDescent="0.2">
      <c r="A2034" s="924" t="s">
        <v>853</v>
      </c>
      <c r="B2034" s="924" t="s">
        <v>797</v>
      </c>
      <c r="C2034" s="924" t="s">
        <v>1183</v>
      </c>
      <c r="D2034" s="924" t="s">
        <v>1176</v>
      </c>
      <c r="E2034" s="924" t="s">
        <v>856</v>
      </c>
      <c r="F2034" s="924" t="s">
        <v>1100</v>
      </c>
      <c r="G2034" s="924" t="s">
        <v>981</v>
      </c>
      <c r="H2034" s="924" t="s">
        <v>835</v>
      </c>
      <c r="I2034" s="924" t="s">
        <v>998</v>
      </c>
      <c r="J2034" s="924" t="s">
        <v>940</v>
      </c>
      <c r="K2034" s="924" t="s">
        <v>1032</v>
      </c>
      <c r="L2034" s="925">
        <v>0.44411074277013501</v>
      </c>
      <c r="M2034" s="925">
        <v>8.9039696467807495E-4</v>
      </c>
    </row>
    <row r="2035" spans="1:13" ht="11.25" customHeight="1" x14ac:dyDescent="0.2">
      <c r="A2035" s="924" t="s">
        <v>853</v>
      </c>
      <c r="B2035" s="924" t="s">
        <v>797</v>
      </c>
      <c r="C2035" s="924" t="s">
        <v>1183</v>
      </c>
      <c r="D2035" s="924" t="s">
        <v>1176</v>
      </c>
      <c r="E2035" s="924" t="s">
        <v>856</v>
      </c>
      <c r="F2035" s="924" t="s">
        <v>1101</v>
      </c>
      <c r="G2035" s="924" t="s">
        <v>981</v>
      </c>
      <c r="H2035" s="924" t="s">
        <v>835</v>
      </c>
      <c r="I2035" s="924" t="s">
        <v>998</v>
      </c>
      <c r="J2035" s="924" t="s">
        <v>870</v>
      </c>
      <c r="K2035" s="924" t="s">
        <v>961</v>
      </c>
      <c r="L2035" s="925">
        <v>0.86291944398544695</v>
      </c>
      <c r="M2035" s="925">
        <v>1.42077567306842E-3</v>
      </c>
    </row>
    <row r="2036" spans="1:13" ht="11.25" customHeight="1" x14ac:dyDescent="0.2">
      <c r="A2036" s="924" t="s">
        <v>853</v>
      </c>
      <c r="B2036" s="924" t="s">
        <v>797</v>
      </c>
      <c r="C2036" s="924" t="s">
        <v>1183</v>
      </c>
      <c r="D2036" s="924" t="s">
        <v>1176</v>
      </c>
      <c r="E2036" s="924" t="s">
        <v>856</v>
      </c>
      <c r="F2036" s="924" t="s">
        <v>1102</v>
      </c>
      <c r="G2036" s="924" t="s">
        <v>981</v>
      </c>
      <c r="H2036" s="924" t="s">
        <v>835</v>
      </c>
      <c r="I2036" s="924" t="s">
        <v>998</v>
      </c>
      <c r="J2036" s="924" t="s">
        <v>875</v>
      </c>
      <c r="K2036" s="924" t="s">
        <v>876</v>
      </c>
      <c r="L2036" s="925">
        <v>10.789217054843901</v>
      </c>
      <c r="M2036" s="925">
        <v>2.1831513528013598E-2</v>
      </c>
    </row>
    <row r="2037" spans="1:13" ht="11.25" customHeight="1" x14ac:dyDescent="0.2">
      <c r="A2037" s="924" t="s">
        <v>853</v>
      </c>
      <c r="B2037" s="924" t="s">
        <v>797</v>
      </c>
      <c r="C2037" s="924" t="s">
        <v>1183</v>
      </c>
      <c r="D2037" s="924" t="s">
        <v>1176</v>
      </c>
      <c r="E2037" s="924" t="s">
        <v>856</v>
      </c>
      <c r="F2037" s="924" t="s">
        <v>1094</v>
      </c>
      <c r="G2037" s="924" t="s">
        <v>981</v>
      </c>
      <c r="H2037" s="924" t="s">
        <v>835</v>
      </c>
      <c r="I2037" s="924" t="s">
        <v>998</v>
      </c>
      <c r="J2037" s="924" t="s">
        <v>940</v>
      </c>
      <c r="K2037" s="924" t="s">
        <v>1095</v>
      </c>
      <c r="L2037" s="925">
        <v>82.679603755474105</v>
      </c>
      <c r="M2037" s="925">
        <v>0.154208240564913</v>
      </c>
    </row>
    <row r="2038" spans="1:13" ht="11.25" customHeight="1" x14ac:dyDescent="0.2">
      <c r="A2038" s="924" t="s">
        <v>853</v>
      </c>
      <c r="B2038" s="924" t="s">
        <v>797</v>
      </c>
      <c r="C2038" s="924" t="s">
        <v>1183</v>
      </c>
      <c r="D2038" s="924" t="s">
        <v>1176</v>
      </c>
      <c r="E2038" s="924" t="s">
        <v>856</v>
      </c>
      <c r="F2038" s="924" t="s">
        <v>1054</v>
      </c>
      <c r="G2038" s="924" t="s">
        <v>981</v>
      </c>
      <c r="H2038" s="924" t="s">
        <v>835</v>
      </c>
      <c r="I2038" s="924" t="s">
        <v>998</v>
      </c>
      <c r="J2038" s="924" t="s">
        <v>875</v>
      </c>
      <c r="K2038" s="924" t="s">
        <v>880</v>
      </c>
      <c r="L2038" s="925">
        <v>2.4969916063128001E-2</v>
      </c>
      <c r="M2038" s="925">
        <v>5.5792946113797397E-5</v>
      </c>
    </row>
    <row r="2039" spans="1:13" ht="11.25" customHeight="1" x14ac:dyDescent="0.2">
      <c r="A2039" s="924" t="s">
        <v>853</v>
      </c>
      <c r="B2039" s="924" t="s">
        <v>797</v>
      </c>
      <c r="C2039" s="924" t="s">
        <v>1183</v>
      </c>
      <c r="D2039" s="924" t="s">
        <v>1176</v>
      </c>
      <c r="E2039" s="924" t="s">
        <v>856</v>
      </c>
      <c r="F2039" s="924" t="s">
        <v>1092</v>
      </c>
      <c r="G2039" s="924" t="s">
        <v>981</v>
      </c>
      <c r="H2039" s="924" t="s">
        <v>835</v>
      </c>
      <c r="I2039" s="924" t="s">
        <v>998</v>
      </c>
      <c r="J2039" s="924" t="s">
        <v>940</v>
      </c>
      <c r="K2039" s="924" t="s">
        <v>1093</v>
      </c>
      <c r="L2039" s="925">
        <v>891.32088541984604</v>
      </c>
      <c r="M2039" s="925">
        <v>1.76378229632974</v>
      </c>
    </row>
    <row r="2040" spans="1:13" ht="11.25" customHeight="1" x14ac:dyDescent="0.2">
      <c r="A2040" s="924" t="s">
        <v>853</v>
      </c>
      <c r="B2040" s="924" t="s">
        <v>797</v>
      </c>
      <c r="C2040" s="924" t="s">
        <v>1183</v>
      </c>
      <c r="D2040" s="924" t="s">
        <v>1176</v>
      </c>
      <c r="E2040" s="924" t="s">
        <v>856</v>
      </c>
      <c r="F2040" s="924" t="s">
        <v>1042</v>
      </c>
      <c r="G2040" s="924" t="s">
        <v>981</v>
      </c>
      <c r="H2040" s="924" t="s">
        <v>835</v>
      </c>
      <c r="I2040" s="924" t="s">
        <v>998</v>
      </c>
      <c r="J2040" s="924" t="s">
        <v>956</v>
      </c>
      <c r="K2040" s="924" t="s">
        <v>1043</v>
      </c>
      <c r="L2040" s="925">
        <v>2.2533866707235601</v>
      </c>
      <c r="M2040" s="925">
        <v>3.90312692252337E-3</v>
      </c>
    </row>
    <row r="2041" spans="1:13" ht="11.25" customHeight="1" x14ac:dyDescent="0.2">
      <c r="A2041" s="924" t="s">
        <v>853</v>
      </c>
      <c r="B2041" s="924" t="s">
        <v>797</v>
      </c>
      <c r="C2041" s="924" t="s">
        <v>1183</v>
      </c>
      <c r="D2041" s="924" t="s">
        <v>1176</v>
      </c>
      <c r="E2041" s="924" t="s">
        <v>856</v>
      </c>
      <c r="F2041" s="924" t="s">
        <v>1044</v>
      </c>
      <c r="G2041" s="924" t="s">
        <v>981</v>
      </c>
      <c r="H2041" s="924" t="s">
        <v>835</v>
      </c>
      <c r="I2041" s="924" t="s">
        <v>1040</v>
      </c>
      <c r="J2041" s="924" t="s">
        <v>884</v>
      </c>
      <c r="K2041" s="924" t="s">
        <v>999</v>
      </c>
      <c r="L2041" s="925">
        <v>86.059841752052293</v>
      </c>
      <c r="M2041" s="925">
        <v>0.118840331991123</v>
      </c>
    </row>
    <row r="2042" spans="1:13" ht="11.25" customHeight="1" x14ac:dyDescent="0.2">
      <c r="A2042" s="924" t="s">
        <v>853</v>
      </c>
      <c r="B2042" s="924" t="s">
        <v>797</v>
      </c>
      <c r="C2042" s="924" t="s">
        <v>1183</v>
      </c>
      <c r="D2042" s="924" t="s">
        <v>1176</v>
      </c>
      <c r="E2042" s="924" t="s">
        <v>856</v>
      </c>
      <c r="F2042" s="924" t="s">
        <v>1045</v>
      </c>
      <c r="G2042" s="924" t="s">
        <v>981</v>
      </c>
      <c r="H2042" s="924" t="s">
        <v>835</v>
      </c>
      <c r="I2042" s="924" t="s">
        <v>1040</v>
      </c>
      <c r="J2042" s="924" t="s">
        <v>884</v>
      </c>
      <c r="K2042" s="924" t="s">
        <v>1046</v>
      </c>
      <c r="L2042" s="925">
        <v>818.88962554931595</v>
      </c>
      <c r="M2042" s="925">
        <v>0.83836961806809995</v>
      </c>
    </row>
    <row r="2043" spans="1:13" ht="11.25" customHeight="1" x14ac:dyDescent="0.2">
      <c r="A2043" s="924" t="s">
        <v>853</v>
      </c>
      <c r="B2043" s="924" t="s">
        <v>797</v>
      </c>
      <c r="C2043" s="924" t="s">
        <v>1183</v>
      </c>
      <c r="D2043" s="924" t="s">
        <v>1176</v>
      </c>
      <c r="E2043" s="924" t="s">
        <v>856</v>
      </c>
      <c r="F2043" s="924" t="s">
        <v>1047</v>
      </c>
      <c r="G2043" s="924" t="s">
        <v>981</v>
      </c>
      <c r="H2043" s="924" t="s">
        <v>835</v>
      </c>
      <c r="I2043" s="924" t="s">
        <v>1040</v>
      </c>
      <c r="J2043" s="924" t="s">
        <v>884</v>
      </c>
      <c r="K2043" s="924" t="s">
        <v>1048</v>
      </c>
      <c r="L2043" s="925">
        <v>1212.1403236389201</v>
      </c>
      <c r="M2043" s="925">
        <v>0.91398436762392499</v>
      </c>
    </row>
    <row r="2044" spans="1:13" ht="11.25" customHeight="1" x14ac:dyDescent="0.2">
      <c r="A2044" s="924" t="s">
        <v>853</v>
      </c>
      <c r="B2044" s="924" t="s">
        <v>797</v>
      </c>
      <c r="C2044" s="924" t="s">
        <v>1183</v>
      </c>
      <c r="D2044" s="924" t="s">
        <v>1176</v>
      </c>
      <c r="E2044" s="924" t="s">
        <v>856</v>
      </c>
      <c r="F2044" s="924" t="s">
        <v>1049</v>
      </c>
      <c r="G2044" s="924" t="s">
        <v>981</v>
      </c>
      <c r="H2044" s="924" t="s">
        <v>835</v>
      </c>
      <c r="I2044" s="924" t="s">
        <v>1040</v>
      </c>
      <c r="J2044" s="924" t="s">
        <v>884</v>
      </c>
      <c r="K2044" s="924" t="s">
        <v>885</v>
      </c>
      <c r="L2044" s="925">
        <v>107.823253512383</v>
      </c>
      <c r="M2044" s="925">
        <v>0.102761569680297</v>
      </c>
    </row>
    <row r="2045" spans="1:13" ht="11.25" customHeight="1" x14ac:dyDescent="0.2">
      <c r="A2045" s="924" t="s">
        <v>853</v>
      </c>
      <c r="B2045" s="924" t="s">
        <v>797</v>
      </c>
      <c r="C2045" s="924" t="s">
        <v>1183</v>
      </c>
      <c r="D2045" s="924" t="s">
        <v>1176</v>
      </c>
      <c r="E2045" s="924" t="s">
        <v>856</v>
      </c>
      <c r="F2045" s="924" t="s">
        <v>1050</v>
      </c>
      <c r="G2045" s="924" t="s">
        <v>981</v>
      </c>
      <c r="H2045" s="924" t="s">
        <v>835</v>
      </c>
      <c r="I2045" s="924" t="s">
        <v>1040</v>
      </c>
      <c r="J2045" s="924" t="s">
        <v>859</v>
      </c>
      <c r="K2045" s="924" t="s">
        <v>913</v>
      </c>
      <c r="L2045" s="925">
        <v>23.8575791120529</v>
      </c>
      <c r="M2045" s="925">
        <v>1.4188644031833101E-2</v>
      </c>
    </row>
    <row r="2046" spans="1:13" ht="11.25" customHeight="1" x14ac:dyDescent="0.2">
      <c r="A2046" s="924" t="s">
        <v>853</v>
      </c>
      <c r="B2046" s="924" t="s">
        <v>797</v>
      </c>
      <c r="C2046" s="924" t="s">
        <v>1183</v>
      </c>
      <c r="D2046" s="924" t="s">
        <v>1176</v>
      </c>
      <c r="E2046" s="924" t="s">
        <v>856</v>
      </c>
      <c r="F2046" s="924" t="s">
        <v>1051</v>
      </c>
      <c r="G2046" s="924" t="s">
        <v>981</v>
      </c>
      <c r="H2046" s="924" t="s">
        <v>835</v>
      </c>
      <c r="I2046" s="924" t="s">
        <v>1040</v>
      </c>
      <c r="J2046" s="924" t="s">
        <v>859</v>
      </c>
      <c r="K2046" s="924" t="s">
        <v>889</v>
      </c>
      <c r="L2046" s="925">
        <v>0.17853075941093299</v>
      </c>
      <c r="M2046" s="925">
        <v>1.1655400976451301E-4</v>
      </c>
    </row>
    <row r="2047" spans="1:13" ht="11.25" customHeight="1" x14ac:dyDescent="0.2">
      <c r="A2047" s="924" t="s">
        <v>853</v>
      </c>
      <c r="B2047" s="924" t="s">
        <v>797</v>
      </c>
      <c r="C2047" s="924" t="s">
        <v>1183</v>
      </c>
      <c r="D2047" s="924" t="s">
        <v>1176</v>
      </c>
      <c r="E2047" s="924" t="s">
        <v>856</v>
      </c>
      <c r="F2047" s="924" t="s">
        <v>1056</v>
      </c>
      <c r="G2047" s="924" t="s">
        <v>981</v>
      </c>
      <c r="H2047" s="924" t="s">
        <v>835</v>
      </c>
      <c r="I2047" s="924" t="s">
        <v>998</v>
      </c>
      <c r="J2047" s="924" t="s">
        <v>875</v>
      </c>
      <c r="K2047" s="924" t="s">
        <v>878</v>
      </c>
      <c r="L2047" s="925">
        <v>71.988106429576902</v>
      </c>
      <c r="M2047" s="925">
        <v>0.13883986230939599</v>
      </c>
    </row>
    <row r="2048" spans="1:13" ht="11.25" customHeight="1" x14ac:dyDescent="0.2">
      <c r="A2048" s="924" t="s">
        <v>853</v>
      </c>
      <c r="B2048" s="924" t="s">
        <v>797</v>
      </c>
      <c r="C2048" s="924" t="s">
        <v>1183</v>
      </c>
      <c r="D2048" s="924" t="s">
        <v>1176</v>
      </c>
      <c r="E2048" s="924" t="s">
        <v>856</v>
      </c>
      <c r="F2048" s="924" t="s">
        <v>1080</v>
      </c>
      <c r="G2048" s="924" t="s">
        <v>981</v>
      </c>
      <c r="H2048" s="924" t="s">
        <v>835</v>
      </c>
      <c r="I2048" s="924" t="s">
        <v>998</v>
      </c>
      <c r="J2048" s="924" t="s">
        <v>859</v>
      </c>
      <c r="K2048" s="924" t="s">
        <v>920</v>
      </c>
      <c r="L2048" s="925">
        <v>0.40803987020626697</v>
      </c>
      <c r="M2048" s="925">
        <v>9.1172678003204098E-4</v>
      </c>
    </row>
    <row r="2049" spans="1:13" ht="11.25" customHeight="1" x14ac:dyDescent="0.2">
      <c r="A2049" s="924" t="s">
        <v>853</v>
      </c>
      <c r="B2049" s="924" t="s">
        <v>797</v>
      </c>
      <c r="C2049" s="924" t="s">
        <v>1183</v>
      </c>
      <c r="D2049" s="924" t="s">
        <v>1176</v>
      </c>
      <c r="E2049" s="924" t="s">
        <v>856</v>
      </c>
      <c r="F2049" s="924" t="s">
        <v>997</v>
      </c>
      <c r="G2049" s="924" t="s">
        <v>981</v>
      </c>
      <c r="H2049" s="924" t="s">
        <v>835</v>
      </c>
      <c r="I2049" s="924" t="s">
        <v>998</v>
      </c>
      <c r="J2049" s="924" t="s">
        <v>884</v>
      </c>
      <c r="K2049" s="924" t="s">
        <v>999</v>
      </c>
      <c r="L2049" s="925">
        <v>188.889589071274</v>
      </c>
      <c r="M2049" s="925">
        <v>0.60174027550965503</v>
      </c>
    </row>
    <row r="2050" spans="1:13" ht="11.25" customHeight="1" x14ac:dyDescent="0.2">
      <c r="A2050" s="924" t="s">
        <v>853</v>
      </c>
      <c r="B2050" s="924" t="s">
        <v>797</v>
      </c>
      <c r="C2050" s="924" t="s">
        <v>1183</v>
      </c>
      <c r="D2050" s="924" t="s">
        <v>1176</v>
      </c>
      <c r="E2050" s="924" t="s">
        <v>856</v>
      </c>
      <c r="F2050" s="924" t="s">
        <v>1073</v>
      </c>
      <c r="G2050" s="924" t="s">
        <v>981</v>
      </c>
      <c r="H2050" s="924" t="s">
        <v>835</v>
      </c>
      <c r="I2050" s="924" t="s">
        <v>998</v>
      </c>
      <c r="J2050" s="924" t="s">
        <v>884</v>
      </c>
      <c r="K2050" s="924" t="s">
        <v>1046</v>
      </c>
      <c r="L2050" s="925">
        <v>85.588096857070894</v>
      </c>
      <c r="M2050" s="925">
        <v>0.144509856123477</v>
      </c>
    </row>
    <row r="2051" spans="1:13" ht="11.25" customHeight="1" x14ac:dyDescent="0.2">
      <c r="A2051" s="924" t="s">
        <v>853</v>
      </c>
      <c r="B2051" s="924" t="s">
        <v>797</v>
      </c>
      <c r="C2051" s="924" t="s">
        <v>1183</v>
      </c>
      <c r="D2051" s="924" t="s">
        <v>1176</v>
      </c>
      <c r="E2051" s="924" t="s">
        <v>856</v>
      </c>
      <c r="F2051" s="924" t="s">
        <v>1085</v>
      </c>
      <c r="G2051" s="924" t="s">
        <v>981</v>
      </c>
      <c r="H2051" s="924" t="s">
        <v>835</v>
      </c>
      <c r="I2051" s="924" t="s">
        <v>998</v>
      </c>
      <c r="J2051" s="924" t="s">
        <v>884</v>
      </c>
      <c r="K2051" s="924" t="s">
        <v>885</v>
      </c>
      <c r="L2051" s="925">
        <v>114.79876971244801</v>
      </c>
      <c r="M2051" s="925">
        <v>8.4323944291099906E-2</v>
      </c>
    </row>
    <row r="2052" spans="1:13" ht="11.25" customHeight="1" x14ac:dyDescent="0.2">
      <c r="A2052" s="924" t="s">
        <v>853</v>
      </c>
      <c r="B2052" s="924" t="s">
        <v>797</v>
      </c>
      <c r="C2052" s="924" t="s">
        <v>1183</v>
      </c>
      <c r="D2052" s="924" t="s">
        <v>1176</v>
      </c>
      <c r="E2052" s="924" t="s">
        <v>856</v>
      </c>
      <c r="F2052" s="924" t="s">
        <v>1075</v>
      </c>
      <c r="G2052" s="924" t="s">
        <v>981</v>
      </c>
      <c r="H2052" s="924" t="s">
        <v>835</v>
      </c>
      <c r="I2052" s="924" t="s">
        <v>998</v>
      </c>
      <c r="J2052" s="924" t="s">
        <v>859</v>
      </c>
      <c r="K2052" s="924" t="s">
        <v>889</v>
      </c>
      <c r="L2052" s="925">
        <v>26.963897556066499</v>
      </c>
      <c r="M2052" s="925">
        <v>4.3639834271743901E-2</v>
      </c>
    </row>
    <row r="2053" spans="1:13" ht="11.25" customHeight="1" x14ac:dyDescent="0.2">
      <c r="A2053" s="924" t="s">
        <v>853</v>
      </c>
      <c r="B2053" s="924" t="s">
        <v>797</v>
      </c>
      <c r="C2053" s="924" t="s">
        <v>1183</v>
      </c>
      <c r="D2053" s="924" t="s">
        <v>1176</v>
      </c>
      <c r="E2053" s="924" t="s">
        <v>856</v>
      </c>
      <c r="F2053" s="924" t="s">
        <v>1076</v>
      </c>
      <c r="G2053" s="924" t="s">
        <v>981</v>
      </c>
      <c r="H2053" s="924" t="s">
        <v>835</v>
      </c>
      <c r="I2053" s="924" t="s">
        <v>998</v>
      </c>
      <c r="J2053" s="924" t="s">
        <v>859</v>
      </c>
      <c r="K2053" s="924" t="s">
        <v>860</v>
      </c>
      <c r="L2053" s="925">
        <v>1.7480099089443699</v>
      </c>
      <c r="M2053" s="925">
        <v>3.6113575588387898E-3</v>
      </c>
    </row>
    <row r="2054" spans="1:13" ht="11.25" customHeight="1" x14ac:dyDescent="0.2">
      <c r="A2054" s="924" t="s">
        <v>853</v>
      </c>
      <c r="B2054" s="924" t="s">
        <v>797</v>
      </c>
      <c r="C2054" s="924" t="s">
        <v>1183</v>
      </c>
      <c r="D2054" s="924" t="s">
        <v>1176</v>
      </c>
      <c r="E2054" s="924" t="s">
        <v>856</v>
      </c>
      <c r="F2054" s="924" t="s">
        <v>1077</v>
      </c>
      <c r="G2054" s="924" t="s">
        <v>981</v>
      </c>
      <c r="H2054" s="924" t="s">
        <v>835</v>
      </c>
      <c r="I2054" s="924" t="s">
        <v>998</v>
      </c>
      <c r="J2054" s="924" t="s">
        <v>859</v>
      </c>
      <c r="K2054" s="924" t="s">
        <v>897</v>
      </c>
      <c r="L2054" s="925">
        <v>2.0894367415457999</v>
      </c>
      <c r="M2054" s="925">
        <v>4.3755933438660603E-3</v>
      </c>
    </row>
    <row r="2055" spans="1:13" ht="11.25" customHeight="1" x14ac:dyDescent="0.2">
      <c r="A2055" s="924" t="s">
        <v>853</v>
      </c>
      <c r="B2055" s="924" t="s">
        <v>797</v>
      </c>
      <c r="C2055" s="924" t="s">
        <v>1183</v>
      </c>
      <c r="D2055" s="924" t="s">
        <v>1176</v>
      </c>
      <c r="E2055" s="924" t="s">
        <v>856</v>
      </c>
      <c r="F2055" s="924" t="s">
        <v>1096</v>
      </c>
      <c r="G2055" s="924" t="s">
        <v>981</v>
      </c>
      <c r="H2055" s="924" t="s">
        <v>835</v>
      </c>
      <c r="I2055" s="924" t="s">
        <v>998</v>
      </c>
      <c r="J2055" s="924" t="s">
        <v>940</v>
      </c>
      <c r="K2055" s="924" t="s">
        <v>1023</v>
      </c>
      <c r="L2055" s="925">
        <v>832.28120946884201</v>
      </c>
      <c r="M2055" s="925">
        <v>1.55664706230164</v>
      </c>
    </row>
    <row r="2056" spans="1:13" ht="11.25" customHeight="1" x14ac:dyDescent="0.2">
      <c r="A2056" s="924" t="s">
        <v>853</v>
      </c>
      <c r="B2056" s="924" t="s">
        <v>797</v>
      </c>
      <c r="C2056" s="924" t="s">
        <v>1183</v>
      </c>
      <c r="D2056" s="924" t="s">
        <v>1176</v>
      </c>
      <c r="E2056" s="924" t="s">
        <v>856</v>
      </c>
      <c r="F2056" s="924" t="s">
        <v>1079</v>
      </c>
      <c r="G2056" s="924" t="s">
        <v>981</v>
      </c>
      <c r="H2056" s="924" t="s">
        <v>835</v>
      </c>
      <c r="I2056" s="924" t="s">
        <v>998</v>
      </c>
      <c r="J2056" s="924" t="s">
        <v>859</v>
      </c>
      <c r="K2056" s="924" t="s">
        <v>909</v>
      </c>
      <c r="L2056" s="925">
        <v>69.627420663833604</v>
      </c>
      <c r="M2056" s="925">
        <v>0.12469451245851799</v>
      </c>
    </row>
    <row r="2057" spans="1:13" ht="11.25" customHeight="1" x14ac:dyDescent="0.2">
      <c r="A2057" s="924" t="s">
        <v>853</v>
      </c>
      <c r="B2057" s="924" t="s">
        <v>797</v>
      </c>
      <c r="C2057" s="924" t="s">
        <v>1183</v>
      </c>
      <c r="D2057" s="924" t="s">
        <v>1176</v>
      </c>
      <c r="E2057" s="924" t="s">
        <v>856</v>
      </c>
      <c r="F2057" s="924" t="s">
        <v>1068</v>
      </c>
      <c r="G2057" s="924" t="s">
        <v>981</v>
      </c>
      <c r="H2057" s="924" t="s">
        <v>835</v>
      </c>
      <c r="I2057" s="924" t="s">
        <v>1040</v>
      </c>
      <c r="J2057" s="924" t="s">
        <v>859</v>
      </c>
      <c r="K2057" s="924" t="s">
        <v>897</v>
      </c>
      <c r="L2057" s="925">
        <v>84.339128494262695</v>
      </c>
      <c r="M2057" s="925">
        <v>5.6559089723350602E-2</v>
      </c>
    </row>
    <row r="2058" spans="1:13" ht="11.25" customHeight="1" x14ac:dyDescent="0.2">
      <c r="A2058" s="924" t="s">
        <v>853</v>
      </c>
      <c r="B2058" s="924" t="s">
        <v>797</v>
      </c>
      <c r="C2058" s="924" t="s">
        <v>1183</v>
      </c>
      <c r="D2058" s="924" t="s">
        <v>1176</v>
      </c>
      <c r="E2058" s="924" t="s">
        <v>856</v>
      </c>
      <c r="F2058" s="924" t="s">
        <v>1081</v>
      </c>
      <c r="G2058" s="924" t="s">
        <v>981</v>
      </c>
      <c r="H2058" s="924" t="s">
        <v>835</v>
      </c>
      <c r="I2058" s="924" t="s">
        <v>998</v>
      </c>
      <c r="J2058" s="924" t="s">
        <v>863</v>
      </c>
      <c r="K2058" s="924" t="s">
        <v>935</v>
      </c>
      <c r="L2058" s="925">
        <v>1.8964001722633801</v>
      </c>
      <c r="M2058" s="925">
        <v>4.2373239666630997E-3</v>
      </c>
    </row>
    <row r="2059" spans="1:13" ht="11.25" customHeight="1" x14ac:dyDescent="0.2">
      <c r="A2059" s="924" t="s">
        <v>853</v>
      </c>
      <c r="B2059" s="924" t="s">
        <v>797</v>
      </c>
      <c r="C2059" s="924" t="s">
        <v>1183</v>
      </c>
      <c r="D2059" s="924" t="s">
        <v>1176</v>
      </c>
      <c r="E2059" s="924" t="s">
        <v>856</v>
      </c>
      <c r="F2059" s="924" t="s">
        <v>1103</v>
      </c>
      <c r="G2059" s="924" t="s">
        <v>981</v>
      </c>
      <c r="H2059" s="924" t="s">
        <v>835</v>
      </c>
      <c r="I2059" s="924" t="s">
        <v>998</v>
      </c>
      <c r="J2059" s="924" t="s">
        <v>863</v>
      </c>
      <c r="K2059" s="924" t="s">
        <v>864</v>
      </c>
      <c r="L2059" s="925">
        <v>0.14511508331634099</v>
      </c>
      <c r="M2059" s="925">
        <v>3.2424566097688501E-4</v>
      </c>
    </row>
    <row r="2060" spans="1:13" ht="11.25" customHeight="1" x14ac:dyDescent="0.2">
      <c r="A2060" s="924" t="s">
        <v>853</v>
      </c>
      <c r="B2060" s="924" t="s">
        <v>797</v>
      </c>
      <c r="C2060" s="924" t="s">
        <v>1183</v>
      </c>
      <c r="D2060" s="924" t="s">
        <v>1176</v>
      </c>
      <c r="E2060" s="924" t="s">
        <v>856</v>
      </c>
      <c r="F2060" s="924" t="s">
        <v>1083</v>
      </c>
      <c r="G2060" s="924" t="s">
        <v>981</v>
      </c>
      <c r="H2060" s="924" t="s">
        <v>835</v>
      </c>
      <c r="I2060" s="924" t="s">
        <v>998</v>
      </c>
      <c r="J2060" s="924" t="s">
        <v>940</v>
      </c>
      <c r="K2060" s="924" t="s">
        <v>1084</v>
      </c>
      <c r="L2060" s="925">
        <v>6.9278412535786602</v>
      </c>
      <c r="M2060" s="925">
        <v>1.2656700266234101E-2</v>
      </c>
    </row>
    <row r="2061" spans="1:13" ht="11.25" customHeight="1" x14ac:dyDescent="0.2">
      <c r="A2061" s="924" t="s">
        <v>853</v>
      </c>
      <c r="B2061" s="924" t="s">
        <v>797</v>
      </c>
      <c r="C2061" s="924" t="s">
        <v>1183</v>
      </c>
      <c r="D2061" s="924" t="s">
        <v>1176</v>
      </c>
      <c r="E2061" s="924" t="s">
        <v>856</v>
      </c>
      <c r="F2061" s="924" t="s">
        <v>1069</v>
      </c>
      <c r="G2061" s="924" t="s">
        <v>981</v>
      </c>
      <c r="H2061" s="924" t="s">
        <v>835</v>
      </c>
      <c r="I2061" s="924" t="s">
        <v>998</v>
      </c>
      <c r="J2061" s="924" t="s">
        <v>940</v>
      </c>
      <c r="K2061" s="924" t="s">
        <v>1070</v>
      </c>
      <c r="L2061" s="925">
        <v>105.94076141715</v>
      </c>
      <c r="M2061" s="925">
        <v>0.19669924123445501</v>
      </c>
    </row>
    <row r="2062" spans="1:13" ht="11.25" customHeight="1" x14ac:dyDescent="0.2">
      <c r="A2062" s="924" t="s">
        <v>853</v>
      </c>
      <c r="B2062" s="924" t="s">
        <v>797</v>
      </c>
      <c r="C2062" s="924" t="s">
        <v>1183</v>
      </c>
      <c r="D2062" s="924" t="s">
        <v>1176</v>
      </c>
      <c r="E2062" s="924" t="s">
        <v>856</v>
      </c>
      <c r="F2062" s="924" t="s">
        <v>1086</v>
      </c>
      <c r="G2062" s="924" t="s">
        <v>981</v>
      </c>
      <c r="H2062" s="924" t="s">
        <v>835</v>
      </c>
      <c r="I2062" s="924" t="s">
        <v>998</v>
      </c>
      <c r="J2062" s="924" t="s">
        <v>940</v>
      </c>
      <c r="K2062" s="924" t="s">
        <v>1087</v>
      </c>
      <c r="L2062" s="925">
        <v>92.710735559463501</v>
      </c>
      <c r="M2062" s="925">
        <v>0.17849906859919401</v>
      </c>
    </row>
    <row r="2063" spans="1:13" ht="11.25" customHeight="1" x14ac:dyDescent="0.2">
      <c r="A2063" s="924" t="s">
        <v>853</v>
      </c>
      <c r="B2063" s="924" t="s">
        <v>797</v>
      </c>
      <c r="C2063" s="924" t="s">
        <v>1183</v>
      </c>
      <c r="D2063" s="924" t="s">
        <v>1176</v>
      </c>
      <c r="E2063" s="924" t="s">
        <v>856</v>
      </c>
      <c r="F2063" s="924" t="s">
        <v>1088</v>
      </c>
      <c r="G2063" s="924" t="s">
        <v>981</v>
      </c>
      <c r="H2063" s="924" t="s">
        <v>835</v>
      </c>
      <c r="I2063" s="924" t="s">
        <v>998</v>
      </c>
      <c r="J2063" s="924" t="s">
        <v>940</v>
      </c>
      <c r="K2063" s="924" t="s">
        <v>1089</v>
      </c>
      <c r="L2063" s="925">
        <v>1022.33339500427</v>
      </c>
      <c r="M2063" s="925">
        <v>1.8676038589328501</v>
      </c>
    </row>
    <row r="2064" spans="1:13" ht="11.25" customHeight="1" x14ac:dyDescent="0.2">
      <c r="A2064" s="924" t="s">
        <v>853</v>
      </c>
      <c r="B2064" s="924" t="s">
        <v>797</v>
      </c>
      <c r="C2064" s="924" t="s">
        <v>1183</v>
      </c>
      <c r="D2064" s="924" t="s">
        <v>1176</v>
      </c>
      <c r="E2064" s="924" t="s">
        <v>856</v>
      </c>
      <c r="F2064" s="924" t="s">
        <v>1090</v>
      </c>
      <c r="G2064" s="924" t="s">
        <v>981</v>
      </c>
      <c r="H2064" s="924" t="s">
        <v>835</v>
      </c>
      <c r="I2064" s="924" t="s">
        <v>998</v>
      </c>
      <c r="J2064" s="924" t="s">
        <v>940</v>
      </c>
      <c r="K2064" s="924" t="s">
        <v>1091</v>
      </c>
      <c r="L2064" s="925">
        <v>128.46485030651101</v>
      </c>
      <c r="M2064" s="925">
        <v>0.21878284355625499</v>
      </c>
    </row>
    <row r="2065" spans="1:13" ht="11.25" customHeight="1" x14ac:dyDescent="0.2">
      <c r="A2065" s="924" t="s">
        <v>853</v>
      </c>
      <c r="B2065" s="924" t="s">
        <v>797</v>
      </c>
      <c r="C2065" s="924" t="s">
        <v>1183</v>
      </c>
      <c r="D2065" s="924" t="s">
        <v>1176</v>
      </c>
      <c r="E2065" s="924" t="s">
        <v>856</v>
      </c>
      <c r="F2065" s="924" t="s">
        <v>1078</v>
      </c>
      <c r="G2065" s="924" t="s">
        <v>981</v>
      </c>
      <c r="H2065" s="924" t="s">
        <v>835</v>
      </c>
      <c r="I2065" s="924" t="s">
        <v>998</v>
      </c>
      <c r="J2065" s="924" t="s">
        <v>859</v>
      </c>
      <c r="K2065" s="924" t="s">
        <v>901</v>
      </c>
      <c r="L2065" s="925">
        <v>1.44782433053479E-2</v>
      </c>
      <c r="M2065" s="925">
        <v>3.2350269464131998E-5</v>
      </c>
    </row>
    <row r="2066" spans="1:13" ht="11.25" customHeight="1" x14ac:dyDescent="0.2">
      <c r="A2066" s="924" t="s">
        <v>853</v>
      </c>
      <c r="B2066" s="924" t="s">
        <v>797</v>
      </c>
      <c r="C2066" s="924" t="s">
        <v>1183</v>
      </c>
      <c r="D2066" s="924" t="s">
        <v>1176</v>
      </c>
      <c r="E2066" s="924" t="s">
        <v>856</v>
      </c>
      <c r="F2066" s="924" t="s">
        <v>1160</v>
      </c>
      <c r="G2066" s="924" t="s">
        <v>981</v>
      </c>
      <c r="H2066" s="924" t="s">
        <v>835</v>
      </c>
      <c r="I2066" s="924" t="s">
        <v>1040</v>
      </c>
      <c r="J2066" s="924" t="s">
        <v>940</v>
      </c>
      <c r="K2066" s="924" t="s">
        <v>1093</v>
      </c>
      <c r="L2066" s="925">
        <v>60.352936446666703</v>
      </c>
      <c r="M2066" s="925">
        <v>4.2663789194193703E-2</v>
      </c>
    </row>
    <row r="2067" spans="1:13" ht="11.25" customHeight="1" x14ac:dyDescent="0.2">
      <c r="A2067" s="924" t="s">
        <v>853</v>
      </c>
      <c r="B2067" s="924" t="s">
        <v>797</v>
      </c>
      <c r="C2067" s="924" t="s">
        <v>1183</v>
      </c>
      <c r="D2067" s="924" t="s">
        <v>1176</v>
      </c>
      <c r="E2067" s="924" t="s">
        <v>856</v>
      </c>
      <c r="F2067" s="924" t="s">
        <v>1148</v>
      </c>
      <c r="G2067" s="924" t="s">
        <v>981</v>
      </c>
      <c r="H2067" s="924" t="s">
        <v>835</v>
      </c>
      <c r="I2067" s="924" t="s">
        <v>1040</v>
      </c>
      <c r="J2067" s="924" t="s">
        <v>863</v>
      </c>
      <c r="K2067" s="924" t="s">
        <v>915</v>
      </c>
      <c r="L2067" s="925">
        <v>14.5738487690687</v>
      </c>
      <c r="M2067" s="925">
        <v>5.4680953187471503E-3</v>
      </c>
    </row>
    <row r="2068" spans="1:13" ht="11.25" customHeight="1" x14ac:dyDescent="0.2">
      <c r="A2068" s="924" t="s">
        <v>853</v>
      </c>
      <c r="B2068" s="924" t="s">
        <v>797</v>
      </c>
      <c r="C2068" s="924" t="s">
        <v>1183</v>
      </c>
      <c r="D2068" s="924" t="s">
        <v>1176</v>
      </c>
      <c r="E2068" s="924" t="s">
        <v>856</v>
      </c>
      <c r="F2068" s="924" t="s">
        <v>1137</v>
      </c>
      <c r="G2068" s="924" t="s">
        <v>981</v>
      </c>
      <c r="H2068" s="924" t="s">
        <v>835</v>
      </c>
      <c r="I2068" s="924" t="s">
        <v>1040</v>
      </c>
      <c r="J2068" s="924" t="s">
        <v>863</v>
      </c>
      <c r="K2068" s="924" t="s">
        <v>866</v>
      </c>
      <c r="L2068" s="925">
        <v>7.8381623327732104</v>
      </c>
      <c r="M2068" s="925">
        <v>5.2868170387228002E-3</v>
      </c>
    </row>
    <row r="2069" spans="1:13" ht="11.25" customHeight="1" x14ac:dyDescent="0.2">
      <c r="A2069" s="924" t="s">
        <v>853</v>
      </c>
      <c r="B2069" s="924" t="s">
        <v>797</v>
      </c>
      <c r="C2069" s="924" t="s">
        <v>1183</v>
      </c>
      <c r="D2069" s="924" t="s">
        <v>1176</v>
      </c>
      <c r="E2069" s="924" t="s">
        <v>856</v>
      </c>
      <c r="F2069" s="924" t="s">
        <v>1131</v>
      </c>
      <c r="G2069" s="924" t="s">
        <v>981</v>
      </c>
      <c r="H2069" s="924" t="s">
        <v>835</v>
      </c>
      <c r="I2069" s="924" t="s">
        <v>1040</v>
      </c>
      <c r="J2069" s="924" t="s">
        <v>863</v>
      </c>
      <c r="K2069" s="924" t="s">
        <v>868</v>
      </c>
      <c r="L2069" s="925">
        <v>70.256439208984403</v>
      </c>
      <c r="M2069" s="925">
        <v>4.9929043889278503E-3</v>
      </c>
    </row>
    <row r="2070" spans="1:13" ht="11.25" customHeight="1" x14ac:dyDescent="0.2">
      <c r="A2070" s="924" t="s">
        <v>853</v>
      </c>
      <c r="B2070" s="924" t="s">
        <v>797</v>
      </c>
      <c r="C2070" s="924" t="s">
        <v>1183</v>
      </c>
      <c r="D2070" s="924" t="s">
        <v>1176</v>
      </c>
      <c r="E2070" s="924" t="s">
        <v>856</v>
      </c>
      <c r="F2070" s="924" t="s">
        <v>1139</v>
      </c>
      <c r="G2070" s="924" t="s">
        <v>981</v>
      </c>
      <c r="H2070" s="924" t="s">
        <v>835</v>
      </c>
      <c r="I2070" s="924" t="s">
        <v>1040</v>
      </c>
      <c r="J2070" s="924" t="s">
        <v>940</v>
      </c>
      <c r="K2070" s="924" t="s">
        <v>1140</v>
      </c>
      <c r="L2070" s="925">
        <v>1174.02770137787</v>
      </c>
      <c r="M2070" s="925">
        <v>0.86188114186921205</v>
      </c>
    </row>
    <row r="2071" spans="1:13" ht="11.25" customHeight="1" x14ac:dyDescent="0.2">
      <c r="A2071" s="924" t="s">
        <v>853</v>
      </c>
      <c r="B2071" s="924" t="s">
        <v>797</v>
      </c>
      <c r="C2071" s="924" t="s">
        <v>1183</v>
      </c>
      <c r="D2071" s="924" t="s">
        <v>1176</v>
      </c>
      <c r="E2071" s="924" t="s">
        <v>856</v>
      </c>
      <c r="F2071" s="924" t="s">
        <v>1141</v>
      </c>
      <c r="G2071" s="924" t="s">
        <v>981</v>
      </c>
      <c r="H2071" s="924" t="s">
        <v>835</v>
      </c>
      <c r="I2071" s="924" t="s">
        <v>1040</v>
      </c>
      <c r="J2071" s="924" t="s">
        <v>940</v>
      </c>
      <c r="K2071" s="924" t="s">
        <v>1142</v>
      </c>
      <c r="L2071" s="925">
        <v>2605.56161975861</v>
      </c>
      <c r="M2071" s="925">
        <v>1.9262880766764301</v>
      </c>
    </row>
    <row r="2072" spans="1:13" ht="11.25" customHeight="1" x14ac:dyDescent="0.2">
      <c r="A2072" s="924" t="s">
        <v>853</v>
      </c>
      <c r="B2072" s="924" t="s">
        <v>797</v>
      </c>
      <c r="C2072" s="924" t="s">
        <v>1183</v>
      </c>
      <c r="D2072" s="924" t="s">
        <v>1176</v>
      </c>
      <c r="E2072" s="924" t="s">
        <v>856</v>
      </c>
      <c r="F2072" s="924" t="s">
        <v>1143</v>
      </c>
      <c r="G2072" s="924" t="s">
        <v>981</v>
      </c>
      <c r="H2072" s="924" t="s">
        <v>835</v>
      </c>
      <c r="I2072" s="924" t="s">
        <v>1040</v>
      </c>
      <c r="J2072" s="924" t="s">
        <v>940</v>
      </c>
      <c r="K2072" s="924" t="s">
        <v>1084</v>
      </c>
      <c r="L2072" s="925">
        <v>101.027317345142</v>
      </c>
      <c r="M2072" s="925">
        <v>7.4048164940904798E-2</v>
      </c>
    </row>
    <row r="2073" spans="1:13" ht="11.25" customHeight="1" x14ac:dyDescent="0.2">
      <c r="A2073" s="924" t="s">
        <v>853</v>
      </c>
      <c r="B2073" s="924" t="s">
        <v>797</v>
      </c>
      <c r="C2073" s="924" t="s">
        <v>1183</v>
      </c>
      <c r="D2073" s="924" t="s">
        <v>1176</v>
      </c>
      <c r="E2073" s="924" t="s">
        <v>856</v>
      </c>
      <c r="F2073" s="924" t="s">
        <v>1052</v>
      </c>
      <c r="G2073" s="924" t="s">
        <v>981</v>
      </c>
      <c r="H2073" s="924" t="s">
        <v>835</v>
      </c>
      <c r="I2073" s="924" t="s">
        <v>1040</v>
      </c>
      <c r="J2073" s="924" t="s">
        <v>859</v>
      </c>
      <c r="K2073" s="924" t="s">
        <v>860</v>
      </c>
      <c r="L2073" s="925">
        <v>44.936602175235699</v>
      </c>
      <c r="M2073" s="925">
        <v>3.1838985189097002E-2</v>
      </c>
    </row>
    <row r="2074" spans="1:13" ht="11.25" customHeight="1" x14ac:dyDescent="0.2">
      <c r="A2074" s="924" t="s">
        <v>853</v>
      </c>
      <c r="B2074" s="924" t="s">
        <v>797</v>
      </c>
      <c r="C2074" s="924" t="s">
        <v>1183</v>
      </c>
      <c r="D2074" s="924" t="s">
        <v>1176</v>
      </c>
      <c r="E2074" s="924" t="s">
        <v>856</v>
      </c>
      <c r="F2074" s="924" t="s">
        <v>1149</v>
      </c>
      <c r="G2074" s="924" t="s">
        <v>981</v>
      </c>
      <c r="H2074" s="924" t="s">
        <v>835</v>
      </c>
      <c r="I2074" s="924" t="s">
        <v>1040</v>
      </c>
      <c r="J2074" s="924" t="s">
        <v>940</v>
      </c>
      <c r="K2074" s="924" t="s">
        <v>1091</v>
      </c>
      <c r="L2074" s="925">
        <v>6.5104868672788099</v>
      </c>
      <c r="M2074" s="925">
        <v>4.5564029969682503E-3</v>
      </c>
    </row>
    <row r="2075" spans="1:13" ht="11.25" customHeight="1" x14ac:dyDescent="0.2">
      <c r="A2075" s="924" t="s">
        <v>853</v>
      </c>
      <c r="B2075" s="924" t="s">
        <v>797</v>
      </c>
      <c r="C2075" s="924" t="s">
        <v>1183</v>
      </c>
      <c r="D2075" s="924" t="s">
        <v>1176</v>
      </c>
      <c r="E2075" s="924" t="s">
        <v>856</v>
      </c>
      <c r="F2075" s="924" t="s">
        <v>1134</v>
      </c>
      <c r="G2075" s="924" t="s">
        <v>981</v>
      </c>
      <c r="H2075" s="924" t="s">
        <v>835</v>
      </c>
      <c r="I2075" s="924" t="s">
        <v>1040</v>
      </c>
      <c r="J2075" s="924" t="s">
        <v>863</v>
      </c>
      <c r="K2075" s="924" t="s">
        <v>933</v>
      </c>
      <c r="L2075" s="925">
        <v>793.61378383636497</v>
      </c>
      <c r="M2075" s="925">
        <v>5.6428683339618098E-2</v>
      </c>
    </row>
    <row r="2076" spans="1:13" ht="11.25" customHeight="1" x14ac:dyDescent="0.2">
      <c r="A2076" s="924" t="s">
        <v>853</v>
      </c>
      <c r="B2076" s="924" t="s">
        <v>797</v>
      </c>
      <c r="C2076" s="924" t="s">
        <v>1183</v>
      </c>
      <c r="D2076" s="924" t="s">
        <v>1176</v>
      </c>
      <c r="E2076" s="924" t="s">
        <v>856</v>
      </c>
      <c r="F2076" s="924" t="s">
        <v>1159</v>
      </c>
      <c r="G2076" s="924" t="s">
        <v>981</v>
      </c>
      <c r="H2076" s="924" t="s">
        <v>835</v>
      </c>
      <c r="I2076" s="924" t="s">
        <v>1040</v>
      </c>
      <c r="J2076" s="924" t="s">
        <v>940</v>
      </c>
      <c r="K2076" s="924" t="s">
        <v>1095</v>
      </c>
      <c r="L2076" s="925">
        <v>12.4200961664319</v>
      </c>
      <c r="M2076" s="925">
        <v>8.6937741070869396E-3</v>
      </c>
    </row>
    <row r="2077" spans="1:13" ht="11.25" customHeight="1" x14ac:dyDescent="0.2">
      <c r="A2077" s="924" t="s">
        <v>853</v>
      </c>
      <c r="B2077" s="924" t="s">
        <v>797</v>
      </c>
      <c r="C2077" s="924" t="s">
        <v>1183</v>
      </c>
      <c r="D2077" s="924" t="s">
        <v>1176</v>
      </c>
      <c r="E2077" s="924" t="s">
        <v>856</v>
      </c>
      <c r="F2077" s="924" t="s">
        <v>1158</v>
      </c>
      <c r="G2077" s="924" t="s">
        <v>981</v>
      </c>
      <c r="H2077" s="924" t="s">
        <v>835</v>
      </c>
      <c r="I2077" s="924" t="s">
        <v>1040</v>
      </c>
      <c r="J2077" s="924" t="s">
        <v>940</v>
      </c>
      <c r="K2077" s="924" t="s">
        <v>1023</v>
      </c>
      <c r="L2077" s="925">
        <v>2472.8409786224402</v>
      </c>
      <c r="M2077" s="925">
        <v>1.4240678738733501</v>
      </c>
    </row>
    <row r="2078" spans="1:13" ht="11.25" customHeight="1" x14ac:dyDescent="0.2">
      <c r="A2078" s="924" t="s">
        <v>853</v>
      </c>
      <c r="B2078" s="924" t="s">
        <v>797</v>
      </c>
      <c r="C2078" s="924" t="s">
        <v>1183</v>
      </c>
      <c r="D2078" s="924" t="s">
        <v>1176</v>
      </c>
      <c r="E2078" s="924" t="s">
        <v>856</v>
      </c>
      <c r="F2078" s="924" t="s">
        <v>1157</v>
      </c>
      <c r="G2078" s="924" t="s">
        <v>981</v>
      </c>
      <c r="H2078" s="924" t="s">
        <v>835</v>
      </c>
      <c r="I2078" s="924" t="s">
        <v>1040</v>
      </c>
      <c r="J2078" s="924" t="s">
        <v>940</v>
      </c>
      <c r="K2078" s="924" t="s">
        <v>1098</v>
      </c>
      <c r="L2078" s="925">
        <v>133.73585700988801</v>
      </c>
      <c r="M2078" s="925">
        <v>0.252839541062713</v>
      </c>
    </row>
    <row r="2079" spans="1:13" ht="11.25" customHeight="1" x14ac:dyDescent="0.2">
      <c r="A2079" s="924" t="s">
        <v>853</v>
      </c>
      <c r="B2079" s="924" t="s">
        <v>797</v>
      </c>
      <c r="C2079" s="924" t="s">
        <v>1183</v>
      </c>
      <c r="D2079" s="924" t="s">
        <v>1176</v>
      </c>
      <c r="E2079" s="924" t="s">
        <v>856</v>
      </c>
      <c r="F2079" s="924" t="s">
        <v>1156</v>
      </c>
      <c r="G2079" s="924" t="s">
        <v>981</v>
      </c>
      <c r="H2079" s="924" t="s">
        <v>835</v>
      </c>
      <c r="I2079" s="924" t="s">
        <v>1040</v>
      </c>
      <c r="J2079" s="924" t="s">
        <v>940</v>
      </c>
      <c r="K2079" s="924" t="s">
        <v>1025</v>
      </c>
      <c r="L2079" s="925">
        <v>990.75852203369095</v>
      </c>
      <c r="M2079" s="925">
        <v>1.8706719577312501</v>
      </c>
    </row>
    <row r="2080" spans="1:13" ht="11.25" customHeight="1" x14ac:dyDescent="0.2">
      <c r="A2080" s="924" t="s">
        <v>853</v>
      </c>
      <c r="B2080" s="924" t="s">
        <v>797</v>
      </c>
      <c r="C2080" s="924" t="s">
        <v>1183</v>
      </c>
      <c r="D2080" s="924" t="s">
        <v>1176</v>
      </c>
      <c r="E2080" s="924" t="s">
        <v>856</v>
      </c>
      <c r="F2080" s="924" t="s">
        <v>1154</v>
      </c>
      <c r="G2080" s="924" t="s">
        <v>981</v>
      </c>
      <c r="H2080" s="924" t="s">
        <v>835</v>
      </c>
      <c r="I2080" s="924" t="s">
        <v>1040</v>
      </c>
      <c r="J2080" s="924" t="s">
        <v>940</v>
      </c>
      <c r="K2080" s="924" t="s">
        <v>1155</v>
      </c>
      <c r="L2080" s="925">
        <v>237.405278682709</v>
      </c>
      <c r="M2080" s="925">
        <v>0.153371897932644</v>
      </c>
    </row>
    <row r="2081" spans="1:13" ht="11.25" customHeight="1" x14ac:dyDescent="0.2">
      <c r="A2081" s="924" t="s">
        <v>853</v>
      </c>
      <c r="B2081" s="924" t="s">
        <v>797</v>
      </c>
      <c r="C2081" s="924" t="s">
        <v>1183</v>
      </c>
      <c r="D2081" s="924" t="s">
        <v>1176</v>
      </c>
      <c r="E2081" s="924" t="s">
        <v>856</v>
      </c>
      <c r="F2081" s="924" t="s">
        <v>1152</v>
      </c>
      <c r="G2081" s="924" t="s">
        <v>981</v>
      </c>
      <c r="H2081" s="924" t="s">
        <v>835</v>
      </c>
      <c r="I2081" s="924" t="s">
        <v>1040</v>
      </c>
      <c r="J2081" s="924" t="s">
        <v>940</v>
      </c>
      <c r="K2081" s="924" t="s">
        <v>1153</v>
      </c>
      <c r="L2081" s="925">
        <v>331.05204379558597</v>
      </c>
      <c r="M2081" s="925">
        <v>0.21811998961493401</v>
      </c>
    </row>
    <row r="2082" spans="1:13" ht="11.25" customHeight="1" x14ac:dyDescent="0.2">
      <c r="A2082" s="924" t="s">
        <v>853</v>
      </c>
      <c r="B2082" s="924" t="s">
        <v>797</v>
      </c>
      <c r="C2082" s="924" t="s">
        <v>1183</v>
      </c>
      <c r="D2082" s="924" t="s">
        <v>1176</v>
      </c>
      <c r="E2082" s="924" t="s">
        <v>856</v>
      </c>
      <c r="F2082" s="924" t="s">
        <v>1161</v>
      </c>
      <c r="G2082" s="924" t="s">
        <v>981</v>
      </c>
      <c r="H2082" s="924" t="s">
        <v>835</v>
      </c>
      <c r="I2082" s="924" t="s">
        <v>1040</v>
      </c>
      <c r="J2082" s="924" t="s">
        <v>940</v>
      </c>
      <c r="K2082" s="924" t="s">
        <v>1027</v>
      </c>
      <c r="L2082" s="925">
        <v>373.947551488876</v>
      </c>
      <c r="M2082" s="925">
        <v>0.25898940317415498</v>
      </c>
    </row>
    <row r="2083" spans="1:13" ht="11.25" customHeight="1" x14ac:dyDescent="0.2">
      <c r="A2083" s="924" t="s">
        <v>853</v>
      </c>
      <c r="B2083" s="924" t="s">
        <v>797</v>
      </c>
      <c r="C2083" s="924" t="s">
        <v>1183</v>
      </c>
      <c r="D2083" s="924" t="s">
        <v>1176</v>
      </c>
      <c r="E2083" s="924" t="s">
        <v>856</v>
      </c>
      <c r="F2083" s="924" t="s">
        <v>1144</v>
      </c>
      <c r="G2083" s="924" t="s">
        <v>981</v>
      </c>
      <c r="H2083" s="924" t="s">
        <v>835</v>
      </c>
      <c r="I2083" s="924" t="s">
        <v>1040</v>
      </c>
      <c r="J2083" s="924" t="s">
        <v>940</v>
      </c>
      <c r="K2083" s="924" t="s">
        <v>1070</v>
      </c>
      <c r="L2083" s="925">
        <v>1549.1575756073</v>
      </c>
      <c r="M2083" s="925">
        <v>1.0811419361271</v>
      </c>
    </row>
    <row r="2084" spans="1:13" ht="11.25" customHeight="1" x14ac:dyDescent="0.2">
      <c r="A2084" s="924" t="s">
        <v>853</v>
      </c>
      <c r="B2084" s="924" t="s">
        <v>797</v>
      </c>
      <c r="C2084" s="924" t="s">
        <v>1183</v>
      </c>
      <c r="D2084" s="924" t="s">
        <v>1176</v>
      </c>
      <c r="E2084" s="924" t="s">
        <v>856</v>
      </c>
      <c r="F2084" s="924" t="s">
        <v>1063</v>
      </c>
      <c r="G2084" s="924" t="s">
        <v>981</v>
      </c>
      <c r="H2084" s="924" t="s">
        <v>835</v>
      </c>
      <c r="I2084" s="924" t="s">
        <v>1040</v>
      </c>
      <c r="J2084" s="924" t="s">
        <v>859</v>
      </c>
      <c r="K2084" s="924" t="s">
        <v>922</v>
      </c>
      <c r="L2084" s="925">
        <v>8.8212840557098406</v>
      </c>
      <c r="M2084" s="925">
        <v>1.6015673206766199E-3</v>
      </c>
    </row>
    <row r="2085" spans="1:13" ht="11.25" customHeight="1" x14ac:dyDescent="0.2">
      <c r="A2085" s="924" t="s">
        <v>853</v>
      </c>
      <c r="B2085" s="924" t="s">
        <v>797</v>
      </c>
      <c r="C2085" s="924" t="s">
        <v>1183</v>
      </c>
      <c r="D2085" s="924" t="s">
        <v>1176</v>
      </c>
      <c r="E2085" s="924" t="s">
        <v>856</v>
      </c>
      <c r="F2085" s="924" t="s">
        <v>883</v>
      </c>
      <c r="G2085" s="924" t="s">
        <v>858</v>
      </c>
      <c r="H2085" s="924" t="s">
        <v>836</v>
      </c>
      <c r="I2085" s="924" t="s">
        <v>837</v>
      </c>
      <c r="J2085" s="924" t="s">
        <v>884</v>
      </c>
      <c r="K2085" s="924" t="s">
        <v>885</v>
      </c>
      <c r="L2085" s="925">
        <v>118.161397457123</v>
      </c>
      <c r="M2085" s="925">
        <v>4.5321243297848897E-3</v>
      </c>
    </row>
    <row r="2086" spans="1:13" ht="11.25" customHeight="1" x14ac:dyDescent="0.2">
      <c r="A2086" s="924" t="s">
        <v>853</v>
      </c>
      <c r="B2086" s="924" t="s">
        <v>797</v>
      </c>
      <c r="C2086" s="924" t="s">
        <v>1183</v>
      </c>
      <c r="D2086" s="924" t="s">
        <v>1176</v>
      </c>
      <c r="E2086" s="924" t="s">
        <v>856</v>
      </c>
      <c r="F2086" s="924" t="s">
        <v>1055</v>
      </c>
      <c r="G2086" s="924" t="s">
        <v>981</v>
      </c>
      <c r="H2086" s="924" t="s">
        <v>835</v>
      </c>
      <c r="I2086" s="924" t="s">
        <v>1040</v>
      </c>
      <c r="J2086" s="924" t="s">
        <v>859</v>
      </c>
      <c r="K2086" s="924" t="s">
        <v>899</v>
      </c>
      <c r="L2086" s="925">
        <v>35.548065751791</v>
      </c>
      <c r="M2086" s="925">
        <v>2.5134582087034101E-2</v>
      </c>
    </row>
    <row r="2087" spans="1:13" ht="11.25" customHeight="1" x14ac:dyDescent="0.2">
      <c r="A2087" s="924" t="s">
        <v>853</v>
      </c>
      <c r="B2087" s="924" t="s">
        <v>797</v>
      </c>
      <c r="C2087" s="924" t="s">
        <v>1183</v>
      </c>
      <c r="D2087" s="924" t="s">
        <v>1176</v>
      </c>
      <c r="E2087" s="924" t="s">
        <v>856</v>
      </c>
      <c r="F2087" s="924" t="s">
        <v>1039</v>
      </c>
      <c r="G2087" s="924" t="s">
        <v>981</v>
      </c>
      <c r="H2087" s="924" t="s">
        <v>835</v>
      </c>
      <c r="I2087" s="924" t="s">
        <v>1040</v>
      </c>
      <c r="J2087" s="924" t="s">
        <v>859</v>
      </c>
      <c r="K2087" s="924" t="s">
        <v>901</v>
      </c>
      <c r="L2087" s="925">
        <v>1.8531012497842301</v>
      </c>
      <c r="M2087" s="925">
        <v>1.3732443931076001E-3</v>
      </c>
    </row>
    <row r="2088" spans="1:13" ht="11.25" customHeight="1" x14ac:dyDescent="0.2">
      <c r="A2088" s="924" t="s">
        <v>853</v>
      </c>
      <c r="B2088" s="924" t="s">
        <v>797</v>
      </c>
      <c r="C2088" s="924" t="s">
        <v>1183</v>
      </c>
      <c r="D2088" s="924" t="s">
        <v>1176</v>
      </c>
      <c r="E2088" s="924" t="s">
        <v>856</v>
      </c>
      <c r="F2088" s="924" t="s">
        <v>1057</v>
      </c>
      <c r="G2088" s="924" t="s">
        <v>981</v>
      </c>
      <c r="H2088" s="924" t="s">
        <v>835</v>
      </c>
      <c r="I2088" s="924" t="s">
        <v>1040</v>
      </c>
      <c r="J2088" s="924" t="s">
        <v>859</v>
      </c>
      <c r="K2088" s="924" t="s">
        <v>903</v>
      </c>
      <c r="L2088" s="925">
        <v>74.189230024814606</v>
      </c>
      <c r="M2088" s="925">
        <v>4.5962139592575099E-2</v>
      </c>
    </row>
    <row r="2089" spans="1:13" ht="11.25" customHeight="1" x14ac:dyDescent="0.2">
      <c r="A2089" s="924" t="s">
        <v>853</v>
      </c>
      <c r="B2089" s="924" t="s">
        <v>797</v>
      </c>
      <c r="C2089" s="924" t="s">
        <v>1183</v>
      </c>
      <c r="D2089" s="924" t="s">
        <v>1176</v>
      </c>
      <c r="E2089" s="924" t="s">
        <v>856</v>
      </c>
      <c r="F2089" s="924" t="s">
        <v>1058</v>
      </c>
      <c r="G2089" s="924" t="s">
        <v>981</v>
      </c>
      <c r="H2089" s="924" t="s">
        <v>835</v>
      </c>
      <c r="I2089" s="924" t="s">
        <v>1040</v>
      </c>
      <c r="J2089" s="924" t="s">
        <v>859</v>
      </c>
      <c r="K2089" s="924" t="s">
        <v>905</v>
      </c>
      <c r="L2089" s="925">
        <v>26.0171159207821</v>
      </c>
      <c r="M2089" s="925">
        <v>2.0674091267210301E-2</v>
      </c>
    </row>
    <row r="2090" spans="1:13" ht="11.25" customHeight="1" x14ac:dyDescent="0.2">
      <c r="A2090" s="924" t="s">
        <v>853</v>
      </c>
      <c r="B2090" s="924" t="s">
        <v>797</v>
      </c>
      <c r="C2090" s="924" t="s">
        <v>1183</v>
      </c>
      <c r="D2090" s="924" t="s">
        <v>1176</v>
      </c>
      <c r="E2090" s="924" t="s">
        <v>856</v>
      </c>
      <c r="F2090" s="924" t="s">
        <v>1059</v>
      </c>
      <c r="G2090" s="924" t="s">
        <v>981</v>
      </c>
      <c r="H2090" s="924" t="s">
        <v>835</v>
      </c>
      <c r="I2090" s="924" t="s">
        <v>1040</v>
      </c>
      <c r="J2090" s="924" t="s">
        <v>859</v>
      </c>
      <c r="K2090" s="924" t="s">
        <v>909</v>
      </c>
      <c r="L2090" s="925">
        <v>155.05156481265999</v>
      </c>
      <c r="M2090" s="925">
        <v>0.107630027923733</v>
      </c>
    </row>
    <row r="2091" spans="1:13" ht="11.25" customHeight="1" x14ac:dyDescent="0.2">
      <c r="A2091" s="924" t="s">
        <v>853</v>
      </c>
      <c r="B2091" s="924" t="s">
        <v>797</v>
      </c>
      <c r="C2091" s="924" t="s">
        <v>1183</v>
      </c>
      <c r="D2091" s="924" t="s">
        <v>1176</v>
      </c>
      <c r="E2091" s="924" t="s">
        <v>856</v>
      </c>
      <c r="F2091" s="924" t="s">
        <v>1060</v>
      </c>
      <c r="G2091" s="924" t="s">
        <v>981</v>
      </c>
      <c r="H2091" s="924" t="s">
        <v>835</v>
      </c>
      <c r="I2091" s="924" t="s">
        <v>1040</v>
      </c>
      <c r="J2091" s="924" t="s">
        <v>859</v>
      </c>
      <c r="K2091" s="924" t="s">
        <v>973</v>
      </c>
      <c r="L2091" s="925">
        <v>74.371474862098694</v>
      </c>
      <c r="M2091" s="925">
        <v>5.0818871908631998E-2</v>
      </c>
    </row>
    <row r="2092" spans="1:13" ht="11.25" customHeight="1" x14ac:dyDescent="0.2">
      <c r="A2092" s="924" t="s">
        <v>853</v>
      </c>
      <c r="B2092" s="924" t="s">
        <v>797</v>
      </c>
      <c r="C2092" s="924" t="s">
        <v>1183</v>
      </c>
      <c r="D2092" s="924" t="s">
        <v>1176</v>
      </c>
      <c r="E2092" s="924" t="s">
        <v>856</v>
      </c>
      <c r="F2092" s="924" t="s">
        <v>1136</v>
      </c>
      <c r="G2092" s="924" t="s">
        <v>981</v>
      </c>
      <c r="H2092" s="924" t="s">
        <v>835</v>
      </c>
      <c r="I2092" s="924" t="s">
        <v>1040</v>
      </c>
      <c r="J2092" s="924" t="s">
        <v>863</v>
      </c>
      <c r="K2092" s="924" t="s">
        <v>864</v>
      </c>
      <c r="L2092" s="925">
        <v>321.04611587524403</v>
      </c>
      <c r="M2092" s="925">
        <v>0.241253579733893</v>
      </c>
    </row>
    <row r="2093" spans="1:13" ht="11.25" customHeight="1" x14ac:dyDescent="0.2">
      <c r="A2093" s="924" t="s">
        <v>853</v>
      </c>
      <c r="B2093" s="924" t="s">
        <v>797</v>
      </c>
      <c r="C2093" s="924" t="s">
        <v>1183</v>
      </c>
      <c r="D2093" s="924" t="s">
        <v>1176</v>
      </c>
      <c r="E2093" s="924" t="s">
        <v>856</v>
      </c>
      <c r="F2093" s="924" t="s">
        <v>1062</v>
      </c>
      <c r="G2093" s="924" t="s">
        <v>981</v>
      </c>
      <c r="H2093" s="924" t="s">
        <v>835</v>
      </c>
      <c r="I2093" s="924" t="s">
        <v>1040</v>
      </c>
      <c r="J2093" s="924" t="s">
        <v>859</v>
      </c>
      <c r="K2093" s="924" t="s">
        <v>920</v>
      </c>
      <c r="L2093" s="925">
        <v>10.0376136824489</v>
      </c>
      <c r="M2093" s="925">
        <v>6.8251895108346599E-3</v>
      </c>
    </row>
    <row r="2094" spans="1:13" ht="11.25" customHeight="1" x14ac:dyDescent="0.2">
      <c r="A2094" s="924" t="s">
        <v>853</v>
      </c>
      <c r="B2094" s="924" t="s">
        <v>797</v>
      </c>
      <c r="C2094" s="924" t="s">
        <v>1183</v>
      </c>
      <c r="D2094" s="924" t="s">
        <v>1176</v>
      </c>
      <c r="E2094" s="924" t="s">
        <v>856</v>
      </c>
      <c r="F2094" s="924" t="s">
        <v>1135</v>
      </c>
      <c r="G2094" s="924" t="s">
        <v>981</v>
      </c>
      <c r="H2094" s="924" t="s">
        <v>835</v>
      </c>
      <c r="I2094" s="924" t="s">
        <v>1040</v>
      </c>
      <c r="J2094" s="924" t="s">
        <v>863</v>
      </c>
      <c r="K2094" s="924" t="s">
        <v>935</v>
      </c>
      <c r="L2094" s="925">
        <v>170.85355949401901</v>
      </c>
      <c r="M2094" s="925">
        <v>6.1899875581730199E-2</v>
      </c>
    </row>
    <row r="2095" spans="1:13" ht="11.25" customHeight="1" x14ac:dyDescent="0.2">
      <c r="A2095" s="924" t="s">
        <v>853</v>
      </c>
      <c r="B2095" s="924" t="s">
        <v>797</v>
      </c>
      <c r="C2095" s="924" t="s">
        <v>1183</v>
      </c>
      <c r="D2095" s="924" t="s">
        <v>1176</v>
      </c>
      <c r="E2095" s="924" t="s">
        <v>856</v>
      </c>
      <c r="F2095" s="924" t="s">
        <v>1064</v>
      </c>
      <c r="G2095" s="924" t="s">
        <v>981</v>
      </c>
      <c r="H2095" s="924" t="s">
        <v>835</v>
      </c>
      <c r="I2095" s="924" t="s">
        <v>1040</v>
      </c>
      <c r="J2095" s="924" t="s">
        <v>859</v>
      </c>
      <c r="K2095" s="924" t="s">
        <v>924</v>
      </c>
      <c r="L2095" s="925">
        <v>21.246577411890001</v>
      </c>
      <c r="M2095" s="925">
        <v>1.59529097072664E-3</v>
      </c>
    </row>
    <row r="2096" spans="1:13" ht="11.25" customHeight="1" x14ac:dyDescent="0.2">
      <c r="A2096" s="924" t="s">
        <v>853</v>
      </c>
      <c r="B2096" s="924" t="s">
        <v>797</v>
      </c>
      <c r="C2096" s="924" t="s">
        <v>1183</v>
      </c>
      <c r="D2096" s="924" t="s">
        <v>1176</v>
      </c>
      <c r="E2096" s="924" t="s">
        <v>856</v>
      </c>
      <c r="F2096" s="924" t="s">
        <v>1065</v>
      </c>
      <c r="G2096" s="924" t="s">
        <v>981</v>
      </c>
      <c r="H2096" s="924" t="s">
        <v>835</v>
      </c>
      <c r="I2096" s="924" t="s">
        <v>1040</v>
      </c>
      <c r="J2096" s="924" t="s">
        <v>859</v>
      </c>
      <c r="K2096" s="924" t="s">
        <v>926</v>
      </c>
      <c r="L2096" s="925">
        <v>50.8960777521133</v>
      </c>
      <c r="M2096" s="925">
        <v>3.3953639591345598E-2</v>
      </c>
    </row>
    <row r="2097" spans="1:13" ht="11.25" customHeight="1" x14ac:dyDescent="0.2">
      <c r="A2097" s="924" t="s">
        <v>853</v>
      </c>
      <c r="B2097" s="924" t="s">
        <v>797</v>
      </c>
      <c r="C2097" s="924" t="s">
        <v>1183</v>
      </c>
      <c r="D2097" s="924" t="s">
        <v>1176</v>
      </c>
      <c r="E2097" s="924" t="s">
        <v>856</v>
      </c>
      <c r="F2097" s="924" t="s">
        <v>1066</v>
      </c>
      <c r="G2097" s="924" t="s">
        <v>981</v>
      </c>
      <c r="H2097" s="924" t="s">
        <v>835</v>
      </c>
      <c r="I2097" s="924" t="s">
        <v>1040</v>
      </c>
      <c r="J2097" s="924" t="s">
        <v>859</v>
      </c>
      <c r="K2097" s="924" t="s">
        <v>928</v>
      </c>
      <c r="L2097" s="925">
        <v>34.548411160707502</v>
      </c>
      <c r="M2097" s="925">
        <v>1.7540157647090399E-2</v>
      </c>
    </row>
    <row r="2098" spans="1:13" ht="11.25" customHeight="1" x14ac:dyDescent="0.2">
      <c r="A2098" s="924" t="s">
        <v>853</v>
      </c>
      <c r="B2098" s="924" t="s">
        <v>797</v>
      </c>
      <c r="C2098" s="924" t="s">
        <v>1183</v>
      </c>
      <c r="D2098" s="924" t="s">
        <v>1176</v>
      </c>
      <c r="E2098" s="924" t="s">
        <v>856</v>
      </c>
      <c r="F2098" s="924" t="s">
        <v>1067</v>
      </c>
      <c r="G2098" s="924" t="s">
        <v>981</v>
      </c>
      <c r="H2098" s="924" t="s">
        <v>835</v>
      </c>
      <c r="I2098" s="924" t="s">
        <v>1040</v>
      </c>
      <c r="J2098" s="924" t="s">
        <v>859</v>
      </c>
      <c r="K2098" s="924" t="s">
        <v>1011</v>
      </c>
      <c r="L2098" s="925">
        <v>11.4845975041389</v>
      </c>
      <c r="M2098" s="925">
        <v>8.1834836022380807E-3</v>
      </c>
    </row>
    <row r="2099" spans="1:13" ht="11.25" customHeight="1" x14ac:dyDescent="0.2">
      <c r="A2099" s="924" t="s">
        <v>853</v>
      </c>
      <c r="B2099" s="924" t="s">
        <v>797</v>
      </c>
      <c r="C2099" s="924" t="s">
        <v>1183</v>
      </c>
      <c r="D2099" s="924" t="s">
        <v>1176</v>
      </c>
      <c r="E2099" s="924" t="s">
        <v>856</v>
      </c>
      <c r="F2099" s="924" t="s">
        <v>1041</v>
      </c>
      <c r="G2099" s="924" t="s">
        <v>981</v>
      </c>
      <c r="H2099" s="924" t="s">
        <v>835</v>
      </c>
      <c r="I2099" s="924" t="s">
        <v>1040</v>
      </c>
      <c r="J2099" s="924" t="s">
        <v>859</v>
      </c>
      <c r="K2099" s="924" t="s">
        <v>891</v>
      </c>
      <c r="L2099" s="925">
        <v>7.9405884519219398</v>
      </c>
      <c r="M2099" s="925">
        <v>3.9909021943458399E-3</v>
      </c>
    </row>
    <row r="2100" spans="1:13" ht="11.25" customHeight="1" x14ac:dyDescent="0.2">
      <c r="A2100" s="924" t="s">
        <v>853</v>
      </c>
      <c r="B2100" s="924" t="s">
        <v>797</v>
      </c>
      <c r="C2100" s="924" t="s">
        <v>1183</v>
      </c>
      <c r="D2100" s="924" t="s">
        <v>1176</v>
      </c>
      <c r="E2100" s="924" t="s">
        <v>856</v>
      </c>
      <c r="F2100" s="924" t="s">
        <v>1138</v>
      </c>
      <c r="G2100" s="924" t="s">
        <v>981</v>
      </c>
      <c r="H2100" s="924" t="s">
        <v>835</v>
      </c>
      <c r="I2100" s="924" t="s">
        <v>1040</v>
      </c>
      <c r="J2100" s="924" t="s">
        <v>863</v>
      </c>
      <c r="K2100" s="924" t="s">
        <v>931</v>
      </c>
      <c r="L2100" s="925">
        <v>206.8154296875</v>
      </c>
      <c r="M2100" s="925">
        <v>8.0135722579143503E-2</v>
      </c>
    </row>
    <row r="2101" spans="1:13" ht="11.25" customHeight="1" x14ac:dyDescent="0.2">
      <c r="A2101" s="924" t="s">
        <v>853</v>
      </c>
      <c r="B2101" s="924" t="s">
        <v>797</v>
      </c>
      <c r="C2101" s="924" t="s">
        <v>1183</v>
      </c>
      <c r="D2101" s="924" t="s">
        <v>1176</v>
      </c>
      <c r="E2101" s="924" t="s">
        <v>856</v>
      </c>
      <c r="F2101" s="924" t="s">
        <v>1053</v>
      </c>
      <c r="G2101" s="924" t="s">
        <v>981</v>
      </c>
      <c r="H2101" s="924" t="s">
        <v>835</v>
      </c>
      <c r="I2101" s="924" t="s">
        <v>1040</v>
      </c>
      <c r="J2101" s="924" t="s">
        <v>859</v>
      </c>
      <c r="K2101" s="924" t="s">
        <v>893</v>
      </c>
      <c r="L2101" s="925">
        <v>42.3006876111031</v>
      </c>
      <c r="M2101" s="925">
        <v>2.5853895698673999E-2</v>
      </c>
    </row>
    <row r="2102" spans="1:13" ht="11.25" customHeight="1" x14ac:dyDescent="0.2">
      <c r="A2102" s="924" t="s">
        <v>853</v>
      </c>
      <c r="B2102" s="924" t="s">
        <v>797</v>
      </c>
      <c r="C2102" s="924" t="s">
        <v>1183</v>
      </c>
      <c r="D2102" s="924" t="s">
        <v>1176</v>
      </c>
      <c r="E2102" s="924" t="s">
        <v>856</v>
      </c>
      <c r="F2102" s="924" t="s">
        <v>1061</v>
      </c>
      <c r="G2102" s="924" t="s">
        <v>981</v>
      </c>
      <c r="H2102" s="924" t="s">
        <v>835</v>
      </c>
      <c r="I2102" s="924" t="s">
        <v>1040</v>
      </c>
      <c r="J2102" s="924" t="s">
        <v>859</v>
      </c>
      <c r="K2102" s="924" t="s">
        <v>918</v>
      </c>
      <c r="L2102" s="925">
        <v>5.7610303312540099</v>
      </c>
      <c r="M2102" s="925">
        <v>2.5464744066994202E-3</v>
      </c>
    </row>
    <row r="2103" spans="1:13" ht="11.25" customHeight="1" x14ac:dyDescent="0.2">
      <c r="A2103" s="924" t="s">
        <v>853</v>
      </c>
      <c r="B2103" s="924" t="s">
        <v>797</v>
      </c>
      <c r="C2103" s="924" t="s">
        <v>1183</v>
      </c>
      <c r="D2103" s="924" t="s">
        <v>1176</v>
      </c>
      <c r="E2103" s="924" t="s">
        <v>856</v>
      </c>
      <c r="F2103" s="924" t="s">
        <v>1000</v>
      </c>
      <c r="G2103" s="924" t="s">
        <v>858</v>
      </c>
      <c r="H2103" s="924" t="s">
        <v>836</v>
      </c>
      <c r="I2103" s="924" t="s">
        <v>837</v>
      </c>
      <c r="J2103" s="924" t="s">
        <v>875</v>
      </c>
      <c r="K2103" s="924" t="s">
        <v>950</v>
      </c>
      <c r="L2103" s="925">
        <v>51.873720169067397</v>
      </c>
      <c r="M2103" s="925">
        <v>1.21845902597784E-3</v>
      </c>
    </row>
    <row r="2104" spans="1:13" ht="11.25" customHeight="1" x14ac:dyDescent="0.2">
      <c r="A2104" s="924" t="s">
        <v>853</v>
      </c>
      <c r="B2104" s="924" t="s">
        <v>797</v>
      </c>
      <c r="C2104" s="924" t="s">
        <v>1183</v>
      </c>
      <c r="D2104" s="924" t="s">
        <v>1176</v>
      </c>
      <c r="E2104" s="924" t="s">
        <v>856</v>
      </c>
      <c r="F2104" s="924" t="s">
        <v>1033</v>
      </c>
      <c r="G2104" s="924" t="s">
        <v>858</v>
      </c>
      <c r="H2104" s="924" t="s">
        <v>836</v>
      </c>
      <c r="I2104" s="924" t="s">
        <v>837</v>
      </c>
      <c r="J2104" s="924" t="s">
        <v>940</v>
      </c>
      <c r="K2104" s="924" t="s">
        <v>1034</v>
      </c>
      <c r="L2104" s="925">
        <v>8.3188215903937799</v>
      </c>
      <c r="M2104" s="925">
        <v>2.7279556554837798E-4</v>
      </c>
    </row>
    <row r="2105" spans="1:13" ht="11.25" customHeight="1" x14ac:dyDescent="0.2">
      <c r="A2105" s="924" t="s">
        <v>853</v>
      </c>
      <c r="B2105" s="924" t="s">
        <v>797</v>
      </c>
      <c r="C2105" s="924" t="s">
        <v>1183</v>
      </c>
      <c r="D2105" s="924" t="s">
        <v>1176</v>
      </c>
      <c r="E2105" s="924" t="s">
        <v>856</v>
      </c>
      <c r="F2105" s="924" t="s">
        <v>1035</v>
      </c>
      <c r="G2105" s="924" t="s">
        <v>858</v>
      </c>
      <c r="H2105" s="924" t="s">
        <v>836</v>
      </c>
      <c r="I2105" s="924" t="s">
        <v>837</v>
      </c>
      <c r="J2105" s="924" t="s">
        <v>870</v>
      </c>
      <c r="K2105" s="924" t="s">
        <v>1036</v>
      </c>
      <c r="L2105" s="925">
        <v>0.16254693997325401</v>
      </c>
      <c r="M2105" s="925">
        <v>1.9907397104529399E-5</v>
      </c>
    </row>
    <row r="2106" spans="1:13" ht="11.25" customHeight="1" x14ac:dyDescent="0.2">
      <c r="A2106" s="924" t="s">
        <v>853</v>
      </c>
      <c r="B2106" s="924" t="s">
        <v>797</v>
      </c>
      <c r="C2106" s="924" t="s">
        <v>1183</v>
      </c>
      <c r="D2106" s="924" t="s">
        <v>1176</v>
      </c>
      <c r="E2106" s="924" t="s">
        <v>856</v>
      </c>
      <c r="F2106" s="924" t="s">
        <v>975</v>
      </c>
      <c r="G2106" s="924" t="s">
        <v>858</v>
      </c>
      <c r="H2106" s="924" t="s">
        <v>836</v>
      </c>
      <c r="I2106" s="924" t="s">
        <v>837</v>
      </c>
      <c r="J2106" s="924" t="s">
        <v>870</v>
      </c>
      <c r="K2106" s="924" t="s">
        <v>976</v>
      </c>
      <c r="L2106" s="925">
        <v>6753.8048458099402</v>
      </c>
      <c r="M2106" s="925">
        <v>0.10108049429027199</v>
      </c>
    </row>
    <row r="2107" spans="1:13" ht="11.25" customHeight="1" x14ac:dyDescent="0.2">
      <c r="A2107" s="924" t="s">
        <v>853</v>
      </c>
      <c r="B2107" s="924" t="s">
        <v>797</v>
      </c>
      <c r="C2107" s="924" t="s">
        <v>1183</v>
      </c>
      <c r="D2107" s="924" t="s">
        <v>1176</v>
      </c>
      <c r="E2107" s="924" t="s">
        <v>856</v>
      </c>
      <c r="F2107" s="924" t="s">
        <v>1018</v>
      </c>
      <c r="G2107" s="924" t="s">
        <v>858</v>
      </c>
      <c r="H2107" s="924" t="s">
        <v>836</v>
      </c>
      <c r="I2107" s="924" t="s">
        <v>837</v>
      </c>
      <c r="J2107" s="924" t="s">
        <v>870</v>
      </c>
      <c r="K2107" s="924" t="s">
        <v>1019</v>
      </c>
      <c r="L2107" s="925">
        <v>605.72537279129006</v>
      </c>
      <c r="M2107" s="925">
        <v>4.5522880963062597E-3</v>
      </c>
    </row>
    <row r="2108" spans="1:13" ht="11.25" customHeight="1" x14ac:dyDescent="0.2">
      <c r="A2108" s="924" t="s">
        <v>853</v>
      </c>
      <c r="B2108" s="924" t="s">
        <v>797</v>
      </c>
      <c r="C2108" s="924" t="s">
        <v>1183</v>
      </c>
      <c r="D2108" s="924" t="s">
        <v>1176</v>
      </c>
      <c r="E2108" s="924" t="s">
        <v>856</v>
      </c>
      <c r="F2108" s="924" t="s">
        <v>1015</v>
      </c>
      <c r="G2108" s="924" t="s">
        <v>858</v>
      </c>
      <c r="H2108" s="924" t="s">
        <v>836</v>
      </c>
      <c r="I2108" s="924" t="s">
        <v>837</v>
      </c>
      <c r="J2108" s="924" t="s">
        <v>870</v>
      </c>
      <c r="K2108" s="924" t="s">
        <v>1016</v>
      </c>
      <c r="L2108" s="925">
        <v>3.35427611041814</v>
      </c>
      <c r="M2108" s="925">
        <v>4.0753628976819603E-5</v>
      </c>
    </row>
    <row r="2109" spans="1:13" ht="11.25" customHeight="1" x14ac:dyDescent="0.2">
      <c r="A2109" s="924" t="s">
        <v>853</v>
      </c>
      <c r="B2109" s="924" t="s">
        <v>797</v>
      </c>
      <c r="C2109" s="924" t="s">
        <v>1183</v>
      </c>
      <c r="D2109" s="924" t="s">
        <v>1176</v>
      </c>
      <c r="E2109" s="924" t="s">
        <v>856</v>
      </c>
      <c r="F2109" s="924" t="s">
        <v>958</v>
      </c>
      <c r="G2109" s="924" t="s">
        <v>858</v>
      </c>
      <c r="H2109" s="924" t="s">
        <v>836</v>
      </c>
      <c r="I2109" s="924" t="s">
        <v>837</v>
      </c>
      <c r="J2109" s="924" t="s">
        <v>870</v>
      </c>
      <c r="K2109" s="924" t="s">
        <v>959</v>
      </c>
      <c r="L2109" s="925">
        <v>0.704575784970075</v>
      </c>
      <c r="M2109" s="925">
        <v>6.5660978961490402E-6</v>
      </c>
    </row>
    <row r="2110" spans="1:13" ht="11.25" customHeight="1" x14ac:dyDescent="0.2">
      <c r="A2110" s="924" t="s">
        <v>853</v>
      </c>
      <c r="B2110" s="924" t="s">
        <v>797</v>
      </c>
      <c r="C2110" s="924" t="s">
        <v>1183</v>
      </c>
      <c r="D2110" s="924" t="s">
        <v>1176</v>
      </c>
      <c r="E2110" s="924" t="s">
        <v>856</v>
      </c>
      <c r="F2110" s="924" t="s">
        <v>960</v>
      </c>
      <c r="G2110" s="924" t="s">
        <v>858</v>
      </c>
      <c r="H2110" s="924" t="s">
        <v>836</v>
      </c>
      <c r="I2110" s="924" t="s">
        <v>837</v>
      </c>
      <c r="J2110" s="924" t="s">
        <v>870</v>
      </c>
      <c r="K2110" s="924" t="s">
        <v>961</v>
      </c>
      <c r="L2110" s="925">
        <v>51.386291146278403</v>
      </c>
      <c r="M2110" s="925">
        <v>4.5592942367989102E-4</v>
      </c>
    </row>
    <row r="2111" spans="1:13" ht="11.25" customHeight="1" x14ac:dyDescent="0.2">
      <c r="A2111" s="924" t="s">
        <v>853</v>
      </c>
      <c r="B2111" s="924" t="s">
        <v>797</v>
      </c>
      <c r="C2111" s="924" t="s">
        <v>1183</v>
      </c>
      <c r="D2111" s="924" t="s">
        <v>1176</v>
      </c>
      <c r="E2111" s="924" t="s">
        <v>856</v>
      </c>
      <c r="F2111" s="924" t="s">
        <v>962</v>
      </c>
      <c r="G2111" s="924" t="s">
        <v>858</v>
      </c>
      <c r="H2111" s="924" t="s">
        <v>836</v>
      </c>
      <c r="I2111" s="924" t="s">
        <v>837</v>
      </c>
      <c r="J2111" s="924" t="s">
        <v>870</v>
      </c>
      <c r="K2111" s="924" t="s">
        <v>963</v>
      </c>
      <c r="L2111" s="925">
        <v>0.14212596969446201</v>
      </c>
      <c r="M2111" s="925">
        <v>1.0101711508774E-6</v>
      </c>
    </row>
    <row r="2112" spans="1:13" ht="11.25" customHeight="1" x14ac:dyDescent="0.2">
      <c r="A2112" s="924" t="s">
        <v>853</v>
      </c>
      <c r="B2112" s="924" t="s">
        <v>797</v>
      </c>
      <c r="C2112" s="924" t="s">
        <v>1183</v>
      </c>
      <c r="D2112" s="924" t="s">
        <v>1176</v>
      </c>
      <c r="E2112" s="924" t="s">
        <v>856</v>
      </c>
      <c r="F2112" s="924" t="s">
        <v>964</v>
      </c>
      <c r="G2112" s="924" t="s">
        <v>858</v>
      </c>
      <c r="H2112" s="924" t="s">
        <v>836</v>
      </c>
      <c r="I2112" s="924" t="s">
        <v>837</v>
      </c>
      <c r="J2112" s="924" t="s">
        <v>870</v>
      </c>
      <c r="K2112" s="924" t="s">
        <v>965</v>
      </c>
      <c r="L2112" s="925">
        <v>47.504794105887399</v>
      </c>
      <c r="M2112" s="925">
        <v>4.3616610595798E-4</v>
      </c>
    </row>
    <row r="2113" spans="1:13" ht="11.25" customHeight="1" x14ac:dyDescent="0.2">
      <c r="A2113" s="924" t="s">
        <v>853</v>
      </c>
      <c r="B2113" s="924" t="s">
        <v>797</v>
      </c>
      <c r="C2113" s="924" t="s">
        <v>1183</v>
      </c>
      <c r="D2113" s="924" t="s">
        <v>1176</v>
      </c>
      <c r="E2113" s="924" t="s">
        <v>856</v>
      </c>
      <c r="F2113" s="924" t="s">
        <v>966</v>
      </c>
      <c r="G2113" s="924" t="s">
        <v>858</v>
      </c>
      <c r="H2113" s="924" t="s">
        <v>836</v>
      </c>
      <c r="I2113" s="924" t="s">
        <v>837</v>
      </c>
      <c r="J2113" s="924" t="s">
        <v>870</v>
      </c>
      <c r="K2113" s="924" t="s">
        <v>871</v>
      </c>
      <c r="L2113" s="925">
        <v>132.18375048041301</v>
      </c>
      <c r="M2113" s="925">
        <v>1.1485691257533399E-3</v>
      </c>
    </row>
    <row r="2114" spans="1:13" ht="11.25" customHeight="1" x14ac:dyDescent="0.2">
      <c r="A2114" s="924" t="s">
        <v>853</v>
      </c>
      <c r="B2114" s="924" t="s">
        <v>797</v>
      </c>
      <c r="C2114" s="924" t="s">
        <v>1183</v>
      </c>
      <c r="D2114" s="924" t="s">
        <v>1176</v>
      </c>
      <c r="E2114" s="924" t="s">
        <v>856</v>
      </c>
      <c r="F2114" s="924" t="s">
        <v>967</v>
      </c>
      <c r="G2114" s="924" t="s">
        <v>858</v>
      </c>
      <c r="H2114" s="924" t="s">
        <v>836</v>
      </c>
      <c r="I2114" s="924" t="s">
        <v>837</v>
      </c>
      <c r="J2114" s="924" t="s">
        <v>870</v>
      </c>
      <c r="K2114" s="924" t="s">
        <v>873</v>
      </c>
      <c r="L2114" s="925">
        <v>97.423208385705905</v>
      </c>
      <c r="M2114" s="925">
        <v>1.6458822619043201E-3</v>
      </c>
    </row>
    <row r="2115" spans="1:13" ht="11.25" customHeight="1" x14ac:dyDescent="0.2">
      <c r="A2115" s="924" t="s">
        <v>853</v>
      </c>
      <c r="B2115" s="924" t="s">
        <v>797</v>
      </c>
      <c r="C2115" s="924" t="s">
        <v>1183</v>
      </c>
      <c r="D2115" s="924" t="s">
        <v>1176</v>
      </c>
      <c r="E2115" s="924" t="s">
        <v>856</v>
      </c>
      <c r="F2115" s="924" t="s">
        <v>968</v>
      </c>
      <c r="G2115" s="924" t="s">
        <v>858</v>
      </c>
      <c r="H2115" s="924" t="s">
        <v>836</v>
      </c>
      <c r="I2115" s="924" t="s">
        <v>837</v>
      </c>
      <c r="J2115" s="924" t="s">
        <v>875</v>
      </c>
      <c r="K2115" s="924" t="s">
        <v>876</v>
      </c>
      <c r="L2115" s="925">
        <v>1622.24062156677</v>
      </c>
      <c r="M2115" s="925">
        <v>4.3482561482051103E-2</v>
      </c>
    </row>
    <row r="2116" spans="1:13" ht="11.25" customHeight="1" x14ac:dyDescent="0.2">
      <c r="A2116" s="924" t="s">
        <v>853</v>
      </c>
      <c r="B2116" s="924" t="s">
        <v>797</v>
      </c>
      <c r="C2116" s="924" t="s">
        <v>1183</v>
      </c>
      <c r="D2116" s="924" t="s">
        <v>1176</v>
      </c>
      <c r="E2116" s="924" t="s">
        <v>856</v>
      </c>
      <c r="F2116" s="924" t="s">
        <v>969</v>
      </c>
      <c r="G2116" s="924" t="s">
        <v>858</v>
      </c>
      <c r="H2116" s="924" t="s">
        <v>836</v>
      </c>
      <c r="I2116" s="924" t="s">
        <v>837</v>
      </c>
      <c r="J2116" s="924" t="s">
        <v>875</v>
      </c>
      <c r="K2116" s="924" t="s">
        <v>878</v>
      </c>
      <c r="L2116" s="925">
        <v>382.87091398239102</v>
      </c>
      <c r="M2116" s="925">
        <v>1.0142019811496501E-2</v>
      </c>
    </row>
    <row r="2117" spans="1:13" ht="11.25" customHeight="1" x14ac:dyDescent="0.2">
      <c r="A2117" s="924" t="s">
        <v>853</v>
      </c>
      <c r="B2117" s="924" t="s">
        <v>797</v>
      </c>
      <c r="C2117" s="924" t="s">
        <v>1183</v>
      </c>
      <c r="D2117" s="924" t="s">
        <v>1176</v>
      </c>
      <c r="E2117" s="924" t="s">
        <v>856</v>
      </c>
      <c r="F2117" s="924" t="s">
        <v>1031</v>
      </c>
      <c r="G2117" s="924" t="s">
        <v>858</v>
      </c>
      <c r="H2117" s="924" t="s">
        <v>836</v>
      </c>
      <c r="I2117" s="924" t="s">
        <v>837</v>
      </c>
      <c r="J2117" s="924" t="s">
        <v>940</v>
      </c>
      <c r="K2117" s="924" t="s">
        <v>1032</v>
      </c>
      <c r="L2117" s="925">
        <v>327.580997824669</v>
      </c>
      <c r="M2117" s="925">
        <v>6.8350083072203898E-3</v>
      </c>
    </row>
    <row r="2118" spans="1:13" ht="11.25" customHeight="1" x14ac:dyDescent="0.2">
      <c r="A2118" s="924" t="s">
        <v>853</v>
      </c>
      <c r="B2118" s="924" t="s">
        <v>797</v>
      </c>
      <c r="C2118" s="924" t="s">
        <v>1183</v>
      </c>
      <c r="D2118" s="924" t="s">
        <v>1176</v>
      </c>
      <c r="E2118" s="924" t="s">
        <v>856</v>
      </c>
      <c r="F2118" s="924" t="s">
        <v>989</v>
      </c>
      <c r="G2118" s="924" t="s">
        <v>990</v>
      </c>
      <c r="H2118" s="924" t="s">
        <v>836</v>
      </c>
      <c r="I2118" s="924" t="s">
        <v>839</v>
      </c>
      <c r="J2118" s="924" t="s">
        <v>224</v>
      </c>
      <c r="K2118" s="924" t="s">
        <v>988</v>
      </c>
      <c r="L2118" s="925">
        <v>140.597814619541</v>
      </c>
      <c r="M2118" s="925">
        <v>4.7870369846960701E-3</v>
      </c>
    </row>
    <row r="2119" spans="1:13" ht="11.25" customHeight="1" x14ac:dyDescent="0.2">
      <c r="A2119" s="924" t="s">
        <v>853</v>
      </c>
      <c r="B2119" s="924" t="s">
        <v>797</v>
      </c>
      <c r="C2119" s="924" t="s">
        <v>1183</v>
      </c>
      <c r="D2119" s="924" t="s">
        <v>1176</v>
      </c>
      <c r="E2119" s="924" t="s">
        <v>856</v>
      </c>
      <c r="F2119" s="924" t="s">
        <v>879</v>
      </c>
      <c r="G2119" s="924" t="s">
        <v>862</v>
      </c>
      <c r="H2119" s="924" t="s">
        <v>665</v>
      </c>
      <c r="I2119" s="924" t="s">
        <v>787</v>
      </c>
      <c r="J2119" s="924" t="s">
        <v>875</v>
      </c>
      <c r="K2119" s="924" t="s">
        <v>880</v>
      </c>
      <c r="L2119" s="925">
        <v>4.4700849764049098</v>
      </c>
      <c r="M2119" s="925">
        <v>2.5147829013803899E-2</v>
      </c>
    </row>
    <row r="2120" spans="1:13" ht="11.25" customHeight="1" x14ac:dyDescent="0.2">
      <c r="A2120" s="924" t="s">
        <v>853</v>
      </c>
      <c r="B2120" s="924" t="s">
        <v>797</v>
      </c>
      <c r="C2120" s="924" t="s">
        <v>1183</v>
      </c>
      <c r="D2120" s="924" t="s">
        <v>1176</v>
      </c>
      <c r="E2120" s="924" t="s">
        <v>856</v>
      </c>
      <c r="F2120" s="924" t="s">
        <v>900</v>
      </c>
      <c r="G2120" s="924" t="s">
        <v>858</v>
      </c>
      <c r="H2120" s="924" t="s">
        <v>836</v>
      </c>
      <c r="I2120" s="924" t="s">
        <v>837</v>
      </c>
      <c r="J2120" s="924" t="s">
        <v>859</v>
      </c>
      <c r="K2120" s="924" t="s">
        <v>901</v>
      </c>
      <c r="L2120" s="925">
        <v>116.05133330821999</v>
      </c>
      <c r="M2120" s="925">
        <v>5.0577973814398504E-3</v>
      </c>
    </row>
    <row r="2121" spans="1:13" ht="11.25" customHeight="1" x14ac:dyDescent="0.2">
      <c r="A2121" s="924" t="s">
        <v>853</v>
      </c>
      <c r="B2121" s="924" t="s">
        <v>797</v>
      </c>
      <c r="C2121" s="924" t="s">
        <v>1183</v>
      </c>
      <c r="D2121" s="924" t="s">
        <v>1176</v>
      </c>
      <c r="E2121" s="924" t="s">
        <v>1164</v>
      </c>
      <c r="F2121" s="924" t="s">
        <v>1168</v>
      </c>
      <c r="G2121" s="924" t="s">
        <v>858</v>
      </c>
      <c r="H2121" s="924" t="s">
        <v>836</v>
      </c>
      <c r="I2121" s="924" t="s">
        <v>837</v>
      </c>
      <c r="J2121" s="924" t="s">
        <v>1166</v>
      </c>
      <c r="K2121" s="924" t="s">
        <v>1166</v>
      </c>
      <c r="L2121" s="925">
        <v>3.4869993403553998</v>
      </c>
      <c r="M2121" s="925">
        <v>4.4606755292164701E-5</v>
      </c>
    </row>
    <row r="2122" spans="1:13" ht="11.25" customHeight="1" x14ac:dyDescent="0.2">
      <c r="A2122" s="924" t="s">
        <v>853</v>
      </c>
      <c r="B2122" s="924" t="s">
        <v>797</v>
      </c>
      <c r="C2122" s="924" t="s">
        <v>1183</v>
      </c>
      <c r="D2122" s="924" t="s">
        <v>1176</v>
      </c>
      <c r="E2122" s="924" t="s">
        <v>1164</v>
      </c>
      <c r="F2122" s="924" t="s">
        <v>1167</v>
      </c>
      <c r="G2122" s="924" t="s">
        <v>911</v>
      </c>
      <c r="H2122" s="924" t="s">
        <v>665</v>
      </c>
      <c r="I2122" s="924" t="s">
        <v>706</v>
      </c>
      <c r="J2122" s="924" t="s">
        <v>1166</v>
      </c>
      <c r="K2122" s="924" t="s">
        <v>1166</v>
      </c>
      <c r="L2122" s="925">
        <v>6.2951430329121594E-2</v>
      </c>
      <c r="M2122" s="925">
        <v>2.91785670469835E-6</v>
      </c>
    </row>
    <row r="2123" spans="1:13" ht="11.25" customHeight="1" x14ac:dyDescent="0.2">
      <c r="A2123" s="924" t="s">
        <v>853</v>
      </c>
      <c r="B2123" s="924" t="s">
        <v>797</v>
      </c>
      <c r="C2123" s="924" t="s">
        <v>1183</v>
      </c>
      <c r="D2123" s="924" t="s">
        <v>1176</v>
      </c>
      <c r="E2123" s="924" t="s">
        <v>1164</v>
      </c>
      <c r="F2123" s="924" t="s">
        <v>1165</v>
      </c>
      <c r="G2123" s="924" t="s">
        <v>981</v>
      </c>
      <c r="H2123" s="924" t="s">
        <v>835</v>
      </c>
      <c r="I2123" s="924" t="s">
        <v>1040</v>
      </c>
      <c r="J2123" s="924" t="s">
        <v>1166</v>
      </c>
      <c r="K2123" s="924" t="s">
        <v>1166</v>
      </c>
      <c r="L2123" s="925">
        <v>0.112848620163277</v>
      </c>
      <c r="M2123" s="925">
        <v>3.25566495575913E-5</v>
      </c>
    </row>
    <row r="2124" spans="1:13" ht="11.25" customHeight="1" x14ac:dyDescent="0.2">
      <c r="A2124" s="924" t="s">
        <v>853</v>
      </c>
      <c r="B2124" s="924" t="s">
        <v>797</v>
      </c>
      <c r="C2124" s="924" t="s">
        <v>1183</v>
      </c>
      <c r="D2124" s="924" t="s">
        <v>1176</v>
      </c>
      <c r="E2124" s="924" t="s">
        <v>856</v>
      </c>
      <c r="F2124" s="924" t="s">
        <v>970</v>
      </c>
      <c r="G2124" s="924" t="s">
        <v>858</v>
      </c>
      <c r="H2124" s="924" t="s">
        <v>836</v>
      </c>
      <c r="I2124" s="924" t="s">
        <v>837</v>
      </c>
      <c r="J2124" s="924" t="s">
        <v>875</v>
      </c>
      <c r="K2124" s="924" t="s">
        <v>880</v>
      </c>
      <c r="L2124" s="925">
        <v>1062.1230506897</v>
      </c>
      <c r="M2124" s="925">
        <v>2.0638893928435199E-2</v>
      </c>
    </row>
    <row r="2125" spans="1:13" ht="11.25" customHeight="1" x14ac:dyDescent="0.2">
      <c r="A2125" s="924" t="s">
        <v>853</v>
      </c>
      <c r="B2125" s="924" t="s">
        <v>797</v>
      </c>
      <c r="C2125" s="924" t="s">
        <v>1183</v>
      </c>
      <c r="D2125" s="924" t="s">
        <v>1176</v>
      </c>
      <c r="E2125" s="924" t="s">
        <v>856</v>
      </c>
      <c r="F2125" s="924" t="s">
        <v>991</v>
      </c>
      <c r="G2125" s="924" t="s">
        <v>990</v>
      </c>
      <c r="H2125" s="924" t="s">
        <v>836</v>
      </c>
      <c r="I2125" s="924" t="s">
        <v>839</v>
      </c>
      <c r="J2125" s="924" t="s">
        <v>224</v>
      </c>
      <c r="K2125" s="924" t="s">
        <v>983</v>
      </c>
      <c r="L2125" s="925">
        <v>1.17523040226661</v>
      </c>
      <c r="M2125" s="925">
        <v>7.0176884264139302E-5</v>
      </c>
    </row>
    <row r="2126" spans="1:13" ht="11.25" customHeight="1" x14ac:dyDescent="0.2">
      <c r="A2126" s="924" t="s">
        <v>853</v>
      </c>
      <c r="B2126" s="924" t="s">
        <v>797</v>
      </c>
      <c r="C2126" s="924" t="s">
        <v>1183</v>
      </c>
      <c r="D2126" s="924" t="s">
        <v>1176</v>
      </c>
      <c r="E2126" s="924" t="s">
        <v>856</v>
      </c>
      <c r="F2126" s="924" t="s">
        <v>971</v>
      </c>
      <c r="G2126" s="924" t="s">
        <v>858</v>
      </c>
      <c r="H2126" s="924" t="s">
        <v>836</v>
      </c>
      <c r="I2126" s="924" t="s">
        <v>837</v>
      </c>
      <c r="J2126" s="924" t="s">
        <v>875</v>
      </c>
      <c r="K2126" s="924" t="s">
        <v>948</v>
      </c>
      <c r="L2126" s="925">
        <v>539.78335237503097</v>
      </c>
      <c r="M2126" s="925">
        <v>2.30883979347709E-2</v>
      </c>
    </row>
    <row r="2127" spans="1:13" ht="11.25" customHeight="1" x14ac:dyDescent="0.2">
      <c r="A2127" s="924" t="s">
        <v>853</v>
      </c>
      <c r="B2127" s="924" t="s">
        <v>797</v>
      </c>
      <c r="C2127" s="924" t="s">
        <v>1183</v>
      </c>
      <c r="D2127" s="924" t="s">
        <v>1176</v>
      </c>
      <c r="E2127" s="924" t="s">
        <v>856</v>
      </c>
      <c r="F2127" s="924" t="s">
        <v>986</v>
      </c>
      <c r="G2127" s="924" t="s">
        <v>981</v>
      </c>
      <c r="H2127" s="924" t="s">
        <v>835</v>
      </c>
      <c r="I2127" s="924" t="s">
        <v>839</v>
      </c>
      <c r="J2127" s="924" t="s">
        <v>987</v>
      </c>
      <c r="K2127" s="924" t="s">
        <v>988</v>
      </c>
      <c r="L2127" s="925">
        <v>178.53112342953699</v>
      </c>
      <c r="M2127" s="925">
        <v>9.0248498498112895E-2</v>
      </c>
    </row>
    <row r="2128" spans="1:13" ht="11.25" customHeight="1" x14ac:dyDescent="0.2">
      <c r="A2128" s="924" t="s">
        <v>853</v>
      </c>
      <c r="B2128" s="924" t="s">
        <v>797</v>
      </c>
      <c r="C2128" s="924" t="s">
        <v>1183</v>
      </c>
      <c r="D2128" s="924" t="s">
        <v>1176</v>
      </c>
      <c r="E2128" s="924" t="s">
        <v>856</v>
      </c>
      <c r="F2128" s="924" t="s">
        <v>984</v>
      </c>
      <c r="G2128" s="924" t="s">
        <v>981</v>
      </c>
      <c r="H2128" s="924" t="s">
        <v>835</v>
      </c>
      <c r="I2128" s="924" t="s">
        <v>839</v>
      </c>
      <c r="J2128" s="924" t="s">
        <v>982</v>
      </c>
      <c r="K2128" s="924" t="s">
        <v>985</v>
      </c>
      <c r="L2128" s="925">
        <v>245.37166750431101</v>
      </c>
      <c r="M2128" s="925">
        <v>0.27370944299036598</v>
      </c>
    </row>
    <row r="2129" spans="1:13" ht="11.25" customHeight="1" x14ac:dyDescent="0.2">
      <c r="A2129" s="924" t="s">
        <v>853</v>
      </c>
      <c r="B2129" s="924" t="s">
        <v>797</v>
      </c>
      <c r="C2129" s="924" t="s">
        <v>1183</v>
      </c>
      <c r="D2129" s="924" t="s">
        <v>1176</v>
      </c>
      <c r="E2129" s="924" t="s">
        <v>856</v>
      </c>
      <c r="F2129" s="924" t="s">
        <v>980</v>
      </c>
      <c r="G2129" s="924" t="s">
        <v>981</v>
      </c>
      <c r="H2129" s="924" t="s">
        <v>835</v>
      </c>
      <c r="I2129" s="924" t="s">
        <v>839</v>
      </c>
      <c r="J2129" s="924" t="s">
        <v>982</v>
      </c>
      <c r="K2129" s="924" t="s">
        <v>983</v>
      </c>
      <c r="L2129" s="925">
        <v>580.80355095863297</v>
      </c>
      <c r="M2129" s="925">
        <v>0.66245791828259804</v>
      </c>
    </row>
    <row r="2130" spans="1:13" ht="11.25" customHeight="1" x14ac:dyDescent="0.2">
      <c r="A2130" s="924" t="s">
        <v>853</v>
      </c>
      <c r="B2130" s="924" t="s">
        <v>797</v>
      </c>
      <c r="C2130" s="924" t="s">
        <v>1183</v>
      </c>
      <c r="D2130" s="924" t="s">
        <v>1176</v>
      </c>
      <c r="E2130" s="924" t="s">
        <v>856</v>
      </c>
      <c r="F2130" s="924" t="s">
        <v>955</v>
      </c>
      <c r="G2130" s="924" t="s">
        <v>858</v>
      </c>
      <c r="H2130" s="924" t="s">
        <v>836</v>
      </c>
      <c r="I2130" s="924" t="s">
        <v>837</v>
      </c>
      <c r="J2130" s="924" t="s">
        <v>956</v>
      </c>
      <c r="K2130" s="924" t="s">
        <v>957</v>
      </c>
      <c r="L2130" s="925">
        <v>122.54648911952999</v>
      </c>
      <c r="M2130" s="925">
        <v>7.0382855285799895E-4</v>
      </c>
    </row>
    <row r="2131" spans="1:13" ht="11.25" customHeight="1" x14ac:dyDescent="0.2">
      <c r="A2131" s="924" t="s">
        <v>853</v>
      </c>
      <c r="B2131" s="924" t="s">
        <v>797</v>
      </c>
      <c r="C2131" s="924" t="s">
        <v>1183</v>
      </c>
      <c r="D2131" s="924" t="s">
        <v>1176</v>
      </c>
      <c r="E2131" s="924" t="s">
        <v>856</v>
      </c>
      <c r="F2131" s="924" t="s">
        <v>974</v>
      </c>
      <c r="G2131" s="924" t="s">
        <v>858</v>
      </c>
      <c r="H2131" s="924" t="s">
        <v>836</v>
      </c>
      <c r="I2131" s="924" t="s">
        <v>837</v>
      </c>
      <c r="J2131" s="924" t="s">
        <v>875</v>
      </c>
      <c r="K2131" s="924" t="s">
        <v>952</v>
      </c>
      <c r="L2131" s="925">
        <v>45.904410183429697</v>
      </c>
      <c r="M2131" s="925">
        <v>1.0371358834930799E-3</v>
      </c>
    </row>
    <row r="2132" spans="1:13" ht="11.25" customHeight="1" x14ac:dyDescent="0.2">
      <c r="A2132" s="924" t="s">
        <v>853</v>
      </c>
      <c r="B2132" s="924" t="s">
        <v>797</v>
      </c>
      <c r="C2132" s="924" t="s">
        <v>1183</v>
      </c>
      <c r="D2132" s="924" t="s">
        <v>1176</v>
      </c>
      <c r="E2132" s="924" t="s">
        <v>856</v>
      </c>
      <c r="F2132" s="924" t="s">
        <v>992</v>
      </c>
      <c r="G2132" s="924" t="s">
        <v>858</v>
      </c>
      <c r="H2132" s="924" t="s">
        <v>836</v>
      </c>
      <c r="I2132" s="924" t="s">
        <v>834</v>
      </c>
      <c r="J2132" s="924" t="s">
        <v>224</v>
      </c>
      <c r="K2132" s="924" t="s">
        <v>993</v>
      </c>
      <c r="L2132" s="925">
        <v>317.91443848609902</v>
      </c>
      <c r="M2132" s="925">
        <v>1.23725832009995E-2</v>
      </c>
    </row>
    <row r="2133" spans="1:13" ht="11.25" customHeight="1" x14ac:dyDescent="0.2">
      <c r="A2133" s="924" t="s">
        <v>853</v>
      </c>
      <c r="B2133" s="924" t="s">
        <v>797</v>
      </c>
      <c r="C2133" s="924" t="s">
        <v>1183</v>
      </c>
      <c r="D2133" s="924" t="s">
        <v>1176</v>
      </c>
      <c r="E2133" s="924" t="s">
        <v>856</v>
      </c>
      <c r="F2133" s="924" t="s">
        <v>994</v>
      </c>
      <c r="G2133" s="924" t="s">
        <v>981</v>
      </c>
      <c r="H2133" s="924" t="s">
        <v>835</v>
      </c>
      <c r="I2133" s="924" t="s">
        <v>834</v>
      </c>
      <c r="J2133" s="924" t="s">
        <v>995</v>
      </c>
      <c r="K2133" s="924" t="s">
        <v>993</v>
      </c>
      <c r="L2133" s="925">
        <v>18.758529409766201</v>
      </c>
      <c r="M2133" s="925">
        <v>1.2224071394896899E-2</v>
      </c>
    </row>
    <row r="2134" spans="1:13" ht="11.25" customHeight="1" x14ac:dyDescent="0.2">
      <c r="A2134" s="924" t="s">
        <v>853</v>
      </c>
      <c r="B2134" s="924" t="s">
        <v>797</v>
      </c>
      <c r="C2134" s="924" t="s">
        <v>1183</v>
      </c>
      <c r="D2134" s="924" t="s">
        <v>1176</v>
      </c>
      <c r="E2134" s="924" t="s">
        <v>856</v>
      </c>
      <c r="F2134" s="924" t="s">
        <v>972</v>
      </c>
      <c r="G2134" s="924" t="s">
        <v>858</v>
      </c>
      <c r="H2134" s="924" t="s">
        <v>836</v>
      </c>
      <c r="I2134" s="924" t="s">
        <v>837</v>
      </c>
      <c r="J2134" s="924" t="s">
        <v>859</v>
      </c>
      <c r="K2134" s="924" t="s">
        <v>973</v>
      </c>
      <c r="L2134" s="925">
        <v>16.844009608030301</v>
      </c>
      <c r="M2134" s="925">
        <v>4.2909037514959902E-4</v>
      </c>
    </row>
    <row r="2135" spans="1:13" ht="11.25" customHeight="1" x14ac:dyDescent="0.2">
      <c r="A2135" s="924" t="s">
        <v>853</v>
      </c>
      <c r="B2135" s="924" t="s">
        <v>797</v>
      </c>
      <c r="C2135" s="924" t="s">
        <v>1183</v>
      </c>
      <c r="D2135" s="924" t="s">
        <v>1176</v>
      </c>
      <c r="E2135" s="924" t="s">
        <v>856</v>
      </c>
      <c r="F2135" s="924" t="s">
        <v>902</v>
      </c>
      <c r="G2135" s="924" t="s">
        <v>858</v>
      </c>
      <c r="H2135" s="924" t="s">
        <v>836</v>
      </c>
      <c r="I2135" s="924" t="s">
        <v>837</v>
      </c>
      <c r="J2135" s="924" t="s">
        <v>859</v>
      </c>
      <c r="K2135" s="924" t="s">
        <v>903</v>
      </c>
      <c r="L2135" s="925">
        <v>498.34041452407803</v>
      </c>
      <c r="M2135" s="925">
        <v>8.6630584659133092E-3</v>
      </c>
    </row>
    <row r="2136" spans="1:13" ht="11.25" customHeight="1" x14ac:dyDescent="0.2">
      <c r="A2136" s="924" t="s">
        <v>853</v>
      </c>
      <c r="B2136" s="924" t="s">
        <v>797</v>
      </c>
      <c r="C2136" s="924" t="s">
        <v>1183</v>
      </c>
      <c r="D2136" s="924" t="s">
        <v>1176</v>
      </c>
      <c r="E2136" s="924" t="s">
        <v>856</v>
      </c>
      <c r="F2136" s="924" t="s">
        <v>904</v>
      </c>
      <c r="G2136" s="924" t="s">
        <v>858</v>
      </c>
      <c r="H2136" s="924" t="s">
        <v>836</v>
      </c>
      <c r="I2136" s="924" t="s">
        <v>837</v>
      </c>
      <c r="J2136" s="924" t="s">
        <v>859</v>
      </c>
      <c r="K2136" s="924" t="s">
        <v>905</v>
      </c>
      <c r="L2136" s="925">
        <v>431.48257398605301</v>
      </c>
      <c r="M2136" s="925">
        <v>8.1741972059035106E-3</v>
      </c>
    </row>
    <row r="2137" spans="1:13" ht="11.25" customHeight="1" x14ac:dyDescent="0.2">
      <c r="A2137" s="924" t="s">
        <v>853</v>
      </c>
      <c r="B2137" s="924" t="s">
        <v>797</v>
      </c>
      <c r="C2137" s="924" t="s">
        <v>1183</v>
      </c>
      <c r="D2137" s="924" t="s">
        <v>1176</v>
      </c>
      <c r="E2137" s="924" t="s">
        <v>856</v>
      </c>
      <c r="F2137" s="924" t="s">
        <v>996</v>
      </c>
      <c r="G2137" s="924" t="s">
        <v>911</v>
      </c>
      <c r="H2137" s="924" t="s">
        <v>665</v>
      </c>
      <c r="I2137" s="924" t="s">
        <v>834</v>
      </c>
      <c r="J2137" s="924" t="s">
        <v>706</v>
      </c>
      <c r="K2137" s="924" t="s">
        <v>993</v>
      </c>
      <c r="L2137" s="925">
        <v>0.56242828583344795</v>
      </c>
      <c r="M2137" s="925">
        <v>6.9730198411832603E-5</v>
      </c>
    </row>
    <row r="2138" spans="1:13" ht="11.25" customHeight="1" x14ac:dyDescent="0.2">
      <c r="A2138" s="924" t="s">
        <v>853</v>
      </c>
      <c r="B2138" s="924" t="s">
        <v>797</v>
      </c>
      <c r="C2138" s="924" t="s">
        <v>1183</v>
      </c>
      <c r="D2138" s="924" t="s">
        <v>1176</v>
      </c>
      <c r="E2138" s="924" t="s">
        <v>856</v>
      </c>
      <c r="F2138" s="924" t="s">
        <v>1030</v>
      </c>
      <c r="G2138" s="924" t="s">
        <v>858</v>
      </c>
      <c r="H2138" s="924" t="s">
        <v>836</v>
      </c>
      <c r="I2138" s="924" t="s">
        <v>837</v>
      </c>
      <c r="J2138" s="924" t="s">
        <v>940</v>
      </c>
      <c r="K2138" s="924" t="s">
        <v>941</v>
      </c>
      <c r="L2138" s="925">
        <v>2780.6207237243698</v>
      </c>
      <c r="M2138" s="925">
        <v>5.2232741292300502E-2</v>
      </c>
    </row>
    <row r="2139" spans="1:13" ht="11.25" customHeight="1" x14ac:dyDescent="0.2">
      <c r="A2139" s="924" t="s">
        <v>853</v>
      </c>
      <c r="B2139" s="924" t="s">
        <v>797</v>
      </c>
      <c r="C2139" s="924" t="s">
        <v>1183</v>
      </c>
      <c r="D2139" s="924" t="s">
        <v>1176</v>
      </c>
      <c r="E2139" s="924" t="s">
        <v>856</v>
      </c>
      <c r="F2139" s="924" t="s">
        <v>906</v>
      </c>
      <c r="G2139" s="924" t="s">
        <v>858</v>
      </c>
      <c r="H2139" s="924" t="s">
        <v>836</v>
      </c>
      <c r="I2139" s="924" t="s">
        <v>837</v>
      </c>
      <c r="J2139" s="924" t="s">
        <v>859</v>
      </c>
      <c r="K2139" s="924" t="s">
        <v>907</v>
      </c>
      <c r="L2139" s="925">
        <v>4258.29540252686</v>
      </c>
      <c r="M2139" s="925">
        <v>2.8349471849651298E-2</v>
      </c>
    </row>
    <row r="2140" spans="1:13" ht="11.25" customHeight="1" x14ac:dyDescent="0.2">
      <c r="A2140" s="924" t="s">
        <v>853</v>
      </c>
      <c r="B2140" s="924" t="s">
        <v>797</v>
      </c>
      <c r="C2140" s="924" t="s">
        <v>1183</v>
      </c>
      <c r="D2140" s="924" t="s">
        <v>1176</v>
      </c>
      <c r="E2140" s="924" t="s">
        <v>856</v>
      </c>
      <c r="F2140" s="924" t="s">
        <v>908</v>
      </c>
      <c r="G2140" s="924" t="s">
        <v>858</v>
      </c>
      <c r="H2140" s="924" t="s">
        <v>836</v>
      </c>
      <c r="I2140" s="924" t="s">
        <v>837</v>
      </c>
      <c r="J2140" s="924" t="s">
        <v>859</v>
      </c>
      <c r="K2140" s="924" t="s">
        <v>909</v>
      </c>
      <c r="L2140" s="925">
        <v>35.427325874567003</v>
      </c>
      <c r="M2140" s="925">
        <v>7.4150713616916197E-4</v>
      </c>
    </row>
    <row r="2141" spans="1:13" ht="11.25" customHeight="1" x14ac:dyDescent="0.2">
      <c r="A2141" s="924" t="s">
        <v>853</v>
      </c>
      <c r="B2141" s="924" t="s">
        <v>797</v>
      </c>
      <c r="C2141" s="924" t="s">
        <v>1183</v>
      </c>
      <c r="D2141" s="924" t="s">
        <v>1176</v>
      </c>
      <c r="E2141" s="924" t="s">
        <v>856</v>
      </c>
      <c r="F2141" s="924" t="s">
        <v>1037</v>
      </c>
      <c r="G2141" s="924" t="s">
        <v>858</v>
      </c>
      <c r="H2141" s="924" t="s">
        <v>836</v>
      </c>
      <c r="I2141" s="924" t="s">
        <v>837</v>
      </c>
      <c r="J2141" s="924" t="s">
        <v>859</v>
      </c>
      <c r="K2141" s="924" t="s">
        <v>918</v>
      </c>
      <c r="L2141" s="925">
        <v>973.56687068939198</v>
      </c>
      <c r="M2141" s="925">
        <v>9.4220203186523594E-3</v>
      </c>
    </row>
    <row r="2142" spans="1:13" ht="11.25" customHeight="1" x14ac:dyDescent="0.2">
      <c r="A2142" s="924" t="s">
        <v>853</v>
      </c>
      <c r="B2142" s="924" t="s">
        <v>797</v>
      </c>
      <c r="C2142" s="924" t="s">
        <v>1183</v>
      </c>
      <c r="D2142" s="924" t="s">
        <v>1176</v>
      </c>
      <c r="E2142" s="924" t="s">
        <v>856</v>
      </c>
      <c r="F2142" s="924" t="s">
        <v>886</v>
      </c>
      <c r="G2142" s="924" t="s">
        <v>858</v>
      </c>
      <c r="H2142" s="924" t="s">
        <v>836</v>
      </c>
      <c r="I2142" s="924" t="s">
        <v>837</v>
      </c>
      <c r="J2142" s="924" t="s">
        <v>859</v>
      </c>
      <c r="K2142" s="924" t="s">
        <v>887</v>
      </c>
      <c r="L2142" s="925">
        <v>1059.4961462020899</v>
      </c>
      <c r="M2142" s="925">
        <v>7.8412774095113508E-3</v>
      </c>
    </row>
    <row r="2143" spans="1:13" ht="11.25" customHeight="1" x14ac:dyDescent="0.2">
      <c r="A2143" s="924" t="s">
        <v>853</v>
      </c>
      <c r="B2143" s="924" t="s">
        <v>797</v>
      </c>
      <c r="C2143" s="924" t="s">
        <v>1183</v>
      </c>
      <c r="D2143" s="924" t="s">
        <v>1176</v>
      </c>
      <c r="E2143" s="924" t="s">
        <v>856</v>
      </c>
      <c r="F2143" s="924" t="s">
        <v>1071</v>
      </c>
      <c r="G2143" s="924" t="s">
        <v>858</v>
      </c>
      <c r="H2143" s="924" t="s">
        <v>836</v>
      </c>
      <c r="I2143" s="924" t="s">
        <v>837</v>
      </c>
      <c r="J2143" s="924" t="s">
        <v>859</v>
      </c>
      <c r="K2143" s="924" t="s">
        <v>1072</v>
      </c>
      <c r="L2143" s="925">
        <v>3644.4014816284198</v>
      </c>
      <c r="M2143" s="925">
        <v>3.2412215865406303E-2</v>
      </c>
    </row>
    <row r="2144" spans="1:13" ht="11.25" customHeight="1" x14ac:dyDescent="0.2">
      <c r="A2144" s="924" t="s">
        <v>853</v>
      </c>
      <c r="B2144" s="924" t="s">
        <v>797</v>
      </c>
      <c r="C2144" s="924" t="s">
        <v>1183</v>
      </c>
      <c r="D2144" s="924" t="s">
        <v>1176</v>
      </c>
      <c r="E2144" s="924" t="s">
        <v>856</v>
      </c>
      <c r="F2144" s="924" t="s">
        <v>953</v>
      </c>
      <c r="G2144" s="924" t="s">
        <v>858</v>
      </c>
      <c r="H2144" s="924" t="s">
        <v>836</v>
      </c>
      <c r="I2144" s="924" t="s">
        <v>837</v>
      </c>
      <c r="J2144" s="924" t="s">
        <v>859</v>
      </c>
      <c r="K2144" s="924" t="s">
        <v>920</v>
      </c>
      <c r="L2144" s="925">
        <v>171.43225908279399</v>
      </c>
      <c r="M2144" s="925">
        <v>2.2112626938337598E-3</v>
      </c>
    </row>
    <row r="2145" spans="1:13" ht="11.25" customHeight="1" x14ac:dyDescent="0.2">
      <c r="A2145" s="924" t="s">
        <v>853</v>
      </c>
      <c r="B2145" s="924" t="s">
        <v>797</v>
      </c>
      <c r="C2145" s="924" t="s">
        <v>1183</v>
      </c>
      <c r="D2145" s="924" t="s">
        <v>1176</v>
      </c>
      <c r="E2145" s="924" t="s">
        <v>856</v>
      </c>
      <c r="F2145" s="924" t="s">
        <v>1002</v>
      </c>
      <c r="G2145" s="924" t="s">
        <v>858</v>
      </c>
      <c r="H2145" s="924" t="s">
        <v>836</v>
      </c>
      <c r="I2145" s="924" t="s">
        <v>837</v>
      </c>
      <c r="J2145" s="924" t="s">
        <v>859</v>
      </c>
      <c r="K2145" s="924" t="s">
        <v>922</v>
      </c>
      <c r="L2145" s="925">
        <v>1363.38991165161</v>
      </c>
      <c r="M2145" s="925">
        <v>1.55876884664394E-2</v>
      </c>
    </row>
    <row r="2146" spans="1:13" ht="11.25" customHeight="1" x14ac:dyDescent="0.2">
      <c r="A2146" s="924" t="s">
        <v>853</v>
      </c>
      <c r="B2146" s="924" t="s">
        <v>797</v>
      </c>
      <c r="C2146" s="924" t="s">
        <v>1183</v>
      </c>
      <c r="D2146" s="924" t="s">
        <v>1176</v>
      </c>
      <c r="E2146" s="924" t="s">
        <v>856</v>
      </c>
      <c r="F2146" s="924" t="s">
        <v>1003</v>
      </c>
      <c r="G2146" s="924" t="s">
        <v>858</v>
      </c>
      <c r="H2146" s="924" t="s">
        <v>836</v>
      </c>
      <c r="I2146" s="924" t="s">
        <v>837</v>
      </c>
      <c r="J2146" s="924" t="s">
        <v>859</v>
      </c>
      <c r="K2146" s="924" t="s">
        <v>924</v>
      </c>
      <c r="L2146" s="925">
        <v>4635.5426177978497</v>
      </c>
      <c r="M2146" s="925">
        <v>4.4212841486114499E-2</v>
      </c>
    </row>
    <row r="2147" spans="1:13" ht="11.25" customHeight="1" x14ac:dyDescent="0.2">
      <c r="A2147" s="924" t="s">
        <v>853</v>
      </c>
      <c r="B2147" s="924" t="s">
        <v>797</v>
      </c>
      <c r="C2147" s="924" t="s">
        <v>1183</v>
      </c>
      <c r="D2147" s="924" t="s">
        <v>1176</v>
      </c>
      <c r="E2147" s="924" t="s">
        <v>856</v>
      </c>
      <c r="F2147" s="924" t="s">
        <v>1004</v>
      </c>
      <c r="G2147" s="924" t="s">
        <v>858</v>
      </c>
      <c r="H2147" s="924" t="s">
        <v>836</v>
      </c>
      <c r="I2147" s="924" t="s">
        <v>837</v>
      </c>
      <c r="J2147" s="924" t="s">
        <v>859</v>
      </c>
      <c r="K2147" s="924" t="s">
        <v>926</v>
      </c>
      <c r="L2147" s="925">
        <v>2809.3087577819801</v>
      </c>
      <c r="M2147" s="925">
        <v>0.114641467291221</v>
      </c>
    </row>
    <row r="2148" spans="1:13" ht="11.25" customHeight="1" x14ac:dyDescent="0.2">
      <c r="A2148" s="924" t="s">
        <v>853</v>
      </c>
      <c r="B2148" s="924" t="s">
        <v>797</v>
      </c>
      <c r="C2148" s="924" t="s">
        <v>1183</v>
      </c>
      <c r="D2148" s="924" t="s">
        <v>1176</v>
      </c>
      <c r="E2148" s="924" t="s">
        <v>856</v>
      </c>
      <c r="F2148" s="924" t="s">
        <v>1005</v>
      </c>
      <c r="G2148" s="924" t="s">
        <v>858</v>
      </c>
      <c r="H2148" s="924" t="s">
        <v>836</v>
      </c>
      <c r="I2148" s="924" t="s">
        <v>837</v>
      </c>
      <c r="J2148" s="924" t="s">
        <v>859</v>
      </c>
      <c r="K2148" s="924" t="s">
        <v>1006</v>
      </c>
      <c r="L2148" s="925">
        <v>4240.0657539367703</v>
      </c>
      <c r="M2148" s="925">
        <v>3.2841466481386299E-2</v>
      </c>
    </row>
    <row r="2149" spans="1:13" ht="11.25" customHeight="1" x14ac:dyDescent="0.2">
      <c r="A2149" s="924" t="s">
        <v>853</v>
      </c>
      <c r="B2149" s="924" t="s">
        <v>797</v>
      </c>
      <c r="C2149" s="924" t="s">
        <v>1183</v>
      </c>
      <c r="D2149" s="924" t="s">
        <v>1176</v>
      </c>
      <c r="E2149" s="924" t="s">
        <v>856</v>
      </c>
      <c r="F2149" s="924" t="s">
        <v>1020</v>
      </c>
      <c r="G2149" s="924" t="s">
        <v>858</v>
      </c>
      <c r="H2149" s="924" t="s">
        <v>836</v>
      </c>
      <c r="I2149" s="924" t="s">
        <v>837</v>
      </c>
      <c r="J2149" s="924" t="s">
        <v>863</v>
      </c>
      <c r="K2149" s="924" t="s">
        <v>866</v>
      </c>
      <c r="L2149" s="925">
        <v>4210.7479095459003</v>
      </c>
      <c r="M2149" s="925">
        <v>0.102205680075713</v>
      </c>
    </row>
    <row r="2150" spans="1:13" ht="11.25" customHeight="1" x14ac:dyDescent="0.2">
      <c r="A2150" s="924" t="s">
        <v>853</v>
      </c>
      <c r="B2150" s="924" t="s">
        <v>797</v>
      </c>
      <c r="C2150" s="924" t="s">
        <v>1183</v>
      </c>
      <c r="D2150" s="924" t="s">
        <v>1176</v>
      </c>
      <c r="E2150" s="924" t="s">
        <v>856</v>
      </c>
      <c r="F2150" s="924" t="s">
        <v>1022</v>
      </c>
      <c r="G2150" s="924" t="s">
        <v>858</v>
      </c>
      <c r="H2150" s="924" t="s">
        <v>836</v>
      </c>
      <c r="I2150" s="924" t="s">
        <v>837</v>
      </c>
      <c r="J2150" s="924" t="s">
        <v>940</v>
      </c>
      <c r="K2150" s="924" t="s">
        <v>1023</v>
      </c>
      <c r="L2150" s="925">
        <v>0.29101127455942299</v>
      </c>
      <c r="M2150" s="925">
        <v>1.30719552057235E-5</v>
      </c>
    </row>
    <row r="2151" spans="1:13" ht="11.25" customHeight="1" x14ac:dyDescent="0.2">
      <c r="A2151" s="924" t="s">
        <v>853</v>
      </c>
      <c r="B2151" s="924" t="s">
        <v>797</v>
      </c>
      <c r="C2151" s="924" t="s">
        <v>1183</v>
      </c>
      <c r="D2151" s="924" t="s">
        <v>1176</v>
      </c>
      <c r="E2151" s="924" t="s">
        <v>856</v>
      </c>
      <c r="F2151" s="924" t="s">
        <v>1007</v>
      </c>
      <c r="G2151" s="924" t="s">
        <v>858</v>
      </c>
      <c r="H2151" s="924" t="s">
        <v>836</v>
      </c>
      <c r="I2151" s="924" t="s">
        <v>837</v>
      </c>
      <c r="J2151" s="924" t="s">
        <v>859</v>
      </c>
      <c r="K2151" s="924" t="s">
        <v>928</v>
      </c>
      <c r="L2151" s="925">
        <v>1952.06164360046</v>
      </c>
      <c r="M2151" s="925">
        <v>8.5120542373260805E-2</v>
      </c>
    </row>
    <row r="2152" spans="1:13" ht="11.25" customHeight="1" x14ac:dyDescent="0.2">
      <c r="A2152" s="924" t="s">
        <v>853</v>
      </c>
      <c r="B2152" s="924" t="s">
        <v>797</v>
      </c>
      <c r="C2152" s="924" t="s">
        <v>1183</v>
      </c>
      <c r="D2152" s="924" t="s">
        <v>1176</v>
      </c>
      <c r="E2152" s="924" t="s">
        <v>856</v>
      </c>
      <c r="F2152" s="924" t="s">
        <v>1024</v>
      </c>
      <c r="G2152" s="924" t="s">
        <v>858</v>
      </c>
      <c r="H2152" s="924" t="s">
        <v>836</v>
      </c>
      <c r="I2152" s="924" t="s">
        <v>837</v>
      </c>
      <c r="J2152" s="924" t="s">
        <v>940</v>
      </c>
      <c r="K2152" s="924" t="s">
        <v>1025</v>
      </c>
      <c r="L2152" s="925">
        <v>77.276525020599394</v>
      </c>
      <c r="M2152" s="925">
        <v>1.27120100933098E-3</v>
      </c>
    </row>
    <row r="2153" spans="1:13" ht="11.25" customHeight="1" x14ac:dyDescent="0.2">
      <c r="A2153" s="924" t="s">
        <v>853</v>
      </c>
      <c r="B2153" s="924" t="s">
        <v>797</v>
      </c>
      <c r="C2153" s="924" t="s">
        <v>1183</v>
      </c>
      <c r="D2153" s="924" t="s">
        <v>1176</v>
      </c>
      <c r="E2153" s="924" t="s">
        <v>856</v>
      </c>
      <c r="F2153" s="924" t="s">
        <v>1026</v>
      </c>
      <c r="G2153" s="924" t="s">
        <v>858</v>
      </c>
      <c r="H2153" s="924" t="s">
        <v>836</v>
      </c>
      <c r="I2153" s="924" t="s">
        <v>837</v>
      </c>
      <c r="J2153" s="924" t="s">
        <v>940</v>
      </c>
      <c r="K2153" s="924" t="s">
        <v>1027</v>
      </c>
      <c r="L2153" s="925">
        <v>2039.7456655502299</v>
      </c>
      <c r="M2153" s="925">
        <v>8.6089840162799205E-2</v>
      </c>
    </row>
    <row r="2154" spans="1:13" ht="11.25" customHeight="1" x14ac:dyDescent="0.2">
      <c r="A2154" s="924" t="s">
        <v>853</v>
      </c>
      <c r="B2154" s="924" t="s">
        <v>797</v>
      </c>
      <c r="C2154" s="924" t="s">
        <v>1183</v>
      </c>
      <c r="D2154" s="924" t="s">
        <v>1176</v>
      </c>
      <c r="E2154" s="924" t="s">
        <v>856</v>
      </c>
      <c r="F2154" s="924" t="s">
        <v>1001</v>
      </c>
      <c r="G2154" s="924" t="s">
        <v>858</v>
      </c>
      <c r="H2154" s="924" t="s">
        <v>836</v>
      </c>
      <c r="I2154" s="924" t="s">
        <v>837</v>
      </c>
      <c r="J2154" s="924" t="s">
        <v>863</v>
      </c>
      <c r="K2154" s="924" t="s">
        <v>915</v>
      </c>
      <c r="L2154" s="925">
        <v>46.158091843128197</v>
      </c>
      <c r="M2154" s="925">
        <v>1.4103265309586301E-3</v>
      </c>
    </row>
    <row r="2155" spans="1:13" ht="11.25" customHeight="1" x14ac:dyDescent="0.2">
      <c r="A2155" s="924" t="s">
        <v>853</v>
      </c>
      <c r="B2155" s="924" t="s">
        <v>797</v>
      </c>
      <c r="C2155" s="924" t="s">
        <v>1183</v>
      </c>
      <c r="D2155" s="924" t="s">
        <v>1176</v>
      </c>
      <c r="E2155" s="924" t="s">
        <v>856</v>
      </c>
      <c r="F2155" s="924" t="s">
        <v>1028</v>
      </c>
      <c r="G2155" s="924" t="s">
        <v>858</v>
      </c>
      <c r="H2155" s="924" t="s">
        <v>836</v>
      </c>
      <c r="I2155" s="924" t="s">
        <v>837</v>
      </c>
      <c r="J2155" s="924" t="s">
        <v>940</v>
      </c>
      <c r="K2155" s="924" t="s">
        <v>1029</v>
      </c>
      <c r="L2155" s="925">
        <v>421.00354278087599</v>
      </c>
      <c r="M2155" s="925">
        <v>2.28369788097069E-2</v>
      </c>
    </row>
    <row r="2156" spans="1:13" ht="11.25" customHeight="1" x14ac:dyDescent="0.2">
      <c r="A2156" s="924" t="s">
        <v>853</v>
      </c>
      <c r="B2156" s="924" t="s">
        <v>797</v>
      </c>
      <c r="C2156" s="924" t="s">
        <v>1183</v>
      </c>
      <c r="D2156" s="924" t="s">
        <v>1176</v>
      </c>
      <c r="E2156" s="924" t="s">
        <v>856</v>
      </c>
      <c r="F2156" s="924" t="s">
        <v>1017</v>
      </c>
      <c r="G2156" s="924" t="s">
        <v>858</v>
      </c>
      <c r="H2156" s="924" t="s">
        <v>836</v>
      </c>
      <c r="I2156" s="924" t="s">
        <v>837</v>
      </c>
      <c r="J2156" s="924" t="s">
        <v>863</v>
      </c>
      <c r="K2156" s="924" t="s">
        <v>864</v>
      </c>
      <c r="L2156" s="925">
        <v>1195.9410820007299</v>
      </c>
      <c r="M2156" s="925">
        <v>1.6219339969666201E-2</v>
      </c>
    </row>
    <row r="2157" spans="1:13" ht="11.25" customHeight="1" x14ac:dyDescent="0.2">
      <c r="A2157" s="924" t="s">
        <v>853</v>
      </c>
      <c r="B2157" s="924" t="s">
        <v>797</v>
      </c>
      <c r="C2157" s="924" t="s">
        <v>1183</v>
      </c>
      <c r="D2157" s="924" t="s">
        <v>1176</v>
      </c>
      <c r="E2157" s="924" t="s">
        <v>856</v>
      </c>
      <c r="F2157" s="924" t="s">
        <v>1014</v>
      </c>
      <c r="G2157" s="924" t="s">
        <v>858</v>
      </c>
      <c r="H2157" s="924" t="s">
        <v>836</v>
      </c>
      <c r="I2157" s="924" t="s">
        <v>837</v>
      </c>
      <c r="J2157" s="924" t="s">
        <v>863</v>
      </c>
      <c r="K2157" s="924" t="s">
        <v>933</v>
      </c>
      <c r="L2157" s="925">
        <v>2699.6680793762198</v>
      </c>
      <c r="M2157" s="925">
        <v>1.9112419302814501E-2</v>
      </c>
    </row>
    <row r="2158" spans="1:13" ht="11.25" customHeight="1" x14ac:dyDescent="0.2">
      <c r="A2158" s="924" t="s">
        <v>853</v>
      </c>
      <c r="B2158" s="924" t="s">
        <v>797</v>
      </c>
      <c r="C2158" s="924" t="s">
        <v>1183</v>
      </c>
      <c r="D2158" s="924" t="s">
        <v>1176</v>
      </c>
      <c r="E2158" s="924" t="s">
        <v>856</v>
      </c>
      <c r="F2158" s="924" t="s">
        <v>1008</v>
      </c>
      <c r="G2158" s="924" t="s">
        <v>858</v>
      </c>
      <c r="H2158" s="924" t="s">
        <v>836</v>
      </c>
      <c r="I2158" s="924" t="s">
        <v>837</v>
      </c>
      <c r="J2158" s="924" t="s">
        <v>859</v>
      </c>
      <c r="K2158" s="924" t="s">
        <v>1009</v>
      </c>
      <c r="L2158" s="925">
        <v>455.06573009491001</v>
      </c>
      <c r="M2158" s="925">
        <v>3.7072801537192399E-3</v>
      </c>
    </row>
    <row r="2159" spans="1:13" ht="11.25" customHeight="1" x14ac:dyDescent="0.2">
      <c r="A2159" s="924" t="s">
        <v>853</v>
      </c>
      <c r="B2159" s="924" t="s">
        <v>797</v>
      </c>
      <c r="C2159" s="924" t="s">
        <v>1183</v>
      </c>
      <c r="D2159" s="924" t="s">
        <v>1176</v>
      </c>
      <c r="E2159" s="924" t="s">
        <v>856</v>
      </c>
      <c r="F2159" s="924" t="s">
        <v>1013</v>
      </c>
      <c r="G2159" s="924" t="s">
        <v>858</v>
      </c>
      <c r="H2159" s="924" t="s">
        <v>836</v>
      </c>
      <c r="I2159" s="924" t="s">
        <v>837</v>
      </c>
      <c r="J2159" s="924" t="s">
        <v>863</v>
      </c>
      <c r="K2159" s="924" t="s">
        <v>931</v>
      </c>
      <c r="L2159" s="925">
        <v>186.34904813766499</v>
      </c>
      <c r="M2159" s="925">
        <v>6.8117322979332996E-3</v>
      </c>
    </row>
    <row r="2160" spans="1:13" ht="11.25" customHeight="1" x14ac:dyDescent="0.2">
      <c r="A2160" s="924" t="s">
        <v>853</v>
      </c>
      <c r="B2160" s="924" t="s">
        <v>797</v>
      </c>
      <c r="C2160" s="924" t="s">
        <v>1183</v>
      </c>
      <c r="D2160" s="924" t="s">
        <v>1176</v>
      </c>
      <c r="E2160" s="924" t="s">
        <v>856</v>
      </c>
      <c r="F2160" s="924" t="s">
        <v>1012</v>
      </c>
      <c r="G2160" s="924" t="s">
        <v>858</v>
      </c>
      <c r="H2160" s="924" t="s">
        <v>836</v>
      </c>
      <c r="I2160" s="924" t="s">
        <v>837</v>
      </c>
      <c r="J2160" s="924" t="s">
        <v>859</v>
      </c>
      <c r="K2160" s="924" t="s">
        <v>891</v>
      </c>
      <c r="L2160" s="925">
        <v>437.69213914871199</v>
      </c>
      <c r="M2160" s="925">
        <v>5.8012813318555302E-3</v>
      </c>
    </row>
    <row r="2161" spans="1:13" ht="11.25" customHeight="1" x14ac:dyDescent="0.2">
      <c r="A2161" s="924" t="s">
        <v>853</v>
      </c>
      <c r="B2161" s="924" t="s">
        <v>797</v>
      </c>
      <c r="C2161" s="924" t="s">
        <v>1183</v>
      </c>
      <c r="D2161" s="924" t="s">
        <v>1176</v>
      </c>
      <c r="E2161" s="924" t="s">
        <v>856</v>
      </c>
      <c r="F2161" s="924" t="s">
        <v>1038</v>
      </c>
      <c r="G2161" s="924" t="s">
        <v>858</v>
      </c>
      <c r="H2161" s="924" t="s">
        <v>836</v>
      </c>
      <c r="I2161" s="924" t="s">
        <v>837</v>
      </c>
      <c r="J2161" s="924" t="s">
        <v>863</v>
      </c>
      <c r="K2161" s="924" t="s">
        <v>935</v>
      </c>
      <c r="L2161" s="925">
        <v>1179.26123428345</v>
      </c>
      <c r="M2161" s="925">
        <v>1.2762977633201399E-2</v>
      </c>
    </row>
    <row r="2162" spans="1:13" ht="11.25" customHeight="1" x14ac:dyDescent="0.2">
      <c r="A2162" s="924" t="s">
        <v>853</v>
      </c>
      <c r="B2162" s="924" t="s">
        <v>797</v>
      </c>
      <c r="C2162" s="924" t="s">
        <v>1183</v>
      </c>
      <c r="D2162" s="924" t="s">
        <v>1176</v>
      </c>
      <c r="E2162" s="924" t="s">
        <v>856</v>
      </c>
      <c r="F2162" s="924" t="s">
        <v>1021</v>
      </c>
      <c r="G2162" s="924" t="s">
        <v>858</v>
      </c>
      <c r="H2162" s="924" t="s">
        <v>836</v>
      </c>
      <c r="I2162" s="924" t="s">
        <v>837</v>
      </c>
      <c r="J2162" s="924" t="s">
        <v>863</v>
      </c>
      <c r="K2162" s="924" t="s">
        <v>868</v>
      </c>
      <c r="L2162" s="925">
        <v>1701.46486854553</v>
      </c>
      <c r="M2162" s="925">
        <v>9.1456761285826395E-3</v>
      </c>
    </row>
    <row r="2163" spans="1:13" ht="11.25" customHeight="1" x14ac:dyDescent="0.2">
      <c r="A2163" s="924" t="s">
        <v>853</v>
      </c>
      <c r="B2163" s="924" t="s">
        <v>797</v>
      </c>
      <c r="C2163" s="924" t="s">
        <v>1183</v>
      </c>
      <c r="D2163" s="924" t="s">
        <v>1176</v>
      </c>
      <c r="E2163" s="924" t="s">
        <v>856</v>
      </c>
      <c r="F2163" s="924" t="s">
        <v>1010</v>
      </c>
      <c r="G2163" s="924" t="s">
        <v>858</v>
      </c>
      <c r="H2163" s="924" t="s">
        <v>836</v>
      </c>
      <c r="I2163" s="924" t="s">
        <v>837</v>
      </c>
      <c r="J2163" s="924" t="s">
        <v>859</v>
      </c>
      <c r="K2163" s="924" t="s">
        <v>1011</v>
      </c>
      <c r="L2163" s="925">
        <v>5.9723874479532197</v>
      </c>
      <c r="M2163" s="925">
        <v>2.7481511056493002E-4</v>
      </c>
    </row>
    <row r="2164" spans="1:13" ht="11.25" customHeight="1" x14ac:dyDescent="0.2">
      <c r="A2164" s="924" t="s">
        <v>853</v>
      </c>
      <c r="B2164" s="924" t="s">
        <v>798</v>
      </c>
      <c r="C2164" s="924" t="s">
        <v>1184</v>
      </c>
      <c r="D2164" s="924" t="s">
        <v>855</v>
      </c>
      <c r="E2164" s="924" t="s">
        <v>856</v>
      </c>
      <c r="F2164" s="924" t="s">
        <v>974</v>
      </c>
      <c r="G2164" s="924" t="s">
        <v>858</v>
      </c>
      <c r="H2164" s="924" t="s">
        <v>836</v>
      </c>
      <c r="I2164" s="924" t="s">
        <v>837</v>
      </c>
      <c r="J2164" s="924" t="s">
        <v>875</v>
      </c>
      <c r="K2164" s="924" t="s">
        <v>952</v>
      </c>
      <c r="L2164" s="925">
        <v>6.8660455942153904</v>
      </c>
      <c r="M2164" s="925">
        <v>1.5512715246224199E-4</v>
      </c>
    </row>
    <row r="2165" spans="1:13" ht="11.25" customHeight="1" x14ac:dyDescent="0.2">
      <c r="A2165" s="924" t="s">
        <v>853</v>
      </c>
      <c r="B2165" s="924" t="s">
        <v>798</v>
      </c>
      <c r="C2165" s="924" t="s">
        <v>1184</v>
      </c>
      <c r="D2165" s="924" t="s">
        <v>855</v>
      </c>
      <c r="E2165" s="924" t="s">
        <v>856</v>
      </c>
      <c r="F2165" s="924" t="s">
        <v>967</v>
      </c>
      <c r="G2165" s="924" t="s">
        <v>858</v>
      </c>
      <c r="H2165" s="924" t="s">
        <v>836</v>
      </c>
      <c r="I2165" s="924" t="s">
        <v>837</v>
      </c>
      <c r="J2165" s="924" t="s">
        <v>870</v>
      </c>
      <c r="K2165" s="924" t="s">
        <v>873</v>
      </c>
      <c r="L2165" s="925">
        <v>29.798851184546901</v>
      </c>
      <c r="M2165" s="925">
        <v>5.0342628197164196E-4</v>
      </c>
    </row>
    <row r="2166" spans="1:13" ht="11.25" customHeight="1" x14ac:dyDescent="0.2">
      <c r="A2166" s="924" t="s">
        <v>853</v>
      </c>
      <c r="B2166" s="924" t="s">
        <v>798</v>
      </c>
      <c r="C2166" s="924" t="s">
        <v>1184</v>
      </c>
      <c r="D2166" s="924" t="s">
        <v>855</v>
      </c>
      <c r="E2166" s="924" t="s">
        <v>856</v>
      </c>
      <c r="F2166" s="924" t="s">
        <v>968</v>
      </c>
      <c r="G2166" s="924" t="s">
        <v>858</v>
      </c>
      <c r="H2166" s="924" t="s">
        <v>836</v>
      </c>
      <c r="I2166" s="924" t="s">
        <v>837</v>
      </c>
      <c r="J2166" s="924" t="s">
        <v>875</v>
      </c>
      <c r="K2166" s="924" t="s">
        <v>876</v>
      </c>
      <c r="L2166" s="925">
        <v>242.642803430557</v>
      </c>
      <c r="M2166" s="925">
        <v>6.5038009794307098E-3</v>
      </c>
    </row>
    <row r="2167" spans="1:13" ht="11.25" customHeight="1" x14ac:dyDescent="0.2">
      <c r="A2167" s="924" t="s">
        <v>853</v>
      </c>
      <c r="B2167" s="924" t="s">
        <v>798</v>
      </c>
      <c r="C2167" s="924" t="s">
        <v>1184</v>
      </c>
      <c r="D2167" s="924" t="s">
        <v>855</v>
      </c>
      <c r="E2167" s="924" t="s">
        <v>856</v>
      </c>
      <c r="F2167" s="924" t="s">
        <v>969</v>
      </c>
      <c r="G2167" s="924" t="s">
        <v>858</v>
      </c>
      <c r="H2167" s="924" t="s">
        <v>836</v>
      </c>
      <c r="I2167" s="924" t="s">
        <v>837</v>
      </c>
      <c r="J2167" s="924" t="s">
        <v>875</v>
      </c>
      <c r="K2167" s="924" t="s">
        <v>878</v>
      </c>
      <c r="L2167" s="925">
        <v>57.267024278640697</v>
      </c>
      <c r="M2167" s="925">
        <v>1.5169689223455401E-3</v>
      </c>
    </row>
    <row r="2168" spans="1:13" ht="11.25" customHeight="1" x14ac:dyDescent="0.2">
      <c r="A2168" s="924" t="s">
        <v>853</v>
      </c>
      <c r="B2168" s="924" t="s">
        <v>798</v>
      </c>
      <c r="C2168" s="924" t="s">
        <v>1184</v>
      </c>
      <c r="D2168" s="924" t="s">
        <v>855</v>
      </c>
      <c r="E2168" s="924" t="s">
        <v>856</v>
      </c>
      <c r="F2168" s="924" t="s">
        <v>970</v>
      </c>
      <c r="G2168" s="924" t="s">
        <v>858</v>
      </c>
      <c r="H2168" s="924" t="s">
        <v>836</v>
      </c>
      <c r="I2168" s="924" t="s">
        <v>837</v>
      </c>
      <c r="J2168" s="924" t="s">
        <v>875</v>
      </c>
      <c r="K2168" s="924" t="s">
        <v>880</v>
      </c>
      <c r="L2168" s="925">
        <v>158.864574670792</v>
      </c>
      <c r="M2168" s="925">
        <v>3.0870142572325698E-3</v>
      </c>
    </row>
    <row r="2169" spans="1:13" ht="11.25" customHeight="1" x14ac:dyDescent="0.2">
      <c r="A2169" s="924" t="s">
        <v>853</v>
      </c>
      <c r="B2169" s="924" t="s">
        <v>798</v>
      </c>
      <c r="C2169" s="924" t="s">
        <v>1184</v>
      </c>
      <c r="D2169" s="924" t="s">
        <v>855</v>
      </c>
      <c r="E2169" s="924" t="s">
        <v>856</v>
      </c>
      <c r="F2169" s="924" t="s">
        <v>1000</v>
      </c>
      <c r="G2169" s="924" t="s">
        <v>858</v>
      </c>
      <c r="H2169" s="924" t="s">
        <v>836</v>
      </c>
      <c r="I2169" s="924" t="s">
        <v>837</v>
      </c>
      <c r="J2169" s="924" t="s">
        <v>875</v>
      </c>
      <c r="K2169" s="924" t="s">
        <v>950</v>
      </c>
      <c r="L2169" s="925">
        <v>7.7588893398642496</v>
      </c>
      <c r="M2169" s="925">
        <v>1.8224821091905599E-4</v>
      </c>
    </row>
    <row r="2170" spans="1:13" ht="11.25" customHeight="1" x14ac:dyDescent="0.2">
      <c r="A2170" s="924" t="s">
        <v>853</v>
      </c>
      <c r="B2170" s="924" t="s">
        <v>798</v>
      </c>
      <c r="C2170" s="924" t="s">
        <v>1184</v>
      </c>
      <c r="D2170" s="924" t="s">
        <v>855</v>
      </c>
      <c r="E2170" s="924" t="s">
        <v>856</v>
      </c>
      <c r="F2170" s="924" t="s">
        <v>955</v>
      </c>
      <c r="G2170" s="924" t="s">
        <v>858</v>
      </c>
      <c r="H2170" s="924" t="s">
        <v>836</v>
      </c>
      <c r="I2170" s="924" t="s">
        <v>837</v>
      </c>
      <c r="J2170" s="924" t="s">
        <v>956</v>
      </c>
      <c r="K2170" s="924" t="s">
        <v>957</v>
      </c>
      <c r="L2170" s="925">
        <v>1245.934217453</v>
      </c>
      <c r="M2170" s="925">
        <v>7.15584363172184E-3</v>
      </c>
    </row>
    <row r="2171" spans="1:13" ht="11.25" customHeight="1" x14ac:dyDescent="0.2">
      <c r="A2171" s="924" t="s">
        <v>853</v>
      </c>
      <c r="B2171" s="924" t="s">
        <v>798</v>
      </c>
      <c r="C2171" s="924" t="s">
        <v>1184</v>
      </c>
      <c r="D2171" s="924" t="s">
        <v>855</v>
      </c>
      <c r="E2171" s="924" t="s">
        <v>856</v>
      </c>
      <c r="F2171" s="924" t="s">
        <v>1015</v>
      </c>
      <c r="G2171" s="924" t="s">
        <v>858</v>
      </c>
      <c r="H2171" s="924" t="s">
        <v>836</v>
      </c>
      <c r="I2171" s="924" t="s">
        <v>837</v>
      </c>
      <c r="J2171" s="924" t="s">
        <v>870</v>
      </c>
      <c r="K2171" s="924" t="s">
        <v>1016</v>
      </c>
      <c r="L2171" s="925">
        <v>1.0259727970696999</v>
      </c>
      <c r="M2171" s="925">
        <v>1.2465316367282799E-5</v>
      </c>
    </row>
    <row r="2172" spans="1:13" ht="11.25" customHeight="1" x14ac:dyDescent="0.2">
      <c r="A2172" s="924" t="s">
        <v>853</v>
      </c>
      <c r="B2172" s="924" t="s">
        <v>798</v>
      </c>
      <c r="C2172" s="924" t="s">
        <v>1184</v>
      </c>
      <c r="D2172" s="924" t="s">
        <v>855</v>
      </c>
      <c r="E2172" s="924" t="s">
        <v>856</v>
      </c>
      <c r="F2172" s="924" t="s">
        <v>977</v>
      </c>
      <c r="G2172" s="924" t="s">
        <v>858</v>
      </c>
      <c r="H2172" s="924" t="s">
        <v>836</v>
      </c>
      <c r="I2172" s="924" t="s">
        <v>837</v>
      </c>
      <c r="J2172" s="924" t="s">
        <v>978</v>
      </c>
      <c r="K2172" s="924" t="s">
        <v>979</v>
      </c>
      <c r="L2172" s="925">
        <v>3013.52196884155</v>
      </c>
      <c r="M2172" s="925">
        <v>0.32328485926700501</v>
      </c>
    </row>
    <row r="2173" spans="1:13" ht="11.25" customHeight="1" x14ac:dyDescent="0.2">
      <c r="A2173" s="924" t="s">
        <v>853</v>
      </c>
      <c r="B2173" s="924" t="s">
        <v>798</v>
      </c>
      <c r="C2173" s="924" t="s">
        <v>1184</v>
      </c>
      <c r="D2173" s="924" t="s">
        <v>855</v>
      </c>
      <c r="E2173" s="924" t="s">
        <v>856</v>
      </c>
      <c r="F2173" s="924" t="s">
        <v>980</v>
      </c>
      <c r="G2173" s="924" t="s">
        <v>981</v>
      </c>
      <c r="H2173" s="924" t="s">
        <v>835</v>
      </c>
      <c r="I2173" s="924" t="s">
        <v>839</v>
      </c>
      <c r="J2173" s="924" t="s">
        <v>982</v>
      </c>
      <c r="K2173" s="924" t="s">
        <v>983</v>
      </c>
      <c r="L2173" s="925">
        <v>1016.4063386917099</v>
      </c>
      <c r="M2173" s="925">
        <v>1.1593011468648899</v>
      </c>
    </row>
    <row r="2174" spans="1:13" ht="11.25" customHeight="1" x14ac:dyDescent="0.2">
      <c r="A2174" s="924" t="s">
        <v>853</v>
      </c>
      <c r="B2174" s="924" t="s">
        <v>798</v>
      </c>
      <c r="C2174" s="924" t="s">
        <v>1184</v>
      </c>
      <c r="D2174" s="924" t="s">
        <v>855</v>
      </c>
      <c r="E2174" s="924" t="s">
        <v>856</v>
      </c>
      <c r="F2174" s="924" t="s">
        <v>971</v>
      </c>
      <c r="G2174" s="924" t="s">
        <v>858</v>
      </c>
      <c r="H2174" s="924" t="s">
        <v>836</v>
      </c>
      <c r="I2174" s="924" t="s">
        <v>837</v>
      </c>
      <c r="J2174" s="924" t="s">
        <v>875</v>
      </c>
      <c r="K2174" s="924" t="s">
        <v>948</v>
      </c>
      <c r="L2174" s="925">
        <v>80.736837625503497</v>
      </c>
      <c r="M2174" s="925">
        <v>3.45339258541344E-3</v>
      </c>
    </row>
    <row r="2175" spans="1:13" ht="11.25" customHeight="1" x14ac:dyDescent="0.2">
      <c r="A2175" s="924" t="s">
        <v>853</v>
      </c>
      <c r="B2175" s="924" t="s">
        <v>798</v>
      </c>
      <c r="C2175" s="924" t="s">
        <v>1184</v>
      </c>
      <c r="D2175" s="924" t="s">
        <v>855</v>
      </c>
      <c r="E2175" s="924" t="s">
        <v>856</v>
      </c>
      <c r="F2175" s="924" t="s">
        <v>966</v>
      </c>
      <c r="G2175" s="924" t="s">
        <v>858</v>
      </c>
      <c r="H2175" s="924" t="s">
        <v>836</v>
      </c>
      <c r="I2175" s="924" t="s">
        <v>837</v>
      </c>
      <c r="J2175" s="924" t="s">
        <v>870</v>
      </c>
      <c r="K2175" s="924" t="s">
        <v>871</v>
      </c>
      <c r="L2175" s="925">
        <v>40.431061416864402</v>
      </c>
      <c r="M2175" s="925">
        <v>3.5131300890434098E-4</v>
      </c>
    </row>
    <row r="2176" spans="1:13" ht="11.25" customHeight="1" x14ac:dyDescent="0.2">
      <c r="A2176" s="924" t="s">
        <v>853</v>
      </c>
      <c r="B2176" s="924" t="s">
        <v>798</v>
      </c>
      <c r="C2176" s="924" t="s">
        <v>1184</v>
      </c>
      <c r="D2176" s="924" t="s">
        <v>855</v>
      </c>
      <c r="E2176" s="924" t="s">
        <v>856</v>
      </c>
      <c r="F2176" s="924" t="s">
        <v>964</v>
      </c>
      <c r="G2176" s="924" t="s">
        <v>858</v>
      </c>
      <c r="H2176" s="924" t="s">
        <v>836</v>
      </c>
      <c r="I2176" s="924" t="s">
        <v>837</v>
      </c>
      <c r="J2176" s="924" t="s">
        <v>870</v>
      </c>
      <c r="K2176" s="924" t="s">
        <v>965</v>
      </c>
      <c r="L2176" s="925">
        <v>14.530296858400099</v>
      </c>
      <c r="M2176" s="925">
        <v>1.3341016072310199E-4</v>
      </c>
    </row>
    <row r="2177" spans="1:13" ht="11.25" customHeight="1" x14ac:dyDescent="0.2">
      <c r="A2177" s="924" t="s">
        <v>853</v>
      </c>
      <c r="B2177" s="924" t="s">
        <v>798</v>
      </c>
      <c r="C2177" s="924" t="s">
        <v>1184</v>
      </c>
      <c r="D2177" s="924" t="s">
        <v>855</v>
      </c>
      <c r="E2177" s="924" t="s">
        <v>856</v>
      </c>
      <c r="F2177" s="924" t="s">
        <v>962</v>
      </c>
      <c r="G2177" s="924" t="s">
        <v>858</v>
      </c>
      <c r="H2177" s="924" t="s">
        <v>836</v>
      </c>
      <c r="I2177" s="924" t="s">
        <v>837</v>
      </c>
      <c r="J2177" s="924" t="s">
        <v>870</v>
      </c>
      <c r="K2177" s="924" t="s">
        <v>963</v>
      </c>
      <c r="L2177" s="925">
        <v>4.3472092249430702E-2</v>
      </c>
      <c r="M2177" s="925">
        <v>3.0898119685214601E-7</v>
      </c>
    </row>
    <row r="2178" spans="1:13" ht="11.25" customHeight="1" x14ac:dyDescent="0.2">
      <c r="A2178" s="924" t="s">
        <v>853</v>
      </c>
      <c r="B2178" s="924" t="s">
        <v>798</v>
      </c>
      <c r="C2178" s="924" t="s">
        <v>1184</v>
      </c>
      <c r="D2178" s="924" t="s">
        <v>855</v>
      </c>
      <c r="E2178" s="924" t="s">
        <v>856</v>
      </c>
      <c r="F2178" s="924" t="s">
        <v>1031</v>
      </c>
      <c r="G2178" s="924" t="s">
        <v>858</v>
      </c>
      <c r="H2178" s="924" t="s">
        <v>836</v>
      </c>
      <c r="I2178" s="924" t="s">
        <v>837</v>
      </c>
      <c r="J2178" s="924" t="s">
        <v>940</v>
      </c>
      <c r="K2178" s="924" t="s">
        <v>1032</v>
      </c>
      <c r="L2178" s="925">
        <v>69.947662919759793</v>
      </c>
      <c r="M2178" s="925">
        <v>1.4594642487075801E-3</v>
      </c>
    </row>
    <row r="2179" spans="1:13" ht="11.25" customHeight="1" x14ac:dyDescent="0.2">
      <c r="A2179" s="924" t="s">
        <v>853</v>
      </c>
      <c r="B2179" s="924" t="s">
        <v>798</v>
      </c>
      <c r="C2179" s="924" t="s">
        <v>1184</v>
      </c>
      <c r="D2179" s="924" t="s">
        <v>855</v>
      </c>
      <c r="E2179" s="924" t="s">
        <v>856</v>
      </c>
      <c r="F2179" s="924" t="s">
        <v>958</v>
      </c>
      <c r="G2179" s="924" t="s">
        <v>858</v>
      </c>
      <c r="H2179" s="924" t="s">
        <v>836</v>
      </c>
      <c r="I2179" s="924" t="s">
        <v>837</v>
      </c>
      <c r="J2179" s="924" t="s">
        <v>870</v>
      </c>
      <c r="K2179" s="924" t="s">
        <v>959</v>
      </c>
      <c r="L2179" s="925">
        <v>0.21550866059260401</v>
      </c>
      <c r="M2179" s="925">
        <v>2.0083727837044699E-6</v>
      </c>
    </row>
    <row r="2180" spans="1:13" ht="11.25" customHeight="1" x14ac:dyDescent="0.2">
      <c r="A2180" s="924" t="s">
        <v>853</v>
      </c>
      <c r="B2180" s="924" t="s">
        <v>798</v>
      </c>
      <c r="C2180" s="924" t="s">
        <v>1184</v>
      </c>
      <c r="D2180" s="924" t="s">
        <v>855</v>
      </c>
      <c r="E2180" s="924" t="s">
        <v>856</v>
      </c>
      <c r="F2180" s="924" t="s">
        <v>1018</v>
      </c>
      <c r="G2180" s="924" t="s">
        <v>858</v>
      </c>
      <c r="H2180" s="924" t="s">
        <v>836</v>
      </c>
      <c r="I2180" s="924" t="s">
        <v>837</v>
      </c>
      <c r="J2180" s="924" t="s">
        <v>870</v>
      </c>
      <c r="K2180" s="924" t="s">
        <v>1019</v>
      </c>
      <c r="L2180" s="925">
        <v>185.27330142259601</v>
      </c>
      <c r="M2180" s="925">
        <v>1.3924091119221799E-3</v>
      </c>
    </row>
    <row r="2181" spans="1:13" ht="11.25" customHeight="1" x14ac:dyDescent="0.2">
      <c r="A2181" s="924" t="s">
        <v>853</v>
      </c>
      <c r="B2181" s="924" t="s">
        <v>798</v>
      </c>
      <c r="C2181" s="924" t="s">
        <v>1184</v>
      </c>
      <c r="D2181" s="924" t="s">
        <v>855</v>
      </c>
      <c r="E2181" s="924" t="s">
        <v>856</v>
      </c>
      <c r="F2181" s="924" t="s">
        <v>975</v>
      </c>
      <c r="G2181" s="924" t="s">
        <v>858</v>
      </c>
      <c r="H2181" s="924" t="s">
        <v>836</v>
      </c>
      <c r="I2181" s="924" t="s">
        <v>837</v>
      </c>
      <c r="J2181" s="924" t="s">
        <v>870</v>
      </c>
      <c r="K2181" s="924" t="s">
        <v>976</v>
      </c>
      <c r="L2181" s="925">
        <v>2065.78755617142</v>
      </c>
      <c r="M2181" s="925">
        <v>3.09175043925052E-2</v>
      </c>
    </row>
    <row r="2182" spans="1:13" ht="11.25" customHeight="1" x14ac:dyDescent="0.2">
      <c r="A2182" s="924" t="s">
        <v>853</v>
      </c>
      <c r="B2182" s="924" t="s">
        <v>798</v>
      </c>
      <c r="C2182" s="924" t="s">
        <v>1184</v>
      </c>
      <c r="D2182" s="924" t="s">
        <v>855</v>
      </c>
      <c r="E2182" s="924" t="s">
        <v>856</v>
      </c>
      <c r="F2182" s="924" t="s">
        <v>1035</v>
      </c>
      <c r="G2182" s="924" t="s">
        <v>858</v>
      </c>
      <c r="H2182" s="924" t="s">
        <v>836</v>
      </c>
      <c r="I2182" s="924" t="s">
        <v>837</v>
      </c>
      <c r="J2182" s="924" t="s">
        <v>870</v>
      </c>
      <c r="K2182" s="924" t="s">
        <v>1036</v>
      </c>
      <c r="L2182" s="925">
        <v>4.9718252121238003E-2</v>
      </c>
      <c r="M2182" s="925">
        <v>6.0890791769218799E-6</v>
      </c>
    </row>
    <row r="2183" spans="1:13" ht="11.25" customHeight="1" x14ac:dyDescent="0.2">
      <c r="A2183" s="924" t="s">
        <v>853</v>
      </c>
      <c r="B2183" s="924" t="s">
        <v>798</v>
      </c>
      <c r="C2183" s="924" t="s">
        <v>1184</v>
      </c>
      <c r="D2183" s="924" t="s">
        <v>855</v>
      </c>
      <c r="E2183" s="924" t="s">
        <v>856</v>
      </c>
      <c r="F2183" s="924" t="s">
        <v>1033</v>
      </c>
      <c r="G2183" s="924" t="s">
        <v>858</v>
      </c>
      <c r="H2183" s="924" t="s">
        <v>836</v>
      </c>
      <c r="I2183" s="924" t="s">
        <v>837</v>
      </c>
      <c r="J2183" s="924" t="s">
        <v>940</v>
      </c>
      <c r="K2183" s="924" t="s">
        <v>1034</v>
      </c>
      <c r="L2183" s="925">
        <v>1.7763001779094301</v>
      </c>
      <c r="M2183" s="925">
        <v>5.8249461064585597E-5</v>
      </c>
    </row>
    <row r="2184" spans="1:13" ht="11.25" customHeight="1" x14ac:dyDescent="0.2">
      <c r="A2184" s="924" t="s">
        <v>853</v>
      </c>
      <c r="B2184" s="924" t="s">
        <v>798</v>
      </c>
      <c r="C2184" s="924" t="s">
        <v>1184</v>
      </c>
      <c r="D2184" s="924" t="s">
        <v>855</v>
      </c>
      <c r="E2184" s="924" t="s">
        <v>856</v>
      </c>
      <c r="F2184" s="924" t="s">
        <v>984</v>
      </c>
      <c r="G2184" s="924" t="s">
        <v>981</v>
      </c>
      <c r="H2184" s="924" t="s">
        <v>835</v>
      </c>
      <c r="I2184" s="924" t="s">
        <v>839</v>
      </c>
      <c r="J2184" s="924" t="s">
        <v>982</v>
      </c>
      <c r="K2184" s="924" t="s">
        <v>985</v>
      </c>
      <c r="L2184" s="925">
        <v>429.40031671524002</v>
      </c>
      <c r="M2184" s="925">
        <v>0.47899158007930998</v>
      </c>
    </row>
    <row r="2185" spans="1:13" ht="11.25" customHeight="1" x14ac:dyDescent="0.2">
      <c r="A2185" s="924" t="s">
        <v>853</v>
      </c>
      <c r="B2185" s="924" t="s">
        <v>798</v>
      </c>
      <c r="C2185" s="924" t="s">
        <v>1184</v>
      </c>
      <c r="D2185" s="924" t="s">
        <v>855</v>
      </c>
      <c r="E2185" s="924" t="s">
        <v>856</v>
      </c>
      <c r="F2185" s="924" t="s">
        <v>914</v>
      </c>
      <c r="G2185" s="924" t="s">
        <v>911</v>
      </c>
      <c r="H2185" s="924" t="s">
        <v>665</v>
      </c>
      <c r="I2185" s="924" t="s">
        <v>706</v>
      </c>
      <c r="J2185" s="924" t="s">
        <v>863</v>
      </c>
      <c r="K2185" s="924" t="s">
        <v>915</v>
      </c>
      <c r="L2185" s="925">
        <v>0.57929597422480605</v>
      </c>
      <c r="M2185" s="925">
        <v>8.2658453948170104E-5</v>
      </c>
    </row>
    <row r="2186" spans="1:13" ht="11.25" customHeight="1" x14ac:dyDescent="0.2">
      <c r="A2186" s="924" t="s">
        <v>853</v>
      </c>
      <c r="B2186" s="924" t="s">
        <v>798</v>
      </c>
      <c r="C2186" s="924" t="s">
        <v>1184</v>
      </c>
      <c r="D2186" s="924" t="s">
        <v>855</v>
      </c>
      <c r="E2186" s="924" t="s">
        <v>856</v>
      </c>
      <c r="F2186" s="924" t="s">
        <v>1030</v>
      </c>
      <c r="G2186" s="924" t="s">
        <v>858</v>
      </c>
      <c r="H2186" s="924" t="s">
        <v>836</v>
      </c>
      <c r="I2186" s="924" t="s">
        <v>837</v>
      </c>
      <c r="J2186" s="924" t="s">
        <v>940</v>
      </c>
      <c r="K2186" s="924" t="s">
        <v>941</v>
      </c>
      <c r="L2186" s="925">
        <v>593.739945173264</v>
      </c>
      <c r="M2186" s="925">
        <v>1.11531435225061E-2</v>
      </c>
    </row>
    <row r="2187" spans="1:13" ht="11.25" customHeight="1" x14ac:dyDescent="0.2">
      <c r="A2187" s="924" t="s">
        <v>853</v>
      </c>
      <c r="B2187" s="924" t="s">
        <v>798</v>
      </c>
      <c r="C2187" s="924" t="s">
        <v>1184</v>
      </c>
      <c r="D2187" s="924" t="s">
        <v>855</v>
      </c>
      <c r="E2187" s="924" t="s">
        <v>856</v>
      </c>
      <c r="F2187" s="924" t="s">
        <v>1028</v>
      </c>
      <c r="G2187" s="924" t="s">
        <v>858</v>
      </c>
      <c r="H2187" s="924" t="s">
        <v>836</v>
      </c>
      <c r="I2187" s="924" t="s">
        <v>837</v>
      </c>
      <c r="J2187" s="924" t="s">
        <v>940</v>
      </c>
      <c r="K2187" s="924" t="s">
        <v>1029</v>
      </c>
      <c r="L2187" s="925">
        <v>89.895987510681195</v>
      </c>
      <c r="M2187" s="925">
        <v>4.8763333893227E-3</v>
      </c>
    </row>
    <row r="2188" spans="1:13" ht="11.25" customHeight="1" x14ac:dyDescent="0.2">
      <c r="A2188" s="924" t="s">
        <v>853</v>
      </c>
      <c r="B2188" s="924" t="s">
        <v>798</v>
      </c>
      <c r="C2188" s="924" t="s">
        <v>1184</v>
      </c>
      <c r="D2188" s="924" t="s">
        <v>855</v>
      </c>
      <c r="E2188" s="924" t="s">
        <v>856</v>
      </c>
      <c r="F2188" s="924" t="s">
        <v>960</v>
      </c>
      <c r="G2188" s="924" t="s">
        <v>858</v>
      </c>
      <c r="H2188" s="924" t="s">
        <v>836</v>
      </c>
      <c r="I2188" s="924" t="s">
        <v>837</v>
      </c>
      <c r="J2188" s="924" t="s">
        <v>870</v>
      </c>
      <c r="K2188" s="924" t="s">
        <v>961</v>
      </c>
      <c r="L2188" s="925">
        <v>15.717532381415401</v>
      </c>
      <c r="M2188" s="925">
        <v>1.39455202356586E-4</v>
      </c>
    </row>
    <row r="2189" spans="1:13" ht="11.25" customHeight="1" x14ac:dyDescent="0.2">
      <c r="A2189" s="924" t="s">
        <v>853</v>
      </c>
      <c r="B2189" s="924" t="s">
        <v>798</v>
      </c>
      <c r="C2189" s="924" t="s">
        <v>1184</v>
      </c>
      <c r="D2189" s="924" t="s">
        <v>855</v>
      </c>
      <c r="E2189" s="924" t="s">
        <v>856</v>
      </c>
      <c r="F2189" s="924" t="s">
        <v>938</v>
      </c>
      <c r="G2189" s="924" t="s">
        <v>911</v>
      </c>
      <c r="H2189" s="924" t="s">
        <v>665</v>
      </c>
      <c r="I2189" s="924" t="s">
        <v>706</v>
      </c>
      <c r="J2189" s="924" t="s">
        <v>863</v>
      </c>
      <c r="K2189" s="924" t="s">
        <v>868</v>
      </c>
      <c r="L2189" s="925">
        <v>4.6954860761761701</v>
      </c>
      <c r="M2189" s="925">
        <v>2.16968113136318E-4</v>
      </c>
    </row>
    <row r="2190" spans="1:13" ht="11.25" customHeight="1" x14ac:dyDescent="0.2">
      <c r="A2190" s="924" t="s">
        <v>853</v>
      </c>
      <c r="B2190" s="924" t="s">
        <v>798</v>
      </c>
      <c r="C2190" s="924" t="s">
        <v>1184</v>
      </c>
      <c r="D2190" s="924" t="s">
        <v>855</v>
      </c>
      <c r="E2190" s="924" t="s">
        <v>856</v>
      </c>
      <c r="F2190" s="924" t="s">
        <v>919</v>
      </c>
      <c r="G2190" s="924" t="s">
        <v>911</v>
      </c>
      <c r="H2190" s="924" t="s">
        <v>665</v>
      </c>
      <c r="I2190" s="924" t="s">
        <v>706</v>
      </c>
      <c r="J2190" s="924" t="s">
        <v>859</v>
      </c>
      <c r="K2190" s="924" t="s">
        <v>920</v>
      </c>
      <c r="L2190" s="925">
        <v>0.15106812817975901</v>
      </c>
      <c r="M2190" s="925">
        <v>4.2323742071914701E-5</v>
      </c>
    </row>
    <row r="2191" spans="1:13" ht="11.25" customHeight="1" x14ac:dyDescent="0.2">
      <c r="A2191" s="924" t="s">
        <v>853</v>
      </c>
      <c r="B2191" s="924" t="s">
        <v>798</v>
      </c>
      <c r="C2191" s="924" t="s">
        <v>1184</v>
      </c>
      <c r="D2191" s="924" t="s">
        <v>855</v>
      </c>
      <c r="E2191" s="924" t="s">
        <v>856</v>
      </c>
      <c r="F2191" s="924" t="s">
        <v>857</v>
      </c>
      <c r="G2191" s="924" t="s">
        <v>858</v>
      </c>
      <c r="H2191" s="924" t="s">
        <v>836</v>
      </c>
      <c r="I2191" s="924" t="s">
        <v>837</v>
      </c>
      <c r="J2191" s="924" t="s">
        <v>859</v>
      </c>
      <c r="K2191" s="924" t="s">
        <v>860</v>
      </c>
      <c r="L2191" s="925">
        <v>2.6473601683974302</v>
      </c>
      <c r="M2191" s="925">
        <v>2.43640272698631E-4</v>
      </c>
    </row>
    <row r="2192" spans="1:13" ht="11.25" customHeight="1" x14ac:dyDescent="0.2">
      <c r="A2192" s="924" t="s">
        <v>853</v>
      </c>
      <c r="B2192" s="924" t="s">
        <v>798</v>
      </c>
      <c r="C2192" s="924" t="s">
        <v>1184</v>
      </c>
      <c r="D2192" s="924" t="s">
        <v>855</v>
      </c>
      <c r="E2192" s="924" t="s">
        <v>856</v>
      </c>
      <c r="F2192" s="924" t="s">
        <v>1026</v>
      </c>
      <c r="G2192" s="924" t="s">
        <v>858</v>
      </c>
      <c r="H2192" s="924" t="s">
        <v>836</v>
      </c>
      <c r="I2192" s="924" t="s">
        <v>837</v>
      </c>
      <c r="J2192" s="924" t="s">
        <v>940</v>
      </c>
      <c r="K2192" s="924" t="s">
        <v>1027</v>
      </c>
      <c r="L2192" s="925">
        <v>435.54242408275599</v>
      </c>
      <c r="M2192" s="925">
        <v>1.8382580578446599E-2</v>
      </c>
    </row>
    <row r="2193" spans="1:13" ht="11.25" customHeight="1" x14ac:dyDescent="0.2">
      <c r="A2193" s="924" t="s">
        <v>853</v>
      </c>
      <c r="B2193" s="924" t="s">
        <v>798</v>
      </c>
      <c r="C2193" s="924" t="s">
        <v>1184</v>
      </c>
      <c r="D2193" s="924" t="s">
        <v>855</v>
      </c>
      <c r="E2193" s="924" t="s">
        <v>856</v>
      </c>
      <c r="F2193" s="924" t="s">
        <v>921</v>
      </c>
      <c r="G2193" s="924" t="s">
        <v>911</v>
      </c>
      <c r="H2193" s="924" t="s">
        <v>665</v>
      </c>
      <c r="I2193" s="924" t="s">
        <v>706</v>
      </c>
      <c r="J2193" s="924" t="s">
        <v>859</v>
      </c>
      <c r="K2193" s="924" t="s">
        <v>922</v>
      </c>
      <c r="L2193" s="925">
        <v>1.6042112987488499</v>
      </c>
      <c r="M2193" s="925">
        <v>2.1426673023938701E-4</v>
      </c>
    </row>
    <row r="2194" spans="1:13" ht="11.25" customHeight="1" x14ac:dyDescent="0.2">
      <c r="A2194" s="924" t="s">
        <v>853</v>
      </c>
      <c r="B2194" s="924" t="s">
        <v>798</v>
      </c>
      <c r="C2194" s="924" t="s">
        <v>1184</v>
      </c>
      <c r="D2194" s="924" t="s">
        <v>855</v>
      </c>
      <c r="E2194" s="924" t="s">
        <v>856</v>
      </c>
      <c r="F2194" s="924" t="s">
        <v>923</v>
      </c>
      <c r="G2194" s="924" t="s">
        <v>911</v>
      </c>
      <c r="H2194" s="924" t="s">
        <v>665</v>
      </c>
      <c r="I2194" s="924" t="s">
        <v>706</v>
      </c>
      <c r="J2194" s="924" t="s">
        <v>859</v>
      </c>
      <c r="K2194" s="924" t="s">
        <v>924</v>
      </c>
      <c r="L2194" s="925">
        <v>3.9387461580336098</v>
      </c>
      <c r="M2194" s="925">
        <v>2.0881684872620099E-4</v>
      </c>
    </row>
    <row r="2195" spans="1:13" ht="11.25" customHeight="1" x14ac:dyDescent="0.2">
      <c r="A2195" s="924" t="s">
        <v>853</v>
      </c>
      <c r="B2195" s="924" t="s">
        <v>798</v>
      </c>
      <c r="C2195" s="924" t="s">
        <v>1184</v>
      </c>
      <c r="D2195" s="924" t="s">
        <v>855</v>
      </c>
      <c r="E2195" s="924" t="s">
        <v>856</v>
      </c>
      <c r="F2195" s="924" t="s">
        <v>925</v>
      </c>
      <c r="G2195" s="924" t="s">
        <v>911</v>
      </c>
      <c r="H2195" s="924" t="s">
        <v>665</v>
      </c>
      <c r="I2195" s="924" t="s">
        <v>706</v>
      </c>
      <c r="J2195" s="924" t="s">
        <v>859</v>
      </c>
      <c r="K2195" s="924" t="s">
        <v>926</v>
      </c>
      <c r="L2195" s="925">
        <v>0.41632585413753997</v>
      </c>
      <c r="M2195" s="925">
        <v>1.9193268329331699E-5</v>
      </c>
    </row>
    <row r="2196" spans="1:13" ht="11.25" customHeight="1" x14ac:dyDescent="0.2">
      <c r="A2196" s="924" t="s">
        <v>853</v>
      </c>
      <c r="B2196" s="924" t="s">
        <v>798</v>
      </c>
      <c r="C2196" s="924" t="s">
        <v>1184</v>
      </c>
      <c r="D2196" s="924" t="s">
        <v>855</v>
      </c>
      <c r="E2196" s="924" t="s">
        <v>856</v>
      </c>
      <c r="F2196" s="924" t="s">
        <v>927</v>
      </c>
      <c r="G2196" s="924" t="s">
        <v>911</v>
      </c>
      <c r="H2196" s="924" t="s">
        <v>665</v>
      </c>
      <c r="I2196" s="924" t="s">
        <v>706</v>
      </c>
      <c r="J2196" s="924" t="s">
        <v>859</v>
      </c>
      <c r="K2196" s="924" t="s">
        <v>928</v>
      </c>
      <c r="L2196" s="925">
        <v>3.38504119217396</v>
      </c>
      <c r="M2196" s="925">
        <v>1.0039305932423299E-3</v>
      </c>
    </row>
    <row r="2197" spans="1:13" ht="11.25" customHeight="1" x14ac:dyDescent="0.2">
      <c r="A2197" s="924" t="s">
        <v>853</v>
      </c>
      <c r="B2197" s="924" t="s">
        <v>798</v>
      </c>
      <c r="C2197" s="924" t="s">
        <v>1184</v>
      </c>
      <c r="D2197" s="924" t="s">
        <v>855</v>
      </c>
      <c r="E2197" s="924" t="s">
        <v>856</v>
      </c>
      <c r="F2197" s="924" t="s">
        <v>929</v>
      </c>
      <c r="G2197" s="924" t="s">
        <v>911</v>
      </c>
      <c r="H2197" s="924" t="s">
        <v>665</v>
      </c>
      <c r="I2197" s="924" t="s">
        <v>706</v>
      </c>
      <c r="J2197" s="924" t="s">
        <v>859</v>
      </c>
      <c r="K2197" s="924" t="s">
        <v>891</v>
      </c>
      <c r="L2197" s="925">
        <v>1.3936238829046499</v>
      </c>
      <c r="M2197" s="925">
        <v>5.5838169259914095E-4</v>
      </c>
    </row>
    <row r="2198" spans="1:13" ht="11.25" customHeight="1" x14ac:dyDescent="0.2">
      <c r="A2198" s="924" t="s">
        <v>853</v>
      </c>
      <c r="B2198" s="924" t="s">
        <v>798</v>
      </c>
      <c r="C2198" s="924" t="s">
        <v>1184</v>
      </c>
      <c r="D2198" s="924" t="s">
        <v>855</v>
      </c>
      <c r="E2198" s="924" t="s">
        <v>856</v>
      </c>
      <c r="F2198" s="924" t="s">
        <v>930</v>
      </c>
      <c r="G2198" s="924" t="s">
        <v>911</v>
      </c>
      <c r="H2198" s="924" t="s">
        <v>665</v>
      </c>
      <c r="I2198" s="924" t="s">
        <v>706</v>
      </c>
      <c r="J2198" s="924" t="s">
        <v>863</v>
      </c>
      <c r="K2198" s="924" t="s">
        <v>931</v>
      </c>
      <c r="L2198" s="925">
        <v>10.9079581350088</v>
      </c>
      <c r="M2198" s="925">
        <v>2.2229610040085399E-3</v>
      </c>
    </row>
    <row r="2199" spans="1:13" ht="11.25" customHeight="1" x14ac:dyDescent="0.2">
      <c r="A2199" s="924" t="s">
        <v>853</v>
      </c>
      <c r="B2199" s="924" t="s">
        <v>798</v>
      </c>
      <c r="C2199" s="924" t="s">
        <v>1184</v>
      </c>
      <c r="D2199" s="924" t="s">
        <v>855</v>
      </c>
      <c r="E2199" s="924" t="s">
        <v>856</v>
      </c>
      <c r="F2199" s="924" t="s">
        <v>932</v>
      </c>
      <c r="G2199" s="924" t="s">
        <v>911</v>
      </c>
      <c r="H2199" s="924" t="s">
        <v>665</v>
      </c>
      <c r="I2199" s="924" t="s">
        <v>706</v>
      </c>
      <c r="J2199" s="924" t="s">
        <v>863</v>
      </c>
      <c r="K2199" s="924" t="s">
        <v>933</v>
      </c>
      <c r="L2199" s="925">
        <v>1014.78651046753</v>
      </c>
      <c r="M2199" s="925">
        <v>4.9043340608477599E-2</v>
      </c>
    </row>
    <row r="2200" spans="1:13" ht="11.25" customHeight="1" x14ac:dyDescent="0.2">
      <c r="A2200" s="924" t="s">
        <v>853</v>
      </c>
      <c r="B2200" s="924" t="s">
        <v>798</v>
      </c>
      <c r="C2200" s="924" t="s">
        <v>1184</v>
      </c>
      <c r="D2200" s="924" t="s">
        <v>855</v>
      </c>
      <c r="E2200" s="924" t="s">
        <v>856</v>
      </c>
      <c r="F2200" s="924" t="s">
        <v>939</v>
      </c>
      <c r="G2200" s="924" t="s">
        <v>911</v>
      </c>
      <c r="H2200" s="924" t="s">
        <v>665</v>
      </c>
      <c r="I2200" s="924" t="s">
        <v>706</v>
      </c>
      <c r="J2200" s="924" t="s">
        <v>940</v>
      </c>
      <c r="K2200" s="924" t="s">
        <v>941</v>
      </c>
      <c r="L2200" s="925">
        <v>52.8226100802422</v>
      </c>
      <c r="M2200" s="925">
        <v>2.5413464800294601E-3</v>
      </c>
    </row>
    <row r="2201" spans="1:13" ht="11.25" customHeight="1" x14ac:dyDescent="0.2">
      <c r="A2201" s="924" t="s">
        <v>853</v>
      </c>
      <c r="B2201" s="924" t="s">
        <v>798</v>
      </c>
      <c r="C2201" s="924" t="s">
        <v>1184</v>
      </c>
      <c r="D2201" s="924" t="s">
        <v>855</v>
      </c>
      <c r="E2201" s="924" t="s">
        <v>856</v>
      </c>
      <c r="F2201" s="924" t="s">
        <v>936</v>
      </c>
      <c r="G2201" s="924" t="s">
        <v>911</v>
      </c>
      <c r="H2201" s="924" t="s">
        <v>665</v>
      </c>
      <c r="I2201" s="924" t="s">
        <v>706</v>
      </c>
      <c r="J2201" s="924" t="s">
        <v>863</v>
      </c>
      <c r="K2201" s="924" t="s">
        <v>864</v>
      </c>
      <c r="L2201" s="925">
        <v>2.3882895261049302</v>
      </c>
      <c r="M2201" s="925">
        <v>1.1116164034774599E-4</v>
      </c>
    </row>
    <row r="2202" spans="1:13" ht="11.25" customHeight="1" x14ac:dyDescent="0.2">
      <c r="A2202" s="924" t="s">
        <v>853</v>
      </c>
      <c r="B2202" s="924" t="s">
        <v>798</v>
      </c>
      <c r="C2202" s="924" t="s">
        <v>1184</v>
      </c>
      <c r="D2202" s="924" t="s">
        <v>855</v>
      </c>
      <c r="E2202" s="924" t="s">
        <v>856</v>
      </c>
      <c r="F2202" s="924" t="s">
        <v>986</v>
      </c>
      <c r="G2202" s="924" t="s">
        <v>981</v>
      </c>
      <c r="H2202" s="924" t="s">
        <v>835</v>
      </c>
      <c r="I2202" s="924" t="s">
        <v>839</v>
      </c>
      <c r="J2202" s="924" t="s">
        <v>987</v>
      </c>
      <c r="K2202" s="924" t="s">
        <v>988</v>
      </c>
      <c r="L2202" s="925">
        <v>312.42945897579199</v>
      </c>
      <c r="M2202" s="925">
        <v>0.15908988637966101</v>
      </c>
    </row>
    <row r="2203" spans="1:13" ht="11.25" customHeight="1" x14ac:dyDescent="0.2">
      <c r="A2203" s="924" t="s">
        <v>853</v>
      </c>
      <c r="B2203" s="924" t="s">
        <v>798</v>
      </c>
      <c r="C2203" s="924" t="s">
        <v>1184</v>
      </c>
      <c r="D2203" s="924" t="s">
        <v>855</v>
      </c>
      <c r="E2203" s="924" t="s">
        <v>856</v>
      </c>
      <c r="F2203" s="924" t="s">
        <v>942</v>
      </c>
      <c r="G2203" s="924" t="s">
        <v>911</v>
      </c>
      <c r="H2203" s="924" t="s">
        <v>665</v>
      </c>
      <c r="I2203" s="924" t="s">
        <v>706</v>
      </c>
      <c r="J2203" s="924" t="s">
        <v>870</v>
      </c>
      <c r="K2203" s="924" t="s">
        <v>871</v>
      </c>
      <c r="L2203" s="925">
        <v>2.4417548702331301E-2</v>
      </c>
      <c r="M2203" s="925">
        <v>1.5239191909266499E-5</v>
      </c>
    </row>
    <row r="2204" spans="1:13" ht="11.25" customHeight="1" x14ac:dyDescent="0.2">
      <c r="A2204" s="924" t="s">
        <v>853</v>
      </c>
      <c r="B2204" s="924" t="s">
        <v>798</v>
      </c>
      <c r="C2204" s="924" t="s">
        <v>1184</v>
      </c>
      <c r="D2204" s="924" t="s">
        <v>855</v>
      </c>
      <c r="E2204" s="924" t="s">
        <v>856</v>
      </c>
      <c r="F2204" s="924" t="s">
        <v>943</v>
      </c>
      <c r="G2204" s="924" t="s">
        <v>911</v>
      </c>
      <c r="H2204" s="924" t="s">
        <v>665</v>
      </c>
      <c r="I2204" s="924" t="s">
        <v>706</v>
      </c>
      <c r="J2204" s="924" t="s">
        <v>870</v>
      </c>
      <c r="K2204" s="924" t="s">
        <v>873</v>
      </c>
      <c r="L2204" s="925">
        <v>4.9632278882199898E-2</v>
      </c>
      <c r="M2204" s="925">
        <v>2.25384255436722E-6</v>
      </c>
    </row>
    <row r="2205" spans="1:13" ht="11.25" customHeight="1" x14ac:dyDescent="0.2">
      <c r="A2205" s="924" t="s">
        <v>853</v>
      </c>
      <c r="B2205" s="924" t="s">
        <v>798</v>
      </c>
      <c r="C2205" s="924" t="s">
        <v>1184</v>
      </c>
      <c r="D2205" s="924" t="s">
        <v>855</v>
      </c>
      <c r="E2205" s="924" t="s">
        <v>856</v>
      </c>
      <c r="F2205" s="924" t="s">
        <v>944</v>
      </c>
      <c r="G2205" s="924" t="s">
        <v>911</v>
      </c>
      <c r="H2205" s="924" t="s">
        <v>665</v>
      </c>
      <c r="I2205" s="924" t="s">
        <v>706</v>
      </c>
      <c r="J2205" s="924" t="s">
        <v>875</v>
      </c>
      <c r="K2205" s="924" t="s">
        <v>876</v>
      </c>
      <c r="L2205" s="925">
        <v>31.0003522336483</v>
      </c>
      <c r="M2205" s="925">
        <v>9.8012335674866301E-3</v>
      </c>
    </row>
    <row r="2206" spans="1:13" ht="11.25" customHeight="1" x14ac:dyDescent="0.2">
      <c r="A2206" s="924" t="s">
        <v>853</v>
      </c>
      <c r="B2206" s="924" t="s">
        <v>798</v>
      </c>
      <c r="C2206" s="924" t="s">
        <v>1184</v>
      </c>
      <c r="D2206" s="924" t="s">
        <v>855</v>
      </c>
      <c r="E2206" s="924" t="s">
        <v>1164</v>
      </c>
      <c r="F2206" s="924" t="s">
        <v>1168</v>
      </c>
      <c r="G2206" s="924" t="s">
        <v>858</v>
      </c>
      <c r="H2206" s="924" t="s">
        <v>836</v>
      </c>
      <c r="I2206" s="924" t="s">
        <v>837</v>
      </c>
      <c r="J2206" s="924" t="s">
        <v>1166</v>
      </c>
      <c r="K2206" s="924" t="s">
        <v>1166</v>
      </c>
      <c r="L2206" s="925">
        <v>0.20511755254119601</v>
      </c>
      <c r="M2206" s="925">
        <v>2.6239268985373E-6</v>
      </c>
    </row>
    <row r="2207" spans="1:13" ht="11.25" customHeight="1" x14ac:dyDescent="0.2">
      <c r="A2207" s="924" t="s">
        <v>853</v>
      </c>
      <c r="B2207" s="924" t="s">
        <v>798</v>
      </c>
      <c r="C2207" s="924" t="s">
        <v>1184</v>
      </c>
      <c r="D2207" s="924" t="s">
        <v>855</v>
      </c>
      <c r="E2207" s="924" t="s">
        <v>1164</v>
      </c>
      <c r="F2207" s="924" t="s">
        <v>1167</v>
      </c>
      <c r="G2207" s="924" t="s">
        <v>911</v>
      </c>
      <c r="H2207" s="924" t="s">
        <v>665</v>
      </c>
      <c r="I2207" s="924" t="s">
        <v>706</v>
      </c>
      <c r="J2207" s="924" t="s">
        <v>1166</v>
      </c>
      <c r="K2207" s="924" t="s">
        <v>1166</v>
      </c>
      <c r="L2207" s="925">
        <v>3.7030235980637402E-3</v>
      </c>
      <c r="M2207" s="925">
        <v>1.71638764534521E-7</v>
      </c>
    </row>
    <row r="2208" spans="1:13" ht="11.25" customHeight="1" x14ac:dyDescent="0.2">
      <c r="A2208" s="924" t="s">
        <v>853</v>
      </c>
      <c r="B2208" s="924" t="s">
        <v>798</v>
      </c>
      <c r="C2208" s="924" t="s">
        <v>1184</v>
      </c>
      <c r="D2208" s="924" t="s">
        <v>855</v>
      </c>
      <c r="E2208" s="924" t="s">
        <v>1164</v>
      </c>
      <c r="F2208" s="924" t="s">
        <v>1165</v>
      </c>
      <c r="G2208" s="924" t="s">
        <v>981</v>
      </c>
      <c r="H2208" s="924" t="s">
        <v>835</v>
      </c>
      <c r="I2208" s="924" t="s">
        <v>1040</v>
      </c>
      <c r="J2208" s="924" t="s">
        <v>1166</v>
      </c>
      <c r="K2208" s="924" t="s">
        <v>1166</v>
      </c>
      <c r="L2208" s="925">
        <v>6.6381559445289904E-3</v>
      </c>
      <c r="M2208" s="925">
        <v>1.9325367048850201E-6</v>
      </c>
    </row>
    <row r="2209" spans="1:13" ht="11.25" customHeight="1" x14ac:dyDescent="0.2">
      <c r="A2209" s="924" t="s">
        <v>853</v>
      </c>
      <c r="B2209" s="924" t="s">
        <v>798</v>
      </c>
      <c r="C2209" s="924" t="s">
        <v>1184</v>
      </c>
      <c r="D2209" s="924" t="s">
        <v>855</v>
      </c>
      <c r="E2209" s="924" t="s">
        <v>856</v>
      </c>
      <c r="F2209" s="924" t="s">
        <v>996</v>
      </c>
      <c r="G2209" s="924" t="s">
        <v>911</v>
      </c>
      <c r="H2209" s="924" t="s">
        <v>665</v>
      </c>
      <c r="I2209" s="924" t="s">
        <v>834</v>
      </c>
      <c r="J2209" s="924" t="s">
        <v>706</v>
      </c>
      <c r="K2209" s="924" t="s">
        <v>993</v>
      </c>
      <c r="L2209" s="925">
        <v>3.03236093313899E-2</v>
      </c>
      <c r="M2209" s="925">
        <v>3.7595366602083402E-6</v>
      </c>
    </row>
    <row r="2210" spans="1:13" ht="11.25" customHeight="1" x14ac:dyDescent="0.2">
      <c r="A2210" s="924" t="s">
        <v>853</v>
      </c>
      <c r="B2210" s="924" t="s">
        <v>798</v>
      </c>
      <c r="C2210" s="924" t="s">
        <v>1184</v>
      </c>
      <c r="D2210" s="924" t="s">
        <v>855</v>
      </c>
      <c r="E2210" s="924" t="s">
        <v>856</v>
      </c>
      <c r="F2210" s="924" t="s">
        <v>994</v>
      </c>
      <c r="G2210" s="924" t="s">
        <v>981</v>
      </c>
      <c r="H2210" s="924" t="s">
        <v>835</v>
      </c>
      <c r="I2210" s="924" t="s">
        <v>834</v>
      </c>
      <c r="J2210" s="924" t="s">
        <v>995</v>
      </c>
      <c r="K2210" s="924" t="s">
        <v>993</v>
      </c>
      <c r="L2210" s="925">
        <v>1.0113743981346499</v>
      </c>
      <c r="M2210" s="925">
        <v>6.6506081372752501E-4</v>
      </c>
    </row>
    <row r="2211" spans="1:13" ht="11.25" customHeight="1" x14ac:dyDescent="0.2">
      <c r="A2211" s="924" t="s">
        <v>853</v>
      </c>
      <c r="B2211" s="924" t="s">
        <v>798</v>
      </c>
      <c r="C2211" s="924" t="s">
        <v>1184</v>
      </c>
      <c r="D2211" s="924" t="s">
        <v>855</v>
      </c>
      <c r="E2211" s="924" t="s">
        <v>856</v>
      </c>
      <c r="F2211" s="924" t="s">
        <v>992</v>
      </c>
      <c r="G2211" s="924" t="s">
        <v>858</v>
      </c>
      <c r="H2211" s="924" t="s">
        <v>836</v>
      </c>
      <c r="I2211" s="924" t="s">
        <v>834</v>
      </c>
      <c r="J2211" s="924" t="s">
        <v>224</v>
      </c>
      <c r="K2211" s="924" t="s">
        <v>993</v>
      </c>
      <c r="L2211" s="925">
        <v>17.140511319041298</v>
      </c>
      <c r="M2211" s="925">
        <v>6.67073818036101E-4</v>
      </c>
    </row>
    <row r="2212" spans="1:13" ht="11.25" customHeight="1" x14ac:dyDescent="0.2">
      <c r="A2212" s="924" t="s">
        <v>853</v>
      </c>
      <c r="B2212" s="924" t="s">
        <v>798</v>
      </c>
      <c r="C2212" s="924" t="s">
        <v>1184</v>
      </c>
      <c r="D2212" s="924" t="s">
        <v>855</v>
      </c>
      <c r="E2212" s="924" t="s">
        <v>856</v>
      </c>
      <c r="F2212" s="924" t="s">
        <v>991</v>
      </c>
      <c r="G2212" s="924" t="s">
        <v>990</v>
      </c>
      <c r="H2212" s="924" t="s">
        <v>836</v>
      </c>
      <c r="I2212" s="924" t="s">
        <v>839</v>
      </c>
      <c r="J2212" s="924" t="s">
        <v>224</v>
      </c>
      <c r="K2212" s="924" t="s">
        <v>983</v>
      </c>
      <c r="L2212" s="925">
        <v>2.05665328074247</v>
      </c>
      <c r="M2212" s="925">
        <v>1.2280959103494501E-4</v>
      </c>
    </row>
    <row r="2213" spans="1:13" ht="11.25" customHeight="1" x14ac:dyDescent="0.2">
      <c r="A2213" s="924" t="s">
        <v>853</v>
      </c>
      <c r="B2213" s="924" t="s">
        <v>798</v>
      </c>
      <c r="C2213" s="924" t="s">
        <v>1184</v>
      </c>
      <c r="D2213" s="924" t="s">
        <v>855</v>
      </c>
      <c r="E2213" s="924" t="s">
        <v>856</v>
      </c>
      <c r="F2213" s="924" t="s">
        <v>989</v>
      </c>
      <c r="G2213" s="924" t="s">
        <v>990</v>
      </c>
      <c r="H2213" s="924" t="s">
        <v>836</v>
      </c>
      <c r="I2213" s="924" t="s">
        <v>839</v>
      </c>
      <c r="J2213" s="924" t="s">
        <v>224</v>
      </c>
      <c r="K2213" s="924" t="s">
        <v>988</v>
      </c>
      <c r="L2213" s="925">
        <v>246.04615843296099</v>
      </c>
      <c r="M2213" s="925">
        <v>8.3773162545135397E-3</v>
      </c>
    </row>
    <row r="2214" spans="1:13" ht="11.25" customHeight="1" x14ac:dyDescent="0.2">
      <c r="A2214" s="924" t="s">
        <v>853</v>
      </c>
      <c r="B2214" s="924" t="s">
        <v>798</v>
      </c>
      <c r="C2214" s="924" t="s">
        <v>1184</v>
      </c>
      <c r="D2214" s="924" t="s">
        <v>855</v>
      </c>
      <c r="E2214" s="924" t="s">
        <v>856</v>
      </c>
      <c r="F2214" s="924" t="s">
        <v>954</v>
      </c>
      <c r="G2214" s="924" t="s">
        <v>911</v>
      </c>
      <c r="H2214" s="924" t="s">
        <v>665</v>
      </c>
      <c r="I2214" s="924" t="s">
        <v>706</v>
      </c>
      <c r="J2214" s="924" t="s">
        <v>863</v>
      </c>
      <c r="K2214" s="924" t="s">
        <v>935</v>
      </c>
      <c r="L2214" s="925">
        <v>7.5717339366674397</v>
      </c>
      <c r="M2214" s="925">
        <v>3.5750267079492898E-4</v>
      </c>
    </row>
    <row r="2215" spans="1:13" ht="11.25" customHeight="1" x14ac:dyDescent="0.2">
      <c r="A2215" s="924" t="s">
        <v>853</v>
      </c>
      <c r="B2215" s="924" t="s">
        <v>798</v>
      </c>
      <c r="C2215" s="924" t="s">
        <v>1184</v>
      </c>
      <c r="D2215" s="924" t="s">
        <v>855</v>
      </c>
      <c r="E2215" s="924" t="s">
        <v>856</v>
      </c>
      <c r="F2215" s="924" t="s">
        <v>867</v>
      </c>
      <c r="G2215" s="924" t="s">
        <v>862</v>
      </c>
      <c r="H2215" s="924" t="s">
        <v>665</v>
      </c>
      <c r="I2215" s="924" t="s">
        <v>787</v>
      </c>
      <c r="J2215" s="924" t="s">
        <v>863</v>
      </c>
      <c r="K2215" s="924" t="s">
        <v>868</v>
      </c>
      <c r="L2215" s="925">
        <v>0.38632832327857602</v>
      </c>
      <c r="M2215" s="925">
        <v>1.5806304672878501E-3</v>
      </c>
    </row>
    <row r="2216" spans="1:13" ht="11.25" customHeight="1" x14ac:dyDescent="0.2">
      <c r="A2216" s="924" t="s">
        <v>853</v>
      </c>
      <c r="B2216" s="924" t="s">
        <v>798</v>
      </c>
      <c r="C2216" s="924" t="s">
        <v>1184</v>
      </c>
      <c r="D2216" s="924" t="s">
        <v>855</v>
      </c>
      <c r="E2216" s="924" t="s">
        <v>856</v>
      </c>
      <c r="F2216" s="924" t="s">
        <v>894</v>
      </c>
      <c r="G2216" s="924" t="s">
        <v>858</v>
      </c>
      <c r="H2216" s="924" t="s">
        <v>836</v>
      </c>
      <c r="I2216" s="924" t="s">
        <v>837</v>
      </c>
      <c r="J2216" s="924" t="s">
        <v>859</v>
      </c>
      <c r="K2216" s="924" t="s">
        <v>895</v>
      </c>
      <c r="L2216" s="925">
        <v>268.79862189292902</v>
      </c>
      <c r="M2216" s="925">
        <v>1.7805062885543101E-3</v>
      </c>
    </row>
    <row r="2217" spans="1:13" ht="11.25" customHeight="1" x14ac:dyDescent="0.2">
      <c r="A2217" s="924" t="s">
        <v>853</v>
      </c>
      <c r="B2217" s="924" t="s">
        <v>798</v>
      </c>
      <c r="C2217" s="924" t="s">
        <v>1184</v>
      </c>
      <c r="D2217" s="924" t="s">
        <v>855</v>
      </c>
      <c r="E2217" s="924" t="s">
        <v>856</v>
      </c>
      <c r="F2217" s="924" t="s">
        <v>896</v>
      </c>
      <c r="G2217" s="924" t="s">
        <v>858</v>
      </c>
      <c r="H2217" s="924" t="s">
        <v>836</v>
      </c>
      <c r="I2217" s="924" t="s">
        <v>837</v>
      </c>
      <c r="J2217" s="924" t="s">
        <v>859</v>
      </c>
      <c r="K2217" s="924" t="s">
        <v>897</v>
      </c>
      <c r="L2217" s="925">
        <v>14.8224146217108</v>
      </c>
      <c r="M2217" s="925">
        <v>2.4003148782725199E-4</v>
      </c>
    </row>
    <row r="2218" spans="1:13" ht="11.25" customHeight="1" x14ac:dyDescent="0.2">
      <c r="A2218" s="924" t="s">
        <v>853</v>
      </c>
      <c r="B2218" s="924" t="s">
        <v>798</v>
      </c>
      <c r="C2218" s="924" t="s">
        <v>1184</v>
      </c>
      <c r="D2218" s="924" t="s">
        <v>855</v>
      </c>
      <c r="E2218" s="924" t="s">
        <v>856</v>
      </c>
      <c r="F2218" s="924" t="s">
        <v>892</v>
      </c>
      <c r="G2218" s="924" t="s">
        <v>858</v>
      </c>
      <c r="H2218" s="924" t="s">
        <v>836</v>
      </c>
      <c r="I2218" s="924" t="s">
        <v>837</v>
      </c>
      <c r="J2218" s="924" t="s">
        <v>859</v>
      </c>
      <c r="K2218" s="924" t="s">
        <v>893</v>
      </c>
      <c r="L2218" s="925">
        <v>247.05039286613501</v>
      </c>
      <c r="M2218" s="925">
        <v>3.1251410080699298E-3</v>
      </c>
    </row>
    <row r="2219" spans="1:13" ht="11.25" customHeight="1" x14ac:dyDescent="0.2">
      <c r="A2219" s="924" t="s">
        <v>853</v>
      </c>
      <c r="B2219" s="924" t="s">
        <v>798</v>
      </c>
      <c r="C2219" s="924" t="s">
        <v>1184</v>
      </c>
      <c r="D2219" s="924" t="s">
        <v>855</v>
      </c>
      <c r="E2219" s="924" t="s">
        <v>856</v>
      </c>
      <c r="F2219" s="924" t="s">
        <v>888</v>
      </c>
      <c r="G2219" s="924" t="s">
        <v>858</v>
      </c>
      <c r="H2219" s="924" t="s">
        <v>836</v>
      </c>
      <c r="I2219" s="924" t="s">
        <v>837</v>
      </c>
      <c r="J2219" s="924" t="s">
        <v>859</v>
      </c>
      <c r="K2219" s="924" t="s">
        <v>889</v>
      </c>
      <c r="L2219" s="925">
        <v>0.16069152601994599</v>
      </c>
      <c r="M2219" s="925">
        <v>1.7730393887499499E-5</v>
      </c>
    </row>
    <row r="2220" spans="1:13" ht="11.25" customHeight="1" x14ac:dyDescent="0.2">
      <c r="A2220" s="924" t="s">
        <v>853</v>
      </c>
      <c r="B2220" s="924" t="s">
        <v>798</v>
      </c>
      <c r="C2220" s="924" t="s">
        <v>1184</v>
      </c>
      <c r="D2220" s="924" t="s">
        <v>855</v>
      </c>
      <c r="E2220" s="924" t="s">
        <v>856</v>
      </c>
      <c r="F2220" s="924" t="s">
        <v>912</v>
      </c>
      <c r="G2220" s="924" t="s">
        <v>858</v>
      </c>
      <c r="H2220" s="924" t="s">
        <v>836</v>
      </c>
      <c r="I2220" s="924" t="s">
        <v>837</v>
      </c>
      <c r="J2220" s="924" t="s">
        <v>859</v>
      </c>
      <c r="K2220" s="924" t="s">
        <v>913</v>
      </c>
      <c r="L2220" s="925">
        <v>98.689566612243695</v>
      </c>
      <c r="M2220" s="925">
        <v>1.08681289550816E-3</v>
      </c>
    </row>
    <row r="2221" spans="1:13" ht="11.25" customHeight="1" x14ac:dyDescent="0.2">
      <c r="A2221" s="924" t="s">
        <v>853</v>
      </c>
      <c r="B2221" s="924" t="s">
        <v>798</v>
      </c>
      <c r="C2221" s="924" t="s">
        <v>1184</v>
      </c>
      <c r="D2221" s="924" t="s">
        <v>855</v>
      </c>
      <c r="E2221" s="924" t="s">
        <v>856</v>
      </c>
      <c r="F2221" s="924" t="s">
        <v>883</v>
      </c>
      <c r="G2221" s="924" t="s">
        <v>858</v>
      </c>
      <c r="H2221" s="924" t="s">
        <v>836</v>
      </c>
      <c r="I2221" s="924" t="s">
        <v>837</v>
      </c>
      <c r="J2221" s="924" t="s">
        <v>884</v>
      </c>
      <c r="K2221" s="924" t="s">
        <v>885</v>
      </c>
      <c r="L2221" s="925">
        <v>118.161397457123</v>
      </c>
      <c r="M2221" s="925">
        <v>4.5321243297848897E-3</v>
      </c>
    </row>
    <row r="2222" spans="1:13" ht="11.25" customHeight="1" x14ac:dyDescent="0.2">
      <c r="A2222" s="924" t="s">
        <v>853</v>
      </c>
      <c r="B2222" s="924" t="s">
        <v>798</v>
      </c>
      <c r="C2222" s="924" t="s">
        <v>1184</v>
      </c>
      <c r="D2222" s="924" t="s">
        <v>855</v>
      </c>
      <c r="E2222" s="924" t="s">
        <v>856</v>
      </c>
      <c r="F2222" s="924" t="s">
        <v>881</v>
      </c>
      <c r="G2222" s="924" t="s">
        <v>862</v>
      </c>
      <c r="H2222" s="924" t="s">
        <v>665</v>
      </c>
      <c r="I2222" s="924" t="s">
        <v>787</v>
      </c>
      <c r="J2222" s="924" t="s">
        <v>875</v>
      </c>
      <c r="K2222" s="924" t="s">
        <v>882</v>
      </c>
      <c r="L2222" s="925">
        <v>23.795911669731101</v>
      </c>
      <c r="M2222" s="925">
        <v>0.113711643847637</v>
      </c>
    </row>
    <row r="2223" spans="1:13" ht="11.25" customHeight="1" x14ac:dyDescent="0.2">
      <c r="A2223" s="924" t="s">
        <v>853</v>
      </c>
      <c r="B2223" s="924" t="s">
        <v>798</v>
      </c>
      <c r="C2223" s="924" t="s">
        <v>1184</v>
      </c>
      <c r="D2223" s="924" t="s">
        <v>855</v>
      </c>
      <c r="E2223" s="924" t="s">
        <v>856</v>
      </c>
      <c r="F2223" s="924" t="s">
        <v>879</v>
      </c>
      <c r="G2223" s="924" t="s">
        <v>862</v>
      </c>
      <c r="H2223" s="924" t="s">
        <v>665</v>
      </c>
      <c r="I2223" s="924" t="s">
        <v>787</v>
      </c>
      <c r="J2223" s="924" t="s">
        <v>875</v>
      </c>
      <c r="K2223" s="924" t="s">
        <v>880</v>
      </c>
      <c r="L2223" s="925">
        <v>0.66860207356512502</v>
      </c>
      <c r="M2223" s="925">
        <v>3.76142762797826E-3</v>
      </c>
    </row>
    <row r="2224" spans="1:13" ht="11.25" customHeight="1" x14ac:dyDescent="0.2">
      <c r="A2224" s="924" t="s">
        <v>853</v>
      </c>
      <c r="B2224" s="924" t="s">
        <v>798</v>
      </c>
      <c r="C2224" s="924" t="s">
        <v>1184</v>
      </c>
      <c r="D2224" s="924" t="s">
        <v>855</v>
      </c>
      <c r="E2224" s="924" t="s">
        <v>856</v>
      </c>
      <c r="F2224" s="924" t="s">
        <v>877</v>
      </c>
      <c r="G2224" s="924" t="s">
        <v>862</v>
      </c>
      <c r="H2224" s="924" t="s">
        <v>665</v>
      </c>
      <c r="I2224" s="924" t="s">
        <v>787</v>
      </c>
      <c r="J2224" s="924" t="s">
        <v>875</v>
      </c>
      <c r="K2224" s="924" t="s">
        <v>878</v>
      </c>
      <c r="L2224" s="925">
        <v>0.453302689827979</v>
      </c>
      <c r="M2224" s="925">
        <v>7.4263231745135298E-3</v>
      </c>
    </row>
    <row r="2225" spans="1:13" ht="11.25" customHeight="1" x14ac:dyDescent="0.2">
      <c r="A2225" s="924" t="s">
        <v>853</v>
      </c>
      <c r="B2225" s="924" t="s">
        <v>798</v>
      </c>
      <c r="C2225" s="924" t="s">
        <v>1184</v>
      </c>
      <c r="D2225" s="924" t="s">
        <v>855</v>
      </c>
      <c r="E2225" s="924" t="s">
        <v>856</v>
      </c>
      <c r="F2225" s="924" t="s">
        <v>874</v>
      </c>
      <c r="G2225" s="924" t="s">
        <v>862</v>
      </c>
      <c r="H2225" s="924" t="s">
        <v>665</v>
      </c>
      <c r="I2225" s="924" t="s">
        <v>787</v>
      </c>
      <c r="J2225" s="924" t="s">
        <v>875</v>
      </c>
      <c r="K2225" s="924" t="s">
        <v>876</v>
      </c>
      <c r="L2225" s="925">
        <v>9.4765598922967893</v>
      </c>
      <c r="M2225" s="925">
        <v>0.288264014059678</v>
      </c>
    </row>
    <row r="2226" spans="1:13" ht="11.25" customHeight="1" x14ac:dyDescent="0.2">
      <c r="A2226" s="924" t="s">
        <v>853</v>
      </c>
      <c r="B2226" s="924" t="s">
        <v>798</v>
      </c>
      <c r="C2226" s="924" t="s">
        <v>1184</v>
      </c>
      <c r="D2226" s="924" t="s">
        <v>855</v>
      </c>
      <c r="E2226" s="924" t="s">
        <v>856</v>
      </c>
      <c r="F2226" s="924" t="s">
        <v>900</v>
      </c>
      <c r="G2226" s="924" t="s">
        <v>858</v>
      </c>
      <c r="H2226" s="924" t="s">
        <v>836</v>
      </c>
      <c r="I2226" s="924" t="s">
        <v>837</v>
      </c>
      <c r="J2226" s="924" t="s">
        <v>859</v>
      </c>
      <c r="K2226" s="924" t="s">
        <v>901</v>
      </c>
      <c r="L2226" s="925">
        <v>27.2846709787846</v>
      </c>
      <c r="M2226" s="925">
        <v>1.1891320075534399E-3</v>
      </c>
    </row>
    <row r="2227" spans="1:13" ht="11.25" customHeight="1" x14ac:dyDescent="0.2">
      <c r="A2227" s="924" t="s">
        <v>853</v>
      </c>
      <c r="B2227" s="924" t="s">
        <v>798</v>
      </c>
      <c r="C2227" s="924" t="s">
        <v>1184</v>
      </c>
      <c r="D2227" s="924" t="s">
        <v>855</v>
      </c>
      <c r="E2227" s="924" t="s">
        <v>856</v>
      </c>
      <c r="F2227" s="924" t="s">
        <v>869</v>
      </c>
      <c r="G2227" s="924" t="s">
        <v>862</v>
      </c>
      <c r="H2227" s="924" t="s">
        <v>665</v>
      </c>
      <c r="I2227" s="924" t="s">
        <v>787</v>
      </c>
      <c r="J2227" s="924" t="s">
        <v>870</v>
      </c>
      <c r="K2227" s="924" t="s">
        <v>871</v>
      </c>
      <c r="L2227" s="925">
        <v>4.5960427843965597E-2</v>
      </c>
      <c r="M2227" s="925">
        <v>2.6370959710675401E-3</v>
      </c>
    </row>
    <row r="2228" spans="1:13" ht="11.25" customHeight="1" x14ac:dyDescent="0.2">
      <c r="A2228" s="924" t="s">
        <v>853</v>
      </c>
      <c r="B2228" s="924" t="s">
        <v>798</v>
      </c>
      <c r="C2228" s="924" t="s">
        <v>1184</v>
      </c>
      <c r="D2228" s="924" t="s">
        <v>855</v>
      </c>
      <c r="E2228" s="924" t="s">
        <v>856</v>
      </c>
      <c r="F2228" s="924" t="s">
        <v>902</v>
      </c>
      <c r="G2228" s="924" t="s">
        <v>858</v>
      </c>
      <c r="H2228" s="924" t="s">
        <v>836</v>
      </c>
      <c r="I2228" s="924" t="s">
        <v>837</v>
      </c>
      <c r="J2228" s="924" t="s">
        <v>859</v>
      </c>
      <c r="K2228" s="924" t="s">
        <v>903</v>
      </c>
      <c r="L2228" s="925">
        <v>117.164143681526</v>
      </c>
      <c r="M2228" s="925">
        <v>2.0367598546897599E-3</v>
      </c>
    </row>
    <row r="2229" spans="1:13" ht="11.25" customHeight="1" x14ac:dyDescent="0.2">
      <c r="A2229" s="924" t="s">
        <v>853</v>
      </c>
      <c r="B2229" s="924" t="s">
        <v>798</v>
      </c>
      <c r="C2229" s="924" t="s">
        <v>1184</v>
      </c>
      <c r="D2229" s="924" t="s">
        <v>855</v>
      </c>
      <c r="E2229" s="924" t="s">
        <v>856</v>
      </c>
      <c r="F2229" s="924" t="s">
        <v>865</v>
      </c>
      <c r="G2229" s="924" t="s">
        <v>862</v>
      </c>
      <c r="H2229" s="924" t="s">
        <v>665</v>
      </c>
      <c r="I2229" s="924" t="s">
        <v>787</v>
      </c>
      <c r="J2229" s="924" t="s">
        <v>863</v>
      </c>
      <c r="K2229" s="924" t="s">
        <v>866</v>
      </c>
      <c r="L2229" s="925">
        <v>0.23090755334124</v>
      </c>
      <c r="M2229" s="925">
        <v>1.1140320362415001E-3</v>
      </c>
    </row>
    <row r="2230" spans="1:13" ht="11.25" customHeight="1" x14ac:dyDescent="0.2">
      <c r="A2230" s="924" t="s">
        <v>853</v>
      </c>
      <c r="B2230" s="924" t="s">
        <v>798</v>
      </c>
      <c r="C2230" s="924" t="s">
        <v>1184</v>
      </c>
      <c r="D2230" s="924" t="s">
        <v>855</v>
      </c>
      <c r="E2230" s="924" t="s">
        <v>856</v>
      </c>
      <c r="F2230" s="924" t="s">
        <v>861</v>
      </c>
      <c r="G2230" s="924" t="s">
        <v>862</v>
      </c>
      <c r="H2230" s="924" t="s">
        <v>665</v>
      </c>
      <c r="I2230" s="924" t="s">
        <v>787</v>
      </c>
      <c r="J2230" s="924" t="s">
        <v>863</v>
      </c>
      <c r="K2230" s="924" t="s">
        <v>864</v>
      </c>
      <c r="L2230" s="925">
        <v>3.1588201178237803E-2</v>
      </c>
      <c r="M2230" s="925">
        <v>1.2978995232515401E-4</v>
      </c>
    </row>
    <row r="2231" spans="1:13" ht="11.25" customHeight="1" x14ac:dyDescent="0.2">
      <c r="A2231" s="924" t="s">
        <v>853</v>
      </c>
      <c r="B2231" s="924" t="s">
        <v>798</v>
      </c>
      <c r="C2231" s="924" t="s">
        <v>1184</v>
      </c>
      <c r="D2231" s="924" t="s">
        <v>855</v>
      </c>
      <c r="E2231" s="924" t="s">
        <v>856</v>
      </c>
      <c r="F2231" s="924" t="s">
        <v>934</v>
      </c>
      <c r="G2231" s="924" t="s">
        <v>862</v>
      </c>
      <c r="H2231" s="924" t="s">
        <v>665</v>
      </c>
      <c r="I2231" s="924" t="s">
        <v>787</v>
      </c>
      <c r="J2231" s="924" t="s">
        <v>863</v>
      </c>
      <c r="K2231" s="924" t="s">
        <v>935</v>
      </c>
      <c r="L2231" s="925">
        <v>5.7962404564022997E-2</v>
      </c>
      <c r="M2231" s="925">
        <v>2.4365391618630399E-4</v>
      </c>
    </row>
    <row r="2232" spans="1:13" ht="11.25" customHeight="1" x14ac:dyDescent="0.2">
      <c r="A2232" s="924" t="s">
        <v>853</v>
      </c>
      <c r="B2232" s="924" t="s">
        <v>798</v>
      </c>
      <c r="C2232" s="924" t="s">
        <v>1184</v>
      </c>
      <c r="D2232" s="924" t="s">
        <v>855</v>
      </c>
      <c r="E2232" s="924" t="s">
        <v>856</v>
      </c>
      <c r="F2232" s="924" t="s">
        <v>937</v>
      </c>
      <c r="G2232" s="924" t="s">
        <v>862</v>
      </c>
      <c r="H2232" s="924" t="s">
        <v>665</v>
      </c>
      <c r="I2232" s="924" t="s">
        <v>787</v>
      </c>
      <c r="J2232" s="924" t="s">
        <v>863</v>
      </c>
      <c r="K2232" s="924" t="s">
        <v>933</v>
      </c>
      <c r="L2232" s="925">
        <v>68.408196628093705</v>
      </c>
      <c r="M2232" s="925">
        <v>0.29137672018259803</v>
      </c>
    </row>
    <row r="2233" spans="1:13" ht="11.25" customHeight="1" x14ac:dyDescent="0.2">
      <c r="A2233" s="924" t="s">
        <v>853</v>
      </c>
      <c r="B2233" s="924" t="s">
        <v>798</v>
      </c>
      <c r="C2233" s="924" t="s">
        <v>1184</v>
      </c>
      <c r="D2233" s="924" t="s">
        <v>855</v>
      </c>
      <c r="E2233" s="924" t="s">
        <v>856</v>
      </c>
      <c r="F2233" s="924" t="s">
        <v>890</v>
      </c>
      <c r="G2233" s="924" t="s">
        <v>862</v>
      </c>
      <c r="H2233" s="924" t="s">
        <v>665</v>
      </c>
      <c r="I2233" s="924" t="s">
        <v>787</v>
      </c>
      <c r="J2233" s="924" t="s">
        <v>859</v>
      </c>
      <c r="K2233" s="924" t="s">
        <v>891</v>
      </c>
      <c r="L2233" s="925">
        <v>4.8150632181204897E-2</v>
      </c>
      <c r="M2233" s="925">
        <v>1.71401887473621E-3</v>
      </c>
    </row>
    <row r="2234" spans="1:13" ht="11.25" customHeight="1" x14ac:dyDescent="0.2">
      <c r="A2234" s="924" t="s">
        <v>853</v>
      </c>
      <c r="B2234" s="924" t="s">
        <v>798</v>
      </c>
      <c r="C2234" s="924" t="s">
        <v>1184</v>
      </c>
      <c r="D2234" s="924" t="s">
        <v>855</v>
      </c>
      <c r="E2234" s="924" t="s">
        <v>856</v>
      </c>
      <c r="F2234" s="924" t="s">
        <v>951</v>
      </c>
      <c r="G2234" s="924" t="s">
        <v>911</v>
      </c>
      <c r="H2234" s="924" t="s">
        <v>665</v>
      </c>
      <c r="I2234" s="924" t="s">
        <v>706</v>
      </c>
      <c r="J2234" s="924" t="s">
        <v>875</v>
      </c>
      <c r="K2234" s="924" t="s">
        <v>952</v>
      </c>
      <c r="L2234" s="925">
        <v>0.124485570471734</v>
      </c>
      <c r="M2234" s="925">
        <v>7.7403558980115895E-6</v>
      </c>
    </row>
    <row r="2235" spans="1:13" ht="11.25" customHeight="1" x14ac:dyDescent="0.2">
      <c r="A2235" s="924" t="s">
        <v>853</v>
      </c>
      <c r="B2235" s="924" t="s">
        <v>798</v>
      </c>
      <c r="C2235" s="924" t="s">
        <v>1184</v>
      </c>
      <c r="D2235" s="924" t="s">
        <v>855</v>
      </c>
      <c r="E2235" s="924" t="s">
        <v>856</v>
      </c>
      <c r="F2235" s="924" t="s">
        <v>949</v>
      </c>
      <c r="G2235" s="924" t="s">
        <v>911</v>
      </c>
      <c r="H2235" s="924" t="s">
        <v>665</v>
      </c>
      <c r="I2235" s="924" t="s">
        <v>706</v>
      </c>
      <c r="J2235" s="924" t="s">
        <v>875</v>
      </c>
      <c r="K2235" s="924" t="s">
        <v>950</v>
      </c>
      <c r="L2235" s="925">
        <v>0.13487273396458499</v>
      </c>
      <c r="M2235" s="925">
        <v>2.8927814703649801E-5</v>
      </c>
    </row>
    <row r="2236" spans="1:13" ht="11.25" customHeight="1" x14ac:dyDescent="0.2">
      <c r="A2236" s="924" t="s">
        <v>853</v>
      </c>
      <c r="B2236" s="924" t="s">
        <v>798</v>
      </c>
      <c r="C2236" s="924" t="s">
        <v>1184</v>
      </c>
      <c r="D2236" s="924" t="s">
        <v>855</v>
      </c>
      <c r="E2236" s="924" t="s">
        <v>856</v>
      </c>
      <c r="F2236" s="924" t="s">
        <v>947</v>
      </c>
      <c r="G2236" s="924" t="s">
        <v>911</v>
      </c>
      <c r="H2236" s="924" t="s">
        <v>665</v>
      </c>
      <c r="I2236" s="924" t="s">
        <v>706</v>
      </c>
      <c r="J2236" s="924" t="s">
        <v>875</v>
      </c>
      <c r="K2236" s="924" t="s">
        <v>948</v>
      </c>
      <c r="L2236" s="925">
        <v>10.058518156409299</v>
      </c>
      <c r="M2236" s="925">
        <v>7.6865948756221802E-4</v>
      </c>
    </row>
    <row r="2237" spans="1:13" ht="11.25" customHeight="1" x14ac:dyDescent="0.2">
      <c r="A2237" s="924" t="s">
        <v>853</v>
      </c>
      <c r="B2237" s="924" t="s">
        <v>798</v>
      </c>
      <c r="C2237" s="924" t="s">
        <v>1184</v>
      </c>
      <c r="D2237" s="924" t="s">
        <v>855</v>
      </c>
      <c r="E2237" s="924" t="s">
        <v>856</v>
      </c>
      <c r="F2237" s="924" t="s">
        <v>946</v>
      </c>
      <c r="G2237" s="924" t="s">
        <v>911</v>
      </c>
      <c r="H2237" s="924" t="s">
        <v>665</v>
      </c>
      <c r="I2237" s="924" t="s">
        <v>706</v>
      </c>
      <c r="J2237" s="924" t="s">
        <v>875</v>
      </c>
      <c r="K2237" s="924" t="s">
        <v>880</v>
      </c>
      <c r="L2237" s="925">
        <v>8.0924805924296397</v>
      </c>
      <c r="M2237" s="925">
        <v>5.1504456632756003E-4</v>
      </c>
    </row>
    <row r="2238" spans="1:13" ht="11.25" customHeight="1" x14ac:dyDescent="0.2">
      <c r="A2238" s="924" t="s">
        <v>853</v>
      </c>
      <c r="B2238" s="924" t="s">
        <v>798</v>
      </c>
      <c r="C2238" s="924" t="s">
        <v>1184</v>
      </c>
      <c r="D2238" s="924" t="s">
        <v>855</v>
      </c>
      <c r="E2238" s="924" t="s">
        <v>856</v>
      </c>
      <c r="F2238" s="924" t="s">
        <v>945</v>
      </c>
      <c r="G2238" s="924" t="s">
        <v>911</v>
      </c>
      <c r="H2238" s="924" t="s">
        <v>665</v>
      </c>
      <c r="I2238" s="924" t="s">
        <v>706</v>
      </c>
      <c r="J2238" s="924" t="s">
        <v>875</v>
      </c>
      <c r="K2238" s="924" t="s">
        <v>878</v>
      </c>
      <c r="L2238" s="925">
        <v>6.8455853387713397</v>
      </c>
      <c r="M2238" s="925">
        <v>1.0127352311428701E-3</v>
      </c>
    </row>
    <row r="2239" spans="1:13" ht="11.25" customHeight="1" x14ac:dyDescent="0.2">
      <c r="A2239" s="924" t="s">
        <v>853</v>
      </c>
      <c r="B2239" s="924" t="s">
        <v>798</v>
      </c>
      <c r="C2239" s="924" t="s">
        <v>1184</v>
      </c>
      <c r="D2239" s="924" t="s">
        <v>855</v>
      </c>
      <c r="E2239" s="924" t="s">
        <v>856</v>
      </c>
      <c r="F2239" s="924" t="s">
        <v>917</v>
      </c>
      <c r="G2239" s="924" t="s">
        <v>911</v>
      </c>
      <c r="H2239" s="924" t="s">
        <v>665</v>
      </c>
      <c r="I2239" s="924" t="s">
        <v>706</v>
      </c>
      <c r="J2239" s="924" t="s">
        <v>859</v>
      </c>
      <c r="K2239" s="924" t="s">
        <v>918</v>
      </c>
      <c r="L2239" s="925">
        <v>0.915559636428952</v>
      </c>
      <c r="M2239" s="925">
        <v>2.9562324772314198E-4</v>
      </c>
    </row>
    <row r="2240" spans="1:13" ht="11.25" customHeight="1" x14ac:dyDescent="0.2">
      <c r="A2240" s="924" t="s">
        <v>853</v>
      </c>
      <c r="B2240" s="924" t="s">
        <v>798</v>
      </c>
      <c r="C2240" s="924" t="s">
        <v>1184</v>
      </c>
      <c r="D2240" s="924" t="s">
        <v>855</v>
      </c>
      <c r="E2240" s="924" t="s">
        <v>856</v>
      </c>
      <c r="F2240" s="924" t="s">
        <v>872</v>
      </c>
      <c r="G2240" s="924" t="s">
        <v>862</v>
      </c>
      <c r="H2240" s="924" t="s">
        <v>665</v>
      </c>
      <c r="I2240" s="924" t="s">
        <v>787</v>
      </c>
      <c r="J2240" s="924" t="s">
        <v>870</v>
      </c>
      <c r="K2240" s="924" t="s">
        <v>873</v>
      </c>
      <c r="L2240" s="925">
        <v>5.0556376874446904</v>
      </c>
      <c r="M2240" s="925">
        <v>2.0349018042907101E-2</v>
      </c>
    </row>
    <row r="2241" spans="1:13" ht="11.25" customHeight="1" x14ac:dyDescent="0.2">
      <c r="A2241" s="924" t="s">
        <v>853</v>
      </c>
      <c r="B2241" s="924" t="s">
        <v>798</v>
      </c>
      <c r="C2241" s="924" t="s">
        <v>1184</v>
      </c>
      <c r="D2241" s="924" t="s">
        <v>855</v>
      </c>
      <c r="E2241" s="924" t="s">
        <v>856</v>
      </c>
      <c r="F2241" s="924" t="s">
        <v>1005</v>
      </c>
      <c r="G2241" s="924" t="s">
        <v>858</v>
      </c>
      <c r="H2241" s="924" t="s">
        <v>836</v>
      </c>
      <c r="I2241" s="924" t="s">
        <v>837</v>
      </c>
      <c r="J2241" s="924" t="s">
        <v>859</v>
      </c>
      <c r="K2241" s="924" t="s">
        <v>1006</v>
      </c>
      <c r="L2241" s="925">
        <v>996.87610626220703</v>
      </c>
      <c r="M2241" s="925">
        <v>7.7213143891867696E-3</v>
      </c>
    </row>
    <row r="2242" spans="1:13" ht="11.25" customHeight="1" x14ac:dyDescent="0.2">
      <c r="A2242" s="924" t="s">
        <v>853</v>
      </c>
      <c r="B2242" s="924" t="s">
        <v>798</v>
      </c>
      <c r="C2242" s="924" t="s">
        <v>1184</v>
      </c>
      <c r="D2242" s="924" t="s">
        <v>855</v>
      </c>
      <c r="E2242" s="924" t="s">
        <v>856</v>
      </c>
      <c r="F2242" s="924" t="s">
        <v>1022</v>
      </c>
      <c r="G2242" s="924" t="s">
        <v>858</v>
      </c>
      <c r="H2242" s="924" t="s">
        <v>836</v>
      </c>
      <c r="I2242" s="924" t="s">
        <v>837</v>
      </c>
      <c r="J2242" s="924" t="s">
        <v>940</v>
      </c>
      <c r="K2242" s="924" t="s">
        <v>1023</v>
      </c>
      <c r="L2242" s="925">
        <v>6.2139003362972303E-2</v>
      </c>
      <c r="M2242" s="925">
        <v>2.7912254320777699E-6</v>
      </c>
    </row>
    <row r="2243" spans="1:13" ht="11.25" customHeight="1" x14ac:dyDescent="0.2">
      <c r="A2243" s="924" t="s">
        <v>853</v>
      </c>
      <c r="B2243" s="924" t="s">
        <v>798</v>
      </c>
      <c r="C2243" s="924" t="s">
        <v>1184</v>
      </c>
      <c r="D2243" s="924" t="s">
        <v>855</v>
      </c>
      <c r="E2243" s="924" t="s">
        <v>856</v>
      </c>
      <c r="F2243" s="924" t="s">
        <v>1021</v>
      </c>
      <c r="G2243" s="924" t="s">
        <v>858</v>
      </c>
      <c r="H2243" s="924" t="s">
        <v>836</v>
      </c>
      <c r="I2243" s="924" t="s">
        <v>837</v>
      </c>
      <c r="J2243" s="924" t="s">
        <v>863</v>
      </c>
      <c r="K2243" s="924" t="s">
        <v>868</v>
      </c>
      <c r="L2243" s="925">
        <v>167.21263360977201</v>
      </c>
      <c r="M2243" s="925">
        <v>8.9879748743726395E-4</v>
      </c>
    </row>
    <row r="2244" spans="1:13" ht="11.25" customHeight="1" x14ac:dyDescent="0.2">
      <c r="A2244" s="924" t="s">
        <v>853</v>
      </c>
      <c r="B2244" s="924" t="s">
        <v>798</v>
      </c>
      <c r="C2244" s="924" t="s">
        <v>1184</v>
      </c>
      <c r="D2244" s="924" t="s">
        <v>855</v>
      </c>
      <c r="E2244" s="924" t="s">
        <v>856</v>
      </c>
      <c r="F2244" s="924" t="s">
        <v>1020</v>
      </c>
      <c r="G2244" s="924" t="s">
        <v>858</v>
      </c>
      <c r="H2244" s="924" t="s">
        <v>836</v>
      </c>
      <c r="I2244" s="924" t="s">
        <v>837</v>
      </c>
      <c r="J2244" s="924" t="s">
        <v>863</v>
      </c>
      <c r="K2244" s="924" t="s">
        <v>866</v>
      </c>
      <c r="L2244" s="925">
        <v>602.40423583984398</v>
      </c>
      <c r="M2244" s="925">
        <v>1.46219014097824E-2</v>
      </c>
    </row>
    <row r="2245" spans="1:13" ht="11.25" customHeight="1" x14ac:dyDescent="0.2">
      <c r="A2245" s="924" t="s">
        <v>853</v>
      </c>
      <c r="B2245" s="924" t="s">
        <v>798</v>
      </c>
      <c r="C2245" s="924" t="s">
        <v>1184</v>
      </c>
      <c r="D2245" s="924" t="s">
        <v>855</v>
      </c>
      <c r="E2245" s="924" t="s">
        <v>856</v>
      </c>
      <c r="F2245" s="924" t="s">
        <v>1001</v>
      </c>
      <c r="G2245" s="924" t="s">
        <v>858</v>
      </c>
      <c r="H2245" s="924" t="s">
        <v>836</v>
      </c>
      <c r="I2245" s="924" t="s">
        <v>837</v>
      </c>
      <c r="J2245" s="924" t="s">
        <v>863</v>
      </c>
      <c r="K2245" s="924" t="s">
        <v>915</v>
      </c>
      <c r="L2245" s="925">
        <v>4.5362176001071903</v>
      </c>
      <c r="M2245" s="925">
        <v>1.3860072211358001E-4</v>
      </c>
    </row>
    <row r="2246" spans="1:13" ht="11.25" customHeight="1" x14ac:dyDescent="0.2">
      <c r="A2246" s="924" t="s">
        <v>853</v>
      </c>
      <c r="B2246" s="924" t="s">
        <v>798</v>
      </c>
      <c r="C2246" s="924" t="s">
        <v>1184</v>
      </c>
      <c r="D2246" s="924" t="s">
        <v>855</v>
      </c>
      <c r="E2246" s="924" t="s">
        <v>856</v>
      </c>
      <c r="F2246" s="924" t="s">
        <v>1017</v>
      </c>
      <c r="G2246" s="924" t="s">
        <v>858</v>
      </c>
      <c r="H2246" s="924" t="s">
        <v>836</v>
      </c>
      <c r="I2246" s="924" t="s">
        <v>837</v>
      </c>
      <c r="J2246" s="924" t="s">
        <v>863</v>
      </c>
      <c r="K2246" s="924" t="s">
        <v>864</v>
      </c>
      <c r="L2246" s="925">
        <v>117.53189301490799</v>
      </c>
      <c r="M2246" s="925">
        <v>1.59396686993318E-3</v>
      </c>
    </row>
    <row r="2247" spans="1:13" ht="11.25" customHeight="1" x14ac:dyDescent="0.2">
      <c r="A2247" s="924" t="s">
        <v>853</v>
      </c>
      <c r="B2247" s="924" t="s">
        <v>798</v>
      </c>
      <c r="C2247" s="924" t="s">
        <v>1184</v>
      </c>
      <c r="D2247" s="924" t="s">
        <v>855</v>
      </c>
      <c r="E2247" s="924" t="s">
        <v>856</v>
      </c>
      <c r="F2247" s="924" t="s">
        <v>1038</v>
      </c>
      <c r="G2247" s="924" t="s">
        <v>858</v>
      </c>
      <c r="H2247" s="924" t="s">
        <v>836</v>
      </c>
      <c r="I2247" s="924" t="s">
        <v>837</v>
      </c>
      <c r="J2247" s="924" t="s">
        <v>863</v>
      </c>
      <c r="K2247" s="924" t="s">
        <v>935</v>
      </c>
      <c r="L2247" s="925">
        <v>115.892690420151</v>
      </c>
      <c r="M2247" s="925">
        <v>1.25429012329903E-3</v>
      </c>
    </row>
    <row r="2248" spans="1:13" ht="11.25" customHeight="1" x14ac:dyDescent="0.2">
      <c r="A2248" s="924" t="s">
        <v>853</v>
      </c>
      <c r="B2248" s="924" t="s">
        <v>798</v>
      </c>
      <c r="C2248" s="924" t="s">
        <v>1184</v>
      </c>
      <c r="D2248" s="924" t="s">
        <v>855</v>
      </c>
      <c r="E2248" s="924" t="s">
        <v>856</v>
      </c>
      <c r="F2248" s="924" t="s">
        <v>1014</v>
      </c>
      <c r="G2248" s="924" t="s">
        <v>858</v>
      </c>
      <c r="H2248" s="924" t="s">
        <v>836</v>
      </c>
      <c r="I2248" s="924" t="s">
        <v>837</v>
      </c>
      <c r="J2248" s="924" t="s">
        <v>863</v>
      </c>
      <c r="K2248" s="924" t="s">
        <v>933</v>
      </c>
      <c r="L2248" s="925">
        <v>265.31164002418501</v>
      </c>
      <c r="M2248" s="925">
        <v>1.8782858750086E-3</v>
      </c>
    </row>
    <row r="2249" spans="1:13" ht="11.25" customHeight="1" x14ac:dyDescent="0.2">
      <c r="A2249" s="924" t="s">
        <v>853</v>
      </c>
      <c r="B2249" s="924" t="s">
        <v>798</v>
      </c>
      <c r="C2249" s="924" t="s">
        <v>1184</v>
      </c>
      <c r="D2249" s="924" t="s">
        <v>855</v>
      </c>
      <c r="E2249" s="924" t="s">
        <v>856</v>
      </c>
      <c r="F2249" s="924" t="s">
        <v>1013</v>
      </c>
      <c r="G2249" s="924" t="s">
        <v>858</v>
      </c>
      <c r="H2249" s="924" t="s">
        <v>836</v>
      </c>
      <c r="I2249" s="924" t="s">
        <v>837</v>
      </c>
      <c r="J2249" s="924" t="s">
        <v>863</v>
      </c>
      <c r="K2249" s="924" t="s">
        <v>931</v>
      </c>
      <c r="L2249" s="925">
        <v>18.3135777711868</v>
      </c>
      <c r="M2249" s="925">
        <v>6.6942721032603502E-4</v>
      </c>
    </row>
    <row r="2250" spans="1:13" ht="11.25" customHeight="1" x14ac:dyDescent="0.2">
      <c r="A2250" s="924" t="s">
        <v>853</v>
      </c>
      <c r="B2250" s="924" t="s">
        <v>798</v>
      </c>
      <c r="C2250" s="924" t="s">
        <v>1184</v>
      </c>
      <c r="D2250" s="924" t="s">
        <v>855</v>
      </c>
      <c r="E2250" s="924" t="s">
        <v>856</v>
      </c>
      <c r="F2250" s="924" t="s">
        <v>1012</v>
      </c>
      <c r="G2250" s="924" t="s">
        <v>858</v>
      </c>
      <c r="H2250" s="924" t="s">
        <v>836</v>
      </c>
      <c r="I2250" s="924" t="s">
        <v>837</v>
      </c>
      <c r="J2250" s="924" t="s">
        <v>859</v>
      </c>
      <c r="K2250" s="924" t="s">
        <v>891</v>
      </c>
      <c r="L2250" s="925">
        <v>102.905233263969</v>
      </c>
      <c r="M2250" s="925">
        <v>1.36393135557E-3</v>
      </c>
    </row>
    <row r="2251" spans="1:13" ht="11.25" customHeight="1" x14ac:dyDescent="0.2">
      <c r="A2251" s="924" t="s">
        <v>853</v>
      </c>
      <c r="B2251" s="924" t="s">
        <v>798</v>
      </c>
      <c r="C2251" s="924" t="s">
        <v>1184</v>
      </c>
      <c r="D2251" s="924" t="s">
        <v>855</v>
      </c>
      <c r="E2251" s="924" t="s">
        <v>856</v>
      </c>
      <c r="F2251" s="924" t="s">
        <v>1010</v>
      </c>
      <c r="G2251" s="924" t="s">
        <v>858</v>
      </c>
      <c r="H2251" s="924" t="s">
        <v>836</v>
      </c>
      <c r="I2251" s="924" t="s">
        <v>837</v>
      </c>
      <c r="J2251" s="924" t="s">
        <v>859</v>
      </c>
      <c r="K2251" s="924" t="s">
        <v>1011</v>
      </c>
      <c r="L2251" s="925">
        <v>1.4041598252952101</v>
      </c>
      <c r="M2251" s="925">
        <v>6.4611412916804097E-5</v>
      </c>
    </row>
    <row r="2252" spans="1:13" ht="11.25" customHeight="1" x14ac:dyDescent="0.2">
      <c r="A2252" s="924" t="s">
        <v>853</v>
      </c>
      <c r="B2252" s="924" t="s">
        <v>798</v>
      </c>
      <c r="C2252" s="924" t="s">
        <v>1184</v>
      </c>
      <c r="D2252" s="924" t="s">
        <v>855</v>
      </c>
      <c r="E2252" s="924" t="s">
        <v>856</v>
      </c>
      <c r="F2252" s="924" t="s">
        <v>898</v>
      </c>
      <c r="G2252" s="924" t="s">
        <v>858</v>
      </c>
      <c r="H2252" s="924" t="s">
        <v>836</v>
      </c>
      <c r="I2252" s="924" t="s">
        <v>837</v>
      </c>
      <c r="J2252" s="924" t="s">
        <v>859</v>
      </c>
      <c r="K2252" s="924" t="s">
        <v>899</v>
      </c>
      <c r="L2252" s="925">
        <v>9.0842010006308591</v>
      </c>
      <c r="M2252" s="925">
        <v>1.58010838015699E-4</v>
      </c>
    </row>
    <row r="2253" spans="1:13" ht="11.25" customHeight="1" x14ac:dyDescent="0.2">
      <c r="A2253" s="924" t="s">
        <v>853</v>
      </c>
      <c r="B2253" s="924" t="s">
        <v>798</v>
      </c>
      <c r="C2253" s="924" t="s">
        <v>1184</v>
      </c>
      <c r="D2253" s="924" t="s">
        <v>855</v>
      </c>
      <c r="E2253" s="924" t="s">
        <v>856</v>
      </c>
      <c r="F2253" s="924" t="s">
        <v>1007</v>
      </c>
      <c r="G2253" s="924" t="s">
        <v>858</v>
      </c>
      <c r="H2253" s="924" t="s">
        <v>836</v>
      </c>
      <c r="I2253" s="924" t="s">
        <v>837</v>
      </c>
      <c r="J2253" s="924" t="s">
        <v>859</v>
      </c>
      <c r="K2253" s="924" t="s">
        <v>928</v>
      </c>
      <c r="L2253" s="925">
        <v>458.94658327102701</v>
      </c>
      <c r="M2253" s="925">
        <v>2.0012585938729899E-2</v>
      </c>
    </row>
    <row r="2254" spans="1:13" ht="11.25" customHeight="1" x14ac:dyDescent="0.2">
      <c r="A2254" s="924" t="s">
        <v>853</v>
      </c>
      <c r="B2254" s="924" t="s">
        <v>798</v>
      </c>
      <c r="C2254" s="924" t="s">
        <v>1184</v>
      </c>
      <c r="D2254" s="924" t="s">
        <v>855</v>
      </c>
      <c r="E2254" s="924" t="s">
        <v>856</v>
      </c>
      <c r="F2254" s="924" t="s">
        <v>1024</v>
      </c>
      <c r="G2254" s="924" t="s">
        <v>858</v>
      </c>
      <c r="H2254" s="924" t="s">
        <v>836</v>
      </c>
      <c r="I2254" s="924" t="s">
        <v>837</v>
      </c>
      <c r="J2254" s="924" t="s">
        <v>940</v>
      </c>
      <c r="K2254" s="924" t="s">
        <v>1025</v>
      </c>
      <c r="L2254" s="925">
        <v>12.5036267638206</v>
      </c>
      <c r="M2254" s="925">
        <v>2.05685028987546E-4</v>
      </c>
    </row>
    <row r="2255" spans="1:13" ht="11.25" customHeight="1" x14ac:dyDescent="0.2">
      <c r="A2255" s="924" t="s">
        <v>853</v>
      </c>
      <c r="B2255" s="924" t="s">
        <v>798</v>
      </c>
      <c r="C2255" s="924" t="s">
        <v>1184</v>
      </c>
      <c r="D2255" s="924" t="s">
        <v>855</v>
      </c>
      <c r="E2255" s="924" t="s">
        <v>856</v>
      </c>
      <c r="F2255" s="924" t="s">
        <v>1004</v>
      </c>
      <c r="G2255" s="924" t="s">
        <v>858</v>
      </c>
      <c r="H2255" s="924" t="s">
        <v>836</v>
      </c>
      <c r="I2255" s="924" t="s">
        <v>837</v>
      </c>
      <c r="J2255" s="924" t="s">
        <v>859</v>
      </c>
      <c r="K2255" s="924" t="s">
        <v>926</v>
      </c>
      <c r="L2255" s="925">
        <v>660.49279975891102</v>
      </c>
      <c r="M2255" s="925">
        <v>2.69531992403245E-2</v>
      </c>
    </row>
    <row r="2256" spans="1:13" ht="11.25" customHeight="1" x14ac:dyDescent="0.2">
      <c r="A2256" s="924" t="s">
        <v>853</v>
      </c>
      <c r="B2256" s="924" t="s">
        <v>798</v>
      </c>
      <c r="C2256" s="924" t="s">
        <v>1184</v>
      </c>
      <c r="D2256" s="924" t="s">
        <v>855</v>
      </c>
      <c r="E2256" s="924" t="s">
        <v>856</v>
      </c>
      <c r="F2256" s="924" t="s">
        <v>1003</v>
      </c>
      <c r="G2256" s="924" t="s">
        <v>858</v>
      </c>
      <c r="H2256" s="924" t="s">
        <v>836</v>
      </c>
      <c r="I2256" s="924" t="s">
        <v>837</v>
      </c>
      <c r="J2256" s="924" t="s">
        <v>859</v>
      </c>
      <c r="K2256" s="924" t="s">
        <v>924</v>
      </c>
      <c r="L2256" s="925">
        <v>1089.85619068146</v>
      </c>
      <c r="M2256" s="925">
        <v>1.03948207922713E-2</v>
      </c>
    </row>
    <row r="2257" spans="1:13" ht="11.25" customHeight="1" x14ac:dyDescent="0.2">
      <c r="A2257" s="924" t="s">
        <v>853</v>
      </c>
      <c r="B2257" s="924" t="s">
        <v>798</v>
      </c>
      <c r="C2257" s="924" t="s">
        <v>1184</v>
      </c>
      <c r="D2257" s="924" t="s">
        <v>855</v>
      </c>
      <c r="E2257" s="924" t="s">
        <v>856</v>
      </c>
      <c r="F2257" s="924" t="s">
        <v>1002</v>
      </c>
      <c r="G2257" s="924" t="s">
        <v>858</v>
      </c>
      <c r="H2257" s="924" t="s">
        <v>836</v>
      </c>
      <c r="I2257" s="924" t="s">
        <v>837</v>
      </c>
      <c r="J2257" s="924" t="s">
        <v>859</v>
      </c>
      <c r="K2257" s="924" t="s">
        <v>922</v>
      </c>
      <c r="L2257" s="925">
        <v>320.54481053352401</v>
      </c>
      <c r="M2257" s="925">
        <v>3.6648003488153301E-3</v>
      </c>
    </row>
    <row r="2258" spans="1:13" ht="11.25" customHeight="1" x14ac:dyDescent="0.2">
      <c r="A2258" s="924" t="s">
        <v>853</v>
      </c>
      <c r="B2258" s="924" t="s">
        <v>798</v>
      </c>
      <c r="C2258" s="924" t="s">
        <v>1184</v>
      </c>
      <c r="D2258" s="924" t="s">
        <v>855</v>
      </c>
      <c r="E2258" s="924" t="s">
        <v>856</v>
      </c>
      <c r="F2258" s="924" t="s">
        <v>953</v>
      </c>
      <c r="G2258" s="924" t="s">
        <v>858</v>
      </c>
      <c r="H2258" s="924" t="s">
        <v>836</v>
      </c>
      <c r="I2258" s="924" t="s">
        <v>837</v>
      </c>
      <c r="J2258" s="924" t="s">
        <v>859</v>
      </c>
      <c r="K2258" s="924" t="s">
        <v>920</v>
      </c>
      <c r="L2258" s="925">
        <v>40.305207788944202</v>
      </c>
      <c r="M2258" s="925">
        <v>5.1988706844241495E-4</v>
      </c>
    </row>
    <row r="2259" spans="1:13" ht="11.25" customHeight="1" x14ac:dyDescent="0.2">
      <c r="A2259" s="924" t="s">
        <v>853</v>
      </c>
      <c r="B2259" s="924" t="s">
        <v>798</v>
      </c>
      <c r="C2259" s="924" t="s">
        <v>1184</v>
      </c>
      <c r="D2259" s="924" t="s">
        <v>855</v>
      </c>
      <c r="E2259" s="924" t="s">
        <v>856</v>
      </c>
      <c r="F2259" s="924" t="s">
        <v>1071</v>
      </c>
      <c r="G2259" s="924" t="s">
        <v>858</v>
      </c>
      <c r="H2259" s="924" t="s">
        <v>836</v>
      </c>
      <c r="I2259" s="924" t="s">
        <v>837</v>
      </c>
      <c r="J2259" s="924" t="s">
        <v>859</v>
      </c>
      <c r="K2259" s="924" t="s">
        <v>1072</v>
      </c>
      <c r="L2259" s="925">
        <v>856.83043003082298</v>
      </c>
      <c r="M2259" s="925">
        <v>7.6203940810728498E-3</v>
      </c>
    </row>
    <row r="2260" spans="1:13" ht="11.25" customHeight="1" x14ac:dyDescent="0.2">
      <c r="A2260" s="924" t="s">
        <v>853</v>
      </c>
      <c r="B2260" s="924" t="s">
        <v>798</v>
      </c>
      <c r="C2260" s="924" t="s">
        <v>1184</v>
      </c>
      <c r="D2260" s="924" t="s">
        <v>855</v>
      </c>
      <c r="E2260" s="924" t="s">
        <v>856</v>
      </c>
      <c r="F2260" s="924" t="s">
        <v>886</v>
      </c>
      <c r="G2260" s="924" t="s">
        <v>858</v>
      </c>
      <c r="H2260" s="924" t="s">
        <v>836</v>
      </c>
      <c r="I2260" s="924" t="s">
        <v>837</v>
      </c>
      <c r="J2260" s="924" t="s">
        <v>859</v>
      </c>
      <c r="K2260" s="924" t="s">
        <v>887</v>
      </c>
      <c r="L2260" s="925">
        <v>249.09674429893499</v>
      </c>
      <c r="M2260" s="925">
        <v>1.8435524260951299E-3</v>
      </c>
    </row>
    <row r="2261" spans="1:13" ht="11.25" customHeight="1" x14ac:dyDescent="0.2">
      <c r="A2261" s="924" t="s">
        <v>853</v>
      </c>
      <c r="B2261" s="924" t="s">
        <v>798</v>
      </c>
      <c r="C2261" s="924" t="s">
        <v>1184</v>
      </c>
      <c r="D2261" s="924" t="s">
        <v>855</v>
      </c>
      <c r="E2261" s="924" t="s">
        <v>856</v>
      </c>
      <c r="F2261" s="924" t="s">
        <v>1037</v>
      </c>
      <c r="G2261" s="924" t="s">
        <v>858</v>
      </c>
      <c r="H2261" s="924" t="s">
        <v>836</v>
      </c>
      <c r="I2261" s="924" t="s">
        <v>837</v>
      </c>
      <c r="J2261" s="924" t="s">
        <v>859</v>
      </c>
      <c r="K2261" s="924" t="s">
        <v>918</v>
      </c>
      <c r="L2261" s="925">
        <v>228.89399909973099</v>
      </c>
      <c r="M2261" s="925">
        <v>2.2151992886279E-3</v>
      </c>
    </row>
    <row r="2262" spans="1:13" ht="11.25" customHeight="1" x14ac:dyDescent="0.2">
      <c r="A2262" s="924" t="s">
        <v>853</v>
      </c>
      <c r="B2262" s="924" t="s">
        <v>798</v>
      </c>
      <c r="C2262" s="924" t="s">
        <v>1184</v>
      </c>
      <c r="D2262" s="924" t="s">
        <v>855</v>
      </c>
      <c r="E2262" s="924" t="s">
        <v>856</v>
      </c>
      <c r="F2262" s="924" t="s">
        <v>972</v>
      </c>
      <c r="G2262" s="924" t="s">
        <v>858</v>
      </c>
      <c r="H2262" s="924" t="s">
        <v>836</v>
      </c>
      <c r="I2262" s="924" t="s">
        <v>837</v>
      </c>
      <c r="J2262" s="924" t="s">
        <v>859</v>
      </c>
      <c r="K2262" s="924" t="s">
        <v>973</v>
      </c>
      <c r="L2262" s="925">
        <v>3.96017276123166</v>
      </c>
      <c r="M2262" s="925">
        <v>1.0088286300558E-4</v>
      </c>
    </row>
    <row r="2263" spans="1:13" ht="11.25" customHeight="1" x14ac:dyDescent="0.2">
      <c r="A2263" s="924" t="s">
        <v>853</v>
      </c>
      <c r="B2263" s="924" t="s">
        <v>798</v>
      </c>
      <c r="C2263" s="924" t="s">
        <v>1184</v>
      </c>
      <c r="D2263" s="924" t="s">
        <v>855</v>
      </c>
      <c r="E2263" s="924" t="s">
        <v>856</v>
      </c>
      <c r="F2263" s="924" t="s">
        <v>908</v>
      </c>
      <c r="G2263" s="924" t="s">
        <v>858</v>
      </c>
      <c r="H2263" s="924" t="s">
        <v>836</v>
      </c>
      <c r="I2263" s="924" t="s">
        <v>837</v>
      </c>
      <c r="J2263" s="924" t="s">
        <v>859</v>
      </c>
      <c r="K2263" s="924" t="s">
        <v>909</v>
      </c>
      <c r="L2263" s="925">
        <v>8.3292716890573502</v>
      </c>
      <c r="M2263" s="925">
        <v>1.74334758838768E-4</v>
      </c>
    </row>
    <row r="2264" spans="1:13" ht="11.25" customHeight="1" x14ac:dyDescent="0.2">
      <c r="A2264" s="924" t="s">
        <v>853</v>
      </c>
      <c r="B2264" s="924" t="s">
        <v>798</v>
      </c>
      <c r="C2264" s="924" t="s">
        <v>1184</v>
      </c>
      <c r="D2264" s="924" t="s">
        <v>855</v>
      </c>
      <c r="E2264" s="924" t="s">
        <v>856</v>
      </c>
      <c r="F2264" s="924" t="s">
        <v>906</v>
      </c>
      <c r="G2264" s="924" t="s">
        <v>858</v>
      </c>
      <c r="H2264" s="924" t="s">
        <v>836</v>
      </c>
      <c r="I2264" s="924" t="s">
        <v>837</v>
      </c>
      <c r="J2264" s="924" t="s">
        <v>859</v>
      </c>
      <c r="K2264" s="924" t="s">
        <v>907</v>
      </c>
      <c r="L2264" s="925">
        <v>1001.16223430634</v>
      </c>
      <c r="M2264" s="925">
        <v>6.6652062982939199E-3</v>
      </c>
    </row>
    <row r="2265" spans="1:13" ht="11.25" customHeight="1" x14ac:dyDescent="0.2">
      <c r="A2265" s="924" t="s">
        <v>853</v>
      </c>
      <c r="B2265" s="924" t="s">
        <v>798</v>
      </c>
      <c r="C2265" s="924" t="s">
        <v>1184</v>
      </c>
      <c r="D2265" s="924" t="s">
        <v>855</v>
      </c>
      <c r="E2265" s="924" t="s">
        <v>856</v>
      </c>
      <c r="F2265" s="924" t="s">
        <v>904</v>
      </c>
      <c r="G2265" s="924" t="s">
        <v>858</v>
      </c>
      <c r="H2265" s="924" t="s">
        <v>836</v>
      </c>
      <c r="I2265" s="924" t="s">
        <v>837</v>
      </c>
      <c r="J2265" s="924" t="s">
        <v>859</v>
      </c>
      <c r="K2265" s="924" t="s">
        <v>905</v>
      </c>
      <c r="L2265" s="925">
        <v>101.445294857025</v>
      </c>
      <c r="M2265" s="925">
        <v>1.9218246121113199E-3</v>
      </c>
    </row>
    <row r="2266" spans="1:13" ht="11.25" customHeight="1" x14ac:dyDescent="0.2">
      <c r="A2266" s="924" t="s">
        <v>853</v>
      </c>
      <c r="B2266" s="924" t="s">
        <v>798</v>
      </c>
      <c r="C2266" s="924" t="s">
        <v>1184</v>
      </c>
      <c r="D2266" s="924" t="s">
        <v>855</v>
      </c>
      <c r="E2266" s="924" t="s">
        <v>856</v>
      </c>
      <c r="F2266" s="924" t="s">
        <v>1008</v>
      </c>
      <c r="G2266" s="924" t="s">
        <v>858</v>
      </c>
      <c r="H2266" s="924" t="s">
        <v>836</v>
      </c>
      <c r="I2266" s="924" t="s">
        <v>837</v>
      </c>
      <c r="J2266" s="924" t="s">
        <v>859</v>
      </c>
      <c r="K2266" s="924" t="s">
        <v>1009</v>
      </c>
      <c r="L2266" s="925">
        <v>106.98988699912999</v>
      </c>
      <c r="M2266" s="925">
        <v>8.7161373994604197E-4</v>
      </c>
    </row>
    <row r="2267" spans="1:13" ht="11.25" customHeight="1" x14ac:dyDescent="0.2">
      <c r="A2267" s="924" t="s">
        <v>853</v>
      </c>
      <c r="B2267" s="924" t="s">
        <v>798</v>
      </c>
      <c r="C2267" s="924" t="s">
        <v>1184</v>
      </c>
      <c r="D2267" s="924" t="s">
        <v>855</v>
      </c>
      <c r="E2267" s="924" t="s">
        <v>856</v>
      </c>
      <c r="F2267" s="924" t="s">
        <v>1064</v>
      </c>
      <c r="G2267" s="924" t="s">
        <v>981</v>
      </c>
      <c r="H2267" s="924" t="s">
        <v>835</v>
      </c>
      <c r="I2267" s="924" t="s">
        <v>1040</v>
      </c>
      <c r="J2267" s="924" t="s">
        <v>859</v>
      </c>
      <c r="K2267" s="924" t="s">
        <v>924</v>
      </c>
      <c r="L2267" s="925">
        <v>4.9952553138136899</v>
      </c>
      <c r="M2267" s="925">
        <v>3.78394588096853E-4</v>
      </c>
    </row>
    <row r="2268" spans="1:13" ht="11.25" customHeight="1" x14ac:dyDescent="0.2">
      <c r="A2268" s="924" t="s">
        <v>853</v>
      </c>
      <c r="B2268" s="924" t="s">
        <v>798</v>
      </c>
      <c r="C2268" s="924" t="s">
        <v>1184</v>
      </c>
      <c r="D2268" s="924" t="s">
        <v>855</v>
      </c>
      <c r="E2268" s="924" t="s">
        <v>856</v>
      </c>
      <c r="F2268" s="924" t="s">
        <v>1052</v>
      </c>
      <c r="G2268" s="924" t="s">
        <v>981</v>
      </c>
      <c r="H2268" s="924" t="s">
        <v>835</v>
      </c>
      <c r="I2268" s="924" t="s">
        <v>1040</v>
      </c>
      <c r="J2268" s="924" t="s">
        <v>859</v>
      </c>
      <c r="K2268" s="924" t="s">
        <v>860</v>
      </c>
      <c r="L2268" s="925">
        <v>10.5649842470884</v>
      </c>
      <c r="M2268" s="925">
        <v>7.5520384561969002E-3</v>
      </c>
    </row>
    <row r="2269" spans="1:13" ht="11.25" customHeight="1" x14ac:dyDescent="0.2">
      <c r="A2269" s="924" t="s">
        <v>853</v>
      </c>
      <c r="B2269" s="924" t="s">
        <v>798</v>
      </c>
      <c r="C2269" s="924" t="s">
        <v>1184</v>
      </c>
      <c r="D2269" s="924" t="s">
        <v>855</v>
      </c>
      <c r="E2269" s="924" t="s">
        <v>856</v>
      </c>
      <c r="F2269" s="924" t="s">
        <v>1114</v>
      </c>
      <c r="G2269" s="924" t="s">
        <v>981</v>
      </c>
      <c r="H2269" s="924" t="s">
        <v>835</v>
      </c>
      <c r="I2269" s="924" t="s">
        <v>1040</v>
      </c>
      <c r="J2269" s="924" t="s">
        <v>870</v>
      </c>
      <c r="K2269" s="924" t="s">
        <v>963</v>
      </c>
      <c r="L2269" s="925">
        <v>12.578812975436399</v>
      </c>
      <c r="M2269" s="925">
        <v>2.1082709485199299E-2</v>
      </c>
    </row>
    <row r="2270" spans="1:13" ht="11.25" customHeight="1" x14ac:dyDescent="0.2">
      <c r="A2270" s="924" t="s">
        <v>853</v>
      </c>
      <c r="B2270" s="924" t="s">
        <v>798</v>
      </c>
      <c r="C2270" s="924" t="s">
        <v>1184</v>
      </c>
      <c r="D2270" s="924" t="s">
        <v>855</v>
      </c>
      <c r="E2270" s="924" t="s">
        <v>856</v>
      </c>
      <c r="F2270" s="924" t="s">
        <v>1137</v>
      </c>
      <c r="G2270" s="924" t="s">
        <v>981</v>
      </c>
      <c r="H2270" s="924" t="s">
        <v>835</v>
      </c>
      <c r="I2270" s="924" t="s">
        <v>1040</v>
      </c>
      <c r="J2270" s="924" t="s">
        <v>863</v>
      </c>
      <c r="K2270" s="924" t="s">
        <v>866</v>
      </c>
      <c r="L2270" s="925">
        <v>1.1213549859821801</v>
      </c>
      <c r="M2270" s="925">
        <v>7.6323788562149297E-4</v>
      </c>
    </row>
    <row r="2271" spans="1:13" ht="11.25" customHeight="1" x14ac:dyDescent="0.2">
      <c r="A2271" s="924" t="s">
        <v>853</v>
      </c>
      <c r="B2271" s="924" t="s">
        <v>798</v>
      </c>
      <c r="C2271" s="924" t="s">
        <v>1184</v>
      </c>
      <c r="D2271" s="924" t="s">
        <v>855</v>
      </c>
      <c r="E2271" s="924" t="s">
        <v>856</v>
      </c>
      <c r="F2271" s="924" t="s">
        <v>1148</v>
      </c>
      <c r="G2271" s="924" t="s">
        <v>981</v>
      </c>
      <c r="H2271" s="924" t="s">
        <v>835</v>
      </c>
      <c r="I2271" s="924" t="s">
        <v>1040</v>
      </c>
      <c r="J2271" s="924" t="s">
        <v>863</v>
      </c>
      <c r="K2271" s="924" t="s">
        <v>915</v>
      </c>
      <c r="L2271" s="925">
        <v>1.4322542063891901</v>
      </c>
      <c r="M2271" s="925">
        <v>5.4204810933811099E-4</v>
      </c>
    </row>
    <row r="2272" spans="1:13" ht="11.25" customHeight="1" x14ac:dyDescent="0.2">
      <c r="A2272" s="924" t="s">
        <v>853</v>
      </c>
      <c r="B2272" s="924" t="s">
        <v>798</v>
      </c>
      <c r="C2272" s="924" t="s">
        <v>1184</v>
      </c>
      <c r="D2272" s="924" t="s">
        <v>855</v>
      </c>
      <c r="E2272" s="924" t="s">
        <v>856</v>
      </c>
      <c r="F2272" s="924" t="s">
        <v>1136</v>
      </c>
      <c r="G2272" s="924" t="s">
        <v>981</v>
      </c>
      <c r="H2272" s="924" t="s">
        <v>835</v>
      </c>
      <c r="I2272" s="924" t="s">
        <v>1040</v>
      </c>
      <c r="J2272" s="924" t="s">
        <v>863</v>
      </c>
      <c r="K2272" s="924" t="s">
        <v>864</v>
      </c>
      <c r="L2272" s="925">
        <v>31.551032692193999</v>
      </c>
      <c r="M2272" s="925">
        <v>2.39252752508037E-2</v>
      </c>
    </row>
    <row r="2273" spans="1:13" ht="11.25" customHeight="1" x14ac:dyDescent="0.2">
      <c r="A2273" s="924" t="s">
        <v>853</v>
      </c>
      <c r="B2273" s="924" t="s">
        <v>798</v>
      </c>
      <c r="C2273" s="924" t="s">
        <v>1184</v>
      </c>
      <c r="D2273" s="924" t="s">
        <v>855</v>
      </c>
      <c r="E2273" s="924" t="s">
        <v>856</v>
      </c>
      <c r="F2273" s="924" t="s">
        <v>1135</v>
      </c>
      <c r="G2273" s="924" t="s">
        <v>981</v>
      </c>
      <c r="H2273" s="924" t="s">
        <v>835</v>
      </c>
      <c r="I2273" s="924" t="s">
        <v>1040</v>
      </c>
      <c r="J2273" s="924" t="s">
        <v>863</v>
      </c>
      <c r="K2273" s="924" t="s">
        <v>935</v>
      </c>
      <c r="L2273" s="925">
        <v>16.790746018290498</v>
      </c>
      <c r="M2273" s="925">
        <v>6.13865004561376E-3</v>
      </c>
    </row>
    <row r="2274" spans="1:13" ht="11.25" customHeight="1" x14ac:dyDescent="0.2">
      <c r="A2274" s="924" t="s">
        <v>853</v>
      </c>
      <c r="B2274" s="924" t="s">
        <v>798</v>
      </c>
      <c r="C2274" s="924" t="s">
        <v>1184</v>
      </c>
      <c r="D2274" s="924" t="s">
        <v>855</v>
      </c>
      <c r="E2274" s="924" t="s">
        <v>856</v>
      </c>
      <c r="F2274" s="924" t="s">
        <v>1134</v>
      </c>
      <c r="G2274" s="924" t="s">
        <v>981</v>
      </c>
      <c r="H2274" s="924" t="s">
        <v>835</v>
      </c>
      <c r="I2274" s="924" t="s">
        <v>1040</v>
      </c>
      <c r="J2274" s="924" t="s">
        <v>863</v>
      </c>
      <c r="K2274" s="924" t="s">
        <v>933</v>
      </c>
      <c r="L2274" s="925">
        <v>77.992920875549302</v>
      </c>
      <c r="M2274" s="925">
        <v>5.5960681929718703E-3</v>
      </c>
    </row>
    <row r="2275" spans="1:13" ht="11.25" customHeight="1" x14ac:dyDescent="0.2">
      <c r="A2275" s="924" t="s">
        <v>853</v>
      </c>
      <c r="B2275" s="924" t="s">
        <v>798</v>
      </c>
      <c r="C2275" s="924" t="s">
        <v>1184</v>
      </c>
      <c r="D2275" s="924" t="s">
        <v>855</v>
      </c>
      <c r="E2275" s="924" t="s">
        <v>856</v>
      </c>
      <c r="F2275" s="924" t="s">
        <v>1138</v>
      </c>
      <c r="G2275" s="924" t="s">
        <v>981</v>
      </c>
      <c r="H2275" s="924" t="s">
        <v>835</v>
      </c>
      <c r="I2275" s="924" t="s">
        <v>1040</v>
      </c>
      <c r="J2275" s="924" t="s">
        <v>863</v>
      </c>
      <c r="K2275" s="924" t="s">
        <v>931</v>
      </c>
      <c r="L2275" s="925">
        <v>20.324920445680601</v>
      </c>
      <c r="M2275" s="925">
        <v>7.9407422072108602E-3</v>
      </c>
    </row>
    <row r="2276" spans="1:13" ht="11.25" customHeight="1" x14ac:dyDescent="0.2">
      <c r="A2276" s="924" t="s">
        <v>853</v>
      </c>
      <c r="B2276" s="924" t="s">
        <v>798</v>
      </c>
      <c r="C2276" s="924" t="s">
        <v>1184</v>
      </c>
      <c r="D2276" s="924" t="s">
        <v>855</v>
      </c>
      <c r="E2276" s="924" t="s">
        <v>856</v>
      </c>
      <c r="F2276" s="924" t="s">
        <v>1041</v>
      </c>
      <c r="G2276" s="924" t="s">
        <v>981</v>
      </c>
      <c r="H2276" s="924" t="s">
        <v>835</v>
      </c>
      <c r="I2276" s="924" t="s">
        <v>1040</v>
      </c>
      <c r="J2276" s="924" t="s">
        <v>859</v>
      </c>
      <c r="K2276" s="924" t="s">
        <v>891</v>
      </c>
      <c r="L2276" s="925">
        <v>1.86690143309534</v>
      </c>
      <c r="M2276" s="925">
        <v>9.44760935226441E-4</v>
      </c>
    </row>
    <row r="2277" spans="1:13" ht="11.25" customHeight="1" x14ac:dyDescent="0.2">
      <c r="A2277" s="924" t="s">
        <v>853</v>
      </c>
      <c r="B2277" s="924" t="s">
        <v>798</v>
      </c>
      <c r="C2277" s="924" t="s">
        <v>1184</v>
      </c>
      <c r="D2277" s="924" t="s">
        <v>855</v>
      </c>
      <c r="E2277" s="924" t="s">
        <v>856</v>
      </c>
      <c r="F2277" s="924" t="s">
        <v>1067</v>
      </c>
      <c r="G2277" s="924" t="s">
        <v>981</v>
      </c>
      <c r="H2277" s="924" t="s">
        <v>835</v>
      </c>
      <c r="I2277" s="924" t="s">
        <v>1040</v>
      </c>
      <c r="J2277" s="924" t="s">
        <v>859</v>
      </c>
      <c r="K2277" s="924" t="s">
        <v>1011</v>
      </c>
      <c r="L2277" s="925">
        <v>2.7001283168792698</v>
      </c>
      <c r="M2277" s="925">
        <v>1.9408212490645801E-3</v>
      </c>
    </row>
    <row r="2278" spans="1:13" ht="11.25" customHeight="1" x14ac:dyDescent="0.2">
      <c r="A2278" s="924" t="s">
        <v>853</v>
      </c>
      <c r="B2278" s="924" t="s">
        <v>798</v>
      </c>
      <c r="C2278" s="924" t="s">
        <v>1184</v>
      </c>
      <c r="D2278" s="924" t="s">
        <v>855</v>
      </c>
      <c r="E2278" s="924" t="s">
        <v>856</v>
      </c>
      <c r="F2278" s="924" t="s">
        <v>1115</v>
      </c>
      <c r="G2278" s="924" t="s">
        <v>981</v>
      </c>
      <c r="H2278" s="924" t="s">
        <v>835</v>
      </c>
      <c r="I2278" s="924" t="s">
        <v>1040</v>
      </c>
      <c r="J2278" s="924" t="s">
        <v>870</v>
      </c>
      <c r="K2278" s="924" t="s">
        <v>965</v>
      </c>
      <c r="L2278" s="925">
        <v>2.7131464881822498</v>
      </c>
      <c r="M2278" s="925">
        <v>2.2982414361649699E-3</v>
      </c>
    </row>
    <row r="2279" spans="1:13" ht="11.25" customHeight="1" x14ac:dyDescent="0.2">
      <c r="A2279" s="924" t="s">
        <v>853</v>
      </c>
      <c r="B2279" s="924" t="s">
        <v>798</v>
      </c>
      <c r="C2279" s="924" t="s">
        <v>1184</v>
      </c>
      <c r="D2279" s="924" t="s">
        <v>855</v>
      </c>
      <c r="E2279" s="924" t="s">
        <v>856</v>
      </c>
      <c r="F2279" s="924" t="s">
        <v>1065</v>
      </c>
      <c r="G2279" s="924" t="s">
        <v>981</v>
      </c>
      <c r="H2279" s="924" t="s">
        <v>835</v>
      </c>
      <c r="I2279" s="924" t="s">
        <v>1040</v>
      </c>
      <c r="J2279" s="924" t="s">
        <v>859</v>
      </c>
      <c r="K2279" s="924" t="s">
        <v>926</v>
      </c>
      <c r="L2279" s="925">
        <v>11.966109529137601</v>
      </c>
      <c r="M2279" s="925">
        <v>8.0536215245956607E-3</v>
      </c>
    </row>
    <row r="2280" spans="1:13" ht="11.25" customHeight="1" x14ac:dyDescent="0.2">
      <c r="A2280" s="924" t="s">
        <v>853</v>
      </c>
      <c r="B2280" s="924" t="s">
        <v>798</v>
      </c>
      <c r="C2280" s="924" t="s">
        <v>1184</v>
      </c>
      <c r="D2280" s="924" t="s">
        <v>855</v>
      </c>
      <c r="E2280" s="924" t="s">
        <v>856</v>
      </c>
      <c r="F2280" s="924" t="s">
        <v>1143</v>
      </c>
      <c r="G2280" s="924" t="s">
        <v>981</v>
      </c>
      <c r="H2280" s="924" t="s">
        <v>835</v>
      </c>
      <c r="I2280" s="924" t="s">
        <v>1040</v>
      </c>
      <c r="J2280" s="924" t="s">
        <v>940</v>
      </c>
      <c r="K2280" s="924" t="s">
        <v>1084</v>
      </c>
      <c r="L2280" s="925">
        <v>22.200545951724099</v>
      </c>
      <c r="M2280" s="925">
        <v>1.6405005706474199E-2</v>
      </c>
    </row>
    <row r="2281" spans="1:13" ht="11.25" customHeight="1" x14ac:dyDescent="0.2">
      <c r="A2281" s="924" t="s">
        <v>853</v>
      </c>
      <c r="B2281" s="924" t="s">
        <v>798</v>
      </c>
      <c r="C2281" s="924" t="s">
        <v>1184</v>
      </c>
      <c r="D2281" s="924" t="s">
        <v>855</v>
      </c>
      <c r="E2281" s="924" t="s">
        <v>856</v>
      </c>
      <c r="F2281" s="924" t="s">
        <v>1063</v>
      </c>
      <c r="G2281" s="924" t="s">
        <v>981</v>
      </c>
      <c r="H2281" s="924" t="s">
        <v>835</v>
      </c>
      <c r="I2281" s="924" t="s">
        <v>1040</v>
      </c>
      <c r="J2281" s="924" t="s">
        <v>859</v>
      </c>
      <c r="K2281" s="924" t="s">
        <v>922</v>
      </c>
      <c r="L2281" s="925">
        <v>2.07395987585187</v>
      </c>
      <c r="M2281" s="925">
        <v>3.7940033001859801E-4</v>
      </c>
    </row>
    <row r="2282" spans="1:13" ht="11.25" customHeight="1" x14ac:dyDescent="0.2">
      <c r="A2282" s="924" t="s">
        <v>853</v>
      </c>
      <c r="B2282" s="924" t="s">
        <v>798</v>
      </c>
      <c r="C2282" s="924" t="s">
        <v>1184</v>
      </c>
      <c r="D2282" s="924" t="s">
        <v>855</v>
      </c>
      <c r="E2282" s="924" t="s">
        <v>856</v>
      </c>
      <c r="F2282" s="924" t="s">
        <v>1062</v>
      </c>
      <c r="G2282" s="924" t="s">
        <v>981</v>
      </c>
      <c r="H2282" s="924" t="s">
        <v>835</v>
      </c>
      <c r="I2282" s="924" t="s">
        <v>1040</v>
      </c>
      <c r="J2282" s="924" t="s">
        <v>859</v>
      </c>
      <c r="K2282" s="924" t="s">
        <v>920</v>
      </c>
      <c r="L2282" s="925">
        <v>2.35993018187582</v>
      </c>
      <c r="M2282" s="925">
        <v>1.61877172095615E-3</v>
      </c>
    </row>
    <row r="2283" spans="1:13" ht="11.25" customHeight="1" x14ac:dyDescent="0.2">
      <c r="A2283" s="924" t="s">
        <v>853</v>
      </c>
      <c r="B2283" s="924" t="s">
        <v>798</v>
      </c>
      <c r="C2283" s="924" t="s">
        <v>1184</v>
      </c>
      <c r="D2283" s="924" t="s">
        <v>855</v>
      </c>
      <c r="E2283" s="924" t="s">
        <v>856</v>
      </c>
      <c r="F2283" s="924" t="s">
        <v>1061</v>
      </c>
      <c r="G2283" s="924" t="s">
        <v>981</v>
      </c>
      <c r="H2283" s="924" t="s">
        <v>835</v>
      </c>
      <c r="I2283" s="924" t="s">
        <v>1040</v>
      </c>
      <c r="J2283" s="924" t="s">
        <v>859</v>
      </c>
      <c r="K2283" s="924" t="s">
        <v>918</v>
      </c>
      <c r="L2283" s="925">
        <v>1.35446828603745</v>
      </c>
      <c r="M2283" s="925">
        <v>6.0312706068543797E-4</v>
      </c>
    </row>
    <row r="2284" spans="1:13" ht="11.25" customHeight="1" x14ac:dyDescent="0.2">
      <c r="A2284" s="924" t="s">
        <v>853</v>
      </c>
      <c r="B2284" s="924" t="s">
        <v>798</v>
      </c>
      <c r="C2284" s="924" t="s">
        <v>1184</v>
      </c>
      <c r="D2284" s="924" t="s">
        <v>855</v>
      </c>
      <c r="E2284" s="924" t="s">
        <v>856</v>
      </c>
      <c r="F2284" s="924" t="s">
        <v>1060</v>
      </c>
      <c r="G2284" s="924" t="s">
        <v>981</v>
      </c>
      <c r="H2284" s="924" t="s">
        <v>835</v>
      </c>
      <c r="I2284" s="924" t="s">
        <v>1040</v>
      </c>
      <c r="J2284" s="924" t="s">
        <v>859</v>
      </c>
      <c r="K2284" s="924" t="s">
        <v>973</v>
      </c>
      <c r="L2284" s="925">
        <v>17.4853745251894</v>
      </c>
      <c r="M2284" s="925">
        <v>1.2053810351631E-2</v>
      </c>
    </row>
    <row r="2285" spans="1:13" ht="11.25" customHeight="1" x14ac:dyDescent="0.2">
      <c r="A2285" s="924" t="s">
        <v>853</v>
      </c>
      <c r="B2285" s="924" t="s">
        <v>798</v>
      </c>
      <c r="C2285" s="924" t="s">
        <v>1184</v>
      </c>
      <c r="D2285" s="924" t="s">
        <v>855</v>
      </c>
      <c r="E2285" s="924" t="s">
        <v>856</v>
      </c>
      <c r="F2285" s="924" t="s">
        <v>1059</v>
      </c>
      <c r="G2285" s="924" t="s">
        <v>981</v>
      </c>
      <c r="H2285" s="924" t="s">
        <v>835</v>
      </c>
      <c r="I2285" s="924" t="s">
        <v>1040</v>
      </c>
      <c r="J2285" s="924" t="s">
        <v>859</v>
      </c>
      <c r="K2285" s="924" t="s">
        <v>909</v>
      </c>
      <c r="L2285" s="925">
        <v>36.453976333141298</v>
      </c>
      <c r="M2285" s="925">
        <v>2.5529278384055901E-2</v>
      </c>
    </row>
    <row r="2286" spans="1:13" ht="11.25" customHeight="1" x14ac:dyDescent="0.2">
      <c r="A2286" s="924" t="s">
        <v>853</v>
      </c>
      <c r="B2286" s="924" t="s">
        <v>798</v>
      </c>
      <c r="C2286" s="924" t="s">
        <v>1184</v>
      </c>
      <c r="D2286" s="924" t="s">
        <v>855</v>
      </c>
      <c r="E2286" s="924" t="s">
        <v>856</v>
      </c>
      <c r="F2286" s="924" t="s">
        <v>1058</v>
      </c>
      <c r="G2286" s="924" t="s">
        <v>981</v>
      </c>
      <c r="H2286" s="924" t="s">
        <v>835</v>
      </c>
      <c r="I2286" s="924" t="s">
        <v>1040</v>
      </c>
      <c r="J2286" s="924" t="s">
        <v>859</v>
      </c>
      <c r="K2286" s="924" t="s">
        <v>905</v>
      </c>
      <c r="L2286" s="925">
        <v>6.1168486624956104</v>
      </c>
      <c r="M2286" s="925">
        <v>4.90064490486475E-3</v>
      </c>
    </row>
    <row r="2287" spans="1:13" ht="11.25" customHeight="1" x14ac:dyDescent="0.2">
      <c r="A2287" s="924" t="s">
        <v>853</v>
      </c>
      <c r="B2287" s="924" t="s">
        <v>798</v>
      </c>
      <c r="C2287" s="924" t="s">
        <v>1184</v>
      </c>
      <c r="D2287" s="924" t="s">
        <v>855</v>
      </c>
      <c r="E2287" s="924" t="s">
        <v>856</v>
      </c>
      <c r="F2287" s="924" t="s">
        <v>1057</v>
      </c>
      <c r="G2287" s="924" t="s">
        <v>981</v>
      </c>
      <c r="H2287" s="924" t="s">
        <v>835</v>
      </c>
      <c r="I2287" s="924" t="s">
        <v>1040</v>
      </c>
      <c r="J2287" s="924" t="s">
        <v>859</v>
      </c>
      <c r="K2287" s="924" t="s">
        <v>903</v>
      </c>
      <c r="L2287" s="925">
        <v>17.442537024617199</v>
      </c>
      <c r="M2287" s="925">
        <v>1.09014175804987E-2</v>
      </c>
    </row>
    <row r="2288" spans="1:13" ht="11.25" customHeight="1" x14ac:dyDescent="0.2">
      <c r="A2288" s="924" t="s">
        <v>853</v>
      </c>
      <c r="B2288" s="924" t="s">
        <v>798</v>
      </c>
      <c r="C2288" s="924" t="s">
        <v>1184</v>
      </c>
      <c r="D2288" s="924" t="s">
        <v>855</v>
      </c>
      <c r="E2288" s="924" t="s">
        <v>856</v>
      </c>
      <c r="F2288" s="924" t="s">
        <v>1039</v>
      </c>
      <c r="G2288" s="924" t="s">
        <v>981</v>
      </c>
      <c r="H2288" s="924" t="s">
        <v>835</v>
      </c>
      <c r="I2288" s="924" t="s">
        <v>1040</v>
      </c>
      <c r="J2288" s="924" t="s">
        <v>859</v>
      </c>
      <c r="K2288" s="924" t="s">
        <v>901</v>
      </c>
      <c r="L2288" s="925">
        <v>0.43568030185997503</v>
      </c>
      <c r="M2288" s="925">
        <v>3.2572633608651802E-4</v>
      </c>
    </row>
    <row r="2289" spans="1:13" ht="11.25" customHeight="1" x14ac:dyDescent="0.2">
      <c r="A2289" s="924" t="s">
        <v>853</v>
      </c>
      <c r="B2289" s="924" t="s">
        <v>798</v>
      </c>
      <c r="C2289" s="924" t="s">
        <v>1184</v>
      </c>
      <c r="D2289" s="924" t="s">
        <v>855</v>
      </c>
      <c r="E2289" s="924" t="s">
        <v>856</v>
      </c>
      <c r="F2289" s="924" t="s">
        <v>1055</v>
      </c>
      <c r="G2289" s="924" t="s">
        <v>981</v>
      </c>
      <c r="H2289" s="924" t="s">
        <v>835</v>
      </c>
      <c r="I2289" s="924" t="s">
        <v>1040</v>
      </c>
      <c r="J2289" s="924" t="s">
        <v>859</v>
      </c>
      <c r="K2289" s="924" t="s">
        <v>899</v>
      </c>
      <c r="L2289" s="925">
        <v>8.3576594144105893</v>
      </c>
      <c r="M2289" s="925">
        <v>5.96176093728928E-3</v>
      </c>
    </row>
    <row r="2290" spans="1:13" ht="11.25" customHeight="1" x14ac:dyDescent="0.2">
      <c r="A2290" s="924" t="s">
        <v>853</v>
      </c>
      <c r="B2290" s="924" t="s">
        <v>798</v>
      </c>
      <c r="C2290" s="924" t="s">
        <v>1184</v>
      </c>
      <c r="D2290" s="924" t="s">
        <v>855</v>
      </c>
      <c r="E2290" s="924" t="s">
        <v>856</v>
      </c>
      <c r="F2290" s="924" t="s">
        <v>1068</v>
      </c>
      <c r="G2290" s="924" t="s">
        <v>981</v>
      </c>
      <c r="H2290" s="924" t="s">
        <v>835</v>
      </c>
      <c r="I2290" s="924" t="s">
        <v>1040</v>
      </c>
      <c r="J2290" s="924" t="s">
        <v>859</v>
      </c>
      <c r="K2290" s="924" t="s">
        <v>897</v>
      </c>
      <c r="L2290" s="925">
        <v>19.828860729932799</v>
      </c>
      <c r="M2290" s="925">
        <v>1.3415246908095899E-2</v>
      </c>
    </row>
    <row r="2291" spans="1:13" ht="11.25" customHeight="1" x14ac:dyDescent="0.2">
      <c r="A2291" s="924" t="s">
        <v>853</v>
      </c>
      <c r="B2291" s="924" t="s">
        <v>798</v>
      </c>
      <c r="C2291" s="924" t="s">
        <v>1184</v>
      </c>
      <c r="D2291" s="924" t="s">
        <v>855</v>
      </c>
      <c r="E2291" s="924" t="s">
        <v>856</v>
      </c>
      <c r="F2291" s="924" t="s">
        <v>1053</v>
      </c>
      <c r="G2291" s="924" t="s">
        <v>981</v>
      </c>
      <c r="H2291" s="924" t="s">
        <v>835</v>
      </c>
      <c r="I2291" s="924" t="s">
        <v>1040</v>
      </c>
      <c r="J2291" s="924" t="s">
        <v>859</v>
      </c>
      <c r="K2291" s="924" t="s">
        <v>893</v>
      </c>
      <c r="L2291" s="925">
        <v>9.9452575147151894</v>
      </c>
      <c r="M2291" s="925">
        <v>6.1324071139097196E-3</v>
      </c>
    </row>
    <row r="2292" spans="1:13" ht="11.25" customHeight="1" x14ac:dyDescent="0.2">
      <c r="A2292" s="924" t="s">
        <v>853</v>
      </c>
      <c r="B2292" s="924" t="s">
        <v>798</v>
      </c>
      <c r="C2292" s="924" t="s">
        <v>1184</v>
      </c>
      <c r="D2292" s="924" t="s">
        <v>855</v>
      </c>
      <c r="E2292" s="924" t="s">
        <v>856</v>
      </c>
      <c r="F2292" s="924" t="s">
        <v>1066</v>
      </c>
      <c r="G2292" s="924" t="s">
        <v>981</v>
      </c>
      <c r="H2292" s="924" t="s">
        <v>835</v>
      </c>
      <c r="I2292" s="924" t="s">
        <v>1040</v>
      </c>
      <c r="J2292" s="924" t="s">
        <v>859</v>
      </c>
      <c r="K2292" s="924" t="s">
        <v>928</v>
      </c>
      <c r="L2292" s="925">
        <v>8.1226304769515991</v>
      </c>
      <c r="M2292" s="925">
        <v>4.1574432284505703E-3</v>
      </c>
    </row>
    <row r="2293" spans="1:13" ht="11.25" customHeight="1" x14ac:dyDescent="0.2">
      <c r="A2293" s="924" t="s">
        <v>853</v>
      </c>
      <c r="B2293" s="924" t="s">
        <v>798</v>
      </c>
      <c r="C2293" s="924" t="s">
        <v>1184</v>
      </c>
      <c r="D2293" s="924" t="s">
        <v>855</v>
      </c>
      <c r="E2293" s="924" t="s">
        <v>856</v>
      </c>
      <c r="F2293" s="924" t="s">
        <v>1146</v>
      </c>
      <c r="G2293" s="924" t="s">
        <v>981</v>
      </c>
      <c r="H2293" s="924" t="s">
        <v>835</v>
      </c>
      <c r="I2293" s="924" t="s">
        <v>1040</v>
      </c>
      <c r="J2293" s="924" t="s">
        <v>940</v>
      </c>
      <c r="K2293" s="924" t="s">
        <v>1147</v>
      </c>
      <c r="L2293" s="925">
        <v>699.33858871459995</v>
      </c>
      <c r="M2293" s="925">
        <v>0.454702285584062</v>
      </c>
    </row>
    <row r="2294" spans="1:13" ht="11.25" customHeight="1" x14ac:dyDescent="0.2">
      <c r="A2294" s="924" t="s">
        <v>853</v>
      </c>
      <c r="B2294" s="924" t="s">
        <v>798</v>
      </c>
      <c r="C2294" s="924" t="s">
        <v>1184</v>
      </c>
      <c r="D2294" s="924" t="s">
        <v>855</v>
      </c>
      <c r="E2294" s="924" t="s">
        <v>856</v>
      </c>
      <c r="F2294" s="924" t="s">
        <v>916</v>
      </c>
      <c r="G2294" s="924" t="s">
        <v>911</v>
      </c>
      <c r="H2294" s="924" t="s">
        <v>665</v>
      </c>
      <c r="I2294" s="924" t="s">
        <v>706</v>
      </c>
      <c r="J2294" s="924" t="s">
        <v>859</v>
      </c>
      <c r="K2294" s="924" t="s">
        <v>909</v>
      </c>
      <c r="L2294" s="925">
        <v>2.3604189790785299</v>
      </c>
      <c r="M2294" s="925">
        <v>1.0924862169758899E-4</v>
      </c>
    </row>
    <row r="2295" spans="1:13" ht="11.25" customHeight="1" x14ac:dyDescent="0.2">
      <c r="A2295" s="924" t="s">
        <v>853</v>
      </c>
      <c r="B2295" s="924" t="s">
        <v>798</v>
      </c>
      <c r="C2295" s="924" t="s">
        <v>1184</v>
      </c>
      <c r="D2295" s="924" t="s">
        <v>855</v>
      </c>
      <c r="E2295" s="924" t="s">
        <v>856</v>
      </c>
      <c r="F2295" s="924" t="s">
        <v>1113</v>
      </c>
      <c r="G2295" s="924" t="s">
        <v>981</v>
      </c>
      <c r="H2295" s="924" t="s">
        <v>835</v>
      </c>
      <c r="I2295" s="924" t="s">
        <v>1040</v>
      </c>
      <c r="J2295" s="924" t="s">
        <v>870</v>
      </c>
      <c r="K2295" s="924" t="s">
        <v>961</v>
      </c>
      <c r="L2295" s="925">
        <v>5.7677800189703703</v>
      </c>
      <c r="M2295" s="925">
        <v>4.4105635600999397E-3</v>
      </c>
    </row>
    <row r="2296" spans="1:13" ht="11.25" customHeight="1" x14ac:dyDescent="0.2">
      <c r="A2296" s="924" t="s">
        <v>853</v>
      </c>
      <c r="B2296" s="924" t="s">
        <v>798</v>
      </c>
      <c r="C2296" s="924" t="s">
        <v>1184</v>
      </c>
      <c r="D2296" s="924" t="s">
        <v>855</v>
      </c>
      <c r="E2296" s="924" t="s">
        <v>856</v>
      </c>
      <c r="F2296" s="924" t="s">
        <v>1112</v>
      </c>
      <c r="G2296" s="924" t="s">
        <v>981</v>
      </c>
      <c r="H2296" s="924" t="s">
        <v>835</v>
      </c>
      <c r="I2296" s="924" t="s">
        <v>1040</v>
      </c>
      <c r="J2296" s="924" t="s">
        <v>870</v>
      </c>
      <c r="K2296" s="924" t="s">
        <v>959</v>
      </c>
      <c r="L2296" s="925">
        <v>0.52781264076475098</v>
      </c>
      <c r="M2296" s="925">
        <v>3.5165815188520399E-4</v>
      </c>
    </row>
    <row r="2297" spans="1:13" ht="11.25" customHeight="1" x14ac:dyDescent="0.2">
      <c r="A2297" s="924" t="s">
        <v>853</v>
      </c>
      <c r="B2297" s="924" t="s">
        <v>798</v>
      </c>
      <c r="C2297" s="924" t="s">
        <v>1184</v>
      </c>
      <c r="D2297" s="924" t="s">
        <v>855</v>
      </c>
      <c r="E2297" s="924" t="s">
        <v>856</v>
      </c>
      <c r="F2297" s="924" t="s">
        <v>1111</v>
      </c>
      <c r="G2297" s="924" t="s">
        <v>981</v>
      </c>
      <c r="H2297" s="924" t="s">
        <v>835</v>
      </c>
      <c r="I2297" s="924" t="s">
        <v>1040</v>
      </c>
      <c r="J2297" s="924" t="s">
        <v>870</v>
      </c>
      <c r="K2297" s="924" t="s">
        <v>1016</v>
      </c>
      <c r="L2297" s="925">
        <v>1.7131776763126301</v>
      </c>
      <c r="M2297" s="925">
        <v>1.4511921901885199E-3</v>
      </c>
    </row>
    <row r="2298" spans="1:13" ht="11.25" customHeight="1" x14ac:dyDescent="0.2">
      <c r="A2298" s="924" t="s">
        <v>853</v>
      </c>
      <c r="B2298" s="924" t="s">
        <v>798</v>
      </c>
      <c r="C2298" s="924" t="s">
        <v>1184</v>
      </c>
      <c r="D2298" s="924" t="s">
        <v>855</v>
      </c>
      <c r="E2298" s="924" t="s">
        <v>856</v>
      </c>
      <c r="F2298" s="924" t="s">
        <v>1110</v>
      </c>
      <c r="G2298" s="924" t="s">
        <v>981</v>
      </c>
      <c r="H2298" s="924" t="s">
        <v>835</v>
      </c>
      <c r="I2298" s="924" t="s">
        <v>1040</v>
      </c>
      <c r="J2298" s="924" t="s">
        <v>870</v>
      </c>
      <c r="K2298" s="924" t="s">
        <v>1019</v>
      </c>
      <c r="L2298" s="925">
        <v>1.9135806753183701E-2</v>
      </c>
      <c r="M2298" s="925">
        <v>1.6157053716270301E-5</v>
      </c>
    </row>
    <row r="2299" spans="1:13" ht="11.25" customHeight="1" x14ac:dyDescent="0.2">
      <c r="A2299" s="924" t="s">
        <v>853</v>
      </c>
      <c r="B2299" s="924" t="s">
        <v>798</v>
      </c>
      <c r="C2299" s="924" t="s">
        <v>1184</v>
      </c>
      <c r="D2299" s="924" t="s">
        <v>855</v>
      </c>
      <c r="E2299" s="924" t="s">
        <v>856</v>
      </c>
      <c r="F2299" s="924" t="s">
        <v>1109</v>
      </c>
      <c r="G2299" s="924" t="s">
        <v>981</v>
      </c>
      <c r="H2299" s="924" t="s">
        <v>835</v>
      </c>
      <c r="I2299" s="924" t="s">
        <v>1040</v>
      </c>
      <c r="J2299" s="924" t="s">
        <v>870</v>
      </c>
      <c r="K2299" s="924" t="s">
        <v>976</v>
      </c>
      <c r="L2299" s="925">
        <v>2.47792889177799</v>
      </c>
      <c r="M2299" s="925">
        <v>5.1248697193173598E-4</v>
      </c>
    </row>
    <row r="2300" spans="1:13" ht="11.25" customHeight="1" x14ac:dyDescent="0.2">
      <c r="A2300" s="924" t="s">
        <v>853</v>
      </c>
      <c r="B2300" s="924" t="s">
        <v>798</v>
      </c>
      <c r="C2300" s="924" t="s">
        <v>1184</v>
      </c>
      <c r="D2300" s="924" t="s">
        <v>855</v>
      </c>
      <c r="E2300" s="924" t="s">
        <v>856</v>
      </c>
      <c r="F2300" s="924" t="s">
        <v>1108</v>
      </c>
      <c r="G2300" s="924" t="s">
        <v>981</v>
      </c>
      <c r="H2300" s="924" t="s">
        <v>835</v>
      </c>
      <c r="I2300" s="924" t="s">
        <v>1040</v>
      </c>
      <c r="J2300" s="924" t="s">
        <v>870</v>
      </c>
      <c r="K2300" s="924" t="s">
        <v>1036</v>
      </c>
      <c r="L2300" s="925">
        <v>0.64216172648593794</v>
      </c>
      <c r="M2300" s="925">
        <v>4.39134022826693E-4</v>
      </c>
    </row>
    <row r="2301" spans="1:13" ht="11.25" customHeight="1" x14ac:dyDescent="0.2">
      <c r="A2301" s="924" t="s">
        <v>853</v>
      </c>
      <c r="B2301" s="924" t="s">
        <v>798</v>
      </c>
      <c r="C2301" s="924" t="s">
        <v>1184</v>
      </c>
      <c r="D2301" s="924" t="s">
        <v>855</v>
      </c>
      <c r="E2301" s="924" t="s">
        <v>856</v>
      </c>
      <c r="F2301" s="924" t="s">
        <v>1107</v>
      </c>
      <c r="G2301" s="924" t="s">
        <v>981</v>
      </c>
      <c r="H2301" s="924" t="s">
        <v>835</v>
      </c>
      <c r="I2301" s="924" t="s">
        <v>1040</v>
      </c>
      <c r="J2301" s="924" t="s">
        <v>940</v>
      </c>
      <c r="K2301" s="924" t="s">
        <v>1034</v>
      </c>
      <c r="L2301" s="925">
        <v>95.322985470294995</v>
      </c>
      <c r="M2301" s="925">
        <v>7.0023124070701201E-2</v>
      </c>
    </row>
    <row r="2302" spans="1:13" ht="11.25" customHeight="1" x14ac:dyDescent="0.2">
      <c r="A2302" s="924" t="s">
        <v>853</v>
      </c>
      <c r="B2302" s="924" t="s">
        <v>798</v>
      </c>
      <c r="C2302" s="924" t="s">
        <v>1184</v>
      </c>
      <c r="D2302" s="924" t="s">
        <v>855</v>
      </c>
      <c r="E2302" s="924" t="s">
        <v>856</v>
      </c>
      <c r="F2302" s="924" t="s">
        <v>1105</v>
      </c>
      <c r="G2302" s="924" t="s">
        <v>981</v>
      </c>
      <c r="H2302" s="924" t="s">
        <v>835</v>
      </c>
      <c r="I2302" s="924" t="s">
        <v>1040</v>
      </c>
      <c r="J2302" s="924" t="s">
        <v>940</v>
      </c>
      <c r="K2302" s="924" t="s">
        <v>1106</v>
      </c>
      <c r="L2302" s="925">
        <v>24.861571550369302</v>
      </c>
      <c r="M2302" s="925">
        <v>1.8407496144920502E-2</v>
      </c>
    </row>
    <row r="2303" spans="1:13" ht="11.25" customHeight="1" x14ac:dyDescent="0.2">
      <c r="A2303" s="924" t="s">
        <v>853</v>
      </c>
      <c r="B2303" s="924" t="s">
        <v>798</v>
      </c>
      <c r="C2303" s="924" t="s">
        <v>1184</v>
      </c>
      <c r="D2303" s="924" t="s">
        <v>855</v>
      </c>
      <c r="E2303" s="924" t="s">
        <v>856</v>
      </c>
      <c r="F2303" s="924" t="s">
        <v>1116</v>
      </c>
      <c r="G2303" s="924" t="s">
        <v>981</v>
      </c>
      <c r="H2303" s="924" t="s">
        <v>835</v>
      </c>
      <c r="I2303" s="924" t="s">
        <v>1040</v>
      </c>
      <c r="J2303" s="924" t="s">
        <v>940</v>
      </c>
      <c r="K2303" s="924" t="s">
        <v>1032</v>
      </c>
      <c r="L2303" s="925">
        <v>3101.0078153610202</v>
      </c>
      <c r="M2303" s="925">
        <v>1.97458680905402</v>
      </c>
    </row>
    <row r="2304" spans="1:13" ht="11.25" customHeight="1" x14ac:dyDescent="0.2">
      <c r="A2304" s="924" t="s">
        <v>853</v>
      </c>
      <c r="B2304" s="924" t="s">
        <v>798</v>
      </c>
      <c r="C2304" s="924" t="s">
        <v>1184</v>
      </c>
      <c r="D2304" s="924" t="s">
        <v>855</v>
      </c>
      <c r="E2304" s="924" t="s">
        <v>856</v>
      </c>
      <c r="F2304" s="924" t="s">
        <v>1139</v>
      </c>
      <c r="G2304" s="924" t="s">
        <v>981</v>
      </c>
      <c r="H2304" s="924" t="s">
        <v>835</v>
      </c>
      <c r="I2304" s="924" t="s">
        <v>1040</v>
      </c>
      <c r="J2304" s="924" t="s">
        <v>940</v>
      </c>
      <c r="K2304" s="924" t="s">
        <v>1140</v>
      </c>
      <c r="L2304" s="925">
        <v>257.990186452866</v>
      </c>
      <c r="M2304" s="925">
        <v>0.19094554113347301</v>
      </c>
    </row>
    <row r="2305" spans="1:13" ht="11.25" customHeight="1" x14ac:dyDescent="0.2">
      <c r="A2305" s="924" t="s">
        <v>853</v>
      </c>
      <c r="B2305" s="924" t="s">
        <v>798</v>
      </c>
      <c r="C2305" s="924" t="s">
        <v>1184</v>
      </c>
      <c r="D2305" s="924" t="s">
        <v>855</v>
      </c>
      <c r="E2305" s="924" t="s">
        <v>856</v>
      </c>
      <c r="F2305" s="924" t="s">
        <v>1145</v>
      </c>
      <c r="G2305" s="924" t="s">
        <v>981</v>
      </c>
      <c r="H2305" s="924" t="s">
        <v>835</v>
      </c>
      <c r="I2305" s="924" t="s">
        <v>1040</v>
      </c>
      <c r="J2305" s="924" t="s">
        <v>940</v>
      </c>
      <c r="K2305" s="924" t="s">
        <v>1029</v>
      </c>
      <c r="L2305" s="925">
        <v>960.66379547119095</v>
      </c>
      <c r="M2305" s="925">
        <v>0.63799498300068103</v>
      </c>
    </row>
    <row r="2306" spans="1:13" ht="11.25" customHeight="1" x14ac:dyDescent="0.2">
      <c r="A2306" s="924" t="s">
        <v>853</v>
      </c>
      <c r="B2306" s="924" t="s">
        <v>798</v>
      </c>
      <c r="C2306" s="924" t="s">
        <v>1184</v>
      </c>
      <c r="D2306" s="924" t="s">
        <v>855</v>
      </c>
      <c r="E2306" s="924" t="s">
        <v>856</v>
      </c>
      <c r="F2306" s="924" t="s">
        <v>1131</v>
      </c>
      <c r="G2306" s="924" t="s">
        <v>981</v>
      </c>
      <c r="H2306" s="924" t="s">
        <v>835</v>
      </c>
      <c r="I2306" s="924" t="s">
        <v>1040</v>
      </c>
      <c r="J2306" s="924" t="s">
        <v>863</v>
      </c>
      <c r="K2306" s="924" t="s">
        <v>868</v>
      </c>
      <c r="L2306" s="925">
        <v>6.9044996127486202</v>
      </c>
      <c r="M2306" s="925">
        <v>4.9514938336869796E-4</v>
      </c>
    </row>
    <row r="2307" spans="1:13" ht="11.25" customHeight="1" x14ac:dyDescent="0.2">
      <c r="A2307" s="924" t="s">
        <v>853</v>
      </c>
      <c r="B2307" s="924" t="s">
        <v>798</v>
      </c>
      <c r="C2307" s="924" t="s">
        <v>1184</v>
      </c>
      <c r="D2307" s="924" t="s">
        <v>855</v>
      </c>
      <c r="E2307" s="924" t="s">
        <v>856</v>
      </c>
      <c r="F2307" s="924" t="s">
        <v>1150</v>
      </c>
      <c r="G2307" s="924" t="s">
        <v>981</v>
      </c>
      <c r="H2307" s="924" t="s">
        <v>835</v>
      </c>
      <c r="I2307" s="924" t="s">
        <v>1040</v>
      </c>
      <c r="J2307" s="924" t="s">
        <v>940</v>
      </c>
      <c r="K2307" s="924" t="s">
        <v>1151</v>
      </c>
      <c r="L2307" s="925">
        <v>38.105378165841103</v>
      </c>
      <c r="M2307" s="925">
        <v>2.70995022146963E-2</v>
      </c>
    </row>
    <row r="2308" spans="1:13" ht="11.25" customHeight="1" x14ac:dyDescent="0.2">
      <c r="A2308" s="924" t="s">
        <v>853</v>
      </c>
      <c r="B2308" s="924" t="s">
        <v>798</v>
      </c>
      <c r="C2308" s="924" t="s">
        <v>1184</v>
      </c>
      <c r="D2308" s="924" t="s">
        <v>855</v>
      </c>
      <c r="E2308" s="924" t="s">
        <v>856</v>
      </c>
      <c r="F2308" s="924" t="s">
        <v>1161</v>
      </c>
      <c r="G2308" s="924" t="s">
        <v>981</v>
      </c>
      <c r="H2308" s="924" t="s">
        <v>835</v>
      </c>
      <c r="I2308" s="924" t="s">
        <v>1040</v>
      </c>
      <c r="J2308" s="924" t="s">
        <v>940</v>
      </c>
      <c r="K2308" s="924" t="s">
        <v>1027</v>
      </c>
      <c r="L2308" s="925">
        <v>79.848226279020295</v>
      </c>
      <c r="M2308" s="925">
        <v>5.5752997240148303E-2</v>
      </c>
    </row>
    <row r="2309" spans="1:13" ht="11.25" customHeight="1" x14ac:dyDescent="0.2">
      <c r="A2309" s="924" t="s">
        <v>853</v>
      </c>
      <c r="B2309" s="924" t="s">
        <v>798</v>
      </c>
      <c r="C2309" s="924" t="s">
        <v>1184</v>
      </c>
      <c r="D2309" s="924" t="s">
        <v>855</v>
      </c>
      <c r="E2309" s="924" t="s">
        <v>856</v>
      </c>
      <c r="F2309" s="924" t="s">
        <v>1152</v>
      </c>
      <c r="G2309" s="924" t="s">
        <v>981</v>
      </c>
      <c r="H2309" s="924" t="s">
        <v>835</v>
      </c>
      <c r="I2309" s="924" t="s">
        <v>1040</v>
      </c>
      <c r="J2309" s="924" t="s">
        <v>940</v>
      </c>
      <c r="K2309" s="924" t="s">
        <v>1153</v>
      </c>
      <c r="L2309" s="925">
        <v>70.688816100359006</v>
      </c>
      <c r="M2309" s="925">
        <v>4.6955618730862597E-2</v>
      </c>
    </row>
    <row r="2310" spans="1:13" ht="11.25" customHeight="1" x14ac:dyDescent="0.2">
      <c r="A2310" s="924" t="s">
        <v>853</v>
      </c>
      <c r="B2310" s="924" t="s">
        <v>798</v>
      </c>
      <c r="C2310" s="924" t="s">
        <v>1184</v>
      </c>
      <c r="D2310" s="924" t="s">
        <v>855</v>
      </c>
      <c r="E2310" s="924" t="s">
        <v>856</v>
      </c>
      <c r="F2310" s="924" t="s">
        <v>1154</v>
      </c>
      <c r="G2310" s="924" t="s">
        <v>981</v>
      </c>
      <c r="H2310" s="924" t="s">
        <v>835</v>
      </c>
      <c r="I2310" s="924" t="s">
        <v>1040</v>
      </c>
      <c r="J2310" s="924" t="s">
        <v>940</v>
      </c>
      <c r="K2310" s="924" t="s">
        <v>1155</v>
      </c>
      <c r="L2310" s="925">
        <v>52.169319033622699</v>
      </c>
      <c r="M2310" s="925">
        <v>3.3978771929700002E-2</v>
      </c>
    </row>
    <row r="2311" spans="1:13" ht="11.25" customHeight="1" x14ac:dyDescent="0.2">
      <c r="A2311" s="924" t="s">
        <v>853</v>
      </c>
      <c r="B2311" s="924" t="s">
        <v>798</v>
      </c>
      <c r="C2311" s="924" t="s">
        <v>1184</v>
      </c>
      <c r="D2311" s="924" t="s">
        <v>855</v>
      </c>
      <c r="E2311" s="924" t="s">
        <v>856</v>
      </c>
      <c r="F2311" s="924" t="s">
        <v>1156</v>
      </c>
      <c r="G2311" s="924" t="s">
        <v>981</v>
      </c>
      <c r="H2311" s="924" t="s">
        <v>835</v>
      </c>
      <c r="I2311" s="924" t="s">
        <v>1040</v>
      </c>
      <c r="J2311" s="924" t="s">
        <v>940</v>
      </c>
      <c r="K2311" s="924" t="s">
        <v>1025</v>
      </c>
      <c r="L2311" s="925">
        <v>160.30826377868701</v>
      </c>
      <c r="M2311" s="925">
        <v>0.30578556633554399</v>
      </c>
    </row>
    <row r="2312" spans="1:13" ht="11.25" customHeight="1" x14ac:dyDescent="0.2">
      <c r="A2312" s="924" t="s">
        <v>853</v>
      </c>
      <c r="B2312" s="924" t="s">
        <v>798</v>
      </c>
      <c r="C2312" s="924" t="s">
        <v>1184</v>
      </c>
      <c r="D2312" s="924" t="s">
        <v>855</v>
      </c>
      <c r="E2312" s="924" t="s">
        <v>856</v>
      </c>
      <c r="F2312" s="924" t="s">
        <v>1157</v>
      </c>
      <c r="G2312" s="924" t="s">
        <v>981</v>
      </c>
      <c r="H2312" s="924" t="s">
        <v>835</v>
      </c>
      <c r="I2312" s="924" t="s">
        <v>1040</v>
      </c>
      <c r="J2312" s="924" t="s">
        <v>940</v>
      </c>
      <c r="K2312" s="924" t="s">
        <v>1098</v>
      </c>
      <c r="L2312" s="925">
        <v>29.388175964355501</v>
      </c>
      <c r="M2312" s="925">
        <v>5.6130716984625899E-2</v>
      </c>
    </row>
    <row r="2313" spans="1:13" ht="11.25" customHeight="1" x14ac:dyDescent="0.2">
      <c r="A2313" s="924" t="s">
        <v>853</v>
      </c>
      <c r="B2313" s="924" t="s">
        <v>798</v>
      </c>
      <c r="C2313" s="924" t="s">
        <v>1184</v>
      </c>
      <c r="D2313" s="924" t="s">
        <v>855</v>
      </c>
      <c r="E2313" s="924" t="s">
        <v>856</v>
      </c>
      <c r="F2313" s="924" t="s">
        <v>1158</v>
      </c>
      <c r="G2313" s="924" t="s">
        <v>981</v>
      </c>
      <c r="H2313" s="924" t="s">
        <v>835</v>
      </c>
      <c r="I2313" s="924" t="s">
        <v>1040</v>
      </c>
      <c r="J2313" s="924" t="s">
        <v>940</v>
      </c>
      <c r="K2313" s="924" t="s">
        <v>1023</v>
      </c>
      <c r="L2313" s="925">
        <v>528.02033710479702</v>
      </c>
      <c r="M2313" s="925">
        <v>0.30655473960359803</v>
      </c>
    </row>
    <row r="2314" spans="1:13" ht="11.25" customHeight="1" x14ac:dyDescent="0.2">
      <c r="A2314" s="924" t="s">
        <v>853</v>
      </c>
      <c r="B2314" s="924" t="s">
        <v>798</v>
      </c>
      <c r="C2314" s="924" t="s">
        <v>1184</v>
      </c>
      <c r="D2314" s="924" t="s">
        <v>855</v>
      </c>
      <c r="E2314" s="924" t="s">
        <v>856</v>
      </c>
      <c r="F2314" s="924" t="s">
        <v>1159</v>
      </c>
      <c r="G2314" s="924" t="s">
        <v>981</v>
      </c>
      <c r="H2314" s="924" t="s">
        <v>835</v>
      </c>
      <c r="I2314" s="924" t="s">
        <v>1040</v>
      </c>
      <c r="J2314" s="924" t="s">
        <v>940</v>
      </c>
      <c r="K2314" s="924" t="s">
        <v>1095</v>
      </c>
      <c r="L2314" s="925">
        <v>2.7292907200753702</v>
      </c>
      <c r="M2314" s="925">
        <v>1.9260630178905599E-3</v>
      </c>
    </row>
    <row r="2315" spans="1:13" ht="11.25" customHeight="1" x14ac:dyDescent="0.2">
      <c r="A2315" s="924" t="s">
        <v>853</v>
      </c>
      <c r="B2315" s="924" t="s">
        <v>798</v>
      </c>
      <c r="C2315" s="924" t="s">
        <v>1184</v>
      </c>
      <c r="D2315" s="924" t="s">
        <v>855</v>
      </c>
      <c r="E2315" s="924" t="s">
        <v>856</v>
      </c>
      <c r="F2315" s="924" t="s">
        <v>1160</v>
      </c>
      <c r="G2315" s="924" t="s">
        <v>981</v>
      </c>
      <c r="H2315" s="924" t="s">
        <v>835</v>
      </c>
      <c r="I2315" s="924" t="s">
        <v>1040</v>
      </c>
      <c r="J2315" s="924" t="s">
        <v>940</v>
      </c>
      <c r="K2315" s="924" t="s">
        <v>1093</v>
      </c>
      <c r="L2315" s="925">
        <v>12.887033261358701</v>
      </c>
      <c r="M2315" s="925">
        <v>9.1844144226342905E-3</v>
      </c>
    </row>
    <row r="2316" spans="1:13" ht="11.25" customHeight="1" x14ac:dyDescent="0.2">
      <c r="A2316" s="924" t="s">
        <v>853</v>
      </c>
      <c r="B2316" s="924" t="s">
        <v>798</v>
      </c>
      <c r="C2316" s="924" t="s">
        <v>1184</v>
      </c>
      <c r="D2316" s="924" t="s">
        <v>855</v>
      </c>
      <c r="E2316" s="924" t="s">
        <v>856</v>
      </c>
      <c r="F2316" s="924" t="s">
        <v>1149</v>
      </c>
      <c r="G2316" s="924" t="s">
        <v>981</v>
      </c>
      <c r="H2316" s="924" t="s">
        <v>835</v>
      </c>
      <c r="I2316" s="924" t="s">
        <v>1040</v>
      </c>
      <c r="J2316" s="924" t="s">
        <v>940</v>
      </c>
      <c r="K2316" s="924" t="s">
        <v>1091</v>
      </c>
      <c r="L2316" s="925">
        <v>1.43066591769457</v>
      </c>
      <c r="M2316" s="925">
        <v>1.00944905443612E-3</v>
      </c>
    </row>
    <row r="2317" spans="1:13" ht="11.25" customHeight="1" x14ac:dyDescent="0.2">
      <c r="A2317" s="924" t="s">
        <v>853</v>
      </c>
      <c r="B2317" s="924" t="s">
        <v>798</v>
      </c>
      <c r="C2317" s="924" t="s">
        <v>1184</v>
      </c>
      <c r="D2317" s="924" t="s">
        <v>855</v>
      </c>
      <c r="E2317" s="924" t="s">
        <v>856</v>
      </c>
      <c r="F2317" s="924" t="s">
        <v>1144</v>
      </c>
      <c r="G2317" s="924" t="s">
        <v>981</v>
      </c>
      <c r="H2317" s="924" t="s">
        <v>835</v>
      </c>
      <c r="I2317" s="924" t="s">
        <v>1040</v>
      </c>
      <c r="J2317" s="924" t="s">
        <v>940</v>
      </c>
      <c r="K2317" s="924" t="s">
        <v>1070</v>
      </c>
      <c r="L2317" s="925">
        <v>330.78830862045299</v>
      </c>
      <c r="M2317" s="925">
        <v>0.23274188162758899</v>
      </c>
    </row>
    <row r="2318" spans="1:13" ht="11.25" customHeight="1" x14ac:dyDescent="0.2">
      <c r="A2318" s="924" t="s">
        <v>853</v>
      </c>
      <c r="B2318" s="924" t="s">
        <v>798</v>
      </c>
      <c r="C2318" s="924" t="s">
        <v>1184</v>
      </c>
      <c r="D2318" s="924" t="s">
        <v>855</v>
      </c>
      <c r="E2318" s="924" t="s">
        <v>856</v>
      </c>
      <c r="F2318" s="924" t="s">
        <v>1132</v>
      </c>
      <c r="G2318" s="924" t="s">
        <v>981</v>
      </c>
      <c r="H2318" s="924" t="s">
        <v>835</v>
      </c>
      <c r="I2318" s="924" t="s">
        <v>1040</v>
      </c>
      <c r="J2318" s="924" t="s">
        <v>940</v>
      </c>
      <c r="K2318" s="924" t="s">
        <v>941</v>
      </c>
      <c r="L2318" s="925">
        <v>160.29996329546</v>
      </c>
      <c r="M2318" s="925">
        <v>7.0703850855352399E-2</v>
      </c>
    </row>
    <row r="2319" spans="1:13" ht="11.25" customHeight="1" x14ac:dyDescent="0.2">
      <c r="A2319" s="924" t="s">
        <v>853</v>
      </c>
      <c r="B2319" s="924" t="s">
        <v>798</v>
      </c>
      <c r="C2319" s="924" t="s">
        <v>1184</v>
      </c>
      <c r="D2319" s="924" t="s">
        <v>855</v>
      </c>
      <c r="E2319" s="924" t="s">
        <v>856</v>
      </c>
      <c r="F2319" s="924" t="s">
        <v>1122</v>
      </c>
      <c r="G2319" s="924" t="s">
        <v>981</v>
      </c>
      <c r="H2319" s="924" t="s">
        <v>835</v>
      </c>
      <c r="I2319" s="924" t="s">
        <v>1040</v>
      </c>
      <c r="J2319" s="924" t="s">
        <v>875</v>
      </c>
      <c r="K2319" s="924" t="s">
        <v>950</v>
      </c>
      <c r="L2319" s="925">
        <v>149.24670839309701</v>
      </c>
      <c r="M2319" s="925">
        <v>0.104887275052263</v>
      </c>
    </row>
    <row r="2320" spans="1:13" ht="11.25" customHeight="1" x14ac:dyDescent="0.2">
      <c r="A2320" s="924" t="s">
        <v>853</v>
      </c>
      <c r="B2320" s="924" t="s">
        <v>798</v>
      </c>
      <c r="C2320" s="924" t="s">
        <v>1184</v>
      </c>
      <c r="D2320" s="924" t="s">
        <v>855</v>
      </c>
      <c r="E2320" s="924" t="s">
        <v>856</v>
      </c>
      <c r="F2320" s="924" t="s">
        <v>1077</v>
      </c>
      <c r="G2320" s="924" t="s">
        <v>981</v>
      </c>
      <c r="H2320" s="924" t="s">
        <v>835</v>
      </c>
      <c r="I2320" s="924" t="s">
        <v>998</v>
      </c>
      <c r="J2320" s="924" t="s">
        <v>859</v>
      </c>
      <c r="K2320" s="924" t="s">
        <v>897</v>
      </c>
      <c r="L2320" s="925">
        <v>0.49124466534703998</v>
      </c>
      <c r="M2320" s="925">
        <v>1.0287401346431599E-3</v>
      </c>
    </row>
    <row r="2321" spans="1:13" ht="11.25" customHeight="1" x14ac:dyDescent="0.2">
      <c r="A2321" s="924" t="s">
        <v>853</v>
      </c>
      <c r="B2321" s="924" t="s">
        <v>798</v>
      </c>
      <c r="C2321" s="924" t="s">
        <v>1184</v>
      </c>
      <c r="D2321" s="924" t="s">
        <v>855</v>
      </c>
      <c r="E2321" s="924" t="s">
        <v>856</v>
      </c>
      <c r="F2321" s="924" t="s">
        <v>1076</v>
      </c>
      <c r="G2321" s="924" t="s">
        <v>981</v>
      </c>
      <c r="H2321" s="924" t="s">
        <v>835</v>
      </c>
      <c r="I2321" s="924" t="s">
        <v>998</v>
      </c>
      <c r="J2321" s="924" t="s">
        <v>859</v>
      </c>
      <c r="K2321" s="924" t="s">
        <v>860</v>
      </c>
      <c r="L2321" s="925">
        <v>0.41097233491018398</v>
      </c>
      <c r="M2321" s="925">
        <v>8.4906137999496401E-4</v>
      </c>
    </row>
    <row r="2322" spans="1:13" ht="11.25" customHeight="1" x14ac:dyDescent="0.2">
      <c r="A2322" s="924" t="s">
        <v>853</v>
      </c>
      <c r="B2322" s="924" t="s">
        <v>798</v>
      </c>
      <c r="C2322" s="924" t="s">
        <v>1184</v>
      </c>
      <c r="D2322" s="924" t="s">
        <v>855</v>
      </c>
      <c r="E2322" s="924" t="s">
        <v>856</v>
      </c>
      <c r="F2322" s="924" t="s">
        <v>1075</v>
      </c>
      <c r="G2322" s="924" t="s">
        <v>981</v>
      </c>
      <c r="H2322" s="924" t="s">
        <v>835</v>
      </c>
      <c r="I2322" s="924" t="s">
        <v>998</v>
      </c>
      <c r="J2322" s="924" t="s">
        <v>859</v>
      </c>
      <c r="K2322" s="924" t="s">
        <v>889</v>
      </c>
      <c r="L2322" s="925">
        <v>6.3394440785050401</v>
      </c>
      <c r="M2322" s="925">
        <v>1.0260100956657E-2</v>
      </c>
    </row>
    <row r="2323" spans="1:13" ht="11.25" customHeight="1" x14ac:dyDescent="0.2">
      <c r="A2323" s="924" t="s">
        <v>853</v>
      </c>
      <c r="B2323" s="924" t="s">
        <v>798</v>
      </c>
      <c r="C2323" s="924" t="s">
        <v>1184</v>
      </c>
      <c r="D2323" s="924" t="s">
        <v>855</v>
      </c>
      <c r="E2323" s="924" t="s">
        <v>856</v>
      </c>
      <c r="F2323" s="924" t="s">
        <v>1085</v>
      </c>
      <c r="G2323" s="924" t="s">
        <v>981</v>
      </c>
      <c r="H2323" s="924" t="s">
        <v>835</v>
      </c>
      <c r="I2323" s="924" t="s">
        <v>998</v>
      </c>
      <c r="J2323" s="924" t="s">
        <v>884</v>
      </c>
      <c r="K2323" s="924" t="s">
        <v>885</v>
      </c>
      <c r="L2323" s="925">
        <v>114.79876971244801</v>
      </c>
      <c r="M2323" s="925">
        <v>8.4323944291099906E-2</v>
      </c>
    </row>
    <row r="2324" spans="1:13" ht="11.25" customHeight="1" x14ac:dyDescent="0.2">
      <c r="A2324" s="924" t="s">
        <v>853</v>
      </c>
      <c r="B2324" s="924" t="s">
        <v>798</v>
      </c>
      <c r="C2324" s="924" t="s">
        <v>1184</v>
      </c>
      <c r="D2324" s="924" t="s">
        <v>855</v>
      </c>
      <c r="E2324" s="924" t="s">
        <v>856</v>
      </c>
      <c r="F2324" s="924" t="s">
        <v>1073</v>
      </c>
      <c r="G2324" s="924" t="s">
        <v>981</v>
      </c>
      <c r="H2324" s="924" t="s">
        <v>835</v>
      </c>
      <c r="I2324" s="924" t="s">
        <v>998</v>
      </c>
      <c r="J2324" s="924" t="s">
        <v>884</v>
      </c>
      <c r="K2324" s="924" t="s">
        <v>1046</v>
      </c>
      <c r="L2324" s="925">
        <v>85.588096857070894</v>
      </c>
      <c r="M2324" s="925">
        <v>0.144509856123477</v>
      </c>
    </row>
    <row r="2325" spans="1:13" ht="11.25" customHeight="1" x14ac:dyDescent="0.2">
      <c r="A2325" s="924" t="s">
        <v>853</v>
      </c>
      <c r="B2325" s="924" t="s">
        <v>798</v>
      </c>
      <c r="C2325" s="924" t="s">
        <v>1184</v>
      </c>
      <c r="D2325" s="924" t="s">
        <v>855</v>
      </c>
      <c r="E2325" s="924" t="s">
        <v>856</v>
      </c>
      <c r="F2325" s="924" t="s">
        <v>1185</v>
      </c>
      <c r="G2325" s="924" t="s">
        <v>981</v>
      </c>
      <c r="H2325" s="924" t="s">
        <v>835</v>
      </c>
      <c r="I2325" s="924" t="s">
        <v>998</v>
      </c>
      <c r="J2325" s="924" t="s">
        <v>884</v>
      </c>
      <c r="K2325" s="924" t="s">
        <v>1186</v>
      </c>
      <c r="L2325" s="925">
        <v>599.03863525390602</v>
      </c>
      <c r="M2325" s="925">
        <v>0.37456464767456099</v>
      </c>
    </row>
    <row r="2326" spans="1:13" ht="11.25" customHeight="1" x14ac:dyDescent="0.2">
      <c r="A2326" s="924" t="s">
        <v>853</v>
      </c>
      <c r="B2326" s="924" t="s">
        <v>798</v>
      </c>
      <c r="C2326" s="924" t="s">
        <v>1184</v>
      </c>
      <c r="D2326" s="924" t="s">
        <v>855</v>
      </c>
      <c r="E2326" s="924" t="s">
        <v>856</v>
      </c>
      <c r="F2326" s="924" t="s">
        <v>997</v>
      </c>
      <c r="G2326" s="924" t="s">
        <v>981</v>
      </c>
      <c r="H2326" s="924" t="s">
        <v>835</v>
      </c>
      <c r="I2326" s="924" t="s">
        <v>998</v>
      </c>
      <c r="J2326" s="924" t="s">
        <v>884</v>
      </c>
      <c r="K2326" s="924" t="s">
        <v>999</v>
      </c>
      <c r="L2326" s="925">
        <v>188.889589071274</v>
      </c>
      <c r="M2326" s="925">
        <v>0.60174027550965503</v>
      </c>
    </row>
    <row r="2327" spans="1:13" ht="11.25" customHeight="1" x14ac:dyDescent="0.2">
      <c r="A2327" s="924" t="s">
        <v>853</v>
      </c>
      <c r="B2327" s="924" t="s">
        <v>798</v>
      </c>
      <c r="C2327" s="924" t="s">
        <v>1184</v>
      </c>
      <c r="D2327" s="924" t="s">
        <v>855</v>
      </c>
      <c r="E2327" s="924" t="s">
        <v>856</v>
      </c>
      <c r="F2327" s="924" t="s">
        <v>1130</v>
      </c>
      <c r="G2327" s="924" t="s">
        <v>981</v>
      </c>
      <c r="H2327" s="924" t="s">
        <v>835</v>
      </c>
      <c r="I2327" s="924" t="s">
        <v>1040</v>
      </c>
      <c r="J2327" s="924" t="s">
        <v>870</v>
      </c>
      <c r="K2327" s="924" t="s">
        <v>871</v>
      </c>
      <c r="L2327" s="925">
        <v>3.9096542373299599</v>
      </c>
      <c r="M2327" s="925">
        <v>3.1393369363286201E-3</v>
      </c>
    </row>
    <row r="2328" spans="1:13" ht="11.25" customHeight="1" x14ac:dyDescent="0.2">
      <c r="A2328" s="924" t="s">
        <v>853</v>
      </c>
      <c r="B2328" s="924" t="s">
        <v>798</v>
      </c>
      <c r="C2328" s="924" t="s">
        <v>1184</v>
      </c>
      <c r="D2328" s="924" t="s">
        <v>855</v>
      </c>
      <c r="E2328" s="924" t="s">
        <v>856</v>
      </c>
      <c r="F2328" s="924" t="s">
        <v>1117</v>
      </c>
      <c r="G2328" s="924" t="s">
        <v>981</v>
      </c>
      <c r="H2328" s="924" t="s">
        <v>835</v>
      </c>
      <c r="I2328" s="924" t="s">
        <v>1040</v>
      </c>
      <c r="J2328" s="924" t="s">
        <v>870</v>
      </c>
      <c r="K2328" s="924" t="s">
        <v>873</v>
      </c>
      <c r="L2328" s="925">
        <v>4.31090075150132</v>
      </c>
      <c r="M2328" s="925">
        <v>4.3706370991003501E-4</v>
      </c>
    </row>
    <row r="2329" spans="1:13" ht="11.25" customHeight="1" x14ac:dyDescent="0.2">
      <c r="A2329" s="924" t="s">
        <v>853</v>
      </c>
      <c r="B2329" s="924" t="s">
        <v>798</v>
      </c>
      <c r="C2329" s="924" t="s">
        <v>1184</v>
      </c>
      <c r="D2329" s="924" t="s">
        <v>855</v>
      </c>
      <c r="E2329" s="924" t="s">
        <v>856</v>
      </c>
      <c r="F2329" s="924" t="s">
        <v>1074</v>
      </c>
      <c r="G2329" s="924" t="s">
        <v>911</v>
      </c>
      <c r="H2329" s="924" t="s">
        <v>665</v>
      </c>
      <c r="I2329" s="924" t="s">
        <v>706</v>
      </c>
      <c r="J2329" s="924" t="s">
        <v>859</v>
      </c>
      <c r="K2329" s="924" t="s">
        <v>903</v>
      </c>
      <c r="L2329" s="925">
        <v>2.5086294133216098</v>
      </c>
      <c r="M2329" s="925">
        <v>2.8017070167152302E-4</v>
      </c>
    </row>
    <row r="2330" spans="1:13" ht="11.25" customHeight="1" x14ac:dyDescent="0.2">
      <c r="A2330" s="924" t="s">
        <v>853</v>
      </c>
      <c r="B2330" s="924" t="s">
        <v>798</v>
      </c>
      <c r="C2330" s="924" t="s">
        <v>1184</v>
      </c>
      <c r="D2330" s="924" t="s">
        <v>855</v>
      </c>
      <c r="E2330" s="924" t="s">
        <v>856</v>
      </c>
      <c r="F2330" s="924" t="s">
        <v>1078</v>
      </c>
      <c r="G2330" s="924" t="s">
        <v>981</v>
      </c>
      <c r="H2330" s="924" t="s">
        <v>835</v>
      </c>
      <c r="I2330" s="924" t="s">
        <v>998</v>
      </c>
      <c r="J2330" s="924" t="s">
        <v>859</v>
      </c>
      <c r="K2330" s="924" t="s">
        <v>901</v>
      </c>
      <c r="L2330" s="925">
        <v>3.4039603815472202E-3</v>
      </c>
      <c r="M2330" s="925">
        <v>7.6058293103642402E-6</v>
      </c>
    </row>
    <row r="2331" spans="1:13" ht="11.25" customHeight="1" x14ac:dyDescent="0.2">
      <c r="A2331" s="924" t="s">
        <v>853</v>
      </c>
      <c r="B2331" s="924" t="s">
        <v>798</v>
      </c>
      <c r="C2331" s="924" t="s">
        <v>1184</v>
      </c>
      <c r="D2331" s="924" t="s">
        <v>855</v>
      </c>
      <c r="E2331" s="924" t="s">
        <v>856</v>
      </c>
      <c r="F2331" s="924" t="s">
        <v>1121</v>
      </c>
      <c r="G2331" s="924" t="s">
        <v>981</v>
      </c>
      <c r="H2331" s="924" t="s">
        <v>835</v>
      </c>
      <c r="I2331" s="924" t="s">
        <v>1040</v>
      </c>
      <c r="J2331" s="924" t="s">
        <v>875</v>
      </c>
      <c r="K2331" s="924" t="s">
        <v>948</v>
      </c>
      <c r="L2331" s="925">
        <v>94.359075427055402</v>
      </c>
      <c r="M2331" s="925">
        <v>5.9809784359572397E-2</v>
      </c>
    </row>
    <row r="2332" spans="1:13" ht="11.25" customHeight="1" x14ac:dyDescent="0.2">
      <c r="A2332" s="924" t="s">
        <v>853</v>
      </c>
      <c r="B2332" s="924" t="s">
        <v>798</v>
      </c>
      <c r="C2332" s="924" t="s">
        <v>1184</v>
      </c>
      <c r="D2332" s="924" t="s">
        <v>855</v>
      </c>
      <c r="E2332" s="924" t="s">
        <v>856</v>
      </c>
      <c r="F2332" s="924" t="s">
        <v>1104</v>
      </c>
      <c r="G2332" s="924" t="s">
        <v>981</v>
      </c>
      <c r="H2332" s="924" t="s">
        <v>835</v>
      </c>
      <c r="I2332" s="924" t="s">
        <v>1040</v>
      </c>
      <c r="J2332" s="924" t="s">
        <v>875</v>
      </c>
      <c r="K2332" s="924" t="s">
        <v>876</v>
      </c>
      <c r="L2332" s="925">
        <v>332.00152015686001</v>
      </c>
      <c r="M2332" s="925">
        <v>0.22640095697715901</v>
      </c>
    </row>
    <row r="2333" spans="1:13" ht="11.25" customHeight="1" x14ac:dyDescent="0.2">
      <c r="A2333" s="924" t="s">
        <v>853</v>
      </c>
      <c r="B2333" s="924" t="s">
        <v>798</v>
      </c>
      <c r="C2333" s="924" t="s">
        <v>1184</v>
      </c>
      <c r="D2333" s="924" t="s">
        <v>855</v>
      </c>
      <c r="E2333" s="924" t="s">
        <v>856</v>
      </c>
      <c r="F2333" s="924" t="s">
        <v>1123</v>
      </c>
      <c r="G2333" s="924" t="s">
        <v>981</v>
      </c>
      <c r="H2333" s="924" t="s">
        <v>835</v>
      </c>
      <c r="I2333" s="924" t="s">
        <v>1040</v>
      </c>
      <c r="J2333" s="924" t="s">
        <v>875</v>
      </c>
      <c r="K2333" s="924" t="s">
        <v>952</v>
      </c>
      <c r="L2333" s="925">
        <v>7.0012161284685099</v>
      </c>
      <c r="M2333" s="925">
        <v>4.9351270395829898E-3</v>
      </c>
    </row>
    <row r="2334" spans="1:13" ht="11.25" customHeight="1" x14ac:dyDescent="0.2">
      <c r="A2334" s="924" t="s">
        <v>853</v>
      </c>
      <c r="B2334" s="924" t="s">
        <v>798</v>
      </c>
      <c r="C2334" s="924" t="s">
        <v>1184</v>
      </c>
      <c r="D2334" s="924" t="s">
        <v>855</v>
      </c>
      <c r="E2334" s="924" t="s">
        <v>856</v>
      </c>
      <c r="F2334" s="924" t="s">
        <v>1124</v>
      </c>
      <c r="G2334" s="924" t="s">
        <v>981</v>
      </c>
      <c r="H2334" s="924" t="s">
        <v>835</v>
      </c>
      <c r="I2334" s="924" t="s">
        <v>1040</v>
      </c>
      <c r="J2334" s="924" t="s">
        <v>956</v>
      </c>
      <c r="K2334" s="924" t="s">
        <v>1125</v>
      </c>
      <c r="L2334" s="925">
        <v>51.066799402236903</v>
      </c>
      <c r="M2334" s="925">
        <v>4.1411526893625698E-2</v>
      </c>
    </row>
    <row r="2335" spans="1:13" ht="11.25" customHeight="1" x14ac:dyDescent="0.2">
      <c r="A2335" s="924" t="s">
        <v>853</v>
      </c>
      <c r="B2335" s="924" t="s">
        <v>798</v>
      </c>
      <c r="C2335" s="924" t="s">
        <v>1184</v>
      </c>
      <c r="D2335" s="924" t="s">
        <v>855</v>
      </c>
      <c r="E2335" s="924" t="s">
        <v>856</v>
      </c>
      <c r="F2335" s="924" t="s">
        <v>1126</v>
      </c>
      <c r="G2335" s="924" t="s">
        <v>981</v>
      </c>
      <c r="H2335" s="924" t="s">
        <v>835</v>
      </c>
      <c r="I2335" s="924" t="s">
        <v>1040</v>
      </c>
      <c r="J2335" s="924" t="s">
        <v>956</v>
      </c>
      <c r="K2335" s="924" t="s">
        <v>957</v>
      </c>
      <c r="L2335" s="925">
        <v>0.58838227950036504</v>
      </c>
      <c r="M2335" s="925">
        <v>4.6791064141871202E-4</v>
      </c>
    </row>
    <row r="2336" spans="1:13" ht="11.25" customHeight="1" x14ac:dyDescent="0.2">
      <c r="A2336" s="924" t="s">
        <v>853</v>
      </c>
      <c r="B2336" s="924" t="s">
        <v>798</v>
      </c>
      <c r="C2336" s="924" t="s">
        <v>1184</v>
      </c>
      <c r="D2336" s="924" t="s">
        <v>855</v>
      </c>
      <c r="E2336" s="924" t="s">
        <v>856</v>
      </c>
      <c r="F2336" s="924" t="s">
        <v>1127</v>
      </c>
      <c r="G2336" s="924" t="s">
        <v>911</v>
      </c>
      <c r="H2336" s="924" t="s">
        <v>665</v>
      </c>
      <c r="I2336" s="924" t="s">
        <v>706</v>
      </c>
      <c r="J2336" s="924" t="s">
        <v>884</v>
      </c>
      <c r="K2336" s="924" t="s">
        <v>885</v>
      </c>
      <c r="L2336" s="925">
        <v>7.3753137737512597</v>
      </c>
      <c r="M2336" s="925">
        <v>3.2048308439698299E-3</v>
      </c>
    </row>
    <row r="2337" spans="1:13" ht="11.25" customHeight="1" x14ac:dyDescent="0.2">
      <c r="A2337" s="924" t="s">
        <v>853</v>
      </c>
      <c r="B2337" s="924" t="s">
        <v>798</v>
      </c>
      <c r="C2337" s="924" t="s">
        <v>1184</v>
      </c>
      <c r="D2337" s="924" t="s">
        <v>855</v>
      </c>
      <c r="E2337" s="924" t="s">
        <v>856</v>
      </c>
      <c r="F2337" s="924" t="s">
        <v>1128</v>
      </c>
      <c r="G2337" s="924" t="s">
        <v>911</v>
      </c>
      <c r="H2337" s="924" t="s">
        <v>665</v>
      </c>
      <c r="I2337" s="924" t="s">
        <v>706</v>
      </c>
      <c r="J2337" s="924" t="s">
        <v>859</v>
      </c>
      <c r="K2337" s="924" t="s">
        <v>913</v>
      </c>
      <c r="L2337" s="925">
        <v>0.81228668428957496</v>
      </c>
      <c r="M2337" s="925">
        <v>8.9565148272186006E-5</v>
      </c>
    </row>
    <row r="2338" spans="1:13" ht="11.25" customHeight="1" x14ac:dyDescent="0.2">
      <c r="A2338" s="924" t="s">
        <v>853</v>
      </c>
      <c r="B2338" s="924" t="s">
        <v>798</v>
      </c>
      <c r="C2338" s="924" t="s">
        <v>1184</v>
      </c>
      <c r="D2338" s="924" t="s">
        <v>855</v>
      </c>
      <c r="E2338" s="924" t="s">
        <v>856</v>
      </c>
      <c r="F2338" s="924" t="s">
        <v>1118</v>
      </c>
      <c r="G2338" s="924" t="s">
        <v>911</v>
      </c>
      <c r="H2338" s="924" t="s">
        <v>665</v>
      </c>
      <c r="I2338" s="924" t="s">
        <v>706</v>
      </c>
      <c r="J2338" s="924" t="s">
        <v>859</v>
      </c>
      <c r="K2338" s="924" t="s">
        <v>893</v>
      </c>
      <c r="L2338" s="925">
        <v>1.37738562747836</v>
      </c>
      <c r="M2338" s="925">
        <v>6.6639729084272403E-5</v>
      </c>
    </row>
    <row r="2339" spans="1:13" ht="11.25" customHeight="1" x14ac:dyDescent="0.2">
      <c r="A2339" s="924" t="s">
        <v>853</v>
      </c>
      <c r="B2339" s="924" t="s">
        <v>798</v>
      </c>
      <c r="C2339" s="924" t="s">
        <v>1184</v>
      </c>
      <c r="D2339" s="924" t="s">
        <v>855</v>
      </c>
      <c r="E2339" s="924" t="s">
        <v>856</v>
      </c>
      <c r="F2339" s="924" t="s">
        <v>1129</v>
      </c>
      <c r="G2339" s="924" t="s">
        <v>911</v>
      </c>
      <c r="H2339" s="924" t="s">
        <v>665</v>
      </c>
      <c r="I2339" s="924" t="s">
        <v>706</v>
      </c>
      <c r="J2339" s="924" t="s">
        <v>859</v>
      </c>
      <c r="K2339" s="924" t="s">
        <v>897</v>
      </c>
      <c r="L2339" s="925">
        <v>0.22432434209622401</v>
      </c>
      <c r="M2339" s="925">
        <v>8.1534087101431396E-5</v>
      </c>
    </row>
    <row r="2340" spans="1:13" ht="11.25" customHeight="1" x14ac:dyDescent="0.2">
      <c r="A2340" s="924" t="s">
        <v>853</v>
      </c>
      <c r="B2340" s="924" t="s">
        <v>798</v>
      </c>
      <c r="C2340" s="924" t="s">
        <v>1184</v>
      </c>
      <c r="D2340" s="924" t="s">
        <v>855</v>
      </c>
      <c r="E2340" s="924" t="s">
        <v>856</v>
      </c>
      <c r="F2340" s="924" t="s">
        <v>1133</v>
      </c>
      <c r="G2340" s="924" t="s">
        <v>911</v>
      </c>
      <c r="H2340" s="924" t="s">
        <v>665</v>
      </c>
      <c r="I2340" s="924" t="s">
        <v>706</v>
      </c>
      <c r="J2340" s="924" t="s">
        <v>859</v>
      </c>
      <c r="K2340" s="924" t="s">
        <v>899</v>
      </c>
      <c r="L2340" s="925">
        <v>0.13973268726840599</v>
      </c>
      <c r="M2340" s="925">
        <v>1.39210517673405E-5</v>
      </c>
    </row>
    <row r="2341" spans="1:13" ht="11.25" customHeight="1" x14ac:dyDescent="0.2">
      <c r="A2341" s="924" t="s">
        <v>853</v>
      </c>
      <c r="B2341" s="924" t="s">
        <v>798</v>
      </c>
      <c r="C2341" s="924" t="s">
        <v>1184</v>
      </c>
      <c r="D2341" s="924" t="s">
        <v>855</v>
      </c>
      <c r="E2341" s="924" t="s">
        <v>856</v>
      </c>
      <c r="F2341" s="924" t="s">
        <v>1051</v>
      </c>
      <c r="G2341" s="924" t="s">
        <v>981</v>
      </c>
      <c r="H2341" s="924" t="s">
        <v>835</v>
      </c>
      <c r="I2341" s="924" t="s">
        <v>1040</v>
      </c>
      <c r="J2341" s="924" t="s">
        <v>859</v>
      </c>
      <c r="K2341" s="924" t="s">
        <v>889</v>
      </c>
      <c r="L2341" s="925">
        <v>4.1974142659455503E-2</v>
      </c>
      <c r="M2341" s="925">
        <v>2.7645985085200701E-5</v>
      </c>
    </row>
    <row r="2342" spans="1:13" ht="11.25" customHeight="1" x14ac:dyDescent="0.2">
      <c r="A2342" s="924" t="s">
        <v>853</v>
      </c>
      <c r="B2342" s="924" t="s">
        <v>798</v>
      </c>
      <c r="C2342" s="924" t="s">
        <v>1184</v>
      </c>
      <c r="D2342" s="924" t="s">
        <v>855</v>
      </c>
      <c r="E2342" s="924" t="s">
        <v>856</v>
      </c>
      <c r="F2342" s="924" t="s">
        <v>1141</v>
      </c>
      <c r="G2342" s="924" t="s">
        <v>981</v>
      </c>
      <c r="H2342" s="924" t="s">
        <v>835</v>
      </c>
      <c r="I2342" s="924" t="s">
        <v>1040</v>
      </c>
      <c r="J2342" s="924" t="s">
        <v>940</v>
      </c>
      <c r="K2342" s="924" t="s">
        <v>1142</v>
      </c>
      <c r="L2342" s="925">
        <v>556.35985612869297</v>
      </c>
      <c r="M2342" s="925">
        <v>0.41468045383226099</v>
      </c>
    </row>
    <row r="2343" spans="1:13" ht="11.25" customHeight="1" x14ac:dyDescent="0.2">
      <c r="A2343" s="924" t="s">
        <v>853</v>
      </c>
      <c r="B2343" s="924" t="s">
        <v>798</v>
      </c>
      <c r="C2343" s="924" t="s">
        <v>1184</v>
      </c>
      <c r="D2343" s="924" t="s">
        <v>855</v>
      </c>
      <c r="E2343" s="924" t="s">
        <v>856</v>
      </c>
      <c r="F2343" s="924" t="s">
        <v>910</v>
      </c>
      <c r="G2343" s="924" t="s">
        <v>911</v>
      </c>
      <c r="H2343" s="924" t="s">
        <v>665</v>
      </c>
      <c r="I2343" s="924" t="s">
        <v>706</v>
      </c>
      <c r="J2343" s="924" t="s">
        <v>859</v>
      </c>
      <c r="K2343" s="924" t="s">
        <v>905</v>
      </c>
      <c r="L2343" s="925">
        <v>0.98696897923946403</v>
      </c>
      <c r="M2343" s="925">
        <v>8.0684385557105998E-4</v>
      </c>
    </row>
    <row r="2344" spans="1:13" ht="11.25" customHeight="1" x14ac:dyDescent="0.2">
      <c r="A2344" s="924" t="s">
        <v>853</v>
      </c>
      <c r="B2344" s="924" t="s">
        <v>798</v>
      </c>
      <c r="C2344" s="924" t="s">
        <v>1184</v>
      </c>
      <c r="D2344" s="924" t="s">
        <v>855</v>
      </c>
      <c r="E2344" s="924" t="s">
        <v>856</v>
      </c>
      <c r="F2344" s="924" t="s">
        <v>1119</v>
      </c>
      <c r="G2344" s="924" t="s">
        <v>981</v>
      </c>
      <c r="H2344" s="924" t="s">
        <v>835</v>
      </c>
      <c r="I2344" s="924" t="s">
        <v>1040</v>
      </c>
      <c r="J2344" s="924" t="s">
        <v>875</v>
      </c>
      <c r="K2344" s="924" t="s">
        <v>878</v>
      </c>
      <c r="L2344" s="925">
        <v>82.9148899316788</v>
      </c>
      <c r="M2344" s="925">
        <v>5.59236968701953E-2</v>
      </c>
    </row>
    <row r="2345" spans="1:13" ht="11.25" customHeight="1" x14ac:dyDescent="0.2">
      <c r="A2345" s="924" t="s">
        <v>853</v>
      </c>
      <c r="B2345" s="924" t="s">
        <v>798</v>
      </c>
      <c r="C2345" s="924" t="s">
        <v>1184</v>
      </c>
      <c r="D2345" s="924" t="s">
        <v>855</v>
      </c>
      <c r="E2345" s="924" t="s">
        <v>856</v>
      </c>
      <c r="F2345" s="924" t="s">
        <v>1047</v>
      </c>
      <c r="G2345" s="924" t="s">
        <v>981</v>
      </c>
      <c r="H2345" s="924" t="s">
        <v>835</v>
      </c>
      <c r="I2345" s="924" t="s">
        <v>1040</v>
      </c>
      <c r="J2345" s="924" t="s">
        <v>884</v>
      </c>
      <c r="K2345" s="924" t="s">
        <v>1048</v>
      </c>
      <c r="L2345" s="925">
        <v>93.241555929184003</v>
      </c>
      <c r="M2345" s="925">
        <v>7.0882852189242798E-2</v>
      </c>
    </row>
    <row r="2346" spans="1:13" ht="11.25" customHeight="1" x14ac:dyDescent="0.2">
      <c r="A2346" s="924" t="s">
        <v>853</v>
      </c>
      <c r="B2346" s="924" t="s">
        <v>798</v>
      </c>
      <c r="C2346" s="924" t="s">
        <v>1184</v>
      </c>
      <c r="D2346" s="924" t="s">
        <v>855</v>
      </c>
      <c r="E2346" s="924" t="s">
        <v>856</v>
      </c>
      <c r="F2346" s="924" t="s">
        <v>1050</v>
      </c>
      <c r="G2346" s="924" t="s">
        <v>981</v>
      </c>
      <c r="H2346" s="924" t="s">
        <v>835</v>
      </c>
      <c r="I2346" s="924" t="s">
        <v>1040</v>
      </c>
      <c r="J2346" s="924" t="s">
        <v>859</v>
      </c>
      <c r="K2346" s="924" t="s">
        <v>913</v>
      </c>
      <c r="L2346" s="925">
        <v>5.6091240346431697</v>
      </c>
      <c r="M2346" s="925">
        <v>3.3652898281957299E-3</v>
      </c>
    </row>
    <row r="2347" spans="1:13" ht="11.25" customHeight="1" x14ac:dyDescent="0.2">
      <c r="A2347" s="924" t="s">
        <v>853</v>
      </c>
      <c r="B2347" s="924" t="s">
        <v>798</v>
      </c>
      <c r="C2347" s="924" t="s">
        <v>1184</v>
      </c>
      <c r="D2347" s="924" t="s">
        <v>855</v>
      </c>
      <c r="E2347" s="924" t="s">
        <v>856</v>
      </c>
      <c r="F2347" s="924" t="s">
        <v>1120</v>
      </c>
      <c r="G2347" s="924" t="s">
        <v>981</v>
      </c>
      <c r="H2347" s="924" t="s">
        <v>835</v>
      </c>
      <c r="I2347" s="924" t="s">
        <v>1040</v>
      </c>
      <c r="J2347" s="924" t="s">
        <v>875</v>
      </c>
      <c r="K2347" s="924" t="s">
        <v>880</v>
      </c>
      <c r="L2347" s="925">
        <v>43.851976037025501</v>
      </c>
      <c r="M2347" s="925">
        <v>2.5797000249099301E-2</v>
      </c>
    </row>
    <row r="2348" spans="1:13" ht="11.25" customHeight="1" x14ac:dyDescent="0.2">
      <c r="A2348" s="924" t="s">
        <v>853</v>
      </c>
      <c r="B2348" s="924" t="s">
        <v>798</v>
      </c>
      <c r="C2348" s="924" t="s">
        <v>1184</v>
      </c>
      <c r="D2348" s="924" t="s">
        <v>855</v>
      </c>
      <c r="E2348" s="924" t="s">
        <v>856</v>
      </c>
      <c r="F2348" s="924" t="s">
        <v>1049</v>
      </c>
      <c r="G2348" s="924" t="s">
        <v>981</v>
      </c>
      <c r="H2348" s="924" t="s">
        <v>835</v>
      </c>
      <c r="I2348" s="924" t="s">
        <v>1040</v>
      </c>
      <c r="J2348" s="924" t="s">
        <v>884</v>
      </c>
      <c r="K2348" s="924" t="s">
        <v>885</v>
      </c>
      <c r="L2348" s="925">
        <v>107.823253512383</v>
      </c>
      <c r="M2348" s="925">
        <v>0.103549953098991</v>
      </c>
    </row>
    <row r="2349" spans="1:13" ht="11.25" customHeight="1" x14ac:dyDescent="0.2">
      <c r="A2349" s="924" t="s">
        <v>853</v>
      </c>
      <c r="B2349" s="924" t="s">
        <v>798</v>
      </c>
      <c r="C2349" s="924" t="s">
        <v>1184</v>
      </c>
      <c r="D2349" s="924" t="s">
        <v>855</v>
      </c>
      <c r="E2349" s="924" t="s">
        <v>856</v>
      </c>
      <c r="F2349" s="924" t="s">
        <v>1079</v>
      </c>
      <c r="G2349" s="924" t="s">
        <v>981</v>
      </c>
      <c r="H2349" s="924" t="s">
        <v>835</v>
      </c>
      <c r="I2349" s="924" t="s">
        <v>998</v>
      </c>
      <c r="J2349" s="924" t="s">
        <v>859</v>
      </c>
      <c r="K2349" s="924" t="s">
        <v>909</v>
      </c>
      <c r="L2349" s="925">
        <v>16.370021224021901</v>
      </c>
      <c r="M2349" s="925">
        <v>2.9316771921003199E-2</v>
      </c>
    </row>
    <row r="2350" spans="1:13" ht="11.25" customHeight="1" x14ac:dyDescent="0.2">
      <c r="A2350" s="924" t="s">
        <v>853</v>
      </c>
      <c r="B2350" s="924" t="s">
        <v>798</v>
      </c>
      <c r="C2350" s="924" t="s">
        <v>1184</v>
      </c>
      <c r="D2350" s="924" t="s">
        <v>855</v>
      </c>
      <c r="E2350" s="924" t="s">
        <v>856</v>
      </c>
      <c r="F2350" s="924" t="s">
        <v>1045</v>
      </c>
      <c r="G2350" s="924" t="s">
        <v>981</v>
      </c>
      <c r="H2350" s="924" t="s">
        <v>835</v>
      </c>
      <c r="I2350" s="924" t="s">
        <v>1040</v>
      </c>
      <c r="J2350" s="924" t="s">
        <v>884</v>
      </c>
      <c r="K2350" s="924" t="s">
        <v>1046</v>
      </c>
      <c r="L2350" s="925">
        <v>818.88962554931595</v>
      </c>
      <c r="M2350" s="925">
        <v>0.84516418249404501</v>
      </c>
    </row>
    <row r="2351" spans="1:13" ht="11.25" customHeight="1" x14ac:dyDescent="0.2">
      <c r="A2351" s="924" t="s">
        <v>853</v>
      </c>
      <c r="B2351" s="924" t="s">
        <v>798</v>
      </c>
      <c r="C2351" s="924" t="s">
        <v>1184</v>
      </c>
      <c r="D2351" s="924" t="s">
        <v>855</v>
      </c>
      <c r="E2351" s="924" t="s">
        <v>856</v>
      </c>
      <c r="F2351" s="924" t="s">
        <v>1044</v>
      </c>
      <c r="G2351" s="924" t="s">
        <v>981</v>
      </c>
      <c r="H2351" s="924" t="s">
        <v>835</v>
      </c>
      <c r="I2351" s="924" t="s">
        <v>1040</v>
      </c>
      <c r="J2351" s="924" t="s">
        <v>884</v>
      </c>
      <c r="K2351" s="924" t="s">
        <v>999</v>
      </c>
      <c r="L2351" s="925">
        <v>86.059841752052293</v>
      </c>
      <c r="M2351" s="925">
        <v>0.1198088229512</v>
      </c>
    </row>
    <row r="2352" spans="1:13" ht="11.25" customHeight="1" x14ac:dyDescent="0.2">
      <c r="A2352" s="924" t="s">
        <v>853</v>
      </c>
      <c r="B2352" s="924" t="s">
        <v>798</v>
      </c>
      <c r="C2352" s="924" t="s">
        <v>1184</v>
      </c>
      <c r="D2352" s="924" t="s">
        <v>855</v>
      </c>
      <c r="E2352" s="924" t="s">
        <v>856</v>
      </c>
      <c r="F2352" s="924" t="s">
        <v>1042</v>
      </c>
      <c r="G2352" s="924" t="s">
        <v>981</v>
      </c>
      <c r="H2352" s="924" t="s">
        <v>835</v>
      </c>
      <c r="I2352" s="924" t="s">
        <v>998</v>
      </c>
      <c r="J2352" s="924" t="s">
        <v>956</v>
      </c>
      <c r="K2352" s="924" t="s">
        <v>1043</v>
      </c>
      <c r="L2352" s="925">
        <v>22.910239517688801</v>
      </c>
      <c r="M2352" s="925">
        <v>3.9683189184870599E-2</v>
      </c>
    </row>
    <row r="2353" spans="1:13" ht="11.25" customHeight="1" x14ac:dyDescent="0.2">
      <c r="A2353" s="924" t="s">
        <v>853</v>
      </c>
      <c r="B2353" s="924" t="s">
        <v>798</v>
      </c>
      <c r="C2353" s="924" t="s">
        <v>1184</v>
      </c>
      <c r="D2353" s="924" t="s">
        <v>855</v>
      </c>
      <c r="E2353" s="924" t="s">
        <v>856</v>
      </c>
      <c r="F2353" s="924" t="s">
        <v>1082</v>
      </c>
      <c r="G2353" s="924" t="s">
        <v>981</v>
      </c>
      <c r="H2353" s="924" t="s">
        <v>835</v>
      </c>
      <c r="I2353" s="924" t="s">
        <v>998</v>
      </c>
      <c r="J2353" s="924" t="s">
        <v>875</v>
      </c>
      <c r="K2353" s="924" t="s">
        <v>952</v>
      </c>
      <c r="L2353" s="925">
        <v>6.5147049608640401E-2</v>
      </c>
      <c r="M2353" s="925">
        <v>1.45564649983498E-4</v>
      </c>
    </row>
    <row r="2354" spans="1:13" ht="11.25" customHeight="1" x14ac:dyDescent="0.2">
      <c r="A2354" s="924" t="s">
        <v>853</v>
      </c>
      <c r="B2354" s="924" t="s">
        <v>798</v>
      </c>
      <c r="C2354" s="924" t="s">
        <v>1184</v>
      </c>
      <c r="D2354" s="924" t="s">
        <v>855</v>
      </c>
      <c r="E2354" s="924" t="s">
        <v>856</v>
      </c>
      <c r="F2354" s="924" t="s">
        <v>1054</v>
      </c>
      <c r="G2354" s="924" t="s">
        <v>981</v>
      </c>
      <c r="H2354" s="924" t="s">
        <v>835</v>
      </c>
      <c r="I2354" s="924" t="s">
        <v>998</v>
      </c>
      <c r="J2354" s="924" t="s">
        <v>875</v>
      </c>
      <c r="K2354" s="924" t="s">
        <v>880</v>
      </c>
      <c r="L2354" s="925">
        <v>3.7348162732087102E-3</v>
      </c>
      <c r="M2354" s="925">
        <v>8.3450983865418493E-6</v>
      </c>
    </row>
    <row r="2355" spans="1:13" ht="11.25" customHeight="1" x14ac:dyDescent="0.2">
      <c r="A2355" s="924" t="s">
        <v>853</v>
      </c>
      <c r="B2355" s="924" t="s">
        <v>798</v>
      </c>
      <c r="C2355" s="924" t="s">
        <v>1184</v>
      </c>
      <c r="D2355" s="924" t="s">
        <v>855</v>
      </c>
      <c r="E2355" s="924" t="s">
        <v>856</v>
      </c>
      <c r="F2355" s="924" t="s">
        <v>1056</v>
      </c>
      <c r="G2355" s="924" t="s">
        <v>981</v>
      </c>
      <c r="H2355" s="924" t="s">
        <v>835</v>
      </c>
      <c r="I2355" s="924" t="s">
        <v>998</v>
      </c>
      <c r="J2355" s="924" t="s">
        <v>875</v>
      </c>
      <c r="K2355" s="924" t="s">
        <v>878</v>
      </c>
      <c r="L2355" s="925">
        <v>10.7674541771412</v>
      </c>
      <c r="M2355" s="925">
        <v>2.0766659581568099E-2</v>
      </c>
    </row>
    <row r="2356" spans="1:13" ht="11.25" customHeight="1" x14ac:dyDescent="0.2">
      <c r="A2356" s="924" t="s">
        <v>853</v>
      </c>
      <c r="B2356" s="924" t="s">
        <v>798</v>
      </c>
      <c r="C2356" s="924" t="s">
        <v>1184</v>
      </c>
      <c r="D2356" s="924" t="s">
        <v>855</v>
      </c>
      <c r="E2356" s="924" t="s">
        <v>856</v>
      </c>
      <c r="F2356" s="924" t="s">
        <v>1102</v>
      </c>
      <c r="G2356" s="924" t="s">
        <v>981</v>
      </c>
      <c r="H2356" s="924" t="s">
        <v>835</v>
      </c>
      <c r="I2356" s="924" t="s">
        <v>998</v>
      </c>
      <c r="J2356" s="924" t="s">
        <v>875</v>
      </c>
      <c r="K2356" s="924" t="s">
        <v>876</v>
      </c>
      <c r="L2356" s="925">
        <v>1.61377319134772</v>
      </c>
      <c r="M2356" s="925">
        <v>3.26540131209185E-3</v>
      </c>
    </row>
    <row r="2357" spans="1:13" ht="11.25" customHeight="1" x14ac:dyDescent="0.2">
      <c r="A2357" s="924" t="s">
        <v>853</v>
      </c>
      <c r="B2357" s="924" t="s">
        <v>798</v>
      </c>
      <c r="C2357" s="924" t="s">
        <v>1184</v>
      </c>
      <c r="D2357" s="924" t="s">
        <v>855</v>
      </c>
      <c r="E2357" s="924" t="s">
        <v>856</v>
      </c>
      <c r="F2357" s="924" t="s">
        <v>1101</v>
      </c>
      <c r="G2357" s="924" t="s">
        <v>981</v>
      </c>
      <c r="H2357" s="924" t="s">
        <v>835</v>
      </c>
      <c r="I2357" s="924" t="s">
        <v>998</v>
      </c>
      <c r="J2357" s="924" t="s">
        <v>870</v>
      </c>
      <c r="K2357" s="924" t="s">
        <v>961</v>
      </c>
      <c r="L2357" s="925">
        <v>0.26394134166184802</v>
      </c>
      <c r="M2357" s="925">
        <v>4.34572885524176E-4</v>
      </c>
    </row>
    <row r="2358" spans="1:13" ht="11.25" customHeight="1" x14ac:dyDescent="0.2">
      <c r="A2358" s="924" t="s">
        <v>853</v>
      </c>
      <c r="B2358" s="924" t="s">
        <v>798</v>
      </c>
      <c r="C2358" s="924" t="s">
        <v>1184</v>
      </c>
      <c r="D2358" s="924" t="s">
        <v>855</v>
      </c>
      <c r="E2358" s="924" t="s">
        <v>856</v>
      </c>
      <c r="F2358" s="924" t="s">
        <v>1100</v>
      </c>
      <c r="G2358" s="924" t="s">
        <v>981</v>
      </c>
      <c r="H2358" s="924" t="s">
        <v>835</v>
      </c>
      <c r="I2358" s="924" t="s">
        <v>998</v>
      </c>
      <c r="J2358" s="924" t="s">
        <v>940</v>
      </c>
      <c r="K2358" s="924" t="s">
        <v>1032</v>
      </c>
      <c r="L2358" s="925">
        <v>9.48299871233758E-2</v>
      </c>
      <c r="M2358" s="925">
        <v>1.9012468186474499E-4</v>
      </c>
    </row>
    <row r="2359" spans="1:13" ht="11.25" customHeight="1" x14ac:dyDescent="0.2">
      <c r="A2359" s="924" t="s">
        <v>853</v>
      </c>
      <c r="B2359" s="924" t="s">
        <v>798</v>
      </c>
      <c r="C2359" s="924" t="s">
        <v>1184</v>
      </c>
      <c r="D2359" s="924" t="s">
        <v>855</v>
      </c>
      <c r="E2359" s="924" t="s">
        <v>856</v>
      </c>
      <c r="F2359" s="924" t="s">
        <v>1103</v>
      </c>
      <c r="G2359" s="924" t="s">
        <v>981</v>
      </c>
      <c r="H2359" s="924" t="s">
        <v>835</v>
      </c>
      <c r="I2359" s="924" t="s">
        <v>998</v>
      </c>
      <c r="J2359" s="924" t="s">
        <v>863</v>
      </c>
      <c r="K2359" s="924" t="s">
        <v>864</v>
      </c>
      <c r="L2359" s="925">
        <v>1.42612782510696E-2</v>
      </c>
      <c r="M2359" s="925">
        <v>3.18654825264275E-5</v>
      </c>
    </row>
    <row r="2360" spans="1:13" ht="11.25" customHeight="1" x14ac:dyDescent="0.2">
      <c r="A2360" s="924" t="s">
        <v>853</v>
      </c>
      <c r="B2360" s="924" t="s">
        <v>798</v>
      </c>
      <c r="C2360" s="924" t="s">
        <v>1184</v>
      </c>
      <c r="D2360" s="924" t="s">
        <v>855</v>
      </c>
      <c r="E2360" s="924" t="s">
        <v>856</v>
      </c>
      <c r="F2360" s="924" t="s">
        <v>1099</v>
      </c>
      <c r="G2360" s="924" t="s">
        <v>981</v>
      </c>
      <c r="H2360" s="924" t="s">
        <v>835</v>
      </c>
      <c r="I2360" s="924" t="s">
        <v>998</v>
      </c>
      <c r="J2360" s="924" t="s">
        <v>940</v>
      </c>
      <c r="K2360" s="924" t="s">
        <v>1025</v>
      </c>
      <c r="L2360" s="925">
        <v>49.598292827606201</v>
      </c>
      <c r="M2360" s="925">
        <v>0.33838590420782599</v>
      </c>
    </row>
    <row r="2361" spans="1:13" ht="11.25" customHeight="1" x14ac:dyDescent="0.2">
      <c r="A2361" s="924" t="s">
        <v>853</v>
      </c>
      <c r="B2361" s="924" t="s">
        <v>798</v>
      </c>
      <c r="C2361" s="924" t="s">
        <v>1184</v>
      </c>
      <c r="D2361" s="924" t="s">
        <v>855</v>
      </c>
      <c r="E2361" s="924" t="s">
        <v>856</v>
      </c>
      <c r="F2361" s="924" t="s">
        <v>1081</v>
      </c>
      <c r="G2361" s="924" t="s">
        <v>981</v>
      </c>
      <c r="H2361" s="924" t="s">
        <v>835</v>
      </c>
      <c r="I2361" s="924" t="s">
        <v>998</v>
      </c>
      <c r="J2361" s="924" t="s">
        <v>863</v>
      </c>
      <c r="K2361" s="924" t="s">
        <v>935</v>
      </c>
      <c r="L2361" s="925">
        <v>0.18636999884620301</v>
      </c>
      <c r="M2361" s="925">
        <v>4.1642570522526501E-4</v>
      </c>
    </row>
    <row r="2362" spans="1:13" ht="11.25" customHeight="1" x14ac:dyDescent="0.2">
      <c r="A2362" s="924" t="s">
        <v>853</v>
      </c>
      <c r="B2362" s="924" t="s">
        <v>798</v>
      </c>
      <c r="C2362" s="924" t="s">
        <v>1184</v>
      </c>
      <c r="D2362" s="924" t="s">
        <v>855</v>
      </c>
      <c r="E2362" s="924" t="s">
        <v>856</v>
      </c>
      <c r="F2362" s="924" t="s">
        <v>1083</v>
      </c>
      <c r="G2362" s="924" t="s">
        <v>981</v>
      </c>
      <c r="H2362" s="924" t="s">
        <v>835</v>
      </c>
      <c r="I2362" s="924" t="s">
        <v>998</v>
      </c>
      <c r="J2362" s="924" t="s">
        <v>940</v>
      </c>
      <c r="K2362" s="924" t="s">
        <v>1084</v>
      </c>
      <c r="L2362" s="925">
        <v>1.5223785135895</v>
      </c>
      <c r="M2362" s="925">
        <v>2.78128328318417E-3</v>
      </c>
    </row>
    <row r="2363" spans="1:13" ht="11.25" customHeight="1" x14ac:dyDescent="0.2">
      <c r="A2363" s="924" t="s">
        <v>853</v>
      </c>
      <c r="B2363" s="924" t="s">
        <v>798</v>
      </c>
      <c r="C2363" s="924" t="s">
        <v>1184</v>
      </c>
      <c r="D2363" s="924" t="s">
        <v>855</v>
      </c>
      <c r="E2363" s="924" t="s">
        <v>856</v>
      </c>
      <c r="F2363" s="924" t="s">
        <v>1069</v>
      </c>
      <c r="G2363" s="924" t="s">
        <v>981</v>
      </c>
      <c r="H2363" s="924" t="s">
        <v>835</v>
      </c>
      <c r="I2363" s="924" t="s">
        <v>998</v>
      </c>
      <c r="J2363" s="924" t="s">
        <v>940</v>
      </c>
      <c r="K2363" s="924" t="s">
        <v>1070</v>
      </c>
      <c r="L2363" s="925">
        <v>22.621296346187599</v>
      </c>
      <c r="M2363" s="925">
        <v>4.2000763729447499E-2</v>
      </c>
    </row>
    <row r="2364" spans="1:13" ht="11.25" customHeight="1" x14ac:dyDescent="0.2">
      <c r="A2364" s="924" t="s">
        <v>853</v>
      </c>
      <c r="B2364" s="924" t="s">
        <v>798</v>
      </c>
      <c r="C2364" s="924" t="s">
        <v>1184</v>
      </c>
      <c r="D2364" s="924" t="s">
        <v>855</v>
      </c>
      <c r="E2364" s="924" t="s">
        <v>856</v>
      </c>
      <c r="F2364" s="924" t="s">
        <v>1086</v>
      </c>
      <c r="G2364" s="924" t="s">
        <v>981</v>
      </c>
      <c r="H2364" s="924" t="s">
        <v>835</v>
      </c>
      <c r="I2364" s="924" t="s">
        <v>998</v>
      </c>
      <c r="J2364" s="924" t="s">
        <v>940</v>
      </c>
      <c r="K2364" s="924" t="s">
        <v>1087</v>
      </c>
      <c r="L2364" s="925">
        <v>20.372991085052501</v>
      </c>
      <c r="M2364" s="925">
        <v>3.9224815671332201E-2</v>
      </c>
    </row>
    <row r="2365" spans="1:13" ht="11.25" customHeight="1" x14ac:dyDescent="0.2">
      <c r="A2365" s="924" t="s">
        <v>853</v>
      </c>
      <c r="B2365" s="924" t="s">
        <v>798</v>
      </c>
      <c r="C2365" s="924" t="s">
        <v>1184</v>
      </c>
      <c r="D2365" s="924" t="s">
        <v>855</v>
      </c>
      <c r="E2365" s="924" t="s">
        <v>856</v>
      </c>
      <c r="F2365" s="924" t="s">
        <v>1088</v>
      </c>
      <c r="G2365" s="924" t="s">
        <v>981</v>
      </c>
      <c r="H2365" s="924" t="s">
        <v>835</v>
      </c>
      <c r="I2365" s="924" t="s">
        <v>998</v>
      </c>
      <c r="J2365" s="924" t="s">
        <v>940</v>
      </c>
      <c r="K2365" s="924" t="s">
        <v>1089</v>
      </c>
      <c r="L2365" s="925">
        <v>218.296491384506</v>
      </c>
      <c r="M2365" s="925">
        <v>0.39878531219437702</v>
      </c>
    </row>
    <row r="2366" spans="1:13" ht="11.25" customHeight="1" x14ac:dyDescent="0.2">
      <c r="A2366" s="924" t="s">
        <v>853</v>
      </c>
      <c r="B2366" s="924" t="s">
        <v>798</v>
      </c>
      <c r="C2366" s="924" t="s">
        <v>1184</v>
      </c>
      <c r="D2366" s="924" t="s">
        <v>855</v>
      </c>
      <c r="E2366" s="924" t="s">
        <v>856</v>
      </c>
      <c r="F2366" s="924" t="s">
        <v>1092</v>
      </c>
      <c r="G2366" s="924" t="s">
        <v>981</v>
      </c>
      <c r="H2366" s="924" t="s">
        <v>835</v>
      </c>
      <c r="I2366" s="924" t="s">
        <v>998</v>
      </c>
      <c r="J2366" s="924" t="s">
        <v>940</v>
      </c>
      <c r="K2366" s="924" t="s">
        <v>1093</v>
      </c>
      <c r="L2366" s="925">
        <v>190.32190579175901</v>
      </c>
      <c r="M2366" s="925">
        <v>0.37661655433475999</v>
      </c>
    </row>
    <row r="2367" spans="1:13" ht="11.25" customHeight="1" x14ac:dyDescent="0.2">
      <c r="A2367" s="924" t="s">
        <v>853</v>
      </c>
      <c r="B2367" s="924" t="s">
        <v>798</v>
      </c>
      <c r="C2367" s="924" t="s">
        <v>1184</v>
      </c>
      <c r="D2367" s="924" t="s">
        <v>855</v>
      </c>
      <c r="E2367" s="924" t="s">
        <v>856</v>
      </c>
      <c r="F2367" s="924" t="s">
        <v>1094</v>
      </c>
      <c r="G2367" s="924" t="s">
        <v>981</v>
      </c>
      <c r="H2367" s="924" t="s">
        <v>835</v>
      </c>
      <c r="I2367" s="924" t="s">
        <v>998</v>
      </c>
      <c r="J2367" s="924" t="s">
        <v>940</v>
      </c>
      <c r="K2367" s="924" t="s">
        <v>1095</v>
      </c>
      <c r="L2367" s="925">
        <v>18.168679505586599</v>
      </c>
      <c r="M2367" s="925">
        <v>3.3886942313984002E-2</v>
      </c>
    </row>
    <row r="2368" spans="1:13" ht="11.25" customHeight="1" x14ac:dyDescent="0.2">
      <c r="A2368" s="924" t="s">
        <v>853</v>
      </c>
      <c r="B2368" s="924" t="s">
        <v>798</v>
      </c>
      <c r="C2368" s="924" t="s">
        <v>1184</v>
      </c>
      <c r="D2368" s="924" t="s">
        <v>855</v>
      </c>
      <c r="E2368" s="924" t="s">
        <v>856</v>
      </c>
      <c r="F2368" s="924" t="s">
        <v>1096</v>
      </c>
      <c r="G2368" s="924" t="s">
        <v>981</v>
      </c>
      <c r="H2368" s="924" t="s">
        <v>835</v>
      </c>
      <c r="I2368" s="924" t="s">
        <v>998</v>
      </c>
      <c r="J2368" s="924" t="s">
        <v>940</v>
      </c>
      <c r="K2368" s="924" t="s">
        <v>1023</v>
      </c>
      <c r="L2368" s="925">
        <v>177.71523022651701</v>
      </c>
      <c r="M2368" s="925">
        <v>0.33238748915027799</v>
      </c>
    </row>
    <row r="2369" spans="1:13" ht="11.25" customHeight="1" x14ac:dyDescent="0.2">
      <c r="A2369" s="924" t="s">
        <v>853</v>
      </c>
      <c r="B2369" s="924" t="s">
        <v>798</v>
      </c>
      <c r="C2369" s="924" t="s">
        <v>1184</v>
      </c>
      <c r="D2369" s="924" t="s">
        <v>855</v>
      </c>
      <c r="E2369" s="924" t="s">
        <v>856</v>
      </c>
      <c r="F2369" s="924" t="s">
        <v>1097</v>
      </c>
      <c r="G2369" s="924" t="s">
        <v>981</v>
      </c>
      <c r="H2369" s="924" t="s">
        <v>835</v>
      </c>
      <c r="I2369" s="924" t="s">
        <v>998</v>
      </c>
      <c r="J2369" s="924" t="s">
        <v>940</v>
      </c>
      <c r="K2369" s="924" t="s">
        <v>1098</v>
      </c>
      <c r="L2369" s="925">
        <v>9.0897423028945905</v>
      </c>
      <c r="M2369" s="925">
        <v>6.2096398323774303E-2</v>
      </c>
    </row>
    <row r="2370" spans="1:13" ht="11.25" customHeight="1" x14ac:dyDescent="0.2">
      <c r="A2370" s="924" t="s">
        <v>853</v>
      </c>
      <c r="B2370" s="924" t="s">
        <v>798</v>
      </c>
      <c r="C2370" s="924" t="s">
        <v>1184</v>
      </c>
      <c r="D2370" s="924" t="s">
        <v>855</v>
      </c>
      <c r="E2370" s="924" t="s">
        <v>856</v>
      </c>
      <c r="F2370" s="924" t="s">
        <v>1090</v>
      </c>
      <c r="G2370" s="924" t="s">
        <v>981</v>
      </c>
      <c r="H2370" s="924" t="s">
        <v>835</v>
      </c>
      <c r="I2370" s="924" t="s">
        <v>998</v>
      </c>
      <c r="J2370" s="924" t="s">
        <v>940</v>
      </c>
      <c r="K2370" s="924" t="s">
        <v>1091</v>
      </c>
      <c r="L2370" s="925">
        <v>28.229888081550602</v>
      </c>
      <c r="M2370" s="925">
        <v>4.8077104671392597E-2</v>
      </c>
    </row>
    <row r="2371" spans="1:13" ht="11.25" customHeight="1" x14ac:dyDescent="0.2">
      <c r="A2371" s="924" t="s">
        <v>853</v>
      </c>
      <c r="B2371" s="924" t="s">
        <v>798</v>
      </c>
      <c r="C2371" s="924" t="s">
        <v>1184</v>
      </c>
      <c r="D2371" s="924" t="s">
        <v>855</v>
      </c>
      <c r="E2371" s="924" t="s">
        <v>856</v>
      </c>
      <c r="F2371" s="924" t="s">
        <v>1080</v>
      </c>
      <c r="G2371" s="924" t="s">
        <v>981</v>
      </c>
      <c r="H2371" s="924" t="s">
        <v>835</v>
      </c>
      <c r="I2371" s="924" t="s">
        <v>998</v>
      </c>
      <c r="J2371" s="924" t="s">
        <v>859</v>
      </c>
      <c r="K2371" s="924" t="s">
        <v>920</v>
      </c>
      <c r="L2371" s="925">
        <v>9.5933766337111606E-2</v>
      </c>
      <c r="M2371" s="925">
        <v>2.1435490452859101E-4</v>
      </c>
    </row>
    <row r="2372" spans="1:13" ht="11.25" customHeight="1" x14ac:dyDescent="0.2">
      <c r="A2372" s="924" t="s">
        <v>853</v>
      </c>
      <c r="B2372" s="924" t="s">
        <v>799</v>
      </c>
      <c r="C2372" s="924" t="s">
        <v>1187</v>
      </c>
      <c r="D2372" s="924" t="s">
        <v>1163</v>
      </c>
      <c r="E2372" s="924" t="s">
        <v>856</v>
      </c>
      <c r="F2372" s="924" t="s">
        <v>867</v>
      </c>
      <c r="G2372" s="924" t="s">
        <v>862</v>
      </c>
      <c r="H2372" s="924" t="s">
        <v>665</v>
      </c>
      <c r="I2372" s="924" t="s">
        <v>787</v>
      </c>
      <c r="J2372" s="924" t="s">
        <v>863</v>
      </c>
      <c r="K2372" s="924" t="s">
        <v>868</v>
      </c>
      <c r="L2372" s="925">
        <v>2.6234604306519</v>
      </c>
      <c r="M2372" s="925">
        <v>1.0733670584159E-2</v>
      </c>
    </row>
    <row r="2373" spans="1:13" ht="11.25" customHeight="1" x14ac:dyDescent="0.2">
      <c r="A2373" s="924" t="s">
        <v>853</v>
      </c>
      <c r="B2373" s="924" t="s">
        <v>799</v>
      </c>
      <c r="C2373" s="924" t="s">
        <v>1187</v>
      </c>
      <c r="D2373" s="924" t="s">
        <v>1163</v>
      </c>
      <c r="E2373" s="924" t="s">
        <v>856</v>
      </c>
      <c r="F2373" s="924" t="s">
        <v>1170</v>
      </c>
      <c r="G2373" s="924" t="s">
        <v>862</v>
      </c>
      <c r="H2373" s="924" t="s">
        <v>665</v>
      </c>
      <c r="I2373" s="924" t="s">
        <v>787</v>
      </c>
      <c r="J2373" s="924" t="s">
        <v>863</v>
      </c>
      <c r="K2373" s="924" t="s">
        <v>1171</v>
      </c>
      <c r="L2373" s="925">
        <v>3.6279807239770898</v>
      </c>
      <c r="M2373" s="925">
        <v>1.5839860425330698E-2</v>
      </c>
    </row>
    <row r="2374" spans="1:13" ht="11.25" customHeight="1" x14ac:dyDescent="0.2">
      <c r="A2374" s="924" t="s">
        <v>853</v>
      </c>
      <c r="B2374" s="924" t="s">
        <v>799</v>
      </c>
      <c r="C2374" s="924" t="s">
        <v>1187</v>
      </c>
      <c r="D2374" s="924" t="s">
        <v>1163</v>
      </c>
      <c r="E2374" s="924" t="s">
        <v>856</v>
      </c>
      <c r="F2374" s="924" t="s">
        <v>881</v>
      </c>
      <c r="G2374" s="924" t="s">
        <v>862</v>
      </c>
      <c r="H2374" s="924" t="s">
        <v>665</v>
      </c>
      <c r="I2374" s="924" t="s">
        <v>787</v>
      </c>
      <c r="J2374" s="924" t="s">
        <v>875</v>
      </c>
      <c r="K2374" s="924" t="s">
        <v>882</v>
      </c>
      <c r="L2374" s="925">
        <v>152.97373867034901</v>
      </c>
      <c r="M2374" s="925">
        <v>0.73100358434021495</v>
      </c>
    </row>
    <row r="2375" spans="1:13" ht="11.25" customHeight="1" x14ac:dyDescent="0.2">
      <c r="A2375" s="924" t="s">
        <v>853</v>
      </c>
      <c r="B2375" s="924" t="s">
        <v>799</v>
      </c>
      <c r="C2375" s="924" t="s">
        <v>1187</v>
      </c>
      <c r="D2375" s="924" t="s">
        <v>1163</v>
      </c>
      <c r="E2375" s="924" t="s">
        <v>856</v>
      </c>
      <c r="F2375" s="924" t="s">
        <v>879</v>
      </c>
      <c r="G2375" s="924" t="s">
        <v>862</v>
      </c>
      <c r="H2375" s="924" t="s">
        <v>665</v>
      </c>
      <c r="I2375" s="924" t="s">
        <v>787</v>
      </c>
      <c r="J2375" s="924" t="s">
        <v>875</v>
      </c>
      <c r="K2375" s="924" t="s">
        <v>880</v>
      </c>
      <c r="L2375" s="925">
        <v>4.2981569729745397</v>
      </c>
      <c r="M2375" s="925">
        <v>2.41806030298903E-2</v>
      </c>
    </row>
    <row r="2376" spans="1:13" ht="11.25" customHeight="1" x14ac:dyDescent="0.2">
      <c r="A2376" s="924" t="s">
        <v>853</v>
      </c>
      <c r="B2376" s="924" t="s">
        <v>799</v>
      </c>
      <c r="C2376" s="924" t="s">
        <v>1187</v>
      </c>
      <c r="D2376" s="924" t="s">
        <v>1163</v>
      </c>
      <c r="E2376" s="924" t="s">
        <v>856</v>
      </c>
      <c r="F2376" s="924" t="s">
        <v>877</v>
      </c>
      <c r="G2376" s="924" t="s">
        <v>862</v>
      </c>
      <c r="H2376" s="924" t="s">
        <v>665</v>
      </c>
      <c r="I2376" s="924" t="s">
        <v>787</v>
      </c>
      <c r="J2376" s="924" t="s">
        <v>875</v>
      </c>
      <c r="K2376" s="924" t="s">
        <v>878</v>
      </c>
      <c r="L2376" s="925">
        <v>2.91408833116293</v>
      </c>
      <c r="M2376" s="925">
        <v>4.77406570425956E-2</v>
      </c>
    </row>
    <row r="2377" spans="1:13" ht="11.25" customHeight="1" x14ac:dyDescent="0.2">
      <c r="A2377" s="924" t="s">
        <v>853</v>
      </c>
      <c r="B2377" s="924" t="s">
        <v>799</v>
      </c>
      <c r="C2377" s="924" t="s">
        <v>1187</v>
      </c>
      <c r="D2377" s="924" t="s">
        <v>1163</v>
      </c>
      <c r="E2377" s="924" t="s">
        <v>856</v>
      </c>
      <c r="F2377" s="924" t="s">
        <v>874</v>
      </c>
      <c r="G2377" s="924" t="s">
        <v>862</v>
      </c>
      <c r="H2377" s="924" t="s">
        <v>665</v>
      </c>
      <c r="I2377" s="924" t="s">
        <v>787</v>
      </c>
      <c r="J2377" s="924" t="s">
        <v>875</v>
      </c>
      <c r="K2377" s="924" t="s">
        <v>876</v>
      </c>
      <c r="L2377" s="925">
        <v>60.920741438865697</v>
      </c>
      <c r="M2377" s="925">
        <v>1.85312628513202</v>
      </c>
    </row>
    <row r="2378" spans="1:13" ht="11.25" customHeight="1" x14ac:dyDescent="0.2">
      <c r="A2378" s="924" t="s">
        <v>853</v>
      </c>
      <c r="B2378" s="924" t="s">
        <v>799</v>
      </c>
      <c r="C2378" s="924" t="s">
        <v>1187</v>
      </c>
      <c r="D2378" s="924" t="s">
        <v>1163</v>
      </c>
      <c r="E2378" s="924" t="s">
        <v>856</v>
      </c>
      <c r="F2378" s="924" t="s">
        <v>872</v>
      </c>
      <c r="G2378" s="924" t="s">
        <v>862</v>
      </c>
      <c r="H2378" s="924" t="s">
        <v>665</v>
      </c>
      <c r="I2378" s="924" t="s">
        <v>787</v>
      </c>
      <c r="J2378" s="924" t="s">
        <v>870</v>
      </c>
      <c r="K2378" s="924" t="s">
        <v>873</v>
      </c>
      <c r="L2378" s="925">
        <v>6.18844613619149</v>
      </c>
      <c r="M2378" s="925">
        <v>2.4908585233788499E-2</v>
      </c>
    </row>
    <row r="2379" spans="1:13" ht="11.25" customHeight="1" x14ac:dyDescent="0.2">
      <c r="A2379" s="924" t="s">
        <v>853</v>
      </c>
      <c r="B2379" s="924" t="s">
        <v>799</v>
      </c>
      <c r="C2379" s="924" t="s">
        <v>1187</v>
      </c>
      <c r="D2379" s="924" t="s">
        <v>1163</v>
      </c>
      <c r="E2379" s="924" t="s">
        <v>856</v>
      </c>
      <c r="F2379" s="924" t="s">
        <v>869</v>
      </c>
      <c r="G2379" s="924" t="s">
        <v>862</v>
      </c>
      <c r="H2379" s="924" t="s">
        <v>665</v>
      </c>
      <c r="I2379" s="924" t="s">
        <v>787</v>
      </c>
      <c r="J2379" s="924" t="s">
        <v>870</v>
      </c>
      <c r="K2379" s="924" t="s">
        <v>871</v>
      </c>
      <c r="L2379" s="925">
        <v>5.6258713826537098E-2</v>
      </c>
      <c r="M2379" s="925">
        <v>3.22798619868081E-3</v>
      </c>
    </row>
    <row r="2380" spans="1:13" ht="11.25" customHeight="1" x14ac:dyDescent="0.2">
      <c r="A2380" s="924" t="s">
        <v>853</v>
      </c>
      <c r="B2380" s="924" t="s">
        <v>799</v>
      </c>
      <c r="C2380" s="924" t="s">
        <v>1187</v>
      </c>
      <c r="D2380" s="924" t="s">
        <v>1163</v>
      </c>
      <c r="E2380" s="924" t="s">
        <v>856</v>
      </c>
      <c r="F2380" s="924" t="s">
        <v>865</v>
      </c>
      <c r="G2380" s="924" t="s">
        <v>862</v>
      </c>
      <c r="H2380" s="924" t="s">
        <v>665</v>
      </c>
      <c r="I2380" s="924" t="s">
        <v>787</v>
      </c>
      <c r="J2380" s="924" t="s">
        <v>863</v>
      </c>
      <c r="K2380" s="924" t="s">
        <v>866</v>
      </c>
      <c r="L2380" s="925">
        <v>1.75495161116123</v>
      </c>
      <c r="M2380" s="925">
        <v>8.4669024186041497E-3</v>
      </c>
    </row>
    <row r="2381" spans="1:13" ht="11.25" customHeight="1" x14ac:dyDescent="0.2">
      <c r="A2381" s="924" t="s">
        <v>853</v>
      </c>
      <c r="B2381" s="924" t="s">
        <v>799</v>
      </c>
      <c r="C2381" s="924" t="s">
        <v>1187</v>
      </c>
      <c r="D2381" s="924" t="s">
        <v>1163</v>
      </c>
      <c r="E2381" s="924" t="s">
        <v>856</v>
      </c>
      <c r="F2381" s="924" t="s">
        <v>883</v>
      </c>
      <c r="G2381" s="924" t="s">
        <v>858</v>
      </c>
      <c r="H2381" s="924" t="s">
        <v>836</v>
      </c>
      <c r="I2381" s="924" t="s">
        <v>837</v>
      </c>
      <c r="J2381" s="924" t="s">
        <v>884</v>
      </c>
      <c r="K2381" s="924" t="s">
        <v>885</v>
      </c>
      <c r="L2381" s="925">
        <v>196.93565940856899</v>
      </c>
      <c r="M2381" s="925">
        <v>7.5535397440944499E-3</v>
      </c>
    </row>
    <row r="2382" spans="1:13" ht="11.25" customHeight="1" x14ac:dyDescent="0.2">
      <c r="A2382" s="924" t="s">
        <v>853</v>
      </c>
      <c r="B2382" s="924" t="s">
        <v>799</v>
      </c>
      <c r="C2382" s="924" t="s">
        <v>1187</v>
      </c>
      <c r="D2382" s="924" t="s">
        <v>1163</v>
      </c>
      <c r="E2382" s="924" t="s">
        <v>856</v>
      </c>
      <c r="F2382" s="924" t="s">
        <v>900</v>
      </c>
      <c r="G2382" s="924" t="s">
        <v>858</v>
      </c>
      <c r="H2382" s="924" t="s">
        <v>836</v>
      </c>
      <c r="I2382" s="924" t="s">
        <v>837</v>
      </c>
      <c r="J2382" s="924" t="s">
        <v>859</v>
      </c>
      <c r="K2382" s="924" t="s">
        <v>901</v>
      </c>
      <c r="L2382" s="925">
        <v>139.76212644577001</v>
      </c>
      <c r="M2382" s="925">
        <v>6.0911706125637002E-3</v>
      </c>
    </row>
    <row r="2383" spans="1:13" ht="11.25" customHeight="1" x14ac:dyDescent="0.2">
      <c r="A2383" s="924" t="s">
        <v>853</v>
      </c>
      <c r="B2383" s="924" t="s">
        <v>799</v>
      </c>
      <c r="C2383" s="924" t="s">
        <v>1187</v>
      </c>
      <c r="D2383" s="924" t="s">
        <v>1163</v>
      </c>
      <c r="E2383" s="924" t="s">
        <v>856</v>
      </c>
      <c r="F2383" s="924" t="s">
        <v>861</v>
      </c>
      <c r="G2383" s="924" t="s">
        <v>862</v>
      </c>
      <c r="H2383" s="924" t="s">
        <v>665</v>
      </c>
      <c r="I2383" s="924" t="s">
        <v>787</v>
      </c>
      <c r="J2383" s="924" t="s">
        <v>863</v>
      </c>
      <c r="K2383" s="924" t="s">
        <v>864</v>
      </c>
      <c r="L2383" s="925">
        <v>0.21450771111995001</v>
      </c>
      <c r="M2383" s="925">
        <v>8.8137084367190298E-4</v>
      </c>
    </row>
    <row r="2384" spans="1:13" ht="11.25" customHeight="1" x14ac:dyDescent="0.2">
      <c r="A2384" s="924" t="s">
        <v>853</v>
      </c>
      <c r="B2384" s="924" t="s">
        <v>799</v>
      </c>
      <c r="C2384" s="924" t="s">
        <v>1187</v>
      </c>
      <c r="D2384" s="924" t="s">
        <v>1163</v>
      </c>
      <c r="E2384" s="924" t="s">
        <v>856</v>
      </c>
      <c r="F2384" s="924" t="s">
        <v>912</v>
      </c>
      <c r="G2384" s="924" t="s">
        <v>858</v>
      </c>
      <c r="H2384" s="924" t="s">
        <v>836</v>
      </c>
      <c r="I2384" s="924" t="s">
        <v>837</v>
      </c>
      <c r="J2384" s="924" t="s">
        <v>859</v>
      </c>
      <c r="K2384" s="924" t="s">
        <v>913</v>
      </c>
      <c r="L2384" s="925">
        <v>505.52417087554898</v>
      </c>
      <c r="M2384" s="925">
        <v>5.5670557170515202E-3</v>
      </c>
    </row>
    <row r="2385" spans="1:13" ht="11.25" customHeight="1" x14ac:dyDescent="0.2">
      <c r="A2385" s="924" t="s">
        <v>853</v>
      </c>
      <c r="B2385" s="924" t="s">
        <v>799</v>
      </c>
      <c r="C2385" s="924" t="s">
        <v>1187</v>
      </c>
      <c r="D2385" s="924" t="s">
        <v>1163</v>
      </c>
      <c r="E2385" s="924" t="s">
        <v>856</v>
      </c>
      <c r="F2385" s="924" t="s">
        <v>888</v>
      </c>
      <c r="G2385" s="924" t="s">
        <v>858</v>
      </c>
      <c r="H2385" s="924" t="s">
        <v>836</v>
      </c>
      <c r="I2385" s="924" t="s">
        <v>837</v>
      </c>
      <c r="J2385" s="924" t="s">
        <v>859</v>
      </c>
      <c r="K2385" s="924" t="s">
        <v>889</v>
      </c>
      <c r="L2385" s="925">
        <v>0.82312113046646096</v>
      </c>
      <c r="M2385" s="925">
        <v>9.0821602584112399E-5</v>
      </c>
    </row>
    <row r="2386" spans="1:13" ht="11.25" customHeight="1" x14ac:dyDescent="0.2">
      <c r="A2386" s="924" t="s">
        <v>853</v>
      </c>
      <c r="B2386" s="924" t="s">
        <v>799</v>
      </c>
      <c r="C2386" s="924" t="s">
        <v>1187</v>
      </c>
      <c r="D2386" s="924" t="s">
        <v>1163</v>
      </c>
      <c r="E2386" s="924" t="s">
        <v>856</v>
      </c>
      <c r="F2386" s="924" t="s">
        <v>857</v>
      </c>
      <c r="G2386" s="924" t="s">
        <v>858</v>
      </c>
      <c r="H2386" s="924" t="s">
        <v>836</v>
      </c>
      <c r="I2386" s="924" t="s">
        <v>837</v>
      </c>
      <c r="J2386" s="924" t="s">
        <v>859</v>
      </c>
      <c r="K2386" s="924" t="s">
        <v>860</v>
      </c>
      <c r="L2386" s="925">
        <v>13.560753405094101</v>
      </c>
      <c r="M2386" s="925">
        <v>1.2480151034477401E-3</v>
      </c>
    </row>
    <row r="2387" spans="1:13" ht="11.25" customHeight="1" x14ac:dyDescent="0.2">
      <c r="A2387" s="924" t="s">
        <v>853</v>
      </c>
      <c r="B2387" s="924" t="s">
        <v>799</v>
      </c>
      <c r="C2387" s="924" t="s">
        <v>1187</v>
      </c>
      <c r="D2387" s="924" t="s">
        <v>1163</v>
      </c>
      <c r="E2387" s="924" t="s">
        <v>856</v>
      </c>
      <c r="F2387" s="924" t="s">
        <v>892</v>
      </c>
      <c r="G2387" s="924" t="s">
        <v>858</v>
      </c>
      <c r="H2387" s="924" t="s">
        <v>836</v>
      </c>
      <c r="I2387" s="924" t="s">
        <v>837</v>
      </c>
      <c r="J2387" s="924" t="s">
        <v>859</v>
      </c>
      <c r="K2387" s="924" t="s">
        <v>893</v>
      </c>
      <c r="L2387" s="925">
        <v>1265.4828548431401</v>
      </c>
      <c r="M2387" s="925">
        <v>1.600812214906E-2</v>
      </c>
    </row>
    <row r="2388" spans="1:13" ht="11.25" customHeight="1" x14ac:dyDescent="0.2">
      <c r="A2388" s="924" t="s">
        <v>853</v>
      </c>
      <c r="B2388" s="924" t="s">
        <v>799</v>
      </c>
      <c r="C2388" s="924" t="s">
        <v>1187</v>
      </c>
      <c r="D2388" s="924" t="s">
        <v>1163</v>
      </c>
      <c r="E2388" s="924" t="s">
        <v>856</v>
      </c>
      <c r="F2388" s="924" t="s">
        <v>894</v>
      </c>
      <c r="G2388" s="924" t="s">
        <v>858</v>
      </c>
      <c r="H2388" s="924" t="s">
        <v>836</v>
      </c>
      <c r="I2388" s="924" t="s">
        <v>837</v>
      </c>
      <c r="J2388" s="924" t="s">
        <v>859</v>
      </c>
      <c r="K2388" s="924" t="s">
        <v>895</v>
      </c>
      <c r="L2388" s="925">
        <v>1376.88514709473</v>
      </c>
      <c r="M2388" s="925">
        <v>9.1204064935936895E-3</v>
      </c>
    </row>
    <row r="2389" spans="1:13" ht="11.25" customHeight="1" x14ac:dyDescent="0.2">
      <c r="A2389" s="924" t="s">
        <v>853</v>
      </c>
      <c r="B2389" s="924" t="s">
        <v>799</v>
      </c>
      <c r="C2389" s="924" t="s">
        <v>1187</v>
      </c>
      <c r="D2389" s="924" t="s">
        <v>1163</v>
      </c>
      <c r="E2389" s="924" t="s">
        <v>856</v>
      </c>
      <c r="F2389" s="924" t="s">
        <v>972</v>
      </c>
      <c r="G2389" s="924" t="s">
        <v>858</v>
      </c>
      <c r="H2389" s="924" t="s">
        <v>836</v>
      </c>
      <c r="I2389" s="924" t="s">
        <v>837</v>
      </c>
      <c r="J2389" s="924" t="s">
        <v>859</v>
      </c>
      <c r="K2389" s="924" t="s">
        <v>973</v>
      </c>
      <c r="L2389" s="925">
        <v>20.285459607839599</v>
      </c>
      <c r="M2389" s="925">
        <v>5.1675912464332896E-4</v>
      </c>
    </row>
    <row r="2390" spans="1:13" ht="11.25" customHeight="1" x14ac:dyDescent="0.2">
      <c r="A2390" s="924" t="s">
        <v>853</v>
      </c>
      <c r="B2390" s="924" t="s">
        <v>799</v>
      </c>
      <c r="C2390" s="924" t="s">
        <v>1187</v>
      </c>
      <c r="D2390" s="924" t="s">
        <v>1163</v>
      </c>
      <c r="E2390" s="924" t="s">
        <v>856</v>
      </c>
      <c r="F2390" s="924" t="s">
        <v>898</v>
      </c>
      <c r="G2390" s="924" t="s">
        <v>858</v>
      </c>
      <c r="H2390" s="924" t="s">
        <v>836</v>
      </c>
      <c r="I2390" s="924" t="s">
        <v>837</v>
      </c>
      <c r="J2390" s="924" t="s">
        <v>859</v>
      </c>
      <c r="K2390" s="924" t="s">
        <v>899</v>
      </c>
      <c r="L2390" s="925">
        <v>46.5326111912727</v>
      </c>
      <c r="M2390" s="925">
        <v>8.09389612825839E-4</v>
      </c>
    </row>
    <row r="2391" spans="1:13" ht="11.25" customHeight="1" x14ac:dyDescent="0.2">
      <c r="A2391" s="924" t="s">
        <v>853</v>
      </c>
      <c r="B2391" s="924" t="s">
        <v>799</v>
      </c>
      <c r="C2391" s="924" t="s">
        <v>1187</v>
      </c>
      <c r="D2391" s="924" t="s">
        <v>1163</v>
      </c>
      <c r="E2391" s="924" t="s">
        <v>856</v>
      </c>
      <c r="F2391" s="924" t="s">
        <v>902</v>
      </c>
      <c r="G2391" s="924" t="s">
        <v>858</v>
      </c>
      <c r="H2391" s="924" t="s">
        <v>836</v>
      </c>
      <c r="I2391" s="924" t="s">
        <v>837</v>
      </c>
      <c r="J2391" s="924" t="s">
        <v>859</v>
      </c>
      <c r="K2391" s="924" t="s">
        <v>903</v>
      </c>
      <c r="L2391" s="925">
        <v>600.15780591964699</v>
      </c>
      <c r="M2391" s="925">
        <v>1.04330327676507E-2</v>
      </c>
    </row>
    <row r="2392" spans="1:13" ht="11.25" customHeight="1" x14ac:dyDescent="0.2">
      <c r="A2392" s="924" t="s">
        <v>853</v>
      </c>
      <c r="B2392" s="924" t="s">
        <v>799</v>
      </c>
      <c r="C2392" s="924" t="s">
        <v>1187</v>
      </c>
      <c r="D2392" s="924" t="s">
        <v>1163</v>
      </c>
      <c r="E2392" s="924" t="s">
        <v>856</v>
      </c>
      <c r="F2392" s="924" t="s">
        <v>904</v>
      </c>
      <c r="G2392" s="924" t="s">
        <v>858</v>
      </c>
      <c r="H2392" s="924" t="s">
        <v>836</v>
      </c>
      <c r="I2392" s="924" t="s">
        <v>837</v>
      </c>
      <c r="J2392" s="924" t="s">
        <v>859</v>
      </c>
      <c r="K2392" s="924" t="s">
        <v>905</v>
      </c>
      <c r="L2392" s="925">
        <v>519.64011430740402</v>
      </c>
      <c r="M2392" s="925">
        <v>9.8442901160069596E-3</v>
      </c>
    </row>
    <row r="2393" spans="1:13" ht="11.25" customHeight="1" x14ac:dyDescent="0.2">
      <c r="A2393" s="924" t="s">
        <v>853</v>
      </c>
      <c r="B2393" s="924" t="s">
        <v>799</v>
      </c>
      <c r="C2393" s="924" t="s">
        <v>1187</v>
      </c>
      <c r="D2393" s="924" t="s">
        <v>1163</v>
      </c>
      <c r="E2393" s="924" t="s">
        <v>856</v>
      </c>
      <c r="F2393" s="924" t="s">
        <v>906</v>
      </c>
      <c r="G2393" s="924" t="s">
        <v>858</v>
      </c>
      <c r="H2393" s="924" t="s">
        <v>836</v>
      </c>
      <c r="I2393" s="924" t="s">
        <v>837</v>
      </c>
      <c r="J2393" s="924" t="s">
        <v>859</v>
      </c>
      <c r="K2393" s="924" t="s">
        <v>907</v>
      </c>
      <c r="L2393" s="925">
        <v>5128.3199195861798</v>
      </c>
      <c r="M2393" s="925">
        <v>3.4141636031563401E-2</v>
      </c>
    </row>
    <row r="2394" spans="1:13" ht="11.25" customHeight="1" x14ac:dyDescent="0.2">
      <c r="A2394" s="924" t="s">
        <v>853</v>
      </c>
      <c r="B2394" s="924" t="s">
        <v>799</v>
      </c>
      <c r="C2394" s="924" t="s">
        <v>1187</v>
      </c>
      <c r="D2394" s="924" t="s">
        <v>1163</v>
      </c>
      <c r="E2394" s="924" t="s">
        <v>856</v>
      </c>
      <c r="F2394" s="924" t="s">
        <v>934</v>
      </c>
      <c r="G2394" s="924" t="s">
        <v>862</v>
      </c>
      <c r="H2394" s="924" t="s">
        <v>665</v>
      </c>
      <c r="I2394" s="924" t="s">
        <v>787</v>
      </c>
      <c r="J2394" s="924" t="s">
        <v>863</v>
      </c>
      <c r="K2394" s="924" t="s">
        <v>935</v>
      </c>
      <c r="L2394" s="925">
        <v>0.39360853657126399</v>
      </c>
      <c r="M2394" s="925">
        <v>1.65459353956976E-3</v>
      </c>
    </row>
    <row r="2395" spans="1:13" ht="11.25" customHeight="1" x14ac:dyDescent="0.2">
      <c r="A2395" s="924" t="s">
        <v>853</v>
      </c>
      <c r="B2395" s="924" t="s">
        <v>799</v>
      </c>
      <c r="C2395" s="924" t="s">
        <v>1187</v>
      </c>
      <c r="D2395" s="924" t="s">
        <v>1163</v>
      </c>
      <c r="E2395" s="924" t="s">
        <v>856</v>
      </c>
      <c r="F2395" s="924" t="s">
        <v>896</v>
      </c>
      <c r="G2395" s="924" t="s">
        <v>858</v>
      </c>
      <c r="H2395" s="924" t="s">
        <v>836</v>
      </c>
      <c r="I2395" s="924" t="s">
        <v>837</v>
      </c>
      <c r="J2395" s="924" t="s">
        <v>859</v>
      </c>
      <c r="K2395" s="924" t="s">
        <v>897</v>
      </c>
      <c r="L2395" s="925">
        <v>75.92585760355</v>
      </c>
      <c r="M2395" s="925">
        <v>1.2295296640161301E-3</v>
      </c>
    </row>
    <row r="2396" spans="1:13" ht="11.25" customHeight="1" x14ac:dyDescent="0.2">
      <c r="A2396" s="924" t="s">
        <v>853</v>
      </c>
      <c r="B2396" s="924" t="s">
        <v>799</v>
      </c>
      <c r="C2396" s="924" t="s">
        <v>1187</v>
      </c>
      <c r="D2396" s="924" t="s">
        <v>1163</v>
      </c>
      <c r="E2396" s="924" t="s">
        <v>856</v>
      </c>
      <c r="F2396" s="924" t="s">
        <v>914</v>
      </c>
      <c r="G2396" s="924" t="s">
        <v>911</v>
      </c>
      <c r="H2396" s="924" t="s">
        <v>665</v>
      </c>
      <c r="I2396" s="924" t="s">
        <v>706</v>
      </c>
      <c r="J2396" s="924" t="s">
        <v>863</v>
      </c>
      <c r="K2396" s="924" t="s">
        <v>915</v>
      </c>
      <c r="L2396" s="925">
        <v>3.9338585250079601</v>
      </c>
      <c r="M2396" s="925">
        <v>5.6131315989205199E-4</v>
      </c>
    </row>
    <row r="2397" spans="1:13" ht="11.25" customHeight="1" x14ac:dyDescent="0.2">
      <c r="A2397" s="924" t="s">
        <v>853</v>
      </c>
      <c r="B2397" s="924" t="s">
        <v>799</v>
      </c>
      <c r="C2397" s="924" t="s">
        <v>1187</v>
      </c>
      <c r="D2397" s="924" t="s">
        <v>1163</v>
      </c>
      <c r="E2397" s="924" t="s">
        <v>856</v>
      </c>
      <c r="F2397" s="924" t="s">
        <v>910</v>
      </c>
      <c r="G2397" s="924" t="s">
        <v>911</v>
      </c>
      <c r="H2397" s="924" t="s">
        <v>665</v>
      </c>
      <c r="I2397" s="924" t="s">
        <v>706</v>
      </c>
      <c r="J2397" s="924" t="s">
        <v>859</v>
      </c>
      <c r="K2397" s="924" t="s">
        <v>905</v>
      </c>
      <c r="L2397" s="925">
        <v>5.0556175783276602</v>
      </c>
      <c r="M2397" s="925">
        <v>4.1329490441057697E-3</v>
      </c>
    </row>
    <row r="2398" spans="1:13" ht="11.25" customHeight="1" x14ac:dyDescent="0.2">
      <c r="A2398" s="924" t="s">
        <v>853</v>
      </c>
      <c r="B2398" s="924" t="s">
        <v>799</v>
      </c>
      <c r="C2398" s="924" t="s">
        <v>1187</v>
      </c>
      <c r="D2398" s="924" t="s">
        <v>1163</v>
      </c>
      <c r="E2398" s="924" t="s">
        <v>856</v>
      </c>
      <c r="F2398" s="924" t="s">
        <v>917</v>
      </c>
      <c r="G2398" s="924" t="s">
        <v>911</v>
      </c>
      <c r="H2398" s="924" t="s">
        <v>665</v>
      </c>
      <c r="I2398" s="924" t="s">
        <v>706</v>
      </c>
      <c r="J2398" s="924" t="s">
        <v>859</v>
      </c>
      <c r="K2398" s="924" t="s">
        <v>918</v>
      </c>
      <c r="L2398" s="925">
        <v>4.68983190879226</v>
      </c>
      <c r="M2398" s="925">
        <v>1.5142908277994099E-3</v>
      </c>
    </row>
    <row r="2399" spans="1:13" ht="11.25" customHeight="1" x14ac:dyDescent="0.2">
      <c r="A2399" s="924" t="s">
        <v>853</v>
      </c>
      <c r="B2399" s="924" t="s">
        <v>799</v>
      </c>
      <c r="C2399" s="924" t="s">
        <v>1187</v>
      </c>
      <c r="D2399" s="924" t="s">
        <v>1163</v>
      </c>
      <c r="E2399" s="924" t="s">
        <v>856</v>
      </c>
      <c r="F2399" s="924" t="s">
        <v>919</v>
      </c>
      <c r="G2399" s="924" t="s">
        <v>911</v>
      </c>
      <c r="H2399" s="924" t="s">
        <v>665</v>
      </c>
      <c r="I2399" s="924" t="s">
        <v>706</v>
      </c>
      <c r="J2399" s="924" t="s">
        <v>859</v>
      </c>
      <c r="K2399" s="924" t="s">
        <v>920</v>
      </c>
      <c r="L2399" s="925">
        <v>0.77382640261203095</v>
      </c>
      <c r="M2399" s="925">
        <v>2.1679765870885601E-4</v>
      </c>
    </row>
    <row r="2400" spans="1:13" ht="11.25" customHeight="1" x14ac:dyDescent="0.2">
      <c r="A2400" s="924" t="s">
        <v>853</v>
      </c>
      <c r="B2400" s="924" t="s">
        <v>799</v>
      </c>
      <c r="C2400" s="924" t="s">
        <v>1187</v>
      </c>
      <c r="D2400" s="924" t="s">
        <v>1163</v>
      </c>
      <c r="E2400" s="924" t="s">
        <v>856</v>
      </c>
      <c r="F2400" s="924" t="s">
        <v>921</v>
      </c>
      <c r="G2400" s="924" t="s">
        <v>911</v>
      </c>
      <c r="H2400" s="924" t="s">
        <v>665</v>
      </c>
      <c r="I2400" s="924" t="s">
        <v>706</v>
      </c>
      <c r="J2400" s="924" t="s">
        <v>859</v>
      </c>
      <c r="K2400" s="924" t="s">
        <v>922</v>
      </c>
      <c r="L2400" s="925">
        <v>8.2173599824309296</v>
      </c>
      <c r="M2400" s="925">
        <v>1.0975531428130099E-3</v>
      </c>
    </row>
    <row r="2401" spans="1:13" ht="11.25" customHeight="1" x14ac:dyDescent="0.2">
      <c r="A2401" s="924" t="s">
        <v>853</v>
      </c>
      <c r="B2401" s="924" t="s">
        <v>799</v>
      </c>
      <c r="C2401" s="924" t="s">
        <v>1187</v>
      </c>
      <c r="D2401" s="924" t="s">
        <v>1163</v>
      </c>
      <c r="E2401" s="924" t="s">
        <v>856</v>
      </c>
      <c r="F2401" s="924" t="s">
        <v>923</v>
      </c>
      <c r="G2401" s="924" t="s">
        <v>911</v>
      </c>
      <c r="H2401" s="924" t="s">
        <v>665</v>
      </c>
      <c r="I2401" s="924" t="s">
        <v>706</v>
      </c>
      <c r="J2401" s="924" t="s">
        <v>859</v>
      </c>
      <c r="K2401" s="924" t="s">
        <v>924</v>
      </c>
      <c r="L2401" s="925">
        <v>20.175703749060599</v>
      </c>
      <c r="M2401" s="925">
        <v>1.0696370973164401E-3</v>
      </c>
    </row>
    <row r="2402" spans="1:13" ht="11.25" customHeight="1" x14ac:dyDescent="0.2">
      <c r="A2402" s="924" t="s">
        <v>853</v>
      </c>
      <c r="B2402" s="924" t="s">
        <v>799</v>
      </c>
      <c r="C2402" s="924" t="s">
        <v>1187</v>
      </c>
      <c r="D2402" s="924" t="s">
        <v>1163</v>
      </c>
      <c r="E2402" s="924" t="s">
        <v>856</v>
      </c>
      <c r="F2402" s="924" t="s">
        <v>925</v>
      </c>
      <c r="G2402" s="924" t="s">
        <v>911</v>
      </c>
      <c r="H2402" s="924" t="s">
        <v>665</v>
      </c>
      <c r="I2402" s="924" t="s">
        <v>706</v>
      </c>
      <c r="J2402" s="924" t="s">
        <v>859</v>
      </c>
      <c r="K2402" s="924" t="s">
        <v>926</v>
      </c>
      <c r="L2402" s="925">
        <v>2.1325738355517401</v>
      </c>
      <c r="M2402" s="925">
        <v>9.8314993579151606E-5</v>
      </c>
    </row>
    <row r="2403" spans="1:13" ht="11.25" customHeight="1" x14ac:dyDescent="0.2">
      <c r="A2403" s="924" t="s">
        <v>853</v>
      </c>
      <c r="B2403" s="924" t="s">
        <v>799</v>
      </c>
      <c r="C2403" s="924" t="s">
        <v>1187</v>
      </c>
      <c r="D2403" s="924" t="s">
        <v>1163</v>
      </c>
      <c r="E2403" s="924" t="s">
        <v>856</v>
      </c>
      <c r="F2403" s="924" t="s">
        <v>927</v>
      </c>
      <c r="G2403" s="924" t="s">
        <v>911</v>
      </c>
      <c r="H2403" s="924" t="s">
        <v>665</v>
      </c>
      <c r="I2403" s="924" t="s">
        <v>706</v>
      </c>
      <c r="J2403" s="924" t="s">
        <v>859</v>
      </c>
      <c r="K2403" s="924" t="s">
        <v>928</v>
      </c>
      <c r="L2403" s="925">
        <v>17.339425951242401</v>
      </c>
      <c r="M2403" s="925">
        <v>5.1425018727968598E-3</v>
      </c>
    </row>
    <row r="2404" spans="1:13" ht="11.25" customHeight="1" x14ac:dyDescent="0.2">
      <c r="A2404" s="924" t="s">
        <v>853</v>
      </c>
      <c r="B2404" s="924" t="s">
        <v>799</v>
      </c>
      <c r="C2404" s="924" t="s">
        <v>1187</v>
      </c>
      <c r="D2404" s="924" t="s">
        <v>1163</v>
      </c>
      <c r="E2404" s="924" t="s">
        <v>856</v>
      </c>
      <c r="F2404" s="924" t="s">
        <v>929</v>
      </c>
      <c r="G2404" s="924" t="s">
        <v>911</v>
      </c>
      <c r="H2404" s="924" t="s">
        <v>665</v>
      </c>
      <c r="I2404" s="924" t="s">
        <v>706</v>
      </c>
      <c r="J2404" s="924" t="s">
        <v>859</v>
      </c>
      <c r="K2404" s="924" t="s">
        <v>891</v>
      </c>
      <c r="L2404" s="925">
        <v>7.13865319639444</v>
      </c>
      <c r="M2404" s="925">
        <v>2.8602357524505398E-3</v>
      </c>
    </row>
    <row r="2405" spans="1:13" ht="11.25" customHeight="1" x14ac:dyDescent="0.2">
      <c r="A2405" s="924" t="s">
        <v>853</v>
      </c>
      <c r="B2405" s="924" t="s">
        <v>799</v>
      </c>
      <c r="C2405" s="924" t="s">
        <v>1187</v>
      </c>
      <c r="D2405" s="924" t="s">
        <v>1163</v>
      </c>
      <c r="E2405" s="924" t="s">
        <v>856</v>
      </c>
      <c r="F2405" s="924" t="s">
        <v>930</v>
      </c>
      <c r="G2405" s="924" t="s">
        <v>911</v>
      </c>
      <c r="H2405" s="924" t="s">
        <v>665</v>
      </c>
      <c r="I2405" s="924" t="s">
        <v>706</v>
      </c>
      <c r="J2405" s="924" t="s">
        <v>863</v>
      </c>
      <c r="K2405" s="924" t="s">
        <v>931</v>
      </c>
      <c r="L2405" s="925">
        <v>74.073233127593994</v>
      </c>
      <c r="M2405" s="925">
        <v>1.5095577426109201E-2</v>
      </c>
    </row>
    <row r="2406" spans="1:13" ht="11.25" customHeight="1" x14ac:dyDescent="0.2">
      <c r="A2406" s="924" t="s">
        <v>853</v>
      </c>
      <c r="B2406" s="924" t="s">
        <v>799</v>
      </c>
      <c r="C2406" s="924" t="s">
        <v>1187</v>
      </c>
      <c r="D2406" s="924" t="s">
        <v>1163</v>
      </c>
      <c r="E2406" s="924" t="s">
        <v>856</v>
      </c>
      <c r="F2406" s="924" t="s">
        <v>932</v>
      </c>
      <c r="G2406" s="924" t="s">
        <v>911</v>
      </c>
      <c r="H2406" s="924" t="s">
        <v>665</v>
      </c>
      <c r="I2406" s="924" t="s">
        <v>706</v>
      </c>
      <c r="J2406" s="924" t="s">
        <v>863</v>
      </c>
      <c r="K2406" s="924" t="s">
        <v>933</v>
      </c>
      <c r="L2406" s="925">
        <v>6891.1607742309598</v>
      </c>
      <c r="M2406" s="925">
        <v>0.33304118504747698</v>
      </c>
    </row>
    <row r="2407" spans="1:13" ht="11.25" customHeight="1" x14ac:dyDescent="0.2">
      <c r="A2407" s="924" t="s">
        <v>853</v>
      </c>
      <c r="B2407" s="924" t="s">
        <v>799</v>
      </c>
      <c r="C2407" s="924" t="s">
        <v>1187</v>
      </c>
      <c r="D2407" s="924" t="s">
        <v>1163</v>
      </c>
      <c r="E2407" s="924" t="s">
        <v>856</v>
      </c>
      <c r="F2407" s="924" t="s">
        <v>916</v>
      </c>
      <c r="G2407" s="924" t="s">
        <v>911</v>
      </c>
      <c r="H2407" s="924" t="s">
        <v>665</v>
      </c>
      <c r="I2407" s="924" t="s">
        <v>706</v>
      </c>
      <c r="J2407" s="924" t="s">
        <v>859</v>
      </c>
      <c r="K2407" s="924" t="s">
        <v>909</v>
      </c>
      <c r="L2407" s="925">
        <v>12.0909325182438</v>
      </c>
      <c r="M2407" s="925">
        <v>5.5961152156669403E-4</v>
      </c>
    </row>
    <row r="2408" spans="1:13" ht="11.25" customHeight="1" x14ac:dyDescent="0.2">
      <c r="A2408" s="924" t="s">
        <v>853</v>
      </c>
      <c r="B2408" s="924" t="s">
        <v>799</v>
      </c>
      <c r="C2408" s="924" t="s">
        <v>1187</v>
      </c>
      <c r="D2408" s="924" t="s">
        <v>1163</v>
      </c>
      <c r="E2408" s="924" t="s">
        <v>856</v>
      </c>
      <c r="F2408" s="924" t="s">
        <v>936</v>
      </c>
      <c r="G2408" s="924" t="s">
        <v>911</v>
      </c>
      <c r="H2408" s="924" t="s">
        <v>665</v>
      </c>
      <c r="I2408" s="924" t="s">
        <v>706</v>
      </c>
      <c r="J2408" s="924" t="s">
        <v>863</v>
      </c>
      <c r="K2408" s="924" t="s">
        <v>864</v>
      </c>
      <c r="L2408" s="925">
        <v>16.2182892411947</v>
      </c>
      <c r="M2408" s="925">
        <v>7.5487154663278499E-4</v>
      </c>
    </row>
    <row r="2409" spans="1:13" ht="11.25" customHeight="1" x14ac:dyDescent="0.2">
      <c r="A2409" s="924" t="s">
        <v>853</v>
      </c>
      <c r="B2409" s="924" t="s">
        <v>799</v>
      </c>
      <c r="C2409" s="924" t="s">
        <v>1187</v>
      </c>
      <c r="D2409" s="924" t="s">
        <v>1163</v>
      </c>
      <c r="E2409" s="924" t="s">
        <v>856</v>
      </c>
      <c r="F2409" s="924" t="s">
        <v>937</v>
      </c>
      <c r="G2409" s="924" t="s">
        <v>862</v>
      </c>
      <c r="H2409" s="924" t="s">
        <v>665</v>
      </c>
      <c r="I2409" s="924" t="s">
        <v>787</v>
      </c>
      <c r="J2409" s="924" t="s">
        <v>863</v>
      </c>
      <c r="K2409" s="924" t="s">
        <v>933</v>
      </c>
      <c r="L2409" s="925">
        <v>464.54312372207602</v>
      </c>
      <c r="M2409" s="925">
        <v>1.9786677453666901</v>
      </c>
    </row>
    <row r="2410" spans="1:13" ht="11.25" customHeight="1" x14ac:dyDescent="0.2">
      <c r="A2410" s="924" t="s">
        <v>853</v>
      </c>
      <c r="B2410" s="924" t="s">
        <v>799</v>
      </c>
      <c r="C2410" s="924" t="s">
        <v>1187</v>
      </c>
      <c r="D2410" s="924" t="s">
        <v>1163</v>
      </c>
      <c r="E2410" s="924" t="s">
        <v>856</v>
      </c>
      <c r="F2410" s="924" t="s">
        <v>938</v>
      </c>
      <c r="G2410" s="924" t="s">
        <v>911</v>
      </c>
      <c r="H2410" s="924" t="s">
        <v>665</v>
      </c>
      <c r="I2410" s="924" t="s">
        <v>706</v>
      </c>
      <c r="J2410" s="924" t="s">
        <v>863</v>
      </c>
      <c r="K2410" s="924" t="s">
        <v>868</v>
      </c>
      <c r="L2410" s="925">
        <v>31.885880827903701</v>
      </c>
      <c r="M2410" s="925">
        <v>1.47337673297443E-3</v>
      </c>
    </row>
    <row r="2411" spans="1:13" ht="11.25" customHeight="1" x14ac:dyDescent="0.2">
      <c r="A2411" s="924" t="s">
        <v>853</v>
      </c>
      <c r="B2411" s="924" t="s">
        <v>799</v>
      </c>
      <c r="C2411" s="924" t="s">
        <v>1187</v>
      </c>
      <c r="D2411" s="924" t="s">
        <v>1163</v>
      </c>
      <c r="E2411" s="924" t="s">
        <v>856</v>
      </c>
      <c r="F2411" s="924" t="s">
        <v>939</v>
      </c>
      <c r="G2411" s="924" t="s">
        <v>911</v>
      </c>
      <c r="H2411" s="924" t="s">
        <v>665</v>
      </c>
      <c r="I2411" s="924" t="s">
        <v>706</v>
      </c>
      <c r="J2411" s="924" t="s">
        <v>940</v>
      </c>
      <c r="K2411" s="924" t="s">
        <v>941</v>
      </c>
      <c r="L2411" s="925">
        <v>108.598015546799</v>
      </c>
      <c r="M2411" s="925">
        <v>5.2247540570533602E-3</v>
      </c>
    </row>
    <row r="2412" spans="1:13" ht="11.25" customHeight="1" x14ac:dyDescent="0.2">
      <c r="A2412" s="924" t="s">
        <v>853</v>
      </c>
      <c r="B2412" s="924" t="s">
        <v>799</v>
      </c>
      <c r="C2412" s="924" t="s">
        <v>1187</v>
      </c>
      <c r="D2412" s="924" t="s">
        <v>1163</v>
      </c>
      <c r="E2412" s="924" t="s">
        <v>856</v>
      </c>
      <c r="F2412" s="924" t="s">
        <v>942</v>
      </c>
      <c r="G2412" s="924" t="s">
        <v>911</v>
      </c>
      <c r="H2412" s="924" t="s">
        <v>665</v>
      </c>
      <c r="I2412" s="924" t="s">
        <v>706</v>
      </c>
      <c r="J2412" s="924" t="s">
        <v>870</v>
      </c>
      <c r="K2412" s="924" t="s">
        <v>871</v>
      </c>
      <c r="L2412" s="925">
        <v>2.9888744211348201E-2</v>
      </c>
      <c r="M2412" s="925">
        <v>1.8653807504875899E-5</v>
      </c>
    </row>
    <row r="2413" spans="1:13" ht="11.25" customHeight="1" x14ac:dyDescent="0.2">
      <c r="A2413" s="924" t="s">
        <v>853</v>
      </c>
      <c r="B2413" s="924" t="s">
        <v>799</v>
      </c>
      <c r="C2413" s="924" t="s">
        <v>1187</v>
      </c>
      <c r="D2413" s="924" t="s">
        <v>1163</v>
      </c>
      <c r="E2413" s="924" t="s">
        <v>856</v>
      </c>
      <c r="F2413" s="924" t="s">
        <v>943</v>
      </c>
      <c r="G2413" s="924" t="s">
        <v>911</v>
      </c>
      <c r="H2413" s="924" t="s">
        <v>665</v>
      </c>
      <c r="I2413" s="924" t="s">
        <v>706</v>
      </c>
      <c r="J2413" s="924" t="s">
        <v>870</v>
      </c>
      <c r="K2413" s="924" t="s">
        <v>873</v>
      </c>
      <c r="L2413" s="925">
        <v>6.0753309022402398E-2</v>
      </c>
      <c r="M2413" s="925">
        <v>2.7588556239521701E-6</v>
      </c>
    </row>
    <row r="2414" spans="1:13" ht="11.25" customHeight="1" x14ac:dyDescent="0.2">
      <c r="A2414" s="924" t="s">
        <v>853</v>
      </c>
      <c r="B2414" s="924" t="s">
        <v>799</v>
      </c>
      <c r="C2414" s="924" t="s">
        <v>1187</v>
      </c>
      <c r="D2414" s="924" t="s">
        <v>1163</v>
      </c>
      <c r="E2414" s="924" t="s">
        <v>856</v>
      </c>
      <c r="F2414" s="924" t="s">
        <v>944</v>
      </c>
      <c r="G2414" s="924" t="s">
        <v>911</v>
      </c>
      <c r="H2414" s="924" t="s">
        <v>665</v>
      </c>
      <c r="I2414" s="924" t="s">
        <v>706</v>
      </c>
      <c r="J2414" s="924" t="s">
        <v>875</v>
      </c>
      <c r="K2414" s="924" t="s">
        <v>876</v>
      </c>
      <c r="L2414" s="925">
        <v>199.287966966629</v>
      </c>
      <c r="M2414" s="925">
        <v>6.3007931006723097E-2</v>
      </c>
    </row>
    <row r="2415" spans="1:13" ht="11.25" customHeight="1" x14ac:dyDescent="0.2">
      <c r="A2415" s="924" t="s">
        <v>853</v>
      </c>
      <c r="B2415" s="924" t="s">
        <v>799</v>
      </c>
      <c r="C2415" s="924" t="s">
        <v>1187</v>
      </c>
      <c r="D2415" s="924" t="s">
        <v>1163</v>
      </c>
      <c r="E2415" s="924" t="s">
        <v>856</v>
      </c>
      <c r="F2415" s="924" t="s">
        <v>945</v>
      </c>
      <c r="G2415" s="924" t="s">
        <v>911</v>
      </c>
      <c r="H2415" s="924" t="s">
        <v>665</v>
      </c>
      <c r="I2415" s="924" t="s">
        <v>706</v>
      </c>
      <c r="J2415" s="924" t="s">
        <v>875</v>
      </c>
      <c r="K2415" s="924" t="s">
        <v>878</v>
      </c>
      <c r="L2415" s="925">
        <v>44.007334351539598</v>
      </c>
      <c r="M2415" s="925">
        <v>6.5104419172712404E-3</v>
      </c>
    </row>
    <row r="2416" spans="1:13" ht="11.25" customHeight="1" x14ac:dyDescent="0.2">
      <c r="A2416" s="924" t="s">
        <v>853</v>
      </c>
      <c r="B2416" s="924" t="s">
        <v>799</v>
      </c>
      <c r="C2416" s="924" t="s">
        <v>1187</v>
      </c>
      <c r="D2416" s="924" t="s">
        <v>1163</v>
      </c>
      <c r="E2416" s="924" t="s">
        <v>856</v>
      </c>
      <c r="F2416" s="924" t="s">
        <v>946</v>
      </c>
      <c r="G2416" s="924" t="s">
        <v>911</v>
      </c>
      <c r="H2416" s="924" t="s">
        <v>665</v>
      </c>
      <c r="I2416" s="924" t="s">
        <v>706</v>
      </c>
      <c r="J2416" s="924" t="s">
        <v>875</v>
      </c>
      <c r="K2416" s="924" t="s">
        <v>880</v>
      </c>
      <c r="L2416" s="925">
        <v>52.023092806339299</v>
      </c>
      <c r="M2416" s="925">
        <v>3.3110000022134002E-3</v>
      </c>
    </row>
    <row r="2417" spans="1:13" ht="11.25" customHeight="1" x14ac:dyDescent="0.2">
      <c r="A2417" s="924" t="s">
        <v>853</v>
      </c>
      <c r="B2417" s="924" t="s">
        <v>799</v>
      </c>
      <c r="C2417" s="924" t="s">
        <v>1187</v>
      </c>
      <c r="D2417" s="924" t="s">
        <v>1163</v>
      </c>
      <c r="E2417" s="924" t="s">
        <v>856</v>
      </c>
      <c r="F2417" s="924" t="s">
        <v>947</v>
      </c>
      <c r="G2417" s="924" t="s">
        <v>911</v>
      </c>
      <c r="H2417" s="924" t="s">
        <v>665</v>
      </c>
      <c r="I2417" s="924" t="s">
        <v>706</v>
      </c>
      <c r="J2417" s="924" t="s">
        <v>875</v>
      </c>
      <c r="K2417" s="924" t="s">
        <v>948</v>
      </c>
      <c r="L2417" s="925">
        <v>64.661899983882904</v>
      </c>
      <c r="M2417" s="925">
        <v>4.9413818742323201E-3</v>
      </c>
    </row>
    <row r="2418" spans="1:13" ht="11.25" customHeight="1" x14ac:dyDescent="0.2">
      <c r="A2418" s="924" t="s">
        <v>853</v>
      </c>
      <c r="B2418" s="924" t="s">
        <v>799</v>
      </c>
      <c r="C2418" s="924" t="s">
        <v>1187</v>
      </c>
      <c r="D2418" s="924" t="s">
        <v>1163</v>
      </c>
      <c r="E2418" s="924" t="s">
        <v>856</v>
      </c>
      <c r="F2418" s="924" t="s">
        <v>949</v>
      </c>
      <c r="G2418" s="924" t="s">
        <v>911</v>
      </c>
      <c r="H2418" s="924" t="s">
        <v>665</v>
      </c>
      <c r="I2418" s="924" t="s">
        <v>706</v>
      </c>
      <c r="J2418" s="924" t="s">
        <v>875</v>
      </c>
      <c r="K2418" s="924" t="s">
        <v>950</v>
      </c>
      <c r="L2418" s="925">
        <v>0.86703896615654197</v>
      </c>
      <c r="M2418" s="925">
        <v>1.8596456180830501E-4</v>
      </c>
    </row>
    <row r="2419" spans="1:13" ht="11.25" customHeight="1" x14ac:dyDescent="0.2">
      <c r="A2419" s="924" t="s">
        <v>853</v>
      </c>
      <c r="B2419" s="924" t="s">
        <v>799</v>
      </c>
      <c r="C2419" s="924" t="s">
        <v>1187</v>
      </c>
      <c r="D2419" s="924" t="s">
        <v>1163</v>
      </c>
      <c r="E2419" s="924" t="s">
        <v>856</v>
      </c>
      <c r="F2419" s="924" t="s">
        <v>951</v>
      </c>
      <c r="G2419" s="924" t="s">
        <v>911</v>
      </c>
      <c r="H2419" s="924" t="s">
        <v>665</v>
      </c>
      <c r="I2419" s="924" t="s">
        <v>706</v>
      </c>
      <c r="J2419" s="924" t="s">
        <v>875</v>
      </c>
      <c r="K2419" s="924" t="s">
        <v>952</v>
      </c>
      <c r="L2419" s="925">
        <v>0.80026430543512095</v>
      </c>
      <c r="M2419" s="925">
        <v>4.9759434215701497E-5</v>
      </c>
    </row>
    <row r="2420" spans="1:13" ht="11.25" customHeight="1" x14ac:dyDescent="0.2">
      <c r="A2420" s="924" t="s">
        <v>853</v>
      </c>
      <c r="B2420" s="924" t="s">
        <v>799</v>
      </c>
      <c r="C2420" s="924" t="s">
        <v>1187</v>
      </c>
      <c r="D2420" s="924" t="s">
        <v>1163</v>
      </c>
      <c r="E2420" s="924" t="s">
        <v>856</v>
      </c>
      <c r="F2420" s="924" t="s">
        <v>890</v>
      </c>
      <c r="G2420" s="924" t="s">
        <v>862</v>
      </c>
      <c r="H2420" s="924" t="s">
        <v>665</v>
      </c>
      <c r="I2420" s="924" t="s">
        <v>787</v>
      </c>
      <c r="J2420" s="924" t="s">
        <v>859</v>
      </c>
      <c r="K2420" s="924" t="s">
        <v>891</v>
      </c>
      <c r="L2420" s="925">
        <v>0.24664519564248599</v>
      </c>
      <c r="M2420" s="925">
        <v>8.7798342156020209E-3</v>
      </c>
    </row>
    <row r="2421" spans="1:13" ht="11.25" customHeight="1" x14ac:dyDescent="0.2">
      <c r="A2421" s="924" t="s">
        <v>853</v>
      </c>
      <c r="B2421" s="924" t="s">
        <v>799</v>
      </c>
      <c r="C2421" s="924" t="s">
        <v>1187</v>
      </c>
      <c r="D2421" s="924" t="s">
        <v>1163</v>
      </c>
      <c r="E2421" s="924" t="s">
        <v>856</v>
      </c>
      <c r="F2421" s="924" t="s">
        <v>954</v>
      </c>
      <c r="G2421" s="924" t="s">
        <v>911</v>
      </c>
      <c r="H2421" s="924" t="s">
        <v>665</v>
      </c>
      <c r="I2421" s="924" t="s">
        <v>706</v>
      </c>
      <c r="J2421" s="924" t="s">
        <v>863</v>
      </c>
      <c r="K2421" s="924" t="s">
        <v>935</v>
      </c>
      <c r="L2421" s="925">
        <v>51.417769134044597</v>
      </c>
      <c r="M2421" s="925">
        <v>2.4277129705296799E-3</v>
      </c>
    </row>
    <row r="2422" spans="1:13" ht="11.25" customHeight="1" x14ac:dyDescent="0.2">
      <c r="A2422" s="924" t="s">
        <v>853</v>
      </c>
      <c r="B2422" s="924" t="s">
        <v>799</v>
      </c>
      <c r="C2422" s="924" t="s">
        <v>1187</v>
      </c>
      <c r="D2422" s="924" t="s">
        <v>1163</v>
      </c>
      <c r="E2422" s="924" t="s">
        <v>856</v>
      </c>
      <c r="F2422" s="924" t="s">
        <v>974</v>
      </c>
      <c r="G2422" s="924" t="s">
        <v>858</v>
      </c>
      <c r="H2422" s="924" t="s">
        <v>836</v>
      </c>
      <c r="I2422" s="924" t="s">
        <v>837</v>
      </c>
      <c r="J2422" s="924" t="s">
        <v>875</v>
      </c>
      <c r="K2422" s="924" t="s">
        <v>952</v>
      </c>
      <c r="L2422" s="925">
        <v>44.138867795467398</v>
      </c>
      <c r="M2422" s="925">
        <v>9.9724606407392002E-4</v>
      </c>
    </row>
    <row r="2423" spans="1:13" ht="11.25" customHeight="1" x14ac:dyDescent="0.2">
      <c r="A2423" s="924" t="s">
        <v>853</v>
      </c>
      <c r="B2423" s="924" t="s">
        <v>799</v>
      </c>
      <c r="C2423" s="924" t="s">
        <v>1187</v>
      </c>
      <c r="D2423" s="924" t="s">
        <v>1163</v>
      </c>
      <c r="E2423" s="924" t="s">
        <v>856</v>
      </c>
      <c r="F2423" s="924" t="s">
        <v>1015</v>
      </c>
      <c r="G2423" s="924" t="s">
        <v>858</v>
      </c>
      <c r="H2423" s="924" t="s">
        <v>836</v>
      </c>
      <c r="I2423" s="924" t="s">
        <v>837</v>
      </c>
      <c r="J2423" s="924" t="s">
        <v>870</v>
      </c>
      <c r="K2423" s="924" t="s">
        <v>1016</v>
      </c>
      <c r="L2423" s="925">
        <v>1.25586086791009</v>
      </c>
      <c r="M2423" s="925">
        <v>1.52583975226439E-5</v>
      </c>
    </row>
    <row r="2424" spans="1:13" ht="11.25" customHeight="1" x14ac:dyDescent="0.2">
      <c r="A2424" s="924" t="s">
        <v>853</v>
      </c>
      <c r="B2424" s="924" t="s">
        <v>799</v>
      </c>
      <c r="C2424" s="924" t="s">
        <v>1187</v>
      </c>
      <c r="D2424" s="924" t="s">
        <v>1163</v>
      </c>
      <c r="E2424" s="924" t="s">
        <v>856</v>
      </c>
      <c r="F2424" s="924" t="s">
        <v>958</v>
      </c>
      <c r="G2424" s="924" t="s">
        <v>858</v>
      </c>
      <c r="H2424" s="924" t="s">
        <v>836</v>
      </c>
      <c r="I2424" s="924" t="s">
        <v>837</v>
      </c>
      <c r="J2424" s="924" t="s">
        <v>870</v>
      </c>
      <c r="K2424" s="924" t="s">
        <v>959</v>
      </c>
      <c r="L2424" s="925">
        <v>0.26379732240457099</v>
      </c>
      <c r="M2424" s="925">
        <v>2.4583864005334201E-6</v>
      </c>
    </row>
    <row r="2425" spans="1:13" ht="11.25" customHeight="1" x14ac:dyDescent="0.2">
      <c r="A2425" s="924" t="s">
        <v>853</v>
      </c>
      <c r="B2425" s="924" t="s">
        <v>799</v>
      </c>
      <c r="C2425" s="924" t="s">
        <v>1187</v>
      </c>
      <c r="D2425" s="924" t="s">
        <v>1163</v>
      </c>
      <c r="E2425" s="924" t="s">
        <v>856</v>
      </c>
      <c r="F2425" s="924" t="s">
        <v>960</v>
      </c>
      <c r="G2425" s="924" t="s">
        <v>858</v>
      </c>
      <c r="H2425" s="924" t="s">
        <v>836</v>
      </c>
      <c r="I2425" s="924" t="s">
        <v>837</v>
      </c>
      <c r="J2425" s="924" t="s">
        <v>870</v>
      </c>
      <c r="K2425" s="924" t="s">
        <v>961</v>
      </c>
      <c r="L2425" s="925">
        <v>19.239334918558601</v>
      </c>
      <c r="M2425" s="925">
        <v>1.70702698278014E-4</v>
      </c>
    </row>
    <row r="2426" spans="1:13" ht="11.25" customHeight="1" x14ac:dyDescent="0.2">
      <c r="A2426" s="924" t="s">
        <v>853</v>
      </c>
      <c r="B2426" s="924" t="s">
        <v>799</v>
      </c>
      <c r="C2426" s="924" t="s">
        <v>1187</v>
      </c>
      <c r="D2426" s="924" t="s">
        <v>1163</v>
      </c>
      <c r="E2426" s="924" t="s">
        <v>856</v>
      </c>
      <c r="F2426" s="924" t="s">
        <v>962</v>
      </c>
      <c r="G2426" s="924" t="s">
        <v>858</v>
      </c>
      <c r="H2426" s="924" t="s">
        <v>836</v>
      </c>
      <c r="I2426" s="924" t="s">
        <v>837</v>
      </c>
      <c r="J2426" s="924" t="s">
        <v>870</v>
      </c>
      <c r="K2426" s="924" t="s">
        <v>963</v>
      </c>
      <c r="L2426" s="925">
        <v>5.3212800019537099E-2</v>
      </c>
      <c r="M2426" s="925">
        <v>3.7821410149574398E-7</v>
      </c>
    </row>
    <row r="2427" spans="1:13" ht="11.25" customHeight="1" x14ac:dyDescent="0.2">
      <c r="A2427" s="924" t="s">
        <v>853</v>
      </c>
      <c r="B2427" s="924" t="s">
        <v>799</v>
      </c>
      <c r="C2427" s="924" t="s">
        <v>1187</v>
      </c>
      <c r="D2427" s="924" t="s">
        <v>1163</v>
      </c>
      <c r="E2427" s="924" t="s">
        <v>856</v>
      </c>
      <c r="F2427" s="924" t="s">
        <v>964</v>
      </c>
      <c r="G2427" s="924" t="s">
        <v>858</v>
      </c>
      <c r="H2427" s="924" t="s">
        <v>836</v>
      </c>
      <c r="I2427" s="924" t="s">
        <v>837</v>
      </c>
      <c r="J2427" s="924" t="s">
        <v>870</v>
      </c>
      <c r="K2427" s="924" t="s">
        <v>965</v>
      </c>
      <c r="L2427" s="925">
        <v>17.7860752046108</v>
      </c>
      <c r="M2427" s="925">
        <v>1.63303181249574E-4</v>
      </c>
    </row>
    <row r="2428" spans="1:13" ht="11.25" customHeight="1" x14ac:dyDescent="0.2">
      <c r="A2428" s="924" t="s">
        <v>853</v>
      </c>
      <c r="B2428" s="924" t="s">
        <v>799</v>
      </c>
      <c r="C2428" s="924" t="s">
        <v>1187</v>
      </c>
      <c r="D2428" s="924" t="s">
        <v>1163</v>
      </c>
      <c r="E2428" s="924" t="s">
        <v>856</v>
      </c>
      <c r="F2428" s="924" t="s">
        <v>966</v>
      </c>
      <c r="G2428" s="924" t="s">
        <v>858</v>
      </c>
      <c r="H2428" s="924" t="s">
        <v>836</v>
      </c>
      <c r="I2428" s="924" t="s">
        <v>837</v>
      </c>
      <c r="J2428" s="924" t="s">
        <v>870</v>
      </c>
      <c r="K2428" s="924" t="s">
        <v>871</v>
      </c>
      <c r="L2428" s="925">
        <v>49.490378931164699</v>
      </c>
      <c r="M2428" s="925">
        <v>4.3003107485439801E-4</v>
      </c>
    </row>
    <row r="2429" spans="1:13" ht="11.25" customHeight="1" x14ac:dyDescent="0.2">
      <c r="A2429" s="924" t="s">
        <v>853</v>
      </c>
      <c r="B2429" s="924" t="s">
        <v>799</v>
      </c>
      <c r="C2429" s="924" t="s">
        <v>1187</v>
      </c>
      <c r="D2429" s="924" t="s">
        <v>1163</v>
      </c>
      <c r="E2429" s="924" t="s">
        <v>856</v>
      </c>
      <c r="F2429" s="924" t="s">
        <v>967</v>
      </c>
      <c r="G2429" s="924" t="s">
        <v>858</v>
      </c>
      <c r="H2429" s="924" t="s">
        <v>836</v>
      </c>
      <c r="I2429" s="924" t="s">
        <v>837</v>
      </c>
      <c r="J2429" s="924" t="s">
        <v>870</v>
      </c>
      <c r="K2429" s="924" t="s">
        <v>873</v>
      </c>
      <c r="L2429" s="925">
        <v>36.475824728608103</v>
      </c>
      <c r="M2429" s="925">
        <v>6.1622820289741797E-4</v>
      </c>
    </row>
    <row r="2430" spans="1:13" ht="11.25" customHeight="1" x14ac:dyDescent="0.2">
      <c r="A2430" s="924" t="s">
        <v>853</v>
      </c>
      <c r="B2430" s="924" t="s">
        <v>799</v>
      </c>
      <c r="C2430" s="924" t="s">
        <v>1187</v>
      </c>
      <c r="D2430" s="924" t="s">
        <v>1163</v>
      </c>
      <c r="E2430" s="924" t="s">
        <v>856</v>
      </c>
      <c r="F2430" s="924" t="s">
        <v>968</v>
      </c>
      <c r="G2430" s="924" t="s">
        <v>858</v>
      </c>
      <c r="H2430" s="924" t="s">
        <v>836</v>
      </c>
      <c r="I2430" s="924" t="s">
        <v>837</v>
      </c>
      <c r="J2430" s="924" t="s">
        <v>875</v>
      </c>
      <c r="K2430" s="924" t="s">
        <v>876</v>
      </c>
      <c r="L2430" s="925">
        <v>1559.8466472625701</v>
      </c>
      <c r="M2430" s="925">
        <v>4.1810153421920397E-2</v>
      </c>
    </row>
    <row r="2431" spans="1:13" ht="11.25" customHeight="1" x14ac:dyDescent="0.2">
      <c r="A2431" s="924" t="s">
        <v>853</v>
      </c>
      <c r="B2431" s="924" t="s">
        <v>799</v>
      </c>
      <c r="C2431" s="924" t="s">
        <v>1187</v>
      </c>
      <c r="D2431" s="924" t="s">
        <v>1163</v>
      </c>
      <c r="E2431" s="924" t="s">
        <v>856</v>
      </c>
      <c r="F2431" s="924" t="s">
        <v>969</v>
      </c>
      <c r="G2431" s="924" t="s">
        <v>858</v>
      </c>
      <c r="H2431" s="924" t="s">
        <v>836</v>
      </c>
      <c r="I2431" s="924" t="s">
        <v>837</v>
      </c>
      <c r="J2431" s="924" t="s">
        <v>875</v>
      </c>
      <c r="K2431" s="924" t="s">
        <v>878</v>
      </c>
      <c r="L2431" s="925">
        <v>368.14512681961099</v>
      </c>
      <c r="M2431" s="925">
        <v>9.7519423322864895E-3</v>
      </c>
    </row>
    <row r="2432" spans="1:13" ht="11.25" customHeight="1" x14ac:dyDescent="0.2">
      <c r="A2432" s="924" t="s">
        <v>853</v>
      </c>
      <c r="B2432" s="924" t="s">
        <v>799</v>
      </c>
      <c r="C2432" s="924" t="s">
        <v>1187</v>
      </c>
      <c r="D2432" s="924" t="s">
        <v>1163</v>
      </c>
      <c r="E2432" s="924" t="s">
        <v>856</v>
      </c>
      <c r="F2432" s="924" t="s">
        <v>970</v>
      </c>
      <c r="G2432" s="924" t="s">
        <v>858</v>
      </c>
      <c r="H2432" s="924" t="s">
        <v>836</v>
      </c>
      <c r="I2432" s="924" t="s">
        <v>837</v>
      </c>
      <c r="J2432" s="924" t="s">
        <v>875</v>
      </c>
      <c r="K2432" s="924" t="s">
        <v>880</v>
      </c>
      <c r="L2432" s="925">
        <v>1021.27228164673</v>
      </c>
      <c r="M2432" s="925">
        <v>1.9845090138687699E-2</v>
      </c>
    </row>
    <row r="2433" spans="1:13" ht="11.25" customHeight="1" x14ac:dyDescent="0.2">
      <c r="A2433" s="924" t="s">
        <v>853</v>
      </c>
      <c r="B2433" s="924" t="s">
        <v>799</v>
      </c>
      <c r="C2433" s="924" t="s">
        <v>1187</v>
      </c>
      <c r="D2433" s="924" t="s">
        <v>1163</v>
      </c>
      <c r="E2433" s="924" t="s">
        <v>856</v>
      </c>
      <c r="F2433" s="924" t="s">
        <v>994</v>
      </c>
      <c r="G2433" s="924" t="s">
        <v>981</v>
      </c>
      <c r="H2433" s="924" t="s">
        <v>835</v>
      </c>
      <c r="I2433" s="924" t="s">
        <v>834</v>
      </c>
      <c r="J2433" s="924" t="s">
        <v>995</v>
      </c>
      <c r="K2433" s="924" t="s">
        <v>993</v>
      </c>
      <c r="L2433" s="925">
        <v>8.1401257514953596</v>
      </c>
      <c r="M2433" s="925">
        <v>5.2916258850537199E-3</v>
      </c>
    </row>
    <row r="2434" spans="1:13" ht="11.25" customHeight="1" x14ac:dyDescent="0.2">
      <c r="A2434" s="924" t="s">
        <v>853</v>
      </c>
      <c r="B2434" s="924" t="s">
        <v>799</v>
      </c>
      <c r="C2434" s="924" t="s">
        <v>1187</v>
      </c>
      <c r="D2434" s="924" t="s">
        <v>1163</v>
      </c>
      <c r="E2434" s="924" t="s">
        <v>856</v>
      </c>
      <c r="F2434" s="924" t="s">
        <v>1000</v>
      </c>
      <c r="G2434" s="924" t="s">
        <v>858</v>
      </c>
      <c r="H2434" s="924" t="s">
        <v>836</v>
      </c>
      <c r="I2434" s="924" t="s">
        <v>837</v>
      </c>
      <c r="J2434" s="924" t="s">
        <v>875</v>
      </c>
      <c r="K2434" s="924" t="s">
        <v>950</v>
      </c>
      <c r="L2434" s="925">
        <v>49.878578007221201</v>
      </c>
      <c r="M2434" s="925">
        <v>1.17159554432078E-3</v>
      </c>
    </row>
    <row r="2435" spans="1:13" ht="11.25" customHeight="1" x14ac:dyDescent="0.2">
      <c r="A2435" s="924" t="s">
        <v>853</v>
      </c>
      <c r="B2435" s="924" t="s">
        <v>799</v>
      </c>
      <c r="C2435" s="924" t="s">
        <v>1187</v>
      </c>
      <c r="D2435" s="924" t="s">
        <v>1163</v>
      </c>
      <c r="E2435" s="924" t="s">
        <v>856</v>
      </c>
      <c r="F2435" s="924" t="s">
        <v>1035</v>
      </c>
      <c r="G2435" s="924" t="s">
        <v>858</v>
      </c>
      <c r="H2435" s="924" t="s">
        <v>836</v>
      </c>
      <c r="I2435" s="924" t="s">
        <v>837</v>
      </c>
      <c r="J2435" s="924" t="s">
        <v>870</v>
      </c>
      <c r="K2435" s="924" t="s">
        <v>1036</v>
      </c>
      <c r="L2435" s="925">
        <v>6.0858535915031098E-2</v>
      </c>
      <c r="M2435" s="925">
        <v>7.4534497368893698E-6</v>
      </c>
    </row>
    <row r="2436" spans="1:13" ht="11.25" customHeight="1" x14ac:dyDescent="0.2">
      <c r="A2436" s="924" t="s">
        <v>853</v>
      </c>
      <c r="B2436" s="924" t="s">
        <v>799</v>
      </c>
      <c r="C2436" s="924" t="s">
        <v>1187</v>
      </c>
      <c r="D2436" s="924" t="s">
        <v>1163</v>
      </c>
      <c r="E2436" s="924" t="s">
        <v>856</v>
      </c>
      <c r="F2436" s="924" t="s">
        <v>955</v>
      </c>
      <c r="G2436" s="924" t="s">
        <v>858</v>
      </c>
      <c r="H2436" s="924" t="s">
        <v>836</v>
      </c>
      <c r="I2436" s="924" t="s">
        <v>837</v>
      </c>
      <c r="J2436" s="924" t="s">
        <v>956</v>
      </c>
      <c r="K2436" s="924" t="s">
        <v>957</v>
      </c>
      <c r="L2436" s="925">
        <v>329.61860466003401</v>
      </c>
      <c r="M2436" s="925">
        <v>1.8931178744026099E-3</v>
      </c>
    </row>
    <row r="2437" spans="1:13" ht="11.25" customHeight="1" x14ac:dyDescent="0.2">
      <c r="A2437" s="924" t="s">
        <v>853</v>
      </c>
      <c r="B2437" s="924" t="s">
        <v>799</v>
      </c>
      <c r="C2437" s="924" t="s">
        <v>1187</v>
      </c>
      <c r="D2437" s="924" t="s">
        <v>1163</v>
      </c>
      <c r="E2437" s="924" t="s">
        <v>856</v>
      </c>
      <c r="F2437" s="924" t="s">
        <v>1172</v>
      </c>
      <c r="G2437" s="924" t="s">
        <v>858</v>
      </c>
      <c r="H2437" s="924" t="s">
        <v>836</v>
      </c>
      <c r="I2437" s="924" t="s">
        <v>837</v>
      </c>
      <c r="J2437" s="924" t="s">
        <v>863</v>
      </c>
      <c r="K2437" s="924" t="s">
        <v>1171</v>
      </c>
      <c r="L2437" s="925">
        <v>58.375211119651802</v>
      </c>
      <c r="M2437" s="925">
        <v>1.69695917338686E-3</v>
      </c>
    </row>
    <row r="2438" spans="1:13" ht="11.25" customHeight="1" x14ac:dyDescent="0.2">
      <c r="A2438" s="924" t="s">
        <v>853</v>
      </c>
      <c r="B2438" s="924" t="s">
        <v>799</v>
      </c>
      <c r="C2438" s="924" t="s">
        <v>1187</v>
      </c>
      <c r="D2438" s="924" t="s">
        <v>1163</v>
      </c>
      <c r="E2438" s="924" t="s">
        <v>856</v>
      </c>
      <c r="F2438" s="924" t="s">
        <v>980</v>
      </c>
      <c r="G2438" s="924" t="s">
        <v>981</v>
      </c>
      <c r="H2438" s="924" t="s">
        <v>835</v>
      </c>
      <c r="I2438" s="924" t="s">
        <v>839</v>
      </c>
      <c r="J2438" s="924" t="s">
        <v>982</v>
      </c>
      <c r="K2438" s="924" t="s">
        <v>983</v>
      </c>
      <c r="L2438" s="925">
        <v>3581.6221036911002</v>
      </c>
      <c r="M2438" s="925">
        <v>4.0851569604128599</v>
      </c>
    </row>
    <row r="2439" spans="1:13" ht="11.25" customHeight="1" x14ac:dyDescent="0.2">
      <c r="A2439" s="924" t="s">
        <v>853</v>
      </c>
      <c r="B2439" s="924" t="s">
        <v>799</v>
      </c>
      <c r="C2439" s="924" t="s">
        <v>1187</v>
      </c>
      <c r="D2439" s="924" t="s">
        <v>1163</v>
      </c>
      <c r="E2439" s="924" t="s">
        <v>856</v>
      </c>
      <c r="F2439" s="924" t="s">
        <v>984</v>
      </c>
      <c r="G2439" s="924" t="s">
        <v>981</v>
      </c>
      <c r="H2439" s="924" t="s">
        <v>835</v>
      </c>
      <c r="I2439" s="924" t="s">
        <v>839</v>
      </c>
      <c r="J2439" s="924" t="s">
        <v>982</v>
      </c>
      <c r="K2439" s="924" t="s">
        <v>985</v>
      </c>
      <c r="L2439" s="925">
        <v>1513.1249670982399</v>
      </c>
      <c r="M2439" s="925">
        <v>1.68787472951226</v>
      </c>
    </row>
    <row r="2440" spans="1:13" ht="11.25" customHeight="1" x14ac:dyDescent="0.2">
      <c r="A2440" s="924" t="s">
        <v>853</v>
      </c>
      <c r="B2440" s="924" t="s">
        <v>799</v>
      </c>
      <c r="C2440" s="924" t="s">
        <v>1187</v>
      </c>
      <c r="D2440" s="924" t="s">
        <v>1163</v>
      </c>
      <c r="E2440" s="924" t="s">
        <v>856</v>
      </c>
      <c r="F2440" s="924" t="s">
        <v>986</v>
      </c>
      <c r="G2440" s="924" t="s">
        <v>981</v>
      </c>
      <c r="H2440" s="924" t="s">
        <v>835</v>
      </c>
      <c r="I2440" s="924" t="s">
        <v>839</v>
      </c>
      <c r="J2440" s="924" t="s">
        <v>987</v>
      </c>
      <c r="K2440" s="924" t="s">
        <v>988</v>
      </c>
      <c r="L2440" s="925">
        <v>2484.5580973625201</v>
      </c>
      <c r="M2440" s="925">
        <v>1.25507636857219</v>
      </c>
    </row>
    <row r="2441" spans="1:13" ht="11.25" customHeight="1" x14ac:dyDescent="0.2">
      <c r="A2441" s="924" t="s">
        <v>853</v>
      </c>
      <c r="B2441" s="924" t="s">
        <v>799</v>
      </c>
      <c r="C2441" s="924" t="s">
        <v>1187</v>
      </c>
      <c r="D2441" s="924" t="s">
        <v>1163</v>
      </c>
      <c r="E2441" s="924" t="s">
        <v>856</v>
      </c>
      <c r="F2441" s="924" t="s">
        <v>989</v>
      </c>
      <c r="G2441" s="924" t="s">
        <v>990</v>
      </c>
      <c r="H2441" s="924" t="s">
        <v>836</v>
      </c>
      <c r="I2441" s="924" t="s">
        <v>839</v>
      </c>
      <c r="J2441" s="924" t="s">
        <v>224</v>
      </c>
      <c r="K2441" s="924" t="s">
        <v>988</v>
      </c>
      <c r="L2441" s="925">
        <v>1956.6529951095599</v>
      </c>
      <c r="M2441" s="925">
        <v>6.6619616499039594E-2</v>
      </c>
    </row>
    <row r="2442" spans="1:13" ht="11.25" customHeight="1" x14ac:dyDescent="0.2">
      <c r="A2442" s="924" t="s">
        <v>853</v>
      </c>
      <c r="B2442" s="924" t="s">
        <v>799</v>
      </c>
      <c r="C2442" s="924" t="s">
        <v>1187</v>
      </c>
      <c r="D2442" s="924" t="s">
        <v>1163</v>
      </c>
      <c r="E2442" s="924" t="s">
        <v>856</v>
      </c>
      <c r="F2442" s="924" t="s">
        <v>991</v>
      </c>
      <c r="G2442" s="924" t="s">
        <v>990</v>
      </c>
      <c r="H2442" s="924" t="s">
        <v>836</v>
      </c>
      <c r="I2442" s="924" t="s">
        <v>839</v>
      </c>
      <c r="J2442" s="924" t="s">
        <v>224</v>
      </c>
      <c r="K2442" s="924" t="s">
        <v>983</v>
      </c>
      <c r="L2442" s="925">
        <v>7.2472547497600299</v>
      </c>
      <c r="M2442" s="925">
        <v>4.3275755564176099E-4</v>
      </c>
    </row>
    <row r="2443" spans="1:13" ht="11.25" customHeight="1" x14ac:dyDescent="0.2">
      <c r="A2443" s="924" t="s">
        <v>853</v>
      </c>
      <c r="B2443" s="924" t="s">
        <v>799</v>
      </c>
      <c r="C2443" s="924" t="s">
        <v>1187</v>
      </c>
      <c r="D2443" s="924" t="s">
        <v>1163</v>
      </c>
      <c r="E2443" s="924" t="s">
        <v>856</v>
      </c>
      <c r="F2443" s="924" t="s">
        <v>992</v>
      </c>
      <c r="G2443" s="924" t="s">
        <v>858</v>
      </c>
      <c r="H2443" s="924" t="s">
        <v>836</v>
      </c>
      <c r="I2443" s="924" t="s">
        <v>834</v>
      </c>
      <c r="J2443" s="924" t="s">
        <v>224</v>
      </c>
      <c r="K2443" s="924" t="s">
        <v>993</v>
      </c>
      <c r="L2443" s="925">
        <v>137.95670235156999</v>
      </c>
      <c r="M2443" s="925">
        <v>5.3689957448455096E-3</v>
      </c>
    </row>
    <row r="2444" spans="1:13" ht="11.25" customHeight="1" x14ac:dyDescent="0.2">
      <c r="A2444" s="924" t="s">
        <v>853</v>
      </c>
      <c r="B2444" s="924" t="s">
        <v>799</v>
      </c>
      <c r="C2444" s="924" t="s">
        <v>1187</v>
      </c>
      <c r="D2444" s="924" t="s">
        <v>1163</v>
      </c>
      <c r="E2444" s="924" t="s">
        <v>856</v>
      </c>
      <c r="F2444" s="924" t="s">
        <v>1074</v>
      </c>
      <c r="G2444" s="924" t="s">
        <v>911</v>
      </c>
      <c r="H2444" s="924" t="s">
        <v>665</v>
      </c>
      <c r="I2444" s="924" t="s">
        <v>706</v>
      </c>
      <c r="J2444" s="924" t="s">
        <v>859</v>
      </c>
      <c r="K2444" s="924" t="s">
        <v>903</v>
      </c>
      <c r="L2444" s="925">
        <v>12.850122317671801</v>
      </c>
      <c r="M2444" s="925">
        <v>1.4351372929013501E-3</v>
      </c>
    </row>
    <row r="2445" spans="1:13" ht="11.25" customHeight="1" x14ac:dyDescent="0.2">
      <c r="A2445" s="924" t="s">
        <v>853</v>
      </c>
      <c r="B2445" s="924" t="s">
        <v>799</v>
      </c>
      <c r="C2445" s="924" t="s">
        <v>1187</v>
      </c>
      <c r="D2445" s="924" t="s">
        <v>1163</v>
      </c>
      <c r="E2445" s="924" t="s">
        <v>856</v>
      </c>
      <c r="F2445" s="924" t="s">
        <v>996</v>
      </c>
      <c r="G2445" s="924" t="s">
        <v>911</v>
      </c>
      <c r="H2445" s="924" t="s">
        <v>665</v>
      </c>
      <c r="I2445" s="924" t="s">
        <v>834</v>
      </c>
      <c r="J2445" s="924" t="s">
        <v>706</v>
      </c>
      <c r="K2445" s="924" t="s">
        <v>993</v>
      </c>
      <c r="L2445" s="925">
        <v>0.24406183254905001</v>
      </c>
      <c r="M2445" s="925">
        <v>3.0258937872673601E-5</v>
      </c>
    </row>
    <row r="2446" spans="1:13" ht="11.25" customHeight="1" x14ac:dyDescent="0.2">
      <c r="A2446" s="924" t="s">
        <v>853</v>
      </c>
      <c r="B2446" s="924" t="s">
        <v>799</v>
      </c>
      <c r="C2446" s="924" t="s">
        <v>1187</v>
      </c>
      <c r="D2446" s="924" t="s">
        <v>1163</v>
      </c>
      <c r="E2446" s="924" t="s">
        <v>856</v>
      </c>
      <c r="F2446" s="924" t="s">
        <v>908</v>
      </c>
      <c r="G2446" s="924" t="s">
        <v>858</v>
      </c>
      <c r="H2446" s="924" t="s">
        <v>836</v>
      </c>
      <c r="I2446" s="924" t="s">
        <v>837</v>
      </c>
      <c r="J2446" s="924" t="s">
        <v>859</v>
      </c>
      <c r="K2446" s="924" t="s">
        <v>909</v>
      </c>
      <c r="L2446" s="925">
        <v>42.665584981441498</v>
      </c>
      <c r="M2446" s="925">
        <v>8.9300676110326495E-4</v>
      </c>
    </row>
    <row r="2447" spans="1:13" ht="11.25" customHeight="1" x14ac:dyDescent="0.2">
      <c r="A2447" s="924" t="s">
        <v>853</v>
      </c>
      <c r="B2447" s="924" t="s">
        <v>799</v>
      </c>
      <c r="C2447" s="924" t="s">
        <v>1187</v>
      </c>
      <c r="D2447" s="924" t="s">
        <v>1163</v>
      </c>
      <c r="E2447" s="924" t="s">
        <v>856</v>
      </c>
      <c r="F2447" s="924" t="s">
        <v>971</v>
      </c>
      <c r="G2447" s="924" t="s">
        <v>858</v>
      </c>
      <c r="H2447" s="924" t="s">
        <v>836</v>
      </c>
      <c r="I2447" s="924" t="s">
        <v>837</v>
      </c>
      <c r="J2447" s="924" t="s">
        <v>875</v>
      </c>
      <c r="K2447" s="924" t="s">
        <v>948</v>
      </c>
      <c r="L2447" s="925">
        <v>519.02250337600697</v>
      </c>
      <c r="M2447" s="925">
        <v>2.2200384132702301E-2</v>
      </c>
    </row>
    <row r="2448" spans="1:13" ht="11.25" customHeight="1" x14ac:dyDescent="0.2">
      <c r="A2448" s="924" t="s">
        <v>853</v>
      </c>
      <c r="B2448" s="924" t="s">
        <v>799</v>
      </c>
      <c r="C2448" s="924" t="s">
        <v>1187</v>
      </c>
      <c r="D2448" s="924" t="s">
        <v>1163</v>
      </c>
      <c r="E2448" s="924" t="s">
        <v>856</v>
      </c>
      <c r="F2448" s="924" t="s">
        <v>1017</v>
      </c>
      <c r="G2448" s="924" t="s">
        <v>858</v>
      </c>
      <c r="H2448" s="924" t="s">
        <v>836</v>
      </c>
      <c r="I2448" s="924" t="s">
        <v>837</v>
      </c>
      <c r="J2448" s="924" t="s">
        <v>863</v>
      </c>
      <c r="K2448" s="924" t="s">
        <v>864</v>
      </c>
      <c r="L2448" s="925">
        <v>798.13013362884499</v>
      </c>
      <c r="M2448" s="925">
        <v>1.08242318995053E-2</v>
      </c>
    </row>
    <row r="2449" spans="1:13" ht="11.25" customHeight="1" x14ac:dyDescent="0.2">
      <c r="A2449" s="924" t="s">
        <v>853</v>
      </c>
      <c r="B2449" s="924" t="s">
        <v>799</v>
      </c>
      <c r="C2449" s="924" t="s">
        <v>1187</v>
      </c>
      <c r="D2449" s="924" t="s">
        <v>1163</v>
      </c>
      <c r="E2449" s="924" t="s">
        <v>856</v>
      </c>
      <c r="F2449" s="924" t="s">
        <v>1071</v>
      </c>
      <c r="G2449" s="924" t="s">
        <v>858</v>
      </c>
      <c r="H2449" s="924" t="s">
        <v>836</v>
      </c>
      <c r="I2449" s="924" t="s">
        <v>837</v>
      </c>
      <c r="J2449" s="924" t="s">
        <v>859</v>
      </c>
      <c r="K2449" s="924" t="s">
        <v>1072</v>
      </c>
      <c r="L2449" s="925">
        <v>4388.99998855591</v>
      </c>
      <c r="M2449" s="925">
        <v>3.9034457260186201E-2</v>
      </c>
    </row>
    <row r="2450" spans="1:13" ht="11.25" customHeight="1" x14ac:dyDescent="0.2">
      <c r="A2450" s="924" t="s">
        <v>853</v>
      </c>
      <c r="B2450" s="924" t="s">
        <v>799</v>
      </c>
      <c r="C2450" s="924" t="s">
        <v>1187</v>
      </c>
      <c r="D2450" s="924" t="s">
        <v>1163</v>
      </c>
      <c r="E2450" s="924" t="s">
        <v>856</v>
      </c>
      <c r="F2450" s="924" t="s">
        <v>953</v>
      </c>
      <c r="G2450" s="924" t="s">
        <v>858</v>
      </c>
      <c r="H2450" s="924" t="s">
        <v>836</v>
      </c>
      <c r="I2450" s="924" t="s">
        <v>837</v>
      </c>
      <c r="J2450" s="924" t="s">
        <v>859</v>
      </c>
      <c r="K2450" s="924" t="s">
        <v>920</v>
      </c>
      <c r="L2450" s="925">
        <v>206.45807552337601</v>
      </c>
      <c r="M2450" s="925">
        <v>2.66305228069541E-3</v>
      </c>
    </row>
    <row r="2451" spans="1:13" ht="11.25" customHeight="1" x14ac:dyDescent="0.2">
      <c r="A2451" s="924" t="s">
        <v>853</v>
      </c>
      <c r="B2451" s="924" t="s">
        <v>799</v>
      </c>
      <c r="C2451" s="924" t="s">
        <v>1187</v>
      </c>
      <c r="D2451" s="924" t="s">
        <v>1163</v>
      </c>
      <c r="E2451" s="924" t="s">
        <v>856</v>
      </c>
      <c r="F2451" s="924" t="s">
        <v>1002</v>
      </c>
      <c r="G2451" s="924" t="s">
        <v>858</v>
      </c>
      <c r="H2451" s="924" t="s">
        <v>836</v>
      </c>
      <c r="I2451" s="924" t="s">
        <v>837</v>
      </c>
      <c r="J2451" s="924" t="s">
        <v>859</v>
      </c>
      <c r="K2451" s="924" t="s">
        <v>922</v>
      </c>
      <c r="L2451" s="925">
        <v>1641.94821739197</v>
      </c>
      <c r="M2451" s="925">
        <v>1.87724509225973E-2</v>
      </c>
    </row>
    <row r="2452" spans="1:13" ht="11.25" customHeight="1" x14ac:dyDescent="0.2">
      <c r="A2452" s="924" t="s">
        <v>853</v>
      </c>
      <c r="B2452" s="924" t="s">
        <v>799</v>
      </c>
      <c r="C2452" s="924" t="s">
        <v>1187</v>
      </c>
      <c r="D2452" s="924" t="s">
        <v>1163</v>
      </c>
      <c r="E2452" s="924" t="s">
        <v>856</v>
      </c>
      <c r="F2452" s="924" t="s">
        <v>1003</v>
      </c>
      <c r="G2452" s="924" t="s">
        <v>858</v>
      </c>
      <c r="H2452" s="924" t="s">
        <v>836</v>
      </c>
      <c r="I2452" s="924" t="s">
        <v>837</v>
      </c>
      <c r="J2452" s="924" t="s">
        <v>859</v>
      </c>
      <c r="K2452" s="924" t="s">
        <v>924</v>
      </c>
      <c r="L2452" s="925">
        <v>5582.6431961059598</v>
      </c>
      <c r="M2452" s="925">
        <v>5.32460841477587E-2</v>
      </c>
    </row>
    <row r="2453" spans="1:13" ht="11.25" customHeight="1" x14ac:dyDescent="0.2">
      <c r="A2453" s="924" t="s">
        <v>853</v>
      </c>
      <c r="B2453" s="924" t="s">
        <v>799</v>
      </c>
      <c r="C2453" s="924" t="s">
        <v>1187</v>
      </c>
      <c r="D2453" s="924" t="s">
        <v>1163</v>
      </c>
      <c r="E2453" s="924" t="s">
        <v>856</v>
      </c>
      <c r="F2453" s="924" t="s">
        <v>1004</v>
      </c>
      <c r="G2453" s="924" t="s">
        <v>858</v>
      </c>
      <c r="H2453" s="924" t="s">
        <v>836</v>
      </c>
      <c r="I2453" s="924" t="s">
        <v>837</v>
      </c>
      <c r="J2453" s="924" t="s">
        <v>859</v>
      </c>
      <c r="K2453" s="924" t="s">
        <v>926</v>
      </c>
      <c r="L2453" s="925">
        <v>3383.2864418029799</v>
      </c>
      <c r="M2453" s="925">
        <v>0.13806421523258899</v>
      </c>
    </row>
    <row r="2454" spans="1:13" ht="11.25" customHeight="1" x14ac:dyDescent="0.2">
      <c r="A2454" s="924" t="s">
        <v>853</v>
      </c>
      <c r="B2454" s="924" t="s">
        <v>799</v>
      </c>
      <c r="C2454" s="924" t="s">
        <v>1187</v>
      </c>
      <c r="D2454" s="924" t="s">
        <v>1163</v>
      </c>
      <c r="E2454" s="924" t="s">
        <v>856</v>
      </c>
      <c r="F2454" s="924" t="s">
        <v>1005</v>
      </c>
      <c r="G2454" s="924" t="s">
        <v>858</v>
      </c>
      <c r="H2454" s="924" t="s">
        <v>836</v>
      </c>
      <c r="I2454" s="924" t="s">
        <v>837</v>
      </c>
      <c r="J2454" s="924" t="s">
        <v>859</v>
      </c>
      <c r="K2454" s="924" t="s">
        <v>1006</v>
      </c>
      <c r="L2454" s="925">
        <v>5106.3660316467303</v>
      </c>
      <c r="M2454" s="925">
        <v>3.9551406500777403E-2</v>
      </c>
    </row>
    <row r="2455" spans="1:13" ht="11.25" customHeight="1" x14ac:dyDescent="0.2">
      <c r="A2455" s="924" t="s">
        <v>853</v>
      </c>
      <c r="B2455" s="924" t="s">
        <v>799</v>
      </c>
      <c r="C2455" s="924" t="s">
        <v>1187</v>
      </c>
      <c r="D2455" s="924" t="s">
        <v>1163</v>
      </c>
      <c r="E2455" s="924" t="s">
        <v>856</v>
      </c>
      <c r="F2455" s="924" t="s">
        <v>1007</v>
      </c>
      <c r="G2455" s="924" t="s">
        <v>858</v>
      </c>
      <c r="H2455" s="924" t="s">
        <v>836</v>
      </c>
      <c r="I2455" s="924" t="s">
        <v>837</v>
      </c>
      <c r="J2455" s="924" t="s">
        <v>859</v>
      </c>
      <c r="K2455" s="924" t="s">
        <v>928</v>
      </c>
      <c r="L2455" s="925">
        <v>2350.8927612304701</v>
      </c>
      <c r="M2455" s="925">
        <v>0.102511768933255</v>
      </c>
    </row>
    <row r="2456" spans="1:13" ht="11.25" customHeight="1" x14ac:dyDescent="0.2">
      <c r="A2456" s="924" t="s">
        <v>853</v>
      </c>
      <c r="B2456" s="924" t="s">
        <v>799</v>
      </c>
      <c r="C2456" s="924" t="s">
        <v>1187</v>
      </c>
      <c r="D2456" s="924" t="s">
        <v>1163</v>
      </c>
      <c r="E2456" s="924" t="s">
        <v>856</v>
      </c>
      <c r="F2456" s="924" t="s">
        <v>1008</v>
      </c>
      <c r="G2456" s="924" t="s">
        <v>858</v>
      </c>
      <c r="H2456" s="924" t="s">
        <v>836</v>
      </c>
      <c r="I2456" s="924" t="s">
        <v>837</v>
      </c>
      <c r="J2456" s="924" t="s">
        <v>859</v>
      </c>
      <c r="K2456" s="924" t="s">
        <v>1009</v>
      </c>
      <c r="L2456" s="925">
        <v>548.04148054122902</v>
      </c>
      <c r="M2456" s="925">
        <v>4.4647253969856103E-3</v>
      </c>
    </row>
    <row r="2457" spans="1:13" ht="11.25" customHeight="1" x14ac:dyDescent="0.2">
      <c r="A2457" s="924" t="s">
        <v>853</v>
      </c>
      <c r="B2457" s="924" t="s">
        <v>799</v>
      </c>
      <c r="C2457" s="924" t="s">
        <v>1187</v>
      </c>
      <c r="D2457" s="924" t="s">
        <v>1163</v>
      </c>
      <c r="E2457" s="924" t="s">
        <v>856</v>
      </c>
      <c r="F2457" s="924" t="s">
        <v>1010</v>
      </c>
      <c r="G2457" s="924" t="s">
        <v>858</v>
      </c>
      <c r="H2457" s="924" t="s">
        <v>836</v>
      </c>
      <c r="I2457" s="924" t="s">
        <v>837</v>
      </c>
      <c r="J2457" s="924" t="s">
        <v>859</v>
      </c>
      <c r="K2457" s="924" t="s">
        <v>1011</v>
      </c>
      <c r="L2457" s="925">
        <v>7.1926225349307096</v>
      </c>
      <c r="M2457" s="925">
        <v>3.30963406341311E-4</v>
      </c>
    </row>
    <row r="2458" spans="1:13" ht="11.25" customHeight="1" x14ac:dyDescent="0.2">
      <c r="A2458" s="924" t="s">
        <v>853</v>
      </c>
      <c r="B2458" s="924" t="s">
        <v>799</v>
      </c>
      <c r="C2458" s="924" t="s">
        <v>1187</v>
      </c>
      <c r="D2458" s="924" t="s">
        <v>1163</v>
      </c>
      <c r="E2458" s="924" t="s">
        <v>856</v>
      </c>
      <c r="F2458" s="924" t="s">
        <v>1012</v>
      </c>
      <c r="G2458" s="924" t="s">
        <v>858</v>
      </c>
      <c r="H2458" s="924" t="s">
        <v>836</v>
      </c>
      <c r="I2458" s="924" t="s">
        <v>837</v>
      </c>
      <c r="J2458" s="924" t="s">
        <v>859</v>
      </c>
      <c r="K2458" s="924" t="s">
        <v>891</v>
      </c>
      <c r="L2458" s="925">
        <v>527.11835956573498</v>
      </c>
      <c r="M2458" s="925">
        <v>6.9865551126895298E-3</v>
      </c>
    </row>
    <row r="2459" spans="1:13" ht="11.25" customHeight="1" x14ac:dyDescent="0.2">
      <c r="A2459" s="924" t="s">
        <v>853</v>
      </c>
      <c r="B2459" s="924" t="s">
        <v>799</v>
      </c>
      <c r="C2459" s="924" t="s">
        <v>1187</v>
      </c>
      <c r="D2459" s="924" t="s">
        <v>1163</v>
      </c>
      <c r="E2459" s="924" t="s">
        <v>856</v>
      </c>
      <c r="F2459" s="924" t="s">
        <v>1013</v>
      </c>
      <c r="G2459" s="924" t="s">
        <v>858</v>
      </c>
      <c r="H2459" s="924" t="s">
        <v>836</v>
      </c>
      <c r="I2459" s="924" t="s">
        <v>837</v>
      </c>
      <c r="J2459" s="924" t="s">
        <v>863</v>
      </c>
      <c r="K2459" s="924" t="s">
        <v>931</v>
      </c>
      <c r="L2459" s="925">
        <v>124.362976193428</v>
      </c>
      <c r="M2459" s="925">
        <v>4.5459159718461697E-3</v>
      </c>
    </row>
    <row r="2460" spans="1:13" ht="11.25" customHeight="1" x14ac:dyDescent="0.2">
      <c r="A2460" s="924" t="s">
        <v>853</v>
      </c>
      <c r="B2460" s="924" t="s">
        <v>799</v>
      </c>
      <c r="C2460" s="924" t="s">
        <v>1187</v>
      </c>
      <c r="D2460" s="924" t="s">
        <v>1163</v>
      </c>
      <c r="E2460" s="924" t="s">
        <v>856</v>
      </c>
      <c r="F2460" s="924" t="s">
        <v>1018</v>
      </c>
      <c r="G2460" s="924" t="s">
        <v>858</v>
      </c>
      <c r="H2460" s="924" t="s">
        <v>836</v>
      </c>
      <c r="I2460" s="924" t="s">
        <v>837</v>
      </c>
      <c r="J2460" s="924" t="s">
        <v>870</v>
      </c>
      <c r="K2460" s="924" t="s">
        <v>1019</v>
      </c>
      <c r="L2460" s="925">
        <v>226.787191033363</v>
      </c>
      <c r="M2460" s="925">
        <v>1.7044036868441E-3</v>
      </c>
    </row>
    <row r="2461" spans="1:13" ht="11.25" customHeight="1" x14ac:dyDescent="0.2">
      <c r="A2461" s="924" t="s">
        <v>853</v>
      </c>
      <c r="B2461" s="924" t="s">
        <v>799</v>
      </c>
      <c r="C2461" s="924" t="s">
        <v>1187</v>
      </c>
      <c r="D2461" s="924" t="s">
        <v>1163</v>
      </c>
      <c r="E2461" s="924" t="s">
        <v>856</v>
      </c>
      <c r="F2461" s="924" t="s">
        <v>1038</v>
      </c>
      <c r="G2461" s="924" t="s">
        <v>858</v>
      </c>
      <c r="H2461" s="924" t="s">
        <v>836</v>
      </c>
      <c r="I2461" s="924" t="s">
        <v>837</v>
      </c>
      <c r="J2461" s="924" t="s">
        <v>863</v>
      </c>
      <c r="K2461" s="924" t="s">
        <v>935</v>
      </c>
      <c r="L2461" s="925">
        <v>786.99846363067604</v>
      </c>
      <c r="M2461" s="925">
        <v>8.5175717442780297E-3</v>
      </c>
    </row>
    <row r="2462" spans="1:13" ht="11.25" customHeight="1" x14ac:dyDescent="0.2">
      <c r="A2462" s="924" t="s">
        <v>853</v>
      </c>
      <c r="B2462" s="924" t="s">
        <v>799</v>
      </c>
      <c r="C2462" s="924" t="s">
        <v>1187</v>
      </c>
      <c r="D2462" s="924" t="s">
        <v>1163</v>
      </c>
      <c r="E2462" s="924" t="s">
        <v>856</v>
      </c>
      <c r="F2462" s="924" t="s">
        <v>975</v>
      </c>
      <c r="G2462" s="924" t="s">
        <v>858</v>
      </c>
      <c r="H2462" s="924" t="s">
        <v>836</v>
      </c>
      <c r="I2462" s="924" t="s">
        <v>837</v>
      </c>
      <c r="J2462" s="924" t="s">
        <v>870</v>
      </c>
      <c r="K2462" s="924" t="s">
        <v>976</v>
      </c>
      <c r="L2462" s="925">
        <v>2528.6647691726698</v>
      </c>
      <c r="M2462" s="925">
        <v>3.7845136463488402E-2</v>
      </c>
    </row>
    <row r="2463" spans="1:13" ht="11.25" customHeight="1" x14ac:dyDescent="0.2">
      <c r="A2463" s="924" t="s">
        <v>853</v>
      </c>
      <c r="B2463" s="924" t="s">
        <v>799</v>
      </c>
      <c r="C2463" s="924" t="s">
        <v>1187</v>
      </c>
      <c r="D2463" s="924" t="s">
        <v>1163</v>
      </c>
      <c r="E2463" s="924" t="s">
        <v>856</v>
      </c>
      <c r="F2463" s="924" t="s">
        <v>1001</v>
      </c>
      <c r="G2463" s="924" t="s">
        <v>858</v>
      </c>
      <c r="H2463" s="924" t="s">
        <v>836</v>
      </c>
      <c r="I2463" s="924" t="s">
        <v>837</v>
      </c>
      <c r="J2463" s="924" t="s">
        <v>863</v>
      </c>
      <c r="K2463" s="924" t="s">
        <v>915</v>
      </c>
      <c r="L2463" s="925">
        <v>30.804328143596599</v>
      </c>
      <c r="M2463" s="925">
        <v>9.4120340671111102E-4</v>
      </c>
    </row>
    <row r="2464" spans="1:13" ht="11.25" customHeight="1" x14ac:dyDescent="0.2">
      <c r="A2464" s="924" t="s">
        <v>853</v>
      </c>
      <c r="B2464" s="924" t="s">
        <v>799</v>
      </c>
      <c r="C2464" s="924" t="s">
        <v>1187</v>
      </c>
      <c r="D2464" s="924" t="s">
        <v>1163</v>
      </c>
      <c r="E2464" s="924" t="s">
        <v>856</v>
      </c>
      <c r="F2464" s="924" t="s">
        <v>1020</v>
      </c>
      <c r="G2464" s="924" t="s">
        <v>858</v>
      </c>
      <c r="H2464" s="924" t="s">
        <v>836</v>
      </c>
      <c r="I2464" s="924" t="s">
        <v>837</v>
      </c>
      <c r="J2464" s="924" t="s">
        <v>863</v>
      </c>
      <c r="K2464" s="924" t="s">
        <v>866</v>
      </c>
      <c r="L2464" s="925">
        <v>4578.4129409790003</v>
      </c>
      <c r="M2464" s="925">
        <v>0.111129803673066</v>
      </c>
    </row>
    <row r="2465" spans="1:13" ht="11.25" customHeight="1" x14ac:dyDescent="0.2">
      <c r="A2465" s="924" t="s">
        <v>853</v>
      </c>
      <c r="B2465" s="924" t="s">
        <v>799</v>
      </c>
      <c r="C2465" s="924" t="s">
        <v>1187</v>
      </c>
      <c r="D2465" s="924" t="s">
        <v>1163</v>
      </c>
      <c r="E2465" s="924" t="s">
        <v>856</v>
      </c>
      <c r="F2465" s="924" t="s">
        <v>1021</v>
      </c>
      <c r="G2465" s="924" t="s">
        <v>858</v>
      </c>
      <c r="H2465" s="924" t="s">
        <v>836</v>
      </c>
      <c r="I2465" s="924" t="s">
        <v>837</v>
      </c>
      <c r="J2465" s="924" t="s">
        <v>863</v>
      </c>
      <c r="K2465" s="924" t="s">
        <v>868</v>
      </c>
      <c r="L2465" s="925">
        <v>1135.49986839294</v>
      </c>
      <c r="M2465" s="925">
        <v>6.1035090026280202E-3</v>
      </c>
    </row>
    <row r="2466" spans="1:13" ht="11.25" customHeight="1" x14ac:dyDescent="0.2">
      <c r="A2466" s="924" t="s">
        <v>853</v>
      </c>
      <c r="B2466" s="924" t="s">
        <v>799</v>
      </c>
      <c r="C2466" s="924" t="s">
        <v>1187</v>
      </c>
      <c r="D2466" s="924" t="s">
        <v>1163</v>
      </c>
      <c r="E2466" s="924" t="s">
        <v>856</v>
      </c>
      <c r="F2466" s="924" t="s">
        <v>1022</v>
      </c>
      <c r="G2466" s="924" t="s">
        <v>858</v>
      </c>
      <c r="H2466" s="924" t="s">
        <v>836</v>
      </c>
      <c r="I2466" s="924" t="s">
        <v>837</v>
      </c>
      <c r="J2466" s="924" t="s">
        <v>940</v>
      </c>
      <c r="K2466" s="924" t="s">
        <v>1023</v>
      </c>
      <c r="L2466" s="925">
        <v>0.12775162141770099</v>
      </c>
      <c r="M2466" s="925">
        <v>5.7384819759920303E-6</v>
      </c>
    </row>
    <row r="2467" spans="1:13" ht="11.25" customHeight="1" x14ac:dyDescent="0.2">
      <c r="A2467" s="924" t="s">
        <v>853</v>
      </c>
      <c r="B2467" s="924" t="s">
        <v>799</v>
      </c>
      <c r="C2467" s="924" t="s">
        <v>1187</v>
      </c>
      <c r="D2467" s="924" t="s">
        <v>1163</v>
      </c>
      <c r="E2467" s="924" t="s">
        <v>856</v>
      </c>
      <c r="F2467" s="924" t="s">
        <v>1024</v>
      </c>
      <c r="G2467" s="924" t="s">
        <v>858</v>
      </c>
      <c r="H2467" s="924" t="s">
        <v>836</v>
      </c>
      <c r="I2467" s="924" t="s">
        <v>837</v>
      </c>
      <c r="J2467" s="924" t="s">
        <v>940</v>
      </c>
      <c r="K2467" s="924" t="s">
        <v>1025</v>
      </c>
      <c r="L2467" s="925">
        <v>33.9237704277039</v>
      </c>
      <c r="M2467" s="925">
        <v>5.5804727890063099E-4</v>
      </c>
    </row>
    <row r="2468" spans="1:13" ht="11.25" customHeight="1" x14ac:dyDescent="0.2">
      <c r="A2468" s="924" t="s">
        <v>853</v>
      </c>
      <c r="B2468" s="924" t="s">
        <v>799</v>
      </c>
      <c r="C2468" s="924" t="s">
        <v>1187</v>
      </c>
      <c r="D2468" s="924" t="s">
        <v>1163</v>
      </c>
      <c r="E2468" s="924" t="s">
        <v>856</v>
      </c>
      <c r="F2468" s="924" t="s">
        <v>1026</v>
      </c>
      <c r="G2468" s="924" t="s">
        <v>858</v>
      </c>
      <c r="H2468" s="924" t="s">
        <v>836</v>
      </c>
      <c r="I2468" s="924" t="s">
        <v>837</v>
      </c>
      <c r="J2468" s="924" t="s">
        <v>940</v>
      </c>
      <c r="K2468" s="924" t="s">
        <v>1027</v>
      </c>
      <c r="L2468" s="925">
        <v>895.43211030960094</v>
      </c>
      <c r="M2468" s="925">
        <v>3.7792752722339201E-2</v>
      </c>
    </row>
    <row r="2469" spans="1:13" ht="11.25" customHeight="1" x14ac:dyDescent="0.2">
      <c r="A2469" s="924" t="s">
        <v>853</v>
      </c>
      <c r="B2469" s="924" t="s">
        <v>799</v>
      </c>
      <c r="C2469" s="924" t="s">
        <v>1187</v>
      </c>
      <c r="D2469" s="924" t="s">
        <v>1163</v>
      </c>
      <c r="E2469" s="924" t="s">
        <v>856</v>
      </c>
      <c r="F2469" s="924" t="s">
        <v>1028</v>
      </c>
      <c r="G2469" s="924" t="s">
        <v>858</v>
      </c>
      <c r="H2469" s="924" t="s">
        <v>836</v>
      </c>
      <c r="I2469" s="924" t="s">
        <v>837</v>
      </c>
      <c r="J2469" s="924" t="s">
        <v>940</v>
      </c>
      <c r="K2469" s="924" t="s">
        <v>1029</v>
      </c>
      <c r="L2469" s="925">
        <v>184.81722426414501</v>
      </c>
      <c r="M2469" s="925">
        <v>1.0025254931562699E-2</v>
      </c>
    </row>
    <row r="2470" spans="1:13" ht="11.25" customHeight="1" x14ac:dyDescent="0.2">
      <c r="A2470" s="924" t="s">
        <v>853</v>
      </c>
      <c r="B2470" s="924" t="s">
        <v>799</v>
      </c>
      <c r="C2470" s="924" t="s">
        <v>1187</v>
      </c>
      <c r="D2470" s="924" t="s">
        <v>1163</v>
      </c>
      <c r="E2470" s="924" t="s">
        <v>856</v>
      </c>
      <c r="F2470" s="924" t="s">
        <v>1030</v>
      </c>
      <c r="G2470" s="924" t="s">
        <v>858</v>
      </c>
      <c r="H2470" s="924" t="s">
        <v>836</v>
      </c>
      <c r="I2470" s="924" t="s">
        <v>837</v>
      </c>
      <c r="J2470" s="924" t="s">
        <v>940</v>
      </c>
      <c r="K2470" s="924" t="s">
        <v>941</v>
      </c>
      <c r="L2470" s="925">
        <v>1220.6703433990499</v>
      </c>
      <c r="M2470" s="925">
        <v>2.2929754781785001E-2</v>
      </c>
    </row>
    <row r="2471" spans="1:13" ht="11.25" customHeight="1" x14ac:dyDescent="0.2">
      <c r="A2471" s="924" t="s">
        <v>853</v>
      </c>
      <c r="B2471" s="924" t="s">
        <v>799</v>
      </c>
      <c r="C2471" s="924" t="s">
        <v>1187</v>
      </c>
      <c r="D2471" s="924" t="s">
        <v>1163</v>
      </c>
      <c r="E2471" s="924" t="s">
        <v>856</v>
      </c>
      <c r="F2471" s="924" t="s">
        <v>1031</v>
      </c>
      <c r="G2471" s="924" t="s">
        <v>858</v>
      </c>
      <c r="H2471" s="924" t="s">
        <v>836</v>
      </c>
      <c r="I2471" s="924" t="s">
        <v>837</v>
      </c>
      <c r="J2471" s="924" t="s">
        <v>940</v>
      </c>
      <c r="K2471" s="924" t="s">
        <v>1032</v>
      </c>
      <c r="L2471" s="925">
        <v>143.80544197559399</v>
      </c>
      <c r="M2471" s="925">
        <v>3.00051413763924E-3</v>
      </c>
    </row>
    <row r="2472" spans="1:13" ht="11.25" customHeight="1" x14ac:dyDescent="0.2">
      <c r="A2472" s="924" t="s">
        <v>853</v>
      </c>
      <c r="B2472" s="924" t="s">
        <v>799</v>
      </c>
      <c r="C2472" s="924" t="s">
        <v>1187</v>
      </c>
      <c r="D2472" s="924" t="s">
        <v>1163</v>
      </c>
      <c r="E2472" s="924" t="s">
        <v>856</v>
      </c>
      <c r="F2472" s="924" t="s">
        <v>1033</v>
      </c>
      <c r="G2472" s="924" t="s">
        <v>858</v>
      </c>
      <c r="H2472" s="924" t="s">
        <v>836</v>
      </c>
      <c r="I2472" s="924" t="s">
        <v>837</v>
      </c>
      <c r="J2472" s="924" t="s">
        <v>940</v>
      </c>
      <c r="K2472" s="924" t="s">
        <v>1034</v>
      </c>
      <c r="L2472" s="925">
        <v>3.6518963919952498</v>
      </c>
      <c r="M2472" s="925">
        <v>1.19755103744179E-4</v>
      </c>
    </row>
    <row r="2473" spans="1:13" ht="11.25" customHeight="1" x14ac:dyDescent="0.2">
      <c r="A2473" s="924" t="s">
        <v>853</v>
      </c>
      <c r="B2473" s="924" t="s">
        <v>799</v>
      </c>
      <c r="C2473" s="924" t="s">
        <v>1187</v>
      </c>
      <c r="D2473" s="924" t="s">
        <v>1163</v>
      </c>
      <c r="E2473" s="924" t="s">
        <v>856</v>
      </c>
      <c r="F2473" s="924" t="s">
        <v>886</v>
      </c>
      <c r="G2473" s="924" t="s">
        <v>858</v>
      </c>
      <c r="H2473" s="924" t="s">
        <v>836</v>
      </c>
      <c r="I2473" s="924" t="s">
        <v>837</v>
      </c>
      <c r="J2473" s="924" t="s">
        <v>859</v>
      </c>
      <c r="K2473" s="924" t="s">
        <v>887</v>
      </c>
      <c r="L2473" s="925">
        <v>1275.96496582031</v>
      </c>
      <c r="M2473" s="925">
        <v>9.4433547614016806E-3</v>
      </c>
    </row>
    <row r="2474" spans="1:13" ht="11.25" customHeight="1" x14ac:dyDescent="0.2">
      <c r="A2474" s="924" t="s">
        <v>853</v>
      </c>
      <c r="B2474" s="924" t="s">
        <v>799</v>
      </c>
      <c r="C2474" s="924" t="s">
        <v>1187</v>
      </c>
      <c r="D2474" s="924" t="s">
        <v>1163</v>
      </c>
      <c r="E2474" s="924" t="s">
        <v>856</v>
      </c>
      <c r="F2474" s="924" t="s">
        <v>1014</v>
      </c>
      <c r="G2474" s="924" t="s">
        <v>858</v>
      </c>
      <c r="H2474" s="924" t="s">
        <v>836</v>
      </c>
      <c r="I2474" s="924" t="s">
        <v>837</v>
      </c>
      <c r="J2474" s="924" t="s">
        <v>863</v>
      </c>
      <c r="K2474" s="924" t="s">
        <v>933</v>
      </c>
      <c r="L2474" s="925">
        <v>1801.6658153533899</v>
      </c>
      <c r="M2474" s="925">
        <v>1.27549726316829E-2</v>
      </c>
    </row>
    <row r="2475" spans="1:13" ht="11.25" customHeight="1" x14ac:dyDescent="0.2">
      <c r="A2475" s="924" t="s">
        <v>853</v>
      </c>
      <c r="B2475" s="924" t="s">
        <v>799</v>
      </c>
      <c r="C2475" s="924" t="s">
        <v>1187</v>
      </c>
      <c r="D2475" s="924" t="s">
        <v>1163</v>
      </c>
      <c r="E2475" s="924" t="s">
        <v>856</v>
      </c>
      <c r="F2475" s="924" t="s">
        <v>1039</v>
      </c>
      <c r="G2475" s="924" t="s">
        <v>981</v>
      </c>
      <c r="H2475" s="924" t="s">
        <v>835</v>
      </c>
      <c r="I2475" s="924" t="s">
        <v>1040</v>
      </c>
      <c r="J2475" s="924" t="s">
        <v>859</v>
      </c>
      <c r="K2475" s="924" t="s">
        <v>901</v>
      </c>
      <c r="L2475" s="925">
        <v>2.2317139022052301</v>
      </c>
      <c r="M2475" s="925">
        <v>1.6501345653523499E-3</v>
      </c>
    </row>
    <row r="2476" spans="1:13" ht="11.25" customHeight="1" x14ac:dyDescent="0.2">
      <c r="A2476" s="924" t="s">
        <v>853</v>
      </c>
      <c r="B2476" s="924" t="s">
        <v>799</v>
      </c>
      <c r="C2476" s="924" t="s">
        <v>1187</v>
      </c>
      <c r="D2476" s="924" t="s">
        <v>1163</v>
      </c>
      <c r="E2476" s="924" t="s">
        <v>856</v>
      </c>
      <c r="F2476" s="924" t="s">
        <v>1054</v>
      </c>
      <c r="G2476" s="924" t="s">
        <v>981</v>
      </c>
      <c r="H2476" s="924" t="s">
        <v>835</v>
      </c>
      <c r="I2476" s="924" t="s">
        <v>998</v>
      </c>
      <c r="J2476" s="924" t="s">
        <v>875</v>
      </c>
      <c r="K2476" s="924" t="s">
        <v>880</v>
      </c>
      <c r="L2476" s="925">
        <v>2.4009543587453702E-2</v>
      </c>
      <c r="M2476" s="925">
        <v>5.3646953006136802E-5</v>
      </c>
    </row>
    <row r="2477" spans="1:13" ht="11.25" customHeight="1" x14ac:dyDescent="0.2">
      <c r="A2477" s="924" t="s">
        <v>853</v>
      </c>
      <c r="B2477" s="924" t="s">
        <v>799</v>
      </c>
      <c r="C2477" s="924" t="s">
        <v>1187</v>
      </c>
      <c r="D2477" s="924" t="s">
        <v>1163</v>
      </c>
      <c r="E2477" s="924" t="s">
        <v>856</v>
      </c>
      <c r="F2477" s="924" t="s">
        <v>1042</v>
      </c>
      <c r="G2477" s="924" t="s">
        <v>981</v>
      </c>
      <c r="H2477" s="924" t="s">
        <v>835</v>
      </c>
      <c r="I2477" s="924" t="s">
        <v>998</v>
      </c>
      <c r="J2477" s="924" t="s">
        <v>956</v>
      </c>
      <c r="K2477" s="924" t="s">
        <v>1043</v>
      </c>
      <c r="L2477" s="925">
        <v>6.0610325112938899</v>
      </c>
      <c r="M2477" s="925">
        <v>1.04984088829951E-2</v>
      </c>
    </row>
    <row r="2478" spans="1:13" ht="11.25" customHeight="1" x14ac:dyDescent="0.2">
      <c r="A2478" s="924" t="s">
        <v>853</v>
      </c>
      <c r="B2478" s="924" t="s">
        <v>799</v>
      </c>
      <c r="C2478" s="924" t="s">
        <v>1187</v>
      </c>
      <c r="D2478" s="924" t="s">
        <v>1163</v>
      </c>
      <c r="E2478" s="924" t="s">
        <v>856</v>
      </c>
      <c r="F2478" s="924" t="s">
        <v>1044</v>
      </c>
      <c r="G2478" s="924" t="s">
        <v>981</v>
      </c>
      <c r="H2478" s="924" t="s">
        <v>835</v>
      </c>
      <c r="I2478" s="924" t="s">
        <v>1040</v>
      </c>
      <c r="J2478" s="924" t="s">
        <v>884</v>
      </c>
      <c r="K2478" s="924" t="s">
        <v>999</v>
      </c>
      <c r="L2478" s="925">
        <v>143.433076143265</v>
      </c>
      <c r="M2478" s="925">
        <v>0.19775819767164601</v>
      </c>
    </row>
    <row r="2479" spans="1:13" ht="11.25" customHeight="1" x14ac:dyDescent="0.2">
      <c r="A2479" s="924" t="s">
        <v>853</v>
      </c>
      <c r="B2479" s="924" t="s">
        <v>799</v>
      </c>
      <c r="C2479" s="924" t="s">
        <v>1187</v>
      </c>
      <c r="D2479" s="924" t="s">
        <v>1163</v>
      </c>
      <c r="E2479" s="924" t="s">
        <v>856</v>
      </c>
      <c r="F2479" s="924" t="s">
        <v>1045</v>
      </c>
      <c r="G2479" s="924" t="s">
        <v>981</v>
      </c>
      <c r="H2479" s="924" t="s">
        <v>835</v>
      </c>
      <c r="I2479" s="924" t="s">
        <v>1040</v>
      </c>
      <c r="J2479" s="924" t="s">
        <v>884</v>
      </c>
      <c r="K2479" s="924" t="s">
        <v>1046</v>
      </c>
      <c r="L2479" s="925">
        <v>1364.8161029815701</v>
      </c>
      <c r="M2479" s="925">
        <v>1.39511456218315</v>
      </c>
    </row>
    <row r="2480" spans="1:13" ht="11.25" customHeight="1" x14ac:dyDescent="0.2">
      <c r="A2480" s="924" t="s">
        <v>853</v>
      </c>
      <c r="B2480" s="924" t="s">
        <v>799</v>
      </c>
      <c r="C2480" s="924" t="s">
        <v>1187</v>
      </c>
      <c r="D2480" s="924" t="s">
        <v>1163</v>
      </c>
      <c r="E2480" s="924" t="s">
        <v>856</v>
      </c>
      <c r="F2480" s="924" t="s">
        <v>1047</v>
      </c>
      <c r="G2480" s="924" t="s">
        <v>981</v>
      </c>
      <c r="H2480" s="924" t="s">
        <v>835</v>
      </c>
      <c r="I2480" s="924" t="s">
        <v>1040</v>
      </c>
      <c r="J2480" s="924" t="s">
        <v>884</v>
      </c>
      <c r="K2480" s="924" t="s">
        <v>1048</v>
      </c>
      <c r="L2480" s="925">
        <v>839.17388439178501</v>
      </c>
      <c r="M2480" s="925">
        <v>0.63176536466926303</v>
      </c>
    </row>
    <row r="2481" spans="1:13" ht="11.25" customHeight="1" x14ac:dyDescent="0.2">
      <c r="A2481" s="924" t="s">
        <v>853</v>
      </c>
      <c r="B2481" s="924" t="s">
        <v>799</v>
      </c>
      <c r="C2481" s="924" t="s">
        <v>1187</v>
      </c>
      <c r="D2481" s="924" t="s">
        <v>1163</v>
      </c>
      <c r="E2481" s="924" t="s">
        <v>856</v>
      </c>
      <c r="F2481" s="924" t="s">
        <v>1049</v>
      </c>
      <c r="G2481" s="924" t="s">
        <v>981</v>
      </c>
      <c r="H2481" s="924" t="s">
        <v>835</v>
      </c>
      <c r="I2481" s="924" t="s">
        <v>1040</v>
      </c>
      <c r="J2481" s="924" t="s">
        <v>884</v>
      </c>
      <c r="K2481" s="924" t="s">
        <v>885</v>
      </c>
      <c r="L2481" s="925">
        <v>179.70543003082301</v>
      </c>
      <c r="M2481" s="925">
        <v>0.17101770210138101</v>
      </c>
    </row>
    <row r="2482" spans="1:13" ht="11.25" customHeight="1" x14ac:dyDescent="0.2">
      <c r="A2482" s="924" t="s">
        <v>853</v>
      </c>
      <c r="B2482" s="924" t="s">
        <v>799</v>
      </c>
      <c r="C2482" s="924" t="s">
        <v>1187</v>
      </c>
      <c r="D2482" s="924" t="s">
        <v>1163</v>
      </c>
      <c r="E2482" s="924" t="s">
        <v>856</v>
      </c>
      <c r="F2482" s="924" t="s">
        <v>1050</v>
      </c>
      <c r="G2482" s="924" t="s">
        <v>981</v>
      </c>
      <c r="H2482" s="924" t="s">
        <v>835</v>
      </c>
      <c r="I2482" s="924" t="s">
        <v>1040</v>
      </c>
      <c r="J2482" s="924" t="s">
        <v>859</v>
      </c>
      <c r="K2482" s="924" t="s">
        <v>913</v>
      </c>
      <c r="L2482" s="925">
        <v>28.731995612382899</v>
      </c>
      <c r="M2482" s="925">
        <v>1.70497574964656E-2</v>
      </c>
    </row>
    <row r="2483" spans="1:13" ht="11.25" customHeight="1" x14ac:dyDescent="0.2">
      <c r="A2483" s="924" t="s">
        <v>853</v>
      </c>
      <c r="B2483" s="924" t="s">
        <v>799</v>
      </c>
      <c r="C2483" s="924" t="s">
        <v>1187</v>
      </c>
      <c r="D2483" s="924" t="s">
        <v>1163</v>
      </c>
      <c r="E2483" s="924" t="s">
        <v>856</v>
      </c>
      <c r="F2483" s="924" t="s">
        <v>1051</v>
      </c>
      <c r="G2483" s="924" t="s">
        <v>981</v>
      </c>
      <c r="H2483" s="924" t="s">
        <v>835</v>
      </c>
      <c r="I2483" s="924" t="s">
        <v>1040</v>
      </c>
      <c r="J2483" s="924" t="s">
        <v>859</v>
      </c>
      <c r="K2483" s="924" t="s">
        <v>889</v>
      </c>
      <c r="L2483" s="925">
        <v>0.215007019927725</v>
      </c>
      <c r="M2483" s="925">
        <v>1.4005504124270401E-4</v>
      </c>
    </row>
    <row r="2484" spans="1:13" ht="11.25" customHeight="1" x14ac:dyDescent="0.2">
      <c r="A2484" s="924" t="s">
        <v>853</v>
      </c>
      <c r="B2484" s="924" t="s">
        <v>799</v>
      </c>
      <c r="C2484" s="924" t="s">
        <v>1187</v>
      </c>
      <c r="D2484" s="924" t="s">
        <v>1163</v>
      </c>
      <c r="E2484" s="924" t="s">
        <v>856</v>
      </c>
      <c r="F2484" s="924" t="s">
        <v>1052</v>
      </c>
      <c r="G2484" s="924" t="s">
        <v>981</v>
      </c>
      <c r="H2484" s="924" t="s">
        <v>835</v>
      </c>
      <c r="I2484" s="924" t="s">
        <v>1040</v>
      </c>
      <c r="J2484" s="924" t="s">
        <v>859</v>
      </c>
      <c r="K2484" s="924" t="s">
        <v>860</v>
      </c>
      <c r="L2484" s="925">
        <v>54.117738842964201</v>
      </c>
      <c r="M2484" s="925">
        <v>3.8258738321019302E-2</v>
      </c>
    </row>
    <row r="2485" spans="1:13" ht="11.25" customHeight="1" x14ac:dyDescent="0.2">
      <c r="A2485" s="924" t="s">
        <v>853</v>
      </c>
      <c r="B2485" s="924" t="s">
        <v>799</v>
      </c>
      <c r="C2485" s="924" t="s">
        <v>1187</v>
      </c>
      <c r="D2485" s="924" t="s">
        <v>1163</v>
      </c>
      <c r="E2485" s="924" t="s">
        <v>856</v>
      </c>
      <c r="F2485" s="924" t="s">
        <v>1053</v>
      </c>
      <c r="G2485" s="924" t="s">
        <v>981</v>
      </c>
      <c r="H2485" s="924" t="s">
        <v>835</v>
      </c>
      <c r="I2485" s="924" t="s">
        <v>1040</v>
      </c>
      <c r="J2485" s="924" t="s">
        <v>859</v>
      </c>
      <c r="K2485" s="924" t="s">
        <v>893</v>
      </c>
      <c r="L2485" s="925">
        <v>50.943265616893797</v>
      </c>
      <c r="M2485" s="925">
        <v>3.1066865485627201E-2</v>
      </c>
    </row>
    <row r="2486" spans="1:13" ht="11.25" customHeight="1" x14ac:dyDescent="0.2">
      <c r="A2486" s="924" t="s">
        <v>853</v>
      </c>
      <c r="B2486" s="924" t="s">
        <v>799</v>
      </c>
      <c r="C2486" s="924" t="s">
        <v>1187</v>
      </c>
      <c r="D2486" s="924" t="s">
        <v>1163</v>
      </c>
      <c r="E2486" s="924" t="s">
        <v>856</v>
      </c>
      <c r="F2486" s="924" t="s">
        <v>1067</v>
      </c>
      <c r="G2486" s="924" t="s">
        <v>981</v>
      </c>
      <c r="H2486" s="924" t="s">
        <v>835</v>
      </c>
      <c r="I2486" s="924" t="s">
        <v>1040</v>
      </c>
      <c r="J2486" s="924" t="s">
        <v>859</v>
      </c>
      <c r="K2486" s="924" t="s">
        <v>1011</v>
      </c>
      <c r="L2486" s="925">
        <v>13.8310490846634</v>
      </c>
      <c r="M2486" s="925">
        <v>9.8338680958249807E-3</v>
      </c>
    </row>
    <row r="2487" spans="1:13" ht="11.25" customHeight="1" x14ac:dyDescent="0.2">
      <c r="A2487" s="924" t="s">
        <v>853</v>
      </c>
      <c r="B2487" s="924" t="s">
        <v>799</v>
      </c>
      <c r="C2487" s="924" t="s">
        <v>1187</v>
      </c>
      <c r="D2487" s="924" t="s">
        <v>1163</v>
      </c>
      <c r="E2487" s="924" t="s">
        <v>856</v>
      </c>
      <c r="F2487" s="924" t="s">
        <v>1055</v>
      </c>
      <c r="G2487" s="924" t="s">
        <v>981</v>
      </c>
      <c r="H2487" s="924" t="s">
        <v>835</v>
      </c>
      <c r="I2487" s="924" t="s">
        <v>1040</v>
      </c>
      <c r="J2487" s="924" t="s">
        <v>859</v>
      </c>
      <c r="K2487" s="924" t="s">
        <v>899</v>
      </c>
      <c r="L2487" s="925">
        <v>42.810999393463099</v>
      </c>
      <c r="M2487" s="925">
        <v>3.0202554077135301E-2</v>
      </c>
    </row>
    <row r="2488" spans="1:13" ht="11.25" customHeight="1" x14ac:dyDescent="0.2">
      <c r="A2488" s="924" t="s">
        <v>853</v>
      </c>
      <c r="B2488" s="924" t="s">
        <v>799</v>
      </c>
      <c r="C2488" s="924" t="s">
        <v>1187</v>
      </c>
      <c r="D2488" s="924" t="s">
        <v>1163</v>
      </c>
      <c r="E2488" s="924" t="s">
        <v>856</v>
      </c>
      <c r="F2488" s="924" t="s">
        <v>1101</v>
      </c>
      <c r="G2488" s="924" t="s">
        <v>981</v>
      </c>
      <c r="H2488" s="924" t="s">
        <v>835</v>
      </c>
      <c r="I2488" s="924" t="s">
        <v>998</v>
      </c>
      <c r="J2488" s="924" t="s">
        <v>870</v>
      </c>
      <c r="K2488" s="924" t="s">
        <v>961</v>
      </c>
      <c r="L2488" s="925">
        <v>0.32308213540818498</v>
      </c>
      <c r="M2488" s="925">
        <v>5.3194697761682597E-4</v>
      </c>
    </row>
    <row r="2489" spans="1:13" ht="11.25" customHeight="1" x14ac:dyDescent="0.2">
      <c r="A2489" s="924" t="s">
        <v>853</v>
      </c>
      <c r="B2489" s="924" t="s">
        <v>799</v>
      </c>
      <c r="C2489" s="924" t="s">
        <v>1187</v>
      </c>
      <c r="D2489" s="924" t="s">
        <v>1163</v>
      </c>
      <c r="E2489" s="924" t="s">
        <v>856</v>
      </c>
      <c r="F2489" s="924" t="s">
        <v>1057</v>
      </c>
      <c r="G2489" s="924" t="s">
        <v>981</v>
      </c>
      <c r="H2489" s="924" t="s">
        <v>835</v>
      </c>
      <c r="I2489" s="924" t="s">
        <v>1040</v>
      </c>
      <c r="J2489" s="924" t="s">
        <v>859</v>
      </c>
      <c r="K2489" s="924" t="s">
        <v>903</v>
      </c>
      <c r="L2489" s="925">
        <v>89.347084403037996</v>
      </c>
      <c r="M2489" s="925">
        <v>5.5230288724487799E-2</v>
      </c>
    </row>
    <row r="2490" spans="1:13" ht="11.25" customHeight="1" x14ac:dyDescent="0.2">
      <c r="A2490" s="924" t="s">
        <v>853</v>
      </c>
      <c r="B2490" s="924" t="s">
        <v>799</v>
      </c>
      <c r="C2490" s="924" t="s">
        <v>1187</v>
      </c>
      <c r="D2490" s="924" t="s">
        <v>1163</v>
      </c>
      <c r="E2490" s="924" t="s">
        <v>856</v>
      </c>
      <c r="F2490" s="924" t="s">
        <v>1058</v>
      </c>
      <c r="G2490" s="924" t="s">
        <v>981</v>
      </c>
      <c r="H2490" s="924" t="s">
        <v>835</v>
      </c>
      <c r="I2490" s="924" t="s">
        <v>1040</v>
      </c>
      <c r="J2490" s="924" t="s">
        <v>859</v>
      </c>
      <c r="K2490" s="924" t="s">
        <v>905</v>
      </c>
      <c r="L2490" s="925">
        <v>31.332749307155598</v>
      </c>
      <c r="M2490" s="925">
        <v>2.4846689942933198E-2</v>
      </c>
    </row>
    <row r="2491" spans="1:13" ht="11.25" customHeight="1" x14ac:dyDescent="0.2">
      <c r="A2491" s="924" t="s">
        <v>853</v>
      </c>
      <c r="B2491" s="924" t="s">
        <v>799</v>
      </c>
      <c r="C2491" s="924" t="s">
        <v>1187</v>
      </c>
      <c r="D2491" s="924" t="s">
        <v>1163</v>
      </c>
      <c r="E2491" s="924" t="s">
        <v>856</v>
      </c>
      <c r="F2491" s="924" t="s">
        <v>1059</v>
      </c>
      <c r="G2491" s="924" t="s">
        <v>981</v>
      </c>
      <c r="H2491" s="924" t="s">
        <v>835</v>
      </c>
      <c r="I2491" s="924" t="s">
        <v>1040</v>
      </c>
      <c r="J2491" s="924" t="s">
        <v>859</v>
      </c>
      <c r="K2491" s="924" t="s">
        <v>909</v>
      </c>
      <c r="L2491" s="925">
        <v>186.73063874244701</v>
      </c>
      <c r="M2491" s="925">
        <v>0.12933163566049199</v>
      </c>
    </row>
    <row r="2492" spans="1:13" ht="11.25" customHeight="1" x14ac:dyDescent="0.2">
      <c r="A2492" s="924" t="s">
        <v>853</v>
      </c>
      <c r="B2492" s="924" t="s">
        <v>799</v>
      </c>
      <c r="C2492" s="924" t="s">
        <v>1187</v>
      </c>
      <c r="D2492" s="924" t="s">
        <v>1163</v>
      </c>
      <c r="E2492" s="924" t="s">
        <v>856</v>
      </c>
      <c r="F2492" s="924" t="s">
        <v>1060</v>
      </c>
      <c r="G2492" s="924" t="s">
        <v>981</v>
      </c>
      <c r="H2492" s="924" t="s">
        <v>835</v>
      </c>
      <c r="I2492" s="924" t="s">
        <v>1040</v>
      </c>
      <c r="J2492" s="924" t="s">
        <v>859</v>
      </c>
      <c r="K2492" s="924" t="s">
        <v>973</v>
      </c>
      <c r="L2492" s="925">
        <v>89.566512107849107</v>
      </c>
      <c r="M2492" s="925">
        <v>6.1065781322895397E-2</v>
      </c>
    </row>
    <row r="2493" spans="1:13" ht="11.25" customHeight="1" x14ac:dyDescent="0.2">
      <c r="A2493" s="924" t="s">
        <v>853</v>
      </c>
      <c r="B2493" s="924" t="s">
        <v>799</v>
      </c>
      <c r="C2493" s="924" t="s">
        <v>1187</v>
      </c>
      <c r="D2493" s="924" t="s">
        <v>1163</v>
      </c>
      <c r="E2493" s="924" t="s">
        <v>856</v>
      </c>
      <c r="F2493" s="924" t="s">
        <v>1061</v>
      </c>
      <c r="G2493" s="924" t="s">
        <v>981</v>
      </c>
      <c r="H2493" s="924" t="s">
        <v>835</v>
      </c>
      <c r="I2493" s="924" t="s">
        <v>1040</v>
      </c>
      <c r="J2493" s="924" t="s">
        <v>859</v>
      </c>
      <c r="K2493" s="924" t="s">
        <v>918</v>
      </c>
      <c r="L2493" s="925">
        <v>6.9380824267864201</v>
      </c>
      <c r="M2493" s="925">
        <v>3.0610606281698E-3</v>
      </c>
    </row>
    <row r="2494" spans="1:13" ht="11.25" customHeight="1" x14ac:dyDescent="0.2">
      <c r="A2494" s="924" t="s">
        <v>853</v>
      </c>
      <c r="B2494" s="924" t="s">
        <v>799</v>
      </c>
      <c r="C2494" s="924" t="s">
        <v>1187</v>
      </c>
      <c r="D2494" s="924" t="s">
        <v>1163</v>
      </c>
      <c r="E2494" s="924" t="s">
        <v>856</v>
      </c>
      <c r="F2494" s="924" t="s">
        <v>1062</v>
      </c>
      <c r="G2494" s="924" t="s">
        <v>981</v>
      </c>
      <c r="H2494" s="924" t="s">
        <v>835</v>
      </c>
      <c r="I2494" s="924" t="s">
        <v>1040</v>
      </c>
      <c r="J2494" s="924" t="s">
        <v>859</v>
      </c>
      <c r="K2494" s="924" t="s">
        <v>920</v>
      </c>
      <c r="L2494" s="925">
        <v>12.0884271711111</v>
      </c>
      <c r="M2494" s="925">
        <v>8.2015281719805006E-3</v>
      </c>
    </row>
    <row r="2495" spans="1:13" ht="11.25" customHeight="1" x14ac:dyDescent="0.2">
      <c r="A2495" s="924" t="s">
        <v>853</v>
      </c>
      <c r="B2495" s="924" t="s">
        <v>799</v>
      </c>
      <c r="C2495" s="924" t="s">
        <v>1187</v>
      </c>
      <c r="D2495" s="924" t="s">
        <v>1163</v>
      </c>
      <c r="E2495" s="924" t="s">
        <v>856</v>
      </c>
      <c r="F2495" s="924" t="s">
        <v>1063</v>
      </c>
      <c r="G2495" s="924" t="s">
        <v>981</v>
      </c>
      <c r="H2495" s="924" t="s">
        <v>835</v>
      </c>
      <c r="I2495" s="924" t="s">
        <v>1040</v>
      </c>
      <c r="J2495" s="924" t="s">
        <v>859</v>
      </c>
      <c r="K2495" s="924" t="s">
        <v>922</v>
      </c>
      <c r="L2495" s="925">
        <v>10.6235863119364</v>
      </c>
      <c r="M2495" s="925">
        <v>1.9251148628427501E-3</v>
      </c>
    </row>
    <row r="2496" spans="1:13" ht="11.25" customHeight="1" x14ac:dyDescent="0.2">
      <c r="A2496" s="924" t="s">
        <v>853</v>
      </c>
      <c r="B2496" s="924" t="s">
        <v>799</v>
      </c>
      <c r="C2496" s="924" t="s">
        <v>1187</v>
      </c>
      <c r="D2496" s="924" t="s">
        <v>1163</v>
      </c>
      <c r="E2496" s="924" t="s">
        <v>856</v>
      </c>
      <c r="F2496" s="924" t="s">
        <v>1064</v>
      </c>
      <c r="G2496" s="924" t="s">
        <v>981</v>
      </c>
      <c r="H2496" s="924" t="s">
        <v>835</v>
      </c>
      <c r="I2496" s="924" t="s">
        <v>1040</v>
      </c>
      <c r="J2496" s="924" t="s">
        <v>859</v>
      </c>
      <c r="K2496" s="924" t="s">
        <v>924</v>
      </c>
      <c r="L2496" s="925">
        <v>25.587528824806199</v>
      </c>
      <c r="M2496" s="925">
        <v>1.9169524912285899E-3</v>
      </c>
    </row>
    <row r="2497" spans="1:13" ht="11.25" customHeight="1" x14ac:dyDescent="0.2">
      <c r="A2497" s="924" t="s">
        <v>853</v>
      </c>
      <c r="B2497" s="924" t="s">
        <v>799</v>
      </c>
      <c r="C2497" s="924" t="s">
        <v>1187</v>
      </c>
      <c r="D2497" s="924" t="s">
        <v>1163</v>
      </c>
      <c r="E2497" s="924" t="s">
        <v>856</v>
      </c>
      <c r="F2497" s="924" t="s">
        <v>1065</v>
      </c>
      <c r="G2497" s="924" t="s">
        <v>981</v>
      </c>
      <c r="H2497" s="924" t="s">
        <v>835</v>
      </c>
      <c r="I2497" s="924" t="s">
        <v>1040</v>
      </c>
      <c r="J2497" s="924" t="s">
        <v>859</v>
      </c>
      <c r="K2497" s="924" t="s">
        <v>926</v>
      </c>
      <c r="L2497" s="925">
        <v>61.294819235801697</v>
      </c>
      <c r="M2497" s="925">
        <v>4.0799794427584898E-2</v>
      </c>
    </row>
    <row r="2498" spans="1:13" ht="11.25" customHeight="1" x14ac:dyDescent="0.2">
      <c r="A2498" s="924" t="s">
        <v>853</v>
      </c>
      <c r="B2498" s="924" t="s">
        <v>799</v>
      </c>
      <c r="C2498" s="924" t="s">
        <v>1187</v>
      </c>
      <c r="D2498" s="924" t="s">
        <v>1163</v>
      </c>
      <c r="E2498" s="924" t="s">
        <v>856</v>
      </c>
      <c r="F2498" s="924" t="s">
        <v>1066</v>
      </c>
      <c r="G2498" s="924" t="s">
        <v>981</v>
      </c>
      <c r="H2498" s="924" t="s">
        <v>835</v>
      </c>
      <c r="I2498" s="924" t="s">
        <v>1040</v>
      </c>
      <c r="J2498" s="924" t="s">
        <v>859</v>
      </c>
      <c r="K2498" s="924" t="s">
        <v>928</v>
      </c>
      <c r="L2498" s="925">
        <v>41.607098877429998</v>
      </c>
      <c r="M2498" s="925">
        <v>2.1080659216750099E-2</v>
      </c>
    </row>
    <row r="2499" spans="1:13" ht="11.25" customHeight="1" x14ac:dyDescent="0.2">
      <c r="A2499" s="924" t="s">
        <v>853</v>
      </c>
      <c r="B2499" s="924" t="s">
        <v>799</v>
      </c>
      <c r="C2499" s="924" t="s">
        <v>1187</v>
      </c>
      <c r="D2499" s="924" t="s">
        <v>1163</v>
      </c>
      <c r="E2499" s="924" t="s">
        <v>856</v>
      </c>
      <c r="F2499" s="924" t="s">
        <v>1068</v>
      </c>
      <c r="G2499" s="924" t="s">
        <v>981</v>
      </c>
      <c r="H2499" s="924" t="s">
        <v>835</v>
      </c>
      <c r="I2499" s="924" t="s">
        <v>1040</v>
      </c>
      <c r="J2499" s="924" t="s">
        <v>859</v>
      </c>
      <c r="K2499" s="924" t="s">
        <v>897</v>
      </c>
      <c r="L2499" s="925">
        <v>101.570726633072</v>
      </c>
      <c r="M2499" s="925">
        <v>6.79635505880469E-2</v>
      </c>
    </row>
    <row r="2500" spans="1:13" ht="11.25" customHeight="1" x14ac:dyDescent="0.2">
      <c r="A2500" s="924" t="s">
        <v>853</v>
      </c>
      <c r="B2500" s="924" t="s">
        <v>799</v>
      </c>
      <c r="C2500" s="924" t="s">
        <v>1187</v>
      </c>
      <c r="D2500" s="924" t="s">
        <v>1163</v>
      </c>
      <c r="E2500" s="924" t="s">
        <v>856</v>
      </c>
      <c r="F2500" s="924" t="s">
        <v>1083</v>
      </c>
      <c r="G2500" s="924" t="s">
        <v>981</v>
      </c>
      <c r="H2500" s="924" t="s">
        <v>835</v>
      </c>
      <c r="I2500" s="924" t="s">
        <v>998</v>
      </c>
      <c r="J2500" s="924" t="s">
        <v>940</v>
      </c>
      <c r="K2500" s="924" t="s">
        <v>1084</v>
      </c>
      <c r="L2500" s="925">
        <v>7.7089935913682002</v>
      </c>
      <c r="M2500" s="925">
        <v>1.40838101942791E-2</v>
      </c>
    </row>
    <row r="2501" spans="1:13" ht="11.25" customHeight="1" x14ac:dyDescent="0.2">
      <c r="A2501" s="924" t="s">
        <v>853</v>
      </c>
      <c r="B2501" s="924" t="s">
        <v>799</v>
      </c>
      <c r="C2501" s="924" t="s">
        <v>1187</v>
      </c>
      <c r="D2501" s="924" t="s">
        <v>1163</v>
      </c>
      <c r="E2501" s="924" t="s">
        <v>856</v>
      </c>
      <c r="F2501" s="924" t="s">
        <v>1037</v>
      </c>
      <c r="G2501" s="924" t="s">
        <v>858</v>
      </c>
      <c r="H2501" s="924" t="s">
        <v>836</v>
      </c>
      <c r="I2501" s="924" t="s">
        <v>837</v>
      </c>
      <c r="J2501" s="924" t="s">
        <v>859</v>
      </c>
      <c r="K2501" s="924" t="s">
        <v>918</v>
      </c>
      <c r="L2501" s="925">
        <v>1172.4790716171301</v>
      </c>
      <c r="M2501" s="925">
        <v>1.13470609246633E-2</v>
      </c>
    </row>
    <row r="2502" spans="1:13" ht="11.25" customHeight="1" x14ac:dyDescent="0.2">
      <c r="A2502" s="924" t="s">
        <v>853</v>
      </c>
      <c r="B2502" s="924" t="s">
        <v>799</v>
      </c>
      <c r="C2502" s="924" t="s">
        <v>1187</v>
      </c>
      <c r="D2502" s="924" t="s">
        <v>1163</v>
      </c>
      <c r="E2502" s="924" t="s">
        <v>856</v>
      </c>
      <c r="F2502" s="924" t="s">
        <v>997</v>
      </c>
      <c r="G2502" s="924" t="s">
        <v>981</v>
      </c>
      <c r="H2502" s="924" t="s">
        <v>835</v>
      </c>
      <c r="I2502" s="924" t="s">
        <v>998</v>
      </c>
      <c r="J2502" s="924" t="s">
        <v>884</v>
      </c>
      <c r="K2502" s="924" t="s">
        <v>999</v>
      </c>
      <c r="L2502" s="925">
        <v>314.81600046157803</v>
      </c>
      <c r="M2502" s="925">
        <v>1.00290030427277</v>
      </c>
    </row>
    <row r="2503" spans="1:13" ht="11.25" customHeight="1" x14ac:dyDescent="0.2">
      <c r="A2503" s="924" t="s">
        <v>853</v>
      </c>
      <c r="B2503" s="924" t="s">
        <v>799</v>
      </c>
      <c r="C2503" s="924" t="s">
        <v>1187</v>
      </c>
      <c r="D2503" s="924" t="s">
        <v>1163</v>
      </c>
      <c r="E2503" s="924" t="s">
        <v>856</v>
      </c>
      <c r="F2503" s="924" t="s">
        <v>1073</v>
      </c>
      <c r="G2503" s="924" t="s">
        <v>981</v>
      </c>
      <c r="H2503" s="924" t="s">
        <v>835</v>
      </c>
      <c r="I2503" s="924" t="s">
        <v>998</v>
      </c>
      <c r="J2503" s="924" t="s">
        <v>884</v>
      </c>
      <c r="K2503" s="924" t="s">
        <v>1046</v>
      </c>
      <c r="L2503" s="925">
        <v>142.646837711334</v>
      </c>
      <c r="M2503" s="925">
        <v>0.24084980506449899</v>
      </c>
    </row>
    <row r="2504" spans="1:13" ht="11.25" customHeight="1" x14ac:dyDescent="0.2">
      <c r="A2504" s="924" t="s">
        <v>853</v>
      </c>
      <c r="B2504" s="924" t="s">
        <v>799</v>
      </c>
      <c r="C2504" s="924" t="s">
        <v>1187</v>
      </c>
      <c r="D2504" s="924" t="s">
        <v>1163</v>
      </c>
      <c r="E2504" s="924" t="s">
        <v>856</v>
      </c>
      <c r="F2504" s="924" t="s">
        <v>1085</v>
      </c>
      <c r="G2504" s="924" t="s">
        <v>981</v>
      </c>
      <c r="H2504" s="924" t="s">
        <v>835</v>
      </c>
      <c r="I2504" s="924" t="s">
        <v>998</v>
      </c>
      <c r="J2504" s="924" t="s">
        <v>884</v>
      </c>
      <c r="K2504" s="924" t="s">
        <v>885</v>
      </c>
      <c r="L2504" s="925">
        <v>191.33121824264501</v>
      </c>
      <c r="M2504" s="925">
        <v>0.14053987339139001</v>
      </c>
    </row>
    <row r="2505" spans="1:13" ht="11.25" customHeight="1" x14ac:dyDescent="0.2">
      <c r="A2505" s="924" t="s">
        <v>853</v>
      </c>
      <c r="B2505" s="924" t="s">
        <v>799</v>
      </c>
      <c r="C2505" s="924" t="s">
        <v>1187</v>
      </c>
      <c r="D2505" s="924" t="s">
        <v>1163</v>
      </c>
      <c r="E2505" s="924" t="s">
        <v>856</v>
      </c>
      <c r="F2505" s="924" t="s">
        <v>1075</v>
      </c>
      <c r="G2505" s="924" t="s">
        <v>981</v>
      </c>
      <c r="H2505" s="924" t="s">
        <v>835</v>
      </c>
      <c r="I2505" s="924" t="s">
        <v>998</v>
      </c>
      <c r="J2505" s="924" t="s">
        <v>859</v>
      </c>
      <c r="K2505" s="924" t="s">
        <v>889</v>
      </c>
      <c r="L2505" s="925">
        <v>32.4729649722576</v>
      </c>
      <c r="M2505" s="925">
        <v>5.25560167152435E-2</v>
      </c>
    </row>
    <row r="2506" spans="1:13" ht="11.25" customHeight="1" x14ac:dyDescent="0.2">
      <c r="A2506" s="924" t="s">
        <v>853</v>
      </c>
      <c r="B2506" s="924" t="s">
        <v>799</v>
      </c>
      <c r="C2506" s="924" t="s">
        <v>1187</v>
      </c>
      <c r="D2506" s="924" t="s">
        <v>1163</v>
      </c>
      <c r="E2506" s="924" t="s">
        <v>856</v>
      </c>
      <c r="F2506" s="924" t="s">
        <v>1076</v>
      </c>
      <c r="G2506" s="924" t="s">
        <v>981</v>
      </c>
      <c r="H2506" s="924" t="s">
        <v>835</v>
      </c>
      <c r="I2506" s="924" t="s">
        <v>998</v>
      </c>
      <c r="J2506" s="924" t="s">
        <v>859</v>
      </c>
      <c r="K2506" s="924" t="s">
        <v>860</v>
      </c>
      <c r="L2506" s="925">
        <v>2.10515095666051</v>
      </c>
      <c r="M2506" s="925">
        <v>4.3492056647664902E-3</v>
      </c>
    </row>
    <row r="2507" spans="1:13" ht="11.25" customHeight="1" x14ac:dyDescent="0.2">
      <c r="A2507" s="924" t="s">
        <v>853</v>
      </c>
      <c r="B2507" s="924" t="s">
        <v>799</v>
      </c>
      <c r="C2507" s="924" t="s">
        <v>1187</v>
      </c>
      <c r="D2507" s="924" t="s">
        <v>1163</v>
      </c>
      <c r="E2507" s="924" t="s">
        <v>856</v>
      </c>
      <c r="F2507" s="924" t="s">
        <v>1077</v>
      </c>
      <c r="G2507" s="924" t="s">
        <v>981</v>
      </c>
      <c r="H2507" s="924" t="s">
        <v>835</v>
      </c>
      <c r="I2507" s="924" t="s">
        <v>998</v>
      </c>
      <c r="J2507" s="924" t="s">
        <v>859</v>
      </c>
      <c r="K2507" s="924" t="s">
        <v>897</v>
      </c>
      <c r="L2507" s="925">
        <v>2.5163365285843602</v>
      </c>
      <c r="M2507" s="925">
        <v>5.2695835329359397E-3</v>
      </c>
    </row>
    <row r="2508" spans="1:13" ht="11.25" customHeight="1" x14ac:dyDescent="0.2">
      <c r="A2508" s="924" t="s">
        <v>853</v>
      </c>
      <c r="B2508" s="924" t="s">
        <v>799</v>
      </c>
      <c r="C2508" s="924" t="s">
        <v>1187</v>
      </c>
      <c r="D2508" s="924" t="s">
        <v>1163</v>
      </c>
      <c r="E2508" s="924" t="s">
        <v>856</v>
      </c>
      <c r="F2508" s="924" t="s">
        <v>1078</v>
      </c>
      <c r="G2508" s="924" t="s">
        <v>981</v>
      </c>
      <c r="H2508" s="924" t="s">
        <v>835</v>
      </c>
      <c r="I2508" s="924" t="s">
        <v>998</v>
      </c>
      <c r="J2508" s="924" t="s">
        <v>859</v>
      </c>
      <c r="K2508" s="924" t="s">
        <v>901</v>
      </c>
      <c r="L2508" s="925">
        <v>1.7436335023376201E-2</v>
      </c>
      <c r="M2508" s="925">
        <v>3.8959835933383099E-5</v>
      </c>
    </row>
    <row r="2509" spans="1:13" ht="11.25" customHeight="1" x14ac:dyDescent="0.2">
      <c r="A2509" s="924" t="s">
        <v>853</v>
      </c>
      <c r="B2509" s="924" t="s">
        <v>799</v>
      </c>
      <c r="C2509" s="924" t="s">
        <v>1187</v>
      </c>
      <c r="D2509" s="924" t="s">
        <v>1163</v>
      </c>
      <c r="E2509" s="924" t="s">
        <v>856</v>
      </c>
      <c r="F2509" s="924" t="s">
        <v>1079</v>
      </c>
      <c r="G2509" s="924" t="s">
        <v>981</v>
      </c>
      <c r="H2509" s="924" t="s">
        <v>835</v>
      </c>
      <c r="I2509" s="924" t="s">
        <v>998</v>
      </c>
      <c r="J2509" s="924" t="s">
        <v>859</v>
      </c>
      <c r="K2509" s="924" t="s">
        <v>909</v>
      </c>
      <c r="L2509" s="925">
        <v>83.853289008140607</v>
      </c>
      <c r="M2509" s="925">
        <v>0.150171213899739</v>
      </c>
    </row>
    <row r="2510" spans="1:13" ht="11.25" customHeight="1" x14ac:dyDescent="0.2">
      <c r="A2510" s="924" t="s">
        <v>853</v>
      </c>
      <c r="B2510" s="924" t="s">
        <v>799</v>
      </c>
      <c r="C2510" s="924" t="s">
        <v>1187</v>
      </c>
      <c r="D2510" s="924" t="s">
        <v>1163</v>
      </c>
      <c r="E2510" s="924" t="s">
        <v>856</v>
      </c>
      <c r="F2510" s="924" t="s">
        <v>1080</v>
      </c>
      <c r="G2510" s="924" t="s">
        <v>981</v>
      </c>
      <c r="H2510" s="924" t="s">
        <v>835</v>
      </c>
      <c r="I2510" s="924" t="s">
        <v>998</v>
      </c>
      <c r="J2510" s="924" t="s">
        <v>859</v>
      </c>
      <c r="K2510" s="924" t="s">
        <v>920</v>
      </c>
      <c r="L2510" s="925">
        <v>0.49140789965167597</v>
      </c>
      <c r="M2510" s="925">
        <v>1.0980043653035E-3</v>
      </c>
    </row>
    <row r="2511" spans="1:13" ht="11.25" customHeight="1" x14ac:dyDescent="0.2">
      <c r="A2511" s="924" t="s">
        <v>853</v>
      </c>
      <c r="B2511" s="924" t="s">
        <v>799</v>
      </c>
      <c r="C2511" s="924" t="s">
        <v>1187</v>
      </c>
      <c r="D2511" s="924" t="s">
        <v>1163</v>
      </c>
      <c r="E2511" s="924" t="s">
        <v>856</v>
      </c>
      <c r="F2511" s="924" t="s">
        <v>1133</v>
      </c>
      <c r="G2511" s="924" t="s">
        <v>911</v>
      </c>
      <c r="H2511" s="924" t="s">
        <v>665</v>
      </c>
      <c r="I2511" s="924" t="s">
        <v>706</v>
      </c>
      <c r="J2511" s="924" t="s">
        <v>859</v>
      </c>
      <c r="K2511" s="924" t="s">
        <v>899</v>
      </c>
      <c r="L2511" s="925">
        <v>0.71576206013560295</v>
      </c>
      <c r="M2511" s="925">
        <v>7.1308727491725703E-5</v>
      </c>
    </row>
    <row r="2512" spans="1:13" ht="11.25" customHeight="1" x14ac:dyDescent="0.2">
      <c r="A2512" s="924" t="s">
        <v>853</v>
      </c>
      <c r="B2512" s="924" t="s">
        <v>799</v>
      </c>
      <c r="C2512" s="924" t="s">
        <v>1187</v>
      </c>
      <c r="D2512" s="924" t="s">
        <v>1163</v>
      </c>
      <c r="E2512" s="924" t="s">
        <v>856</v>
      </c>
      <c r="F2512" s="924" t="s">
        <v>1103</v>
      </c>
      <c r="G2512" s="924" t="s">
        <v>981</v>
      </c>
      <c r="H2512" s="924" t="s">
        <v>835</v>
      </c>
      <c r="I2512" s="924" t="s">
        <v>998</v>
      </c>
      <c r="J2512" s="924" t="s">
        <v>863</v>
      </c>
      <c r="K2512" s="924" t="s">
        <v>864</v>
      </c>
      <c r="L2512" s="925">
        <v>9.6844764193519894E-2</v>
      </c>
      <c r="M2512" s="925">
        <v>2.1639062379108501E-4</v>
      </c>
    </row>
    <row r="2513" spans="1:13" ht="11.25" customHeight="1" x14ac:dyDescent="0.2">
      <c r="A2513" s="924" t="s">
        <v>853</v>
      </c>
      <c r="B2513" s="924" t="s">
        <v>799</v>
      </c>
      <c r="C2513" s="924" t="s">
        <v>1187</v>
      </c>
      <c r="D2513" s="924" t="s">
        <v>1163</v>
      </c>
      <c r="E2513" s="924" t="s">
        <v>856</v>
      </c>
      <c r="F2513" s="924" t="s">
        <v>1102</v>
      </c>
      <c r="G2513" s="924" t="s">
        <v>981</v>
      </c>
      <c r="H2513" s="924" t="s">
        <v>835</v>
      </c>
      <c r="I2513" s="924" t="s">
        <v>998</v>
      </c>
      <c r="J2513" s="924" t="s">
        <v>875</v>
      </c>
      <c r="K2513" s="924" t="s">
        <v>876</v>
      </c>
      <c r="L2513" s="925">
        <v>10.3742469847202</v>
      </c>
      <c r="M2513" s="925">
        <v>2.09918292821385E-2</v>
      </c>
    </row>
    <row r="2514" spans="1:13" ht="11.25" customHeight="1" x14ac:dyDescent="0.2">
      <c r="A2514" s="924" t="s">
        <v>853</v>
      </c>
      <c r="B2514" s="924" t="s">
        <v>799</v>
      </c>
      <c r="C2514" s="924" t="s">
        <v>1187</v>
      </c>
      <c r="D2514" s="924" t="s">
        <v>1163</v>
      </c>
      <c r="E2514" s="924" t="s">
        <v>856</v>
      </c>
      <c r="F2514" s="924" t="s">
        <v>1069</v>
      </c>
      <c r="G2514" s="924" t="s">
        <v>981</v>
      </c>
      <c r="H2514" s="924" t="s">
        <v>835</v>
      </c>
      <c r="I2514" s="924" t="s">
        <v>998</v>
      </c>
      <c r="J2514" s="924" t="s">
        <v>940</v>
      </c>
      <c r="K2514" s="924" t="s">
        <v>1070</v>
      </c>
      <c r="L2514" s="925">
        <v>46.507152259349802</v>
      </c>
      <c r="M2514" s="925">
        <v>8.6349402234191103E-2</v>
      </c>
    </row>
    <row r="2515" spans="1:13" ht="11.25" customHeight="1" x14ac:dyDescent="0.2">
      <c r="A2515" s="924" t="s">
        <v>853</v>
      </c>
      <c r="B2515" s="924" t="s">
        <v>799</v>
      </c>
      <c r="C2515" s="924" t="s">
        <v>1187</v>
      </c>
      <c r="D2515" s="924" t="s">
        <v>1163</v>
      </c>
      <c r="E2515" s="924" t="s">
        <v>856</v>
      </c>
      <c r="F2515" s="924" t="s">
        <v>1086</v>
      </c>
      <c r="G2515" s="924" t="s">
        <v>981</v>
      </c>
      <c r="H2515" s="924" t="s">
        <v>835</v>
      </c>
      <c r="I2515" s="924" t="s">
        <v>998</v>
      </c>
      <c r="J2515" s="924" t="s">
        <v>940</v>
      </c>
      <c r="K2515" s="924" t="s">
        <v>1087</v>
      </c>
      <c r="L2515" s="925">
        <v>103.164368867874</v>
      </c>
      <c r="M2515" s="925">
        <v>0.19862584304064501</v>
      </c>
    </row>
    <row r="2516" spans="1:13" ht="11.25" customHeight="1" x14ac:dyDescent="0.2">
      <c r="A2516" s="924" t="s">
        <v>853</v>
      </c>
      <c r="B2516" s="924" t="s">
        <v>799</v>
      </c>
      <c r="C2516" s="924" t="s">
        <v>1187</v>
      </c>
      <c r="D2516" s="924" t="s">
        <v>1163</v>
      </c>
      <c r="E2516" s="924" t="s">
        <v>856</v>
      </c>
      <c r="F2516" s="924" t="s">
        <v>1088</v>
      </c>
      <c r="G2516" s="924" t="s">
        <v>981</v>
      </c>
      <c r="H2516" s="924" t="s">
        <v>835</v>
      </c>
      <c r="I2516" s="924" t="s">
        <v>998</v>
      </c>
      <c r="J2516" s="924" t="s">
        <v>940</v>
      </c>
      <c r="K2516" s="924" t="s">
        <v>1089</v>
      </c>
      <c r="L2516" s="925">
        <v>448.79591035842901</v>
      </c>
      <c r="M2516" s="925">
        <v>0.81986386515200105</v>
      </c>
    </row>
    <row r="2517" spans="1:13" ht="11.25" customHeight="1" x14ac:dyDescent="0.2">
      <c r="A2517" s="924" t="s">
        <v>853</v>
      </c>
      <c r="B2517" s="924" t="s">
        <v>799</v>
      </c>
      <c r="C2517" s="924" t="s">
        <v>1187</v>
      </c>
      <c r="D2517" s="924" t="s">
        <v>1163</v>
      </c>
      <c r="E2517" s="924" t="s">
        <v>856</v>
      </c>
      <c r="F2517" s="924" t="s">
        <v>1090</v>
      </c>
      <c r="G2517" s="924" t="s">
        <v>981</v>
      </c>
      <c r="H2517" s="924" t="s">
        <v>835</v>
      </c>
      <c r="I2517" s="924" t="s">
        <v>998</v>
      </c>
      <c r="J2517" s="924" t="s">
        <v>940</v>
      </c>
      <c r="K2517" s="924" t="s">
        <v>1091</v>
      </c>
      <c r="L2517" s="925">
        <v>142.949981331825</v>
      </c>
      <c r="M2517" s="925">
        <v>0.24345184140838699</v>
      </c>
    </row>
    <row r="2518" spans="1:13" ht="11.25" customHeight="1" x14ac:dyDescent="0.2">
      <c r="A2518" s="924" t="s">
        <v>853</v>
      </c>
      <c r="B2518" s="924" t="s">
        <v>799</v>
      </c>
      <c r="C2518" s="924" t="s">
        <v>1187</v>
      </c>
      <c r="D2518" s="924" t="s">
        <v>1163</v>
      </c>
      <c r="E2518" s="924" t="s">
        <v>856</v>
      </c>
      <c r="F2518" s="924" t="s">
        <v>1092</v>
      </c>
      <c r="G2518" s="924" t="s">
        <v>981</v>
      </c>
      <c r="H2518" s="924" t="s">
        <v>835</v>
      </c>
      <c r="I2518" s="924" t="s">
        <v>998</v>
      </c>
      <c r="J2518" s="924" t="s">
        <v>940</v>
      </c>
      <c r="K2518" s="924" t="s">
        <v>1093</v>
      </c>
      <c r="L2518" s="925">
        <v>391.28287398815201</v>
      </c>
      <c r="M2518" s="925">
        <v>0.77428650646470498</v>
      </c>
    </row>
    <row r="2519" spans="1:13" ht="11.25" customHeight="1" x14ac:dyDescent="0.2">
      <c r="A2519" s="924" t="s">
        <v>853</v>
      </c>
      <c r="B2519" s="924" t="s">
        <v>799</v>
      </c>
      <c r="C2519" s="924" t="s">
        <v>1187</v>
      </c>
      <c r="D2519" s="924" t="s">
        <v>1163</v>
      </c>
      <c r="E2519" s="924" t="s">
        <v>856</v>
      </c>
      <c r="F2519" s="924" t="s">
        <v>1094</v>
      </c>
      <c r="G2519" s="924" t="s">
        <v>981</v>
      </c>
      <c r="H2519" s="924" t="s">
        <v>835</v>
      </c>
      <c r="I2519" s="924" t="s">
        <v>998</v>
      </c>
      <c r="J2519" s="924" t="s">
        <v>940</v>
      </c>
      <c r="K2519" s="924" t="s">
        <v>1095</v>
      </c>
      <c r="L2519" s="925">
        <v>92.002196192741394</v>
      </c>
      <c r="M2519" s="925">
        <v>0.17159608250949501</v>
      </c>
    </row>
    <row r="2520" spans="1:13" ht="11.25" customHeight="1" x14ac:dyDescent="0.2">
      <c r="A2520" s="924" t="s">
        <v>853</v>
      </c>
      <c r="B2520" s="924" t="s">
        <v>799</v>
      </c>
      <c r="C2520" s="924" t="s">
        <v>1187</v>
      </c>
      <c r="D2520" s="924" t="s">
        <v>1163</v>
      </c>
      <c r="E2520" s="924" t="s">
        <v>856</v>
      </c>
      <c r="F2520" s="924" t="s">
        <v>1096</v>
      </c>
      <c r="G2520" s="924" t="s">
        <v>981</v>
      </c>
      <c r="H2520" s="924" t="s">
        <v>835</v>
      </c>
      <c r="I2520" s="924" t="s">
        <v>998</v>
      </c>
      <c r="J2520" s="924" t="s">
        <v>940</v>
      </c>
      <c r="K2520" s="924" t="s">
        <v>1023</v>
      </c>
      <c r="L2520" s="925">
        <v>365.364733695984</v>
      </c>
      <c r="M2520" s="925">
        <v>0.68335587927140296</v>
      </c>
    </row>
    <row r="2521" spans="1:13" ht="11.25" customHeight="1" x14ac:dyDescent="0.2">
      <c r="A2521" s="924" t="s">
        <v>853</v>
      </c>
      <c r="B2521" s="924" t="s">
        <v>799</v>
      </c>
      <c r="C2521" s="924" t="s">
        <v>1187</v>
      </c>
      <c r="D2521" s="924" t="s">
        <v>1163</v>
      </c>
      <c r="E2521" s="924" t="s">
        <v>856</v>
      </c>
      <c r="F2521" s="924" t="s">
        <v>1097</v>
      </c>
      <c r="G2521" s="924" t="s">
        <v>981</v>
      </c>
      <c r="H2521" s="924" t="s">
        <v>835</v>
      </c>
      <c r="I2521" s="924" t="s">
        <v>998</v>
      </c>
      <c r="J2521" s="924" t="s">
        <v>940</v>
      </c>
      <c r="K2521" s="924" t="s">
        <v>1098</v>
      </c>
      <c r="L2521" s="925">
        <v>46.028484344482401</v>
      </c>
      <c r="M2521" s="925">
        <v>0.31444249302148802</v>
      </c>
    </row>
    <row r="2522" spans="1:13" ht="11.25" customHeight="1" x14ac:dyDescent="0.2">
      <c r="A2522" s="924" t="s">
        <v>853</v>
      </c>
      <c r="B2522" s="924" t="s">
        <v>799</v>
      </c>
      <c r="C2522" s="924" t="s">
        <v>1187</v>
      </c>
      <c r="D2522" s="924" t="s">
        <v>1163</v>
      </c>
      <c r="E2522" s="924" t="s">
        <v>856</v>
      </c>
      <c r="F2522" s="924" t="s">
        <v>1099</v>
      </c>
      <c r="G2522" s="924" t="s">
        <v>981</v>
      </c>
      <c r="H2522" s="924" t="s">
        <v>835</v>
      </c>
      <c r="I2522" s="924" t="s">
        <v>998</v>
      </c>
      <c r="J2522" s="924" t="s">
        <v>940</v>
      </c>
      <c r="K2522" s="924" t="s">
        <v>1025</v>
      </c>
      <c r="L2522" s="925">
        <v>134.565868377686</v>
      </c>
      <c r="M2522" s="925">
        <v>0.91807995736599002</v>
      </c>
    </row>
    <row r="2523" spans="1:13" ht="11.25" customHeight="1" x14ac:dyDescent="0.2">
      <c r="A2523" s="924" t="s">
        <v>853</v>
      </c>
      <c r="B2523" s="924" t="s">
        <v>799</v>
      </c>
      <c r="C2523" s="924" t="s">
        <v>1187</v>
      </c>
      <c r="D2523" s="924" t="s">
        <v>1163</v>
      </c>
      <c r="E2523" s="924" t="s">
        <v>856</v>
      </c>
      <c r="F2523" s="924" t="s">
        <v>1100</v>
      </c>
      <c r="G2523" s="924" t="s">
        <v>981</v>
      </c>
      <c r="H2523" s="924" t="s">
        <v>835</v>
      </c>
      <c r="I2523" s="924" t="s">
        <v>998</v>
      </c>
      <c r="J2523" s="924" t="s">
        <v>940</v>
      </c>
      <c r="K2523" s="924" t="s">
        <v>1032</v>
      </c>
      <c r="L2523" s="925">
        <v>0.19496114441426499</v>
      </c>
      <c r="M2523" s="925">
        <v>3.9087733159703898E-4</v>
      </c>
    </row>
    <row r="2524" spans="1:13" ht="11.25" customHeight="1" x14ac:dyDescent="0.2">
      <c r="A2524" s="924" t="s">
        <v>853</v>
      </c>
      <c r="B2524" s="924" t="s">
        <v>799</v>
      </c>
      <c r="C2524" s="924" t="s">
        <v>1187</v>
      </c>
      <c r="D2524" s="924" t="s">
        <v>1163</v>
      </c>
      <c r="E2524" s="924" t="s">
        <v>856</v>
      </c>
      <c r="F2524" s="924" t="s">
        <v>1082</v>
      </c>
      <c r="G2524" s="924" t="s">
        <v>981</v>
      </c>
      <c r="H2524" s="924" t="s">
        <v>835</v>
      </c>
      <c r="I2524" s="924" t="s">
        <v>998</v>
      </c>
      <c r="J2524" s="924" t="s">
        <v>875</v>
      </c>
      <c r="K2524" s="924" t="s">
        <v>952</v>
      </c>
      <c r="L2524" s="925">
        <v>0.41880232468247403</v>
      </c>
      <c r="M2524" s="925">
        <v>9.3577648476639297E-4</v>
      </c>
    </row>
    <row r="2525" spans="1:13" ht="11.25" customHeight="1" x14ac:dyDescent="0.2">
      <c r="A2525" s="924" t="s">
        <v>853</v>
      </c>
      <c r="B2525" s="924" t="s">
        <v>799</v>
      </c>
      <c r="C2525" s="924" t="s">
        <v>1187</v>
      </c>
      <c r="D2525" s="924" t="s">
        <v>1163</v>
      </c>
      <c r="E2525" s="924" t="s">
        <v>856</v>
      </c>
      <c r="F2525" s="924" t="s">
        <v>1081</v>
      </c>
      <c r="G2525" s="924" t="s">
        <v>981</v>
      </c>
      <c r="H2525" s="924" t="s">
        <v>835</v>
      </c>
      <c r="I2525" s="924" t="s">
        <v>998</v>
      </c>
      <c r="J2525" s="924" t="s">
        <v>863</v>
      </c>
      <c r="K2525" s="924" t="s">
        <v>935</v>
      </c>
      <c r="L2525" s="925">
        <v>1.26559251174331</v>
      </c>
      <c r="M2525" s="925">
        <v>2.8278450954530901E-3</v>
      </c>
    </row>
    <row r="2526" spans="1:13" ht="11.25" customHeight="1" x14ac:dyDescent="0.2">
      <c r="A2526" s="924" t="s">
        <v>853</v>
      </c>
      <c r="B2526" s="924" t="s">
        <v>799</v>
      </c>
      <c r="C2526" s="924" t="s">
        <v>1187</v>
      </c>
      <c r="D2526" s="924" t="s">
        <v>1163</v>
      </c>
      <c r="E2526" s="924" t="s">
        <v>856</v>
      </c>
      <c r="F2526" s="924" t="s">
        <v>1120</v>
      </c>
      <c r="G2526" s="924" t="s">
        <v>981</v>
      </c>
      <c r="H2526" s="924" t="s">
        <v>835</v>
      </c>
      <c r="I2526" s="924" t="s">
        <v>1040</v>
      </c>
      <c r="J2526" s="924" t="s">
        <v>875</v>
      </c>
      <c r="K2526" s="924" t="s">
        <v>880</v>
      </c>
      <c r="L2526" s="925">
        <v>281.90560746192898</v>
      </c>
      <c r="M2526" s="925">
        <v>0.163945488508489</v>
      </c>
    </row>
    <row r="2527" spans="1:13" ht="11.25" customHeight="1" x14ac:dyDescent="0.2">
      <c r="A2527" s="924" t="s">
        <v>853</v>
      </c>
      <c r="B2527" s="924" t="s">
        <v>799</v>
      </c>
      <c r="C2527" s="924" t="s">
        <v>1187</v>
      </c>
      <c r="D2527" s="924" t="s">
        <v>1163</v>
      </c>
      <c r="E2527" s="924" t="s">
        <v>856</v>
      </c>
      <c r="F2527" s="924" t="s">
        <v>1107</v>
      </c>
      <c r="G2527" s="924" t="s">
        <v>981</v>
      </c>
      <c r="H2527" s="924" t="s">
        <v>835</v>
      </c>
      <c r="I2527" s="924" t="s">
        <v>1040</v>
      </c>
      <c r="J2527" s="924" t="s">
        <v>940</v>
      </c>
      <c r="K2527" s="924" t="s">
        <v>1034</v>
      </c>
      <c r="L2527" s="925">
        <v>195.97456383705099</v>
      </c>
      <c r="M2527" s="925">
        <v>0.14256594706301901</v>
      </c>
    </row>
    <row r="2528" spans="1:13" ht="11.25" customHeight="1" x14ac:dyDescent="0.2">
      <c r="A2528" s="924" t="s">
        <v>853</v>
      </c>
      <c r="B2528" s="924" t="s">
        <v>799</v>
      </c>
      <c r="C2528" s="924" t="s">
        <v>1187</v>
      </c>
      <c r="D2528" s="924" t="s">
        <v>1163</v>
      </c>
      <c r="E2528" s="924" t="s">
        <v>856</v>
      </c>
      <c r="F2528" s="924" t="s">
        <v>1108</v>
      </c>
      <c r="G2528" s="924" t="s">
        <v>981</v>
      </c>
      <c r="H2528" s="924" t="s">
        <v>835</v>
      </c>
      <c r="I2528" s="924" t="s">
        <v>1040</v>
      </c>
      <c r="J2528" s="924" t="s">
        <v>870</v>
      </c>
      <c r="K2528" s="924" t="s">
        <v>1036</v>
      </c>
      <c r="L2528" s="925">
        <v>0.78604989522136703</v>
      </c>
      <c r="M2528" s="925">
        <v>5.3231780213991399E-4</v>
      </c>
    </row>
    <row r="2529" spans="1:13" ht="11.25" customHeight="1" x14ac:dyDescent="0.2">
      <c r="A2529" s="924" t="s">
        <v>853</v>
      </c>
      <c r="B2529" s="924" t="s">
        <v>799</v>
      </c>
      <c r="C2529" s="924" t="s">
        <v>1187</v>
      </c>
      <c r="D2529" s="924" t="s">
        <v>1163</v>
      </c>
      <c r="E2529" s="924" t="s">
        <v>856</v>
      </c>
      <c r="F2529" s="924" t="s">
        <v>1109</v>
      </c>
      <c r="G2529" s="924" t="s">
        <v>981</v>
      </c>
      <c r="H2529" s="924" t="s">
        <v>835</v>
      </c>
      <c r="I2529" s="924" t="s">
        <v>1040</v>
      </c>
      <c r="J2529" s="924" t="s">
        <v>870</v>
      </c>
      <c r="K2529" s="924" t="s">
        <v>976</v>
      </c>
      <c r="L2529" s="925">
        <v>3.0331540564075099</v>
      </c>
      <c r="M2529" s="925">
        <v>6.2126304962806201E-4</v>
      </c>
    </row>
    <row r="2530" spans="1:13" ht="11.25" customHeight="1" x14ac:dyDescent="0.2">
      <c r="A2530" s="924" t="s">
        <v>853</v>
      </c>
      <c r="B2530" s="924" t="s">
        <v>799</v>
      </c>
      <c r="C2530" s="924" t="s">
        <v>1187</v>
      </c>
      <c r="D2530" s="924" t="s">
        <v>1163</v>
      </c>
      <c r="E2530" s="924" t="s">
        <v>856</v>
      </c>
      <c r="F2530" s="924" t="s">
        <v>1110</v>
      </c>
      <c r="G2530" s="924" t="s">
        <v>981</v>
      </c>
      <c r="H2530" s="924" t="s">
        <v>835</v>
      </c>
      <c r="I2530" s="924" t="s">
        <v>1040</v>
      </c>
      <c r="J2530" s="924" t="s">
        <v>870</v>
      </c>
      <c r="K2530" s="924" t="s">
        <v>1019</v>
      </c>
      <c r="L2530" s="925">
        <v>2.34235373573028E-2</v>
      </c>
      <c r="M2530" s="925">
        <v>1.9637032592001399E-5</v>
      </c>
    </row>
    <row r="2531" spans="1:13" ht="11.25" customHeight="1" x14ac:dyDescent="0.2">
      <c r="A2531" s="924" t="s">
        <v>853</v>
      </c>
      <c r="B2531" s="924" t="s">
        <v>799</v>
      </c>
      <c r="C2531" s="924" t="s">
        <v>1187</v>
      </c>
      <c r="D2531" s="924" t="s">
        <v>1163</v>
      </c>
      <c r="E2531" s="924" t="s">
        <v>856</v>
      </c>
      <c r="F2531" s="924" t="s">
        <v>1111</v>
      </c>
      <c r="G2531" s="924" t="s">
        <v>981</v>
      </c>
      <c r="H2531" s="924" t="s">
        <v>835</v>
      </c>
      <c r="I2531" s="924" t="s">
        <v>1040</v>
      </c>
      <c r="J2531" s="924" t="s">
        <v>870</v>
      </c>
      <c r="K2531" s="924" t="s">
        <v>1016</v>
      </c>
      <c r="L2531" s="925">
        <v>2.0970463976264</v>
      </c>
      <c r="M2531" s="925">
        <v>1.7637580831433299E-3</v>
      </c>
    </row>
    <row r="2532" spans="1:13" ht="11.25" customHeight="1" x14ac:dyDescent="0.2">
      <c r="A2532" s="924" t="s">
        <v>853</v>
      </c>
      <c r="B2532" s="924" t="s">
        <v>799</v>
      </c>
      <c r="C2532" s="924" t="s">
        <v>1187</v>
      </c>
      <c r="D2532" s="924" t="s">
        <v>1163</v>
      </c>
      <c r="E2532" s="924" t="s">
        <v>856</v>
      </c>
      <c r="F2532" s="924" t="s">
        <v>1112</v>
      </c>
      <c r="G2532" s="924" t="s">
        <v>981</v>
      </c>
      <c r="H2532" s="924" t="s">
        <v>835</v>
      </c>
      <c r="I2532" s="924" t="s">
        <v>1040</v>
      </c>
      <c r="J2532" s="924" t="s">
        <v>870</v>
      </c>
      <c r="K2532" s="924" t="s">
        <v>959</v>
      </c>
      <c r="L2532" s="925">
        <v>0.64607873908244096</v>
      </c>
      <c r="M2532" s="925">
        <v>4.2627953939700103E-4</v>
      </c>
    </row>
    <row r="2533" spans="1:13" ht="11.25" customHeight="1" x14ac:dyDescent="0.2">
      <c r="A2533" s="924" t="s">
        <v>853</v>
      </c>
      <c r="B2533" s="924" t="s">
        <v>799</v>
      </c>
      <c r="C2533" s="924" t="s">
        <v>1187</v>
      </c>
      <c r="D2533" s="924" t="s">
        <v>1163</v>
      </c>
      <c r="E2533" s="924" t="s">
        <v>856</v>
      </c>
      <c r="F2533" s="924" t="s">
        <v>1113</v>
      </c>
      <c r="G2533" s="924" t="s">
        <v>981</v>
      </c>
      <c r="H2533" s="924" t="s">
        <v>835</v>
      </c>
      <c r="I2533" s="924" t="s">
        <v>1040</v>
      </c>
      <c r="J2533" s="924" t="s">
        <v>870</v>
      </c>
      <c r="K2533" s="924" t="s">
        <v>961</v>
      </c>
      <c r="L2533" s="925">
        <v>7.0601569879800099</v>
      </c>
      <c r="M2533" s="925">
        <v>5.3511765900111597E-3</v>
      </c>
    </row>
    <row r="2534" spans="1:13" ht="11.25" customHeight="1" x14ac:dyDescent="0.2">
      <c r="A2534" s="924" t="s">
        <v>853</v>
      </c>
      <c r="B2534" s="924" t="s">
        <v>799</v>
      </c>
      <c r="C2534" s="924" t="s">
        <v>1187</v>
      </c>
      <c r="D2534" s="924" t="s">
        <v>1163</v>
      </c>
      <c r="E2534" s="924" t="s">
        <v>856</v>
      </c>
      <c r="F2534" s="924" t="s">
        <v>1114</v>
      </c>
      <c r="G2534" s="924" t="s">
        <v>981</v>
      </c>
      <c r="H2534" s="924" t="s">
        <v>835</v>
      </c>
      <c r="I2534" s="924" t="s">
        <v>1040</v>
      </c>
      <c r="J2534" s="924" t="s">
        <v>870</v>
      </c>
      <c r="K2534" s="924" t="s">
        <v>963</v>
      </c>
      <c r="L2534" s="925">
        <v>15.397326599806499</v>
      </c>
      <c r="M2534" s="925">
        <v>2.55997405620292E-2</v>
      </c>
    </row>
    <row r="2535" spans="1:13" ht="11.25" customHeight="1" x14ac:dyDescent="0.2">
      <c r="A2535" s="924" t="s">
        <v>853</v>
      </c>
      <c r="B2535" s="924" t="s">
        <v>799</v>
      </c>
      <c r="C2535" s="924" t="s">
        <v>1187</v>
      </c>
      <c r="D2535" s="924" t="s">
        <v>1163</v>
      </c>
      <c r="E2535" s="924" t="s">
        <v>856</v>
      </c>
      <c r="F2535" s="924" t="s">
        <v>1115</v>
      </c>
      <c r="G2535" s="924" t="s">
        <v>981</v>
      </c>
      <c r="H2535" s="924" t="s">
        <v>835</v>
      </c>
      <c r="I2535" s="924" t="s">
        <v>1040</v>
      </c>
      <c r="J2535" s="924" t="s">
        <v>870</v>
      </c>
      <c r="K2535" s="924" t="s">
        <v>965</v>
      </c>
      <c r="L2535" s="925">
        <v>3.3210764154791801</v>
      </c>
      <c r="M2535" s="925">
        <v>2.7932496884659499E-3</v>
      </c>
    </row>
    <row r="2536" spans="1:13" ht="11.25" customHeight="1" x14ac:dyDescent="0.2">
      <c r="A2536" s="924" t="s">
        <v>853</v>
      </c>
      <c r="B2536" s="924" t="s">
        <v>799</v>
      </c>
      <c r="C2536" s="924" t="s">
        <v>1187</v>
      </c>
      <c r="D2536" s="924" t="s">
        <v>1163</v>
      </c>
      <c r="E2536" s="924" t="s">
        <v>856</v>
      </c>
      <c r="F2536" s="924" t="s">
        <v>1118</v>
      </c>
      <c r="G2536" s="924" t="s">
        <v>911</v>
      </c>
      <c r="H2536" s="924" t="s">
        <v>665</v>
      </c>
      <c r="I2536" s="924" t="s">
        <v>706</v>
      </c>
      <c r="J2536" s="924" t="s">
        <v>859</v>
      </c>
      <c r="K2536" s="924" t="s">
        <v>893</v>
      </c>
      <c r="L2536" s="925">
        <v>7.0554733276367196</v>
      </c>
      <c r="M2536" s="925">
        <v>3.4135306214011502E-4</v>
      </c>
    </row>
    <row r="2537" spans="1:13" ht="11.25" customHeight="1" x14ac:dyDescent="0.2">
      <c r="A2537" s="924" t="s">
        <v>853</v>
      </c>
      <c r="B2537" s="924" t="s">
        <v>799</v>
      </c>
      <c r="C2537" s="924" t="s">
        <v>1187</v>
      </c>
      <c r="D2537" s="924" t="s">
        <v>1163</v>
      </c>
      <c r="E2537" s="924" t="s">
        <v>856</v>
      </c>
      <c r="F2537" s="924" t="s">
        <v>1105</v>
      </c>
      <c r="G2537" s="924" t="s">
        <v>981</v>
      </c>
      <c r="H2537" s="924" t="s">
        <v>835</v>
      </c>
      <c r="I2537" s="924" t="s">
        <v>1040</v>
      </c>
      <c r="J2537" s="924" t="s">
        <v>940</v>
      </c>
      <c r="K2537" s="924" t="s">
        <v>1106</v>
      </c>
      <c r="L2537" s="925">
        <v>125.893560051918</v>
      </c>
      <c r="M2537" s="925">
        <v>9.2307862831290804E-2</v>
      </c>
    </row>
    <row r="2538" spans="1:13" ht="11.25" customHeight="1" x14ac:dyDescent="0.2">
      <c r="A2538" s="924" t="s">
        <v>853</v>
      </c>
      <c r="B2538" s="924" t="s">
        <v>799</v>
      </c>
      <c r="C2538" s="924" t="s">
        <v>1187</v>
      </c>
      <c r="D2538" s="924" t="s">
        <v>1163</v>
      </c>
      <c r="E2538" s="924" t="s">
        <v>856</v>
      </c>
      <c r="F2538" s="924" t="s">
        <v>1119</v>
      </c>
      <c r="G2538" s="924" t="s">
        <v>981</v>
      </c>
      <c r="H2538" s="924" t="s">
        <v>835</v>
      </c>
      <c r="I2538" s="924" t="s">
        <v>1040</v>
      </c>
      <c r="J2538" s="924" t="s">
        <v>875</v>
      </c>
      <c r="K2538" s="924" t="s">
        <v>878</v>
      </c>
      <c r="L2538" s="925">
        <v>533.02405595779396</v>
      </c>
      <c r="M2538" s="925">
        <v>0.35542225766039298</v>
      </c>
    </row>
    <row r="2539" spans="1:13" ht="11.25" customHeight="1" x14ac:dyDescent="0.2">
      <c r="A2539" s="924" t="s">
        <v>853</v>
      </c>
      <c r="B2539" s="924" t="s">
        <v>799</v>
      </c>
      <c r="C2539" s="924" t="s">
        <v>1187</v>
      </c>
      <c r="D2539" s="924" t="s">
        <v>1163</v>
      </c>
      <c r="E2539" s="924" t="s">
        <v>856</v>
      </c>
      <c r="F2539" s="924" t="s">
        <v>1130</v>
      </c>
      <c r="G2539" s="924" t="s">
        <v>981</v>
      </c>
      <c r="H2539" s="924" t="s">
        <v>835</v>
      </c>
      <c r="I2539" s="924" t="s">
        <v>1040</v>
      </c>
      <c r="J2539" s="924" t="s">
        <v>870</v>
      </c>
      <c r="K2539" s="924" t="s">
        <v>871</v>
      </c>
      <c r="L2539" s="925">
        <v>4.7856841981410998</v>
      </c>
      <c r="M2539" s="925">
        <v>3.8133440448291402E-3</v>
      </c>
    </row>
    <row r="2540" spans="1:13" ht="11.25" customHeight="1" x14ac:dyDescent="0.2">
      <c r="A2540" s="924" t="s">
        <v>853</v>
      </c>
      <c r="B2540" s="924" t="s">
        <v>799</v>
      </c>
      <c r="C2540" s="924" t="s">
        <v>1187</v>
      </c>
      <c r="D2540" s="924" t="s">
        <v>1163</v>
      </c>
      <c r="E2540" s="924" t="s">
        <v>856</v>
      </c>
      <c r="F2540" s="924" t="s">
        <v>1121</v>
      </c>
      <c r="G2540" s="924" t="s">
        <v>981</v>
      </c>
      <c r="H2540" s="924" t="s">
        <v>835</v>
      </c>
      <c r="I2540" s="924" t="s">
        <v>1040</v>
      </c>
      <c r="J2540" s="924" t="s">
        <v>875</v>
      </c>
      <c r="K2540" s="924" t="s">
        <v>948</v>
      </c>
      <c r="L2540" s="925">
        <v>606.59407329559303</v>
      </c>
      <c r="M2540" s="925">
        <v>0.380098916389215</v>
      </c>
    </row>
    <row r="2541" spans="1:13" ht="11.25" customHeight="1" x14ac:dyDescent="0.2">
      <c r="A2541" s="924" t="s">
        <v>853</v>
      </c>
      <c r="B2541" s="924" t="s">
        <v>799</v>
      </c>
      <c r="C2541" s="924" t="s">
        <v>1187</v>
      </c>
      <c r="D2541" s="924" t="s">
        <v>1163</v>
      </c>
      <c r="E2541" s="924" t="s">
        <v>856</v>
      </c>
      <c r="F2541" s="924" t="s">
        <v>1122</v>
      </c>
      <c r="G2541" s="924" t="s">
        <v>981</v>
      </c>
      <c r="H2541" s="924" t="s">
        <v>835</v>
      </c>
      <c r="I2541" s="924" t="s">
        <v>1040</v>
      </c>
      <c r="J2541" s="924" t="s">
        <v>875</v>
      </c>
      <c r="K2541" s="924" t="s">
        <v>950</v>
      </c>
      <c r="L2541" s="925">
        <v>959.44303131103504</v>
      </c>
      <c r="M2541" s="925">
        <v>0.666560633268375</v>
      </c>
    </row>
    <row r="2542" spans="1:13" ht="11.25" customHeight="1" x14ac:dyDescent="0.2">
      <c r="A2542" s="924" t="s">
        <v>853</v>
      </c>
      <c r="B2542" s="924" t="s">
        <v>799</v>
      </c>
      <c r="C2542" s="924" t="s">
        <v>1187</v>
      </c>
      <c r="D2542" s="924" t="s">
        <v>1163</v>
      </c>
      <c r="E2542" s="924" t="s">
        <v>856</v>
      </c>
      <c r="F2542" s="924" t="s">
        <v>1123</v>
      </c>
      <c r="G2542" s="924" t="s">
        <v>981</v>
      </c>
      <c r="H2542" s="924" t="s">
        <v>835</v>
      </c>
      <c r="I2542" s="924" t="s">
        <v>1040</v>
      </c>
      <c r="J2542" s="924" t="s">
        <v>875</v>
      </c>
      <c r="K2542" s="924" t="s">
        <v>952</v>
      </c>
      <c r="L2542" s="925">
        <v>45.007782399654403</v>
      </c>
      <c r="M2542" s="925">
        <v>3.1362876848540097E-2</v>
      </c>
    </row>
    <row r="2543" spans="1:13" ht="11.25" customHeight="1" x14ac:dyDescent="0.2">
      <c r="A2543" s="924" t="s">
        <v>853</v>
      </c>
      <c r="B2543" s="924" t="s">
        <v>799</v>
      </c>
      <c r="C2543" s="924" t="s">
        <v>1187</v>
      </c>
      <c r="D2543" s="924" t="s">
        <v>1163</v>
      </c>
      <c r="E2543" s="924" t="s">
        <v>856</v>
      </c>
      <c r="F2543" s="924" t="s">
        <v>1124</v>
      </c>
      <c r="G2543" s="924" t="s">
        <v>981</v>
      </c>
      <c r="H2543" s="924" t="s">
        <v>835</v>
      </c>
      <c r="I2543" s="924" t="s">
        <v>1040</v>
      </c>
      <c r="J2543" s="924" t="s">
        <v>956</v>
      </c>
      <c r="K2543" s="924" t="s">
        <v>1125</v>
      </c>
      <c r="L2543" s="925">
        <v>13.5099958926439</v>
      </c>
      <c r="M2543" s="925">
        <v>1.08308625053155E-2</v>
      </c>
    </row>
    <row r="2544" spans="1:13" ht="11.25" customHeight="1" x14ac:dyDescent="0.2">
      <c r="A2544" s="924" t="s">
        <v>853</v>
      </c>
      <c r="B2544" s="924" t="s">
        <v>799</v>
      </c>
      <c r="C2544" s="924" t="s">
        <v>1187</v>
      </c>
      <c r="D2544" s="924" t="s">
        <v>1163</v>
      </c>
      <c r="E2544" s="924" t="s">
        <v>856</v>
      </c>
      <c r="F2544" s="924" t="s">
        <v>1126</v>
      </c>
      <c r="G2544" s="924" t="s">
        <v>981</v>
      </c>
      <c r="H2544" s="924" t="s">
        <v>835</v>
      </c>
      <c r="I2544" s="924" t="s">
        <v>1040</v>
      </c>
      <c r="J2544" s="924" t="s">
        <v>956</v>
      </c>
      <c r="K2544" s="924" t="s">
        <v>957</v>
      </c>
      <c r="L2544" s="925">
        <v>0.15565980249084499</v>
      </c>
      <c r="M2544" s="925">
        <v>1.2237178714258299E-4</v>
      </c>
    </row>
    <row r="2545" spans="1:13" ht="11.25" customHeight="1" x14ac:dyDescent="0.2">
      <c r="A2545" s="924" t="s">
        <v>853</v>
      </c>
      <c r="B2545" s="924" t="s">
        <v>799</v>
      </c>
      <c r="C2545" s="924" t="s">
        <v>1187</v>
      </c>
      <c r="D2545" s="924" t="s">
        <v>1163</v>
      </c>
      <c r="E2545" s="924" t="s">
        <v>856</v>
      </c>
      <c r="F2545" s="924" t="s">
        <v>1173</v>
      </c>
      <c r="G2545" s="924" t="s">
        <v>981</v>
      </c>
      <c r="H2545" s="924" t="s">
        <v>835</v>
      </c>
      <c r="I2545" s="924" t="s">
        <v>1040</v>
      </c>
      <c r="J2545" s="924" t="s">
        <v>863</v>
      </c>
      <c r="K2545" s="924" t="s">
        <v>1171</v>
      </c>
      <c r="L2545" s="925">
        <v>5.34687915444374</v>
      </c>
      <c r="M2545" s="925">
        <v>4.3347714090486997E-3</v>
      </c>
    </row>
    <row r="2546" spans="1:13" ht="11.25" customHeight="1" x14ac:dyDescent="0.2">
      <c r="A2546" s="924" t="s">
        <v>853</v>
      </c>
      <c r="B2546" s="924" t="s">
        <v>799</v>
      </c>
      <c r="C2546" s="924" t="s">
        <v>1187</v>
      </c>
      <c r="D2546" s="924" t="s">
        <v>1163</v>
      </c>
      <c r="E2546" s="924" t="s">
        <v>856</v>
      </c>
      <c r="F2546" s="924" t="s">
        <v>1127</v>
      </c>
      <c r="G2546" s="924" t="s">
        <v>911</v>
      </c>
      <c r="H2546" s="924" t="s">
        <v>665</v>
      </c>
      <c r="I2546" s="924" t="s">
        <v>706</v>
      </c>
      <c r="J2546" s="924" t="s">
        <v>884</v>
      </c>
      <c r="K2546" s="924" t="s">
        <v>885</v>
      </c>
      <c r="L2546" s="925">
        <v>12.2921890467405</v>
      </c>
      <c r="M2546" s="925">
        <v>5.3413846035255102E-3</v>
      </c>
    </row>
    <row r="2547" spans="1:13" ht="11.25" customHeight="1" x14ac:dyDescent="0.2">
      <c r="A2547" s="924" t="s">
        <v>853</v>
      </c>
      <c r="B2547" s="924" t="s">
        <v>799</v>
      </c>
      <c r="C2547" s="924" t="s">
        <v>1187</v>
      </c>
      <c r="D2547" s="924" t="s">
        <v>1163</v>
      </c>
      <c r="E2547" s="924" t="s">
        <v>856</v>
      </c>
      <c r="F2547" s="924" t="s">
        <v>1128</v>
      </c>
      <c r="G2547" s="924" t="s">
        <v>911</v>
      </c>
      <c r="H2547" s="924" t="s">
        <v>665</v>
      </c>
      <c r="I2547" s="924" t="s">
        <v>706</v>
      </c>
      <c r="J2547" s="924" t="s">
        <v>859</v>
      </c>
      <c r="K2547" s="924" t="s">
        <v>913</v>
      </c>
      <c r="L2547" s="925">
        <v>4.1608304828405398</v>
      </c>
      <c r="M2547" s="925">
        <v>4.5878566032797602E-4</v>
      </c>
    </row>
    <row r="2548" spans="1:13" ht="11.25" customHeight="1" x14ac:dyDescent="0.2">
      <c r="A2548" s="924" t="s">
        <v>853</v>
      </c>
      <c r="B2548" s="924" t="s">
        <v>799</v>
      </c>
      <c r="C2548" s="924" t="s">
        <v>1187</v>
      </c>
      <c r="D2548" s="924" t="s">
        <v>1163</v>
      </c>
      <c r="E2548" s="924" t="s">
        <v>856</v>
      </c>
      <c r="F2548" s="924" t="s">
        <v>1041</v>
      </c>
      <c r="G2548" s="924" t="s">
        <v>981</v>
      </c>
      <c r="H2548" s="924" t="s">
        <v>835</v>
      </c>
      <c r="I2548" s="924" t="s">
        <v>1040</v>
      </c>
      <c r="J2548" s="924" t="s">
        <v>859</v>
      </c>
      <c r="K2548" s="924" t="s">
        <v>891</v>
      </c>
      <c r="L2548" s="925">
        <v>9.5629550367593801</v>
      </c>
      <c r="M2548" s="925">
        <v>4.7979874207158E-3</v>
      </c>
    </row>
    <row r="2549" spans="1:13" ht="11.25" customHeight="1" x14ac:dyDescent="0.2">
      <c r="A2549" s="924" t="s">
        <v>853</v>
      </c>
      <c r="B2549" s="924" t="s">
        <v>799</v>
      </c>
      <c r="C2549" s="924" t="s">
        <v>1187</v>
      </c>
      <c r="D2549" s="924" t="s">
        <v>1163</v>
      </c>
      <c r="E2549" s="924" t="s">
        <v>856</v>
      </c>
      <c r="F2549" s="924" t="s">
        <v>1129</v>
      </c>
      <c r="G2549" s="924" t="s">
        <v>911</v>
      </c>
      <c r="H2549" s="924" t="s">
        <v>665</v>
      </c>
      <c r="I2549" s="924" t="s">
        <v>706</v>
      </c>
      <c r="J2549" s="924" t="s">
        <v>859</v>
      </c>
      <c r="K2549" s="924" t="s">
        <v>897</v>
      </c>
      <c r="L2549" s="925">
        <v>1.1490719746798299</v>
      </c>
      <c r="M2549" s="925">
        <v>4.1764763943774602E-4</v>
      </c>
    </row>
    <row r="2550" spans="1:13" ht="11.25" customHeight="1" x14ac:dyDescent="0.2">
      <c r="A2550" s="924" t="s">
        <v>853</v>
      </c>
      <c r="B2550" s="924" t="s">
        <v>799</v>
      </c>
      <c r="C2550" s="924" t="s">
        <v>1187</v>
      </c>
      <c r="D2550" s="924" t="s">
        <v>1163</v>
      </c>
      <c r="E2550" s="924" t="s">
        <v>856</v>
      </c>
      <c r="F2550" s="924" t="s">
        <v>1056</v>
      </c>
      <c r="G2550" s="924" t="s">
        <v>981</v>
      </c>
      <c r="H2550" s="924" t="s">
        <v>835</v>
      </c>
      <c r="I2550" s="924" t="s">
        <v>998</v>
      </c>
      <c r="J2550" s="924" t="s">
        <v>875</v>
      </c>
      <c r="K2550" s="924" t="s">
        <v>878</v>
      </c>
      <c r="L2550" s="925">
        <v>69.219307482242598</v>
      </c>
      <c r="M2550" s="925">
        <v>0.13349983619991701</v>
      </c>
    </row>
    <row r="2551" spans="1:13" ht="11.25" customHeight="1" x14ac:dyDescent="0.2">
      <c r="A2551" s="924" t="s">
        <v>853</v>
      </c>
      <c r="B2551" s="924" t="s">
        <v>799</v>
      </c>
      <c r="C2551" s="924" t="s">
        <v>1187</v>
      </c>
      <c r="D2551" s="924" t="s">
        <v>1163</v>
      </c>
      <c r="E2551" s="924" t="s">
        <v>856</v>
      </c>
      <c r="F2551" s="924" t="s">
        <v>1117</v>
      </c>
      <c r="G2551" s="924" t="s">
        <v>981</v>
      </c>
      <c r="H2551" s="924" t="s">
        <v>835</v>
      </c>
      <c r="I2551" s="924" t="s">
        <v>1040</v>
      </c>
      <c r="J2551" s="924" t="s">
        <v>870</v>
      </c>
      <c r="K2551" s="924" t="s">
        <v>873</v>
      </c>
      <c r="L2551" s="925">
        <v>5.27683593519032</v>
      </c>
      <c r="M2551" s="925">
        <v>5.29808049350322E-4</v>
      </c>
    </row>
    <row r="2552" spans="1:13" ht="11.25" customHeight="1" x14ac:dyDescent="0.2">
      <c r="A2552" s="924" t="s">
        <v>853</v>
      </c>
      <c r="B2552" s="924" t="s">
        <v>799</v>
      </c>
      <c r="C2552" s="924" t="s">
        <v>1187</v>
      </c>
      <c r="D2552" s="924" t="s">
        <v>1163</v>
      </c>
      <c r="E2552" s="924" t="s">
        <v>856</v>
      </c>
      <c r="F2552" s="924" t="s">
        <v>1135</v>
      </c>
      <c r="G2552" s="924" t="s">
        <v>981</v>
      </c>
      <c r="H2552" s="924" t="s">
        <v>835</v>
      </c>
      <c r="I2552" s="924" t="s">
        <v>1040</v>
      </c>
      <c r="J2552" s="924" t="s">
        <v>863</v>
      </c>
      <c r="K2552" s="924" t="s">
        <v>935</v>
      </c>
      <c r="L2552" s="925">
        <v>114.02180278301201</v>
      </c>
      <c r="M2552" s="925">
        <v>4.1209075541701203E-2</v>
      </c>
    </row>
    <row r="2553" spans="1:13" ht="11.25" customHeight="1" x14ac:dyDescent="0.2">
      <c r="A2553" s="924" t="s">
        <v>853</v>
      </c>
      <c r="B2553" s="924" t="s">
        <v>799</v>
      </c>
      <c r="C2553" s="924" t="s">
        <v>1187</v>
      </c>
      <c r="D2553" s="924" t="s">
        <v>1163</v>
      </c>
      <c r="E2553" s="924" t="s">
        <v>856</v>
      </c>
      <c r="F2553" s="924" t="s">
        <v>1104</v>
      </c>
      <c r="G2553" s="924" t="s">
        <v>981</v>
      </c>
      <c r="H2553" s="924" t="s">
        <v>835</v>
      </c>
      <c r="I2553" s="924" t="s">
        <v>1040</v>
      </c>
      <c r="J2553" s="924" t="s">
        <v>875</v>
      </c>
      <c r="K2553" s="924" t="s">
        <v>876</v>
      </c>
      <c r="L2553" s="925">
        <v>2134.29468727112</v>
      </c>
      <c r="M2553" s="925">
        <v>1.43878120742738</v>
      </c>
    </row>
    <row r="2554" spans="1:13" ht="11.25" customHeight="1" x14ac:dyDescent="0.2">
      <c r="A2554" s="924" t="s">
        <v>853</v>
      </c>
      <c r="B2554" s="924" t="s">
        <v>799</v>
      </c>
      <c r="C2554" s="924" t="s">
        <v>1187</v>
      </c>
      <c r="D2554" s="924" t="s">
        <v>1163</v>
      </c>
      <c r="E2554" s="924" t="s">
        <v>856</v>
      </c>
      <c r="F2554" s="924" t="s">
        <v>1134</v>
      </c>
      <c r="G2554" s="924" t="s">
        <v>981</v>
      </c>
      <c r="H2554" s="924" t="s">
        <v>835</v>
      </c>
      <c r="I2554" s="924" t="s">
        <v>1040</v>
      </c>
      <c r="J2554" s="924" t="s">
        <v>863</v>
      </c>
      <c r="K2554" s="924" t="s">
        <v>933</v>
      </c>
      <c r="L2554" s="925">
        <v>529.63067340850796</v>
      </c>
      <c r="M2554" s="925">
        <v>3.75666976324283E-2</v>
      </c>
    </row>
    <row r="2555" spans="1:13" ht="11.25" customHeight="1" x14ac:dyDescent="0.2">
      <c r="A2555" s="924" t="s">
        <v>853</v>
      </c>
      <c r="B2555" s="924" t="s">
        <v>799</v>
      </c>
      <c r="C2555" s="924" t="s">
        <v>1187</v>
      </c>
      <c r="D2555" s="924" t="s">
        <v>1163</v>
      </c>
      <c r="E2555" s="924" t="s">
        <v>856</v>
      </c>
      <c r="F2555" s="924" t="s">
        <v>1116</v>
      </c>
      <c r="G2555" s="924" t="s">
        <v>981</v>
      </c>
      <c r="H2555" s="924" t="s">
        <v>835</v>
      </c>
      <c r="I2555" s="924" t="s">
        <v>1040</v>
      </c>
      <c r="J2555" s="924" t="s">
        <v>940</v>
      </c>
      <c r="K2555" s="924" t="s">
        <v>1032</v>
      </c>
      <c r="L2555" s="925">
        <v>6375.3631172180203</v>
      </c>
      <c r="M2555" s="925">
        <v>4.0201885756105202</v>
      </c>
    </row>
    <row r="2556" spans="1:13" ht="11.25" customHeight="1" x14ac:dyDescent="0.2">
      <c r="A2556" s="924" t="s">
        <v>853</v>
      </c>
      <c r="B2556" s="924" t="s">
        <v>799</v>
      </c>
      <c r="C2556" s="924" t="s">
        <v>1187</v>
      </c>
      <c r="D2556" s="924" t="s">
        <v>1163</v>
      </c>
      <c r="E2556" s="924" t="s">
        <v>856</v>
      </c>
      <c r="F2556" s="924" t="s">
        <v>1136</v>
      </c>
      <c r="G2556" s="924" t="s">
        <v>981</v>
      </c>
      <c r="H2556" s="924" t="s">
        <v>835</v>
      </c>
      <c r="I2556" s="924" t="s">
        <v>1040</v>
      </c>
      <c r="J2556" s="924" t="s">
        <v>863</v>
      </c>
      <c r="K2556" s="924" t="s">
        <v>864</v>
      </c>
      <c r="L2556" s="925">
        <v>214.255387067795</v>
      </c>
      <c r="M2556" s="925">
        <v>0.16061156545765701</v>
      </c>
    </row>
    <row r="2557" spans="1:13" ht="11.25" customHeight="1" x14ac:dyDescent="0.2">
      <c r="A2557" s="924" t="s">
        <v>853</v>
      </c>
      <c r="B2557" s="924" t="s">
        <v>799</v>
      </c>
      <c r="C2557" s="924" t="s">
        <v>1187</v>
      </c>
      <c r="D2557" s="924" t="s">
        <v>1163</v>
      </c>
      <c r="E2557" s="924" t="s">
        <v>856</v>
      </c>
      <c r="F2557" s="924" t="s">
        <v>1148</v>
      </c>
      <c r="G2557" s="924" t="s">
        <v>981</v>
      </c>
      <c r="H2557" s="924" t="s">
        <v>835</v>
      </c>
      <c r="I2557" s="924" t="s">
        <v>1040</v>
      </c>
      <c r="J2557" s="924" t="s">
        <v>863</v>
      </c>
      <c r="K2557" s="924" t="s">
        <v>915</v>
      </c>
      <c r="L2557" s="925">
        <v>9.7260931432247197</v>
      </c>
      <c r="M2557" s="925">
        <v>3.64072734237197E-3</v>
      </c>
    </row>
    <row r="2558" spans="1:13" ht="11.25" customHeight="1" x14ac:dyDescent="0.2">
      <c r="A2558" s="924" t="s">
        <v>853</v>
      </c>
      <c r="B2558" s="924" t="s">
        <v>799</v>
      </c>
      <c r="C2558" s="924" t="s">
        <v>1187</v>
      </c>
      <c r="D2558" s="924" t="s">
        <v>1163</v>
      </c>
      <c r="E2558" s="924" t="s">
        <v>856</v>
      </c>
      <c r="F2558" s="924" t="s">
        <v>1137</v>
      </c>
      <c r="G2558" s="924" t="s">
        <v>981</v>
      </c>
      <c r="H2558" s="924" t="s">
        <v>835</v>
      </c>
      <c r="I2558" s="924" t="s">
        <v>1040</v>
      </c>
      <c r="J2558" s="924" t="s">
        <v>863</v>
      </c>
      <c r="K2558" s="924" t="s">
        <v>866</v>
      </c>
      <c r="L2558" s="925">
        <v>8.5225619375705701</v>
      </c>
      <c r="M2558" s="925">
        <v>5.7344142405781904E-3</v>
      </c>
    </row>
    <row r="2559" spans="1:13" ht="11.25" customHeight="1" x14ac:dyDescent="0.2">
      <c r="A2559" s="924" t="s">
        <v>853</v>
      </c>
      <c r="B2559" s="924" t="s">
        <v>799</v>
      </c>
      <c r="C2559" s="924" t="s">
        <v>1187</v>
      </c>
      <c r="D2559" s="924" t="s">
        <v>1163</v>
      </c>
      <c r="E2559" s="924" t="s">
        <v>856</v>
      </c>
      <c r="F2559" s="924" t="s">
        <v>1131</v>
      </c>
      <c r="G2559" s="924" t="s">
        <v>981</v>
      </c>
      <c r="H2559" s="924" t="s">
        <v>835</v>
      </c>
      <c r="I2559" s="924" t="s">
        <v>1040</v>
      </c>
      <c r="J2559" s="924" t="s">
        <v>863</v>
      </c>
      <c r="K2559" s="924" t="s">
        <v>868</v>
      </c>
      <c r="L2559" s="925">
        <v>46.886775493621798</v>
      </c>
      <c r="M2559" s="925">
        <v>3.3239638505619998E-3</v>
      </c>
    </row>
    <row r="2560" spans="1:13" ht="11.25" customHeight="1" x14ac:dyDescent="0.2">
      <c r="A2560" s="924" t="s">
        <v>853</v>
      </c>
      <c r="B2560" s="924" t="s">
        <v>799</v>
      </c>
      <c r="C2560" s="924" t="s">
        <v>1187</v>
      </c>
      <c r="D2560" s="924" t="s">
        <v>1163</v>
      </c>
      <c r="E2560" s="924" t="s">
        <v>856</v>
      </c>
      <c r="F2560" s="924" t="s">
        <v>1139</v>
      </c>
      <c r="G2560" s="924" t="s">
        <v>981</v>
      </c>
      <c r="H2560" s="924" t="s">
        <v>835</v>
      </c>
      <c r="I2560" s="924" t="s">
        <v>1040</v>
      </c>
      <c r="J2560" s="924" t="s">
        <v>940</v>
      </c>
      <c r="K2560" s="924" t="s">
        <v>1140</v>
      </c>
      <c r="L2560" s="925">
        <v>1306.40585899353</v>
      </c>
      <c r="M2560" s="925">
        <v>0.95753036770061295</v>
      </c>
    </row>
    <row r="2561" spans="1:13" ht="11.25" customHeight="1" x14ac:dyDescent="0.2">
      <c r="A2561" s="924" t="s">
        <v>853</v>
      </c>
      <c r="B2561" s="924" t="s">
        <v>799</v>
      </c>
      <c r="C2561" s="924" t="s">
        <v>1187</v>
      </c>
      <c r="D2561" s="924" t="s">
        <v>1163</v>
      </c>
      <c r="E2561" s="924" t="s">
        <v>856</v>
      </c>
      <c r="F2561" s="924" t="s">
        <v>1141</v>
      </c>
      <c r="G2561" s="924" t="s">
        <v>981</v>
      </c>
      <c r="H2561" s="924" t="s">
        <v>835</v>
      </c>
      <c r="I2561" s="924" t="s">
        <v>1040</v>
      </c>
      <c r="J2561" s="924" t="s">
        <v>940</v>
      </c>
      <c r="K2561" s="924" t="s">
        <v>1142</v>
      </c>
      <c r="L2561" s="925">
        <v>1143.8206071853599</v>
      </c>
      <c r="M2561" s="925">
        <v>0.84427437838166997</v>
      </c>
    </row>
    <row r="2562" spans="1:13" ht="11.25" customHeight="1" x14ac:dyDescent="0.2">
      <c r="A2562" s="924" t="s">
        <v>853</v>
      </c>
      <c r="B2562" s="924" t="s">
        <v>799</v>
      </c>
      <c r="C2562" s="924" t="s">
        <v>1187</v>
      </c>
      <c r="D2562" s="924" t="s">
        <v>1163</v>
      </c>
      <c r="E2562" s="924" t="s">
        <v>856</v>
      </c>
      <c r="F2562" s="924" t="s">
        <v>1143</v>
      </c>
      <c r="G2562" s="924" t="s">
        <v>981</v>
      </c>
      <c r="H2562" s="924" t="s">
        <v>835</v>
      </c>
      <c r="I2562" s="924" t="s">
        <v>1040</v>
      </c>
      <c r="J2562" s="924" t="s">
        <v>940</v>
      </c>
      <c r="K2562" s="924" t="s">
        <v>1084</v>
      </c>
      <c r="L2562" s="925">
        <v>112.41869354248</v>
      </c>
      <c r="M2562" s="925">
        <v>8.2265835779253393E-2</v>
      </c>
    </row>
    <row r="2563" spans="1:13" ht="11.25" customHeight="1" x14ac:dyDescent="0.2">
      <c r="A2563" s="924" t="s">
        <v>853</v>
      </c>
      <c r="B2563" s="924" t="s">
        <v>799</v>
      </c>
      <c r="C2563" s="924" t="s">
        <v>1187</v>
      </c>
      <c r="D2563" s="924" t="s">
        <v>1163</v>
      </c>
      <c r="E2563" s="924" t="s">
        <v>856</v>
      </c>
      <c r="F2563" s="924" t="s">
        <v>1144</v>
      </c>
      <c r="G2563" s="924" t="s">
        <v>981</v>
      </c>
      <c r="H2563" s="924" t="s">
        <v>835</v>
      </c>
      <c r="I2563" s="924" t="s">
        <v>1040</v>
      </c>
      <c r="J2563" s="924" t="s">
        <v>940</v>
      </c>
      <c r="K2563" s="924" t="s">
        <v>1070</v>
      </c>
      <c r="L2563" s="925">
        <v>680.06805539131199</v>
      </c>
      <c r="M2563" s="925">
        <v>0.47385427192784801</v>
      </c>
    </row>
    <row r="2564" spans="1:13" ht="11.25" customHeight="1" x14ac:dyDescent="0.2">
      <c r="A2564" s="924" t="s">
        <v>853</v>
      </c>
      <c r="B2564" s="924" t="s">
        <v>799</v>
      </c>
      <c r="C2564" s="924" t="s">
        <v>1187</v>
      </c>
      <c r="D2564" s="924" t="s">
        <v>1163</v>
      </c>
      <c r="E2564" s="924" t="s">
        <v>856</v>
      </c>
      <c r="F2564" s="924" t="s">
        <v>1149</v>
      </c>
      <c r="G2564" s="924" t="s">
        <v>981</v>
      </c>
      <c r="H2564" s="924" t="s">
        <v>835</v>
      </c>
      <c r="I2564" s="924" t="s">
        <v>1040</v>
      </c>
      <c r="J2564" s="924" t="s">
        <v>940</v>
      </c>
      <c r="K2564" s="924" t="s">
        <v>1091</v>
      </c>
      <c r="L2564" s="925">
        <v>7.2445772066712397</v>
      </c>
      <c r="M2564" s="925">
        <v>5.0620617294043803E-3</v>
      </c>
    </row>
    <row r="2565" spans="1:13" ht="11.25" customHeight="1" x14ac:dyDescent="0.2">
      <c r="A2565" s="924" t="s">
        <v>853</v>
      </c>
      <c r="B2565" s="924" t="s">
        <v>799</v>
      </c>
      <c r="C2565" s="924" t="s">
        <v>1187</v>
      </c>
      <c r="D2565" s="924" t="s">
        <v>1163</v>
      </c>
      <c r="E2565" s="924" t="s">
        <v>856</v>
      </c>
      <c r="F2565" s="924" t="s">
        <v>1160</v>
      </c>
      <c r="G2565" s="924" t="s">
        <v>981</v>
      </c>
      <c r="H2565" s="924" t="s">
        <v>835</v>
      </c>
      <c r="I2565" s="924" t="s">
        <v>1040</v>
      </c>
      <c r="J2565" s="924" t="s">
        <v>940</v>
      </c>
      <c r="K2565" s="924" t="s">
        <v>1093</v>
      </c>
      <c r="L2565" s="925">
        <v>26.494455911219099</v>
      </c>
      <c r="M2565" s="925">
        <v>1.86991387381568E-2</v>
      </c>
    </row>
    <row r="2566" spans="1:13" ht="11.25" customHeight="1" x14ac:dyDescent="0.2">
      <c r="A2566" s="924" t="s">
        <v>853</v>
      </c>
      <c r="B2566" s="924" t="s">
        <v>799</v>
      </c>
      <c r="C2566" s="924" t="s">
        <v>1187</v>
      </c>
      <c r="D2566" s="924" t="s">
        <v>1163</v>
      </c>
      <c r="E2566" s="924" t="s">
        <v>856</v>
      </c>
      <c r="F2566" s="924" t="s">
        <v>1161</v>
      </c>
      <c r="G2566" s="924" t="s">
        <v>981</v>
      </c>
      <c r="H2566" s="924" t="s">
        <v>835</v>
      </c>
      <c r="I2566" s="924" t="s">
        <v>1040</v>
      </c>
      <c r="J2566" s="924" t="s">
        <v>940</v>
      </c>
      <c r="K2566" s="924" t="s">
        <v>1027</v>
      </c>
      <c r="L2566" s="925">
        <v>164.16001665592199</v>
      </c>
      <c r="M2566" s="925">
        <v>0.113512949470191</v>
      </c>
    </row>
    <row r="2567" spans="1:13" ht="11.25" customHeight="1" x14ac:dyDescent="0.2">
      <c r="A2567" s="924" t="s">
        <v>853</v>
      </c>
      <c r="B2567" s="924" t="s">
        <v>799</v>
      </c>
      <c r="C2567" s="924" t="s">
        <v>1187</v>
      </c>
      <c r="D2567" s="924" t="s">
        <v>1163</v>
      </c>
      <c r="E2567" s="924" t="s">
        <v>856</v>
      </c>
      <c r="F2567" s="924" t="s">
        <v>1138</v>
      </c>
      <c r="G2567" s="924" t="s">
        <v>981</v>
      </c>
      <c r="H2567" s="924" t="s">
        <v>835</v>
      </c>
      <c r="I2567" s="924" t="s">
        <v>1040</v>
      </c>
      <c r="J2567" s="924" t="s">
        <v>863</v>
      </c>
      <c r="K2567" s="924" t="s">
        <v>931</v>
      </c>
      <c r="L2567" s="925">
        <v>138.02153170108801</v>
      </c>
      <c r="M2567" s="925">
        <v>5.3360966630862101E-2</v>
      </c>
    </row>
    <row r="2568" spans="1:13" ht="11.25" customHeight="1" x14ac:dyDescent="0.2">
      <c r="A2568" s="924" t="s">
        <v>853</v>
      </c>
      <c r="B2568" s="924" t="s">
        <v>799</v>
      </c>
      <c r="C2568" s="924" t="s">
        <v>1187</v>
      </c>
      <c r="D2568" s="924" t="s">
        <v>1163</v>
      </c>
      <c r="E2568" s="924" t="s">
        <v>856</v>
      </c>
      <c r="F2568" s="924" t="s">
        <v>1145</v>
      </c>
      <c r="G2568" s="924" t="s">
        <v>981</v>
      </c>
      <c r="H2568" s="924" t="s">
        <v>835</v>
      </c>
      <c r="I2568" s="924" t="s">
        <v>1040</v>
      </c>
      <c r="J2568" s="924" t="s">
        <v>940</v>
      </c>
      <c r="K2568" s="924" t="s">
        <v>1029</v>
      </c>
      <c r="L2568" s="925">
        <v>1975.0293416976899</v>
      </c>
      <c r="M2568" s="925">
        <v>1.2989355688914701</v>
      </c>
    </row>
    <row r="2569" spans="1:13" ht="11.25" customHeight="1" x14ac:dyDescent="0.2">
      <c r="A2569" s="924" t="s">
        <v>853</v>
      </c>
      <c r="B2569" s="924" t="s">
        <v>799</v>
      </c>
      <c r="C2569" s="924" t="s">
        <v>1187</v>
      </c>
      <c r="D2569" s="924" t="s">
        <v>1163</v>
      </c>
      <c r="E2569" s="924" t="s">
        <v>856</v>
      </c>
      <c r="F2569" s="924" t="s">
        <v>1150</v>
      </c>
      <c r="G2569" s="924" t="s">
        <v>981</v>
      </c>
      <c r="H2569" s="924" t="s">
        <v>835</v>
      </c>
      <c r="I2569" s="924" t="s">
        <v>1040</v>
      </c>
      <c r="J2569" s="924" t="s">
        <v>940</v>
      </c>
      <c r="K2569" s="924" t="s">
        <v>1151</v>
      </c>
      <c r="L2569" s="925">
        <v>78.340900599956498</v>
      </c>
      <c r="M2569" s="925">
        <v>5.5173628992633901E-2</v>
      </c>
    </row>
    <row r="2570" spans="1:13" ht="11.25" customHeight="1" x14ac:dyDescent="0.2">
      <c r="A2570" s="924" t="s">
        <v>853</v>
      </c>
      <c r="B2570" s="924" t="s">
        <v>799</v>
      </c>
      <c r="C2570" s="924" t="s">
        <v>1187</v>
      </c>
      <c r="D2570" s="924" t="s">
        <v>1163</v>
      </c>
      <c r="E2570" s="924" t="s">
        <v>856</v>
      </c>
      <c r="F2570" s="924" t="s">
        <v>1132</v>
      </c>
      <c r="G2570" s="924" t="s">
        <v>981</v>
      </c>
      <c r="H2570" s="924" t="s">
        <v>835</v>
      </c>
      <c r="I2570" s="924" t="s">
        <v>1040</v>
      </c>
      <c r="J2570" s="924" t="s">
        <v>940</v>
      </c>
      <c r="K2570" s="924" t="s">
        <v>941</v>
      </c>
      <c r="L2570" s="925">
        <v>329.56073403358499</v>
      </c>
      <c r="M2570" s="925">
        <v>0.143950523401145</v>
      </c>
    </row>
    <row r="2571" spans="1:13" ht="11.25" customHeight="1" x14ac:dyDescent="0.2">
      <c r="A2571" s="924" t="s">
        <v>853</v>
      </c>
      <c r="B2571" s="924" t="s">
        <v>799</v>
      </c>
      <c r="C2571" s="924" t="s">
        <v>1187</v>
      </c>
      <c r="D2571" s="924" t="s">
        <v>1163</v>
      </c>
      <c r="E2571" s="924" t="s">
        <v>856</v>
      </c>
      <c r="F2571" s="924" t="s">
        <v>1152</v>
      </c>
      <c r="G2571" s="924" t="s">
        <v>981</v>
      </c>
      <c r="H2571" s="924" t="s">
        <v>835</v>
      </c>
      <c r="I2571" s="924" t="s">
        <v>1040</v>
      </c>
      <c r="J2571" s="924" t="s">
        <v>940</v>
      </c>
      <c r="K2571" s="924" t="s">
        <v>1153</v>
      </c>
      <c r="L2571" s="925">
        <v>145.329183220863</v>
      </c>
      <c r="M2571" s="925">
        <v>9.5599939726525904E-2</v>
      </c>
    </row>
    <row r="2572" spans="1:13" ht="11.25" customHeight="1" x14ac:dyDescent="0.2">
      <c r="A2572" s="924" t="s">
        <v>853</v>
      </c>
      <c r="B2572" s="924" t="s">
        <v>799</v>
      </c>
      <c r="C2572" s="924" t="s">
        <v>1187</v>
      </c>
      <c r="D2572" s="924" t="s">
        <v>1163</v>
      </c>
      <c r="E2572" s="924" t="s">
        <v>856</v>
      </c>
      <c r="F2572" s="924" t="s">
        <v>1154</v>
      </c>
      <c r="G2572" s="924" t="s">
        <v>981</v>
      </c>
      <c r="H2572" s="924" t="s">
        <v>835</v>
      </c>
      <c r="I2572" s="924" t="s">
        <v>1040</v>
      </c>
      <c r="J2572" s="924" t="s">
        <v>940</v>
      </c>
      <c r="K2572" s="924" t="s">
        <v>1155</v>
      </c>
      <c r="L2572" s="925">
        <v>264.173934459686</v>
      </c>
      <c r="M2572" s="925">
        <v>0.170392786370442</v>
      </c>
    </row>
    <row r="2573" spans="1:13" ht="11.25" customHeight="1" x14ac:dyDescent="0.2">
      <c r="A2573" s="924" t="s">
        <v>853</v>
      </c>
      <c r="B2573" s="924" t="s">
        <v>799</v>
      </c>
      <c r="C2573" s="924" t="s">
        <v>1187</v>
      </c>
      <c r="D2573" s="924" t="s">
        <v>1163</v>
      </c>
      <c r="E2573" s="924" t="s">
        <v>856</v>
      </c>
      <c r="F2573" s="924" t="s">
        <v>1156</v>
      </c>
      <c r="G2573" s="924" t="s">
        <v>981</v>
      </c>
      <c r="H2573" s="924" t="s">
        <v>835</v>
      </c>
      <c r="I2573" s="924" t="s">
        <v>1040</v>
      </c>
      <c r="J2573" s="924" t="s">
        <v>940</v>
      </c>
      <c r="K2573" s="924" t="s">
        <v>1025</v>
      </c>
      <c r="L2573" s="925">
        <v>434.93470954895002</v>
      </c>
      <c r="M2573" s="925">
        <v>0.81820490676909696</v>
      </c>
    </row>
    <row r="2574" spans="1:13" ht="11.25" customHeight="1" x14ac:dyDescent="0.2">
      <c r="A2574" s="924" t="s">
        <v>853</v>
      </c>
      <c r="B2574" s="924" t="s">
        <v>799</v>
      </c>
      <c r="C2574" s="924" t="s">
        <v>1187</v>
      </c>
      <c r="D2574" s="924" t="s">
        <v>1163</v>
      </c>
      <c r="E2574" s="924" t="s">
        <v>856</v>
      </c>
      <c r="F2574" s="924" t="s">
        <v>1157</v>
      </c>
      <c r="G2574" s="924" t="s">
        <v>981</v>
      </c>
      <c r="H2574" s="924" t="s">
        <v>835</v>
      </c>
      <c r="I2574" s="924" t="s">
        <v>1040</v>
      </c>
      <c r="J2574" s="924" t="s">
        <v>940</v>
      </c>
      <c r="K2574" s="924" t="s">
        <v>1098</v>
      </c>
      <c r="L2574" s="925">
        <v>148.815238952637</v>
      </c>
      <c r="M2574" s="925">
        <v>0.280318876029924</v>
      </c>
    </row>
    <row r="2575" spans="1:13" ht="11.25" customHeight="1" x14ac:dyDescent="0.2">
      <c r="A2575" s="924" t="s">
        <v>853</v>
      </c>
      <c r="B2575" s="924" t="s">
        <v>799</v>
      </c>
      <c r="C2575" s="924" t="s">
        <v>1187</v>
      </c>
      <c r="D2575" s="924" t="s">
        <v>1163</v>
      </c>
      <c r="E2575" s="924" t="s">
        <v>856</v>
      </c>
      <c r="F2575" s="924" t="s">
        <v>1158</v>
      </c>
      <c r="G2575" s="924" t="s">
        <v>981</v>
      </c>
      <c r="H2575" s="924" t="s">
        <v>835</v>
      </c>
      <c r="I2575" s="924" t="s">
        <v>1040</v>
      </c>
      <c r="J2575" s="924" t="s">
        <v>940</v>
      </c>
      <c r="K2575" s="924" t="s">
        <v>1023</v>
      </c>
      <c r="L2575" s="925">
        <v>1085.5572233200101</v>
      </c>
      <c r="M2575" s="925">
        <v>0.62415991964371598</v>
      </c>
    </row>
    <row r="2576" spans="1:13" ht="11.25" customHeight="1" x14ac:dyDescent="0.2">
      <c r="A2576" s="924" t="s">
        <v>853</v>
      </c>
      <c r="B2576" s="924" t="s">
        <v>799</v>
      </c>
      <c r="C2576" s="924" t="s">
        <v>1187</v>
      </c>
      <c r="D2576" s="924" t="s">
        <v>1163</v>
      </c>
      <c r="E2576" s="924" t="s">
        <v>856</v>
      </c>
      <c r="F2576" s="924" t="s">
        <v>1159</v>
      </c>
      <c r="G2576" s="924" t="s">
        <v>981</v>
      </c>
      <c r="H2576" s="924" t="s">
        <v>835</v>
      </c>
      <c r="I2576" s="924" t="s">
        <v>1040</v>
      </c>
      <c r="J2576" s="924" t="s">
        <v>940</v>
      </c>
      <c r="K2576" s="924" t="s">
        <v>1095</v>
      </c>
      <c r="L2576" s="925">
        <v>13.8205288350582</v>
      </c>
      <c r="M2576" s="925">
        <v>9.6585872088326107E-3</v>
      </c>
    </row>
    <row r="2577" spans="1:13" ht="11.25" customHeight="1" x14ac:dyDescent="0.2">
      <c r="A2577" s="924" t="s">
        <v>853</v>
      </c>
      <c r="B2577" s="924" t="s">
        <v>799</v>
      </c>
      <c r="C2577" s="924" t="s">
        <v>1187</v>
      </c>
      <c r="D2577" s="924" t="s">
        <v>1163</v>
      </c>
      <c r="E2577" s="924" t="s">
        <v>856</v>
      </c>
      <c r="F2577" s="924" t="s">
        <v>1146</v>
      </c>
      <c r="G2577" s="924" t="s">
        <v>981</v>
      </c>
      <c r="H2577" s="924" t="s">
        <v>835</v>
      </c>
      <c r="I2577" s="924" t="s">
        <v>1040</v>
      </c>
      <c r="J2577" s="924" t="s">
        <v>940</v>
      </c>
      <c r="K2577" s="924" t="s">
        <v>1147</v>
      </c>
      <c r="L2577" s="925">
        <v>3541.29787063599</v>
      </c>
      <c r="M2577" s="925">
        <v>2.2801863718777899</v>
      </c>
    </row>
    <row r="2578" spans="1:13" ht="11.25" customHeight="1" x14ac:dyDescent="0.2">
      <c r="A2578" s="924" t="s">
        <v>853</v>
      </c>
      <c r="B2578" s="924" t="s">
        <v>800</v>
      </c>
      <c r="C2578" s="924" t="s">
        <v>1188</v>
      </c>
      <c r="D2578" s="924" t="s">
        <v>1163</v>
      </c>
      <c r="E2578" s="924" t="s">
        <v>856</v>
      </c>
      <c r="F2578" s="924" t="s">
        <v>888</v>
      </c>
      <c r="G2578" s="924" t="s">
        <v>858</v>
      </c>
      <c r="H2578" s="924" t="s">
        <v>836</v>
      </c>
      <c r="I2578" s="924" t="s">
        <v>837</v>
      </c>
      <c r="J2578" s="924" t="s">
        <v>859</v>
      </c>
      <c r="K2578" s="924" t="s">
        <v>889</v>
      </c>
      <c r="L2578" s="925">
        <v>0.59082369832322001</v>
      </c>
      <c r="M2578" s="925">
        <v>6.5190350580057705E-5</v>
      </c>
    </row>
    <row r="2579" spans="1:13" ht="11.25" customHeight="1" x14ac:dyDescent="0.2">
      <c r="A2579" s="924" t="s">
        <v>853</v>
      </c>
      <c r="B2579" s="924" t="s">
        <v>800</v>
      </c>
      <c r="C2579" s="924" t="s">
        <v>1188</v>
      </c>
      <c r="D2579" s="924" t="s">
        <v>1163</v>
      </c>
      <c r="E2579" s="924" t="s">
        <v>856</v>
      </c>
      <c r="F2579" s="924" t="s">
        <v>881</v>
      </c>
      <c r="G2579" s="924" t="s">
        <v>862</v>
      </c>
      <c r="H2579" s="924" t="s">
        <v>665</v>
      </c>
      <c r="I2579" s="924" t="s">
        <v>787</v>
      </c>
      <c r="J2579" s="924" t="s">
        <v>875</v>
      </c>
      <c r="K2579" s="924" t="s">
        <v>882</v>
      </c>
      <c r="L2579" s="925">
        <v>406.57030725479098</v>
      </c>
      <c r="M2579" s="925">
        <v>1.9428431503474699</v>
      </c>
    </row>
    <row r="2580" spans="1:13" ht="11.25" customHeight="1" x14ac:dyDescent="0.2">
      <c r="A2580" s="924" t="s">
        <v>853</v>
      </c>
      <c r="B2580" s="924" t="s">
        <v>800</v>
      </c>
      <c r="C2580" s="924" t="s">
        <v>1188</v>
      </c>
      <c r="D2580" s="924" t="s">
        <v>1163</v>
      </c>
      <c r="E2580" s="924" t="s">
        <v>856</v>
      </c>
      <c r="F2580" s="924" t="s">
        <v>1170</v>
      </c>
      <c r="G2580" s="924" t="s">
        <v>862</v>
      </c>
      <c r="H2580" s="924" t="s">
        <v>665</v>
      </c>
      <c r="I2580" s="924" t="s">
        <v>787</v>
      </c>
      <c r="J2580" s="924" t="s">
        <v>863</v>
      </c>
      <c r="K2580" s="924" t="s">
        <v>1171</v>
      </c>
      <c r="L2580" s="925">
        <v>2.90238475054502</v>
      </c>
      <c r="M2580" s="925">
        <v>1.26718944229651E-2</v>
      </c>
    </row>
    <row r="2581" spans="1:13" ht="11.25" customHeight="1" x14ac:dyDescent="0.2">
      <c r="A2581" s="924" t="s">
        <v>853</v>
      </c>
      <c r="B2581" s="924" t="s">
        <v>800</v>
      </c>
      <c r="C2581" s="924" t="s">
        <v>1188</v>
      </c>
      <c r="D2581" s="924" t="s">
        <v>1163</v>
      </c>
      <c r="E2581" s="924" t="s">
        <v>856</v>
      </c>
      <c r="F2581" s="924" t="s">
        <v>883</v>
      </c>
      <c r="G2581" s="924" t="s">
        <v>858</v>
      </c>
      <c r="H2581" s="924" t="s">
        <v>836</v>
      </c>
      <c r="I2581" s="924" t="s">
        <v>837</v>
      </c>
      <c r="J2581" s="924" t="s">
        <v>884</v>
      </c>
      <c r="K2581" s="924" t="s">
        <v>885</v>
      </c>
      <c r="L2581" s="925">
        <v>39.387131989002199</v>
      </c>
      <c r="M2581" s="925">
        <v>1.51070806154507E-3</v>
      </c>
    </row>
    <row r="2582" spans="1:13" ht="11.25" customHeight="1" x14ac:dyDescent="0.2">
      <c r="A2582" s="924" t="s">
        <v>853</v>
      </c>
      <c r="B2582" s="924" t="s">
        <v>800</v>
      </c>
      <c r="C2582" s="924" t="s">
        <v>1188</v>
      </c>
      <c r="D2582" s="924" t="s">
        <v>1163</v>
      </c>
      <c r="E2582" s="924" t="s">
        <v>856</v>
      </c>
      <c r="F2582" s="924" t="s">
        <v>912</v>
      </c>
      <c r="G2582" s="924" t="s">
        <v>858</v>
      </c>
      <c r="H2582" s="924" t="s">
        <v>836</v>
      </c>
      <c r="I2582" s="924" t="s">
        <v>837</v>
      </c>
      <c r="J2582" s="924" t="s">
        <v>859</v>
      </c>
      <c r="K2582" s="924" t="s">
        <v>913</v>
      </c>
      <c r="L2582" s="925">
        <v>362.85754776000999</v>
      </c>
      <c r="M2582" s="925">
        <v>3.9959478484092904E-3</v>
      </c>
    </row>
    <row r="2583" spans="1:13" ht="11.25" customHeight="1" x14ac:dyDescent="0.2">
      <c r="A2583" s="924" t="s">
        <v>853</v>
      </c>
      <c r="B2583" s="924" t="s">
        <v>800</v>
      </c>
      <c r="C2583" s="924" t="s">
        <v>1188</v>
      </c>
      <c r="D2583" s="924" t="s">
        <v>1163</v>
      </c>
      <c r="E2583" s="924" t="s">
        <v>856</v>
      </c>
      <c r="F2583" s="924" t="s">
        <v>857</v>
      </c>
      <c r="G2583" s="924" t="s">
        <v>858</v>
      </c>
      <c r="H2583" s="924" t="s">
        <v>836</v>
      </c>
      <c r="I2583" s="924" t="s">
        <v>837</v>
      </c>
      <c r="J2583" s="924" t="s">
        <v>859</v>
      </c>
      <c r="K2583" s="924" t="s">
        <v>860</v>
      </c>
      <c r="L2583" s="925">
        <v>9.7336987555027008</v>
      </c>
      <c r="M2583" s="925">
        <v>8.95806071810057E-4</v>
      </c>
    </row>
    <row r="2584" spans="1:13" ht="11.25" customHeight="1" x14ac:dyDescent="0.2">
      <c r="A2584" s="924" t="s">
        <v>853</v>
      </c>
      <c r="B2584" s="924" t="s">
        <v>800</v>
      </c>
      <c r="C2584" s="924" t="s">
        <v>1188</v>
      </c>
      <c r="D2584" s="924" t="s">
        <v>1163</v>
      </c>
      <c r="E2584" s="924" t="s">
        <v>856</v>
      </c>
      <c r="F2584" s="924" t="s">
        <v>892</v>
      </c>
      <c r="G2584" s="924" t="s">
        <v>858</v>
      </c>
      <c r="H2584" s="924" t="s">
        <v>836</v>
      </c>
      <c r="I2584" s="924" t="s">
        <v>837</v>
      </c>
      <c r="J2584" s="924" t="s">
        <v>859</v>
      </c>
      <c r="K2584" s="924" t="s">
        <v>893</v>
      </c>
      <c r="L2584" s="925">
        <v>908.34430217742897</v>
      </c>
      <c r="M2584" s="925">
        <v>1.14903867873863E-2</v>
      </c>
    </row>
    <row r="2585" spans="1:13" ht="11.25" customHeight="1" x14ac:dyDescent="0.2">
      <c r="A2585" s="924" t="s">
        <v>853</v>
      </c>
      <c r="B2585" s="924" t="s">
        <v>800</v>
      </c>
      <c r="C2585" s="924" t="s">
        <v>1188</v>
      </c>
      <c r="D2585" s="924" t="s">
        <v>1163</v>
      </c>
      <c r="E2585" s="924" t="s">
        <v>856</v>
      </c>
      <c r="F2585" s="924" t="s">
        <v>894</v>
      </c>
      <c r="G2585" s="924" t="s">
        <v>858</v>
      </c>
      <c r="H2585" s="924" t="s">
        <v>836</v>
      </c>
      <c r="I2585" s="924" t="s">
        <v>837</v>
      </c>
      <c r="J2585" s="924" t="s">
        <v>859</v>
      </c>
      <c r="K2585" s="924" t="s">
        <v>895</v>
      </c>
      <c r="L2585" s="925">
        <v>988.30713272094704</v>
      </c>
      <c r="M2585" s="925">
        <v>6.54648833676674E-3</v>
      </c>
    </row>
    <row r="2586" spans="1:13" ht="11.25" customHeight="1" x14ac:dyDescent="0.2">
      <c r="A2586" s="924" t="s">
        <v>853</v>
      </c>
      <c r="B2586" s="924" t="s">
        <v>800</v>
      </c>
      <c r="C2586" s="924" t="s">
        <v>1188</v>
      </c>
      <c r="D2586" s="924" t="s">
        <v>1163</v>
      </c>
      <c r="E2586" s="924" t="s">
        <v>856</v>
      </c>
      <c r="F2586" s="924" t="s">
        <v>879</v>
      </c>
      <c r="G2586" s="924" t="s">
        <v>862</v>
      </c>
      <c r="H2586" s="924" t="s">
        <v>665</v>
      </c>
      <c r="I2586" s="924" t="s">
        <v>787</v>
      </c>
      <c r="J2586" s="924" t="s">
        <v>875</v>
      </c>
      <c r="K2586" s="924" t="s">
        <v>880</v>
      </c>
      <c r="L2586" s="925">
        <v>11.4235457628965</v>
      </c>
      <c r="M2586" s="925">
        <v>6.4266679717548E-2</v>
      </c>
    </row>
    <row r="2587" spans="1:13" ht="11.25" customHeight="1" x14ac:dyDescent="0.2">
      <c r="A2587" s="924" t="s">
        <v>853</v>
      </c>
      <c r="B2587" s="924" t="s">
        <v>800</v>
      </c>
      <c r="C2587" s="924" t="s">
        <v>1188</v>
      </c>
      <c r="D2587" s="924" t="s">
        <v>1163</v>
      </c>
      <c r="E2587" s="924" t="s">
        <v>856</v>
      </c>
      <c r="F2587" s="924" t="s">
        <v>898</v>
      </c>
      <c r="G2587" s="924" t="s">
        <v>858</v>
      </c>
      <c r="H2587" s="924" t="s">
        <v>836</v>
      </c>
      <c r="I2587" s="924" t="s">
        <v>837</v>
      </c>
      <c r="J2587" s="924" t="s">
        <v>859</v>
      </c>
      <c r="K2587" s="924" t="s">
        <v>899</v>
      </c>
      <c r="L2587" s="925">
        <v>33.400398403406101</v>
      </c>
      <c r="M2587" s="925">
        <v>5.80967424248513E-4</v>
      </c>
    </row>
    <row r="2588" spans="1:13" ht="11.25" customHeight="1" x14ac:dyDescent="0.2">
      <c r="A2588" s="924" t="s">
        <v>853</v>
      </c>
      <c r="B2588" s="924" t="s">
        <v>800</v>
      </c>
      <c r="C2588" s="924" t="s">
        <v>1188</v>
      </c>
      <c r="D2588" s="924" t="s">
        <v>1163</v>
      </c>
      <c r="E2588" s="924" t="s">
        <v>856</v>
      </c>
      <c r="F2588" s="924" t="s">
        <v>861</v>
      </c>
      <c r="G2588" s="924" t="s">
        <v>862</v>
      </c>
      <c r="H2588" s="924" t="s">
        <v>665</v>
      </c>
      <c r="I2588" s="924" t="s">
        <v>787</v>
      </c>
      <c r="J2588" s="924" t="s">
        <v>863</v>
      </c>
      <c r="K2588" s="924" t="s">
        <v>864</v>
      </c>
      <c r="L2588" s="925">
        <v>0.29133437760174302</v>
      </c>
      <c r="M2588" s="925">
        <v>1.19703704694984E-3</v>
      </c>
    </row>
    <row r="2589" spans="1:13" ht="11.25" customHeight="1" x14ac:dyDescent="0.2">
      <c r="A2589" s="924" t="s">
        <v>853</v>
      </c>
      <c r="B2589" s="924" t="s">
        <v>800</v>
      </c>
      <c r="C2589" s="924" t="s">
        <v>1188</v>
      </c>
      <c r="D2589" s="924" t="s">
        <v>1163</v>
      </c>
      <c r="E2589" s="924" t="s">
        <v>856</v>
      </c>
      <c r="F2589" s="924" t="s">
        <v>896</v>
      </c>
      <c r="G2589" s="924" t="s">
        <v>858</v>
      </c>
      <c r="H2589" s="924" t="s">
        <v>836</v>
      </c>
      <c r="I2589" s="924" t="s">
        <v>837</v>
      </c>
      <c r="J2589" s="924" t="s">
        <v>859</v>
      </c>
      <c r="K2589" s="924" t="s">
        <v>897</v>
      </c>
      <c r="L2589" s="925">
        <v>54.498416006565101</v>
      </c>
      <c r="M2589" s="925">
        <v>8.8253747311739495E-4</v>
      </c>
    </row>
    <row r="2590" spans="1:13" ht="11.25" customHeight="1" x14ac:dyDescent="0.2">
      <c r="A2590" s="924" t="s">
        <v>853</v>
      </c>
      <c r="B2590" s="924" t="s">
        <v>800</v>
      </c>
      <c r="C2590" s="924" t="s">
        <v>1188</v>
      </c>
      <c r="D2590" s="924" t="s">
        <v>1163</v>
      </c>
      <c r="E2590" s="924" t="s">
        <v>856</v>
      </c>
      <c r="F2590" s="924" t="s">
        <v>877</v>
      </c>
      <c r="G2590" s="924" t="s">
        <v>862</v>
      </c>
      <c r="H2590" s="924" t="s">
        <v>665</v>
      </c>
      <c r="I2590" s="924" t="s">
        <v>787</v>
      </c>
      <c r="J2590" s="924" t="s">
        <v>875</v>
      </c>
      <c r="K2590" s="924" t="s">
        <v>878</v>
      </c>
      <c r="L2590" s="925">
        <v>7.74500015377998</v>
      </c>
      <c r="M2590" s="925">
        <v>0.126884074823465</v>
      </c>
    </row>
    <row r="2591" spans="1:13" ht="11.25" customHeight="1" x14ac:dyDescent="0.2">
      <c r="A2591" s="924" t="s">
        <v>853</v>
      </c>
      <c r="B2591" s="924" t="s">
        <v>800</v>
      </c>
      <c r="C2591" s="924" t="s">
        <v>1188</v>
      </c>
      <c r="D2591" s="924" t="s">
        <v>1163</v>
      </c>
      <c r="E2591" s="924" t="s">
        <v>856</v>
      </c>
      <c r="F2591" s="924" t="s">
        <v>874</v>
      </c>
      <c r="G2591" s="924" t="s">
        <v>862</v>
      </c>
      <c r="H2591" s="924" t="s">
        <v>665</v>
      </c>
      <c r="I2591" s="924" t="s">
        <v>787</v>
      </c>
      <c r="J2591" s="924" t="s">
        <v>875</v>
      </c>
      <c r="K2591" s="924" t="s">
        <v>876</v>
      </c>
      <c r="L2591" s="925">
        <v>161.91384077072101</v>
      </c>
      <c r="M2591" s="925">
        <v>4.9251967128366196</v>
      </c>
    </row>
    <row r="2592" spans="1:13" ht="11.25" customHeight="1" x14ac:dyDescent="0.2">
      <c r="A2592" s="924" t="s">
        <v>853</v>
      </c>
      <c r="B2592" s="924" t="s">
        <v>800</v>
      </c>
      <c r="C2592" s="924" t="s">
        <v>1188</v>
      </c>
      <c r="D2592" s="924" t="s">
        <v>1163</v>
      </c>
      <c r="E2592" s="924" t="s">
        <v>856</v>
      </c>
      <c r="F2592" s="924" t="s">
        <v>872</v>
      </c>
      <c r="G2592" s="924" t="s">
        <v>862</v>
      </c>
      <c r="H2592" s="924" t="s">
        <v>665</v>
      </c>
      <c r="I2592" s="924" t="s">
        <v>787</v>
      </c>
      <c r="J2592" s="924" t="s">
        <v>870</v>
      </c>
      <c r="K2592" s="924" t="s">
        <v>873</v>
      </c>
      <c r="L2592" s="925">
        <v>2.8073115246370399</v>
      </c>
      <c r="M2592" s="925">
        <v>1.12994658265961E-2</v>
      </c>
    </row>
    <row r="2593" spans="1:13" ht="11.25" customHeight="1" x14ac:dyDescent="0.2">
      <c r="A2593" s="924" t="s">
        <v>853</v>
      </c>
      <c r="B2593" s="924" t="s">
        <v>800</v>
      </c>
      <c r="C2593" s="924" t="s">
        <v>1188</v>
      </c>
      <c r="D2593" s="924" t="s">
        <v>1163</v>
      </c>
      <c r="E2593" s="924" t="s">
        <v>856</v>
      </c>
      <c r="F2593" s="924" t="s">
        <v>869</v>
      </c>
      <c r="G2593" s="924" t="s">
        <v>862</v>
      </c>
      <c r="H2593" s="924" t="s">
        <v>665</v>
      </c>
      <c r="I2593" s="924" t="s">
        <v>787</v>
      </c>
      <c r="J2593" s="924" t="s">
        <v>870</v>
      </c>
      <c r="K2593" s="924" t="s">
        <v>871</v>
      </c>
      <c r="L2593" s="925">
        <v>2.5521059469610901E-2</v>
      </c>
      <c r="M2593" s="925">
        <v>1.46433571546822E-3</v>
      </c>
    </row>
    <row r="2594" spans="1:13" ht="11.25" customHeight="1" x14ac:dyDescent="0.2">
      <c r="A2594" s="924" t="s">
        <v>853</v>
      </c>
      <c r="B2594" s="924" t="s">
        <v>800</v>
      </c>
      <c r="C2594" s="924" t="s">
        <v>1188</v>
      </c>
      <c r="D2594" s="924" t="s">
        <v>1163</v>
      </c>
      <c r="E2594" s="924" t="s">
        <v>856</v>
      </c>
      <c r="F2594" s="924" t="s">
        <v>865</v>
      </c>
      <c r="G2594" s="924" t="s">
        <v>862</v>
      </c>
      <c r="H2594" s="924" t="s">
        <v>665</v>
      </c>
      <c r="I2594" s="924" t="s">
        <v>787</v>
      </c>
      <c r="J2594" s="924" t="s">
        <v>863</v>
      </c>
      <c r="K2594" s="924" t="s">
        <v>866</v>
      </c>
      <c r="L2594" s="925">
        <v>2.0061207711696598</v>
      </c>
      <c r="M2594" s="925">
        <v>9.6786902308849693E-3</v>
      </c>
    </row>
    <row r="2595" spans="1:13" ht="11.25" customHeight="1" x14ac:dyDescent="0.2">
      <c r="A2595" s="924" t="s">
        <v>853</v>
      </c>
      <c r="B2595" s="924" t="s">
        <v>800</v>
      </c>
      <c r="C2595" s="924" t="s">
        <v>1188</v>
      </c>
      <c r="D2595" s="924" t="s">
        <v>1163</v>
      </c>
      <c r="E2595" s="924" t="s">
        <v>856</v>
      </c>
      <c r="F2595" s="924" t="s">
        <v>900</v>
      </c>
      <c r="G2595" s="924" t="s">
        <v>858</v>
      </c>
      <c r="H2595" s="924" t="s">
        <v>836</v>
      </c>
      <c r="I2595" s="924" t="s">
        <v>837</v>
      </c>
      <c r="J2595" s="924" t="s">
        <v>859</v>
      </c>
      <c r="K2595" s="924" t="s">
        <v>901</v>
      </c>
      <c r="L2595" s="925">
        <v>100.31909465789801</v>
      </c>
      <c r="M2595" s="925">
        <v>4.3721499628048797E-3</v>
      </c>
    </row>
    <row r="2596" spans="1:13" ht="11.25" customHeight="1" x14ac:dyDescent="0.2">
      <c r="A2596" s="924" t="s">
        <v>853</v>
      </c>
      <c r="B2596" s="924" t="s">
        <v>800</v>
      </c>
      <c r="C2596" s="924" t="s">
        <v>1188</v>
      </c>
      <c r="D2596" s="924" t="s">
        <v>1163</v>
      </c>
      <c r="E2596" s="924" t="s">
        <v>856</v>
      </c>
      <c r="F2596" s="924" t="s">
        <v>934</v>
      </c>
      <c r="G2596" s="924" t="s">
        <v>862</v>
      </c>
      <c r="H2596" s="924" t="s">
        <v>665</v>
      </c>
      <c r="I2596" s="924" t="s">
        <v>787</v>
      </c>
      <c r="J2596" s="924" t="s">
        <v>863</v>
      </c>
      <c r="K2596" s="924" t="s">
        <v>935</v>
      </c>
      <c r="L2596" s="925">
        <v>0.53458048170432404</v>
      </c>
      <c r="M2596" s="925">
        <v>2.2471907359431502E-3</v>
      </c>
    </row>
    <row r="2597" spans="1:13" ht="11.25" customHeight="1" x14ac:dyDescent="0.2">
      <c r="A2597" s="924" t="s">
        <v>853</v>
      </c>
      <c r="B2597" s="924" t="s">
        <v>800</v>
      </c>
      <c r="C2597" s="924" t="s">
        <v>1188</v>
      </c>
      <c r="D2597" s="924" t="s">
        <v>1163</v>
      </c>
      <c r="E2597" s="924" t="s">
        <v>856</v>
      </c>
      <c r="F2597" s="924" t="s">
        <v>937</v>
      </c>
      <c r="G2597" s="924" t="s">
        <v>862</v>
      </c>
      <c r="H2597" s="924" t="s">
        <v>665</v>
      </c>
      <c r="I2597" s="924" t="s">
        <v>787</v>
      </c>
      <c r="J2597" s="924" t="s">
        <v>863</v>
      </c>
      <c r="K2597" s="924" t="s">
        <v>933</v>
      </c>
      <c r="L2597" s="925">
        <v>630.92070770263695</v>
      </c>
      <c r="M2597" s="925">
        <v>2.6873329766094698</v>
      </c>
    </row>
    <row r="2598" spans="1:13" ht="11.25" customHeight="1" x14ac:dyDescent="0.2">
      <c r="A2598" s="924" t="s">
        <v>853</v>
      </c>
      <c r="B2598" s="924" t="s">
        <v>800</v>
      </c>
      <c r="C2598" s="924" t="s">
        <v>1188</v>
      </c>
      <c r="D2598" s="924" t="s">
        <v>1163</v>
      </c>
      <c r="E2598" s="924" t="s">
        <v>856</v>
      </c>
      <c r="F2598" s="924" t="s">
        <v>890</v>
      </c>
      <c r="G2598" s="924" t="s">
        <v>862</v>
      </c>
      <c r="H2598" s="924" t="s">
        <v>665</v>
      </c>
      <c r="I2598" s="924" t="s">
        <v>787</v>
      </c>
      <c r="J2598" s="924" t="s">
        <v>859</v>
      </c>
      <c r="K2598" s="924" t="s">
        <v>891</v>
      </c>
      <c r="L2598" s="925">
        <v>0.177038157824427</v>
      </c>
      <c r="M2598" s="925">
        <v>6.3020329453138402E-3</v>
      </c>
    </row>
    <row r="2599" spans="1:13" ht="11.25" customHeight="1" x14ac:dyDescent="0.2">
      <c r="A2599" s="924" t="s">
        <v>853</v>
      </c>
      <c r="B2599" s="924" t="s">
        <v>800</v>
      </c>
      <c r="C2599" s="924" t="s">
        <v>1188</v>
      </c>
      <c r="D2599" s="924" t="s">
        <v>1163</v>
      </c>
      <c r="E2599" s="924" t="s">
        <v>856</v>
      </c>
      <c r="F2599" s="924" t="s">
        <v>951</v>
      </c>
      <c r="G2599" s="924" t="s">
        <v>911</v>
      </c>
      <c r="H2599" s="924" t="s">
        <v>665</v>
      </c>
      <c r="I2599" s="924" t="s">
        <v>706</v>
      </c>
      <c r="J2599" s="924" t="s">
        <v>875</v>
      </c>
      <c r="K2599" s="924" t="s">
        <v>952</v>
      </c>
      <c r="L2599" s="925">
        <v>2.1269241720437999</v>
      </c>
      <c r="M2599" s="925">
        <v>1.3224954226842599E-4</v>
      </c>
    </row>
    <row r="2600" spans="1:13" ht="11.25" customHeight="1" x14ac:dyDescent="0.2">
      <c r="A2600" s="924" t="s">
        <v>853</v>
      </c>
      <c r="B2600" s="924" t="s">
        <v>800</v>
      </c>
      <c r="C2600" s="924" t="s">
        <v>1188</v>
      </c>
      <c r="D2600" s="924" t="s">
        <v>1163</v>
      </c>
      <c r="E2600" s="924" t="s">
        <v>856</v>
      </c>
      <c r="F2600" s="924" t="s">
        <v>949</v>
      </c>
      <c r="G2600" s="924" t="s">
        <v>911</v>
      </c>
      <c r="H2600" s="924" t="s">
        <v>665</v>
      </c>
      <c r="I2600" s="924" t="s">
        <v>706</v>
      </c>
      <c r="J2600" s="924" t="s">
        <v>875</v>
      </c>
      <c r="K2600" s="924" t="s">
        <v>950</v>
      </c>
      <c r="L2600" s="925">
        <v>2.3043971210718199</v>
      </c>
      <c r="M2600" s="925">
        <v>4.9425265660829598E-4</v>
      </c>
    </row>
    <row r="2601" spans="1:13" ht="11.25" customHeight="1" x14ac:dyDescent="0.2">
      <c r="A2601" s="924" t="s">
        <v>853</v>
      </c>
      <c r="B2601" s="924" t="s">
        <v>800</v>
      </c>
      <c r="C2601" s="924" t="s">
        <v>1188</v>
      </c>
      <c r="D2601" s="924" t="s">
        <v>1163</v>
      </c>
      <c r="E2601" s="924" t="s">
        <v>856</v>
      </c>
      <c r="F2601" s="924" t="s">
        <v>867</v>
      </c>
      <c r="G2601" s="924" t="s">
        <v>862</v>
      </c>
      <c r="H2601" s="924" t="s">
        <v>665</v>
      </c>
      <c r="I2601" s="924" t="s">
        <v>787</v>
      </c>
      <c r="J2601" s="924" t="s">
        <v>863</v>
      </c>
      <c r="K2601" s="924" t="s">
        <v>868</v>
      </c>
      <c r="L2601" s="925">
        <v>3.5630604736506899</v>
      </c>
      <c r="M2601" s="925">
        <v>1.45779684389709E-2</v>
      </c>
    </row>
    <row r="2602" spans="1:13" ht="11.25" customHeight="1" x14ac:dyDescent="0.2">
      <c r="A2602" s="924" t="s">
        <v>853</v>
      </c>
      <c r="B2602" s="924" t="s">
        <v>800</v>
      </c>
      <c r="C2602" s="924" t="s">
        <v>1188</v>
      </c>
      <c r="D2602" s="924" t="s">
        <v>1163</v>
      </c>
      <c r="E2602" s="924" t="s">
        <v>856</v>
      </c>
      <c r="F2602" s="924" t="s">
        <v>1005</v>
      </c>
      <c r="G2602" s="924" t="s">
        <v>858</v>
      </c>
      <c r="H2602" s="924" t="s">
        <v>836</v>
      </c>
      <c r="I2602" s="924" t="s">
        <v>837</v>
      </c>
      <c r="J2602" s="924" t="s">
        <v>859</v>
      </c>
      <c r="K2602" s="924" t="s">
        <v>1006</v>
      </c>
      <c r="L2602" s="925">
        <v>3665.2713966369602</v>
      </c>
      <c r="M2602" s="925">
        <v>2.8389394003170299E-2</v>
      </c>
    </row>
    <row r="2603" spans="1:13" ht="11.25" customHeight="1" x14ac:dyDescent="0.2">
      <c r="A2603" s="924" t="s">
        <v>853</v>
      </c>
      <c r="B2603" s="924" t="s">
        <v>800</v>
      </c>
      <c r="C2603" s="924" t="s">
        <v>1188</v>
      </c>
      <c r="D2603" s="924" t="s">
        <v>1163</v>
      </c>
      <c r="E2603" s="924" t="s">
        <v>856</v>
      </c>
      <c r="F2603" s="924" t="s">
        <v>1145</v>
      </c>
      <c r="G2603" s="924" t="s">
        <v>981</v>
      </c>
      <c r="H2603" s="924" t="s">
        <v>835</v>
      </c>
      <c r="I2603" s="924" t="s">
        <v>1040</v>
      </c>
      <c r="J2603" s="924" t="s">
        <v>940</v>
      </c>
      <c r="K2603" s="924" t="s">
        <v>1029</v>
      </c>
      <c r="L2603" s="925">
        <v>5811.71703529358</v>
      </c>
      <c r="M2603" s="925">
        <v>3.8208137396723001</v>
      </c>
    </row>
    <row r="2604" spans="1:13" ht="11.25" customHeight="1" x14ac:dyDescent="0.2">
      <c r="A2604" s="924" t="s">
        <v>853</v>
      </c>
      <c r="B2604" s="924" t="s">
        <v>800</v>
      </c>
      <c r="C2604" s="924" t="s">
        <v>1188</v>
      </c>
      <c r="D2604" s="924" t="s">
        <v>1163</v>
      </c>
      <c r="E2604" s="924" t="s">
        <v>856</v>
      </c>
      <c r="F2604" s="924" t="s">
        <v>1022</v>
      </c>
      <c r="G2604" s="924" t="s">
        <v>858</v>
      </c>
      <c r="H2604" s="924" t="s">
        <v>836</v>
      </c>
      <c r="I2604" s="924" t="s">
        <v>837</v>
      </c>
      <c r="J2604" s="924" t="s">
        <v>940</v>
      </c>
      <c r="K2604" s="924" t="s">
        <v>1023</v>
      </c>
      <c r="L2604" s="925">
        <v>0.37592168443370599</v>
      </c>
      <c r="M2604" s="925">
        <v>1.6886050940967401E-5</v>
      </c>
    </row>
    <row r="2605" spans="1:13" ht="11.25" customHeight="1" x14ac:dyDescent="0.2">
      <c r="A2605" s="924" t="s">
        <v>853</v>
      </c>
      <c r="B2605" s="924" t="s">
        <v>800</v>
      </c>
      <c r="C2605" s="924" t="s">
        <v>1188</v>
      </c>
      <c r="D2605" s="924" t="s">
        <v>1163</v>
      </c>
      <c r="E2605" s="924" t="s">
        <v>856</v>
      </c>
      <c r="F2605" s="924" t="s">
        <v>1020</v>
      </c>
      <c r="G2605" s="924" t="s">
        <v>858</v>
      </c>
      <c r="H2605" s="924" t="s">
        <v>836</v>
      </c>
      <c r="I2605" s="924" t="s">
        <v>837</v>
      </c>
      <c r="J2605" s="924" t="s">
        <v>863</v>
      </c>
      <c r="K2605" s="924" t="s">
        <v>866</v>
      </c>
      <c r="L2605" s="925">
        <v>5233.6774368286096</v>
      </c>
      <c r="M2605" s="925">
        <v>0.12703478908497301</v>
      </c>
    </row>
    <row r="2606" spans="1:13" ht="11.25" customHeight="1" x14ac:dyDescent="0.2">
      <c r="A2606" s="924" t="s">
        <v>853</v>
      </c>
      <c r="B2606" s="924" t="s">
        <v>800</v>
      </c>
      <c r="C2606" s="924" t="s">
        <v>1188</v>
      </c>
      <c r="D2606" s="924" t="s">
        <v>1163</v>
      </c>
      <c r="E2606" s="924" t="s">
        <v>856</v>
      </c>
      <c r="F2606" s="924" t="s">
        <v>1001</v>
      </c>
      <c r="G2606" s="924" t="s">
        <v>858</v>
      </c>
      <c r="H2606" s="924" t="s">
        <v>836</v>
      </c>
      <c r="I2606" s="924" t="s">
        <v>837</v>
      </c>
      <c r="J2606" s="924" t="s">
        <v>863</v>
      </c>
      <c r="K2606" s="924" t="s">
        <v>915</v>
      </c>
      <c r="L2606" s="925">
        <v>41.836986303329503</v>
      </c>
      <c r="M2606" s="925">
        <v>1.2782980920462701E-3</v>
      </c>
    </row>
    <row r="2607" spans="1:13" ht="11.25" customHeight="1" x14ac:dyDescent="0.2">
      <c r="A2607" s="924" t="s">
        <v>853</v>
      </c>
      <c r="B2607" s="924" t="s">
        <v>800</v>
      </c>
      <c r="C2607" s="924" t="s">
        <v>1188</v>
      </c>
      <c r="D2607" s="924" t="s">
        <v>1163</v>
      </c>
      <c r="E2607" s="924" t="s">
        <v>856</v>
      </c>
      <c r="F2607" s="924" t="s">
        <v>1017</v>
      </c>
      <c r="G2607" s="924" t="s">
        <v>858</v>
      </c>
      <c r="H2607" s="924" t="s">
        <v>836</v>
      </c>
      <c r="I2607" s="924" t="s">
        <v>837</v>
      </c>
      <c r="J2607" s="924" t="s">
        <v>863</v>
      </c>
      <c r="K2607" s="924" t="s">
        <v>864</v>
      </c>
      <c r="L2607" s="925">
        <v>1083.98267841339</v>
      </c>
      <c r="M2607" s="925">
        <v>1.4700962381994E-2</v>
      </c>
    </row>
    <row r="2608" spans="1:13" ht="11.25" customHeight="1" x14ac:dyDescent="0.2">
      <c r="A2608" s="924" t="s">
        <v>853</v>
      </c>
      <c r="B2608" s="924" t="s">
        <v>800</v>
      </c>
      <c r="C2608" s="924" t="s">
        <v>1188</v>
      </c>
      <c r="D2608" s="924" t="s">
        <v>1163</v>
      </c>
      <c r="E2608" s="924" t="s">
        <v>856</v>
      </c>
      <c r="F2608" s="924" t="s">
        <v>1038</v>
      </c>
      <c r="G2608" s="924" t="s">
        <v>858</v>
      </c>
      <c r="H2608" s="924" t="s">
        <v>836</v>
      </c>
      <c r="I2608" s="924" t="s">
        <v>837</v>
      </c>
      <c r="J2608" s="924" t="s">
        <v>863</v>
      </c>
      <c r="K2608" s="924" t="s">
        <v>935</v>
      </c>
      <c r="L2608" s="925">
        <v>1068.86452102661</v>
      </c>
      <c r="M2608" s="925">
        <v>1.1568169108159099E-2</v>
      </c>
    </row>
    <row r="2609" spans="1:13" ht="11.25" customHeight="1" x14ac:dyDescent="0.2">
      <c r="A2609" s="924" t="s">
        <v>853</v>
      </c>
      <c r="B2609" s="924" t="s">
        <v>800</v>
      </c>
      <c r="C2609" s="924" t="s">
        <v>1188</v>
      </c>
      <c r="D2609" s="924" t="s">
        <v>1163</v>
      </c>
      <c r="E2609" s="924" t="s">
        <v>856</v>
      </c>
      <c r="F2609" s="924" t="s">
        <v>1014</v>
      </c>
      <c r="G2609" s="924" t="s">
        <v>858</v>
      </c>
      <c r="H2609" s="924" t="s">
        <v>836</v>
      </c>
      <c r="I2609" s="924" t="s">
        <v>837</v>
      </c>
      <c r="J2609" s="924" t="s">
        <v>863</v>
      </c>
      <c r="K2609" s="924" t="s">
        <v>933</v>
      </c>
      <c r="L2609" s="925">
        <v>2446.9378585815398</v>
      </c>
      <c r="M2609" s="925">
        <v>1.7323205765364901E-2</v>
      </c>
    </row>
    <row r="2610" spans="1:13" ht="11.25" customHeight="1" x14ac:dyDescent="0.2">
      <c r="A2610" s="924" t="s">
        <v>853</v>
      </c>
      <c r="B2610" s="924" t="s">
        <v>800</v>
      </c>
      <c r="C2610" s="924" t="s">
        <v>1188</v>
      </c>
      <c r="D2610" s="924" t="s">
        <v>1163</v>
      </c>
      <c r="E2610" s="924" t="s">
        <v>856</v>
      </c>
      <c r="F2610" s="924" t="s">
        <v>1013</v>
      </c>
      <c r="G2610" s="924" t="s">
        <v>858</v>
      </c>
      <c r="H2610" s="924" t="s">
        <v>836</v>
      </c>
      <c r="I2610" s="924" t="s">
        <v>837</v>
      </c>
      <c r="J2610" s="924" t="s">
        <v>863</v>
      </c>
      <c r="K2610" s="924" t="s">
        <v>931</v>
      </c>
      <c r="L2610" s="925">
        <v>168.903935670853</v>
      </c>
      <c r="M2610" s="925">
        <v>6.1740487010410999E-3</v>
      </c>
    </row>
    <row r="2611" spans="1:13" ht="11.25" customHeight="1" x14ac:dyDescent="0.2">
      <c r="A2611" s="924" t="s">
        <v>853</v>
      </c>
      <c r="B2611" s="924" t="s">
        <v>800</v>
      </c>
      <c r="C2611" s="924" t="s">
        <v>1188</v>
      </c>
      <c r="D2611" s="924" t="s">
        <v>1163</v>
      </c>
      <c r="E2611" s="924" t="s">
        <v>856</v>
      </c>
      <c r="F2611" s="924" t="s">
        <v>1012</v>
      </c>
      <c r="G2611" s="924" t="s">
        <v>858</v>
      </c>
      <c r="H2611" s="924" t="s">
        <v>836</v>
      </c>
      <c r="I2611" s="924" t="s">
        <v>837</v>
      </c>
      <c r="J2611" s="924" t="s">
        <v>859</v>
      </c>
      <c r="K2611" s="924" t="s">
        <v>891</v>
      </c>
      <c r="L2611" s="925">
        <v>378.35744094848599</v>
      </c>
      <c r="M2611" s="925">
        <v>5.0148435204846499E-3</v>
      </c>
    </row>
    <row r="2612" spans="1:13" ht="11.25" customHeight="1" x14ac:dyDescent="0.2">
      <c r="A2612" s="924" t="s">
        <v>853</v>
      </c>
      <c r="B2612" s="924" t="s">
        <v>800</v>
      </c>
      <c r="C2612" s="924" t="s">
        <v>1188</v>
      </c>
      <c r="D2612" s="924" t="s">
        <v>1163</v>
      </c>
      <c r="E2612" s="924" t="s">
        <v>856</v>
      </c>
      <c r="F2612" s="924" t="s">
        <v>1010</v>
      </c>
      <c r="G2612" s="924" t="s">
        <v>858</v>
      </c>
      <c r="H2612" s="924" t="s">
        <v>836</v>
      </c>
      <c r="I2612" s="924" t="s">
        <v>837</v>
      </c>
      <c r="J2612" s="924" t="s">
        <v>859</v>
      </c>
      <c r="K2612" s="924" t="s">
        <v>1011</v>
      </c>
      <c r="L2612" s="925">
        <v>5.1627546697854996</v>
      </c>
      <c r="M2612" s="925">
        <v>2.37560473504317E-4</v>
      </c>
    </row>
    <row r="2613" spans="1:13" ht="11.25" customHeight="1" x14ac:dyDescent="0.2">
      <c r="A2613" s="924" t="s">
        <v>853</v>
      </c>
      <c r="B2613" s="924" t="s">
        <v>800</v>
      </c>
      <c r="C2613" s="924" t="s">
        <v>1188</v>
      </c>
      <c r="D2613" s="924" t="s">
        <v>1163</v>
      </c>
      <c r="E2613" s="924" t="s">
        <v>856</v>
      </c>
      <c r="F2613" s="924" t="s">
        <v>1021</v>
      </c>
      <c r="G2613" s="924" t="s">
        <v>858</v>
      </c>
      <c r="H2613" s="924" t="s">
        <v>836</v>
      </c>
      <c r="I2613" s="924" t="s">
        <v>837</v>
      </c>
      <c r="J2613" s="924" t="s">
        <v>863</v>
      </c>
      <c r="K2613" s="924" t="s">
        <v>868</v>
      </c>
      <c r="L2613" s="925">
        <v>1542.18236923218</v>
      </c>
      <c r="M2613" s="925">
        <v>8.2895015356143596E-3</v>
      </c>
    </row>
    <row r="2614" spans="1:13" ht="11.25" customHeight="1" x14ac:dyDescent="0.2">
      <c r="A2614" s="924" t="s">
        <v>853</v>
      </c>
      <c r="B2614" s="924" t="s">
        <v>800</v>
      </c>
      <c r="C2614" s="924" t="s">
        <v>1188</v>
      </c>
      <c r="D2614" s="924" t="s">
        <v>1163</v>
      </c>
      <c r="E2614" s="924" t="s">
        <v>856</v>
      </c>
      <c r="F2614" s="924" t="s">
        <v>1007</v>
      </c>
      <c r="G2614" s="924" t="s">
        <v>858</v>
      </c>
      <c r="H2614" s="924" t="s">
        <v>836</v>
      </c>
      <c r="I2614" s="924" t="s">
        <v>837</v>
      </c>
      <c r="J2614" s="924" t="s">
        <v>859</v>
      </c>
      <c r="K2614" s="924" t="s">
        <v>928</v>
      </c>
      <c r="L2614" s="925">
        <v>1687.4350318908701</v>
      </c>
      <c r="M2614" s="925">
        <v>7.3581394315624493E-2</v>
      </c>
    </row>
    <row r="2615" spans="1:13" ht="11.25" customHeight="1" x14ac:dyDescent="0.2">
      <c r="A2615" s="924" t="s">
        <v>853</v>
      </c>
      <c r="B2615" s="924" t="s">
        <v>800</v>
      </c>
      <c r="C2615" s="924" t="s">
        <v>1188</v>
      </c>
      <c r="D2615" s="924" t="s">
        <v>1163</v>
      </c>
      <c r="E2615" s="924" t="s">
        <v>856</v>
      </c>
      <c r="F2615" s="924" t="s">
        <v>902</v>
      </c>
      <c r="G2615" s="924" t="s">
        <v>858</v>
      </c>
      <c r="H2615" s="924" t="s">
        <v>836</v>
      </c>
      <c r="I2615" s="924" t="s">
        <v>837</v>
      </c>
      <c r="J2615" s="924" t="s">
        <v>859</v>
      </c>
      <c r="K2615" s="924" t="s">
        <v>903</v>
      </c>
      <c r="L2615" s="925">
        <v>430.78412961959799</v>
      </c>
      <c r="M2615" s="925">
        <v>7.48867051851221E-3</v>
      </c>
    </row>
    <row r="2616" spans="1:13" ht="11.25" customHeight="1" x14ac:dyDescent="0.2">
      <c r="A2616" s="924" t="s">
        <v>853</v>
      </c>
      <c r="B2616" s="924" t="s">
        <v>800</v>
      </c>
      <c r="C2616" s="924" t="s">
        <v>1188</v>
      </c>
      <c r="D2616" s="924" t="s">
        <v>1163</v>
      </c>
      <c r="E2616" s="924" t="s">
        <v>856</v>
      </c>
      <c r="F2616" s="924" t="s">
        <v>1004</v>
      </c>
      <c r="G2616" s="924" t="s">
        <v>858</v>
      </c>
      <c r="H2616" s="924" t="s">
        <v>836</v>
      </c>
      <c r="I2616" s="924" t="s">
        <v>837</v>
      </c>
      <c r="J2616" s="924" t="s">
        <v>859</v>
      </c>
      <c r="K2616" s="924" t="s">
        <v>926</v>
      </c>
      <c r="L2616" s="925">
        <v>2428.4713344574002</v>
      </c>
      <c r="M2616" s="925">
        <v>9.91003617691604E-2</v>
      </c>
    </row>
    <row r="2617" spans="1:13" ht="11.25" customHeight="1" x14ac:dyDescent="0.2">
      <c r="A2617" s="924" t="s">
        <v>853</v>
      </c>
      <c r="B2617" s="924" t="s">
        <v>800</v>
      </c>
      <c r="C2617" s="924" t="s">
        <v>1188</v>
      </c>
      <c r="D2617" s="924" t="s">
        <v>1163</v>
      </c>
      <c r="E2617" s="924" t="s">
        <v>856</v>
      </c>
      <c r="F2617" s="924" t="s">
        <v>1003</v>
      </c>
      <c r="G2617" s="924" t="s">
        <v>858</v>
      </c>
      <c r="H2617" s="924" t="s">
        <v>836</v>
      </c>
      <c r="I2617" s="924" t="s">
        <v>837</v>
      </c>
      <c r="J2617" s="924" t="s">
        <v>859</v>
      </c>
      <c r="K2617" s="924" t="s">
        <v>924</v>
      </c>
      <c r="L2617" s="925">
        <v>4007.1363868713402</v>
      </c>
      <c r="M2617" s="925">
        <v>3.8219221922190599E-2</v>
      </c>
    </row>
    <row r="2618" spans="1:13" ht="11.25" customHeight="1" x14ac:dyDescent="0.2">
      <c r="A2618" s="924" t="s">
        <v>853</v>
      </c>
      <c r="B2618" s="924" t="s">
        <v>800</v>
      </c>
      <c r="C2618" s="924" t="s">
        <v>1188</v>
      </c>
      <c r="D2618" s="924" t="s">
        <v>1163</v>
      </c>
      <c r="E2618" s="924" t="s">
        <v>856</v>
      </c>
      <c r="F2618" s="924" t="s">
        <v>1002</v>
      </c>
      <c r="G2618" s="924" t="s">
        <v>858</v>
      </c>
      <c r="H2618" s="924" t="s">
        <v>836</v>
      </c>
      <c r="I2618" s="924" t="s">
        <v>837</v>
      </c>
      <c r="J2618" s="924" t="s">
        <v>859</v>
      </c>
      <c r="K2618" s="924" t="s">
        <v>922</v>
      </c>
      <c r="L2618" s="925">
        <v>1178.5652189254799</v>
      </c>
      <c r="M2618" s="925">
        <v>1.34745804134582E-2</v>
      </c>
    </row>
    <row r="2619" spans="1:13" ht="11.25" customHeight="1" x14ac:dyDescent="0.2">
      <c r="A2619" s="924" t="s">
        <v>853</v>
      </c>
      <c r="B2619" s="924" t="s">
        <v>800</v>
      </c>
      <c r="C2619" s="924" t="s">
        <v>1188</v>
      </c>
      <c r="D2619" s="924" t="s">
        <v>1163</v>
      </c>
      <c r="E2619" s="924" t="s">
        <v>856</v>
      </c>
      <c r="F2619" s="924" t="s">
        <v>953</v>
      </c>
      <c r="G2619" s="924" t="s">
        <v>858</v>
      </c>
      <c r="H2619" s="924" t="s">
        <v>836</v>
      </c>
      <c r="I2619" s="924" t="s">
        <v>837</v>
      </c>
      <c r="J2619" s="924" t="s">
        <v>859</v>
      </c>
      <c r="K2619" s="924" t="s">
        <v>920</v>
      </c>
      <c r="L2619" s="925">
        <v>148.19243860244799</v>
      </c>
      <c r="M2619" s="925">
        <v>1.91149819619341E-3</v>
      </c>
    </row>
    <row r="2620" spans="1:13" ht="11.25" customHeight="1" x14ac:dyDescent="0.2">
      <c r="A2620" s="924" t="s">
        <v>853</v>
      </c>
      <c r="B2620" s="924" t="s">
        <v>800</v>
      </c>
      <c r="C2620" s="924" t="s">
        <v>1188</v>
      </c>
      <c r="D2620" s="924" t="s">
        <v>1163</v>
      </c>
      <c r="E2620" s="924" t="s">
        <v>856</v>
      </c>
      <c r="F2620" s="924" t="s">
        <v>1071</v>
      </c>
      <c r="G2620" s="924" t="s">
        <v>858</v>
      </c>
      <c r="H2620" s="924" t="s">
        <v>836</v>
      </c>
      <c r="I2620" s="924" t="s">
        <v>837</v>
      </c>
      <c r="J2620" s="924" t="s">
        <v>859</v>
      </c>
      <c r="K2620" s="924" t="s">
        <v>1072</v>
      </c>
      <c r="L2620" s="925">
        <v>3150.3570365905798</v>
      </c>
      <c r="M2620" s="925">
        <v>2.80183360341653E-2</v>
      </c>
    </row>
    <row r="2621" spans="1:13" ht="11.25" customHeight="1" x14ac:dyDescent="0.2">
      <c r="A2621" s="924" t="s">
        <v>853</v>
      </c>
      <c r="B2621" s="924" t="s">
        <v>800</v>
      </c>
      <c r="C2621" s="924" t="s">
        <v>1188</v>
      </c>
      <c r="D2621" s="924" t="s">
        <v>1163</v>
      </c>
      <c r="E2621" s="924" t="s">
        <v>856</v>
      </c>
      <c r="F2621" s="924" t="s">
        <v>886</v>
      </c>
      <c r="G2621" s="924" t="s">
        <v>858</v>
      </c>
      <c r="H2621" s="924" t="s">
        <v>836</v>
      </c>
      <c r="I2621" s="924" t="s">
        <v>837</v>
      </c>
      <c r="J2621" s="924" t="s">
        <v>859</v>
      </c>
      <c r="K2621" s="924" t="s">
        <v>887</v>
      </c>
      <c r="L2621" s="925">
        <v>915.86820411682095</v>
      </c>
      <c r="M2621" s="925">
        <v>6.7782950852688399E-3</v>
      </c>
    </row>
    <row r="2622" spans="1:13" ht="11.25" customHeight="1" x14ac:dyDescent="0.2">
      <c r="A2622" s="924" t="s">
        <v>853</v>
      </c>
      <c r="B2622" s="924" t="s">
        <v>800</v>
      </c>
      <c r="C2622" s="924" t="s">
        <v>1188</v>
      </c>
      <c r="D2622" s="924" t="s">
        <v>1163</v>
      </c>
      <c r="E2622" s="924" t="s">
        <v>856</v>
      </c>
      <c r="F2622" s="924" t="s">
        <v>1037</v>
      </c>
      <c r="G2622" s="924" t="s">
        <v>858</v>
      </c>
      <c r="H2622" s="924" t="s">
        <v>836</v>
      </c>
      <c r="I2622" s="924" t="s">
        <v>837</v>
      </c>
      <c r="J2622" s="924" t="s">
        <v>859</v>
      </c>
      <c r="K2622" s="924" t="s">
        <v>918</v>
      </c>
      <c r="L2622" s="925">
        <v>841.58752632141102</v>
      </c>
      <c r="M2622" s="925">
        <v>8.1447482166368008E-3</v>
      </c>
    </row>
    <row r="2623" spans="1:13" ht="11.25" customHeight="1" x14ac:dyDescent="0.2">
      <c r="A2623" s="924" t="s">
        <v>853</v>
      </c>
      <c r="B2623" s="924" t="s">
        <v>800</v>
      </c>
      <c r="C2623" s="924" t="s">
        <v>1188</v>
      </c>
      <c r="D2623" s="924" t="s">
        <v>1163</v>
      </c>
      <c r="E2623" s="924" t="s">
        <v>856</v>
      </c>
      <c r="F2623" s="924" t="s">
        <v>972</v>
      </c>
      <c r="G2623" s="924" t="s">
        <v>858</v>
      </c>
      <c r="H2623" s="924" t="s">
        <v>836</v>
      </c>
      <c r="I2623" s="924" t="s">
        <v>837</v>
      </c>
      <c r="J2623" s="924" t="s">
        <v>859</v>
      </c>
      <c r="K2623" s="924" t="s">
        <v>973</v>
      </c>
      <c r="L2623" s="925">
        <v>14.560593560338001</v>
      </c>
      <c r="M2623" s="925">
        <v>3.7092183755049702E-4</v>
      </c>
    </row>
    <row r="2624" spans="1:13" ht="11.25" customHeight="1" x14ac:dyDescent="0.2">
      <c r="A2624" s="924" t="s">
        <v>853</v>
      </c>
      <c r="B2624" s="924" t="s">
        <v>800</v>
      </c>
      <c r="C2624" s="924" t="s">
        <v>1188</v>
      </c>
      <c r="D2624" s="924" t="s">
        <v>1163</v>
      </c>
      <c r="E2624" s="924" t="s">
        <v>856</v>
      </c>
      <c r="F2624" s="924" t="s">
        <v>908</v>
      </c>
      <c r="G2624" s="924" t="s">
        <v>858</v>
      </c>
      <c r="H2624" s="924" t="s">
        <v>836</v>
      </c>
      <c r="I2624" s="924" t="s">
        <v>837</v>
      </c>
      <c r="J2624" s="924" t="s">
        <v>859</v>
      </c>
      <c r="K2624" s="924" t="s">
        <v>909</v>
      </c>
      <c r="L2624" s="925">
        <v>30.6247043609619</v>
      </c>
      <c r="M2624" s="925">
        <v>6.40986550664024E-4</v>
      </c>
    </row>
    <row r="2625" spans="1:13" ht="11.25" customHeight="1" x14ac:dyDescent="0.2">
      <c r="A2625" s="924" t="s">
        <v>853</v>
      </c>
      <c r="B2625" s="924" t="s">
        <v>800</v>
      </c>
      <c r="C2625" s="924" t="s">
        <v>1188</v>
      </c>
      <c r="D2625" s="924" t="s">
        <v>1163</v>
      </c>
      <c r="E2625" s="924" t="s">
        <v>856</v>
      </c>
      <c r="F2625" s="924" t="s">
        <v>906</v>
      </c>
      <c r="G2625" s="924" t="s">
        <v>858</v>
      </c>
      <c r="H2625" s="924" t="s">
        <v>836</v>
      </c>
      <c r="I2625" s="924" t="s">
        <v>837</v>
      </c>
      <c r="J2625" s="924" t="s">
        <v>859</v>
      </c>
      <c r="K2625" s="924" t="s">
        <v>907</v>
      </c>
      <c r="L2625" s="925">
        <v>3681.0297012329102</v>
      </c>
      <c r="M2625" s="925">
        <v>2.4506344294877601E-2</v>
      </c>
    </row>
    <row r="2626" spans="1:13" ht="11.25" customHeight="1" x14ac:dyDescent="0.2">
      <c r="A2626" s="924" t="s">
        <v>853</v>
      </c>
      <c r="B2626" s="924" t="s">
        <v>800</v>
      </c>
      <c r="C2626" s="924" t="s">
        <v>1188</v>
      </c>
      <c r="D2626" s="924" t="s">
        <v>1163</v>
      </c>
      <c r="E2626" s="924" t="s">
        <v>856</v>
      </c>
      <c r="F2626" s="924" t="s">
        <v>904</v>
      </c>
      <c r="G2626" s="924" t="s">
        <v>858</v>
      </c>
      <c r="H2626" s="924" t="s">
        <v>836</v>
      </c>
      <c r="I2626" s="924" t="s">
        <v>837</v>
      </c>
      <c r="J2626" s="924" t="s">
        <v>859</v>
      </c>
      <c r="K2626" s="924" t="s">
        <v>905</v>
      </c>
      <c r="L2626" s="925">
        <v>372.98967790603598</v>
      </c>
      <c r="M2626" s="925">
        <v>7.0660794895047703E-3</v>
      </c>
    </row>
    <row r="2627" spans="1:13" ht="11.25" customHeight="1" x14ac:dyDescent="0.2">
      <c r="A2627" s="924" t="s">
        <v>853</v>
      </c>
      <c r="B2627" s="924" t="s">
        <v>800</v>
      </c>
      <c r="C2627" s="924" t="s">
        <v>1188</v>
      </c>
      <c r="D2627" s="924" t="s">
        <v>1163</v>
      </c>
      <c r="E2627" s="924" t="s">
        <v>856</v>
      </c>
      <c r="F2627" s="924" t="s">
        <v>1008</v>
      </c>
      <c r="G2627" s="924" t="s">
        <v>858</v>
      </c>
      <c r="H2627" s="924" t="s">
        <v>836</v>
      </c>
      <c r="I2627" s="924" t="s">
        <v>837</v>
      </c>
      <c r="J2627" s="924" t="s">
        <v>859</v>
      </c>
      <c r="K2627" s="924" t="s">
        <v>1009</v>
      </c>
      <c r="L2627" s="925">
        <v>393.37579059600802</v>
      </c>
      <c r="M2627" s="925">
        <v>3.20471092862817E-3</v>
      </c>
    </row>
    <row r="2628" spans="1:13" ht="11.25" customHeight="1" x14ac:dyDescent="0.2">
      <c r="A2628" s="924" t="s">
        <v>853</v>
      </c>
      <c r="B2628" s="924" t="s">
        <v>800</v>
      </c>
      <c r="C2628" s="924" t="s">
        <v>1188</v>
      </c>
      <c r="D2628" s="924" t="s">
        <v>1163</v>
      </c>
      <c r="E2628" s="924" t="s">
        <v>856</v>
      </c>
      <c r="F2628" s="924" t="s">
        <v>1114</v>
      </c>
      <c r="G2628" s="924" t="s">
        <v>981</v>
      </c>
      <c r="H2628" s="924" t="s">
        <v>835</v>
      </c>
      <c r="I2628" s="924" t="s">
        <v>1040</v>
      </c>
      <c r="J2628" s="924" t="s">
        <v>870</v>
      </c>
      <c r="K2628" s="924" t="s">
        <v>963</v>
      </c>
      <c r="L2628" s="925">
        <v>6.9848031979054204</v>
      </c>
      <c r="M2628" s="925">
        <v>1.16094162508489E-2</v>
      </c>
    </row>
    <row r="2629" spans="1:13" ht="11.25" customHeight="1" x14ac:dyDescent="0.2">
      <c r="A2629" s="924" t="s">
        <v>853</v>
      </c>
      <c r="B2629" s="924" t="s">
        <v>800</v>
      </c>
      <c r="C2629" s="924" t="s">
        <v>1188</v>
      </c>
      <c r="D2629" s="924" t="s">
        <v>1163</v>
      </c>
      <c r="E2629" s="924" t="s">
        <v>856</v>
      </c>
      <c r="F2629" s="924" t="s">
        <v>1173</v>
      </c>
      <c r="G2629" s="924" t="s">
        <v>981</v>
      </c>
      <c r="H2629" s="924" t="s">
        <v>835</v>
      </c>
      <c r="I2629" s="924" t="s">
        <v>1040</v>
      </c>
      <c r="J2629" s="924" t="s">
        <v>863</v>
      </c>
      <c r="K2629" s="924" t="s">
        <v>1171</v>
      </c>
      <c r="L2629" s="925">
        <v>4.2775016278028497</v>
      </c>
      <c r="M2629" s="925">
        <v>3.4660502205952101E-3</v>
      </c>
    </row>
    <row r="2630" spans="1:13" ht="11.25" customHeight="1" x14ac:dyDescent="0.2">
      <c r="A2630" s="924" t="s">
        <v>853</v>
      </c>
      <c r="B2630" s="924" t="s">
        <v>800</v>
      </c>
      <c r="C2630" s="924" t="s">
        <v>1188</v>
      </c>
      <c r="D2630" s="924" t="s">
        <v>1163</v>
      </c>
      <c r="E2630" s="924" t="s">
        <v>856</v>
      </c>
      <c r="F2630" s="924" t="s">
        <v>1126</v>
      </c>
      <c r="G2630" s="924" t="s">
        <v>981</v>
      </c>
      <c r="H2630" s="924" t="s">
        <v>835</v>
      </c>
      <c r="I2630" s="924" t="s">
        <v>1040</v>
      </c>
      <c r="J2630" s="924" t="s">
        <v>956</v>
      </c>
      <c r="K2630" s="924" t="s">
        <v>957</v>
      </c>
      <c r="L2630" s="925">
        <v>7.0210006379056694E-2</v>
      </c>
      <c r="M2630" s="925">
        <v>5.5165726905670501E-5</v>
      </c>
    </row>
    <row r="2631" spans="1:13" ht="11.25" customHeight="1" x14ac:dyDescent="0.2">
      <c r="A2631" s="924" t="s">
        <v>853</v>
      </c>
      <c r="B2631" s="924" t="s">
        <v>800</v>
      </c>
      <c r="C2631" s="924" t="s">
        <v>1188</v>
      </c>
      <c r="D2631" s="924" t="s">
        <v>1163</v>
      </c>
      <c r="E2631" s="924" t="s">
        <v>856</v>
      </c>
      <c r="F2631" s="924" t="s">
        <v>1124</v>
      </c>
      <c r="G2631" s="924" t="s">
        <v>981</v>
      </c>
      <c r="H2631" s="924" t="s">
        <v>835</v>
      </c>
      <c r="I2631" s="924" t="s">
        <v>1040</v>
      </c>
      <c r="J2631" s="924" t="s">
        <v>956</v>
      </c>
      <c r="K2631" s="924" t="s">
        <v>1125</v>
      </c>
      <c r="L2631" s="925">
        <v>6.0936626866459802</v>
      </c>
      <c r="M2631" s="925">
        <v>4.8826074462908799E-3</v>
      </c>
    </row>
    <row r="2632" spans="1:13" ht="11.25" customHeight="1" x14ac:dyDescent="0.2">
      <c r="A2632" s="924" t="s">
        <v>853</v>
      </c>
      <c r="B2632" s="924" t="s">
        <v>800</v>
      </c>
      <c r="C2632" s="924" t="s">
        <v>1188</v>
      </c>
      <c r="D2632" s="924" t="s">
        <v>1163</v>
      </c>
      <c r="E2632" s="924" t="s">
        <v>856</v>
      </c>
      <c r="F2632" s="924" t="s">
        <v>1123</v>
      </c>
      <c r="G2632" s="924" t="s">
        <v>981</v>
      </c>
      <c r="H2632" s="924" t="s">
        <v>835</v>
      </c>
      <c r="I2632" s="924" t="s">
        <v>1040</v>
      </c>
      <c r="J2632" s="924" t="s">
        <v>875</v>
      </c>
      <c r="K2632" s="924" t="s">
        <v>952</v>
      </c>
      <c r="L2632" s="925">
        <v>119.62073707580601</v>
      </c>
      <c r="M2632" s="925">
        <v>8.3310428101469797E-2</v>
      </c>
    </row>
    <row r="2633" spans="1:13" ht="11.25" customHeight="1" x14ac:dyDescent="0.2">
      <c r="A2633" s="924" t="s">
        <v>853</v>
      </c>
      <c r="B2633" s="924" t="s">
        <v>800</v>
      </c>
      <c r="C2633" s="924" t="s">
        <v>1188</v>
      </c>
      <c r="D2633" s="924" t="s">
        <v>1163</v>
      </c>
      <c r="E2633" s="924" t="s">
        <v>856</v>
      </c>
      <c r="F2633" s="924" t="s">
        <v>1122</v>
      </c>
      <c r="G2633" s="924" t="s">
        <v>981</v>
      </c>
      <c r="H2633" s="924" t="s">
        <v>835</v>
      </c>
      <c r="I2633" s="924" t="s">
        <v>1040</v>
      </c>
      <c r="J2633" s="924" t="s">
        <v>875</v>
      </c>
      <c r="K2633" s="924" t="s">
        <v>950</v>
      </c>
      <c r="L2633" s="925">
        <v>2549.9863777160599</v>
      </c>
      <c r="M2633" s="925">
        <v>1.77061147696259</v>
      </c>
    </row>
    <row r="2634" spans="1:13" ht="11.25" customHeight="1" x14ac:dyDescent="0.2">
      <c r="A2634" s="924" t="s">
        <v>853</v>
      </c>
      <c r="B2634" s="924" t="s">
        <v>800</v>
      </c>
      <c r="C2634" s="924" t="s">
        <v>1188</v>
      </c>
      <c r="D2634" s="924" t="s">
        <v>1163</v>
      </c>
      <c r="E2634" s="924" t="s">
        <v>856</v>
      </c>
      <c r="F2634" s="924" t="s">
        <v>1121</v>
      </c>
      <c r="G2634" s="924" t="s">
        <v>981</v>
      </c>
      <c r="H2634" s="924" t="s">
        <v>835</v>
      </c>
      <c r="I2634" s="924" t="s">
        <v>1040</v>
      </c>
      <c r="J2634" s="924" t="s">
        <v>875</v>
      </c>
      <c r="K2634" s="924" t="s">
        <v>948</v>
      </c>
      <c r="L2634" s="925">
        <v>1612.1914787292501</v>
      </c>
      <c r="M2634" s="925">
        <v>1.0096723964579699</v>
      </c>
    </row>
    <row r="2635" spans="1:13" ht="11.25" customHeight="1" x14ac:dyDescent="0.2">
      <c r="A2635" s="924" t="s">
        <v>853</v>
      </c>
      <c r="B2635" s="924" t="s">
        <v>800</v>
      </c>
      <c r="C2635" s="924" t="s">
        <v>1188</v>
      </c>
      <c r="D2635" s="924" t="s">
        <v>1163</v>
      </c>
      <c r="E2635" s="924" t="s">
        <v>856</v>
      </c>
      <c r="F2635" s="924" t="s">
        <v>1120</v>
      </c>
      <c r="G2635" s="924" t="s">
        <v>981</v>
      </c>
      <c r="H2635" s="924" t="s">
        <v>835</v>
      </c>
      <c r="I2635" s="924" t="s">
        <v>1040</v>
      </c>
      <c r="J2635" s="924" t="s">
        <v>875</v>
      </c>
      <c r="K2635" s="924" t="s">
        <v>880</v>
      </c>
      <c r="L2635" s="925">
        <v>749.24205493927002</v>
      </c>
      <c r="M2635" s="925">
        <v>0.435495442419779</v>
      </c>
    </row>
    <row r="2636" spans="1:13" ht="11.25" customHeight="1" x14ac:dyDescent="0.2">
      <c r="A2636" s="924" t="s">
        <v>853</v>
      </c>
      <c r="B2636" s="924" t="s">
        <v>800</v>
      </c>
      <c r="C2636" s="924" t="s">
        <v>1188</v>
      </c>
      <c r="D2636" s="924" t="s">
        <v>1163</v>
      </c>
      <c r="E2636" s="924" t="s">
        <v>856</v>
      </c>
      <c r="F2636" s="924" t="s">
        <v>1119</v>
      </c>
      <c r="G2636" s="924" t="s">
        <v>981</v>
      </c>
      <c r="H2636" s="924" t="s">
        <v>835</v>
      </c>
      <c r="I2636" s="924" t="s">
        <v>1040</v>
      </c>
      <c r="J2636" s="924" t="s">
        <v>875</v>
      </c>
      <c r="K2636" s="924" t="s">
        <v>878</v>
      </c>
      <c r="L2636" s="925">
        <v>1416.6597270965599</v>
      </c>
      <c r="M2636" s="925">
        <v>0.94412528525572303</v>
      </c>
    </row>
    <row r="2637" spans="1:13" ht="11.25" customHeight="1" x14ac:dyDescent="0.2">
      <c r="A2637" s="924" t="s">
        <v>853</v>
      </c>
      <c r="B2637" s="924" t="s">
        <v>800</v>
      </c>
      <c r="C2637" s="924" t="s">
        <v>1188</v>
      </c>
      <c r="D2637" s="924" t="s">
        <v>1163</v>
      </c>
      <c r="E2637" s="924" t="s">
        <v>856</v>
      </c>
      <c r="F2637" s="924" t="s">
        <v>1104</v>
      </c>
      <c r="G2637" s="924" t="s">
        <v>981</v>
      </c>
      <c r="H2637" s="924" t="s">
        <v>835</v>
      </c>
      <c r="I2637" s="924" t="s">
        <v>1040</v>
      </c>
      <c r="J2637" s="924" t="s">
        <v>875</v>
      </c>
      <c r="K2637" s="924" t="s">
        <v>876</v>
      </c>
      <c r="L2637" s="925">
        <v>5672.48239898682</v>
      </c>
      <c r="M2637" s="925">
        <v>3.8218905255198501</v>
      </c>
    </row>
    <row r="2638" spans="1:13" ht="11.25" customHeight="1" x14ac:dyDescent="0.2">
      <c r="A2638" s="924" t="s">
        <v>853</v>
      </c>
      <c r="B2638" s="924" t="s">
        <v>800</v>
      </c>
      <c r="C2638" s="924" t="s">
        <v>1188</v>
      </c>
      <c r="D2638" s="924" t="s">
        <v>1163</v>
      </c>
      <c r="E2638" s="924" t="s">
        <v>856</v>
      </c>
      <c r="F2638" s="924" t="s">
        <v>1117</v>
      </c>
      <c r="G2638" s="924" t="s">
        <v>981</v>
      </c>
      <c r="H2638" s="924" t="s">
        <v>835</v>
      </c>
      <c r="I2638" s="924" t="s">
        <v>1040</v>
      </c>
      <c r="J2638" s="924" t="s">
        <v>870</v>
      </c>
      <c r="K2638" s="924" t="s">
        <v>873</v>
      </c>
      <c r="L2638" s="925">
        <v>2.3937707925215399</v>
      </c>
      <c r="M2638" s="925">
        <v>2.4025084223922E-4</v>
      </c>
    </row>
    <row r="2639" spans="1:13" ht="11.25" customHeight="1" x14ac:dyDescent="0.2">
      <c r="A2639" s="924" t="s">
        <v>853</v>
      </c>
      <c r="B2639" s="924" t="s">
        <v>800</v>
      </c>
      <c r="C2639" s="924" t="s">
        <v>1188</v>
      </c>
      <c r="D2639" s="924" t="s">
        <v>1163</v>
      </c>
      <c r="E2639" s="924" t="s">
        <v>856</v>
      </c>
      <c r="F2639" s="924" t="s">
        <v>1116</v>
      </c>
      <c r="G2639" s="924" t="s">
        <v>981</v>
      </c>
      <c r="H2639" s="924" t="s">
        <v>835</v>
      </c>
      <c r="I2639" s="924" t="s">
        <v>1040</v>
      </c>
      <c r="J2639" s="924" t="s">
        <v>940</v>
      </c>
      <c r="K2639" s="924" t="s">
        <v>1032</v>
      </c>
      <c r="L2639" s="925">
        <v>18760.128684997599</v>
      </c>
      <c r="M2639" s="925">
        <v>11.825375262647899</v>
      </c>
    </row>
    <row r="2640" spans="1:13" ht="11.25" customHeight="1" x14ac:dyDescent="0.2">
      <c r="A2640" s="924" t="s">
        <v>853</v>
      </c>
      <c r="B2640" s="924" t="s">
        <v>800</v>
      </c>
      <c r="C2640" s="924" t="s">
        <v>1188</v>
      </c>
      <c r="D2640" s="924" t="s">
        <v>1163</v>
      </c>
      <c r="E2640" s="924" t="s">
        <v>856</v>
      </c>
      <c r="F2640" s="924" t="s">
        <v>1115</v>
      </c>
      <c r="G2640" s="924" t="s">
        <v>981</v>
      </c>
      <c r="H2640" s="924" t="s">
        <v>835</v>
      </c>
      <c r="I2640" s="924" t="s">
        <v>1040</v>
      </c>
      <c r="J2640" s="924" t="s">
        <v>870</v>
      </c>
      <c r="K2640" s="924" t="s">
        <v>965</v>
      </c>
      <c r="L2640" s="925">
        <v>1.5065647484734701</v>
      </c>
      <c r="M2640" s="925">
        <v>1.26677672324149E-3</v>
      </c>
    </row>
    <row r="2641" spans="1:13" ht="11.25" customHeight="1" x14ac:dyDescent="0.2">
      <c r="A2641" s="924" t="s">
        <v>853</v>
      </c>
      <c r="B2641" s="924" t="s">
        <v>800</v>
      </c>
      <c r="C2641" s="924" t="s">
        <v>1188</v>
      </c>
      <c r="D2641" s="924" t="s">
        <v>1163</v>
      </c>
      <c r="E2641" s="924" t="s">
        <v>856</v>
      </c>
      <c r="F2641" s="924" t="s">
        <v>1118</v>
      </c>
      <c r="G2641" s="924" t="s">
        <v>911</v>
      </c>
      <c r="H2641" s="924" t="s">
        <v>665</v>
      </c>
      <c r="I2641" s="924" t="s">
        <v>706</v>
      </c>
      <c r="J2641" s="924" t="s">
        <v>859</v>
      </c>
      <c r="K2641" s="924" t="s">
        <v>893</v>
      </c>
      <c r="L2641" s="925">
        <v>5.0643113106489199</v>
      </c>
      <c r="M2641" s="925">
        <v>2.45018030454958E-4</v>
      </c>
    </row>
    <row r="2642" spans="1:13" ht="11.25" customHeight="1" x14ac:dyDescent="0.2">
      <c r="A2642" s="924" t="s">
        <v>853</v>
      </c>
      <c r="B2642" s="924" t="s">
        <v>800</v>
      </c>
      <c r="C2642" s="924" t="s">
        <v>1188</v>
      </c>
      <c r="D2642" s="924" t="s">
        <v>1163</v>
      </c>
      <c r="E2642" s="924" t="s">
        <v>856</v>
      </c>
      <c r="F2642" s="924" t="s">
        <v>1113</v>
      </c>
      <c r="G2642" s="924" t="s">
        <v>981</v>
      </c>
      <c r="H2642" s="924" t="s">
        <v>835</v>
      </c>
      <c r="I2642" s="924" t="s">
        <v>1040</v>
      </c>
      <c r="J2642" s="924" t="s">
        <v>870</v>
      </c>
      <c r="K2642" s="924" t="s">
        <v>961</v>
      </c>
      <c r="L2642" s="925">
        <v>3.20275161229074</v>
      </c>
      <c r="M2642" s="925">
        <v>2.4266683793143801E-3</v>
      </c>
    </row>
    <row r="2643" spans="1:13" ht="11.25" customHeight="1" x14ac:dyDescent="0.2">
      <c r="A2643" s="924" t="s">
        <v>853</v>
      </c>
      <c r="B2643" s="924" t="s">
        <v>800</v>
      </c>
      <c r="C2643" s="924" t="s">
        <v>1188</v>
      </c>
      <c r="D2643" s="924" t="s">
        <v>1163</v>
      </c>
      <c r="E2643" s="924" t="s">
        <v>856</v>
      </c>
      <c r="F2643" s="924" t="s">
        <v>1112</v>
      </c>
      <c r="G2643" s="924" t="s">
        <v>981</v>
      </c>
      <c r="H2643" s="924" t="s">
        <v>835</v>
      </c>
      <c r="I2643" s="924" t="s">
        <v>1040</v>
      </c>
      <c r="J2643" s="924" t="s">
        <v>870</v>
      </c>
      <c r="K2643" s="924" t="s">
        <v>959</v>
      </c>
      <c r="L2643" s="925">
        <v>0.29308565519750102</v>
      </c>
      <c r="M2643" s="925">
        <v>1.93303992375604E-4</v>
      </c>
    </row>
    <row r="2644" spans="1:13" ht="11.25" customHeight="1" x14ac:dyDescent="0.2">
      <c r="A2644" s="924" t="s">
        <v>853</v>
      </c>
      <c r="B2644" s="924" t="s">
        <v>800</v>
      </c>
      <c r="C2644" s="924" t="s">
        <v>1188</v>
      </c>
      <c r="D2644" s="924" t="s">
        <v>1163</v>
      </c>
      <c r="E2644" s="924" t="s">
        <v>856</v>
      </c>
      <c r="F2644" s="924" t="s">
        <v>1111</v>
      </c>
      <c r="G2644" s="924" t="s">
        <v>981</v>
      </c>
      <c r="H2644" s="924" t="s">
        <v>835</v>
      </c>
      <c r="I2644" s="924" t="s">
        <v>1040</v>
      </c>
      <c r="J2644" s="924" t="s">
        <v>870</v>
      </c>
      <c r="K2644" s="924" t="s">
        <v>1016</v>
      </c>
      <c r="L2644" s="925">
        <v>0.95129884826019395</v>
      </c>
      <c r="M2644" s="925">
        <v>7.99888198230292E-4</v>
      </c>
    </row>
    <row r="2645" spans="1:13" ht="11.25" customHeight="1" x14ac:dyDescent="0.2">
      <c r="A2645" s="924" t="s">
        <v>853</v>
      </c>
      <c r="B2645" s="924" t="s">
        <v>800</v>
      </c>
      <c r="C2645" s="924" t="s">
        <v>1188</v>
      </c>
      <c r="D2645" s="924" t="s">
        <v>1163</v>
      </c>
      <c r="E2645" s="924" t="s">
        <v>856</v>
      </c>
      <c r="F2645" s="924" t="s">
        <v>1110</v>
      </c>
      <c r="G2645" s="924" t="s">
        <v>981</v>
      </c>
      <c r="H2645" s="924" t="s">
        <v>835</v>
      </c>
      <c r="I2645" s="924" t="s">
        <v>1040</v>
      </c>
      <c r="J2645" s="924" t="s">
        <v>870</v>
      </c>
      <c r="K2645" s="924" t="s">
        <v>1019</v>
      </c>
      <c r="L2645" s="925">
        <v>1.0625794318912101E-2</v>
      </c>
      <c r="M2645" s="925">
        <v>8.9056652985419794E-6</v>
      </c>
    </row>
    <row r="2646" spans="1:13" ht="11.25" customHeight="1" x14ac:dyDescent="0.2">
      <c r="A2646" s="924" t="s">
        <v>853</v>
      </c>
      <c r="B2646" s="924" t="s">
        <v>800</v>
      </c>
      <c r="C2646" s="924" t="s">
        <v>1188</v>
      </c>
      <c r="D2646" s="924" t="s">
        <v>1163</v>
      </c>
      <c r="E2646" s="924" t="s">
        <v>856</v>
      </c>
      <c r="F2646" s="924" t="s">
        <v>1109</v>
      </c>
      <c r="G2646" s="924" t="s">
        <v>981</v>
      </c>
      <c r="H2646" s="924" t="s">
        <v>835</v>
      </c>
      <c r="I2646" s="924" t="s">
        <v>1040</v>
      </c>
      <c r="J2646" s="924" t="s">
        <v>870</v>
      </c>
      <c r="K2646" s="924" t="s">
        <v>976</v>
      </c>
      <c r="L2646" s="925">
        <v>1.3759523336775601</v>
      </c>
      <c r="M2646" s="925">
        <v>2.8172313572971702E-4</v>
      </c>
    </row>
    <row r="2647" spans="1:13" ht="11.25" customHeight="1" x14ac:dyDescent="0.2">
      <c r="A2647" s="924" t="s">
        <v>853</v>
      </c>
      <c r="B2647" s="924" t="s">
        <v>800</v>
      </c>
      <c r="C2647" s="924" t="s">
        <v>1188</v>
      </c>
      <c r="D2647" s="924" t="s">
        <v>1163</v>
      </c>
      <c r="E2647" s="924" t="s">
        <v>856</v>
      </c>
      <c r="F2647" s="924" t="s">
        <v>1108</v>
      </c>
      <c r="G2647" s="924" t="s">
        <v>981</v>
      </c>
      <c r="H2647" s="924" t="s">
        <v>835</v>
      </c>
      <c r="I2647" s="924" t="s">
        <v>1040</v>
      </c>
      <c r="J2647" s="924" t="s">
        <v>870</v>
      </c>
      <c r="K2647" s="924" t="s">
        <v>1036</v>
      </c>
      <c r="L2647" s="925">
        <v>0.35658165882341603</v>
      </c>
      <c r="M2647" s="925">
        <v>2.41388832421308E-4</v>
      </c>
    </row>
    <row r="2648" spans="1:13" ht="11.25" customHeight="1" x14ac:dyDescent="0.2">
      <c r="A2648" s="924" t="s">
        <v>853</v>
      </c>
      <c r="B2648" s="924" t="s">
        <v>800</v>
      </c>
      <c r="C2648" s="924" t="s">
        <v>1188</v>
      </c>
      <c r="D2648" s="924" t="s">
        <v>1163</v>
      </c>
      <c r="E2648" s="924" t="s">
        <v>856</v>
      </c>
      <c r="F2648" s="924" t="s">
        <v>1107</v>
      </c>
      <c r="G2648" s="924" t="s">
        <v>981</v>
      </c>
      <c r="H2648" s="924" t="s">
        <v>835</v>
      </c>
      <c r="I2648" s="924" t="s">
        <v>1040</v>
      </c>
      <c r="J2648" s="924" t="s">
        <v>940</v>
      </c>
      <c r="K2648" s="924" t="s">
        <v>1034</v>
      </c>
      <c r="L2648" s="925">
        <v>576.67433190345798</v>
      </c>
      <c r="M2648" s="925">
        <v>0.41935747516833999</v>
      </c>
    </row>
    <row r="2649" spans="1:13" ht="11.25" customHeight="1" x14ac:dyDescent="0.2">
      <c r="A2649" s="924" t="s">
        <v>853</v>
      </c>
      <c r="B2649" s="924" t="s">
        <v>800</v>
      </c>
      <c r="C2649" s="924" t="s">
        <v>1188</v>
      </c>
      <c r="D2649" s="924" t="s">
        <v>1163</v>
      </c>
      <c r="E2649" s="924" t="s">
        <v>856</v>
      </c>
      <c r="F2649" s="924" t="s">
        <v>1105</v>
      </c>
      <c r="G2649" s="924" t="s">
        <v>981</v>
      </c>
      <c r="H2649" s="924" t="s">
        <v>835</v>
      </c>
      <c r="I2649" s="924" t="s">
        <v>1040</v>
      </c>
      <c r="J2649" s="924" t="s">
        <v>940</v>
      </c>
      <c r="K2649" s="924" t="s">
        <v>1106</v>
      </c>
      <c r="L2649" s="925">
        <v>140.32463109493301</v>
      </c>
      <c r="M2649" s="925">
        <v>0.102850538518553</v>
      </c>
    </row>
    <row r="2650" spans="1:13" ht="11.25" customHeight="1" x14ac:dyDescent="0.2">
      <c r="A2650" s="924" t="s">
        <v>853</v>
      </c>
      <c r="B2650" s="924" t="s">
        <v>800</v>
      </c>
      <c r="C2650" s="924" t="s">
        <v>1188</v>
      </c>
      <c r="D2650" s="924" t="s">
        <v>1163</v>
      </c>
      <c r="E2650" s="924" t="s">
        <v>856</v>
      </c>
      <c r="F2650" s="924" t="s">
        <v>1024</v>
      </c>
      <c r="G2650" s="924" t="s">
        <v>858</v>
      </c>
      <c r="H2650" s="924" t="s">
        <v>836</v>
      </c>
      <c r="I2650" s="924" t="s">
        <v>837</v>
      </c>
      <c r="J2650" s="924" t="s">
        <v>940</v>
      </c>
      <c r="K2650" s="924" t="s">
        <v>1025</v>
      </c>
      <c r="L2650" s="925">
        <v>99.824028015136705</v>
      </c>
      <c r="M2650" s="925">
        <v>1.64210878051563E-3</v>
      </c>
    </row>
    <row r="2651" spans="1:13" ht="11.25" customHeight="1" x14ac:dyDescent="0.2">
      <c r="A2651" s="924" t="s">
        <v>853</v>
      </c>
      <c r="B2651" s="924" t="s">
        <v>800</v>
      </c>
      <c r="C2651" s="924" t="s">
        <v>1188</v>
      </c>
      <c r="D2651" s="924" t="s">
        <v>1163</v>
      </c>
      <c r="E2651" s="924" t="s">
        <v>856</v>
      </c>
      <c r="F2651" s="924" t="s">
        <v>1132</v>
      </c>
      <c r="G2651" s="924" t="s">
        <v>981</v>
      </c>
      <c r="H2651" s="924" t="s">
        <v>835</v>
      </c>
      <c r="I2651" s="924" t="s">
        <v>1040</v>
      </c>
      <c r="J2651" s="924" t="s">
        <v>940</v>
      </c>
      <c r="K2651" s="924" t="s">
        <v>941</v>
      </c>
      <c r="L2651" s="925">
        <v>969.76476097106899</v>
      </c>
      <c r="M2651" s="925">
        <v>0.42343016853555998</v>
      </c>
    </row>
    <row r="2652" spans="1:13" ht="11.25" customHeight="1" x14ac:dyDescent="0.2">
      <c r="A2652" s="924" t="s">
        <v>853</v>
      </c>
      <c r="B2652" s="924" t="s">
        <v>800</v>
      </c>
      <c r="C2652" s="924" t="s">
        <v>1188</v>
      </c>
      <c r="D2652" s="924" t="s">
        <v>1163</v>
      </c>
      <c r="E2652" s="924" t="s">
        <v>856</v>
      </c>
      <c r="F2652" s="924" t="s">
        <v>1041</v>
      </c>
      <c r="G2652" s="924" t="s">
        <v>981</v>
      </c>
      <c r="H2652" s="924" t="s">
        <v>835</v>
      </c>
      <c r="I2652" s="924" t="s">
        <v>1040</v>
      </c>
      <c r="J2652" s="924" t="s">
        <v>859</v>
      </c>
      <c r="K2652" s="924" t="s">
        <v>891</v>
      </c>
      <c r="L2652" s="925">
        <v>6.8641425222158396</v>
      </c>
      <c r="M2652" s="925">
        <v>3.4425983958499299E-3</v>
      </c>
    </row>
    <row r="2653" spans="1:13" ht="11.25" customHeight="1" x14ac:dyDescent="0.2">
      <c r="A2653" s="924" t="s">
        <v>853</v>
      </c>
      <c r="B2653" s="924" t="s">
        <v>800</v>
      </c>
      <c r="C2653" s="924" t="s">
        <v>1188</v>
      </c>
      <c r="D2653" s="924" t="s">
        <v>1163</v>
      </c>
      <c r="E2653" s="924" t="s">
        <v>856</v>
      </c>
      <c r="F2653" s="924" t="s">
        <v>1130</v>
      </c>
      <c r="G2653" s="924" t="s">
        <v>981</v>
      </c>
      <c r="H2653" s="924" t="s">
        <v>835</v>
      </c>
      <c r="I2653" s="924" t="s">
        <v>1040</v>
      </c>
      <c r="J2653" s="924" t="s">
        <v>870</v>
      </c>
      <c r="K2653" s="924" t="s">
        <v>871</v>
      </c>
      <c r="L2653" s="925">
        <v>2.17096557002515</v>
      </c>
      <c r="M2653" s="925">
        <v>1.7293661616122301E-3</v>
      </c>
    </row>
    <row r="2654" spans="1:13" ht="11.25" customHeight="1" x14ac:dyDescent="0.2">
      <c r="A2654" s="924" t="s">
        <v>853</v>
      </c>
      <c r="B2654" s="924" t="s">
        <v>800</v>
      </c>
      <c r="C2654" s="924" t="s">
        <v>1188</v>
      </c>
      <c r="D2654" s="924" t="s">
        <v>1163</v>
      </c>
      <c r="E2654" s="924" t="s">
        <v>856</v>
      </c>
      <c r="F2654" s="924" t="s">
        <v>927</v>
      </c>
      <c r="G2654" s="924" t="s">
        <v>911</v>
      </c>
      <c r="H2654" s="924" t="s">
        <v>665</v>
      </c>
      <c r="I2654" s="924" t="s">
        <v>706</v>
      </c>
      <c r="J2654" s="924" t="s">
        <v>859</v>
      </c>
      <c r="K2654" s="924" t="s">
        <v>928</v>
      </c>
      <c r="L2654" s="925">
        <v>12.445974320173301</v>
      </c>
      <c r="M2654" s="925">
        <v>3.6912087252858302E-3</v>
      </c>
    </row>
    <row r="2655" spans="1:13" ht="11.25" customHeight="1" x14ac:dyDescent="0.2">
      <c r="A2655" s="924" t="s">
        <v>853</v>
      </c>
      <c r="B2655" s="924" t="s">
        <v>800</v>
      </c>
      <c r="C2655" s="924" t="s">
        <v>1188</v>
      </c>
      <c r="D2655" s="924" t="s">
        <v>1163</v>
      </c>
      <c r="E2655" s="924" t="s">
        <v>856</v>
      </c>
      <c r="F2655" s="924" t="s">
        <v>946</v>
      </c>
      <c r="G2655" s="924" t="s">
        <v>911</v>
      </c>
      <c r="H2655" s="924" t="s">
        <v>665</v>
      </c>
      <c r="I2655" s="924" t="s">
        <v>706</v>
      </c>
      <c r="J2655" s="924" t="s">
        <v>875</v>
      </c>
      <c r="K2655" s="924" t="s">
        <v>880</v>
      </c>
      <c r="L2655" s="925">
        <v>138.26585996150999</v>
      </c>
      <c r="M2655" s="925">
        <v>8.7999057996057707E-3</v>
      </c>
    </row>
    <row r="2656" spans="1:13" ht="11.25" customHeight="1" x14ac:dyDescent="0.2">
      <c r="A2656" s="924" t="s">
        <v>853</v>
      </c>
      <c r="B2656" s="924" t="s">
        <v>800</v>
      </c>
      <c r="C2656" s="924" t="s">
        <v>1188</v>
      </c>
      <c r="D2656" s="924" t="s">
        <v>1163</v>
      </c>
      <c r="E2656" s="924" t="s">
        <v>856</v>
      </c>
      <c r="F2656" s="924" t="s">
        <v>945</v>
      </c>
      <c r="G2656" s="924" t="s">
        <v>911</v>
      </c>
      <c r="H2656" s="924" t="s">
        <v>665</v>
      </c>
      <c r="I2656" s="924" t="s">
        <v>706</v>
      </c>
      <c r="J2656" s="924" t="s">
        <v>875</v>
      </c>
      <c r="K2656" s="924" t="s">
        <v>878</v>
      </c>
      <c r="L2656" s="925">
        <v>116.961737394333</v>
      </c>
      <c r="M2656" s="925">
        <v>1.7303305001405499E-2</v>
      </c>
    </row>
    <row r="2657" spans="1:13" ht="11.25" customHeight="1" x14ac:dyDescent="0.2">
      <c r="A2657" s="924" t="s">
        <v>853</v>
      </c>
      <c r="B2657" s="924" t="s">
        <v>800</v>
      </c>
      <c r="C2657" s="924" t="s">
        <v>1188</v>
      </c>
      <c r="D2657" s="924" t="s">
        <v>1163</v>
      </c>
      <c r="E2657" s="924" t="s">
        <v>856</v>
      </c>
      <c r="F2657" s="924" t="s">
        <v>944</v>
      </c>
      <c r="G2657" s="924" t="s">
        <v>911</v>
      </c>
      <c r="H2657" s="924" t="s">
        <v>665</v>
      </c>
      <c r="I2657" s="924" t="s">
        <v>706</v>
      </c>
      <c r="J2657" s="924" t="s">
        <v>875</v>
      </c>
      <c r="K2657" s="924" t="s">
        <v>876</v>
      </c>
      <c r="L2657" s="925">
        <v>529.66314506530796</v>
      </c>
      <c r="M2657" s="925">
        <v>0.16746105742640799</v>
      </c>
    </row>
    <row r="2658" spans="1:13" ht="11.25" customHeight="1" x14ac:dyDescent="0.2">
      <c r="A2658" s="924" t="s">
        <v>853</v>
      </c>
      <c r="B2658" s="924" t="s">
        <v>800</v>
      </c>
      <c r="C2658" s="924" t="s">
        <v>1188</v>
      </c>
      <c r="D2658" s="924" t="s">
        <v>1163</v>
      </c>
      <c r="E2658" s="924" t="s">
        <v>856</v>
      </c>
      <c r="F2658" s="924" t="s">
        <v>943</v>
      </c>
      <c r="G2658" s="924" t="s">
        <v>911</v>
      </c>
      <c r="H2658" s="924" t="s">
        <v>665</v>
      </c>
      <c r="I2658" s="924" t="s">
        <v>706</v>
      </c>
      <c r="J2658" s="924" t="s">
        <v>870</v>
      </c>
      <c r="K2658" s="924" t="s">
        <v>873</v>
      </c>
      <c r="L2658" s="925">
        <v>2.7559969894355201E-2</v>
      </c>
      <c r="M2658" s="925">
        <v>1.2515209917296501E-6</v>
      </c>
    </row>
    <row r="2659" spans="1:13" ht="11.25" customHeight="1" x14ac:dyDescent="0.2">
      <c r="A2659" s="924" t="s">
        <v>853</v>
      </c>
      <c r="B2659" s="924" t="s">
        <v>800</v>
      </c>
      <c r="C2659" s="924" t="s">
        <v>1188</v>
      </c>
      <c r="D2659" s="924" t="s">
        <v>1163</v>
      </c>
      <c r="E2659" s="924" t="s">
        <v>856</v>
      </c>
      <c r="F2659" s="924" t="s">
        <v>942</v>
      </c>
      <c r="G2659" s="924" t="s">
        <v>911</v>
      </c>
      <c r="H2659" s="924" t="s">
        <v>665</v>
      </c>
      <c r="I2659" s="924" t="s">
        <v>706</v>
      </c>
      <c r="J2659" s="924" t="s">
        <v>870</v>
      </c>
      <c r="K2659" s="924" t="s">
        <v>871</v>
      </c>
      <c r="L2659" s="925">
        <v>1.3558654813095899E-2</v>
      </c>
      <c r="M2659" s="925">
        <v>8.4620645321997807E-6</v>
      </c>
    </row>
    <row r="2660" spans="1:13" ht="11.25" customHeight="1" x14ac:dyDescent="0.2">
      <c r="A2660" s="924" t="s">
        <v>853</v>
      </c>
      <c r="B2660" s="924" t="s">
        <v>800</v>
      </c>
      <c r="C2660" s="924" t="s">
        <v>1188</v>
      </c>
      <c r="D2660" s="924" t="s">
        <v>1163</v>
      </c>
      <c r="E2660" s="924" t="s">
        <v>856</v>
      </c>
      <c r="F2660" s="924" t="s">
        <v>939</v>
      </c>
      <c r="G2660" s="924" t="s">
        <v>911</v>
      </c>
      <c r="H2660" s="924" t="s">
        <v>665</v>
      </c>
      <c r="I2660" s="924" t="s">
        <v>706</v>
      </c>
      <c r="J2660" s="924" t="s">
        <v>940</v>
      </c>
      <c r="K2660" s="924" t="s">
        <v>941</v>
      </c>
      <c r="L2660" s="925">
        <v>319.560287594795</v>
      </c>
      <c r="M2660" s="925">
        <v>1.5374353613879101E-2</v>
      </c>
    </row>
    <row r="2661" spans="1:13" ht="11.25" customHeight="1" x14ac:dyDescent="0.2">
      <c r="A2661" s="924" t="s">
        <v>853</v>
      </c>
      <c r="B2661" s="924" t="s">
        <v>800</v>
      </c>
      <c r="C2661" s="924" t="s">
        <v>1188</v>
      </c>
      <c r="D2661" s="924" t="s">
        <v>1163</v>
      </c>
      <c r="E2661" s="924" t="s">
        <v>856</v>
      </c>
      <c r="F2661" s="924" t="s">
        <v>938</v>
      </c>
      <c r="G2661" s="924" t="s">
        <v>911</v>
      </c>
      <c r="H2661" s="924" t="s">
        <v>665</v>
      </c>
      <c r="I2661" s="924" t="s">
        <v>706</v>
      </c>
      <c r="J2661" s="924" t="s">
        <v>863</v>
      </c>
      <c r="K2661" s="924" t="s">
        <v>868</v>
      </c>
      <c r="L2661" s="925">
        <v>43.305883228778796</v>
      </c>
      <c r="M2661" s="925">
        <v>2.0010715052194402E-3</v>
      </c>
    </row>
    <row r="2662" spans="1:13" ht="11.25" customHeight="1" x14ac:dyDescent="0.2">
      <c r="A2662" s="924" t="s">
        <v>853</v>
      </c>
      <c r="B2662" s="924" t="s">
        <v>800</v>
      </c>
      <c r="C2662" s="924" t="s">
        <v>1188</v>
      </c>
      <c r="D2662" s="924" t="s">
        <v>1163</v>
      </c>
      <c r="E2662" s="924" t="s">
        <v>856</v>
      </c>
      <c r="F2662" s="924" t="s">
        <v>914</v>
      </c>
      <c r="G2662" s="924" t="s">
        <v>911</v>
      </c>
      <c r="H2662" s="924" t="s">
        <v>665</v>
      </c>
      <c r="I2662" s="924" t="s">
        <v>706</v>
      </c>
      <c r="J2662" s="924" t="s">
        <v>863</v>
      </c>
      <c r="K2662" s="924" t="s">
        <v>915</v>
      </c>
      <c r="L2662" s="925">
        <v>5.3427790403366098</v>
      </c>
      <c r="M2662" s="925">
        <v>7.6234880930314798E-4</v>
      </c>
    </row>
    <row r="2663" spans="1:13" ht="11.25" customHeight="1" x14ac:dyDescent="0.2">
      <c r="A2663" s="924" t="s">
        <v>853</v>
      </c>
      <c r="B2663" s="924" t="s">
        <v>800</v>
      </c>
      <c r="C2663" s="924" t="s">
        <v>1188</v>
      </c>
      <c r="D2663" s="924" t="s">
        <v>1163</v>
      </c>
      <c r="E2663" s="924" t="s">
        <v>856</v>
      </c>
      <c r="F2663" s="924" t="s">
        <v>936</v>
      </c>
      <c r="G2663" s="924" t="s">
        <v>911</v>
      </c>
      <c r="H2663" s="924" t="s">
        <v>665</v>
      </c>
      <c r="I2663" s="924" t="s">
        <v>706</v>
      </c>
      <c r="J2663" s="924" t="s">
        <v>863</v>
      </c>
      <c r="K2663" s="924" t="s">
        <v>864</v>
      </c>
      <c r="L2663" s="925">
        <v>22.026912242174099</v>
      </c>
      <c r="M2663" s="925">
        <v>1.0252302699882399E-3</v>
      </c>
    </row>
    <row r="2664" spans="1:13" ht="11.25" customHeight="1" x14ac:dyDescent="0.2">
      <c r="A2664" s="924" t="s">
        <v>853</v>
      </c>
      <c r="B2664" s="924" t="s">
        <v>800</v>
      </c>
      <c r="C2664" s="924" t="s">
        <v>1188</v>
      </c>
      <c r="D2664" s="924" t="s">
        <v>1163</v>
      </c>
      <c r="E2664" s="924" t="s">
        <v>856</v>
      </c>
      <c r="F2664" s="924" t="s">
        <v>954</v>
      </c>
      <c r="G2664" s="924" t="s">
        <v>911</v>
      </c>
      <c r="H2664" s="924" t="s">
        <v>665</v>
      </c>
      <c r="I2664" s="924" t="s">
        <v>706</v>
      </c>
      <c r="J2664" s="924" t="s">
        <v>863</v>
      </c>
      <c r="K2664" s="924" t="s">
        <v>935</v>
      </c>
      <c r="L2664" s="925">
        <v>69.833175659179702</v>
      </c>
      <c r="M2664" s="925">
        <v>3.2972049230011202E-3</v>
      </c>
    </row>
    <row r="2665" spans="1:13" ht="11.25" customHeight="1" x14ac:dyDescent="0.2">
      <c r="A2665" s="924" t="s">
        <v>853</v>
      </c>
      <c r="B2665" s="924" t="s">
        <v>800</v>
      </c>
      <c r="C2665" s="924" t="s">
        <v>1188</v>
      </c>
      <c r="D2665" s="924" t="s">
        <v>1163</v>
      </c>
      <c r="E2665" s="924" t="s">
        <v>856</v>
      </c>
      <c r="F2665" s="924" t="s">
        <v>932</v>
      </c>
      <c r="G2665" s="924" t="s">
        <v>911</v>
      </c>
      <c r="H2665" s="924" t="s">
        <v>665</v>
      </c>
      <c r="I2665" s="924" t="s">
        <v>706</v>
      </c>
      <c r="J2665" s="924" t="s">
        <v>863</v>
      </c>
      <c r="K2665" s="924" t="s">
        <v>933</v>
      </c>
      <c r="L2665" s="925">
        <v>9359.2544403076208</v>
      </c>
      <c r="M2665" s="925">
        <v>0.45232070144265901</v>
      </c>
    </row>
    <row r="2666" spans="1:13" ht="11.25" customHeight="1" x14ac:dyDescent="0.2">
      <c r="A2666" s="924" t="s">
        <v>853</v>
      </c>
      <c r="B2666" s="924" t="s">
        <v>800</v>
      </c>
      <c r="C2666" s="924" t="s">
        <v>1188</v>
      </c>
      <c r="D2666" s="924" t="s">
        <v>1163</v>
      </c>
      <c r="E2666" s="924" t="s">
        <v>856</v>
      </c>
      <c r="F2666" s="924" t="s">
        <v>1127</v>
      </c>
      <c r="G2666" s="924" t="s">
        <v>911</v>
      </c>
      <c r="H2666" s="924" t="s">
        <v>665</v>
      </c>
      <c r="I2666" s="924" t="s">
        <v>706</v>
      </c>
      <c r="J2666" s="924" t="s">
        <v>884</v>
      </c>
      <c r="K2666" s="924" t="s">
        <v>885</v>
      </c>
      <c r="L2666" s="925">
        <v>2.4584379009902499</v>
      </c>
      <c r="M2666" s="925">
        <v>1.0682770071070999E-3</v>
      </c>
    </row>
    <row r="2667" spans="1:13" ht="11.25" customHeight="1" x14ac:dyDescent="0.2">
      <c r="A2667" s="924" t="s">
        <v>853</v>
      </c>
      <c r="B2667" s="924" t="s">
        <v>800</v>
      </c>
      <c r="C2667" s="924" t="s">
        <v>1188</v>
      </c>
      <c r="D2667" s="924" t="s">
        <v>1163</v>
      </c>
      <c r="E2667" s="924" t="s">
        <v>856</v>
      </c>
      <c r="F2667" s="924" t="s">
        <v>929</v>
      </c>
      <c r="G2667" s="924" t="s">
        <v>911</v>
      </c>
      <c r="H2667" s="924" t="s">
        <v>665</v>
      </c>
      <c r="I2667" s="924" t="s">
        <v>706</v>
      </c>
      <c r="J2667" s="924" t="s">
        <v>859</v>
      </c>
      <c r="K2667" s="924" t="s">
        <v>891</v>
      </c>
      <c r="L2667" s="925">
        <v>5.1240167245268804</v>
      </c>
      <c r="M2667" s="925">
        <v>2.0530338856588099E-3</v>
      </c>
    </row>
    <row r="2668" spans="1:13" ht="11.25" customHeight="1" x14ac:dyDescent="0.2">
      <c r="A2668" s="924" t="s">
        <v>853</v>
      </c>
      <c r="B2668" s="924" t="s">
        <v>800</v>
      </c>
      <c r="C2668" s="924" t="s">
        <v>1188</v>
      </c>
      <c r="D2668" s="924" t="s">
        <v>1163</v>
      </c>
      <c r="E2668" s="924" t="s">
        <v>856</v>
      </c>
      <c r="F2668" s="924" t="s">
        <v>1128</v>
      </c>
      <c r="G2668" s="924" t="s">
        <v>911</v>
      </c>
      <c r="H2668" s="924" t="s">
        <v>665</v>
      </c>
      <c r="I2668" s="924" t="s">
        <v>706</v>
      </c>
      <c r="J2668" s="924" t="s">
        <v>859</v>
      </c>
      <c r="K2668" s="924" t="s">
        <v>913</v>
      </c>
      <c r="L2668" s="925">
        <v>2.9865806624293301</v>
      </c>
      <c r="M2668" s="925">
        <v>3.29309371238651E-4</v>
      </c>
    </row>
    <row r="2669" spans="1:13" ht="11.25" customHeight="1" x14ac:dyDescent="0.2">
      <c r="A2669" s="924" t="s">
        <v>853</v>
      </c>
      <c r="B2669" s="924" t="s">
        <v>800</v>
      </c>
      <c r="C2669" s="924" t="s">
        <v>1188</v>
      </c>
      <c r="D2669" s="924" t="s">
        <v>1163</v>
      </c>
      <c r="E2669" s="924" t="s">
        <v>856</v>
      </c>
      <c r="F2669" s="924" t="s">
        <v>925</v>
      </c>
      <c r="G2669" s="924" t="s">
        <v>911</v>
      </c>
      <c r="H2669" s="924" t="s">
        <v>665</v>
      </c>
      <c r="I2669" s="924" t="s">
        <v>706</v>
      </c>
      <c r="J2669" s="924" t="s">
        <v>859</v>
      </c>
      <c r="K2669" s="924" t="s">
        <v>926</v>
      </c>
      <c r="L2669" s="925">
        <v>1.5307291038334401</v>
      </c>
      <c r="M2669" s="925">
        <v>7.0569001024978206E-5</v>
      </c>
    </row>
    <row r="2670" spans="1:13" ht="11.25" customHeight="1" x14ac:dyDescent="0.2">
      <c r="A2670" s="924" t="s">
        <v>853</v>
      </c>
      <c r="B2670" s="924" t="s">
        <v>800</v>
      </c>
      <c r="C2670" s="924" t="s">
        <v>1188</v>
      </c>
      <c r="D2670" s="924" t="s">
        <v>1163</v>
      </c>
      <c r="E2670" s="924" t="s">
        <v>856</v>
      </c>
      <c r="F2670" s="924" t="s">
        <v>923</v>
      </c>
      <c r="G2670" s="924" t="s">
        <v>911</v>
      </c>
      <c r="H2670" s="924" t="s">
        <v>665</v>
      </c>
      <c r="I2670" s="924" t="s">
        <v>706</v>
      </c>
      <c r="J2670" s="924" t="s">
        <v>859</v>
      </c>
      <c r="K2670" s="924" t="s">
        <v>924</v>
      </c>
      <c r="L2670" s="925">
        <v>14.4818118959665</v>
      </c>
      <c r="M2670" s="925">
        <v>7.6776897003583101E-4</v>
      </c>
    </row>
    <row r="2671" spans="1:13" ht="11.25" customHeight="1" x14ac:dyDescent="0.2">
      <c r="A2671" s="924" t="s">
        <v>853</v>
      </c>
      <c r="B2671" s="924" t="s">
        <v>800</v>
      </c>
      <c r="C2671" s="924" t="s">
        <v>1188</v>
      </c>
      <c r="D2671" s="924" t="s">
        <v>1163</v>
      </c>
      <c r="E2671" s="924" t="s">
        <v>856</v>
      </c>
      <c r="F2671" s="924" t="s">
        <v>921</v>
      </c>
      <c r="G2671" s="924" t="s">
        <v>911</v>
      </c>
      <c r="H2671" s="924" t="s">
        <v>665</v>
      </c>
      <c r="I2671" s="924" t="s">
        <v>706</v>
      </c>
      <c r="J2671" s="924" t="s">
        <v>859</v>
      </c>
      <c r="K2671" s="924" t="s">
        <v>922</v>
      </c>
      <c r="L2671" s="925">
        <v>5.8982928320765504</v>
      </c>
      <c r="M2671" s="925">
        <v>7.87806905805155E-4</v>
      </c>
    </row>
    <row r="2672" spans="1:13" ht="11.25" customHeight="1" x14ac:dyDescent="0.2">
      <c r="A2672" s="924" t="s">
        <v>853</v>
      </c>
      <c r="B2672" s="924" t="s">
        <v>800</v>
      </c>
      <c r="C2672" s="924" t="s">
        <v>1188</v>
      </c>
      <c r="D2672" s="924" t="s">
        <v>1163</v>
      </c>
      <c r="E2672" s="924" t="s">
        <v>856</v>
      </c>
      <c r="F2672" s="924" t="s">
        <v>919</v>
      </c>
      <c r="G2672" s="924" t="s">
        <v>911</v>
      </c>
      <c r="H2672" s="924" t="s">
        <v>665</v>
      </c>
      <c r="I2672" s="924" t="s">
        <v>706</v>
      </c>
      <c r="J2672" s="924" t="s">
        <v>859</v>
      </c>
      <c r="K2672" s="924" t="s">
        <v>920</v>
      </c>
      <c r="L2672" s="925">
        <v>0.55544084124267101</v>
      </c>
      <c r="M2672" s="925">
        <v>1.55614124935255E-4</v>
      </c>
    </row>
    <row r="2673" spans="1:13" ht="11.25" customHeight="1" x14ac:dyDescent="0.2">
      <c r="A2673" s="924" t="s">
        <v>853</v>
      </c>
      <c r="B2673" s="924" t="s">
        <v>800</v>
      </c>
      <c r="C2673" s="924" t="s">
        <v>1188</v>
      </c>
      <c r="D2673" s="924" t="s">
        <v>1163</v>
      </c>
      <c r="E2673" s="924" t="s">
        <v>856</v>
      </c>
      <c r="F2673" s="924" t="s">
        <v>917</v>
      </c>
      <c r="G2673" s="924" t="s">
        <v>911</v>
      </c>
      <c r="H2673" s="924" t="s">
        <v>665</v>
      </c>
      <c r="I2673" s="924" t="s">
        <v>706</v>
      </c>
      <c r="J2673" s="924" t="s">
        <v>859</v>
      </c>
      <c r="K2673" s="924" t="s">
        <v>918</v>
      </c>
      <c r="L2673" s="925">
        <v>3.3662903085350999</v>
      </c>
      <c r="M2673" s="925">
        <v>1.08693462379961E-3</v>
      </c>
    </row>
    <row r="2674" spans="1:13" ht="11.25" customHeight="1" x14ac:dyDescent="0.2">
      <c r="A2674" s="924" t="s">
        <v>853</v>
      </c>
      <c r="B2674" s="924" t="s">
        <v>800</v>
      </c>
      <c r="C2674" s="924" t="s">
        <v>1188</v>
      </c>
      <c r="D2674" s="924" t="s">
        <v>1163</v>
      </c>
      <c r="E2674" s="924" t="s">
        <v>856</v>
      </c>
      <c r="F2674" s="924" t="s">
        <v>916</v>
      </c>
      <c r="G2674" s="924" t="s">
        <v>911</v>
      </c>
      <c r="H2674" s="924" t="s">
        <v>665</v>
      </c>
      <c r="I2674" s="924" t="s">
        <v>706</v>
      </c>
      <c r="J2674" s="924" t="s">
        <v>859</v>
      </c>
      <c r="K2674" s="924" t="s">
        <v>909</v>
      </c>
      <c r="L2674" s="925">
        <v>8.6786863356828707</v>
      </c>
      <c r="M2674" s="925">
        <v>4.0168053465094999E-4</v>
      </c>
    </row>
    <row r="2675" spans="1:13" ht="11.25" customHeight="1" x14ac:dyDescent="0.2">
      <c r="A2675" s="924" t="s">
        <v>853</v>
      </c>
      <c r="B2675" s="924" t="s">
        <v>800</v>
      </c>
      <c r="C2675" s="924" t="s">
        <v>1188</v>
      </c>
      <c r="D2675" s="924" t="s">
        <v>1163</v>
      </c>
      <c r="E2675" s="924" t="s">
        <v>856</v>
      </c>
      <c r="F2675" s="924" t="s">
        <v>910</v>
      </c>
      <c r="G2675" s="924" t="s">
        <v>911</v>
      </c>
      <c r="H2675" s="924" t="s">
        <v>665</v>
      </c>
      <c r="I2675" s="924" t="s">
        <v>706</v>
      </c>
      <c r="J2675" s="924" t="s">
        <v>859</v>
      </c>
      <c r="K2675" s="924" t="s">
        <v>905</v>
      </c>
      <c r="L2675" s="925">
        <v>3.6288443394005299</v>
      </c>
      <c r="M2675" s="925">
        <v>2.9665671827388E-3</v>
      </c>
    </row>
    <row r="2676" spans="1:13" ht="11.25" customHeight="1" x14ac:dyDescent="0.2">
      <c r="A2676" s="924" t="s">
        <v>853</v>
      </c>
      <c r="B2676" s="924" t="s">
        <v>800</v>
      </c>
      <c r="C2676" s="924" t="s">
        <v>1188</v>
      </c>
      <c r="D2676" s="924" t="s">
        <v>1163</v>
      </c>
      <c r="E2676" s="924" t="s">
        <v>856</v>
      </c>
      <c r="F2676" s="924" t="s">
        <v>1074</v>
      </c>
      <c r="G2676" s="924" t="s">
        <v>911</v>
      </c>
      <c r="H2676" s="924" t="s">
        <v>665</v>
      </c>
      <c r="I2676" s="924" t="s">
        <v>706</v>
      </c>
      <c r="J2676" s="924" t="s">
        <v>859</v>
      </c>
      <c r="K2676" s="924" t="s">
        <v>903</v>
      </c>
      <c r="L2676" s="925">
        <v>9.2236218973994308</v>
      </c>
      <c r="M2676" s="925">
        <v>1.0301195784450099E-3</v>
      </c>
    </row>
    <row r="2677" spans="1:13" ht="11.25" customHeight="1" x14ac:dyDescent="0.2">
      <c r="A2677" s="924" t="s">
        <v>853</v>
      </c>
      <c r="B2677" s="924" t="s">
        <v>800</v>
      </c>
      <c r="C2677" s="924" t="s">
        <v>1188</v>
      </c>
      <c r="D2677" s="924" t="s">
        <v>1163</v>
      </c>
      <c r="E2677" s="924" t="s">
        <v>856</v>
      </c>
      <c r="F2677" s="924" t="s">
        <v>1133</v>
      </c>
      <c r="G2677" s="924" t="s">
        <v>911</v>
      </c>
      <c r="H2677" s="924" t="s">
        <v>665</v>
      </c>
      <c r="I2677" s="924" t="s">
        <v>706</v>
      </c>
      <c r="J2677" s="924" t="s">
        <v>859</v>
      </c>
      <c r="K2677" s="924" t="s">
        <v>899</v>
      </c>
      <c r="L2677" s="925">
        <v>0.51376300258562002</v>
      </c>
      <c r="M2677" s="925">
        <v>5.1184313953456199E-5</v>
      </c>
    </row>
    <row r="2678" spans="1:13" ht="11.25" customHeight="1" x14ac:dyDescent="0.2">
      <c r="A2678" s="924" t="s">
        <v>853</v>
      </c>
      <c r="B2678" s="924" t="s">
        <v>800</v>
      </c>
      <c r="C2678" s="924" t="s">
        <v>1188</v>
      </c>
      <c r="D2678" s="924" t="s">
        <v>1163</v>
      </c>
      <c r="E2678" s="924" t="s">
        <v>856</v>
      </c>
      <c r="F2678" s="924" t="s">
        <v>1129</v>
      </c>
      <c r="G2678" s="924" t="s">
        <v>911</v>
      </c>
      <c r="H2678" s="924" t="s">
        <v>665</v>
      </c>
      <c r="I2678" s="924" t="s">
        <v>706</v>
      </c>
      <c r="J2678" s="924" t="s">
        <v>859</v>
      </c>
      <c r="K2678" s="924" t="s">
        <v>897</v>
      </c>
      <c r="L2678" s="925">
        <v>0.82478615734726202</v>
      </c>
      <c r="M2678" s="925">
        <v>2.99781067951699E-4</v>
      </c>
    </row>
    <row r="2679" spans="1:13" ht="11.25" customHeight="1" x14ac:dyDescent="0.2">
      <c r="A2679" s="924" t="s">
        <v>853</v>
      </c>
      <c r="B2679" s="924" t="s">
        <v>800</v>
      </c>
      <c r="C2679" s="924" t="s">
        <v>1188</v>
      </c>
      <c r="D2679" s="924" t="s">
        <v>1163</v>
      </c>
      <c r="E2679" s="924" t="s">
        <v>856</v>
      </c>
      <c r="F2679" s="924" t="s">
        <v>947</v>
      </c>
      <c r="G2679" s="924" t="s">
        <v>911</v>
      </c>
      <c r="H2679" s="924" t="s">
        <v>665</v>
      </c>
      <c r="I2679" s="924" t="s">
        <v>706</v>
      </c>
      <c r="J2679" s="924" t="s">
        <v>875</v>
      </c>
      <c r="K2679" s="924" t="s">
        <v>948</v>
      </c>
      <c r="L2679" s="925">
        <v>171.85699963569601</v>
      </c>
      <c r="M2679" s="925">
        <v>1.3133090134033401E-2</v>
      </c>
    </row>
    <row r="2680" spans="1:13" ht="11.25" customHeight="1" x14ac:dyDescent="0.2">
      <c r="A2680" s="924" t="s">
        <v>853</v>
      </c>
      <c r="B2680" s="924" t="s">
        <v>800</v>
      </c>
      <c r="C2680" s="924" t="s">
        <v>1188</v>
      </c>
      <c r="D2680" s="924" t="s">
        <v>1163</v>
      </c>
      <c r="E2680" s="924" t="s">
        <v>856</v>
      </c>
      <c r="F2680" s="924" t="s">
        <v>930</v>
      </c>
      <c r="G2680" s="924" t="s">
        <v>911</v>
      </c>
      <c r="H2680" s="924" t="s">
        <v>665</v>
      </c>
      <c r="I2680" s="924" t="s">
        <v>706</v>
      </c>
      <c r="J2680" s="924" t="s">
        <v>863</v>
      </c>
      <c r="K2680" s="924" t="s">
        <v>931</v>
      </c>
      <c r="L2680" s="925">
        <v>100.602765917778</v>
      </c>
      <c r="M2680" s="925">
        <v>2.0502092596871101E-2</v>
      </c>
    </row>
    <row r="2681" spans="1:13" ht="11.25" customHeight="1" x14ac:dyDescent="0.2">
      <c r="A2681" s="924" t="s">
        <v>853</v>
      </c>
      <c r="B2681" s="924" t="s">
        <v>800</v>
      </c>
      <c r="C2681" s="924" t="s">
        <v>1188</v>
      </c>
      <c r="D2681" s="924" t="s">
        <v>1163</v>
      </c>
      <c r="E2681" s="924" t="s">
        <v>856</v>
      </c>
      <c r="F2681" s="924" t="s">
        <v>1055</v>
      </c>
      <c r="G2681" s="924" t="s">
        <v>981</v>
      </c>
      <c r="H2681" s="924" t="s">
        <v>835</v>
      </c>
      <c r="I2681" s="924" t="s">
        <v>1040</v>
      </c>
      <c r="J2681" s="924" t="s">
        <v>859</v>
      </c>
      <c r="K2681" s="924" t="s">
        <v>899</v>
      </c>
      <c r="L2681" s="925">
        <v>30.729078888893099</v>
      </c>
      <c r="M2681" s="925">
        <v>2.1668201027850401E-2</v>
      </c>
    </row>
    <row r="2682" spans="1:13" ht="11.25" customHeight="1" x14ac:dyDescent="0.2">
      <c r="A2682" s="924" t="s">
        <v>853</v>
      </c>
      <c r="B2682" s="924" t="s">
        <v>800</v>
      </c>
      <c r="C2682" s="924" t="s">
        <v>1188</v>
      </c>
      <c r="D2682" s="924" t="s">
        <v>1163</v>
      </c>
      <c r="E2682" s="924" t="s">
        <v>856</v>
      </c>
      <c r="F2682" s="924" t="s">
        <v>1054</v>
      </c>
      <c r="G2682" s="924" t="s">
        <v>981</v>
      </c>
      <c r="H2682" s="924" t="s">
        <v>835</v>
      </c>
      <c r="I2682" s="924" t="s">
        <v>998</v>
      </c>
      <c r="J2682" s="924" t="s">
        <v>875</v>
      </c>
      <c r="K2682" s="924" t="s">
        <v>880</v>
      </c>
      <c r="L2682" s="925">
        <v>6.3812074426095905E-2</v>
      </c>
      <c r="M2682" s="925">
        <v>1.4258185319704399E-4</v>
      </c>
    </row>
    <row r="2683" spans="1:13" ht="11.25" customHeight="1" x14ac:dyDescent="0.2">
      <c r="A2683" s="924" t="s">
        <v>853</v>
      </c>
      <c r="B2683" s="924" t="s">
        <v>800</v>
      </c>
      <c r="C2683" s="924" t="s">
        <v>1188</v>
      </c>
      <c r="D2683" s="924" t="s">
        <v>1163</v>
      </c>
      <c r="E2683" s="924" t="s">
        <v>856</v>
      </c>
      <c r="F2683" s="924" t="s">
        <v>1082</v>
      </c>
      <c r="G2683" s="924" t="s">
        <v>981</v>
      </c>
      <c r="H2683" s="924" t="s">
        <v>835</v>
      </c>
      <c r="I2683" s="924" t="s">
        <v>998</v>
      </c>
      <c r="J2683" s="924" t="s">
        <v>875</v>
      </c>
      <c r="K2683" s="924" t="s">
        <v>952</v>
      </c>
      <c r="L2683" s="925">
        <v>1.1130819348618399</v>
      </c>
      <c r="M2683" s="925">
        <v>2.4870811648725101E-3</v>
      </c>
    </row>
    <row r="2684" spans="1:13" ht="11.25" customHeight="1" x14ac:dyDescent="0.2">
      <c r="A2684" s="924" t="s">
        <v>853</v>
      </c>
      <c r="B2684" s="924" t="s">
        <v>800</v>
      </c>
      <c r="C2684" s="924" t="s">
        <v>1188</v>
      </c>
      <c r="D2684" s="924" t="s">
        <v>1163</v>
      </c>
      <c r="E2684" s="924" t="s">
        <v>856</v>
      </c>
      <c r="F2684" s="924" t="s">
        <v>1042</v>
      </c>
      <c r="G2684" s="924" t="s">
        <v>981</v>
      </c>
      <c r="H2684" s="924" t="s">
        <v>835</v>
      </c>
      <c r="I2684" s="924" t="s">
        <v>998</v>
      </c>
      <c r="J2684" s="924" t="s">
        <v>956</v>
      </c>
      <c r="K2684" s="924" t="s">
        <v>1043</v>
      </c>
      <c r="L2684" s="925">
        <v>2.7338143847882699</v>
      </c>
      <c r="M2684" s="925">
        <v>4.7352889523608601E-3</v>
      </c>
    </row>
    <row r="2685" spans="1:13" ht="11.25" customHeight="1" x14ac:dyDescent="0.2">
      <c r="A2685" s="924" t="s">
        <v>853</v>
      </c>
      <c r="B2685" s="924" t="s">
        <v>800</v>
      </c>
      <c r="C2685" s="924" t="s">
        <v>1188</v>
      </c>
      <c r="D2685" s="924" t="s">
        <v>1163</v>
      </c>
      <c r="E2685" s="924" t="s">
        <v>856</v>
      </c>
      <c r="F2685" s="924" t="s">
        <v>1044</v>
      </c>
      <c r="G2685" s="924" t="s">
        <v>981</v>
      </c>
      <c r="H2685" s="924" t="s">
        <v>835</v>
      </c>
      <c r="I2685" s="924" t="s">
        <v>1040</v>
      </c>
      <c r="J2685" s="924" t="s">
        <v>884</v>
      </c>
      <c r="K2685" s="924" t="s">
        <v>999</v>
      </c>
      <c r="L2685" s="925">
        <v>28.686618268489799</v>
      </c>
      <c r="M2685" s="925">
        <v>3.9535915799206102E-2</v>
      </c>
    </row>
    <row r="2686" spans="1:13" ht="11.25" customHeight="1" x14ac:dyDescent="0.2">
      <c r="A2686" s="924" t="s">
        <v>853</v>
      </c>
      <c r="B2686" s="924" t="s">
        <v>800</v>
      </c>
      <c r="C2686" s="924" t="s">
        <v>1188</v>
      </c>
      <c r="D2686" s="924" t="s">
        <v>1163</v>
      </c>
      <c r="E2686" s="924" t="s">
        <v>856</v>
      </c>
      <c r="F2686" s="924" t="s">
        <v>1045</v>
      </c>
      <c r="G2686" s="924" t="s">
        <v>981</v>
      </c>
      <c r="H2686" s="924" t="s">
        <v>835</v>
      </c>
      <c r="I2686" s="924" t="s">
        <v>1040</v>
      </c>
      <c r="J2686" s="924" t="s">
        <v>884</v>
      </c>
      <c r="K2686" s="924" t="s">
        <v>1046</v>
      </c>
      <c r="L2686" s="925">
        <v>272.96323204040499</v>
      </c>
      <c r="M2686" s="925">
        <v>0.27891259779425998</v>
      </c>
    </row>
    <row r="2687" spans="1:13" ht="11.25" customHeight="1" x14ac:dyDescent="0.2">
      <c r="A2687" s="924" t="s">
        <v>853</v>
      </c>
      <c r="B2687" s="924" t="s">
        <v>800</v>
      </c>
      <c r="C2687" s="924" t="s">
        <v>1188</v>
      </c>
      <c r="D2687" s="924" t="s">
        <v>1163</v>
      </c>
      <c r="E2687" s="924" t="s">
        <v>856</v>
      </c>
      <c r="F2687" s="924" t="s">
        <v>1047</v>
      </c>
      <c r="G2687" s="924" t="s">
        <v>981</v>
      </c>
      <c r="H2687" s="924" t="s">
        <v>835</v>
      </c>
      <c r="I2687" s="924" t="s">
        <v>1040</v>
      </c>
      <c r="J2687" s="924" t="s">
        <v>884</v>
      </c>
      <c r="K2687" s="924" t="s">
        <v>1048</v>
      </c>
      <c r="L2687" s="925">
        <v>652.69099903106701</v>
      </c>
      <c r="M2687" s="925">
        <v>0.49117603804916099</v>
      </c>
    </row>
    <row r="2688" spans="1:13" ht="11.25" customHeight="1" x14ac:dyDescent="0.2">
      <c r="A2688" s="924" t="s">
        <v>853</v>
      </c>
      <c r="B2688" s="924" t="s">
        <v>800</v>
      </c>
      <c r="C2688" s="924" t="s">
        <v>1188</v>
      </c>
      <c r="D2688" s="924" t="s">
        <v>1163</v>
      </c>
      <c r="E2688" s="924" t="s">
        <v>856</v>
      </c>
      <c r="F2688" s="924" t="s">
        <v>1049</v>
      </c>
      <c r="G2688" s="924" t="s">
        <v>981</v>
      </c>
      <c r="H2688" s="924" t="s">
        <v>835</v>
      </c>
      <c r="I2688" s="924" t="s">
        <v>1040</v>
      </c>
      <c r="J2688" s="924" t="s">
        <v>884</v>
      </c>
      <c r="K2688" s="924" t="s">
        <v>885</v>
      </c>
      <c r="L2688" s="925">
        <v>35.941084921360002</v>
      </c>
      <c r="M2688" s="925">
        <v>3.4190738697361701E-2</v>
      </c>
    </row>
    <row r="2689" spans="1:13" ht="11.25" customHeight="1" x14ac:dyDescent="0.2">
      <c r="A2689" s="924" t="s">
        <v>853</v>
      </c>
      <c r="B2689" s="924" t="s">
        <v>800</v>
      </c>
      <c r="C2689" s="924" t="s">
        <v>1188</v>
      </c>
      <c r="D2689" s="924" t="s">
        <v>1163</v>
      </c>
      <c r="E2689" s="924" t="s">
        <v>856</v>
      </c>
      <c r="F2689" s="924" t="s">
        <v>1050</v>
      </c>
      <c r="G2689" s="924" t="s">
        <v>981</v>
      </c>
      <c r="H2689" s="924" t="s">
        <v>835</v>
      </c>
      <c r="I2689" s="924" t="s">
        <v>1040</v>
      </c>
      <c r="J2689" s="924" t="s">
        <v>859</v>
      </c>
      <c r="K2689" s="924" t="s">
        <v>913</v>
      </c>
      <c r="L2689" s="925">
        <v>20.623389512300498</v>
      </c>
      <c r="M2689" s="925">
        <v>1.22320362246455E-2</v>
      </c>
    </row>
    <row r="2690" spans="1:13" ht="11.25" customHeight="1" x14ac:dyDescent="0.2">
      <c r="A2690" s="924" t="s">
        <v>853</v>
      </c>
      <c r="B2690" s="924" t="s">
        <v>800</v>
      </c>
      <c r="C2690" s="924" t="s">
        <v>1188</v>
      </c>
      <c r="D2690" s="924" t="s">
        <v>1163</v>
      </c>
      <c r="E2690" s="924" t="s">
        <v>856</v>
      </c>
      <c r="F2690" s="924" t="s">
        <v>1051</v>
      </c>
      <c r="G2690" s="924" t="s">
        <v>981</v>
      </c>
      <c r="H2690" s="924" t="s">
        <v>835</v>
      </c>
      <c r="I2690" s="924" t="s">
        <v>1040</v>
      </c>
      <c r="J2690" s="924" t="s">
        <v>859</v>
      </c>
      <c r="K2690" s="924" t="s">
        <v>889</v>
      </c>
      <c r="L2690" s="925">
        <v>0.15432874287944301</v>
      </c>
      <c r="M2690" s="925">
        <v>1.0047958653558501E-4</v>
      </c>
    </row>
    <row r="2691" spans="1:13" ht="11.25" customHeight="1" x14ac:dyDescent="0.2">
      <c r="A2691" s="924" t="s">
        <v>853</v>
      </c>
      <c r="B2691" s="924" t="s">
        <v>800</v>
      </c>
      <c r="C2691" s="924" t="s">
        <v>1188</v>
      </c>
      <c r="D2691" s="924" t="s">
        <v>1163</v>
      </c>
      <c r="E2691" s="924" t="s">
        <v>856</v>
      </c>
      <c r="F2691" s="924" t="s">
        <v>1052</v>
      </c>
      <c r="G2691" s="924" t="s">
        <v>981</v>
      </c>
      <c r="H2691" s="924" t="s">
        <v>835</v>
      </c>
      <c r="I2691" s="924" t="s">
        <v>1040</v>
      </c>
      <c r="J2691" s="924" t="s">
        <v>859</v>
      </c>
      <c r="K2691" s="924" t="s">
        <v>860</v>
      </c>
      <c r="L2691" s="925">
        <v>38.844883203506498</v>
      </c>
      <c r="M2691" s="925">
        <v>2.7447945380117699E-2</v>
      </c>
    </row>
    <row r="2692" spans="1:13" ht="11.25" customHeight="1" x14ac:dyDescent="0.2">
      <c r="A2692" s="924" t="s">
        <v>853</v>
      </c>
      <c r="B2692" s="924" t="s">
        <v>800</v>
      </c>
      <c r="C2692" s="924" t="s">
        <v>1188</v>
      </c>
      <c r="D2692" s="924" t="s">
        <v>1163</v>
      </c>
      <c r="E2692" s="924" t="s">
        <v>856</v>
      </c>
      <c r="F2692" s="924" t="s">
        <v>1066</v>
      </c>
      <c r="G2692" s="924" t="s">
        <v>981</v>
      </c>
      <c r="H2692" s="924" t="s">
        <v>835</v>
      </c>
      <c r="I2692" s="924" t="s">
        <v>1040</v>
      </c>
      <c r="J2692" s="924" t="s">
        <v>859</v>
      </c>
      <c r="K2692" s="924" t="s">
        <v>928</v>
      </c>
      <c r="L2692" s="925">
        <v>29.864937663078301</v>
      </c>
      <c r="M2692" s="925">
        <v>1.51245025608659E-2</v>
      </c>
    </row>
    <row r="2693" spans="1:13" ht="11.25" customHeight="1" x14ac:dyDescent="0.2">
      <c r="A2693" s="924" t="s">
        <v>853</v>
      </c>
      <c r="B2693" s="924" t="s">
        <v>800</v>
      </c>
      <c r="C2693" s="924" t="s">
        <v>1188</v>
      </c>
      <c r="D2693" s="924" t="s">
        <v>1163</v>
      </c>
      <c r="E2693" s="924" t="s">
        <v>856</v>
      </c>
      <c r="F2693" s="924" t="s">
        <v>1068</v>
      </c>
      <c r="G2693" s="924" t="s">
        <v>981</v>
      </c>
      <c r="H2693" s="924" t="s">
        <v>835</v>
      </c>
      <c r="I2693" s="924" t="s">
        <v>1040</v>
      </c>
      <c r="J2693" s="924" t="s">
        <v>859</v>
      </c>
      <c r="K2693" s="924" t="s">
        <v>897</v>
      </c>
      <c r="L2693" s="925">
        <v>72.905904948711395</v>
      </c>
      <c r="M2693" s="925">
        <v>4.8759122859905801E-2</v>
      </c>
    </row>
    <row r="2694" spans="1:13" ht="11.25" customHeight="1" x14ac:dyDescent="0.2">
      <c r="A2694" s="924" t="s">
        <v>853</v>
      </c>
      <c r="B2694" s="924" t="s">
        <v>800</v>
      </c>
      <c r="C2694" s="924" t="s">
        <v>1188</v>
      </c>
      <c r="D2694" s="924" t="s">
        <v>1163</v>
      </c>
      <c r="E2694" s="924" t="s">
        <v>856</v>
      </c>
      <c r="F2694" s="924" t="s">
        <v>1101</v>
      </c>
      <c r="G2694" s="924" t="s">
        <v>981</v>
      </c>
      <c r="H2694" s="924" t="s">
        <v>835</v>
      </c>
      <c r="I2694" s="924" t="s">
        <v>998</v>
      </c>
      <c r="J2694" s="924" t="s">
        <v>870</v>
      </c>
      <c r="K2694" s="924" t="s">
        <v>961</v>
      </c>
      <c r="L2694" s="925">
        <v>0.14656222768826399</v>
      </c>
      <c r="M2694" s="925">
        <v>2.4131111501901601E-4</v>
      </c>
    </row>
    <row r="2695" spans="1:13" ht="11.25" customHeight="1" x14ac:dyDescent="0.2">
      <c r="A2695" s="924" t="s">
        <v>853</v>
      </c>
      <c r="B2695" s="924" t="s">
        <v>800</v>
      </c>
      <c r="C2695" s="924" t="s">
        <v>1188</v>
      </c>
      <c r="D2695" s="924" t="s">
        <v>1163</v>
      </c>
      <c r="E2695" s="924" t="s">
        <v>856</v>
      </c>
      <c r="F2695" s="924" t="s">
        <v>1039</v>
      </c>
      <c r="G2695" s="924" t="s">
        <v>981</v>
      </c>
      <c r="H2695" s="924" t="s">
        <v>835</v>
      </c>
      <c r="I2695" s="924" t="s">
        <v>1040</v>
      </c>
      <c r="J2695" s="924" t="s">
        <v>859</v>
      </c>
      <c r="K2695" s="924" t="s">
        <v>901</v>
      </c>
      <c r="L2695" s="925">
        <v>1.6018907427787801</v>
      </c>
      <c r="M2695" s="925">
        <v>1.18385498626594E-3</v>
      </c>
    </row>
    <row r="2696" spans="1:13" ht="11.25" customHeight="1" x14ac:dyDescent="0.2">
      <c r="A2696" s="924" t="s">
        <v>853</v>
      </c>
      <c r="B2696" s="924" t="s">
        <v>800</v>
      </c>
      <c r="C2696" s="924" t="s">
        <v>1188</v>
      </c>
      <c r="D2696" s="924" t="s">
        <v>1163</v>
      </c>
      <c r="E2696" s="924" t="s">
        <v>856</v>
      </c>
      <c r="F2696" s="924" t="s">
        <v>1057</v>
      </c>
      <c r="G2696" s="924" t="s">
        <v>981</v>
      </c>
      <c r="H2696" s="924" t="s">
        <v>835</v>
      </c>
      <c r="I2696" s="924" t="s">
        <v>1040</v>
      </c>
      <c r="J2696" s="924" t="s">
        <v>859</v>
      </c>
      <c r="K2696" s="924" t="s">
        <v>903</v>
      </c>
      <c r="L2696" s="925">
        <v>64.131955742835999</v>
      </c>
      <c r="M2696" s="925">
        <v>3.96239653096018E-2</v>
      </c>
    </row>
    <row r="2697" spans="1:13" ht="11.25" customHeight="1" x14ac:dyDescent="0.2">
      <c r="A2697" s="924" t="s">
        <v>853</v>
      </c>
      <c r="B2697" s="924" t="s">
        <v>800</v>
      </c>
      <c r="C2697" s="924" t="s">
        <v>1188</v>
      </c>
      <c r="D2697" s="924" t="s">
        <v>1163</v>
      </c>
      <c r="E2697" s="924" t="s">
        <v>856</v>
      </c>
      <c r="F2697" s="924" t="s">
        <v>1058</v>
      </c>
      <c r="G2697" s="924" t="s">
        <v>981</v>
      </c>
      <c r="H2697" s="924" t="s">
        <v>835</v>
      </c>
      <c r="I2697" s="924" t="s">
        <v>1040</v>
      </c>
      <c r="J2697" s="924" t="s">
        <v>859</v>
      </c>
      <c r="K2697" s="924" t="s">
        <v>905</v>
      </c>
      <c r="L2697" s="925">
        <v>22.490167737007098</v>
      </c>
      <c r="M2697" s="925">
        <v>1.7826392255301499E-2</v>
      </c>
    </row>
    <row r="2698" spans="1:13" ht="11.25" customHeight="1" x14ac:dyDescent="0.2">
      <c r="A2698" s="924" t="s">
        <v>853</v>
      </c>
      <c r="B2698" s="924" t="s">
        <v>800</v>
      </c>
      <c r="C2698" s="924" t="s">
        <v>1188</v>
      </c>
      <c r="D2698" s="924" t="s">
        <v>1163</v>
      </c>
      <c r="E2698" s="924" t="s">
        <v>856</v>
      </c>
      <c r="F2698" s="924" t="s">
        <v>1059</v>
      </c>
      <c r="G2698" s="924" t="s">
        <v>981</v>
      </c>
      <c r="H2698" s="924" t="s">
        <v>835</v>
      </c>
      <c r="I2698" s="924" t="s">
        <v>1040</v>
      </c>
      <c r="J2698" s="924" t="s">
        <v>859</v>
      </c>
      <c r="K2698" s="924" t="s">
        <v>909</v>
      </c>
      <c r="L2698" s="925">
        <v>134.032353401184</v>
      </c>
      <c r="M2698" s="925">
        <v>9.2786412802524906E-2</v>
      </c>
    </row>
    <row r="2699" spans="1:13" ht="11.25" customHeight="1" x14ac:dyDescent="0.2">
      <c r="A2699" s="924" t="s">
        <v>853</v>
      </c>
      <c r="B2699" s="924" t="s">
        <v>800</v>
      </c>
      <c r="C2699" s="924" t="s">
        <v>1188</v>
      </c>
      <c r="D2699" s="924" t="s">
        <v>1163</v>
      </c>
      <c r="E2699" s="924" t="s">
        <v>856</v>
      </c>
      <c r="F2699" s="924" t="s">
        <v>1060</v>
      </c>
      <c r="G2699" s="924" t="s">
        <v>981</v>
      </c>
      <c r="H2699" s="924" t="s">
        <v>835</v>
      </c>
      <c r="I2699" s="924" t="s">
        <v>1040</v>
      </c>
      <c r="J2699" s="924" t="s">
        <v>859</v>
      </c>
      <c r="K2699" s="924" t="s">
        <v>973</v>
      </c>
      <c r="L2699" s="925">
        <v>64.2894673347473</v>
      </c>
      <c r="M2699" s="925">
        <v>4.3810410781361497E-2</v>
      </c>
    </row>
    <row r="2700" spans="1:13" ht="11.25" customHeight="1" x14ac:dyDescent="0.2">
      <c r="A2700" s="924" t="s">
        <v>853</v>
      </c>
      <c r="B2700" s="924" t="s">
        <v>800</v>
      </c>
      <c r="C2700" s="924" t="s">
        <v>1188</v>
      </c>
      <c r="D2700" s="924" t="s">
        <v>1163</v>
      </c>
      <c r="E2700" s="924" t="s">
        <v>856</v>
      </c>
      <c r="F2700" s="924" t="s">
        <v>1061</v>
      </c>
      <c r="G2700" s="924" t="s">
        <v>981</v>
      </c>
      <c r="H2700" s="924" t="s">
        <v>835</v>
      </c>
      <c r="I2700" s="924" t="s">
        <v>1040</v>
      </c>
      <c r="J2700" s="924" t="s">
        <v>859</v>
      </c>
      <c r="K2700" s="924" t="s">
        <v>918</v>
      </c>
      <c r="L2700" s="925">
        <v>4.98005109280348</v>
      </c>
      <c r="M2700" s="925">
        <v>2.19627592014149E-3</v>
      </c>
    </row>
    <row r="2701" spans="1:13" ht="11.25" customHeight="1" x14ac:dyDescent="0.2">
      <c r="A2701" s="924" t="s">
        <v>853</v>
      </c>
      <c r="B2701" s="924" t="s">
        <v>800</v>
      </c>
      <c r="C2701" s="924" t="s">
        <v>1188</v>
      </c>
      <c r="D2701" s="924" t="s">
        <v>1163</v>
      </c>
      <c r="E2701" s="924" t="s">
        <v>856</v>
      </c>
      <c r="F2701" s="924" t="s">
        <v>1062</v>
      </c>
      <c r="G2701" s="924" t="s">
        <v>981</v>
      </c>
      <c r="H2701" s="924" t="s">
        <v>835</v>
      </c>
      <c r="I2701" s="924" t="s">
        <v>1040</v>
      </c>
      <c r="J2701" s="924" t="s">
        <v>859</v>
      </c>
      <c r="K2701" s="924" t="s">
        <v>920</v>
      </c>
      <c r="L2701" s="925">
        <v>8.6768874004483205</v>
      </c>
      <c r="M2701" s="925">
        <v>5.8840458193003499E-3</v>
      </c>
    </row>
    <row r="2702" spans="1:13" ht="11.25" customHeight="1" x14ac:dyDescent="0.2">
      <c r="A2702" s="924" t="s">
        <v>853</v>
      </c>
      <c r="B2702" s="924" t="s">
        <v>800</v>
      </c>
      <c r="C2702" s="924" t="s">
        <v>1188</v>
      </c>
      <c r="D2702" s="924" t="s">
        <v>1163</v>
      </c>
      <c r="E2702" s="924" t="s">
        <v>856</v>
      </c>
      <c r="F2702" s="924" t="s">
        <v>1063</v>
      </c>
      <c r="G2702" s="924" t="s">
        <v>981</v>
      </c>
      <c r="H2702" s="924" t="s">
        <v>835</v>
      </c>
      <c r="I2702" s="924" t="s">
        <v>1040</v>
      </c>
      <c r="J2702" s="924" t="s">
        <v>859</v>
      </c>
      <c r="K2702" s="924" t="s">
        <v>922</v>
      </c>
      <c r="L2702" s="925">
        <v>7.62544794380665</v>
      </c>
      <c r="M2702" s="925">
        <v>1.38123348529007E-3</v>
      </c>
    </row>
    <row r="2703" spans="1:13" ht="11.25" customHeight="1" x14ac:dyDescent="0.2">
      <c r="A2703" s="924" t="s">
        <v>853</v>
      </c>
      <c r="B2703" s="924" t="s">
        <v>800</v>
      </c>
      <c r="C2703" s="924" t="s">
        <v>1188</v>
      </c>
      <c r="D2703" s="924" t="s">
        <v>1163</v>
      </c>
      <c r="E2703" s="924" t="s">
        <v>856</v>
      </c>
      <c r="F2703" s="924" t="s">
        <v>1064</v>
      </c>
      <c r="G2703" s="924" t="s">
        <v>981</v>
      </c>
      <c r="H2703" s="924" t="s">
        <v>835</v>
      </c>
      <c r="I2703" s="924" t="s">
        <v>1040</v>
      </c>
      <c r="J2703" s="924" t="s">
        <v>859</v>
      </c>
      <c r="K2703" s="924" t="s">
        <v>924</v>
      </c>
      <c r="L2703" s="925">
        <v>18.366336315870299</v>
      </c>
      <c r="M2703" s="925">
        <v>1.375278498017E-3</v>
      </c>
    </row>
    <row r="2704" spans="1:13" ht="11.25" customHeight="1" x14ac:dyDescent="0.2">
      <c r="A2704" s="924" t="s">
        <v>853</v>
      </c>
      <c r="B2704" s="924" t="s">
        <v>800</v>
      </c>
      <c r="C2704" s="924" t="s">
        <v>1188</v>
      </c>
      <c r="D2704" s="924" t="s">
        <v>1163</v>
      </c>
      <c r="E2704" s="924" t="s">
        <v>856</v>
      </c>
      <c r="F2704" s="924" t="s">
        <v>1134</v>
      </c>
      <c r="G2704" s="924" t="s">
        <v>981</v>
      </c>
      <c r="H2704" s="924" t="s">
        <v>835</v>
      </c>
      <c r="I2704" s="924" t="s">
        <v>1040</v>
      </c>
      <c r="J2704" s="924" t="s">
        <v>863</v>
      </c>
      <c r="K2704" s="924" t="s">
        <v>933</v>
      </c>
      <c r="L2704" s="925">
        <v>719.31953811645496</v>
      </c>
      <c r="M2704" s="925">
        <v>5.09937027818523E-2</v>
      </c>
    </row>
    <row r="2705" spans="1:13" ht="11.25" customHeight="1" x14ac:dyDescent="0.2">
      <c r="A2705" s="924" t="s">
        <v>853</v>
      </c>
      <c r="B2705" s="924" t="s">
        <v>800</v>
      </c>
      <c r="C2705" s="924" t="s">
        <v>1188</v>
      </c>
      <c r="D2705" s="924" t="s">
        <v>1163</v>
      </c>
      <c r="E2705" s="924" t="s">
        <v>856</v>
      </c>
      <c r="F2705" s="924" t="s">
        <v>1053</v>
      </c>
      <c r="G2705" s="924" t="s">
        <v>981</v>
      </c>
      <c r="H2705" s="924" t="s">
        <v>835</v>
      </c>
      <c r="I2705" s="924" t="s">
        <v>1040</v>
      </c>
      <c r="J2705" s="924" t="s">
        <v>859</v>
      </c>
      <c r="K2705" s="924" t="s">
        <v>893</v>
      </c>
      <c r="L2705" s="925">
        <v>36.566300243139302</v>
      </c>
      <c r="M2705" s="925">
        <v>2.2288292122539102E-2</v>
      </c>
    </row>
    <row r="2706" spans="1:13" ht="11.25" customHeight="1" x14ac:dyDescent="0.2">
      <c r="A2706" s="924" t="s">
        <v>853</v>
      </c>
      <c r="B2706" s="924" t="s">
        <v>800</v>
      </c>
      <c r="C2706" s="924" t="s">
        <v>1188</v>
      </c>
      <c r="D2706" s="924" t="s">
        <v>1163</v>
      </c>
      <c r="E2706" s="924" t="s">
        <v>856</v>
      </c>
      <c r="F2706" s="924" t="s">
        <v>1083</v>
      </c>
      <c r="G2706" s="924" t="s">
        <v>981</v>
      </c>
      <c r="H2706" s="924" t="s">
        <v>835</v>
      </c>
      <c r="I2706" s="924" t="s">
        <v>998</v>
      </c>
      <c r="J2706" s="924" t="s">
        <v>940</v>
      </c>
      <c r="K2706" s="924" t="s">
        <v>1084</v>
      </c>
      <c r="L2706" s="925">
        <v>8.5926693677902204</v>
      </c>
      <c r="M2706" s="925">
        <v>1.56982258195058E-2</v>
      </c>
    </row>
    <row r="2707" spans="1:13" ht="11.25" customHeight="1" x14ac:dyDescent="0.2">
      <c r="A2707" s="924" t="s">
        <v>853</v>
      </c>
      <c r="B2707" s="924" t="s">
        <v>800</v>
      </c>
      <c r="C2707" s="924" t="s">
        <v>1188</v>
      </c>
      <c r="D2707" s="924" t="s">
        <v>1163</v>
      </c>
      <c r="E2707" s="924" t="s">
        <v>856</v>
      </c>
      <c r="F2707" s="924" t="s">
        <v>1146</v>
      </c>
      <c r="G2707" s="924" t="s">
        <v>981</v>
      </c>
      <c r="H2707" s="924" t="s">
        <v>835</v>
      </c>
      <c r="I2707" s="924" t="s">
        <v>1040</v>
      </c>
      <c r="J2707" s="924" t="s">
        <v>940</v>
      </c>
      <c r="K2707" s="924" t="s">
        <v>1147</v>
      </c>
      <c r="L2707" s="925">
        <v>3947.2333145141602</v>
      </c>
      <c r="M2707" s="925">
        <v>2.5406114552169998</v>
      </c>
    </row>
    <row r="2708" spans="1:13" ht="11.25" customHeight="1" x14ac:dyDescent="0.2">
      <c r="A2708" s="924" t="s">
        <v>853</v>
      </c>
      <c r="B2708" s="924" t="s">
        <v>800</v>
      </c>
      <c r="C2708" s="924" t="s">
        <v>1188</v>
      </c>
      <c r="D2708" s="924" t="s">
        <v>1163</v>
      </c>
      <c r="E2708" s="924" t="s">
        <v>856</v>
      </c>
      <c r="F2708" s="924" t="s">
        <v>997</v>
      </c>
      <c r="G2708" s="924" t="s">
        <v>981</v>
      </c>
      <c r="H2708" s="924" t="s">
        <v>835</v>
      </c>
      <c r="I2708" s="924" t="s">
        <v>998</v>
      </c>
      <c r="J2708" s="924" t="s">
        <v>884</v>
      </c>
      <c r="K2708" s="924" t="s">
        <v>999</v>
      </c>
      <c r="L2708" s="925">
        <v>62.963210105896003</v>
      </c>
      <c r="M2708" s="925">
        <v>0.200580061413348</v>
      </c>
    </row>
    <row r="2709" spans="1:13" ht="11.25" customHeight="1" x14ac:dyDescent="0.2">
      <c r="A2709" s="924" t="s">
        <v>853</v>
      </c>
      <c r="B2709" s="924" t="s">
        <v>800</v>
      </c>
      <c r="C2709" s="924" t="s">
        <v>1188</v>
      </c>
      <c r="D2709" s="924" t="s">
        <v>1163</v>
      </c>
      <c r="E2709" s="924" t="s">
        <v>856</v>
      </c>
      <c r="F2709" s="924" t="s">
        <v>1073</v>
      </c>
      <c r="G2709" s="924" t="s">
        <v>981</v>
      </c>
      <c r="H2709" s="924" t="s">
        <v>835</v>
      </c>
      <c r="I2709" s="924" t="s">
        <v>998</v>
      </c>
      <c r="J2709" s="924" t="s">
        <v>884</v>
      </c>
      <c r="K2709" s="924" t="s">
        <v>1046</v>
      </c>
      <c r="L2709" s="925">
        <v>28.529369592666601</v>
      </c>
      <c r="M2709" s="925">
        <v>4.8169958114158397E-2</v>
      </c>
    </row>
    <row r="2710" spans="1:13" ht="11.25" customHeight="1" x14ac:dyDescent="0.2">
      <c r="A2710" s="924" t="s">
        <v>853</v>
      </c>
      <c r="B2710" s="924" t="s">
        <v>800</v>
      </c>
      <c r="C2710" s="924" t="s">
        <v>1188</v>
      </c>
      <c r="D2710" s="924" t="s">
        <v>1163</v>
      </c>
      <c r="E2710" s="924" t="s">
        <v>856</v>
      </c>
      <c r="F2710" s="924" t="s">
        <v>1085</v>
      </c>
      <c r="G2710" s="924" t="s">
        <v>981</v>
      </c>
      <c r="H2710" s="924" t="s">
        <v>835</v>
      </c>
      <c r="I2710" s="924" t="s">
        <v>998</v>
      </c>
      <c r="J2710" s="924" t="s">
        <v>884</v>
      </c>
      <c r="K2710" s="924" t="s">
        <v>885</v>
      </c>
      <c r="L2710" s="925">
        <v>38.2662491202354</v>
      </c>
      <c r="M2710" s="925">
        <v>2.8107974852901001E-2</v>
      </c>
    </row>
    <row r="2711" spans="1:13" ht="11.25" customHeight="1" x14ac:dyDescent="0.2">
      <c r="A2711" s="924" t="s">
        <v>853</v>
      </c>
      <c r="B2711" s="924" t="s">
        <v>800</v>
      </c>
      <c r="C2711" s="924" t="s">
        <v>1188</v>
      </c>
      <c r="D2711" s="924" t="s">
        <v>1163</v>
      </c>
      <c r="E2711" s="924" t="s">
        <v>856</v>
      </c>
      <c r="F2711" s="924" t="s">
        <v>1075</v>
      </c>
      <c r="G2711" s="924" t="s">
        <v>981</v>
      </c>
      <c r="H2711" s="924" t="s">
        <v>835</v>
      </c>
      <c r="I2711" s="924" t="s">
        <v>998</v>
      </c>
      <c r="J2711" s="924" t="s">
        <v>859</v>
      </c>
      <c r="K2711" s="924" t="s">
        <v>889</v>
      </c>
      <c r="L2711" s="925">
        <v>23.308595001697501</v>
      </c>
      <c r="M2711" s="925">
        <v>3.7723897665273398E-2</v>
      </c>
    </row>
    <row r="2712" spans="1:13" ht="11.25" customHeight="1" x14ac:dyDescent="0.2">
      <c r="A2712" s="924" t="s">
        <v>853</v>
      </c>
      <c r="B2712" s="924" t="s">
        <v>800</v>
      </c>
      <c r="C2712" s="924" t="s">
        <v>1188</v>
      </c>
      <c r="D2712" s="924" t="s">
        <v>1163</v>
      </c>
      <c r="E2712" s="924" t="s">
        <v>856</v>
      </c>
      <c r="F2712" s="924" t="s">
        <v>1076</v>
      </c>
      <c r="G2712" s="924" t="s">
        <v>981</v>
      </c>
      <c r="H2712" s="924" t="s">
        <v>835</v>
      </c>
      <c r="I2712" s="924" t="s">
        <v>998</v>
      </c>
      <c r="J2712" s="924" t="s">
        <v>859</v>
      </c>
      <c r="K2712" s="924" t="s">
        <v>860</v>
      </c>
      <c r="L2712" s="925">
        <v>1.5110448691994001</v>
      </c>
      <c r="M2712" s="925">
        <v>3.1217918731272199E-3</v>
      </c>
    </row>
    <row r="2713" spans="1:13" ht="11.25" customHeight="1" x14ac:dyDescent="0.2">
      <c r="A2713" s="924" t="s">
        <v>853</v>
      </c>
      <c r="B2713" s="924" t="s">
        <v>800</v>
      </c>
      <c r="C2713" s="924" t="s">
        <v>1188</v>
      </c>
      <c r="D2713" s="924" t="s">
        <v>1163</v>
      </c>
      <c r="E2713" s="924" t="s">
        <v>856</v>
      </c>
      <c r="F2713" s="924" t="s">
        <v>1077</v>
      </c>
      <c r="G2713" s="924" t="s">
        <v>981</v>
      </c>
      <c r="H2713" s="924" t="s">
        <v>835</v>
      </c>
      <c r="I2713" s="924" t="s">
        <v>998</v>
      </c>
      <c r="J2713" s="924" t="s">
        <v>859</v>
      </c>
      <c r="K2713" s="924" t="s">
        <v>897</v>
      </c>
      <c r="L2713" s="925">
        <v>1.80618749186397</v>
      </c>
      <c r="M2713" s="925">
        <v>3.7824283936061E-3</v>
      </c>
    </row>
    <row r="2714" spans="1:13" ht="11.25" customHeight="1" x14ac:dyDescent="0.2">
      <c r="A2714" s="924" t="s">
        <v>853</v>
      </c>
      <c r="B2714" s="924" t="s">
        <v>800</v>
      </c>
      <c r="C2714" s="924" t="s">
        <v>1188</v>
      </c>
      <c r="D2714" s="924" t="s">
        <v>1163</v>
      </c>
      <c r="E2714" s="924" t="s">
        <v>856</v>
      </c>
      <c r="F2714" s="924" t="s">
        <v>1078</v>
      </c>
      <c r="G2714" s="924" t="s">
        <v>981</v>
      </c>
      <c r="H2714" s="924" t="s">
        <v>835</v>
      </c>
      <c r="I2714" s="924" t="s">
        <v>998</v>
      </c>
      <c r="J2714" s="924" t="s">
        <v>859</v>
      </c>
      <c r="K2714" s="924" t="s">
        <v>901</v>
      </c>
      <c r="L2714" s="925">
        <v>1.25155341229402E-2</v>
      </c>
      <c r="M2714" s="925">
        <v>2.7964779519607001E-5</v>
      </c>
    </row>
    <row r="2715" spans="1:13" ht="11.25" customHeight="1" x14ac:dyDescent="0.2">
      <c r="A2715" s="924" t="s">
        <v>853</v>
      </c>
      <c r="B2715" s="924" t="s">
        <v>800</v>
      </c>
      <c r="C2715" s="924" t="s">
        <v>1188</v>
      </c>
      <c r="D2715" s="924" t="s">
        <v>1163</v>
      </c>
      <c r="E2715" s="924" t="s">
        <v>856</v>
      </c>
      <c r="F2715" s="924" t="s">
        <v>1079</v>
      </c>
      <c r="G2715" s="924" t="s">
        <v>981</v>
      </c>
      <c r="H2715" s="924" t="s">
        <v>835</v>
      </c>
      <c r="I2715" s="924" t="s">
        <v>998</v>
      </c>
      <c r="J2715" s="924" t="s">
        <v>859</v>
      </c>
      <c r="K2715" s="924" t="s">
        <v>909</v>
      </c>
      <c r="L2715" s="925">
        <v>60.1885440349579</v>
      </c>
      <c r="M2715" s="925">
        <v>0.107790671521798</v>
      </c>
    </row>
    <row r="2716" spans="1:13" ht="11.25" customHeight="1" x14ac:dyDescent="0.2">
      <c r="A2716" s="924" t="s">
        <v>853</v>
      </c>
      <c r="B2716" s="924" t="s">
        <v>800</v>
      </c>
      <c r="C2716" s="924" t="s">
        <v>1188</v>
      </c>
      <c r="D2716" s="924" t="s">
        <v>1163</v>
      </c>
      <c r="E2716" s="924" t="s">
        <v>856</v>
      </c>
      <c r="F2716" s="924" t="s">
        <v>1080</v>
      </c>
      <c r="G2716" s="924" t="s">
        <v>981</v>
      </c>
      <c r="H2716" s="924" t="s">
        <v>835</v>
      </c>
      <c r="I2716" s="924" t="s">
        <v>998</v>
      </c>
      <c r="J2716" s="924" t="s">
        <v>859</v>
      </c>
      <c r="K2716" s="924" t="s">
        <v>920</v>
      </c>
      <c r="L2716" s="925">
        <v>0.352724977768958</v>
      </c>
      <c r="M2716" s="925">
        <v>7.8813019354129199E-4</v>
      </c>
    </row>
    <row r="2717" spans="1:13" ht="11.25" customHeight="1" x14ac:dyDescent="0.2">
      <c r="A2717" s="924" t="s">
        <v>853</v>
      </c>
      <c r="B2717" s="924" t="s">
        <v>800</v>
      </c>
      <c r="C2717" s="924" t="s">
        <v>1188</v>
      </c>
      <c r="D2717" s="924" t="s">
        <v>1163</v>
      </c>
      <c r="E2717" s="924" t="s">
        <v>856</v>
      </c>
      <c r="F2717" s="924" t="s">
        <v>1056</v>
      </c>
      <c r="G2717" s="924" t="s">
        <v>981</v>
      </c>
      <c r="H2717" s="924" t="s">
        <v>835</v>
      </c>
      <c r="I2717" s="924" t="s">
        <v>998</v>
      </c>
      <c r="J2717" s="924" t="s">
        <v>875</v>
      </c>
      <c r="K2717" s="924" t="s">
        <v>878</v>
      </c>
      <c r="L2717" s="925">
        <v>183.96948838233899</v>
      </c>
      <c r="M2717" s="925">
        <v>0.35481292475014897</v>
      </c>
    </row>
    <row r="2718" spans="1:13" ht="11.25" customHeight="1" x14ac:dyDescent="0.2">
      <c r="A2718" s="924" t="s">
        <v>853</v>
      </c>
      <c r="B2718" s="924" t="s">
        <v>800</v>
      </c>
      <c r="C2718" s="924" t="s">
        <v>1188</v>
      </c>
      <c r="D2718" s="924" t="s">
        <v>1163</v>
      </c>
      <c r="E2718" s="924" t="s">
        <v>856</v>
      </c>
      <c r="F2718" s="924" t="s">
        <v>1103</v>
      </c>
      <c r="G2718" s="924" t="s">
        <v>981</v>
      </c>
      <c r="H2718" s="924" t="s">
        <v>835</v>
      </c>
      <c r="I2718" s="924" t="s">
        <v>998</v>
      </c>
      <c r="J2718" s="924" t="s">
        <v>863</v>
      </c>
      <c r="K2718" s="924" t="s">
        <v>864</v>
      </c>
      <c r="L2718" s="925">
        <v>0.13153000187594399</v>
      </c>
      <c r="M2718" s="925">
        <v>2.9389150267888897E-4</v>
      </c>
    </row>
    <row r="2719" spans="1:13" ht="11.25" customHeight="1" x14ac:dyDescent="0.2">
      <c r="A2719" s="924" t="s">
        <v>853</v>
      </c>
      <c r="B2719" s="924" t="s">
        <v>800</v>
      </c>
      <c r="C2719" s="924" t="s">
        <v>1188</v>
      </c>
      <c r="D2719" s="924" t="s">
        <v>1163</v>
      </c>
      <c r="E2719" s="924" t="s">
        <v>856</v>
      </c>
      <c r="F2719" s="924" t="s">
        <v>1102</v>
      </c>
      <c r="G2719" s="924" t="s">
        <v>981</v>
      </c>
      <c r="H2719" s="924" t="s">
        <v>835</v>
      </c>
      <c r="I2719" s="924" t="s">
        <v>998</v>
      </c>
      <c r="J2719" s="924" t="s">
        <v>875</v>
      </c>
      <c r="K2719" s="924" t="s">
        <v>876</v>
      </c>
      <c r="L2719" s="925">
        <v>27.572451531887101</v>
      </c>
      <c r="M2719" s="925">
        <v>5.5791645951103398E-2</v>
      </c>
    </row>
    <row r="2720" spans="1:13" ht="11.25" customHeight="1" x14ac:dyDescent="0.2">
      <c r="A2720" s="924" t="s">
        <v>853</v>
      </c>
      <c r="B2720" s="924" t="s">
        <v>800</v>
      </c>
      <c r="C2720" s="924" t="s">
        <v>1188</v>
      </c>
      <c r="D2720" s="924" t="s">
        <v>1163</v>
      </c>
      <c r="E2720" s="924" t="s">
        <v>856</v>
      </c>
      <c r="F2720" s="924" t="s">
        <v>1069</v>
      </c>
      <c r="G2720" s="924" t="s">
        <v>981</v>
      </c>
      <c r="H2720" s="924" t="s">
        <v>835</v>
      </c>
      <c r="I2720" s="924" t="s">
        <v>998</v>
      </c>
      <c r="J2720" s="924" t="s">
        <v>940</v>
      </c>
      <c r="K2720" s="924" t="s">
        <v>1070</v>
      </c>
      <c r="L2720" s="925">
        <v>136.85184860229501</v>
      </c>
      <c r="M2720" s="925">
        <v>0.25409163720905797</v>
      </c>
    </row>
    <row r="2721" spans="1:13" ht="11.25" customHeight="1" x14ac:dyDescent="0.2">
      <c r="A2721" s="924" t="s">
        <v>853</v>
      </c>
      <c r="B2721" s="924" t="s">
        <v>800</v>
      </c>
      <c r="C2721" s="924" t="s">
        <v>1188</v>
      </c>
      <c r="D2721" s="924" t="s">
        <v>1163</v>
      </c>
      <c r="E2721" s="924" t="s">
        <v>856</v>
      </c>
      <c r="F2721" s="924" t="s">
        <v>1086</v>
      </c>
      <c r="G2721" s="924" t="s">
        <v>981</v>
      </c>
      <c r="H2721" s="924" t="s">
        <v>835</v>
      </c>
      <c r="I2721" s="924" t="s">
        <v>998</v>
      </c>
      <c r="J2721" s="924" t="s">
        <v>940</v>
      </c>
      <c r="K2721" s="924" t="s">
        <v>1087</v>
      </c>
      <c r="L2721" s="925">
        <v>114.99000120162999</v>
      </c>
      <c r="M2721" s="925">
        <v>0.22139407135546199</v>
      </c>
    </row>
    <row r="2722" spans="1:13" ht="11.25" customHeight="1" x14ac:dyDescent="0.2">
      <c r="A2722" s="924" t="s">
        <v>853</v>
      </c>
      <c r="B2722" s="924" t="s">
        <v>800</v>
      </c>
      <c r="C2722" s="924" t="s">
        <v>1188</v>
      </c>
      <c r="D2722" s="924" t="s">
        <v>1163</v>
      </c>
      <c r="E2722" s="924" t="s">
        <v>856</v>
      </c>
      <c r="F2722" s="924" t="s">
        <v>1088</v>
      </c>
      <c r="G2722" s="924" t="s">
        <v>981</v>
      </c>
      <c r="H2722" s="924" t="s">
        <v>835</v>
      </c>
      <c r="I2722" s="924" t="s">
        <v>998</v>
      </c>
      <c r="J2722" s="924" t="s">
        <v>940</v>
      </c>
      <c r="K2722" s="924" t="s">
        <v>1089</v>
      </c>
      <c r="L2722" s="925">
        <v>1320.6255760192901</v>
      </c>
      <c r="M2722" s="925">
        <v>2.4125251509249201</v>
      </c>
    </row>
    <row r="2723" spans="1:13" ht="11.25" customHeight="1" x14ac:dyDescent="0.2">
      <c r="A2723" s="924" t="s">
        <v>853</v>
      </c>
      <c r="B2723" s="924" t="s">
        <v>800</v>
      </c>
      <c r="C2723" s="924" t="s">
        <v>1188</v>
      </c>
      <c r="D2723" s="924" t="s">
        <v>1163</v>
      </c>
      <c r="E2723" s="924" t="s">
        <v>856</v>
      </c>
      <c r="F2723" s="924" t="s">
        <v>1090</v>
      </c>
      <c r="G2723" s="924" t="s">
        <v>981</v>
      </c>
      <c r="H2723" s="924" t="s">
        <v>835</v>
      </c>
      <c r="I2723" s="924" t="s">
        <v>998</v>
      </c>
      <c r="J2723" s="924" t="s">
        <v>940</v>
      </c>
      <c r="K2723" s="924" t="s">
        <v>1091</v>
      </c>
      <c r="L2723" s="925">
        <v>159.336176276207</v>
      </c>
      <c r="M2723" s="925">
        <v>0.27135842246934799</v>
      </c>
    </row>
    <row r="2724" spans="1:13" ht="11.25" customHeight="1" x14ac:dyDescent="0.2">
      <c r="A2724" s="924" t="s">
        <v>853</v>
      </c>
      <c r="B2724" s="924" t="s">
        <v>800</v>
      </c>
      <c r="C2724" s="924" t="s">
        <v>1188</v>
      </c>
      <c r="D2724" s="924" t="s">
        <v>1163</v>
      </c>
      <c r="E2724" s="924" t="s">
        <v>856</v>
      </c>
      <c r="F2724" s="924" t="s">
        <v>1092</v>
      </c>
      <c r="G2724" s="924" t="s">
        <v>981</v>
      </c>
      <c r="H2724" s="924" t="s">
        <v>835</v>
      </c>
      <c r="I2724" s="924" t="s">
        <v>998</v>
      </c>
      <c r="J2724" s="924" t="s">
        <v>940</v>
      </c>
      <c r="K2724" s="924" t="s">
        <v>1093</v>
      </c>
      <c r="L2724" s="925">
        <v>1151.38866424561</v>
      </c>
      <c r="M2724" s="925">
        <v>2.27841340191662</v>
      </c>
    </row>
    <row r="2725" spans="1:13" ht="11.25" customHeight="1" x14ac:dyDescent="0.2">
      <c r="A2725" s="924" t="s">
        <v>853</v>
      </c>
      <c r="B2725" s="924" t="s">
        <v>800</v>
      </c>
      <c r="C2725" s="924" t="s">
        <v>1188</v>
      </c>
      <c r="D2725" s="924" t="s">
        <v>1163</v>
      </c>
      <c r="E2725" s="924" t="s">
        <v>856</v>
      </c>
      <c r="F2725" s="924" t="s">
        <v>1094</v>
      </c>
      <c r="G2725" s="924" t="s">
        <v>981</v>
      </c>
      <c r="H2725" s="924" t="s">
        <v>835</v>
      </c>
      <c r="I2725" s="924" t="s">
        <v>998</v>
      </c>
      <c r="J2725" s="924" t="s">
        <v>940</v>
      </c>
      <c r="K2725" s="924" t="s">
        <v>1095</v>
      </c>
      <c r="L2725" s="925">
        <v>102.548345088959</v>
      </c>
      <c r="M2725" s="925">
        <v>0.191265953355469</v>
      </c>
    </row>
    <row r="2726" spans="1:13" ht="11.25" customHeight="1" x14ac:dyDescent="0.2">
      <c r="A2726" s="924" t="s">
        <v>853</v>
      </c>
      <c r="B2726" s="924" t="s">
        <v>800</v>
      </c>
      <c r="C2726" s="924" t="s">
        <v>1188</v>
      </c>
      <c r="D2726" s="924" t="s">
        <v>1163</v>
      </c>
      <c r="E2726" s="924" t="s">
        <v>856</v>
      </c>
      <c r="F2726" s="924" t="s">
        <v>1096</v>
      </c>
      <c r="G2726" s="924" t="s">
        <v>981</v>
      </c>
      <c r="H2726" s="924" t="s">
        <v>835</v>
      </c>
      <c r="I2726" s="924" t="s">
        <v>998</v>
      </c>
      <c r="J2726" s="924" t="s">
        <v>940</v>
      </c>
      <c r="K2726" s="924" t="s">
        <v>1023</v>
      </c>
      <c r="L2726" s="925">
        <v>1075.12180423737</v>
      </c>
      <c r="M2726" s="925">
        <v>2.0108413482084901</v>
      </c>
    </row>
    <row r="2727" spans="1:13" ht="11.25" customHeight="1" x14ac:dyDescent="0.2">
      <c r="A2727" s="924" t="s">
        <v>853</v>
      </c>
      <c r="B2727" s="924" t="s">
        <v>800</v>
      </c>
      <c r="C2727" s="924" t="s">
        <v>1188</v>
      </c>
      <c r="D2727" s="924" t="s">
        <v>1163</v>
      </c>
      <c r="E2727" s="924" t="s">
        <v>856</v>
      </c>
      <c r="F2727" s="924" t="s">
        <v>1097</v>
      </c>
      <c r="G2727" s="924" t="s">
        <v>981</v>
      </c>
      <c r="H2727" s="924" t="s">
        <v>835</v>
      </c>
      <c r="I2727" s="924" t="s">
        <v>998</v>
      </c>
      <c r="J2727" s="924" t="s">
        <v>940</v>
      </c>
      <c r="K2727" s="924" t="s">
        <v>1098</v>
      </c>
      <c r="L2727" s="925">
        <v>51.304678916931202</v>
      </c>
      <c r="M2727" s="925">
        <v>0.35048656910657899</v>
      </c>
    </row>
    <row r="2728" spans="1:13" ht="11.25" customHeight="1" x14ac:dyDescent="0.2">
      <c r="A2728" s="924" t="s">
        <v>853</v>
      </c>
      <c r="B2728" s="924" t="s">
        <v>800</v>
      </c>
      <c r="C2728" s="924" t="s">
        <v>1188</v>
      </c>
      <c r="D2728" s="924" t="s">
        <v>1163</v>
      </c>
      <c r="E2728" s="924" t="s">
        <v>856</v>
      </c>
      <c r="F2728" s="924" t="s">
        <v>1099</v>
      </c>
      <c r="G2728" s="924" t="s">
        <v>981</v>
      </c>
      <c r="H2728" s="924" t="s">
        <v>835</v>
      </c>
      <c r="I2728" s="924" t="s">
        <v>998</v>
      </c>
      <c r="J2728" s="924" t="s">
        <v>940</v>
      </c>
      <c r="K2728" s="924" t="s">
        <v>1025</v>
      </c>
      <c r="L2728" s="925">
        <v>395.973169326782</v>
      </c>
      <c r="M2728" s="925">
        <v>2.7015409022569701</v>
      </c>
    </row>
    <row r="2729" spans="1:13" ht="11.25" customHeight="1" x14ac:dyDescent="0.2">
      <c r="A2729" s="924" t="s">
        <v>853</v>
      </c>
      <c r="B2729" s="924" t="s">
        <v>800</v>
      </c>
      <c r="C2729" s="924" t="s">
        <v>1188</v>
      </c>
      <c r="D2729" s="924" t="s">
        <v>1163</v>
      </c>
      <c r="E2729" s="924" t="s">
        <v>856</v>
      </c>
      <c r="F2729" s="924" t="s">
        <v>1100</v>
      </c>
      <c r="G2729" s="924" t="s">
        <v>981</v>
      </c>
      <c r="H2729" s="924" t="s">
        <v>835</v>
      </c>
      <c r="I2729" s="924" t="s">
        <v>998</v>
      </c>
      <c r="J2729" s="924" t="s">
        <v>940</v>
      </c>
      <c r="K2729" s="924" t="s">
        <v>1032</v>
      </c>
      <c r="L2729" s="925">
        <v>0.573692240519449</v>
      </c>
      <c r="M2729" s="925">
        <v>1.1501946773933001E-3</v>
      </c>
    </row>
    <row r="2730" spans="1:13" ht="11.25" customHeight="1" x14ac:dyDescent="0.2">
      <c r="A2730" s="924" t="s">
        <v>853</v>
      </c>
      <c r="B2730" s="924" t="s">
        <v>800</v>
      </c>
      <c r="C2730" s="924" t="s">
        <v>1188</v>
      </c>
      <c r="D2730" s="924" t="s">
        <v>1163</v>
      </c>
      <c r="E2730" s="924" t="s">
        <v>856</v>
      </c>
      <c r="F2730" s="924" t="s">
        <v>1067</v>
      </c>
      <c r="G2730" s="924" t="s">
        <v>981</v>
      </c>
      <c r="H2730" s="924" t="s">
        <v>835</v>
      </c>
      <c r="I2730" s="924" t="s">
        <v>1040</v>
      </c>
      <c r="J2730" s="924" t="s">
        <v>859</v>
      </c>
      <c r="K2730" s="924" t="s">
        <v>1011</v>
      </c>
      <c r="L2730" s="925">
        <v>9.9277161657810193</v>
      </c>
      <c r="M2730" s="925">
        <v>7.0551598729480204E-3</v>
      </c>
    </row>
    <row r="2731" spans="1:13" ht="11.25" customHeight="1" x14ac:dyDescent="0.2">
      <c r="A2731" s="924" t="s">
        <v>853</v>
      </c>
      <c r="B2731" s="924" t="s">
        <v>800</v>
      </c>
      <c r="C2731" s="924" t="s">
        <v>1188</v>
      </c>
      <c r="D2731" s="924" t="s">
        <v>1163</v>
      </c>
      <c r="E2731" s="924" t="s">
        <v>856</v>
      </c>
      <c r="F2731" s="924" t="s">
        <v>1081</v>
      </c>
      <c r="G2731" s="924" t="s">
        <v>981</v>
      </c>
      <c r="H2731" s="924" t="s">
        <v>835</v>
      </c>
      <c r="I2731" s="924" t="s">
        <v>998</v>
      </c>
      <c r="J2731" s="924" t="s">
        <v>863</v>
      </c>
      <c r="K2731" s="924" t="s">
        <v>935</v>
      </c>
      <c r="L2731" s="925">
        <v>1.71886577270925</v>
      </c>
      <c r="M2731" s="925">
        <v>3.8406443381973098E-3</v>
      </c>
    </row>
    <row r="2732" spans="1:13" ht="11.25" customHeight="1" x14ac:dyDescent="0.2">
      <c r="A2732" s="924" t="s">
        <v>853</v>
      </c>
      <c r="B2732" s="924" t="s">
        <v>800</v>
      </c>
      <c r="C2732" s="924" t="s">
        <v>1188</v>
      </c>
      <c r="D2732" s="924" t="s">
        <v>1163</v>
      </c>
      <c r="E2732" s="924" t="s">
        <v>856</v>
      </c>
      <c r="F2732" s="924" t="s">
        <v>964</v>
      </c>
      <c r="G2732" s="924" t="s">
        <v>858</v>
      </c>
      <c r="H2732" s="924" t="s">
        <v>836</v>
      </c>
      <c r="I2732" s="924" t="s">
        <v>837</v>
      </c>
      <c r="J2732" s="924" t="s">
        <v>870</v>
      </c>
      <c r="K2732" s="924" t="s">
        <v>965</v>
      </c>
      <c r="L2732" s="925">
        <v>8.0684300940483809</v>
      </c>
      <c r="M2732" s="925">
        <v>7.4080448178914806E-5</v>
      </c>
    </row>
    <row r="2733" spans="1:13" ht="11.25" customHeight="1" x14ac:dyDescent="0.2">
      <c r="A2733" s="924" t="s">
        <v>853</v>
      </c>
      <c r="B2733" s="924" t="s">
        <v>800</v>
      </c>
      <c r="C2733" s="924" t="s">
        <v>1188</v>
      </c>
      <c r="D2733" s="924" t="s">
        <v>1163</v>
      </c>
      <c r="E2733" s="924" t="s">
        <v>856</v>
      </c>
      <c r="F2733" s="924" t="s">
        <v>1065</v>
      </c>
      <c r="G2733" s="924" t="s">
        <v>981</v>
      </c>
      <c r="H2733" s="924" t="s">
        <v>835</v>
      </c>
      <c r="I2733" s="924" t="s">
        <v>1040</v>
      </c>
      <c r="J2733" s="924" t="s">
        <v>859</v>
      </c>
      <c r="K2733" s="924" t="s">
        <v>926</v>
      </c>
      <c r="L2733" s="925">
        <v>43.996489644050598</v>
      </c>
      <c r="M2733" s="925">
        <v>2.9270967119373398E-2</v>
      </c>
    </row>
    <row r="2734" spans="1:13" ht="11.25" customHeight="1" x14ac:dyDescent="0.2">
      <c r="A2734" s="924" t="s">
        <v>853</v>
      </c>
      <c r="B2734" s="924" t="s">
        <v>800</v>
      </c>
      <c r="C2734" s="924" t="s">
        <v>1188</v>
      </c>
      <c r="D2734" s="924" t="s">
        <v>1163</v>
      </c>
      <c r="E2734" s="924" t="s">
        <v>856</v>
      </c>
      <c r="F2734" s="924" t="s">
        <v>980</v>
      </c>
      <c r="G2734" s="924" t="s">
        <v>981</v>
      </c>
      <c r="H2734" s="924" t="s">
        <v>835</v>
      </c>
      <c r="I2734" s="924" t="s">
        <v>839</v>
      </c>
      <c r="J2734" s="924" t="s">
        <v>982</v>
      </c>
      <c r="K2734" s="924" t="s">
        <v>983</v>
      </c>
      <c r="L2734" s="925">
        <v>193.60119417309801</v>
      </c>
      <c r="M2734" s="925">
        <v>0.22081926025566601</v>
      </c>
    </row>
    <row r="2735" spans="1:13" ht="11.25" customHeight="1" x14ac:dyDescent="0.2">
      <c r="A2735" s="924" t="s">
        <v>853</v>
      </c>
      <c r="B2735" s="924" t="s">
        <v>800</v>
      </c>
      <c r="C2735" s="924" t="s">
        <v>1188</v>
      </c>
      <c r="D2735" s="924" t="s">
        <v>1163</v>
      </c>
      <c r="E2735" s="924" t="s">
        <v>856</v>
      </c>
      <c r="F2735" s="924" t="s">
        <v>1172</v>
      </c>
      <c r="G2735" s="924" t="s">
        <v>858</v>
      </c>
      <c r="H2735" s="924" t="s">
        <v>836</v>
      </c>
      <c r="I2735" s="924" t="s">
        <v>837</v>
      </c>
      <c r="J2735" s="924" t="s">
        <v>863</v>
      </c>
      <c r="K2735" s="924" t="s">
        <v>1171</v>
      </c>
      <c r="L2735" s="925">
        <v>46.7001689076424</v>
      </c>
      <c r="M2735" s="925">
        <v>1.35756672534626E-3</v>
      </c>
    </row>
    <row r="2736" spans="1:13" ht="11.25" customHeight="1" x14ac:dyDescent="0.2">
      <c r="A2736" s="924" t="s">
        <v>853</v>
      </c>
      <c r="B2736" s="924" t="s">
        <v>800</v>
      </c>
      <c r="C2736" s="924" t="s">
        <v>1188</v>
      </c>
      <c r="D2736" s="924" t="s">
        <v>1163</v>
      </c>
      <c r="E2736" s="924" t="s">
        <v>856</v>
      </c>
      <c r="F2736" s="924" t="s">
        <v>955</v>
      </c>
      <c r="G2736" s="924" t="s">
        <v>858</v>
      </c>
      <c r="H2736" s="924" t="s">
        <v>836</v>
      </c>
      <c r="I2736" s="924" t="s">
        <v>837</v>
      </c>
      <c r="J2736" s="924" t="s">
        <v>956</v>
      </c>
      <c r="K2736" s="924" t="s">
        <v>957</v>
      </c>
      <c r="L2736" s="925">
        <v>148.67382121086101</v>
      </c>
      <c r="M2736" s="925">
        <v>8.5388722438040098E-4</v>
      </c>
    </row>
    <row r="2737" spans="1:13" ht="11.25" customHeight="1" x14ac:dyDescent="0.2">
      <c r="A2737" s="924" t="s">
        <v>853</v>
      </c>
      <c r="B2737" s="924" t="s">
        <v>800</v>
      </c>
      <c r="C2737" s="924" t="s">
        <v>1188</v>
      </c>
      <c r="D2737" s="924" t="s">
        <v>1163</v>
      </c>
      <c r="E2737" s="924" t="s">
        <v>856</v>
      </c>
      <c r="F2737" s="924" t="s">
        <v>974</v>
      </c>
      <c r="G2737" s="924" t="s">
        <v>858</v>
      </c>
      <c r="H2737" s="924" t="s">
        <v>836</v>
      </c>
      <c r="I2737" s="924" t="s">
        <v>837</v>
      </c>
      <c r="J2737" s="924" t="s">
        <v>875</v>
      </c>
      <c r="K2737" s="924" t="s">
        <v>952</v>
      </c>
      <c r="L2737" s="925">
        <v>117.311258912086</v>
      </c>
      <c r="M2737" s="925">
        <v>2.6504577779462601E-3</v>
      </c>
    </row>
    <row r="2738" spans="1:13" ht="11.25" customHeight="1" x14ac:dyDescent="0.2">
      <c r="A2738" s="924" t="s">
        <v>853</v>
      </c>
      <c r="B2738" s="924" t="s">
        <v>800</v>
      </c>
      <c r="C2738" s="924" t="s">
        <v>1188</v>
      </c>
      <c r="D2738" s="924" t="s">
        <v>1163</v>
      </c>
      <c r="E2738" s="924" t="s">
        <v>856</v>
      </c>
      <c r="F2738" s="924" t="s">
        <v>1000</v>
      </c>
      <c r="G2738" s="924" t="s">
        <v>858</v>
      </c>
      <c r="H2738" s="924" t="s">
        <v>836</v>
      </c>
      <c r="I2738" s="924" t="s">
        <v>837</v>
      </c>
      <c r="J2738" s="924" t="s">
        <v>875</v>
      </c>
      <c r="K2738" s="924" t="s">
        <v>950</v>
      </c>
      <c r="L2738" s="925">
        <v>132.56617069244399</v>
      </c>
      <c r="M2738" s="925">
        <v>3.1138403963382202E-3</v>
      </c>
    </row>
    <row r="2739" spans="1:13" ht="11.25" customHeight="1" x14ac:dyDescent="0.2">
      <c r="A2739" s="924" t="s">
        <v>853</v>
      </c>
      <c r="B2739" s="924" t="s">
        <v>800</v>
      </c>
      <c r="C2739" s="924" t="s">
        <v>1188</v>
      </c>
      <c r="D2739" s="924" t="s">
        <v>1163</v>
      </c>
      <c r="E2739" s="924" t="s">
        <v>856</v>
      </c>
      <c r="F2739" s="924" t="s">
        <v>971</v>
      </c>
      <c r="G2739" s="924" t="s">
        <v>858</v>
      </c>
      <c r="H2739" s="924" t="s">
        <v>836</v>
      </c>
      <c r="I2739" s="924" t="s">
        <v>837</v>
      </c>
      <c r="J2739" s="924" t="s">
        <v>875</v>
      </c>
      <c r="K2739" s="924" t="s">
        <v>948</v>
      </c>
      <c r="L2739" s="925">
        <v>1379.4465885162399</v>
      </c>
      <c r="M2739" s="925">
        <v>5.9003688446864502E-2</v>
      </c>
    </row>
    <row r="2740" spans="1:13" ht="11.25" customHeight="1" x14ac:dyDescent="0.2">
      <c r="A2740" s="924" t="s">
        <v>853</v>
      </c>
      <c r="B2740" s="924" t="s">
        <v>800</v>
      </c>
      <c r="C2740" s="924" t="s">
        <v>1188</v>
      </c>
      <c r="D2740" s="924" t="s">
        <v>1163</v>
      </c>
      <c r="E2740" s="924" t="s">
        <v>856</v>
      </c>
      <c r="F2740" s="924" t="s">
        <v>970</v>
      </c>
      <c r="G2740" s="924" t="s">
        <v>858</v>
      </c>
      <c r="H2740" s="924" t="s">
        <v>836</v>
      </c>
      <c r="I2740" s="924" t="s">
        <v>837</v>
      </c>
      <c r="J2740" s="924" t="s">
        <v>875</v>
      </c>
      <c r="K2740" s="924" t="s">
        <v>880</v>
      </c>
      <c r="L2740" s="925">
        <v>2714.3148231506302</v>
      </c>
      <c r="M2740" s="925">
        <v>5.2743845498298497E-2</v>
      </c>
    </row>
    <row r="2741" spans="1:13" ht="11.25" customHeight="1" x14ac:dyDescent="0.2">
      <c r="A2741" s="924" t="s">
        <v>853</v>
      </c>
      <c r="B2741" s="924" t="s">
        <v>800</v>
      </c>
      <c r="C2741" s="924" t="s">
        <v>1188</v>
      </c>
      <c r="D2741" s="924" t="s">
        <v>1163</v>
      </c>
      <c r="E2741" s="924" t="s">
        <v>856</v>
      </c>
      <c r="F2741" s="924" t="s">
        <v>969</v>
      </c>
      <c r="G2741" s="924" t="s">
        <v>858</v>
      </c>
      <c r="H2741" s="924" t="s">
        <v>836</v>
      </c>
      <c r="I2741" s="924" t="s">
        <v>837</v>
      </c>
      <c r="J2741" s="924" t="s">
        <v>875</v>
      </c>
      <c r="K2741" s="924" t="s">
        <v>878</v>
      </c>
      <c r="L2741" s="925">
        <v>978.44793701171898</v>
      </c>
      <c r="M2741" s="925">
        <v>2.5918492936852999E-2</v>
      </c>
    </row>
    <row r="2742" spans="1:13" ht="11.25" customHeight="1" x14ac:dyDescent="0.2">
      <c r="A2742" s="924" t="s">
        <v>853</v>
      </c>
      <c r="B2742" s="924" t="s">
        <v>800</v>
      </c>
      <c r="C2742" s="924" t="s">
        <v>1188</v>
      </c>
      <c r="D2742" s="924" t="s">
        <v>1163</v>
      </c>
      <c r="E2742" s="924" t="s">
        <v>856</v>
      </c>
      <c r="F2742" s="924" t="s">
        <v>968</v>
      </c>
      <c r="G2742" s="924" t="s">
        <v>858</v>
      </c>
      <c r="H2742" s="924" t="s">
        <v>836</v>
      </c>
      <c r="I2742" s="924" t="s">
        <v>837</v>
      </c>
      <c r="J2742" s="924" t="s">
        <v>875</v>
      </c>
      <c r="K2742" s="924" t="s">
        <v>876</v>
      </c>
      <c r="L2742" s="925">
        <v>4145.7255554199201</v>
      </c>
      <c r="M2742" s="925">
        <v>0.111122083726514</v>
      </c>
    </row>
    <row r="2743" spans="1:13" ht="11.25" customHeight="1" x14ac:dyDescent="0.2">
      <c r="A2743" s="924" t="s">
        <v>853</v>
      </c>
      <c r="B2743" s="924" t="s">
        <v>800</v>
      </c>
      <c r="C2743" s="924" t="s">
        <v>1188</v>
      </c>
      <c r="D2743" s="924" t="s">
        <v>1163</v>
      </c>
      <c r="E2743" s="924" t="s">
        <v>856</v>
      </c>
      <c r="F2743" s="924" t="s">
        <v>986</v>
      </c>
      <c r="G2743" s="924" t="s">
        <v>981</v>
      </c>
      <c r="H2743" s="924" t="s">
        <v>835</v>
      </c>
      <c r="I2743" s="924" t="s">
        <v>839</v>
      </c>
      <c r="J2743" s="924" t="s">
        <v>987</v>
      </c>
      <c r="K2743" s="924" t="s">
        <v>988</v>
      </c>
      <c r="L2743" s="925">
        <v>59.510377675294897</v>
      </c>
      <c r="M2743" s="925">
        <v>3.00535295245936E-2</v>
      </c>
    </row>
    <row r="2744" spans="1:13" ht="11.25" customHeight="1" x14ac:dyDescent="0.2">
      <c r="A2744" s="924" t="s">
        <v>853</v>
      </c>
      <c r="B2744" s="924" t="s">
        <v>800</v>
      </c>
      <c r="C2744" s="924" t="s">
        <v>1188</v>
      </c>
      <c r="D2744" s="924" t="s">
        <v>1163</v>
      </c>
      <c r="E2744" s="924" t="s">
        <v>856</v>
      </c>
      <c r="F2744" s="924" t="s">
        <v>966</v>
      </c>
      <c r="G2744" s="924" t="s">
        <v>858</v>
      </c>
      <c r="H2744" s="924" t="s">
        <v>836</v>
      </c>
      <c r="I2744" s="924" t="s">
        <v>837</v>
      </c>
      <c r="J2744" s="924" t="s">
        <v>870</v>
      </c>
      <c r="K2744" s="924" t="s">
        <v>871</v>
      </c>
      <c r="L2744" s="925">
        <v>22.4506937116385</v>
      </c>
      <c r="M2744" s="925">
        <v>1.95078226146173E-4</v>
      </c>
    </row>
    <row r="2745" spans="1:13" ht="11.25" customHeight="1" x14ac:dyDescent="0.2">
      <c r="A2745" s="924" t="s">
        <v>853</v>
      </c>
      <c r="B2745" s="924" t="s">
        <v>800</v>
      </c>
      <c r="C2745" s="924" t="s">
        <v>1188</v>
      </c>
      <c r="D2745" s="924" t="s">
        <v>1163</v>
      </c>
      <c r="E2745" s="924" t="s">
        <v>856</v>
      </c>
      <c r="F2745" s="924" t="s">
        <v>989</v>
      </c>
      <c r="G2745" s="924" t="s">
        <v>990</v>
      </c>
      <c r="H2745" s="924" t="s">
        <v>836</v>
      </c>
      <c r="I2745" s="924" t="s">
        <v>839</v>
      </c>
      <c r="J2745" s="924" t="s">
        <v>224</v>
      </c>
      <c r="K2745" s="924" t="s">
        <v>988</v>
      </c>
      <c r="L2745" s="925">
        <v>46.865946777164901</v>
      </c>
      <c r="M2745" s="925">
        <v>1.5956790860720499E-3</v>
      </c>
    </row>
    <row r="2746" spans="1:13" ht="11.25" customHeight="1" x14ac:dyDescent="0.2">
      <c r="A2746" s="924" t="s">
        <v>853</v>
      </c>
      <c r="B2746" s="924" t="s">
        <v>800</v>
      </c>
      <c r="C2746" s="924" t="s">
        <v>1188</v>
      </c>
      <c r="D2746" s="924" t="s">
        <v>1163</v>
      </c>
      <c r="E2746" s="924" t="s">
        <v>856</v>
      </c>
      <c r="F2746" s="924" t="s">
        <v>962</v>
      </c>
      <c r="G2746" s="924" t="s">
        <v>858</v>
      </c>
      <c r="H2746" s="924" t="s">
        <v>836</v>
      </c>
      <c r="I2746" s="924" t="s">
        <v>837</v>
      </c>
      <c r="J2746" s="924" t="s">
        <v>870</v>
      </c>
      <c r="K2746" s="924" t="s">
        <v>963</v>
      </c>
      <c r="L2746" s="925">
        <v>2.41393218093435E-2</v>
      </c>
      <c r="M2746" s="925">
        <v>1.71572043596718E-7</v>
      </c>
    </row>
    <row r="2747" spans="1:13" ht="11.25" customHeight="1" x14ac:dyDescent="0.2">
      <c r="A2747" s="924" t="s">
        <v>853</v>
      </c>
      <c r="B2747" s="924" t="s">
        <v>800</v>
      </c>
      <c r="C2747" s="924" t="s">
        <v>1188</v>
      </c>
      <c r="D2747" s="924" t="s">
        <v>1163</v>
      </c>
      <c r="E2747" s="924" t="s">
        <v>856</v>
      </c>
      <c r="F2747" s="924" t="s">
        <v>960</v>
      </c>
      <c r="G2747" s="924" t="s">
        <v>858</v>
      </c>
      <c r="H2747" s="924" t="s">
        <v>836</v>
      </c>
      <c r="I2747" s="924" t="s">
        <v>837</v>
      </c>
      <c r="J2747" s="924" t="s">
        <v>870</v>
      </c>
      <c r="K2747" s="924" t="s">
        <v>961</v>
      </c>
      <c r="L2747" s="925">
        <v>8.7276824787259102</v>
      </c>
      <c r="M2747" s="925">
        <v>7.7437143517045101E-5</v>
      </c>
    </row>
    <row r="2748" spans="1:13" ht="11.25" customHeight="1" x14ac:dyDescent="0.2">
      <c r="A2748" s="924" t="s">
        <v>853</v>
      </c>
      <c r="B2748" s="924" t="s">
        <v>800</v>
      </c>
      <c r="C2748" s="924" t="s">
        <v>1188</v>
      </c>
      <c r="D2748" s="924" t="s">
        <v>1163</v>
      </c>
      <c r="E2748" s="924" t="s">
        <v>856</v>
      </c>
      <c r="F2748" s="924" t="s">
        <v>958</v>
      </c>
      <c r="G2748" s="924" t="s">
        <v>858</v>
      </c>
      <c r="H2748" s="924" t="s">
        <v>836</v>
      </c>
      <c r="I2748" s="924" t="s">
        <v>837</v>
      </c>
      <c r="J2748" s="924" t="s">
        <v>870</v>
      </c>
      <c r="K2748" s="924" t="s">
        <v>959</v>
      </c>
      <c r="L2748" s="925">
        <v>0.119668365572579</v>
      </c>
      <c r="M2748" s="925">
        <v>1.1152161208186101E-6</v>
      </c>
    </row>
    <row r="2749" spans="1:13" ht="11.25" customHeight="1" x14ac:dyDescent="0.2">
      <c r="A2749" s="924" t="s">
        <v>853</v>
      </c>
      <c r="B2749" s="924" t="s">
        <v>800</v>
      </c>
      <c r="C2749" s="924" t="s">
        <v>1188</v>
      </c>
      <c r="D2749" s="924" t="s">
        <v>1163</v>
      </c>
      <c r="E2749" s="924" t="s">
        <v>856</v>
      </c>
      <c r="F2749" s="924" t="s">
        <v>1015</v>
      </c>
      <c r="G2749" s="924" t="s">
        <v>858</v>
      </c>
      <c r="H2749" s="924" t="s">
        <v>836</v>
      </c>
      <c r="I2749" s="924" t="s">
        <v>837</v>
      </c>
      <c r="J2749" s="924" t="s">
        <v>870</v>
      </c>
      <c r="K2749" s="924" t="s">
        <v>1016</v>
      </c>
      <c r="L2749" s="925">
        <v>0.56970552704296995</v>
      </c>
      <c r="M2749" s="925">
        <v>6.9217827638190502E-6</v>
      </c>
    </row>
    <row r="2750" spans="1:13" ht="11.25" customHeight="1" x14ac:dyDescent="0.2">
      <c r="A2750" s="924" t="s">
        <v>853</v>
      </c>
      <c r="B2750" s="924" t="s">
        <v>800</v>
      </c>
      <c r="C2750" s="924" t="s">
        <v>1188</v>
      </c>
      <c r="D2750" s="924" t="s">
        <v>1163</v>
      </c>
      <c r="E2750" s="924" t="s">
        <v>856</v>
      </c>
      <c r="F2750" s="924" t="s">
        <v>1018</v>
      </c>
      <c r="G2750" s="924" t="s">
        <v>858</v>
      </c>
      <c r="H2750" s="924" t="s">
        <v>836</v>
      </c>
      <c r="I2750" s="924" t="s">
        <v>837</v>
      </c>
      <c r="J2750" s="924" t="s">
        <v>870</v>
      </c>
      <c r="K2750" s="924" t="s">
        <v>1019</v>
      </c>
      <c r="L2750" s="925">
        <v>102.879158526659</v>
      </c>
      <c r="M2750" s="925">
        <v>7.7318136113291303E-4</v>
      </c>
    </row>
    <row r="2751" spans="1:13" ht="11.25" customHeight="1" x14ac:dyDescent="0.2">
      <c r="A2751" s="924" t="s">
        <v>853</v>
      </c>
      <c r="B2751" s="924" t="s">
        <v>800</v>
      </c>
      <c r="C2751" s="924" t="s">
        <v>1188</v>
      </c>
      <c r="D2751" s="924" t="s">
        <v>1163</v>
      </c>
      <c r="E2751" s="924" t="s">
        <v>856</v>
      </c>
      <c r="F2751" s="924" t="s">
        <v>975</v>
      </c>
      <c r="G2751" s="924" t="s">
        <v>858</v>
      </c>
      <c r="H2751" s="924" t="s">
        <v>836</v>
      </c>
      <c r="I2751" s="924" t="s">
        <v>837</v>
      </c>
      <c r="J2751" s="924" t="s">
        <v>870</v>
      </c>
      <c r="K2751" s="924" t="s">
        <v>976</v>
      </c>
      <c r="L2751" s="925">
        <v>1147.0970909595501</v>
      </c>
      <c r="M2751" s="925">
        <v>1.7167975731126699E-2</v>
      </c>
    </row>
    <row r="2752" spans="1:13" ht="11.25" customHeight="1" x14ac:dyDescent="0.2">
      <c r="A2752" s="924" t="s">
        <v>853</v>
      </c>
      <c r="B2752" s="924" t="s">
        <v>800</v>
      </c>
      <c r="C2752" s="924" t="s">
        <v>1188</v>
      </c>
      <c r="D2752" s="924" t="s">
        <v>1163</v>
      </c>
      <c r="E2752" s="924" t="s">
        <v>856</v>
      </c>
      <c r="F2752" s="924" t="s">
        <v>1035</v>
      </c>
      <c r="G2752" s="924" t="s">
        <v>858</v>
      </c>
      <c r="H2752" s="924" t="s">
        <v>836</v>
      </c>
      <c r="I2752" s="924" t="s">
        <v>837</v>
      </c>
      <c r="J2752" s="924" t="s">
        <v>870</v>
      </c>
      <c r="K2752" s="924" t="s">
        <v>1036</v>
      </c>
      <c r="L2752" s="925">
        <v>2.7607712647295599E-2</v>
      </c>
      <c r="M2752" s="925">
        <v>3.3811655314602802E-6</v>
      </c>
    </row>
    <row r="2753" spans="1:13" ht="11.25" customHeight="1" x14ac:dyDescent="0.2">
      <c r="A2753" s="924" t="s">
        <v>853</v>
      </c>
      <c r="B2753" s="924" t="s">
        <v>800</v>
      </c>
      <c r="C2753" s="924" t="s">
        <v>1188</v>
      </c>
      <c r="D2753" s="924" t="s">
        <v>1163</v>
      </c>
      <c r="E2753" s="924" t="s">
        <v>856</v>
      </c>
      <c r="F2753" s="924" t="s">
        <v>1033</v>
      </c>
      <c r="G2753" s="924" t="s">
        <v>858</v>
      </c>
      <c r="H2753" s="924" t="s">
        <v>836</v>
      </c>
      <c r="I2753" s="924" t="s">
        <v>837</v>
      </c>
      <c r="J2753" s="924" t="s">
        <v>940</v>
      </c>
      <c r="K2753" s="924" t="s">
        <v>1034</v>
      </c>
      <c r="L2753" s="925">
        <v>10.7460625097156</v>
      </c>
      <c r="M2753" s="925">
        <v>3.52391148307873E-4</v>
      </c>
    </row>
    <row r="2754" spans="1:13" ht="11.25" customHeight="1" x14ac:dyDescent="0.2">
      <c r="A2754" s="924" t="s">
        <v>853</v>
      </c>
      <c r="B2754" s="924" t="s">
        <v>800</v>
      </c>
      <c r="C2754" s="924" t="s">
        <v>1188</v>
      </c>
      <c r="D2754" s="924" t="s">
        <v>1163</v>
      </c>
      <c r="E2754" s="924" t="s">
        <v>856</v>
      </c>
      <c r="F2754" s="924" t="s">
        <v>1031</v>
      </c>
      <c r="G2754" s="924" t="s">
        <v>858</v>
      </c>
      <c r="H2754" s="924" t="s">
        <v>836</v>
      </c>
      <c r="I2754" s="924" t="s">
        <v>837</v>
      </c>
      <c r="J2754" s="924" t="s">
        <v>940</v>
      </c>
      <c r="K2754" s="924" t="s">
        <v>1032</v>
      </c>
      <c r="L2754" s="925">
        <v>423.16164910793299</v>
      </c>
      <c r="M2754" s="925">
        <v>8.8293085601236498E-3</v>
      </c>
    </row>
    <row r="2755" spans="1:13" ht="11.25" customHeight="1" x14ac:dyDescent="0.2">
      <c r="A2755" s="924" t="s">
        <v>853</v>
      </c>
      <c r="B2755" s="924" t="s">
        <v>800</v>
      </c>
      <c r="C2755" s="924" t="s">
        <v>1188</v>
      </c>
      <c r="D2755" s="924" t="s">
        <v>1163</v>
      </c>
      <c r="E2755" s="924" t="s">
        <v>856</v>
      </c>
      <c r="F2755" s="924" t="s">
        <v>1030</v>
      </c>
      <c r="G2755" s="924" t="s">
        <v>858</v>
      </c>
      <c r="H2755" s="924" t="s">
        <v>836</v>
      </c>
      <c r="I2755" s="924" t="s">
        <v>837</v>
      </c>
      <c r="J2755" s="924" t="s">
        <v>940</v>
      </c>
      <c r="K2755" s="924" t="s">
        <v>941</v>
      </c>
      <c r="L2755" s="925">
        <v>3591.94214630127</v>
      </c>
      <c r="M2755" s="925">
        <v>6.7473068635990799E-2</v>
      </c>
    </row>
    <row r="2756" spans="1:13" ht="11.25" customHeight="1" x14ac:dyDescent="0.2">
      <c r="A2756" s="924" t="s">
        <v>853</v>
      </c>
      <c r="B2756" s="924" t="s">
        <v>800</v>
      </c>
      <c r="C2756" s="924" t="s">
        <v>1188</v>
      </c>
      <c r="D2756" s="924" t="s">
        <v>1163</v>
      </c>
      <c r="E2756" s="924" t="s">
        <v>856</v>
      </c>
      <c r="F2756" s="924" t="s">
        <v>1028</v>
      </c>
      <c r="G2756" s="924" t="s">
        <v>858</v>
      </c>
      <c r="H2756" s="924" t="s">
        <v>836</v>
      </c>
      <c r="I2756" s="924" t="s">
        <v>837</v>
      </c>
      <c r="J2756" s="924" t="s">
        <v>940</v>
      </c>
      <c r="K2756" s="924" t="s">
        <v>1029</v>
      </c>
      <c r="L2756" s="925">
        <v>543.84283185005199</v>
      </c>
      <c r="M2756" s="925">
        <v>2.9500291449011201E-2</v>
      </c>
    </row>
    <row r="2757" spans="1:13" ht="11.25" customHeight="1" x14ac:dyDescent="0.2">
      <c r="A2757" s="924" t="s">
        <v>853</v>
      </c>
      <c r="B2757" s="924" t="s">
        <v>800</v>
      </c>
      <c r="C2757" s="924" t="s">
        <v>1188</v>
      </c>
      <c r="D2757" s="924" t="s">
        <v>1163</v>
      </c>
      <c r="E2757" s="924" t="s">
        <v>856</v>
      </c>
      <c r="F2757" s="924" t="s">
        <v>967</v>
      </c>
      <c r="G2757" s="924" t="s">
        <v>858</v>
      </c>
      <c r="H2757" s="924" t="s">
        <v>836</v>
      </c>
      <c r="I2757" s="924" t="s">
        <v>837</v>
      </c>
      <c r="J2757" s="924" t="s">
        <v>870</v>
      </c>
      <c r="K2757" s="924" t="s">
        <v>873</v>
      </c>
      <c r="L2757" s="925">
        <v>16.546801555901801</v>
      </c>
      <c r="M2757" s="925">
        <v>2.7954420640075001E-4</v>
      </c>
    </row>
    <row r="2758" spans="1:13" ht="11.25" customHeight="1" x14ac:dyDescent="0.2">
      <c r="A2758" s="924" t="s">
        <v>853</v>
      </c>
      <c r="B2758" s="924" t="s">
        <v>800</v>
      </c>
      <c r="C2758" s="924" t="s">
        <v>1188</v>
      </c>
      <c r="D2758" s="924" t="s">
        <v>1163</v>
      </c>
      <c r="E2758" s="924" t="s">
        <v>856</v>
      </c>
      <c r="F2758" s="924" t="s">
        <v>1159</v>
      </c>
      <c r="G2758" s="924" t="s">
        <v>981</v>
      </c>
      <c r="H2758" s="924" t="s">
        <v>835</v>
      </c>
      <c r="I2758" s="924" t="s">
        <v>1040</v>
      </c>
      <c r="J2758" s="924" t="s">
        <v>940</v>
      </c>
      <c r="K2758" s="924" t="s">
        <v>1095</v>
      </c>
      <c r="L2758" s="925">
        <v>15.404764175415</v>
      </c>
      <c r="M2758" s="925">
        <v>1.0761715137050499E-2</v>
      </c>
    </row>
    <row r="2759" spans="1:13" ht="11.25" customHeight="1" x14ac:dyDescent="0.2">
      <c r="A2759" s="924" t="s">
        <v>853</v>
      </c>
      <c r="B2759" s="924" t="s">
        <v>800</v>
      </c>
      <c r="C2759" s="924" t="s">
        <v>1188</v>
      </c>
      <c r="D2759" s="924" t="s">
        <v>1163</v>
      </c>
      <c r="E2759" s="924" t="s">
        <v>856</v>
      </c>
      <c r="F2759" s="924" t="s">
        <v>1138</v>
      </c>
      <c r="G2759" s="924" t="s">
        <v>981</v>
      </c>
      <c r="H2759" s="924" t="s">
        <v>835</v>
      </c>
      <c r="I2759" s="924" t="s">
        <v>1040</v>
      </c>
      <c r="J2759" s="924" t="s">
        <v>863</v>
      </c>
      <c r="K2759" s="924" t="s">
        <v>931</v>
      </c>
      <c r="L2759" s="925">
        <v>187.454326868057</v>
      </c>
      <c r="M2759" s="925">
        <v>7.2436588248820002E-2</v>
      </c>
    </row>
    <row r="2760" spans="1:13" ht="11.25" customHeight="1" x14ac:dyDescent="0.2">
      <c r="A2760" s="924" t="s">
        <v>853</v>
      </c>
      <c r="B2760" s="924" t="s">
        <v>800</v>
      </c>
      <c r="C2760" s="924" t="s">
        <v>1188</v>
      </c>
      <c r="D2760" s="924" t="s">
        <v>1163</v>
      </c>
      <c r="E2760" s="924" t="s">
        <v>856</v>
      </c>
      <c r="F2760" s="924" t="s">
        <v>1135</v>
      </c>
      <c r="G2760" s="924" t="s">
        <v>981</v>
      </c>
      <c r="H2760" s="924" t="s">
        <v>835</v>
      </c>
      <c r="I2760" s="924" t="s">
        <v>1040</v>
      </c>
      <c r="J2760" s="924" t="s">
        <v>863</v>
      </c>
      <c r="K2760" s="924" t="s">
        <v>935</v>
      </c>
      <c r="L2760" s="925">
        <v>154.85911774635301</v>
      </c>
      <c r="M2760" s="925">
        <v>5.5937924014870098E-2</v>
      </c>
    </row>
    <row r="2761" spans="1:13" ht="11.25" customHeight="1" x14ac:dyDescent="0.2">
      <c r="A2761" s="924" t="s">
        <v>853</v>
      </c>
      <c r="B2761" s="924" t="s">
        <v>800</v>
      </c>
      <c r="C2761" s="924" t="s">
        <v>1188</v>
      </c>
      <c r="D2761" s="924" t="s">
        <v>1163</v>
      </c>
      <c r="E2761" s="924" t="s">
        <v>856</v>
      </c>
      <c r="F2761" s="924" t="s">
        <v>1136</v>
      </c>
      <c r="G2761" s="924" t="s">
        <v>981</v>
      </c>
      <c r="H2761" s="924" t="s">
        <v>835</v>
      </c>
      <c r="I2761" s="924" t="s">
        <v>1040</v>
      </c>
      <c r="J2761" s="924" t="s">
        <v>863</v>
      </c>
      <c r="K2761" s="924" t="s">
        <v>864</v>
      </c>
      <c r="L2761" s="925">
        <v>290.99157381057699</v>
      </c>
      <c r="M2761" s="925">
        <v>0.21801693574525399</v>
      </c>
    </row>
    <row r="2762" spans="1:13" ht="11.25" customHeight="1" x14ac:dyDescent="0.2">
      <c r="A2762" s="924" t="s">
        <v>853</v>
      </c>
      <c r="B2762" s="924" t="s">
        <v>800</v>
      </c>
      <c r="C2762" s="924" t="s">
        <v>1188</v>
      </c>
      <c r="D2762" s="924" t="s">
        <v>1163</v>
      </c>
      <c r="E2762" s="924" t="s">
        <v>856</v>
      </c>
      <c r="F2762" s="924" t="s">
        <v>1148</v>
      </c>
      <c r="G2762" s="924" t="s">
        <v>981</v>
      </c>
      <c r="H2762" s="924" t="s">
        <v>835</v>
      </c>
      <c r="I2762" s="924" t="s">
        <v>1040</v>
      </c>
      <c r="J2762" s="924" t="s">
        <v>863</v>
      </c>
      <c r="K2762" s="924" t="s">
        <v>915</v>
      </c>
      <c r="L2762" s="925">
        <v>13.209518462419499</v>
      </c>
      <c r="M2762" s="925">
        <v>4.9421124701893903E-3</v>
      </c>
    </row>
    <row r="2763" spans="1:13" ht="11.25" customHeight="1" x14ac:dyDescent="0.2">
      <c r="A2763" s="924" t="s">
        <v>853</v>
      </c>
      <c r="B2763" s="924" t="s">
        <v>800</v>
      </c>
      <c r="C2763" s="924" t="s">
        <v>1188</v>
      </c>
      <c r="D2763" s="924" t="s">
        <v>1163</v>
      </c>
      <c r="E2763" s="924" t="s">
        <v>856</v>
      </c>
      <c r="F2763" s="924" t="s">
        <v>1137</v>
      </c>
      <c r="G2763" s="924" t="s">
        <v>981</v>
      </c>
      <c r="H2763" s="924" t="s">
        <v>835</v>
      </c>
      <c r="I2763" s="924" t="s">
        <v>1040</v>
      </c>
      <c r="J2763" s="924" t="s">
        <v>863</v>
      </c>
      <c r="K2763" s="924" t="s">
        <v>866</v>
      </c>
      <c r="L2763" s="925">
        <v>9.7423118650913203</v>
      </c>
      <c r="M2763" s="925">
        <v>6.5515772730577702E-3</v>
      </c>
    </row>
    <row r="2764" spans="1:13" ht="11.25" customHeight="1" x14ac:dyDescent="0.2">
      <c r="A2764" s="924" t="s">
        <v>853</v>
      </c>
      <c r="B2764" s="924" t="s">
        <v>800</v>
      </c>
      <c r="C2764" s="924" t="s">
        <v>1188</v>
      </c>
      <c r="D2764" s="924" t="s">
        <v>1163</v>
      </c>
      <c r="E2764" s="924" t="s">
        <v>856</v>
      </c>
      <c r="F2764" s="924" t="s">
        <v>1131</v>
      </c>
      <c r="G2764" s="924" t="s">
        <v>981</v>
      </c>
      <c r="H2764" s="924" t="s">
        <v>835</v>
      </c>
      <c r="I2764" s="924" t="s">
        <v>1040</v>
      </c>
      <c r="J2764" s="924" t="s">
        <v>863</v>
      </c>
      <c r="K2764" s="924" t="s">
        <v>868</v>
      </c>
      <c r="L2764" s="925">
        <v>63.679420530796101</v>
      </c>
      <c r="M2764" s="925">
        <v>4.5120083668734904E-3</v>
      </c>
    </row>
    <row r="2765" spans="1:13" ht="11.25" customHeight="1" x14ac:dyDescent="0.2">
      <c r="A2765" s="924" t="s">
        <v>853</v>
      </c>
      <c r="B2765" s="924" t="s">
        <v>800</v>
      </c>
      <c r="C2765" s="924" t="s">
        <v>1188</v>
      </c>
      <c r="D2765" s="924" t="s">
        <v>1163</v>
      </c>
      <c r="E2765" s="924" t="s">
        <v>856</v>
      </c>
      <c r="F2765" s="924" t="s">
        <v>1139</v>
      </c>
      <c r="G2765" s="924" t="s">
        <v>981</v>
      </c>
      <c r="H2765" s="924" t="s">
        <v>835</v>
      </c>
      <c r="I2765" s="924" t="s">
        <v>1040</v>
      </c>
      <c r="J2765" s="924" t="s">
        <v>940</v>
      </c>
      <c r="K2765" s="924" t="s">
        <v>1140</v>
      </c>
      <c r="L2765" s="925">
        <v>1456.15830039978</v>
      </c>
      <c r="M2765" s="925">
        <v>1.0668920299417299</v>
      </c>
    </row>
    <row r="2766" spans="1:13" ht="11.25" customHeight="1" x14ac:dyDescent="0.2">
      <c r="A2766" s="924" t="s">
        <v>853</v>
      </c>
      <c r="B2766" s="924" t="s">
        <v>800</v>
      </c>
      <c r="C2766" s="924" t="s">
        <v>1188</v>
      </c>
      <c r="D2766" s="924" t="s">
        <v>1163</v>
      </c>
      <c r="E2766" s="924" t="s">
        <v>856</v>
      </c>
      <c r="F2766" s="924" t="s">
        <v>1141</v>
      </c>
      <c r="G2766" s="924" t="s">
        <v>981</v>
      </c>
      <c r="H2766" s="924" t="s">
        <v>835</v>
      </c>
      <c r="I2766" s="924" t="s">
        <v>1040</v>
      </c>
      <c r="J2766" s="924" t="s">
        <v>940</v>
      </c>
      <c r="K2766" s="924" t="s">
        <v>1142</v>
      </c>
      <c r="L2766" s="925">
        <v>3365.80421066284</v>
      </c>
      <c r="M2766" s="925">
        <v>2.48343176487833</v>
      </c>
    </row>
    <row r="2767" spans="1:13" ht="11.25" customHeight="1" x14ac:dyDescent="0.2">
      <c r="A2767" s="924" t="s">
        <v>853</v>
      </c>
      <c r="B2767" s="924" t="s">
        <v>800</v>
      </c>
      <c r="C2767" s="924" t="s">
        <v>1188</v>
      </c>
      <c r="D2767" s="924" t="s">
        <v>1163</v>
      </c>
      <c r="E2767" s="924" t="s">
        <v>856</v>
      </c>
      <c r="F2767" s="924" t="s">
        <v>1143</v>
      </c>
      <c r="G2767" s="924" t="s">
        <v>981</v>
      </c>
      <c r="H2767" s="924" t="s">
        <v>835</v>
      </c>
      <c r="I2767" s="924" t="s">
        <v>1040</v>
      </c>
      <c r="J2767" s="924" t="s">
        <v>940</v>
      </c>
      <c r="K2767" s="924" t="s">
        <v>1084</v>
      </c>
      <c r="L2767" s="925">
        <v>125.30513894558</v>
      </c>
      <c r="M2767" s="925">
        <v>9.1661615530028898E-2</v>
      </c>
    </row>
    <row r="2768" spans="1:13" ht="11.25" customHeight="1" x14ac:dyDescent="0.2">
      <c r="A2768" s="924" t="s">
        <v>853</v>
      </c>
      <c r="B2768" s="924" t="s">
        <v>800</v>
      </c>
      <c r="C2768" s="924" t="s">
        <v>1188</v>
      </c>
      <c r="D2768" s="924" t="s">
        <v>1163</v>
      </c>
      <c r="E2768" s="924" t="s">
        <v>856</v>
      </c>
      <c r="F2768" s="924" t="s">
        <v>1144</v>
      </c>
      <c r="G2768" s="924" t="s">
        <v>981</v>
      </c>
      <c r="H2768" s="924" t="s">
        <v>835</v>
      </c>
      <c r="I2768" s="924" t="s">
        <v>1040</v>
      </c>
      <c r="J2768" s="924" t="s">
        <v>940</v>
      </c>
      <c r="K2768" s="924" t="s">
        <v>1070</v>
      </c>
      <c r="L2768" s="925">
        <v>2001.16661071777</v>
      </c>
      <c r="M2768" s="925">
        <v>1.39384110970423</v>
      </c>
    </row>
    <row r="2769" spans="1:13" ht="11.25" customHeight="1" x14ac:dyDescent="0.2">
      <c r="A2769" s="924" t="s">
        <v>853</v>
      </c>
      <c r="B2769" s="924" t="s">
        <v>800</v>
      </c>
      <c r="C2769" s="924" t="s">
        <v>1188</v>
      </c>
      <c r="D2769" s="924" t="s">
        <v>1163</v>
      </c>
      <c r="E2769" s="924" t="s">
        <v>856</v>
      </c>
      <c r="F2769" s="924" t="s">
        <v>984</v>
      </c>
      <c r="G2769" s="924" t="s">
        <v>981</v>
      </c>
      <c r="H2769" s="924" t="s">
        <v>835</v>
      </c>
      <c r="I2769" s="924" t="s">
        <v>839</v>
      </c>
      <c r="J2769" s="924" t="s">
        <v>982</v>
      </c>
      <c r="K2769" s="924" t="s">
        <v>985</v>
      </c>
      <c r="L2769" s="925">
        <v>81.790545240044594</v>
      </c>
      <c r="M2769" s="925">
        <v>9.1236466352711404E-2</v>
      </c>
    </row>
    <row r="2770" spans="1:13" ht="11.25" customHeight="1" x14ac:dyDescent="0.2">
      <c r="A2770" s="924" t="s">
        <v>853</v>
      </c>
      <c r="B2770" s="924" t="s">
        <v>800</v>
      </c>
      <c r="C2770" s="924" t="s">
        <v>1188</v>
      </c>
      <c r="D2770" s="924" t="s">
        <v>1163</v>
      </c>
      <c r="E2770" s="924" t="s">
        <v>856</v>
      </c>
      <c r="F2770" s="924" t="s">
        <v>1160</v>
      </c>
      <c r="G2770" s="924" t="s">
        <v>981</v>
      </c>
      <c r="H2770" s="924" t="s">
        <v>835</v>
      </c>
      <c r="I2770" s="924" t="s">
        <v>1040</v>
      </c>
      <c r="J2770" s="924" t="s">
        <v>940</v>
      </c>
      <c r="K2770" s="924" t="s">
        <v>1093</v>
      </c>
      <c r="L2770" s="925">
        <v>77.962552696466403</v>
      </c>
      <c r="M2770" s="925">
        <v>5.50034678162774E-2</v>
      </c>
    </row>
    <row r="2771" spans="1:13" ht="11.25" customHeight="1" x14ac:dyDescent="0.2">
      <c r="A2771" s="924" t="s">
        <v>853</v>
      </c>
      <c r="B2771" s="924" t="s">
        <v>800</v>
      </c>
      <c r="C2771" s="924" t="s">
        <v>1188</v>
      </c>
      <c r="D2771" s="924" t="s">
        <v>1163</v>
      </c>
      <c r="E2771" s="924" t="s">
        <v>856</v>
      </c>
      <c r="F2771" s="924" t="s">
        <v>1026</v>
      </c>
      <c r="G2771" s="924" t="s">
        <v>858</v>
      </c>
      <c r="H2771" s="924" t="s">
        <v>836</v>
      </c>
      <c r="I2771" s="924" t="s">
        <v>837</v>
      </c>
      <c r="J2771" s="924" t="s">
        <v>940</v>
      </c>
      <c r="K2771" s="924" t="s">
        <v>1027</v>
      </c>
      <c r="L2771" s="925">
        <v>2634.8967027664198</v>
      </c>
      <c r="M2771" s="925">
        <v>0.111208884047528</v>
      </c>
    </row>
    <row r="2772" spans="1:13" ht="11.25" customHeight="1" x14ac:dyDescent="0.2">
      <c r="A2772" s="924" t="s">
        <v>853</v>
      </c>
      <c r="B2772" s="924" t="s">
        <v>800</v>
      </c>
      <c r="C2772" s="924" t="s">
        <v>1188</v>
      </c>
      <c r="D2772" s="924" t="s">
        <v>1163</v>
      </c>
      <c r="E2772" s="924" t="s">
        <v>856</v>
      </c>
      <c r="F2772" s="924" t="s">
        <v>1158</v>
      </c>
      <c r="G2772" s="924" t="s">
        <v>981</v>
      </c>
      <c r="H2772" s="924" t="s">
        <v>835</v>
      </c>
      <c r="I2772" s="924" t="s">
        <v>1040</v>
      </c>
      <c r="J2772" s="924" t="s">
        <v>940</v>
      </c>
      <c r="K2772" s="924" t="s">
        <v>1023</v>
      </c>
      <c r="L2772" s="925">
        <v>3194.3591451644902</v>
      </c>
      <c r="M2772" s="925">
        <v>1.8359683842027199</v>
      </c>
    </row>
    <row r="2773" spans="1:13" ht="11.25" customHeight="1" x14ac:dyDescent="0.2">
      <c r="A2773" s="924" t="s">
        <v>853</v>
      </c>
      <c r="B2773" s="924" t="s">
        <v>800</v>
      </c>
      <c r="C2773" s="924" t="s">
        <v>1188</v>
      </c>
      <c r="D2773" s="924" t="s">
        <v>1163</v>
      </c>
      <c r="E2773" s="924" t="s">
        <v>856</v>
      </c>
      <c r="F2773" s="924" t="s">
        <v>1157</v>
      </c>
      <c r="G2773" s="924" t="s">
        <v>981</v>
      </c>
      <c r="H2773" s="924" t="s">
        <v>835</v>
      </c>
      <c r="I2773" s="924" t="s">
        <v>1040</v>
      </c>
      <c r="J2773" s="924" t="s">
        <v>940</v>
      </c>
      <c r="K2773" s="924" t="s">
        <v>1098</v>
      </c>
      <c r="L2773" s="925">
        <v>165.87382316589401</v>
      </c>
      <c r="M2773" s="925">
        <v>0.31215920089743998</v>
      </c>
    </row>
    <row r="2774" spans="1:13" ht="11.25" customHeight="1" x14ac:dyDescent="0.2">
      <c r="A2774" s="924" t="s">
        <v>853</v>
      </c>
      <c r="B2774" s="924" t="s">
        <v>800</v>
      </c>
      <c r="C2774" s="924" t="s">
        <v>1188</v>
      </c>
      <c r="D2774" s="924" t="s">
        <v>1163</v>
      </c>
      <c r="E2774" s="924" t="s">
        <v>856</v>
      </c>
      <c r="F2774" s="924" t="s">
        <v>1156</v>
      </c>
      <c r="G2774" s="924" t="s">
        <v>981</v>
      </c>
      <c r="H2774" s="924" t="s">
        <v>835</v>
      </c>
      <c r="I2774" s="924" t="s">
        <v>1040</v>
      </c>
      <c r="J2774" s="924" t="s">
        <v>940</v>
      </c>
      <c r="K2774" s="924" t="s">
        <v>1025</v>
      </c>
      <c r="L2774" s="925">
        <v>1279.8382034301801</v>
      </c>
      <c r="M2774" s="925">
        <v>2.4053951120004098</v>
      </c>
    </row>
    <row r="2775" spans="1:13" ht="11.25" customHeight="1" x14ac:dyDescent="0.2">
      <c r="A2775" s="924" t="s">
        <v>853</v>
      </c>
      <c r="B2775" s="924" t="s">
        <v>800</v>
      </c>
      <c r="C2775" s="924" t="s">
        <v>1188</v>
      </c>
      <c r="D2775" s="924" t="s">
        <v>1163</v>
      </c>
      <c r="E2775" s="924" t="s">
        <v>856</v>
      </c>
      <c r="F2775" s="924" t="s">
        <v>1154</v>
      </c>
      <c r="G2775" s="924" t="s">
        <v>981</v>
      </c>
      <c r="H2775" s="924" t="s">
        <v>835</v>
      </c>
      <c r="I2775" s="924" t="s">
        <v>1040</v>
      </c>
      <c r="J2775" s="924" t="s">
        <v>940</v>
      </c>
      <c r="K2775" s="924" t="s">
        <v>1155</v>
      </c>
      <c r="L2775" s="925">
        <v>294.45599412918102</v>
      </c>
      <c r="M2775" s="925">
        <v>0.189853748691064</v>
      </c>
    </row>
    <row r="2776" spans="1:13" ht="11.25" customHeight="1" x14ac:dyDescent="0.2">
      <c r="A2776" s="924" t="s">
        <v>853</v>
      </c>
      <c r="B2776" s="924" t="s">
        <v>800</v>
      </c>
      <c r="C2776" s="924" t="s">
        <v>1188</v>
      </c>
      <c r="D2776" s="924" t="s">
        <v>1163</v>
      </c>
      <c r="E2776" s="924" t="s">
        <v>856</v>
      </c>
      <c r="F2776" s="924" t="s">
        <v>1152</v>
      </c>
      <c r="G2776" s="924" t="s">
        <v>981</v>
      </c>
      <c r="H2776" s="924" t="s">
        <v>835</v>
      </c>
      <c r="I2776" s="924" t="s">
        <v>1040</v>
      </c>
      <c r="J2776" s="924" t="s">
        <v>940</v>
      </c>
      <c r="K2776" s="924" t="s">
        <v>1153</v>
      </c>
      <c r="L2776" s="925">
        <v>427.64526152610802</v>
      </c>
      <c r="M2776" s="925">
        <v>0.281206968822517</v>
      </c>
    </row>
    <row r="2777" spans="1:13" ht="11.25" customHeight="1" x14ac:dyDescent="0.2">
      <c r="A2777" s="924" t="s">
        <v>853</v>
      </c>
      <c r="B2777" s="924" t="s">
        <v>800</v>
      </c>
      <c r="C2777" s="924" t="s">
        <v>1188</v>
      </c>
      <c r="D2777" s="924" t="s">
        <v>1163</v>
      </c>
      <c r="E2777" s="924" t="s">
        <v>856</v>
      </c>
      <c r="F2777" s="924" t="s">
        <v>1161</v>
      </c>
      <c r="G2777" s="924" t="s">
        <v>981</v>
      </c>
      <c r="H2777" s="924" t="s">
        <v>835</v>
      </c>
      <c r="I2777" s="924" t="s">
        <v>1040</v>
      </c>
      <c r="J2777" s="924" t="s">
        <v>940</v>
      </c>
      <c r="K2777" s="924" t="s">
        <v>1027</v>
      </c>
      <c r="L2777" s="925">
        <v>483.05698680877703</v>
      </c>
      <c r="M2777" s="925">
        <v>0.33389827642599801</v>
      </c>
    </row>
    <row r="2778" spans="1:13" ht="11.25" customHeight="1" x14ac:dyDescent="0.2">
      <c r="A2778" s="924" t="s">
        <v>853</v>
      </c>
      <c r="B2778" s="924" t="s">
        <v>800</v>
      </c>
      <c r="C2778" s="924" t="s">
        <v>1188</v>
      </c>
      <c r="D2778" s="924" t="s">
        <v>1163</v>
      </c>
      <c r="E2778" s="924" t="s">
        <v>856</v>
      </c>
      <c r="F2778" s="924" t="s">
        <v>1150</v>
      </c>
      <c r="G2778" s="924" t="s">
        <v>981</v>
      </c>
      <c r="H2778" s="924" t="s">
        <v>835</v>
      </c>
      <c r="I2778" s="924" t="s">
        <v>1040</v>
      </c>
      <c r="J2778" s="924" t="s">
        <v>940</v>
      </c>
      <c r="K2778" s="924" t="s">
        <v>1151</v>
      </c>
      <c r="L2778" s="925">
        <v>230.52570533752399</v>
      </c>
      <c r="M2778" s="925">
        <v>0.16229307354660699</v>
      </c>
    </row>
    <row r="2779" spans="1:13" ht="11.25" customHeight="1" x14ac:dyDescent="0.2">
      <c r="A2779" s="924" t="s">
        <v>853</v>
      </c>
      <c r="B2779" s="924" t="s">
        <v>800</v>
      </c>
      <c r="C2779" s="924" t="s">
        <v>1188</v>
      </c>
      <c r="D2779" s="924" t="s">
        <v>1163</v>
      </c>
      <c r="E2779" s="924" t="s">
        <v>856</v>
      </c>
      <c r="F2779" s="924" t="s">
        <v>996</v>
      </c>
      <c r="G2779" s="924" t="s">
        <v>911</v>
      </c>
      <c r="H2779" s="924" t="s">
        <v>665</v>
      </c>
      <c r="I2779" s="924" t="s">
        <v>834</v>
      </c>
      <c r="J2779" s="924" t="s">
        <v>706</v>
      </c>
      <c r="K2779" s="924" t="s">
        <v>993</v>
      </c>
      <c r="L2779" s="925">
        <v>0.30647876742295899</v>
      </c>
      <c r="M2779" s="925">
        <v>3.7997410768042501E-5</v>
      </c>
    </row>
    <row r="2780" spans="1:13" ht="11.25" customHeight="1" x14ac:dyDescent="0.2">
      <c r="A2780" s="924" t="s">
        <v>853</v>
      </c>
      <c r="B2780" s="924" t="s">
        <v>800</v>
      </c>
      <c r="C2780" s="924" t="s">
        <v>1188</v>
      </c>
      <c r="D2780" s="924" t="s">
        <v>1163</v>
      </c>
      <c r="E2780" s="924" t="s">
        <v>856</v>
      </c>
      <c r="F2780" s="924" t="s">
        <v>994</v>
      </c>
      <c r="G2780" s="924" t="s">
        <v>981</v>
      </c>
      <c r="H2780" s="924" t="s">
        <v>835</v>
      </c>
      <c r="I2780" s="924" t="s">
        <v>834</v>
      </c>
      <c r="J2780" s="924" t="s">
        <v>995</v>
      </c>
      <c r="K2780" s="924" t="s">
        <v>993</v>
      </c>
      <c r="L2780" s="925">
        <v>10.221897609531901</v>
      </c>
      <c r="M2780" s="925">
        <v>6.6413241609382103E-3</v>
      </c>
    </row>
    <row r="2781" spans="1:13" ht="11.25" customHeight="1" x14ac:dyDescent="0.2">
      <c r="A2781" s="924" t="s">
        <v>853</v>
      </c>
      <c r="B2781" s="924" t="s">
        <v>800</v>
      </c>
      <c r="C2781" s="924" t="s">
        <v>1188</v>
      </c>
      <c r="D2781" s="924" t="s">
        <v>1163</v>
      </c>
      <c r="E2781" s="924" t="s">
        <v>856</v>
      </c>
      <c r="F2781" s="924" t="s">
        <v>992</v>
      </c>
      <c r="G2781" s="924" t="s">
        <v>858</v>
      </c>
      <c r="H2781" s="924" t="s">
        <v>836</v>
      </c>
      <c r="I2781" s="924" t="s">
        <v>834</v>
      </c>
      <c r="J2781" s="924" t="s">
        <v>224</v>
      </c>
      <c r="K2781" s="924" t="s">
        <v>993</v>
      </c>
      <c r="L2781" s="925">
        <v>173.238033533096</v>
      </c>
      <c r="M2781" s="925">
        <v>6.7420749038547001E-3</v>
      </c>
    </row>
    <row r="2782" spans="1:13" ht="11.25" customHeight="1" x14ac:dyDescent="0.2">
      <c r="A2782" s="924" t="s">
        <v>853</v>
      </c>
      <c r="B2782" s="924" t="s">
        <v>800</v>
      </c>
      <c r="C2782" s="924" t="s">
        <v>1188</v>
      </c>
      <c r="D2782" s="924" t="s">
        <v>1163</v>
      </c>
      <c r="E2782" s="924" t="s">
        <v>856</v>
      </c>
      <c r="F2782" s="924" t="s">
        <v>991</v>
      </c>
      <c r="G2782" s="924" t="s">
        <v>990</v>
      </c>
      <c r="H2782" s="924" t="s">
        <v>836</v>
      </c>
      <c r="I2782" s="924" t="s">
        <v>839</v>
      </c>
      <c r="J2782" s="924" t="s">
        <v>224</v>
      </c>
      <c r="K2782" s="924" t="s">
        <v>983</v>
      </c>
      <c r="L2782" s="925">
        <v>0.39174349972745398</v>
      </c>
      <c r="M2782" s="925">
        <v>2.33922975321488E-5</v>
      </c>
    </row>
    <row r="2783" spans="1:13" ht="11.25" customHeight="1" x14ac:dyDescent="0.2">
      <c r="A2783" s="924" t="s">
        <v>853</v>
      </c>
      <c r="B2783" s="924" t="s">
        <v>800</v>
      </c>
      <c r="C2783" s="924" t="s">
        <v>1188</v>
      </c>
      <c r="D2783" s="924" t="s">
        <v>1163</v>
      </c>
      <c r="E2783" s="924" t="s">
        <v>856</v>
      </c>
      <c r="F2783" s="924" t="s">
        <v>1149</v>
      </c>
      <c r="G2783" s="924" t="s">
        <v>981</v>
      </c>
      <c r="H2783" s="924" t="s">
        <v>835</v>
      </c>
      <c r="I2783" s="924" t="s">
        <v>1040</v>
      </c>
      <c r="J2783" s="924" t="s">
        <v>940</v>
      </c>
      <c r="K2783" s="924" t="s">
        <v>1091</v>
      </c>
      <c r="L2783" s="925">
        <v>8.0750207230448705</v>
      </c>
      <c r="M2783" s="925">
        <v>5.6402105656161404E-3</v>
      </c>
    </row>
    <row r="2784" spans="1:13" ht="11.25" customHeight="1" x14ac:dyDescent="0.2">
      <c r="A2784" s="924" t="s">
        <v>853</v>
      </c>
      <c r="B2784" s="924" t="s">
        <v>801</v>
      </c>
      <c r="C2784" s="924" t="s">
        <v>1189</v>
      </c>
      <c r="D2784" s="924" t="s">
        <v>1190</v>
      </c>
      <c r="E2784" s="924" t="s">
        <v>856</v>
      </c>
      <c r="F2784" s="924" t="s">
        <v>1054</v>
      </c>
      <c r="G2784" s="924" t="s">
        <v>981</v>
      </c>
      <c r="H2784" s="924" t="s">
        <v>835</v>
      </c>
      <c r="I2784" s="924" t="s">
        <v>998</v>
      </c>
      <c r="J2784" s="924" t="s">
        <v>875</v>
      </c>
      <c r="K2784" s="924" t="s">
        <v>880</v>
      </c>
      <c r="L2784" s="925">
        <v>3.3079804088629299E-3</v>
      </c>
      <c r="M2784" s="925">
        <v>7.3913655640467402E-6</v>
      </c>
    </row>
    <row r="2785" spans="1:13" ht="11.25" customHeight="1" x14ac:dyDescent="0.2">
      <c r="A2785" s="924" t="s">
        <v>853</v>
      </c>
      <c r="B2785" s="924" t="s">
        <v>801</v>
      </c>
      <c r="C2785" s="924" t="s">
        <v>1189</v>
      </c>
      <c r="D2785" s="924" t="s">
        <v>1190</v>
      </c>
      <c r="E2785" s="924" t="s">
        <v>856</v>
      </c>
      <c r="F2785" s="924" t="s">
        <v>912</v>
      </c>
      <c r="G2785" s="924" t="s">
        <v>858</v>
      </c>
      <c r="H2785" s="924" t="s">
        <v>836</v>
      </c>
      <c r="I2785" s="924" t="s">
        <v>837</v>
      </c>
      <c r="J2785" s="924" t="s">
        <v>859</v>
      </c>
      <c r="K2785" s="924" t="s">
        <v>913</v>
      </c>
      <c r="L2785" s="925">
        <v>45.344928741455099</v>
      </c>
      <c r="M2785" s="925">
        <v>4.9935840105774798E-4</v>
      </c>
    </row>
    <row r="2786" spans="1:13" ht="11.25" customHeight="1" x14ac:dyDescent="0.2">
      <c r="A2786" s="924" t="s">
        <v>853</v>
      </c>
      <c r="B2786" s="924" t="s">
        <v>801</v>
      </c>
      <c r="C2786" s="924" t="s">
        <v>1189</v>
      </c>
      <c r="D2786" s="924" t="s">
        <v>1190</v>
      </c>
      <c r="E2786" s="924" t="s">
        <v>856</v>
      </c>
      <c r="F2786" s="924" t="s">
        <v>934</v>
      </c>
      <c r="G2786" s="924" t="s">
        <v>862</v>
      </c>
      <c r="H2786" s="924" t="s">
        <v>665</v>
      </c>
      <c r="I2786" s="924" t="s">
        <v>787</v>
      </c>
      <c r="J2786" s="924" t="s">
        <v>863</v>
      </c>
      <c r="K2786" s="924" t="s">
        <v>935</v>
      </c>
      <c r="L2786" s="925">
        <v>6.0230026429053403E-2</v>
      </c>
      <c r="M2786" s="925">
        <v>2.5318629491266598E-4</v>
      </c>
    </row>
    <row r="2787" spans="1:13" ht="11.25" customHeight="1" x14ac:dyDescent="0.2">
      <c r="A2787" s="924" t="s">
        <v>853</v>
      </c>
      <c r="B2787" s="924" t="s">
        <v>801</v>
      </c>
      <c r="C2787" s="924" t="s">
        <v>1189</v>
      </c>
      <c r="D2787" s="924" t="s">
        <v>1190</v>
      </c>
      <c r="E2787" s="924" t="s">
        <v>856</v>
      </c>
      <c r="F2787" s="924" t="s">
        <v>861</v>
      </c>
      <c r="G2787" s="924" t="s">
        <v>862</v>
      </c>
      <c r="H2787" s="924" t="s">
        <v>665</v>
      </c>
      <c r="I2787" s="924" t="s">
        <v>787</v>
      </c>
      <c r="J2787" s="924" t="s">
        <v>863</v>
      </c>
      <c r="K2787" s="924" t="s">
        <v>864</v>
      </c>
      <c r="L2787" s="925">
        <v>3.28240284288768E-2</v>
      </c>
      <c r="M2787" s="925">
        <v>1.3486761793046799E-4</v>
      </c>
    </row>
    <row r="2788" spans="1:13" ht="11.25" customHeight="1" x14ac:dyDescent="0.2">
      <c r="A2788" s="924" t="s">
        <v>853</v>
      </c>
      <c r="B2788" s="924" t="s">
        <v>801</v>
      </c>
      <c r="C2788" s="924" t="s">
        <v>1189</v>
      </c>
      <c r="D2788" s="924" t="s">
        <v>1190</v>
      </c>
      <c r="E2788" s="924" t="s">
        <v>856</v>
      </c>
      <c r="F2788" s="924" t="s">
        <v>865</v>
      </c>
      <c r="G2788" s="924" t="s">
        <v>862</v>
      </c>
      <c r="H2788" s="924" t="s">
        <v>665</v>
      </c>
      <c r="I2788" s="924" t="s">
        <v>787</v>
      </c>
      <c r="J2788" s="924" t="s">
        <v>863</v>
      </c>
      <c r="K2788" s="924" t="s">
        <v>866</v>
      </c>
      <c r="L2788" s="925">
        <v>0.149945170851424</v>
      </c>
      <c r="M2788" s="925">
        <v>7.2342290698657096E-4</v>
      </c>
    </row>
    <row r="2789" spans="1:13" ht="11.25" customHeight="1" x14ac:dyDescent="0.2">
      <c r="A2789" s="924" t="s">
        <v>853</v>
      </c>
      <c r="B2789" s="924" t="s">
        <v>801</v>
      </c>
      <c r="C2789" s="924" t="s">
        <v>1189</v>
      </c>
      <c r="D2789" s="924" t="s">
        <v>1190</v>
      </c>
      <c r="E2789" s="924" t="s">
        <v>856</v>
      </c>
      <c r="F2789" s="924" t="s">
        <v>867</v>
      </c>
      <c r="G2789" s="924" t="s">
        <v>862</v>
      </c>
      <c r="H2789" s="924" t="s">
        <v>665</v>
      </c>
      <c r="I2789" s="924" t="s">
        <v>787</v>
      </c>
      <c r="J2789" s="924" t="s">
        <v>863</v>
      </c>
      <c r="K2789" s="924" t="s">
        <v>868</v>
      </c>
      <c r="L2789" s="925">
        <v>0.401442552916706</v>
      </c>
      <c r="M2789" s="925">
        <v>1.64246889289643E-3</v>
      </c>
    </row>
    <row r="2790" spans="1:13" ht="11.25" customHeight="1" x14ac:dyDescent="0.2">
      <c r="A2790" s="924" t="s">
        <v>853</v>
      </c>
      <c r="B2790" s="924" t="s">
        <v>801</v>
      </c>
      <c r="C2790" s="924" t="s">
        <v>1189</v>
      </c>
      <c r="D2790" s="924" t="s">
        <v>1190</v>
      </c>
      <c r="E2790" s="924" t="s">
        <v>856</v>
      </c>
      <c r="F2790" s="924" t="s">
        <v>869</v>
      </c>
      <c r="G2790" s="924" t="s">
        <v>862</v>
      </c>
      <c r="H2790" s="924" t="s">
        <v>665</v>
      </c>
      <c r="I2790" s="924" t="s">
        <v>787</v>
      </c>
      <c r="J2790" s="924" t="s">
        <v>870</v>
      </c>
      <c r="K2790" s="924" t="s">
        <v>871</v>
      </c>
      <c r="L2790" s="925">
        <v>0.107996380625991</v>
      </c>
      <c r="M2790" s="925">
        <v>6.1965679428794803E-3</v>
      </c>
    </row>
    <row r="2791" spans="1:13" ht="11.25" customHeight="1" x14ac:dyDescent="0.2">
      <c r="A2791" s="924" t="s">
        <v>853</v>
      </c>
      <c r="B2791" s="924" t="s">
        <v>801</v>
      </c>
      <c r="C2791" s="924" t="s">
        <v>1189</v>
      </c>
      <c r="D2791" s="924" t="s">
        <v>1190</v>
      </c>
      <c r="E2791" s="924" t="s">
        <v>856</v>
      </c>
      <c r="F2791" s="924" t="s">
        <v>872</v>
      </c>
      <c r="G2791" s="924" t="s">
        <v>862</v>
      </c>
      <c r="H2791" s="924" t="s">
        <v>665</v>
      </c>
      <c r="I2791" s="924" t="s">
        <v>787</v>
      </c>
      <c r="J2791" s="924" t="s">
        <v>870</v>
      </c>
      <c r="K2791" s="924" t="s">
        <v>873</v>
      </c>
      <c r="L2791" s="925">
        <v>11.879578836262199</v>
      </c>
      <c r="M2791" s="925">
        <v>4.7815464786253897E-2</v>
      </c>
    </row>
    <row r="2792" spans="1:13" ht="11.25" customHeight="1" x14ac:dyDescent="0.2">
      <c r="A2792" s="924" t="s">
        <v>853</v>
      </c>
      <c r="B2792" s="924" t="s">
        <v>801</v>
      </c>
      <c r="C2792" s="924" t="s">
        <v>1189</v>
      </c>
      <c r="D2792" s="924" t="s">
        <v>1190</v>
      </c>
      <c r="E2792" s="924" t="s">
        <v>856</v>
      </c>
      <c r="F2792" s="924" t="s">
        <v>874</v>
      </c>
      <c r="G2792" s="924" t="s">
        <v>862</v>
      </c>
      <c r="H2792" s="924" t="s">
        <v>665</v>
      </c>
      <c r="I2792" s="924" t="s">
        <v>787</v>
      </c>
      <c r="J2792" s="924" t="s">
        <v>875</v>
      </c>
      <c r="K2792" s="924" t="s">
        <v>876</v>
      </c>
      <c r="L2792" s="925">
        <v>8.3935250490903908</v>
      </c>
      <c r="M2792" s="925">
        <v>0.25531956041231801</v>
      </c>
    </row>
    <row r="2793" spans="1:13" ht="11.25" customHeight="1" x14ac:dyDescent="0.2">
      <c r="A2793" s="924" t="s">
        <v>853</v>
      </c>
      <c r="B2793" s="924" t="s">
        <v>801</v>
      </c>
      <c r="C2793" s="924" t="s">
        <v>1189</v>
      </c>
      <c r="D2793" s="924" t="s">
        <v>1190</v>
      </c>
      <c r="E2793" s="924" t="s">
        <v>856</v>
      </c>
      <c r="F2793" s="924" t="s">
        <v>877</v>
      </c>
      <c r="G2793" s="924" t="s">
        <v>862</v>
      </c>
      <c r="H2793" s="924" t="s">
        <v>665</v>
      </c>
      <c r="I2793" s="924" t="s">
        <v>787</v>
      </c>
      <c r="J2793" s="924" t="s">
        <v>875</v>
      </c>
      <c r="K2793" s="924" t="s">
        <v>878</v>
      </c>
      <c r="L2793" s="925">
        <v>0.40149656590074301</v>
      </c>
      <c r="M2793" s="925">
        <v>6.5776013252616403E-3</v>
      </c>
    </row>
    <row r="2794" spans="1:13" ht="11.25" customHeight="1" x14ac:dyDescent="0.2">
      <c r="A2794" s="924" t="s">
        <v>853</v>
      </c>
      <c r="B2794" s="924" t="s">
        <v>801</v>
      </c>
      <c r="C2794" s="924" t="s">
        <v>1189</v>
      </c>
      <c r="D2794" s="924" t="s">
        <v>1190</v>
      </c>
      <c r="E2794" s="924" t="s">
        <v>856</v>
      </c>
      <c r="F2794" s="924" t="s">
        <v>879</v>
      </c>
      <c r="G2794" s="924" t="s">
        <v>862</v>
      </c>
      <c r="H2794" s="924" t="s">
        <v>665</v>
      </c>
      <c r="I2794" s="924" t="s">
        <v>787</v>
      </c>
      <c r="J2794" s="924" t="s">
        <v>875</v>
      </c>
      <c r="K2794" s="924" t="s">
        <v>880</v>
      </c>
      <c r="L2794" s="925">
        <v>0.59219055902212903</v>
      </c>
      <c r="M2794" s="925">
        <v>3.3315511036562401E-3</v>
      </c>
    </row>
    <row r="2795" spans="1:13" ht="11.25" customHeight="1" x14ac:dyDescent="0.2">
      <c r="A2795" s="924" t="s">
        <v>853</v>
      </c>
      <c r="B2795" s="924" t="s">
        <v>801</v>
      </c>
      <c r="C2795" s="924" t="s">
        <v>1189</v>
      </c>
      <c r="D2795" s="924" t="s">
        <v>1190</v>
      </c>
      <c r="E2795" s="924" t="s">
        <v>856</v>
      </c>
      <c r="F2795" s="924" t="s">
        <v>881</v>
      </c>
      <c r="G2795" s="924" t="s">
        <v>862</v>
      </c>
      <c r="H2795" s="924" t="s">
        <v>665</v>
      </c>
      <c r="I2795" s="924" t="s">
        <v>787</v>
      </c>
      <c r="J2795" s="924" t="s">
        <v>875</v>
      </c>
      <c r="K2795" s="924" t="s">
        <v>882</v>
      </c>
      <c r="L2795" s="925">
        <v>21.076384574174899</v>
      </c>
      <c r="M2795" s="925">
        <v>0.10071602638345201</v>
      </c>
    </row>
    <row r="2796" spans="1:13" ht="11.25" customHeight="1" x14ac:dyDescent="0.2">
      <c r="A2796" s="924" t="s">
        <v>853</v>
      </c>
      <c r="B2796" s="924" t="s">
        <v>801</v>
      </c>
      <c r="C2796" s="924" t="s">
        <v>1189</v>
      </c>
      <c r="D2796" s="924" t="s">
        <v>1190</v>
      </c>
      <c r="E2796" s="924" t="s">
        <v>856</v>
      </c>
      <c r="F2796" s="924" t="s">
        <v>972</v>
      </c>
      <c r="G2796" s="924" t="s">
        <v>858</v>
      </c>
      <c r="H2796" s="924" t="s">
        <v>836</v>
      </c>
      <c r="I2796" s="924" t="s">
        <v>837</v>
      </c>
      <c r="J2796" s="924" t="s">
        <v>859</v>
      </c>
      <c r="K2796" s="924" t="s">
        <v>973</v>
      </c>
      <c r="L2796" s="925">
        <v>1.81958209909499</v>
      </c>
      <c r="M2796" s="925">
        <v>4.6352684942796402E-5</v>
      </c>
    </row>
    <row r="2797" spans="1:13" ht="11.25" customHeight="1" x14ac:dyDescent="0.2">
      <c r="A2797" s="924" t="s">
        <v>853</v>
      </c>
      <c r="B2797" s="924" t="s">
        <v>801</v>
      </c>
      <c r="C2797" s="924" t="s">
        <v>1189</v>
      </c>
      <c r="D2797" s="924" t="s">
        <v>1190</v>
      </c>
      <c r="E2797" s="924" t="s">
        <v>856</v>
      </c>
      <c r="F2797" s="924" t="s">
        <v>883</v>
      </c>
      <c r="G2797" s="924" t="s">
        <v>858</v>
      </c>
      <c r="H2797" s="924" t="s">
        <v>836</v>
      </c>
      <c r="I2797" s="924" t="s">
        <v>837</v>
      </c>
      <c r="J2797" s="924" t="s">
        <v>884</v>
      </c>
      <c r="K2797" s="924" t="s">
        <v>885</v>
      </c>
      <c r="L2797" s="925">
        <v>118.161397457123</v>
      </c>
      <c r="M2797" s="925">
        <v>4.5321243297848897E-3</v>
      </c>
    </row>
    <row r="2798" spans="1:13" ht="11.25" customHeight="1" x14ac:dyDescent="0.2">
      <c r="A2798" s="924" t="s">
        <v>853</v>
      </c>
      <c r="B2798" s="924" t="s">
        <v>801</v>
      </c>
      <c r="C2798" s="924" t="s">
        <v>1189</v>
      </c>
      <c r="D2798" s="924" t="s">
        <v>1190</v>
      </c>
      <c r="E2798" s="924" t="s">
        <v>856</v>
      </c>
      <c r="F2798" s="924" t="s">
        <v>951</v>
      </c>
      <c r="G2798" s="924" t="s">
        <v>911</v>
      </c>
      <c r="H2798" s="924" t="s">
        <v>665</v>
      </c>
      <c r="I2798" s="924" t="s">
        <v>706</v>
      </c>
      <c r="J2798" s="924" t="s">
        <v>875</v>
      </c>
      <c r="K2798" s="924" t="s">
        <v>952</v>
      </c>
      <c r="L2798" s="925">
        <v>0.110258657368831</v>
      </c>
      <c r="M2798" s="925">
        <v>6.8557442385319698E-6</v>
      </c>
    </row>
    <row r="2799" spans="1:13" ht="11.25" customHeight="1" x14ac:dyDescent="0.2">
      <c r="A2799" s="924" t="s">
        <v>853</v>
      </c>
      <c r="B2799" s="924" t="s">
        <v>801</v>
      </c>
      <c r="C2799" s="924" t="s">
        <v>1189</v>
      </c>
      <c r="D2799" s="924" t="s">
        <v>1190</v>
      </c>
      <c r="E2799" s="924" t="s">
        <v>856</v>
      </c>
      <c r="F2799" s="924" t="s">
        <v>888</v>
      </c>
      <c r="G2799" s="924" t="s">
        <v>858</v>
      </c>
      <c r="H2799" s="924" t="s">
        <v>836</v>
      </c>
      <c r="I2799" s="924" t="s">
        <v>837</v>
      </c>
      <c r="J2799" s="924" t="s">
        <v>859</v>
      </c>
      <c r="K2799" s="924" t="s">
        <v>889</v>
      </c>
      <c r="L2799" s="925">
        <v>7.3833000904414803E-2</v>
      </c>
      <c r="M2799" s="925">
        <v>8.1465911678790803E-6</v>
      </c>
    </row>
    <row r="2800" spans="1:13" ht="11.25" customHeight="1" x14ac:dyDescent="0.2">
      <c r="A2800" s="924" t="s">
        <v>853</v>
      </c>
      <c r="B2800" s="924" t="s">
        <v>801</v>
      </c>
      <c r="C2800" s="924" t="s">
        <v>1189</v>
      </c>
      <c r="D2800" s="924" t="s">
        <v>1190</v>
      </c>
      <c r="E2800" s="924" t="s">
        <v>856</v>
      </c>
      <c r="F2800" s="924" t="s">
        <v>857</v>
      </c>
      <c r="G2800" s="924" t="s">
        <v>858</v>
      </c>
      <c r="H2800" s="924" t="s">
        <v>836</v>
      </c>
      <c r="I2800" s="924" t="s">
        <v>837</v>
      </c>
      <c r="J2800" s="924" t="s">
        <v>859</v>
      </c>
      <c r="K2800" s="924" t="s">
        <v>860</v>
      </c>
      <c r="L2800" s="925">
        <v>1.21638356894255</v>
      </c>
      <c r="M2800" s="925">
        <v>1.11945497344612E-4</v>
      </c>
    </row>
    <row r="2801" spans="1:13" ht="11.25" customHeight="1" x14ac:dyDescent="0.2">
      <c r="A2801" s="924" t="s">
        <v>853</v>
      </c>
      <c r="B2801" s="924" t="s">
        <v>801</v>
      </c>
      <c r="C2801" s="924" t="s">
        <v>1189</v>
      </c>
      <c r="D2801" s="924" t="s">
        <v>1190</v>
      </c>
      <c r="E2801" s="924" t="s">
        <v>856</v>
      </c>
      <c r="F2801" s="924" t="s">
        <v>892</v>
      </c>
      <c r="G2801" s="924" t="s">
        <v>858</v>
      </c>
      <c r="H2801" s="924" t="s">
        <v>836</v>
      </c>
      <c r="I2801" s="924" t="s">
        <v>837</v>
      </c>
      <c r="J2801" s="924" t="s">
        <v>859</v>
      </c>
      <c r="K2801" s="924" t="s">
        <v>893</v>
      </c>
      <c r="L2801" s="925">
        <v>113.512321472168</v>
      </c>
      <c r="M2801" s="925">
        <v>1.4359097180829401E-3</v>
      </c>
    </row>
    <row r="2802" spans="1:13" ht="11.25" customHeight="1" x14ac:dyDescent="0.2">
      <c r="A2802" s="924" t="s">
        <v>853</v>
      </c>
      <c r="B2802" s="924" t="s">
        <v>801</v>
      </c>
      <c r="C2802" s="924" t="s">
        <v>1189</v>
      </c>
      <c r="D2802" s="924" t="s">
        <v>1190</v>
      </c>
      <c r="E2802" s="924" t="s">
        <v>856</v>
      </c>
      <c r="F2802" s="924" t="s">
        <v>894</v>
      </c>
      <c r="G2802" s="924" t="s">
        <v>858</v>
      </c>
      <c r="H2802" s="924" t="s">
        <v>836</v>
      </c>
      <c r="I2802" s="924" t="s">
        <v>837</v>
      </c>
      <c r="J2802" s="924" t="s">
        <v>859</v>
      </c>
      <c r="K2802" s="924" t="s">
        <v>895</v>
      </c>
      <c r="L2802" s="925">
        <v>123.50500524044</v>
      </c>
      <c r="M2802" s="925">
        <v>8.1808993705578803E-4</v>
      </c>
    </row>
    <row r="2803" spans="1:13" ht="11.25" customHeight="1" x14ac:dyDescent="0.2">
      <c r="A2803" s="924" t="s">
        <v>853</v>
      </c>
      <c r="B2803" s="924" t="s">
        <v>801</v>
      </c>
      <c r="C2803" s="924" t="s">
        <v>1189</v>
      </c>
      <c r="D2803" s="924" t="s">
        <v>1190</v>
      </c>
      <c r="E2803" s="924" t="s">
        <v>856</v>
      </c>
      <c r="F2803" s="924" t="s">
        <v>896</v>
      </c>
      <c r="G2803" s="924" t="s">
        <v>858</v>
      </c>
      <c r="H2803" s="924" t="s">
        <v>836</v>
      </c>
      <c r="I2803" s="924" t="s">
        <v>837</v>
      </c>
      <c r="J2803" s="924" t="s">
        <v>859</v>
      </c>
      <c r="K2803" s="924" t="s">
        <v>897</v>
      </c>
      <c r="L2803" s="925">
        <v>6.81046017259359</v>
      </c>
      <c r="M2803" s="925">
        <v>1.10287349694538E-4</v>
      </c>
    </row>
    <row r="2804" spans="1:13" ht="11.25" customHeight="1" x14ac:dyDescent="0.2">
      <c r="A2804" s="924" t="s">
        <v>853</v>
      </c>
      <c r="B2804" s="924" t="s">
        <v>801</v>
      </c>
      <c r="C2804" s="924" t="s">
        <v>1189</v>
      </c>
      <c r="D2804" s="924" t="s">
        <v>1190</v>
      </c>
      <c r="E2804" s="924" t="s">
        <v>856</v>
      </c>
      <c r="F2804" s="924" t="s">
        <v>898</v>
      </c>
      <c r="G2804" s="924" t="s">
        <v>858</v>
      </c>
      <c r="H2804" s="924" t="s">
        <v>836</v>
      </c>
      <c r="I2804" s="924" t="s">
        <v>837</v>
      </c>
      <c r="J2804" s="924" t="s">
        <v>859</v>
      </c>
      <c r="K2804" s="924" t="s">
        <v>899</v>
      </c>
      <c r="L2804" s="925">
        <v>4.1739210933446902</v>
      </c>
      <c r="M2804" s="925">
        <v>7.2601288559681593E-5</v>
      </c>
    </row>
    <row r="2805" spans="1:13" ht="11.25" customHeight="1" x14ac:dyDescent="0.2">
      <c r="A2805" s="924" t="s">
        <v>853</v>
      </c>
      <c r="B2805" s="924" t="s">
        <v>801</v>
      </c>
      <c r="C2805" s="924" t="s">
        <v>1189</v>
      </c>
      <c r="D2805" s="924" t="s">
        <v>1190</v>
      </c>
      <c r="E2805" s="924" t="s">
        <v>856</v>
      </c>
      <c r="F2805" s="924" t="s">
        <v>900</v>
      </c>
      <c r="G2805" s="924" t="s">
        <v>858</v>
      </c>
      <c r="H2805" s="924" t="s">
        <v>836</v>
      </c>
      <c r="I2805" s="924" t="s">
        <v>837</v>
      </c>
      <c r="J2805" s="924" t="s">
        <v>859</v>
      </c>
      <c r="K2805" s="924" t="s">
        <v>901</v>
      </c>
      <c r="L2805" s="925">
        <v>12.5364976376295</v>
      </c>
      <c r="M2805" s="925">
        <v>5.4637102221022403E-4</v>
      </c>
    </row>
    <row r="2806" spans="1:13" ht="11.25" customHeight="1" x14ac:dyDescent="0.2">
      <c r="A2806" s="924" t="s">
        <v>853</v>
      </c>
      <c r="B2806" s="924" t="s">
        <v>801</v>
      </c>
      <c r="C2806" s="924" t="s">
        <v>1189</v>
      </c>
      <c r="D2806" s="924" t="s">
        <v>1190</v>
      </c>
      <c r="E2806" s="924" t="s">
        <v>856</v>
      </c>
      <c r="F2806" s="924" t="s">
        <v>902</v>
      </c>
      <c r="G2806" s="924" t="s">
        <v>858</v>
      </c>
      <c r="H2806" s="924" t="s">
        <v>836</v>
      </c>
      <c r="I2806" s="924" t="s">
        <v>837</v>
      </c>
      <c r="J2806" s="924" t="s">
        <v>859</v>
      </c>
      <c r="K2806" s="924" t="s">
        <v>903</v>
      </c>
      <c r="L2806" s="925">
        <v>53.833456039428697</v>
      </c>
      <c r="M2806" s="925">
        <v>9.3583073950043204E-4</v>
      </c>
    </row>
    <row r="2807" spans="1:13" ht="11.25" customHeight="1" x14ac:dyDescent="0.2">
      <c r="A2807" s="924" t="s">
        <v>853</v>
      </c>
      <c r="B2807" s="924" t="s">
        <v>801</v>
      </c>
      <c r="C2807" s="924" t="s">
        <v>1189</v>
      </c>
      <c r="D2807" s="924" t="s">
        <v>1190</v>
      </c>
      <c r="E2807" s="924" t="s">
        <v>856</v>
      </c>
      <c r="F2807" s="924" t="s">
        <v>904</v>
      </c>
      <c r="G2807" s="924" t="s">
        <v>858</v>
      </c>
      <c r="H2807" s="924" t="s">
        <v>836</v>
      </c>
      <c r="I2807" s="924" t="s">
        <v>837</v>
      </c>
      <c r="J2807" s="924" t="s">
        <v>859</v>
      </c>
      <c r="K2807" s="924" t="s">
        <v>905</v>
      </c>
      <c r="L2807" s="925">
        <v>46.611101984977701</v>
      </c>
      <c r="M2807" s="925">
        <v>8.8302141649876397E-4</v>
      </c>
    </row>
    <row r="2808" spans="1:13" ht="11.25" customHeight="1" x14ac:dyDescent="0.2">
      <c r="A2808" s="924" t="s">
        <v>853</v>
      </c>
      <c r="B2808" s="924" t="s">
        <v>801</v>
      </c>
      <c r="C2808" s="924" t="s">
        <v>1189</v>
      </c>
      <c r="D2808" s="924" t="s">
        <v>1190</v>
      </c>
      <c r="E2808" s="924" t="s">
        <v>856</v>
      </c>
      <c r="F2808" s="924" t="s">
        <v>1074</v>
      </c>
      <c r="G2808" s="924" t="s">
        <v>911</v>
      </c>
      <c r="H2808" s="924" t="s">
        <v>665</v>
      </c>
      <c r="I2808" s="924" t="s">
        <v>706</v>
      </c>
      <c r="J2808" s="924" t="s">
        <v>859</v>
      </c>
      <c r="K2808" s="924" t="s">
        <v>903</v>
      </c>
      <c r="L2808" s="925">
        <v>1.1526407431811101</v>
      </c>
      <c r="M2808" s="925">
        <v>1.2873014816250399E-4</v>
      </c>
    </row>
    <row r="2809" spans="1:13" ht="11.25" customHeight="1" x14ac:dyDescent="0.2">
      <c r="A2809" s="924" t="s">
        <v>853</v>
      </c>
      <c r="B2809" s="924" t="s">
        <v>801</v>
      </c>
      <c r="C2809" s="924" t="s">
        <v>1189</v>
      </c>
      <c r="D2809" s="924" t="s">
        <v>1190</v>
      </c>
      <c r="E2809" s="924" t="s">
        <v>856</v>
      </c>
      <c r="F2809" s="924" t="s">
        <v>1170</v>
      </c>
      <c r="G2809" s="924" t="s">
        <v>862</v>
      </c>
      <c r="H2809" s="924" t="s">
        <v>665</v>
      </c>
      <c r="I2809" s="924" t="s">
        <v>787</v>
      </c>
      <c r="J2809" s="924" t="s">
        <v>863</v>
      </c>
      <c r="K2809" s="924" t="s">
        <v>1171</v>
      </c>
      <c r="L2809" s="925">
        <v>7.9815600812435203</v>
      </c>
      <c r="M2809" s="925">
        <v>3.4847707836888703E-2</v>
      </c>
    </row>
    <row r="2810" spans="1:13" ht="11.25" customHeight="1" x14ac:dyDescent="0.2">
      <c r="A2810" s="924" t="s">
        <v>853</v>
      </c>
      <c r="B2810" s="924" t="s">
        <v>801</v>
      </c>
      <c r="C2810" s="924" t="s">
        <v>1189</v>
      </c>
      <c r="D2810" s="924" t="s">
        <v>1190</v>
      </c>
      <c r="E2810" s="924" t="s">
        <v>856</v>
      </c>
      <c r="F2810" s="924" t="s">
        <v>936</v>
      </c>
      <c r="G2810" s="924" t="s">
        <v>911</v>
      </c>
      <c r="H2810" s="924" t="s">
        <v>665</v>
      </c>
      <c r="I2810" s="924" t="s">
        <v>706</v>
      </c>
      <c r="J2810" s="924" t="s">
        <v>863</v>
      </c>
      <c r="K2810" s="924" t="s">
        <v>864</v>
      </c>
      <c r="L2810" s="925">
        <v>2.4817260652780502</v>
      </c>
      <c r="M2810" s="925">
        <v>1.15510584805634E-4</v>
      </c>
    </row>
    <row r="2811" spans="1:13" ht="11.25" customHeight="1" x14ac:dyDescent="0.2">
      <c r="A2811" s="924" t="s">
        <v>853</v>
      </c>
      <c r="B2811" s="924" t="s">
        <v>801</v>
      </c>
      <c r="C2811" s="924" t="s">
        <v>1189</v>
      </c>
      <c r="D2811" s="924" t="s">
        <v>1190</v>
      </c>
      <c r="E2811" s="924" t="s">
        <v>856</v>
      </c>
      <c r="F2811" s="924" t="s">
        <v>910</v>
      </c>
      <c r="G2811" s="924" t="s">
        <v>911</v>
      </c>
      <c r="H2811" s="924" t="s">
        <v>665</v>
      </c>
      <c r="I2811" s="924" t="s">
        <v>706</v>
      </c>
      <c r="J2811" s="924" t="s">
        <v>859</v>
      </c>
      <c r="K2811" s="924" t="s">
        <v>905</v>
      </c>
      <c r="L2811" s="925">
        <v>0.45348293241113402</v>
      </c>
      <c r="M2811" s="925">
        <v>3.7072068948873499E-4</v>
      </c>
    </row>
    <row r="2812" spans="1:13" ht="11.25" customHeight="1" x14ac:dyDescent="0.2">
      <c r="A2812" s="924" t="s">
        <v>853</v>
      </c>
      <c r="B2812" s="924" t="s">
        <v>801</v>
      </c>
      <c r="C2812" s="924" t="s">
        <v>1189</v>
      </c>
      <c r="D2812" s="924" t="s">
        <v>1190</v>
      </c>
      <c r="E2812" s="924" t="s">
        <v>856</v>
      </c>
      <c r="F2812" s="924" t="s">
        <v>916</v>
      </c>
      <c r="G2812" s="924" t="s">
        <v>911</v>
      </c>
      <c r="H2812" s="924" t="s">
        <v>665</v>
      </c>
      <c r="I2812" s="924" t="s">
        <v>706</v>
      </c>
      <c r="J2812" s="924" t="s">
        <v>859</v>
      </c>
      <c r="K2812" s="924" t="s">
        <v>909</v>
      </c>
      <c r="L2812" s="925">
        <v>1.08454270288348</v>
      </c>
      <c r="M2812" s="925">
        <v>5.0196511153899303E-5</v>
      </c>
    </row>
    <row r="2813" spans="1:13" ht="11.25" customHeight="1" x14ac:dyDescent="0.2">
      <c r="A2813" s="924" t="s">
        <v>853</v>
      </c>
      <c r="B2813" s="924" t="s">
        <v>801</v>
      </c>
      <c r="C2813" s="924" t="s">
        <v>1189</v>
      </c>
      <c r="D2813" s="924" t="s">
        <v>1190</v>
      </c>
      <c r="E2813" s="924" t="s">
        <v>856</v>
      </c>
      <c r="F2813" s="924" t="s">
        <v>917</v>
      </c>
      <c r="G2813" s="924" t="s">
        <v>911</v>
      </c>
      <c r="H2813" s="924" t="s">
        <v>665</v>
      </c>
      <c r="I2813" s="924" t="s">
        <v>706</v>
      </c>
      <c r="J2813" s="924" t="s">
        <v>859</v>
      </c>
      <c r="K2813" s="924" t="s">
        <v>918</v>
      </c>
      <c r="L2813" s="925">
        <v>0.42067236918956002</v>
      </c>
      <c r="M2813" s="925">
        <v>1.3583008447426399E-4</v>
      </c>
    </row>
    <row r="2814" spans="1:13" ht="11.25" customHeight="1" x14ac:dyDescent="0.2">
      <c r="A2814" s="924" t="s">
        <v>853</v>
      </c>
      <c r="B2814" s="924" t="s">
        <v>801</v>
      </c>
      <c r="C2814" s="924" t="s">
        <v>1189</v>
      </c>
      <c r="D2814" s="924" t="s">
        <v>1190</v>
      </c>
      <c r="E2814" s="924" t="s">
        <v>856</v>
      </c>
      <c r="F2814" s="924" t="s">
        <v>919</v>
      </c>
      <c r="G2814" s="924" t="s">
        <v>911</v>
      </c>
      <c r="H2814" s="924" t="s">
        <v>665</v>
      </c>
      <c r="I2814" s="924" t="s">
        <v>706</v>
      </c>
      <c r="J2814" s="924" t="s">
        <v>859</v>
      </c>
      <c r="K2814" s="924" t="s">
        <v>920</v>
      </c>
      <c r="L2814" s="925">
        <v>6.9411363569088294E-2</v>
      </c>
      <c r="M2814" s="925">
        <v>1.9446506247078298E-5</v>
      </c>
    </row>
    <row r="2815" spans="1:13" ht="11.25" customHeight="1" x14ac:dyDescent="0.2">
      <c r="A2815" s="924" t="s">
        <v>853</v>
      </c>
      <c r="B2815" s="924" t="s">
        <v>801</v>
      </c>
      <c r="C2815" s="924" t="s">
        <v>1189</v>
      </c>
      <c r="D2815" s="924" t="s">
        <v>1190</v>
      </c>
      <c r="E2815" s="924" t="s">
        <v>856</v>
      </c>
      <c r="F2815" s="924" t="s">
        <v>921</v>
      </c>
      <c r="G2815" s="924" t="s">
        <v>911</v>
      </c>
      <c r="H2815" s="924" t="s">
        <v>665</v>
      </c>
      <c r="I2815" s="924" t="s">
        <v>706</v>
      </c>
      <c r="J2815" s="924" t="s">
        <v>859</v>
      </c>
      <c r="K2815" s="924" t="s">
        <v>922</v>
      </c>
      <c r="L2815" s="925">
        <v>0.737087491899729</v>
      </c>
      <c r="M2815" s="925">
        <v>9.8449207001749501E-5</v>
      </c>
    </row>
    <row r="2816" spans="1:13" ht="11.25" customHeight="1" x14ac:dyDescent="0.2">
      <c r="A2816" s="924" t="s">
        <v>853</v>
      </c>
      <c r="B2816" s="924" t="s">
        <v>801</v>
      </c>
      <c r="C2816" s="924" t="s">
        <v>1189</v>
      </c>
      <c r="D2816" s="924" t="s">
        <v>1190</v>
      </c>
      <c r="E2816" s="924" t="s">
        <v>856</v>
      </c>
      <c r="F2816" s="924" t="s">
        <v>923</v>
      </c>
      <c r="G2816" s="924" t="s">
        <v>911</v>
      </c>
      <c r="H2816" s="924" t="s">
        <v>665</v>
      </c>
      <c r="I2816" s="924" t="s">
        <v>706</v>
      </c>
      <c r="J2816" s="924" t="s">
        <v>859</v>
      </c>
      <c r="K2816" s="924" t="s">
        <v>924</v>
      </c>
      <c r="L2816" s="925">
        <v>1.8097369596362101</v>
      </c>
      <c r="M2816" s="925">
        <v>9.5945220550675003E-5</v>
      </c>
    </row>
    <row r="2817" spans="1:13" ht="11.25" customHeight="1" x14ac:dyDescent="0.2">
      <c r="A2817" s="924" t="s">
        <v>853</v>
      </c>
      <c r="B2817" s="924" t="s">
        <v>801</v>
      </c>
      <c r="C2817" s="924" t="s">
        <v>1189</v>
      </c>
      <c r="D2817" s="924" t="s">
        <v>1190</v>
      </c>
      <c r="E2817" s="924" t="s">
        <v>856</v>
      </c>
      <c r="F2817" s="924" t="s">
        <v>925</v>
      </c>
      <c r="G2817" s="924" t="s">
        <v>911</v>
      </c>
      <c r="H2817" s="924" t="s">
        <v>665</v>
      </c>
      <c r="I2817" s="924" t="s">
        <v>706</v>
      </c>
      <c r="J2817" s="924" t="s">
        <v>859</v>
      </c>
      <c r="K2817" s="924" t="s">
        <v>926</v>
      </c>
      <c r="L2817" s="925">
        <v>0.19128938321955499</v>
      </c>
      <c r="M2817" s="925">
        <v>8.8187419322593996E-6</v>
      </c>
    </row>
    <row r="2818" spans="1:13" ht="11.25" customHeight="1" x14ac:dyDescent="0.2">
      <c r="A2818" s="924" t="s">
        <v>853</v>
      </c>
      <c r="B2818" s="924" t="s">
        <v>801</v>
      </c>
      <c r="C2818" s="924" t="s">
        <v>1189</v>
      </c>
      <c r="D2818" s="924" t="s">
        <v>1190</v>
      </c>
      <c r="E2818" s="924" t="s">
        <v>856</v>
      </c>
      <c r="F2818" s="924" t="s">
        <v>927</v>
      </c>
      <c r="G2818" s="924" t="s">
        <v>911</v>
      </c>
      <c r="H2818" s="924" t="s">
        <v>665</v>
      </c>
      <c r="I2818" s="924" t="s">
        <v>706</v>
      </c>
      <c r="J2818" s="924" t="s">
        <v>859</v>
      </c>
      <c r="K2818" s="924" t="s">
        <v>928</v>
      </c>
      <c r="L2818" s="925">
        <v>1.5553260985761901</v>
      </c>
      <c r="M2818" s="925">
        <v>4.61276404166711E-4</v>
      </c>
    </row>
    <row r="2819" spans="1:13" ht="11.25" customHeight="1" x14ac:dyDescent="0.2">
      <c r="A2819" s="924" t="s">
        <v>853</v>
      </c>
      <c r="B2819" s="924" t="s">
        <v>801</v>
      </c>
      <c r="C2819" s="924" t="s">
        <v>1189</v>
      </c>
      <c r="D2819" s="924" t="s">
        <v>1190</v>
      </c>
      <c r="E2819" s="924" t="s">
        <v>856</v>
      </c>
      <c r="F2819" s="924" t="s">
        <v>929</v>
      </c>
      <c r="G2819" s="924" t="s">
        <v>911</v>
      </c>
      <c r="H2819" s="924" t="s">
        <v>665</v>
      </c>
      <c r="I2819" s="924" t="s">
        <v>706</v>
      </c>
      <c r="J2819" s="924" t="s">
        <v>859</v>
      </c>
      <c r="K2819" s="924" t="s">
        <v>891</v>
      </c>
      <c r="L2819" s="925">
        <v>0.64032888691872403</v>
      </c>
      <c r="M2819" s="925">
        <v>2.5655988378048299E-4</v>
      </c>
    </row>
    <row r="2820" spans="1:13" ht="11.25" customHeight="1" x14ac:dyDescent="0.2">
      <c r="A2820" s="924" t="s">
        <v>853</v>
      </c>
      <c r="B2820" s="924" t="s">
        <v>801</v>
      </c>
      <c r="C2820" s="924" t="s">
        <v>1189</v>
      </c>
      <c r="D2820" s="924" t="s">
        <v>1190</v>
      </c>
      <c r="E2820" s="924" t="s">
        <v>856</v>
      </c>
      <c r="F2820" s="924" t="s">
        <v>930</v>
      </c>
      <c r="G2820" s="924" t="s">
        <v>911</v>
      </c>
      <c r="H2820" s="924" t="s">
        <v>665</v>
      </c>
      <c r="I2820" s="924" t="s">
        <v>706</v>
      </c>
      <c r="J2820" s="924" t="s">
        <v>863</v>
      </c>
      <c r="K2820" s="924" t="s">
        <v>931</v>
      </c>
      <c r="L2820" s="925">
        <v>11.3347094208002</v>
      </c>
      <c r="M2820" s="925">
        <v>2.3099288996490902E-3</v>
      </c>
    </row>
    <row r="2821" spans="1:13" ht="11.25" customHeight="1" x14ac:dyDescent="0.2">
      <c r="A2821" s="924" t="s">
        <v>853</v>
      </c>
      <c r="B2821" s="924" t="s">
        <v>801</v>
      </c>
      <c r="C2821" s="924" t="s">
        <v>1189</v>
      </c>
      <c r="D2821" s="924" t="s">
        <v>1190</v>
      </c>
      <c r="E2821" s="924" t="s">
        <v>856</v>
      </c>
      <c r="F2821" s="924" t="s">
        <v>937</v>
      </c>
      <c r="G2821" s="924" t="s">
        <v>862</v>
      </c>
      <c r="H2821" s="924" t="s">
        <v>665</v>
      </c>
      <c r="I2821" s="924" t="s">
        <v>787</v>
      </c>
      <c r="J2821" s="924" t="s">
        <v>863</v>
      </c>
      <c r="K2821" s="924" t="s">
        <v>933</v>
      </c>
      <c r="L2821" s="925">
        <v>71.084493398666396</v>
      </c>
      <c r="M2821" s="925">
        <v>0.302776247728616</v>
      </c>
    </row>
    <row r="2822" spans="1:13" ht="11.25" customHeight="1" x14ac:dyDescent="0.2">
      <c r="A2822" s="924" t="s">
        <v>853</v>
      </c>
      <c r="B2822" s="924" t="s">
        <v>801</v>
      </c>
      <c r="C2822" s="924" t="s">
        <v>1189</v>
      </c>
      <c r="D2822" s="924" t="s">
        <v>1190</v>
      </c>
      <c r="E2822" s="924" t="s">
        <v>856</v>
      </c>
      <c r="F2822" s="924" t="s">
        <v>954</v>
      </c>
      <c r="G2822" s="924" t="s">
        <v>911</v>
      </c>
      <c r="H2822" s="924" t="s">
        <v>665</v>
      </c>
      <c r="I2822" s="924" t="s">
        <v>706</v>
      </c>
      <c r="J2822" s="924" t="s">
        <v>863</v>
      </c>
      <c r="K2822" s="924" t="s">
        <v>935</v>
      </c>
      <c r="L2822" s="925">
        <v>7.8679587244987497</v>
      </c>
      <c r="M2822" s="925">
        <v>3.7148929231989298E-4</v>
      </c>
    </row>
    <row r="2823" spans="1:13" ht="11.25" customHeight="1" x14ac:dyDescent="0.2">
      <c r="A2823" s="924" t="s">
        <v>853</v>
      </c>
      <c r="B2823" s="924" t="s">
        <v>801</v>
      </c>
      <c r="C2823" s="924" t="s">
        <v>1189</v>
      </c>
      <c r="D2823" s="924" t="s">
        <v>1190</v>
      </c>
      <c r="E2823" s="924" t="s">
        <v>856</v>
      </c>
      <c r="F2823" s="924" t="s">
        <v>890</v>
      </c>
      <c r="G2823" s="924" t="s">
        <v>862</v>
      </c>
      <c r="H2823" s="924" t="s">
        <v>665</v>
      </c>
      <c r="I2823" s="924" t="s">
        <v>787</v>
      </c>
      <c r="J2823" s="924" t="s">
        <v>859</v>
      </c>
      <c r="K2823" s="924" t="s">
        <v>891</v>
      </c>
      <c r="L2823" s="925">
        <v>2.2123787435703E-2</v>
      </c>
      <c r="M2823" s="925">
        <v>7.8754087053312105E-4</v>
      </c>
    </row>
    <row r="2824" spans="1:13" ht="11.25" customHeight="1" x14ac:dyDescent="0.2">
      <c r="A2824" s="924" t="s">
        <v>853</v>
      </c>
      <c r="B2824" s="924" t="s">
        <v>801</v>
      </c>
      <c r="C2824" s="924" t="s">
        <v>1189</v>
      </c>
      <c r="D2824" s="924" t="s">
        <v>1190</v>
      </c>
      <c r="E2824" s="924" t="s">
        <v>856</v>
      </c>
      <c r="F2824" s="924" t="s">
        <v>914</v>
      </c>
      <c r="G2824" s="924" t="s">
        <v>911</v>
      </c>
      <c r="H2824" s="924" t="s">
        <v>665</v>
      </c>
      <c r="I2824" s="924" t="s">
        <v>706</v>
      </c>
      <c r="J2824" s="924" t="s">
        <v>863</v>
      </c>
      <c r="K2824" s="924" t="s">
        <v>915</v>
      </c>
      <c r="L2824" s="925">
        <v>0.60195982828736305</v>
      </c>
      <c r="M2824" s="925">
        <v>8.5892300660361798E-5</v>
      </c>
    </row>
    <row r="2825" spans="1:13" ht="11.25" customHeight="1" x14ac:dyDescent="0.2">
      <c r="A2825" s="924" t="s">
        <v>853</v>
      </c>
      <c r="B2825" s="924" t="s">
        <v>801</v>
      </c>
      <c r="C2825" s="924" t="s">
        <v>1189</v>
      </c>
      <c r="D2825" s="924" t="s">
        <v>1190</v>
      </c>
      <c r="E2825" s="924" t="s">
        <v>856</v>
      </c>
      <c r="F2825" s="924" t="s">
        <v>938</v>
      </c>
      <c r="G2825" s="924" t="s">
        <v>911</v>
      </c>
      <c r="H2825" s="924" t="s">
        <v>665</v>
      </c>
      <c r="I2825" s="924" t="s">
        <v>706</v>
      </c>
      <c r="J2825" s="924" t="s">
        <v>863</v>
      </c>
      <c r="K2825" s="924" t="s">
        <v>868</v>
      </c>
      <c r="L2825" s="925">
        <v>4.87918495386839</v>
      </c>
      <c r="M2825" s="925">
        <v>2.2545652336702899E-4</v>
      </c>
    </row>
    <row r="2826" spans="1:13" ht="11.25" customHeight="1" x14ac:dyDescent="0.2">
      <c r="A2826" s="924" t="s">
        <v>853</v>
      </c>
      <c r="B2826" s="924" t="s">
        <v>801</v>
      </c>
      <c r="C2826" s="924" t="s">
        <v>1189</v>
      </c>
      <c r="D2826" s="924" t="s">
        <v>1190</v>
      </c>
      <c r="E2826" s="924" t="s">
        <v>856</v>
      </c>
      <c r="F2826" s="924" t="s">
        <v>939</v>
      </c>
      <c r="G2826" s="924" t="s">
        <v>911</v>
      </c>
      <c r="H2826" s="924" t="s">
        <v>665</v>
      </c>
      <c r="I2826" s="924" t="s">
        <v>706</v>
      </c>
      <c r="J2826" s="924" t="s">
        <v>940</v>
      </c>
      <c r="K2826" s="924" t="s">
        <v>941</v>
      </c>
      <c r="L2826" s="925">
        <v>25.9191625490785</v>
      </c>
      <c r="M2826" s="925">
        <v>1.24699576690546E-3</v>
      </c>
    </row>
    <row r="2827" spans="1:13" ht="11.25" customHeight="1" x14ac:dyDescent="0.2">
      <c r="A2827" s="924" t="s">
        <v>853</v>
      </c>
      <c r="B2827" s="924" t="s">
        <v>801</v>
      </c>
      <c r="C2827" s="924" t="s">
        <v>1189</v>
      </c>
      <c r="D2827" s="924" t="s">
        <v>1190</v>
      </c>
      <c r="E2827" s="924" t="s">
        <v>856</v>
      </c>
      <c r="F2827" s="924" t="s">
        <v>942</v>
      </c>
      <c r="G2827" s="924" t="s">
        <v>911</v>
      </c>
      <c r="H2827" s="924" t="s">
        <v>665</v>
      </c>
      <c r="I2827" s="924" t="s">
        <v>706</v>
      </c>
      <c r="J2827" s="924" t="s">
        <v>870</v>
      </c>
      <c r="K2827" s="924" t="s">
        <v>871</v>
      </c>
      <c r="L2827" s="925">
        <v>5.7375605698325699E-2</v>
      </c>
      <c r="M2827" s="925">
        <v>3.5808580818752503E-5</v>
      </c>
    </row>
    <row r="2828" spans="1:13" ht="11.25" customHeight="1" x14ac:dyDescent="0.2">
      <c r="A2828" s="924" t="s">
        <v>853</v>
      </c>
      <c r="B2828" s="924" t="s">
        <v>801</v>
      </c>
      <c r="C2828" s="924" t="s">
        <v>1189</v>
      </c>
      <c r="D2828" s="924" t="s">
        <v>1190</v>
      </c>
      <c r="E2828" s="924" t="s">
        <v>856</v>
      </c>
      <c r="F2828" s="924" t="s">
        <v>943</v>
      </c>
      <c r="G2828" s="924" t="s">
        <v>911</v>
      </c>
      <c r="H2828" s="924" t="s">
        <v>665</v>
      </c>
      <c r="I2828" s="924" t="s">
        <v>706</v>
      </c>
      <c r="J2828" s="924" t="s">
        <v>870</v>
      </c>
      <c r="K2828" s="924" t="s">
        <v>873</v>
      </c>
      <c r="L2828" s="925">
        <v>0.116624337882968</v>
      </c>
      <c r="M2828" s="925">
        <v>5.2960050442862902E-6</v>
      </c>
    </row>
    <row r="2829" spans="1:13" ht="11.25" customHeight="1" x14ac:dyDescent="0.2">
      <c r="A2829" s="924" t="s">
        <v>853</v>
      </c>
      <c r="B2829" s="924" t="s">
        <v>801</v>
      </c>
      <c r="C2829" s="924" t="s">
        <v>1189</v>
      </c>
      <c r="D2829" s="924" t="s">
        <v>1190</v>
      </c>
      <c r="E2829" s="924" t="s">
        <v>856</v>
      </c>
      <c r="F2829" s="924" t="s">
        <v>944</v>
      </c>
      <c r="G2829" s="924" t="s">
        <v>911</v>
      </c>
      <c r="H2829" s="924" t="s">
        <v>665</v>
      </c>
      <c r="I2829" s="924" t="s">
        <v>706</v>
      </c>
      <c r="J2829" s="924" t="s">
        <v>875</v>
      </c>
      <c r="K2829" s="924" t="s">
        <v>876</v>
      </c>
      <c r="L2829" s="925">
        <v>27.457451969385101</v>
      </c>
      <c r="M2829" s="925">
        <v>8.6810927041369706E-3</v>
      </c>
    </row>
    <row r="2830" spans="1:13" ht="11.25" customHeight="1" x14ac:dyDescent="0.2">
      <c r="A2830" s="924" t="s">
        <v>853</v>
      </c>
      <c r="B2830" s="924" t="s">
        <v>801</v>
      </c>
      <c r="C2830" s="924" t="s">
        <v>1189</v>
      </c>
      <c r="D2830" s="924" t="s">
        <v>1190</v>
      </c>
      <c r="E2830" s="924" t="s">
        <v>856</v>
      </c>
      <c r="F2830" s="924" t="s">
        <v>945</v>
      </c>
      <c r="G2830" s="924" t="s">
        <v>911</v>
      </c>
      <c r="H2830" s="924" t="s">
        <v>665</v>
      </c>
      <c r="I2830" s="924" t="s">
        <v>706</v>
      </c>
      <c r="J2830" s="924" t="s">
        <v>875</v>
      </c>
      <c r="K2830" s="924" t="s">
        <v>878</v>
      </c>
      <c r="L2830" s="925">
        <v>6.0632325410842904</v>
      </c>
      <c r="M2830" s="925">
        <v>8.9699404588827704E-4</v>
      </c>
    </row>
    <row r="2831" spans="1:13" ht="11.25" customHeight="1" x14ac:dyDescent="0.2">
      <c r="A2831" s="924" t="s">
        <v>853</v>
      </c>
      <c r="B2831" s="924" t="s">
        <v>801</v>
      </c>
      <c r="C2831" s="924" t="s">
        <v>1189</v>
      </c>
      <c r="D2831" s="924" t="s">
        <v>1190</v>
      </c>
      <c r="E2831" s="924" t="s">
        <v>856</v>
      </c>
      <c r="F2831" s="924" t="s">
        <v>946</v>
      </c>
      <c r="G2831" s="924" t="s">
        <v>911</v>
      </c>
      <c r="H2831" s="924" t="s">
        <v>665</v>
      </c>
      <c r="I2831" s="924" t="s">
        <v>706</v>
      </c>
      <c r="J2831" s="924" t="s">
        <v>875</v>
      </c>
      <c r="K2831" s="924" t="s">
        <v>880</v>
      </c>
      <c r="L2831" s="925">
        <v>7.1676244214177096</v>
      </c>
      <c r="M2831" s="925">
        <v>4.5618237288635999E-4</v>
      </c>
    </row>
    <row r="2832" spans="1:13" ht="11.25" customHeight="1" x14ac:dyDescent="0.2">
      <c r="A2832" s="924" t="s">
        <v>853</v>
      </c>
      <c r="B2832" s="924" t="s">
        <v>801</v>
      </c>
      <c r="C2832" s="924" t="s">
        <v>1189</v>
      </c>
      <c r="D2832" s="924" t="s">
        <v>1190</v>
      </c>
      <c r="E2832" s="924" t="s">
        <v>856</v>
      </c>
      <c r="F2832" s="924" t="s">
        <v>947</v>
      </c>
      <c r="G2832" s="924" t="s">
        <v>911</v>
      </c>
      <c r="H2832" s="924" t="s">
        <v>665</v>
      </c>
      <c r="I2832" s="924" t="s">
        <v>706</v>
      </c>
      <c r="J2832" s="924" t="s">
        <v>875</v>
      </c>
      <c r="K2832" s="924" t="s">
        <v>948</v>
      </c>
      <c r="L2832" s="925">
        <v>8.9089755564928108</v>
      </c>
      <c r="M2832" s="925">
        <v>6.8081249224860596E-4</v>
      </c>
    </row>
    <row r="2833" spans="1:13" ht="11.25" customHeight="1" x14ac:dyDescent="0.2">
      <c r="A2833" s="924" t="s">
        <v>853</v>
      </c>
      <c r="B2833" s="924" t="s">
        <v>801</v>
      </c>
      <c r="C2833" s="924" t="s">
        <v>1189</v>
      </c>
      <c r="D2833" s="924" t="s">
        <v>1190</v>
      </c>
      <c r="E2833" s="924" t="s">
        <v>856</v>
      </c>
      <c r="F2833" s="924" t="s">
        <v>949</v>
      </c>
      <c r="G2833" s="924" t="s">
        <v>911</v>
      </c>
      <c r="H2833" s="924" t="s">
        <v>665</v>
      </c>
      <c r="I2833" s="924" t="s">
        <v>706</v>
      </c>
      <c r="J2833" s="924" t="s">
        <v>875</v>
      </c>
      <c r="K2833" s="924" t="s">
        <v>950</v>
      </c>
      <c r="L2833" s="925">
        <v>0.11945872718934</v>
      </c>
      <c r="M2833" s="925">
        <v>2.5621790168628398E-5</v>
      </c>
    </row>
    <row r="2834" spans="1:13" ht="11.25" customHeight="1" x14ac:dyDescent="0.2">
      <c r="A2834" s="924" t="s">
        <v>853</v>
      </c>
      <c r="B2834" s="924" t="s">
        <v>801</v>
      </c>
      <c r="C2834" s="924" t="s">
        <v>1189</v>
      </c>
      <c r="D2834" s="924" t="s">
        <v>1190</v>
      </c>
      <c r="E2834" s="924" t="s">
        <v>856</v>
      </c>
      <c r="F2834" s="924" t="s">
        <v>886</v>
      </c>
      <c r="G2834" s="924" t="s">
        <v>858</v>
      </c>
      <c r="H2834" s="924" t="s">
        <v>836</v>
      </c>
      <c r="I2834" s="924" t="s">
        <v>837</v>
      </c>
      <c r="J2834" s="924" t="s">
        <v>859</v>
      </c>
      <c r="K2834" s="924" t="s">
        <v>887</v>
      </c>
      <c r="L2834" s="925">
        <v>114.45258772373199</v>
      </c>
      <c r="M2834" s="925">
        <v>8.4705771782012096E-4</v>
      </c>
    </row>
    <row r="2835" spans="1:13" ht="11.25" customHeight="1" x14ac:dyDescent="0.2">
      <c r="A2835" s="924" t="s">
        <v>853</v>
      </c>
      <c r="B2835" s="924" t="s">
        <v>801</v>
      </c>
      <c r="C2835" s="924" t="s">
        <v>1189</v>
      </c>
      <c r="D2835" s="924" t="s">
        <v>1190</v>
      </c>
      <c r="E2835" s="924" t="s">
        <v>856</v>
      </c>
      <c r="F2835" s="924" t="s">
        <v>932</v>
      </c>
      <c r="G2835" s="924" t="s">
        <v>911</v>
      </c>
      <c r="H2835" s="924" t="s">
        <v>665</v>
      </c>
      <c r="I2835" s="924" t="s">
        <v>706</v>
      </c>
      <c r="J2835" s="924" t="s">
        <v>863</v>
      </c>
      <c r="K2835" s="924" t="s">
        <v>933</v>
      </c>
      <c r="L2835" s="925">
        <v>1054.4874753951999</v>
      </c>
      <c r="M2835" s="925">
        <v>5.0962036999408197E-2</v>
      </c>
    </row>
    <row r="2836" spans="1:13" ht="11.25" customHeight="1" x14ac:dyDescent="0.2">
      <c r="A2836" s="924" t="s">
        <v>853</v>
      </c>
      <c r="B2836" s="924" t="s">
        <v>801</v>
      </c>
      <c r="C2836" s="924" t="s">
        <v>1189</v>
      </c>
      <c r="D2836" s="924" t="s">
        <v>1190</v>
      </c>
      <c r="E2836" s="924" t="s">
        <v>856</v>
      </c>
      <c r="F2836" s="924" t="s">
        <v>1000</v>
      </c>
      <c r="G2836" s="924" t="s">
        <v>858</v>
      </c>
      <c r="H2836" s="924" t="s">
        <v>836</v>
      </c>
      <c r="I2836" s="924" t="s">
        <v>837</v>
      </c>
      <c r="J2836" s="924" t="s">
        <v>875</v>
      </c>
      <c r="K2836" s="924" t="s">
        <v>950</v>
      </c>
      <c r="L2836" s="925">
        <v>6.8721593916416204</v>
      </c>
      <c r="M2836" s="925">
        <v>1.6141982179362899E-4</v>
      </c>
    </row>
    <row r="2837" spans="1:13" ht="11.25" customHeight="1" x14ac:dyDescent="0.2">
      <c r="A2837" s="924" t="s">
        <v>853</v>
      </c>
      <c r="B2837" s="924" t="s">
        <v>801</v>
      </c>
      <c r="C2837" s="924" t="s">
        <v>1189</v>
      </c>
      <c r="D2837" s="924" t="s">
        <v>1190</v>
      </c>
      <c r="E2837" s="924" t="s">
        <v>856</v>
      </c>
      <c r="F2837" s="924" t="s">
        <v>1018</v>
      </c>
      <c r="G2837" s="924" t="s">
        <v>858</v>
      </c>
      <c r="H2837" s="924" t="s">
        <v>836</v>
      </c>
      <c r="I2837" s="924" t="s">
        <v>837</v>
      </c>
      <c r="J2837" s="924" t="s">
        <v>870</v>
      </c>
      <c r="K2837" s="924" t="s">
        <v>1019</v>
      </c>
      <c r="L2837" s="925">
        <v>435.349355578423</v>
      </c>
      <c r="M2837" s="925">
        <v>3.2718382476843999E-3</v>
      </c>
    </row>
    <row r="2838" spans="1:13" ht="11.25" customHeight="1" x14ac:dyDescent="0.2">
      <c r="A2838" s="924" t="s">
        <v>853</v>
      </c>
      <c r="B2838" s="924" t="s">
        <v>801</v>
      </c>
      <c r="C2838" s="924" t="s">
        <v>1189</v>
      </c>
      <c r="D2838" s="924" t="s">
        <v>1190</v>
      </c>
      <c r="E2838" s="924" t="s">
        <v>856</v>
      </c>
      <c r="F2838" s="924" t="s">
        <v>1015</v>
      </c>
      <c r="G2838" s="924" t="s">
        <v>858</v>
      </c>
      <c r="H2838" s="924" t="s">
        <v>836</v>
      </c>
      <c r="I2838" s="924" t="s">
        <v>837</v>
      </c>
      <c r="J2838" s="924" t="s">
        <v>870</v>
      </c>
      <c r="K2838" s="924" t="s">
        <v>1016</v>
      </c>
      <c r="L2838" s="925">
        <v>2.4107986995950301</v>
      </c>
      <c r="M2838" s="925">
        <v>2.9290606900489502E-5</v>
      </c>
    </row>
    <row r="2839" spans="1:13" ht="11.25" customHeight="1" x14ac:dyDescent="0.2">
      <c r="A2839" s="924" t="s">
        <v>853</v>
      </c>
      <c r="B2839" s="924" t="s">
        <v>801</v>
      </c>
      <c r="C2839" s="924" t="s">
        <v>1189</v>
      </c>
      <c r="D2839" s="924" t="s">
        <v>1190</v>
      </c>
      <c r="E2839" s="924" t="s">
        <v>856</v>
      </c>
      <c r="F2839" s="924" t="s">
        <v>958</v>
      </c>
      <c r="G2839" s="924" t="s">
        <v>858</v>
      </c>
      <c r="H2839" s="924" t="s">
        <v>836</v>
      </c>
      <c r="I2839" s="924" t="s">
        <v>837</v>
      </c>
      <c r="J2839" s="924" t="s">
        <v>870</v>
      </c>
      <c r="K2839" s="924" t="s">
        <v>959</v>
      </c>
      <c r="L2839" s="925">
        <v>0.50639556103851602</v>
      </c>
      <c r="M2839" s="925">
        <v>4.7192144804475397E-6</v>
      </c>
    </row>
    <row r="2840" spans="1:13" ht="11.25" customHeight="1" x14ac:dyDescent="0.2">
      <c r="A2840" s="924" t="s">
        <v>853</v>
      </c>
      <c r="B2840" s="924" t="s">
        <v>801</v>
      </c>
      <c r="C2840" s="924" t="s">
        <v>1189</v>
      </c>
      <c r="D2840" s="924" t="s">
        <v>1190</v>
      </c>
      <c r="E2840" s="924" t="s">
        <v>856</v>
      </c>
      <c r="F2840" s="924" t="s">
        <v>960</v>
      </c>
      <c r="G2840" s="924" t="s">
        <v>858</v>
      </c>
      <c r="H2840" s="924" t="s">
        <v>836</v>
      </c>
      <c r="I2840" s="924" t="s">
        <v>837</v>
      </c>
      <c r="J2840" s="924" t="s">
        <v>870</v>
      </c>
      <c r="K2840" s="924" t="s">
        <v>961</v>
      </c>
      <c r="L2840" s="925">
        <v>36.932565376162501</v>
      </c>
      <c r="M2840" s="925">
        <v>3.27687447970959E-4</v>
      </c>
    </row>
    <row r="2841" spans="1:13" ht="11.25" customHeight="1" x14ac:dyDescent="0.2">
      <c r="A2841" s="924" t="s">
        <v>853</v>
      </c>
      <c r="B2841" s="924" t="s">
        <v>801</v>
      </c>
      <c r="C2841" s="924" t="s">
        <v>1189</v>
      </c>
      <c r="D2841" s="924" t="s">
        <v>1190</v>
      </c>
      <c r="E2841" s="924" t="s">
        <v>856</v>
      </c>
      <c r="F2841" s="924" t="s">
        <v>962</v>
      </c>
      <c r="G2841" s="924" t="s">
        <v>858</v>
      </c>
      <c r="H2841" s="924" t="s">
        <v>836</v>
      </c>
      <c r="I2841" s="924" t="s">
        <v>837</v>
      </c>
      <c r="J2841" s="924" t="s">
        <v>870</v>
      </c>
      <c r="K2841" s="924" t="s">
        <v>963</v>
      </c>
      <c r="L2841" s="925">
        <v>0.102149335987633</v>
      </c>
      <c r="M2841" s="925">
        <v>7.2603421783640199E-7</v>
      </c>
    </row>
    <row r="2842" spans="1:13" ht="11.25" customHeight="1" x14ac:dyDescent="0.2">
      <c r="A2842" s="924" t="s">
        <v>853</v>
      </c>
      <c r="B2842" s="924" t="s">
        <v>801</v>
      </c>
      <c r="C2842" s="924" t="s">
        <v>1189</v>
      </c>
      <c r="D2842" s="924" t="s">
        <v>1190</v>
      </c>
      <c r="E2842" s="924" t="s">
        <v>856</v>
      </c>
      <c r="F2842" s="924" t="s">
        <v>964</v>
      </c>
      <c r="G2842" s="924" t="s">
        <v>858</v>
      </c>
      <c r="H2842" s="924" t="s">
        <v>836</v>
      </c>
      <c r="I2842" s="924" t="s">
        <v>837</v>
      </c>
      <c r="J2842" s="924" t="s">
        <v>870</v>
      </c>
      <c r="K2842" s="924" t="s">
        <v>965</v>
      </c>
      <c r="L2842" s="925">
        <v>34.142835438251502</v>
      </c>
      <c r="M2842" s="925">
        <v>3.1348304096745499E-4</v>
      </c>
    </row>
    <row r="2843" spans="1:13" ht="11.25" customHeight="1" x14ac:dyDescent="0.2">
      <c r="A2843" s="924" t="s">
        <v>853</v>
      </c>
      <c r="B2843" s="924" t="s">
        <v>801</v>
      </c>
      <c r="C2843" s="924" t="s">
        <v>1189</v>
      </c>
      <c r="D2843" s="924" t="s">
        <v>1190</v>
      </c>
      <c r="E2843" s="924" t="s">
        <v>856</v>
      </c>
      <c r="F2843" s="924" t="s">
        <v>966</v>
      </c>
      <c r="G2843" s="924" t="s">
        <v>858</v>
      </c>
      <c r="H2843" s="924" t="s">
        <v>836</v>
      </c>
      <c r="I2843" s="924" t="s">
        <v>837</v>
      </c>
      <c r="J2843" s="924" t="s">
        <v>870</v>
      </c>
      <c r="K2843" s="924" t="s">
        <v>871</v>
      </c>
      <c r="L2843" s="925">
        <v>95.003625422716098</v>
      </c>
      <c r="M2843" s="925">
        <v>8.2550401530312499E-4</v>
      </c>
    </row>
    <row r="2844" spans="1:13" ht="11.25" customHeight="1" x14ac:dyDescent="0.2">
      <c r="A2844" s="924" t="s">
        <v>853</v>
      </c>
      <c r="B2844" s="924" t="s">
        <v>801</v>
      </c>
      <c r="C2844" s="924" t="s">
        <v>1189</v>
      </c>
      <c r="D2844" s="924" t="s">
        <v>1190</v>
      </c>
      <c r="E2844" s="924" t="s">
        <v>856</v>
      </c>
      <c r="F2844" s="924" t="s">
        <v>967</v>
      </c>
      <c r="G2844" s="924" t="s">
        <v>858</v>
      </c>
      <c r="H2844" s="924" t="s">
        <v>836</v>
      </c>
      <c r="I2844" s="924" t="s">
        <v>837</v>
      </c>
      <c r="J2844" s="924" t="s">
        <v>870</v>
      </c>
      <c r="K2844" s="924" t="s">
        <v>873</v>
      </c>
      <c r="L2844" s="925">
        <v>70.0203978270292</v>
      </c>
      <c r="M2844" s="925">
        <v>1.1829350584164899E-3</v>
      </c>
    </row>
    <row r="2845" spans="1:13" ht="11.25" customHeight="1" x14ac:dyDescent="0.2">
      <c r="A2845" s="924" t="s">
        <v>853</v>
      </c>
      <c r="B2845" s="924" t="s">
        <v>801</v>
      </c>
      <c r="C2845" s="924" t="s">
        <v>1189</v>
      </c>
      <c r="D2845" s="924" t="s">
        <v>1190</v>
      </c>
      <c r="E2845" s="924" t="s">
        <v>856</v>
      </c>
      <c r="F2845" s="924" t="s">
        <v>968</v>
      </c>
      <c r="G2845" s="924" t="s">
        <v>858</v>
      </c>
      <c r="H2845" s="924" t="s">
        <v>836</v>
      </c>
      <c r="I2845" s="924" t="s">
        <v>837</v>
      </c>
      <c r="J2845" s="924" t="s">
        <v>875</v>
      </c>
      <c r="K2845" s="924" t="s">
        <v>876</v>
      </c>
      <c r="L2845" s="925">
        <v>214.91219878196699</v>
      </c>
      <c r="M2845" s="925">
        <v>5.76050942441952E-3</v>
      </c>
    </row>
    <row r="2846" spans="1:13" ht="11.25" customHeight="1" x14ac:dyDescent="0.2">
      <c r="A2846" s="924" t="s">
        <v>853</v>
      </c>
      <c r="B2846" s="924" t="s">
        <v>801</v>
      </c>
      <c r="C2846" s="924" t="s">
        <v>1189</v>
      </c>
      <c r="D2846" s="924" t="s">
        <v>1190</v>
      </c>
      <c r="E2846" s="924" t="s">
        <v>856</v>
      </c>
      <c r="F2846" s="924" t="s">
        <v>969</v>
      </c>
      <c r="G2846" s="924" t="s">
        <v>858</v>
      </c>
      <c r="H2846" s="924" t="s">
        <v>836</v>
      </c>
      <c r="I2846" s="924" t="s">
        <v>837</v>
      </c>
      <c r="J2846" s="924" t="s">
        <v>875</v>
      </c>
      <c r="K2846" s="924" t="s">
        <v>878</v>
      </c>
      <c r="L2846" s="925">
        <v>50.722221553325703</v>
      </c>
      <c r="M2846" s="925">
        <v>1.34360093279895E-3</v>
      </c>
    </row>
    <row r="2847" spans="1:13" ht="11.25" customHeight="1" x14ac:dyDescent="0.2">
      <c r="A2847" s="924" t="s">
        <v>853</v>
      </c>
      <c r="B2847" s="924" t="s">
        <v>801</v>
      </c>
      <c r="C2847" s="924" t="s">
        <v>1189</v>
      </c>
      <c r="D2847" s="924" t="s">
        <v>1190</v>
      </c>
      <c r="E2847" s="924" t="s">
        <v>856</v>
      </c>
      <c r="F2847" s="924" t="s">
        <v>906</v>
      </c>
      <c r="G2847" s="924" t="s">
        <v>858</v>
      </c>
      <c r="H2847" s="924" t="s">
        <v>836</v>
      </c>
      <c r="I2847" s="924" t="s">
        <v>837</v>
      </c>
      <c r="J2847" s="924" t="s">
        <v>859</v>
      </c>
      <c r="K2847" s="924" t="s">
        <v>907</v>
      </c>
      <c r="L2847" s="925">
        <v>460.00432443618803</v>
      </c>
      <c r="M2847" s="925">
        <v>3.0624654300197601E-3</v>
      </c>
    </row>
    <row r="2848" spans="1:13" ht="11.25" customHeight="1" x14ac:dyDescent="0.2">
      <c r="A2848" s="924" t="s">
        <v>853</v>
      </c>
      <c r="B2848" s="924" t="s">
        <v>801</v>
      </c>
      <c r="C2848" s="924" t="s">
        <v>1189</v>
      </c>
      <c r="D2848" s="924" t="s">
        <v>1190</v>
      </c>
      <c r="E2848" s="924" t="s">
        <v>856</v>
      </c>
      <c r="F2848" s="924" t="s">
        <v>971</v>
      </c>
      <c r="G2848" s="924" t="s">
        <v>858</v>
      </c>
      <c r="H2848" s="924" t="s">
        <v>836</v>
      </c>
      <c r="I2848" s="924" t="s">
        <v>837</v>
      </c>
      <c r="J2848" s="924" t="s">
        <v>875</v>
      </c>
      <c r="K2848" s="924" t="s">
        <v>948</v>
      </c>
      <c r="L2848" s="925">
        <v>71.509763777255998</v>
      </c>
      <c r="M2848" s="925">
        <v>3.0587193056703702E-3</v>
      </c>
    </row>
    <row r="2849" spans="1:13" ht="11.25" customHeight="1" x14ac:dyDescent="0.2">
      <c r="A2849" s="924" t="s">
        <v>853</v>
      </c>
      <c r="B2849" s="924" t="s">
        <v>801</v>
      </c>
      <c r="C2849" s="924" t="s">
        <v>1189</v>
      </c>
      <c r="D2849" s="924" t="s">
        <v>1190</v>
      </c>
      <c r="E2849" s="924" t="s">
        <v>856</v>
      </c>
      <c r="F2849" s="924" t="s">
        <v>1033</v>
      </c>
      <c r="G2849" s="924" t="s">
        <v>858</v>
      </c>
      <c r="H2849" s="924" t="s">
        <v>836</v>
      </c>
      <c r="I2849" s="924" t="s">
        <v>837</v>
      </c>
      <c r="J2849" s="924" t="s">
        <v>940</v>
      </c>
      <c r="K2849" s="924" t="s">
        <v>1034</v>
      </c>
      <c r="L2849" s="925">
        <v>0.87160061160102498</v>
      </c>
      <c r="M2849" s="925">
        <v>2.8582036398439E-5</v>
      </c>
    </row>
    <row r="2850" spans="1:13" ht="11.25" customHeight="1" x14ac:dyDescent="0.2">
      <c r="A2850" s="924" t="s">
        <v>853</v>
      </c>
      <c r="B2850" s="924" t="s">
        <v>801</v>
      </c>
      <c r="C2850" s="924" t="s">
        <v>1189</v>
      </c>
      <c r="D2850" s="924" t="s">
        <v>1190</v>
      </c>
      <c r="E2850" s="924" t="s">
        <v>856</v>
      </c>
      <c r="F2850" s="924" t="s">
        <v>974</v>
      </c>
      <c r="G2850" s="924" t="s">
        <v>858</v>
      </c>
      <c r="H2850" s="924" t="s">
        <v>836</v>
      </c>
      <c r="I2850" s="924" t="s">
        <v>837</v>
      </c>
      <c r="J2850" s="924" t="s">
        <v>875</v>
      </c>
      <c r="K2850" s="924" t="s">
        <v>952</v>
      </c>
      <c r="L2850" s="925">
        <v>6.0813542827963802</v>
      </c>
      <c r="M2850" s="925">
        <v>1.3739833525860899E-4</v>
      </c>
    </row>
    <row r="2851" spans="1:13" ht="11.25" customHeight="1" x14ac:dyDescent="0.2">
      <c r="A2851" s="924" t="s">
        <v>853</v>
      </c>
      <c r="B2851" s="924" t="s">
        <v>801</v>
      </c>
      <c r="C2851" s="924" t="s">
        <v>1189</v>
      </c>
      <c r="D2851" s="924" t="s">
        <v>1190</v>
      </c>
      <c r="E2851" s="924" t="s">
        <v>856</v>
      </c>
      <c r="F2851" s="924" t="s">
        <v>955</v>
      </c>
      <c r="G2851" s="924" t="s">
        <v>858</v>
      </c>
      <c r="H2851" s="924" t="s">
        <v>836</v>
      </c>
      <c r="I2851" s="924" t="s">
        <v>837</v>
      </c>
      <c r="J2851" s="924" t="s">
        <v>956</v>
      </c>
      <c r="K2851" s="924" t="s">
        <v>957</v>
      </c>
      <c r="L2851" s="925">
        <v>149.28956174850501</v>
      </c>
      <c r="M2851" s="925">
        <v>8.5742317902770505E-4</v>
      </c>
    </row>
    <row r="2852" spans="1:13" ht="11.25" customHeight="1" x14ac:dyDescent="0.2">
      <c r="A2852" s="924" t="s">
        <v>853</v>
      </c>
      <c r="B2852" s="924" t="s">
        <v>801</v>
      </c>
      <c r="C2852" s="924" t="s">
        <v>1189</v>
      </c>
      <c r="D2852" s="924" t="s">
        <v>1190</v>
      </c>
      <c r="E2852" s="924" t="s">
        <v>856</v>
      </c>
      <c r="F2852" s="924" t="s">
        <v>1172</v>
      </c>
      <c r="G2852" s="924" t="s">
        <v>858</v>
      </c>
      <c r="H2852" s="924" t="s">
        <v>836</v>
      </c>
      <c r="I2852" s="924" t="s">
        <v>837</v>
      </c>
      <c r="J2852" s="924" t="s">
        <v>863</v>
      </c>
      <c r="K2852" s="924" t="s">
        <v>1171</v>
      </c>
      <c r="L2852" s="925">
        <v>128.42545127868701</v>
      </c>
      <c r="M2852" s="925">
        <v>3.7333092172957502E-3</v>
      </c>
    </row>
    <row r="2853" spans="1:13" ht="11.25" customHeight="1" x14ac:dyDescent="0.2">
      <c r="A2853" s="924" t="s">
        <v>853</v>
      </c>
      <c r="B2853" s="924" t="s">
        <v>801</v>
      </c>
      <c r="C2853" s="924" t="s">
        <v>1189</v>
      </c>
      <c r="D2853" s="924" t="s">
        <v>1190</v>
      </c>
      <c r="E2853" s="924" t="s">
        <v>856</v>
      </c>
      <c r="F2853" s="924" t="s">
        <v>980</v>
      </c>
      <c r="G2853" s="924" t="s">
        <v>981</v>
      </c>
      <c r="H2853" s="924" t="s">
        <v>835</v>
      </c>
      <c r="I2853" s="924" t="s">
        <v>839</v>
      </c>
      <c r="J2853" s="924" t="s">
        <v>982</v>
      </c>
      <c r="K2853" s="924" t="s">
        <v>983</v>
      </c>
      <c r="L2853" s="925">
        <v>3968.8242549896199</v>
      </c>
      <c r="M2853" s="925">
        <v>4.5267956806346801</v>
      </c>
    </row>
    <row r="2854" spans="1:13" ht="11.25" customHeight="1" x14ac:dyDescent="0.2">
      <c r="A2854" s="924" t="s">
        <v>853</v>
      </c>
      <c r="B2854" s="924" t="s">
        <v>801</v>
      </c>
      <c r="C2854" s="924" t="s">
        <v>1189</v>
      </c>
      <c r="D2854" s="924" t="s">
        <v>1190</v>
      </c>
      <c r="E2854" s="924" t="s">
        <v>856</v>
      </c>
      <c r="F2854" s="924" t="s">
        <v>984</v>
      </c>
      <c r="G2854" s="924" t="s">
        <v>981</v>
      </c>
      <c r="H2854" s="924" t="s">
        <v>835</v>
      </c>
      <c r="I2854" s="924" t="s">
        <v>839</v>
      </c>
      <c r="J2854" s="924" t="s">
        <v>982</v>
      </c>
      <c r="K2854" s="924" t="s">
        <v>985</v>
      </c>
      <c r="L2854" s="925">
        <v>1676.7062523365</v>
      </c>
      <c r="M2854" s="925">
        <v>1.8703474164940399</v>
      </c>
    </row>
    <row r="2855" spans="1:13" ht="11.25" customHeight="1" x14ac:dyDescent="0.2">
      <c r="A2855" s="924" t="s">
        <v>853</v>
      </c>
      <c r="B2855" s="924" t="s">
        <v>801</v>
      </c>
      <c r="C2855" s="924" t="s">
        <v>1189</v>
      </c>
      <c r="D2855" s="924" t="s">
        <v>1190</v>
      </c>
      <c r="E2855" s="924" t="s">
        <v>856</v>
      </c>
      <c r="F2855" s="924" t="s">
        <v>986</v>
      </c>
      <c r="G2855" s="924" t="s">
        <v>981</v>
      </c>
      <c r="H2855" s="924" t="s">
        <v>835</v>
      </c>
      <c r="I2855" s="924" t="s">
        <v>839</v>
      </c>
      <c r="J2855" s="924" t="s">
        <v>987</v>
      </c>
      <c r="K2855" s="924" t="s">
        <v>988</v>
      </c>
      <c r="L2855" s="925">
        <v>3436.7240619659401</v>
      </c>
      <c r="M2855" s="925">
        <v>1.7351080011576401</v>
      </c>
    </row>
    <row r="2856" spans="1:13" ht="11.25" customHeight="1" x14ac:dyDescent="0.2">
      <c r="A2856" s="924" t="s">
        <v>853</v>
      </c>
      <c r="B2856" s="924" t="s">
        <v>801</v>
      </c>
      <c r="C2856" s="924" t="s">
        <v>1189</v>
      </c>
      <c r="D2856" s="924" t="s">
        <v>1190</v>
      </c>
      <c r="E2856" s="924" t="s">
        <v>856</v>
      </c>
      <c r="F2856" s="924" t="s">
        <v>989</v>
      </c>
      <c r="G2856" s="924" t="s">
        <v>990</v>
      </c>
      <c r="H2856" s="924" t="s">
        <v>836</v>
      </c>
      <c r="I2856" s="924" t="s">
        <v>839</v>
      </c>
      <c r="J2856" s="924" t="s">
        <v>224</v>
      </c>
      <c r="K2856" s="924" t="s">
        <v>988</v>
      </c>
      <c r="L2856" s="925">
        <v>2706.5081048011798</v>
      </c>
      <c r="M2856" s="925">
        <v>9.2150474035456398E-2</v>
      </c>
    </row>
    <row r="2857" spans="1:13" ht="11.25" customHeight="1" x14ac:dyDescent="0.2">
      <c r="A2857" s="924" t="s">
        <v>853</v>
      </c>
      <c r="B2857" s="924" t="s">
        <v>801</v>
      </c>
      <c r="C2857" s="924" t="s">
        <v>1189</v>
      </c>
      <c r="D2857" s="924" t="s">
        <v>1190</v>
      </c>
      <c r="E2857" s="924" t="s">
        <v>856</v>
      </c>
      <c r="F2857" s="924" t="s">
        <v>991</v>
      </c>
      <c r="G2857" s="924" t="s">
        <v>990</v>
      </c>
      <c r="H2857" s="924" t="s">
        <v>836</v>
      </c>
      <c r="I2857" s="924" t="s">
        <v>839</v>
      </c>
      <c r="J2857" s="924" t="s">
        <v>224</v>
      </c>
      <c r="K2857" s="924" t="s">
        <v>983</v>
      </c>
      <c r="L2857" s="925">
        <v>8.0307405274361408</v>
      </c>
      <c r="M2857" s="925">
        <v>4.7954217363432899E-4</v>
      </c>
    </row>
    <row r="2858" spans="1:13" ht="11.25" customHeight="1" x14ac:dyDescent="0.2">
      <c r="A2858" s="924" t="s">
        <v>853</v>
      </c>
      <c r="B2858" s="924" t="s">
        <v>801</v>
      </c>
      <c r="C2858" s="924" t="s">
        <v>1189</v>
      </c>
      <c r="D2858" s="924" t="s">
        <v>1190</v>
      </c>
      <c r="E2858" s="924" t="s">
        <v>856</v>
      </c>
      <c r="F2858" s="924" t="s">
        <v>997</v>
      </c>
      <c r="G2858" s="924" t="s">
        <v>981</v>
      </c>
      <c r="H2858" s="924" t="s">
        <v>835</v>
      </c>
      <c r="I2858" s="924" t="s">
        <v>998</v>
      </c>
      <c r="J2858" s="924" t="s">
        <v>884</v>
      </c>
      <c r="K2858" s="924" t="s">
        <v>999</v>
      </c>
      <c r="L2858" s="925">
        <v>188.889589071274</v>
      </c>
      <c r="M2858" s="925">
        <v>0.60174027550965503</v>
      </c>
    </row>
    <row r="2859" spans="1:13" ht="11.25" customHeight="1" x14ac:dyDescent="0.2">
      <c r="A2859" s="924" t="s">
        <v>853</v>
      </c>
      <c r="B2859" s="924" t="s">
        <v>801</v>
      </c>
      <c r="C2859" s="924" t="s">
        <v>1189</v>
      </c>
      <c r="D2859" s="924" t="s">
        <v>1190</v>
      </c>
      <c r="E2859" s="924" t="s">
        <v>856</v>
      </c>
      <c r="F2859" s="924" t="s">
        <v>1102</v>
      </c>
      <c r="G2859" s="924" t="s">
        <v>981</v>
      </c>
      <c r="H2859" s="924" t="s">
        <v>835</v>
      </c>
      <c r="I2859" s="924" t="s">
        <v>998</v>
      </c>
      <c r="J2859" s="924" t="s">
        <v>875</v>
      </c>
      <c r="K2859" s="924" t="s">
        <v>876</v>
      </c>
      <c r="L2859" s="925">
        <v>1.42934073880315</v>
      </c>
      <c r="M2859" s="925">
        <v>2.8922083438374102E-3</v>
      </c>
    </row>
    <row r="2860" spans="1:13" ht="11.25" customHeight="1" x14ac:dyDescent="0.2">
      <c r="A2860" s="924" t="s">
        <v>853</v>
      </c>
      <c r="B2860" s="924" t="s">
        <v>801</v>
      </c>
      <c r="C2860" s="924" t="s">
        <v>1189</v>
      </c>
      <c r="D2860" s="924" t="s">
        <v>1190</v>
      </c>
      <c r="E2860" s="924" t="s">
        <v>856</v>
      </c>
      <c r="F2860" s="924" t="s">
        <v>970</v>
      </c>
      <c r="G2860" s="924" t="s">
        <v>858</v>
      </c>
      <c r="H2860" s="924" t="s">
        <v>836</v>
      </c>
      <c r="I2860" s="924" t="s">
        <v>837</v>
      </c>
      <c r="J2860" s="924" t="s">
        <v>875</v>
      </c>
      <c r="K2860" s="924" t="s">
        <v>880</v>
      </c>
      <c r="L2860" s="925">
        <v>140.70863568782801</v>
      </c>
      <c r="M2860" s="925">
        <v>2.7342121998685802E-3</v>
      </c>
    </row>
    <row r="2861" spans="1:13" ht="11.25" customHeight="1" x14ac:dyDescent="0.2">
      <c r="A2861" s="924" t="s">
        <v>853</v>
      </c>
      <c r="B2861" s="924" t="s">
        <v>801</v>
      </c>
      <c r="C2861" s="924" t="s">
        <v>1189</v>
      </c>
      <c r="D2861" s="924" t="s">
        <v>1190</v>
      </c>
      <c r="E2861" s="924" t="s">
        <v>856</v>
      </c>
      <c r="F2861" s="924" t="s">
        <v>1038</v>
      </c>
      <c r="G2861" s="924" t="s">
        <v>858</v>
      </c>
      <c r="H2861" s="924" t="s">
        <v>836</v>
      </c>
      <c r="I2861" s="924" t="s">
        <v>837</v>
      </c>
      <c r="J2861" s="924" t="s">
        <v>863</v>
      </c>
      <c r="K2861" s="924" t="s">
        <v>935</v>
      </c>
      <c r="L2861" s="925">
        <v>120.426705121994</v>
      </c>
      <c r="M2861" s="925">
        <v>1.3033614228987701E-3</v>
      </c>
    </row>
    <row r="2862" spans="1:13" ht="11.25" customHeight="1" x14ac:dyDescent="0.2">
      <c r="A2862" s="924" t="s">
        <v>853</v>
      </c>
      <c r="B2862" s="924" t="s">
        <v>801</v>
      </c>
      <c r="C2862" s="924" t="s">
        <v>1189</v>
      </c>
      <c r="D2862" s="924" t="s">
        <v>1190</v>
      </c>
      <c r="E2862" s="924" t="s">
        <v>856</v>
      </c>
      <c r="F2862" s="924" t="s">
        <v>1071</v>
      </c>
      <c r="G2862" s="924" t="s">
        <v>858</v>
      </c>
      <c r="H2862" s="924" t="s">
        <v>836</v>
      </c>
      <c r="I2862" s="924" t="s">
        <v>837</v>
      </c>
      <c r="J2862" s="924" t="s">
        <v>859</v>
      </c>
      <c r="K2862" s="924" t="s">
        <v>1072</v>
      </c>
      <c r="L2862" s="925">
        <v>393.68819379806502</v>
      </c>
      <c r="M2862" s="925">
        <v>3.50134552775216E-3</v>
      </c>
    </row>
    <row r="2863" spans="1:13" ht="11.25" customHeight="1" x14ac:dyDescent="0.2">
      <c r="A2863" s="924" t="s">
        <v>853</v>
      </c>
      <c r="B2863" s="924" t="s">
        <v>801</v>
      </c>
      <c r="C2863" s="924" t="s">
        <v>1189</v>
      </c>
      <c r="D2863" s="924" t="s">
        <v>1190</v>
      </c>
      <c r="E2863" s="924" t="s">
        <v>856</v>
      </c>
      <c r="F2863" s="924" t="s">
        <v>953</v>
      </c>
      <c r="G2863" s="924" t="s">
        <v>858</v>
      </c>
      <c r="H2863" s="924" t="s">
        <v>836</v>
      </c>
      <c r="I2863" s="924" t="s">
        <v>837</v>
      </c>
      <c r="J2863" s="924" t="s">
        <v>859</v>
      </c>
      <c r="K2863" s="924" t="s">
        <v>920</v>
      </c>
      <c r="L2863" s="925">
        <v>18.5190452039242</v>
      </c>
      <c r="M2863" s="925">
        <v>2.38872664692025E-4</v>
      </c>
    </row>
    <row r="2864" spans="1:13" ht="11.25" customHeight="1" x14ac:dyDescent="0.2">
      <c r="A2864" s="924" t="s">
        <v>853</v>
      </c>
      <c r="B2864" s="924" t="s">
        <v>801</v>
      </c>
      <c r="C2864" s="924" t="s">
        <v>1189</v>
      </c>
      <c r="D2864" s="924" t="s">
        <v>1190</v>
      </c>
      <c r="E2864" s="924" t="s">
        <v>856</v>
      </c>
      <c r="F2864" s="924" t="s">
        <v>1002</v>
      </c>
      <c r="G2864" s="924" t="s">
        <v>858</v>
      </c>
      <c r="H2864" s="924" t="s">
        <v>836</v>
      </c>
      <c r="I2864" s="924" t="s">
        <v>837</v>
      </c>
      <c r="J2864" s="924" t="s">
        <v>859</v>
      </c>
      <c r="K2864" s="924" t="s">
        <v>922</v>
      </c>
      <c r="L2864" s="925">
        <v>147.28084218501999</v>
      </c>
      <c r="M2864" s="925">
        <v>1.6838672355277101E-3</v>
      </c>
    </row>
    <row r="2865" spans="1:13" ht="11.25" customHeight="1" x14ac:dyDescent="0.2">
      <c r="A2865" s="924" t="s">
        <v>853</v>
      </c>
      <c r="B2865" s="924" t="s">
        <v>801</v>
      </c>
      <c r="C2865" s="924" t="s">
        <v>1189</v>
      </c>
      <c r="D2865" s="924" t="s">
        <v>1190</v>
      </c>
      <c r="E2865" s="924" t="s">
        <v>856</v>
      </c>
      <c r="F2865" s="924" t="s">
        <v>1003</v>
      </c>
      <c r="G2865" s="924" t="s">
        <v>858</v>
      </c>
      <c r="H2865" s="924" t="s">
        <v>836</v>
      </c>
      <c r="I2865" s="924" t="s">
        <v>837</v>
      </c>
      <c r="J2865" s="924" t="s">
        <v>859</v>
      </c>
      <c r="K2865" s="924" t="s">
        <v>924</v>
      </c>
      <c r="L2865" s="925">
        <v>500.75656986236601</v>
      </c>
      <c r="M2865" s="925">
        <v>4.7761106314965201E-3</v>
      </c>
    </row>
    <row r="2866" spans="1:13" ht="11.25" customHeight="1" x14ac:dyDescent="0.2">
      <c r="A2866" s="924" t="s">
        <v>853</v>
      </c>
      <c r="B2866" s="924" t="s">
        <v>801</v>
      </c>
      <c r="C2866" s="924" t="s">
        <v>1189</v>
      </c>
      <c r="D2866" s="924" t="s">
        <v>1190</v>
      </c>
      <c r="E2866" s="924" t="s">
        <v>856</v>
      </c>
      <c r="F2866" s="924" t="s">
        <v>1004</v>
      </c>
      <c r="G2866" s="924" t="s">
        <v>858</v>
      </c>
      <c r="H2866" s="924" t="s">
        <v>836</v>
      </c>
      <c r="I2866" s="924" t="s">
        <v>837</v>
      </c>
      <c r="J2866" s="924" t="s">
        <v>859</v>
      </c>
      <c r="K2866" s="924" t="s">
        <v>926</v>
      </c>
      <c r="L2866" s="925">
        <v>303.47685217857401</v>
      </c>
      <c r="M2866" s="925">
        <v>1.23841971599177E-2</v>
      </c>
    </row>
    <row r="2867" spans="1:13" ht="11.25" customHeight="1" x14ac:dyDescent="0.2">
      <c r="A2867" s="924" t="s">
        <v>853</v>
      </c>
      <c r="B2867" s="924" t="s">
        <v>801</v>
      </c>
      <c r="C2867" s="924" t="s">
        <v>1189</v>
      </c>
      <c r="D2867" s="924" t="s">
        <v>1190</v>
      </c>
      <c r="E2867" s="924" t="s">
        <v>856</v>
      </c>
      <c r="F2867" s="924" t="s">
        <v>1005</v>
      </c>
      <c r="G2867" s="924" t="s">
        <v>858</v>
      </c>
      <c r="H2867" s="924" t="s">
        <v>836</v>
      </c>
      <c r="I2867" s="924" t="s">
        <v>837</v>
      </c>
      <c r="J2867" s="924" t="s">
        <v>859</v>
      </c>
      <c r="K2867" s="924" t="s">
        <v>1006</v>
      </c>
      <c r="L2867" s="925">
        <v>458.03501701354998</v>
      </c>
      <c r="M2867" s="925">
        <v>3.5477146154789798E-3</v>
      </c>
    </row>
    <row r="2868" spans="1:13" ht="11.25" customHeight="1" x14ac:dyDescent="0.2">
      <c r="A2868" s="924" t="s">
        <v>853</v>
      </c>
      <c r="B2868" s="924" t="s">
        <v>801</v>
      </c>
      <c r="C2868" s="924" t="s">
        <v>1189</v>
      </c>
      <c r="D2868" s="924" t="s">
        <v>1190</v>
      </c>
      <c r="E2868" s="924" t="s">
        <v>856</v>
      </c>
      <c r="F2868" s="924" t="s">
        <v>1007</v>
      </c>
      <c r="G2868" s="924" t="s">
        <v>858</v>
      </c>
      <c r="H2868" s="924" t="s">
        <v>836</v>
      </c>
      <c r="I2868" s="924" t="s">
        <v>837</v>
      </c>
      <c r="J2868" s="924" t="s">
        <v>859</v>
      </c>
      <c r="K2868" s="924" t="s">
        <v>928</v>
      </c>
      <c r="L2868" s="925">
        <v>210.87233591079701</v>
      </c>
      <c r="M2868" s="925">
        <v>9.1951862377754896E-3</v>
      </c>
    </row>
    <row r="2869" spans="1:13" ht="11.25" customHeight="1" x14ac:dyDescent="0.2">
      <c r="A2869" s="924" t="s">
        <v>853</v>
      </c>
      <c r="B2869" s="924" t="s">
        <v>801</v>
      </c>
      <c r="C2869" s="924" t="s">
        <v>1189</v>
      </c>
      <c r="D2869" s="924" t="s">
        <v>1190</v>
      </c>
      <c r="E2869" s="924" t="s">
        <v>856</v>
      </c>
      <c r="F2869" s="924" t="s">
        <v>1008</v>
      </c>
      <c r="G2869" s="924" t="s">
        <v>858</v>
      </c>
      <c r="H2869" s="924" t="s">
        <v>836</v>
      </c>
      <c r="I2869" s="924" t="s">
        <v>837</v>
      </c>
      <c r="J2869" s="924" t="s">
        <v>859</v>
      </c>
      <c r="K2869" s="924" t="s">
        <v>1009</v>
      </c>
      <c r="L2869" s="925">
        <v>49.158676862716703</v>
      </c>
      <c r="M2869" s="925">
        <v>4.0048061229924802E-4</v>
      </c>
    </row>
    <row r="2870" spans="1:13" ht="11.25" customHeight="1" x14ac:dyDescent="0.2">
      <c r="A2870" s="924" t="s">
        <v>853</v>
      </c>
      <c r="B2870" s="924" t="s">
        <v>801</v>
      </c>
      <c r="C2870" s="924" t="s">
        <v>1189</v>
      </c>
      <c r="D2870" s="924" t="s">
        <v>1190</v>
      </c>
      <c r="E2870" s="924" t="s">
        <v>856</v>
      </c>
      <c r="F2870" s="924" t="s">
        <v>1010</v>
      </c>
      <c r="G2870" s="924" t="s">
        <v>858</v>
      </c>
      <c r="H2870" s="924" t="s">
        <v>836</v>
      </c>
      <c r="I2870" s="924" t="s">
        <v>837</v>
      </c>
      <c r="J2870" s="924" t="s">
        <v>859</v>
      </c>
      <c r="K2870" s="924" t="s">
        <v>1011</v>
      </c>
      <c r="L2870" s="925">
        <v>0.64516996778547797</v>
      </c>
      <c r="M2870" s="925">
        <v>2.9687032704117699E-5</v>
      </c>
    </row>
    <row r="2871" spans="1:13" ht="11.25" customHeight="1" x14ac:dyDescent="0.2">
      <c r="A2871" s="924" t="s">
        <v>853</v>
      </c>
      <c r="B2871" s="924" t="s">
        <v>801</v>
      </c>
      <c r="C2871" s="924" t="s">
        <v>1189</v>
      </c>
      <c r="D2871" s="924" t="s">
        <v>1190</v>
      </c>
      <c r="E2871" s="924" t="s">
        <v>856</v>
      </c>
      <c r="F2871" s="924" t="s">
        <v>1012</v>
      </c>
      <c r="G2871" s="924" t="s">
        <v>858</v>
      </c>
      <c r="H2871" s="924" t="s">
        <v>836</v>
      </c>
      <c r="I2871" s="924" t="s">
        <v>837</v>
      </c>
      <c r="J2871" s="924" t="s">
        <v>859</v>
      </c>
      <c r="K2871" s="924" t="s">
        <v>891</v>
      </c>
      <c r="L2871" s="925">
        <v>47.281895518302903</v>
      </c>
      <c r="M2871" s="925">
        <v>6.26686129024279E-4</v>
      </c>
    </row>
    <row r="2872" spans="1:13" ht="11.25" customHeight="1" x14ac:dyDescent="0.2">
      <c r="A2872" s="924" t="s">
        <v>853</v>
      </c>
      <c r="B2872" s="924" t="s">
        <v>801</v>
      </c>
      <c r="C2872" s="924" t="s">
        <v>1189</v>
      </c>
      <c r="D2872" s="924" t="s">
        <v>1190</v>
      </c>
      <c r="E2872" s="924" t="s">
        <v>856</v>
      </c>
      <c r="F2872" s="924" t="s">
        <v>975</v>
      </c>
      <c r="G2872" s="924" t="s">
        <v>858</v>
      </c>
      <c r="H2872" s="924" t="s">
        <v>836</v>
      </c>
      <c r="I2872" s="924" t="s">
        <v>837</v>
      </c>
      <c r="J2872" s="924" t="s">
        <v>870</v>
      </c>
      <c r="K2872" s="924" t="s">
        <v>976</v>
      </c>
      <c r="L2872" s="925">
        <v>4854.1214485168503</v>
      </c>
      <c r="M2872" s="925">
        <v>7.2648983776844006E-2</v>
      </c>
    </row>
    <row r="2873" spans="1:13" ht="11.25" customHeight="1" x14ac:dyDescent="0.2">
      <c r="A2873" s="924" t="s">
        <v>853</v>
      </c>
      <c r="B2873" s="924" t="s">
        <v>801</v>
      </c>
      <c r="C2873" s="924" t="s">
        <v>1189</v>
      </c>
      <c r="D2873" s="924" t="s">
        <v>1190</v>
      </c>
      <c r="E2873" s="924" t="s">
        <v>856</v>
      </c>
      <c r="F2873" s="924" t="s">
        <v>1014</v>
      </c>
      <c r="G2873" s="924" t="s">
        <v>858</v>
      </c>
      <c r="H2873" s="924" t="s">
        <v>836</v>
      </c>
      <c r="I2873" s="924" t="s">
        <v>837</v>
      </c>
      <c r="J2873" s="924" t="s">
        <v>863</v>
      </c>
      <c r="K2873" s="924" t="s">
        <v>933</v>
      </c>
      <c r="L2873" s="925">
        <v>275.691352844238</v>
      </c>
      <c r="M2873" s="925">
        <v>1.9517696095761E-3</v>
      </c>
    </row>
    <row r="2874" spans="1:13" ht="11.25" customHeight="1" x14ac:dyDescent="0.2">
      <c r="A2874" s="924" t="s">
        <v>853</v>
      </c>
      <c r="B2874" s="924" t="s">
        <v>801</v>
      </c>
      <c r="C2874" s="924" t="s">
        <v>1189</v>
      </c>
      <c r="D2874" s="924" t="s">
        <v>1190</v>
      </c>
      <c r="E2874" s="924" t="s">
        <v>856</v>
      </c>
      <c r="F2874" s="924" t="s">
        <v>1035</v>
      </c>
      <c r="G2874" s="924" t="s">
        <v>858</v>
      </c>
      <c r="H2874" s="924" t="s">
        <v>836</v>
      </c>
      <c r="I2874" s="924" t="s">
        <v>837</v>
      </c>
      <c r="J2874" s="924" t="s">
        <v>870</v>
      </c>
      <c r="K2874" s="924" t="s">
        <v>1036</v>
      </c>
      <c r="L2874" s="925">
        <v>0.11682640109211199</v>
      </c>
      <c r="M2874" s="925">
        <v>1.43079247330695E-5</v>
      </c>
    </row>
    <row r="2875" spans="1:13" ht="11.25" customHeight="1" x14ac:dyDescent="0.2">
      <c r="A2875" s="924" t="s">
        <v>853</v>
      </c>
      <c r="B2875" s="924" t="s">
        <v>801</v>
      </c>
      <c r="C2875" s="924" t="s">
        <v>1189</v>
      </c>
      <c r="D2875" s="924" t="s">
        <v>1190</v>
      </c>
      <c r="E2875" s="924" t="s">
        <v>856</v>
      </c>
      <c r="F2875" s="924" t="s">
        <v>1017</v>
      </c>
      <c r="G2875" s="924" t="s">
        <v>858</v>
      </c>
      <c r="H2875" s="924" t="s">
        <v>836</v>
      </c>
      <c r="I2875" s="924" t="s">
        <v>837</v>
      </c>
      <c r="J2875" s="924" t="s">
        <v>863</v>
      </c>
      <c r="K2875" s="924" t="s">
        <v>864</v>
      </c>
      <c r="L2875" s="925">
        <v>122.13008725643201</v>
      </c>
      <c r="M2875" s="925">
        <v>1.65632722931264E-3</v>
      </c>
    </row>
    <row r="2876" spans="1:13" ht="11.25" customHeight="1" x14ac:dyDescent="0.2">
      <c r="A2876" s="924" t="s">
        <v>853</v>
      </c>
      <c r="B2876" s="924" t="s">
        <v>801</v>
      </c>
      <c r="C2876" s="924" t="s">
        <v>1189</v>
      </c>
      <c r="D2876" s="924" t="s">
        <v>1190</v>
      </c>
      <c r="E2876" s="924" t="s">
        <v>856</v>
      </c>
      <c r="F2876" s="924" t="s">
        <v>1001</v>
      </c>
      <c r="G2876" s="924" t="s">
        <v>858</v>
      </c>
      <c r="H2876" s="924" t="s">
        <v>836</v>
      </c>
      <c r="I2876" s="924" t="s">
        <v>837</v>
      </c>
      <c r="J2876" s="924" t="s">
        <v>863</v>
      </c>
      <c r="K2876" s="924" t="s">
        <v>915</v>
      </c>
      <c r="L2876" s="925">
        <v>4.7136854231357601</v>
      </c>
      <c r="M2876" s="925">
        <v>1.44023182993891E-4</v>
      </c>
    </row>
    <row r="2877" spans="1:13" ht="11.25" customHeight="1" x14ac:dyDescent="0.2">
      <c r="A2877" s="924" t="s">
        <v>853</v>
      </c>
      <c r="B2877" s="924" t="s">
        <v>801</v>
      </c>
      <c r="C2877" s="924" t="s">
        <v>1189</v>
      </c>
      <c r="D2877" s="924" t="s">
        <v>1190</v>
      </c>
      <c r="E2877" s="924" t="s">
        <v>856</v>
      </c>
      <c r="F2877" s="924" t="s">
        <v>1020</v>
      </c>
      <c r="G2877" s="924" t="s">
        <v>858</v>
      </c>
      <c r="H2877" s="924" t="s">
        <v>836</v>
      </c>
      <c r="I2877" s="924" t="s">
        <v>837</v>
      </c>
      <c r="J2877" s="924" t="s">
        <v>863</v>
      </c>
      <c r="K2877" s="924" t="s">
        <v>866</v>
      </c>
      <c r="L2877" s="925">
        <v>391.185187339783</v>
      </c>
      <c r="M2877" s="925">
        <v>9.4950672869344999E-3</v>
      </c>
    </row>
    <row r="2878" spans="1:13" ht="11.25" customHeight="1" x14ac:dyDescent="0.2">
      <c r="A2878" s="924" t="s">
        <v>853</v>
      </c>
      <c r="B2878" s="924" t="s">
        <v>801</v>
      </c>
      <c r="C2878" s="924" t="s">
        <v>1189</v>
      </c>
      <c r="D2878" s="924" t="s">
        <v>1190</v>
      </c>
      <c r="E2878" s="924" t="s">
        <v>856</v>
      </c>
      <c r="F2878" s="924" t="s">
        <v>1021</v>
      </c>
      <c r="G2878" s="924" t="s">
        <v>858</v>
      </c>
      <c r="H2878" s="924" t="s">
        <v>836</v>
      </c>
      <c r="I2878" s="924" t="s">
        <v>837</v>
      </c>
      <c r="J2878" s="924" t="s">
        <v>863</v>
      </c>
      <c r="K2878" s="924" t="s">
        <v>868</v>
      </c>
      <c r="L2878" s="925">
        <v>173.75441884994501</v>
      </c>
      <c r="M2878" s="925">
        <v>9.3396108114518505E-4</v>
      </c>
    </row>
    <row r="2879" spans="1:13" ht="11.25" customHeight="1" x14ac:dyDescent="0.2">
      <c r="A2879" s="924" t="s">
        <v>853</v>
      </c>
      <c r="B2879" s="924" t="s">
        <v>801</v>
      </c>
      <c r="C2879" s="924" t="s">
        <v>1189</v>
      </c>
      <c r="D2879" s="924" t="s">
        <v>1190</v>
      </c>
      <c r="E2879" s="924" t="s">
        <v>856</v>
      </c>
      <c r="F2879" s="924" t="s">
        <v>1022</v>
      </c>
      <c r="G2879" s="924" t="s">
        <v>858</v>
      </c>
      <c r="H2879" s="924" t="s">
        <v>836</v>
      </c>
      <c r="I2879" s="924" t="s">
        <v>837</v>
      </c>
      <c r="J2879" s="924" t="s">
        <v>940</v>
      </c>
      <c r="K2879" s="924" t="s">
        <v>1023</v>
      </c>
      <c r="L2879" s="925">
        <v>3.04905698430957E-2</v>
      </c>
      <c r="M2879" s="925">
        <v>1.3696081216062199E-6</v>
      </c>
    </row>
    <row r="2880" spans="1:13" ht="11.25" customHeight="1" x14ac:dyDescent="0.2">
      <c r="A2880" s="924" t="s">
        <v>853</v>
      </c>
      <c r="B2880" s="924" t="s">
        <v>801</v>
      </c>
      <c r="C2880" s="924" t="s">
        <v>1189</v>
      </c>
      <c r="D2880" s="924" t="s">
        <v>1190</v>
      </c>
      <c r="E2880" s="924" t="s">
        <v>856</v>
      </c>
      <c r="F2880" s="924" t="s">
        <v>1024</v>
      </c>
      <c r="G2880" s="924" t="s">
        <v>858</v>
      </c>
      <c r="H2880" s="924" t="s">
        <v>836</v>
      </c>
      <c r="I2880" s="924" t="s">
        <v>837</v>
      </c>
      <c r="J2880" s="924" t="s">
        <v>940</v>
      </c>
      <c r="K2880" s="924" t="s">
        <v>1025</v>
      </c>
      <c r="L2880" s="925">
        <v>8.0966097712516802</v>
      </c>
      <c r="M2880" s="925">
        <v>1.3318948570884001E-4</v>
      </c>
    </row>
    <row r="2881" spans="1:13" ht="11.25" customHeight="1" x14ac:dyDescent="0.2">
      <c r="A2881" s="924" t="s">
        <v>853</v>
      </c>
      <c r="B2881" s="924" t="s">
        <v>801</v>
      </c>
      <c r="C2881" s="924" t="s">
        <v>1189</v>
      </c>
      <c r="D2881" s="924" t="s">
        <v>1190</v>
      </c>
      <c r="E2881" s="924" t="s">
        <v>856</v>
      </c>
      <c r="F2881" s="924" t="s">
        <v>1026</v>
      </c>
      <c r="G2881" s="924" t="s">
        <v>858</v>
      </c>
      <c r="H2881" s="924" t="s">
        <v>836</v>
      </c>
      <c r="I2881" s="924" t="s">
        <v>837</v>
      </c>
      <c r="J2881" s="924" t="s">
        <v>940</v>
      </c>
      <c r="K2881" s="924" t="s">
        <v>1027</v>
      </c>
      <c r="L2881" s="925">
        <v>213.71338969469099</v>
      </c>
      <c r="M2881" s="925">
        <v>9.02002170857941E-3</v>
      </c>
    </row>
    <row r="2882" spans="1:13" ht="11.25" customHeight="1" x14ac:dyDescent="0.2">
      <c r="A2882" s="924" t="s">
        <v>853</v>
      </c>
      <c r="B2882" s="924" t="s">
        <v>801</v>
      </c>
      <c r="C2882" s="924" t="s">
        <v>1189</v>
      </c>
      <c r="D2882" s="924" t="s">
        <v>1190</v>
      </c>
      <c r="E2882" s="924" t="s">
        <v>856</v>
      </c>
      <c r="F2882" s="924" t="s">
        <v>1028</v>
      </c>
      <c r="G2882" s="924" t="s">
        <v>858</v>
      </c>
      <c r="H2882" s="924" t="s">
        <v>836</v>
      </c>
      <c r="I2882" s="924" t="s">
        <v>837</v>
      </c>
      <c r="J2882" s="924" t="s">
        <v>940</v>
      </c>
      <c r="K2882" s="924" t="s">
        <v>1029</v>
      </c>
      <c r="L2882" s="925">
        <v>44.110467761754997</v>
      </c>
      <c r="M2882" s="925">
        <v>2.39273345269986E-3</v>
      </c>
    </row>
    <row r="2883" spans="1:13" ht="11.25" customHeight="1" x14ac:dyDescent="0.2">
      <c r="A2883" s="924" t="s">
        <v>853</v>
      </c>
      <c r="B2883" s="924" t="s">
        <v>801</v>
      </c>
      <c r="C2883" s="924" t="s">
        <v>1189</v>
      </c>
      <c r="D2883" s="924" t="s">
        <v>1190</v>
      </c>
      <c r="E2883" s="924" t="s">
        <v>856</v>
      </c>
      <c r="F2883" s="924" t="s">
        <v>1030</v>
      </c>
      <c r="G2883" s="924" t="s">
        <v>858</v>
      </c>
      <c r="H2883" s="924" t="s">
        <v>836</v>
      </c>
      <c r="I2883" s="924" t="s">
        <v>837</v>
      </c>
      <c r="J2883" s="924" t="s">
        <v>940</v>
      </c>
      <c r="K2883" s="924" t="s">
        <v>941</v>
      </c>
      <c r="L2883" s="925">
        <v>291.33822488784801</v>
      </c>
      <c r="M2883" s="925">
        <v>5.4726614058040503E-3</v>
      </c>
    </row>
    <row r="2884" spans="1:13" ht="11.25" customHeight="1" x14ac:dyDescent="0.2">
      <c r="A2884" s="924" t="s">
        <v>853</v>
      </c>
      <c r="B2884" s="924" t="s">
        <v>801</v>
      </c>
      <c r="C2884" s="924" t="s">
        <v>1189</v>
      </c>
      <c r="D2884" s="924" t="s">
        <v>1190</v>
      </c>
      <c r="E2884" s="924" t="s">
        <v>856</v>
      </c>
      <c r="F2884" s="924" t="s">
        <v>1031</v>
      </c>
      <c r="G2884" s="924" t="s">
        <v>858</v>
      </c>
      <c r="H2884" s="924" t="s">
        <v>836</v>
      </c>
      <c r="I2884" s="924" t="s">
        <v>837</v>
      </c>
      <c r="J2884" s="924" t="s">
        <v>940</v>
      </c>
      <c r="K2884" s="924" t="s">
        <v>1032</v>
      </c>
      <c r="L2884" s="925">
        <v>34.322146385908098</v>
      </c>
      <c r="M2884" s="925">
        <v>7.1613474114506903E-4</v>
      </c>
    </row>
    <row r="2885" spans="1:13" ht="11.25" customHeight="1" x14ac:dyDescent="0.2">
      <c r="A2885" s="924" t="s">
        <v>853</v>
      </c>
      <c r="B2885" s="924" t="s">
        <v>801</v>
      </c>
      <c r="C2885" s="924" t="s">
        <v>1189</v>
      </c>
      <c r="D2885" s="924" t="s">
        <v>1190</v>
      </c>
      <c r="E2885" s="924" t="s">
        <v>856</v>
      </c>
      <c r="F2885" s="924" t="s">
        <v>908</v>
      </c>
      <c r="G2885" s="924" t="s">
        <v>858</v>
      </c>
      <c r="H2885" s="924" t="s">
        <v>836</v>
      </c>
      <c r="I2885" s="924" t="s">
        <v>837</v>
      </c>
      <c r="J2885" s="924" t="s">
        <v>859</v>
      </c>
      <c r="K2885" s="924" t="s">
        <v>909</v>
      </c>
      <c r="L2885" s="925">
        <v>3.8270535208284899</v>
      </c>
      <c r="M2885" s="925">
        <v>8.0101644452490502E-5</v>
      </c>
    </row>
    <row r="2886" spans="1:13" ht="11.25" customHeight="1" x14ac:dyDescent="0.2">
      <c r="A2886" s="924" t="s">
        <v>853</v>
      </c>
      <c r="B2886" s="924" t="s">
        <v>801</v>
      </c>
      <c r="C2886" s="924" t="s">
        <v>1189</v>
      </c>
      <c r="D2886" s="924" t="s">
        <v>1190</v>
      </c>
      <c r="E2886" s="924" t="s">
        <v>856</v>
      </c>
      <c r="F2886" s="924" t="s">
        <v>1013</v>
      </c>
      <c r="G2886" s="924" t="s">
        <v>858</v>
      </c>
      <c r="H2886" s="924" t="s">
        <v>836</v>
      </c>
      <c r="I2886" s="924" t="s">
        <v>837</v>
      </c>
      <c r="J2886" s="924" t="s">
        <v>863</v>
      </c>
      <c r="K2886" s="924" t="s">
        <v>931</v>
      </c>
      <c r="L2886" s="925">
        <v>19.0300526022911</v>
      </c>
      <c r="M2886" s="925">
        <v>6.9561706108345301E-4</v>
      </c>
    </row>
    <row r="2887" spans="1:13" ht="11.25" customHeight="1" x14ac:dyDescent="0.2">
      <c r="A2887" s="924" t="s">
        <v>853</v>
      </c>
      <c r="B2887" s="924" t="s">
        <v>801</v>
      </c>
      <c r="C2887" s="924" t="s">
        <v>1189</v>
      </c>
      <c r="D2887" s="924" t="s">
        <v>1190</v>
      </c>
      <c r="E2887" s="924" t="s">
        <v>856</v>
      </c>
      <c r="F2887" s="924" t="s">
        <v>1058</v>
      </c>
      <c r="G2887" s="924" t="s">
        <v>981</v>
      </c>
      <c r="H2887" s="924" t="s">
        <v>835</v>
      </c>
      <c r="I2887" s="924" t="s">
        <v>1040</v>
      </c>
      <c r="J2887" s="924" t="s">
        <v>859</v>
      </c>
      <c r="K2887" s="924" t="s">
        <v>905</v>
      </c>
      <c r="L2887" s="925">
        <v>2.81051110848784</v>
      </c>
      <c r="M2887" s="925">
        <v>2.22547889848101E-3</v>
      </c>
    </row>
    <row r="2888" spans="1:13" ht="11.25" customHeight="1" x14ac:dyDescent="0.2">
      <c r="A2888" s="924" t="s">
        <v>853</v>
      </c>
      <c r="B2888" s="924" t="s">
        <v>801</v>
      </c>
      <c r="C2888" s="924" t="s">
        <v>1189</v>
      </c>
      <c r="D2888" s="924" t="s">
        <v>1190</v>
      </c>
      <c r="E2888" s="924" t="s">
        <v>856</v>
      </c>
      <c r="F2888" s="924" t="s">
        <v>1138</v>
      </c>
      <c r="G2888" s="924" t="s">
        <v>981</v>
      </c>
      <c r="H2888" s="924" t="s">
        <v>835</v>
      </c>
      <c r="I2888" s="924" t="s">
        <v>1040</v>
      </c>
      <c r="J2888" s="924" t="s">
        <v>863</v>
      </c>
      <c r="K2888" s="924" t="s">
        <v>931</v>
      </c>
      <c r="L2888" s="925">
        <v>21.1200940907001</v>
      </c>
      <c r="M2888" s="925">
        <v>8.1525163886908593E-3</v>
      </c>
    </row>
    <row r="2889" spans="1:13" ht="11.25" customHeight="1" x14ac:dyDescent="0.2">
      <c r="A2889" s="924" t="s">
        <v>853</v>
      </c>
      <c r="B2889" s="924" t="s">
        <v>801</v>
      </c>
      <c r="C2889" s="924" t="s">
        <v>1189</v>
      </c>
      <c r="D2889" s="924" t="s">
        <v>1190</v>
      </c>
      <c r="E2889" s="924" t="s">
        <v>856</v>
      </c>
      <c r="F2889" s="924" t="s">
        <v>1044</v>
      </c>
      <c r="G2889" s="924" t="s">
        <v>981</v>
      </c>
      <c r="H2889" s="924" t="s">
        <v>835</v>
      </c>
      <c r="I2889" s="924" t="s">
        <v>1040</v>
      </c>
      <c r="J2889" s="924" t="s">
        <v>884</v>
      </c>
      <c r="K2889" s="924" t="s">
        <v>999</v>
      </c>
      <c r="L2889" s="925">
        <v>86.059841752052293</v>
      </c>
      <c r="M2889" s="925">
        <v>0.118521550751211</v>
      </c>
    </row>
    <row r="2890" spans="1:13" ht="11.25" customHeight="1" x14ac:dyDescent="0.2">
      <c r="A2890" s="924" t="s">
        <v>853</v>
      </c>
      <c r="B2890" s="924" t="s">
        <v>801</v>
      </c>
      <c r="C2890" s="924" t="s">
        <v>1189</v>
      </c>
      <c r="D2890" s="924" t="s">
        <v>1190</v>
      </c>
      <c r="E2890" s="924" t="s">
        <v>856</v>
      </c>
      <c r="F2890" s="924" t="s">
        <v>1047</v>
      </c>
      <c r="G2890" s="924" t="s">
        <v>981</v>
      </c>
      <c r="H2890" s="924" t="s">
        <v>835</v>
      </c>
      <c r="I2890" s="924" t="s">
        <v>1040</v>
      </c>
      <c r="J2890" s="924" t="s">
        <v>884</v>
      </c>
      <c r="K2890" s="924" t="s">
        <v>1048</v>
      </c>
      <c r="L2890" s="925">
        <v>93.241555929184003</v>
      </c>
      <c r="M2890" s="925">
        <v>7.0116764050908401E-2</v>
      </c>
    </row>
    <row r="2891" spans="1:13" ht="11.25" customHeight="1" x14ac:dyDescent="0.2">
      <c r="A2891" s="924" t="s">
        <v>853</v>
      </c>
      <c r="B2891" s="924" t="s">
        <v>801</v>
      </c>
      <c r="C2891" s="924" t="s">
        <v>1189</v>
      </c>
      <c r="D2891" s="924" t="s">
        <v>1190</v>
      </c>
      <c r="E2891" s="924" t="s">
        <v>856</v>
      </c>
      <c r="F2891" s="924" t="s">
        <v>1049</v>
      </c>
      <c r="G2891" s="924" t="s">
        <v>981</v>
      </c>
      <c r="H2891" s="924" t="s">
        <v>835</v>
      </c>
      <c r="I2891" s="924" t="s">
        <v>1040</v>
      </c>
      <c r="J2891" s="924" t="s">
        <v>884</v>
      </c>
      <c r="K2891" s="924" t="s">
        <v>885</v>
      </c>
      <c r="L2891" s="925">
        <v>107.823253512383</v>
      </c>
      <c r="M2891" s="925">
        <v>0.10250206770433599</v>
      </c>
    </row>
    <row r="2892" spans="1:13" ht="11.25" customHeight="1" x14ac:dyDescent="0.2">
      <c r="A2892" s="924" t="s">
        <v>853</v>
      </c>
      <c r="B2892" s="924" t="s">
        <v>801</v>
      </c>
      <c r="C2892" s="924" t="s">
        <v>1189</v>
      </c>
      <c r="D2892" s="924" t="s">
        <v>1190</v>
      </c>
      <c r="E2892" s="924" t="s">
        <v>856</v>
      </c>
      <c r="F2892" s="924" t="s">
        <v>1050</v>
      </c>
      <c r="G2892" s="924" t="s">
        <v>981</v>
      </c>
      <c r="H2892" s="924" t="s">
        <v>835</v>
      </c>
      <c r="I2892" s="924" t="s">
        <v>1040</v>
      </c>
      <c r="J2892" s="924" t="s">
        <v>859</v>
      </c>
      <c r="K2892" s="924" t="s">
        <v>913</v>
      </c>
      <c r="L2892" s="925">
        <v>2.5772258192300801</v>
      </c>
      <c r="M2892" s="925">
        <v>1.52695951965143E-3</v>
      </c>
    </row>
    <row r="2893" spans="1:13" ht="11.25" customHeight="1" x14ac:dyDescent="0.2">
      <c r="A2893" s="924" t="s">
        <v>853</v>
      </c>
      <c r="B2893" s="924" t="s">
        <v>801</v>
      </c>
      <c r="C2893" s="924" t="s">
        <v>1189</v>
      </c>
      <c r="D2893" s="924" t="s">
        <v>1190</v>
      </c>
      <c r="E2893" s="924" t="s">
        <v>856</v>
      </c>
      <c r="F2893" s="924" t="s">
        <v>1051</v>
      </c>
      <c r="G2893" s="924" t="s">
        <v>981</v>
      </c>
      <c r="H2893" s="924" t="s">
        <v>835</v>
      </c>
      <c r="I2893" s="924" t="s">
        <v>1040</v>
      </c>
      <c r="J2893" s="924" t="s">
        <v>859</v>
      </c>
      <c r="K2893" s="924" t="s">
        <v>889</v>
      </c>
      <c r="L2893" s="925">
        <v>1.9285868474980799E-2</v>
      </c>
      <c r="M2893" s="925">
        <v>1.25430719748465E-5</v>
      </c>
    </row>
    <row r="2894" spans="1:13" ht="11.25" customHeight="1" x14ac:dyDescent="0.2">
      <c r="A2894" s="924" t="s">
        <v>853</v>
      </c>
      <c r="B2894" s="924" t="s">
        <v>801</v>
      </c>
      <c r="C2894" s="924" t="s">
        <v>1189</v>
      </c>
      <c r="D2894" s="924" t="s">
        <v>1190</v>
      </c>
      <c r="E2894" s="924" t="s">
        <v>856</v>
      </c>
      <c r="F2894" s="924" t="s">
        <v>1052</v>
      </c>
      <c r="G2894" s="924" t="s">
        <v>981</v>
      </c>
      <c r="H2894" s="924" t="s">
        <v>835</v>
      </c>
      <c r="I2894" s="924" t="s">
        <v>1040</v>
      </c>
      <c r="J2894" s="924" t="s">
        <v>859</v>
      </c>
      <c r="K2894" s="924" t="s">
        <v>860</v>
      </c>
      <c r="L2894" s="925">
        <v>4.8542980924248704</v>
      </c>
      <c r="M2894" s="925">
        <v>3.4263817433384199E-3</v>
      </c>
    </row>
    <row r="2895" spans="1:13" ht="11.25" customHeight="1" x14ac:dyDescent="0.2">
      <c r="A2895" s="924" t="s">
        <v>853</v>
      </c>
      <c r="B2895" s="924" t="s">
        <v>801</v>
      </c>
      <c r="C2895" s="924" t="s">
        <v>1189</v>
      </c>
      <c r="D2895" s="924" t="s">
        <v>1190</v>
      </c>
      <c r="E2895" s="924" t="s">
        <v>856</v>
      </c>
      <c r="F2895" s="924" t="s">
        <v>1053</v>
      </c>
      <c r="G2895" s="924" t="s">
        <v>981</v>
      </c>
      <c r="H2895" s="924" t="s">
        <v>835</v>
      </c>
      <c r="I2895" s="924" t="s">
        <v>1040</v>
      </c>
      <c r="J2895" s="924" t="s">
        <v>859</v>
      </c>
      <c r="K2895" s="924" t="s">
        <v>893</v>
      </c>
      <c r="L2895" s="925">
        <v>4.56955135986209</v>
      </c>
      <c r="M2895" s="925">
        <v>2.78229171817657E-3</v>
      </c>
    </row>
    <row r="2896" spans="1:13" ht="11.25" customHeight="1" x14ac:dyDescent="0.2">
      <c r="A2896" s="924" t="s">
        <v>853</v>
      </c>
      <c r="B2896" s="924" t="s">
        <v>801</v>
      </c>
      <c r="C2896" s="924" t="s">
        <v>1189</v>
      </c>
      <c r="D2896" s="924" t="s">
        <v>1190</v>
      </c>
      <c r="E2896" s="924" t="s">
        <v>856</v>
      </c>
      <c r="F2896" s="924" t="s">
        <v>1068</v>
      </c>
      <c r="G2896" s="924" t="s">
        <v>981</v>
      </c>
      <c r="H2896" s="924" t="s">
        <v>835</v>
      </c>
      <c r="I2896" s="924" t="s">
        <v>1040</v>
      </c>
      <c r="J2896" s="924" t="s">
        <v>859</v>
      </c>
      <c r="K2896" s="924" t="s">
        <v>897</v>
      </c>
      <c r="L2896" s="925">
        <v>9.1107731834053993</v>
      </c>
      <c r="M2896" s="925">
        <v>6.0867135023556802E-3</v>
      </c>
    </row>
    <row r="2897" spans="1:13" ht="11.25" customHeight="1" x14ac:dyDescent="0.2">
      <c r="A2897" s="924" t="s">
        <v>853</v>
      </c>
      <c r="B2897" s="924" t="s">
        <v>801</v>
      </c>
      <c r="C2897" s="924" t="s">
        <v>1189</v>
      </c>
      <c r="D2897" s="924" t="s">
        <v>1190</v>
      </c>
      <c r="E2897" s="924" t="s">
        <v>856</v>
      </c>
      <c r="F2897" s="924" t="s">
        <v>1055</v>
      </c>
      <c r="G2897" s="924" t="s">
        <v>981</v>
      </c>
      <c r="H2897" s="924" t="s">
        <v>835</v>
      </c>
      <c r="I2897" s="924" t="s">
        <v>1040</v>
      </c>
      <c r="J2897" s="924" t="s">
        <v>859</v>
      </c>
      <c r="K2897" s="924" t="s">
        <v>899</v>
      </c>
      <c r="L2897" s="925">
        <v>3.8400968872010699</v>
      </c>
      <c r="M2897" s="925">
        <v>2.7048874744739501E-3</v>
      </c>
    </row>
    <row r="2898" spans="1:13" ht="11.25" customHeight="1" x14ac:dyDescent="0.2">
      <c r="A2898" s="924" t="s">
        <v>853</v>
      </c>
      <c r="B2898" s="924" t="s">
        <v>801</v>
      </c>
      <c r="C2898" s="924" t="s">
        <v>1189</v>
      </c>
      <c r="D2898" s="924" t="s">
        <v>1190</v>
      </c>
      <c r="E2898" s="924" t="s">
        <v>856</v>
      </c>
      <c r="F2898" s="924" t="s">
        <v>1056</v>
      </c>
      <c r="G2898" s="924" t="s">
        <v>981</v>
      </c>
      <c r="H2898" s="924" t="s">
        <v>835</v>
      </c>
      <c r="I2898" s="924" t="s">
        <v>998</v>
      </c>
      <c r="J2898" s="924" t="s">
        <v>875</v>
      </c>
      <c r="K2898" s="924" t="s">
        <v>878</v>
      </c>
      <c r="L2898" s="925">
        <v>9.5368846654892003</v>
      </c>
      <c r="M2898" s="925">
        <v>1.83933374064509E-2</v>
      </c>
    </row>
    <row r="2899" spans="1:13" ht="11.25" customHeight="1" x14ac:dyDescent="0.2">
      <c r="A2899" s="924" t="s">
        <v>853</v>
      </c>
      <c r="B2899" s="924" t="s">
        <v>801</v>
      </c>
      <c r="C2899" s="924" t="s">
        <v>1189</v>
      </c>
      <c r="D2899" s="924" t="s">
        <v>1190</v>
      </c>
      <c r="E2899" s="924" t="s">
        <v>856</v>
      </c>
      <c r="F2899" s="924" t="s">
        <v>1057</v>
      </c>
      <c r="G2899" s="924" t="s">
        <v>981</v>
      </c>
      <c r="H2899" s="924" t="s">
        <v>835</v>
      </c>
      <c r="I2899" s="924" t="s">
        <v>1040</v>
      </c>
      <c r="J2899" s="924" t="s">
        <v>859</v>
      </c>
      <c r="K2899" s="924" t="s">
        <v>903</v>
      </c>
      <c r="L2899" s="925">
        <v>8.0143284425139392</v>
      </c>
      <c r="M2899" s="925">
        <v>4.9463693278255496E-3</v>
      </c>
    </row>
    <row r="2900" spans="1:13" ht="11.25" customHeight="1" x14ac:dyDescent="0.2">
      <c r="A2900" s="924" t="s">
        <v>853</v>
      </c>
      <c r="B2900" s="924" t="s">
        <v>801</v>
      </c>
      <c r="C2900" s="924" t="s">
        <v>1189</v>
      </c>
      <c r="D2900" s="924" t="s">
        <v>1190</v>
      </c>
      <c r="E2900" s="924" t="s">
        <v>856</v>
      </c>
      <c r="F2900" s="924" t="s">
        <v>1101</v>
      </c>
      <c r="G2900" s="924" t="s">
        <v>981</v>
      </c>
      <c r="H2900" s="924" t="s">
        <v>835</v>
      </c>
      <c r="I2900" s="924" t="s">
        <v>998</v>
      </c>
      <c r="J2900" s="924" t="s">
        <v>870</v>
      </c>
      <c r="K2900" s="924" t="s">
        <v>961</v>
      </c>
      <c r="L2900" s="925">
        <v>0.62020087940618396</v>
      </c>
      <c r="M2900" s="925">
        <v>1.02114562696443E-3</v>
      </c>
    </row>
    <row r="2901" spans="1:13" ht="11.25" customHeight="1" x14ac:dyDescent="0.2">
      <c r="A2901" s="924" t="s">
        <v>853</v>
      </c>
      <c r="B2901" s="924" t="s">
        <v>801</v>
      </c>
      <c r="C2901" s="924" t="s">
        <v>1189</v>
      </c>
      <c r="D2901" s="924" t="s">
        <v>1190</v>
      </c>
      <c r="E2901" s="924" t="s">
        <v>856</v>
      </c>
      <c r="F2901" s="924" t="s">
        <v>1059</v>
      </c>
      <c r="G2901" s="924" t="s">
        <v>981</v>
      </c>
      <c r="H2901" s="924" t="s">
        <v>835</v>
      </c>
      <c r="I2901" s="924" t="s">
        <v>1040</v>
      </c>
      <c r="J2901" s="924" t="s">
        <v>859</v>
      </c>
      <c r="K2901" s="924" t="s">
        <v>909</v>
      </c>
      <c r="L2901" s="925">
        <v>16.7495208084583</v>
      </c>
      <c r="M2901" s="925">
        <v>1.15827043773606E-2</v>
      </c>
    </row>
    <row r="2902" spans="1:13" ht="11.25" customHeight="1" x14ac:dyDescent="0.2">
      <c r="A2902" s="924" t="s">
        <v>853</v>
      </c>
      <c r="B2902" s="924" t="s">
        <v>801</v>
      </c>
      <c r="C2902" s="924" t="s">
        <v>1189</v>
      </c>
      <c r="D2902" s="924" t="s">
        <v>1190</v>
      </c>
      <c r="E2902" s="924" t="s">
        <v>856</v>
      </c>
      <c r="F2902" s="924" t="s">
        <v>1060</v>
      </c>
      <c r="G2902" s="924" t="s">
        <v>981</v>
      </c>
      <c r="H2902" s="924" t="s">
        <v>835</v>
      </c>
      <c r="I2902" s="924" t="s">
        <v>1040</v>
      </c>
      <c r="J2902" s="924" t="s">
        <v>859</v>
      </c>
      <c r="K2902" s="924" t="s">
        <v>973</v>
      </c>
      <c r="L2902" s="925">
        <v>8.0340105891227704</v>
      </c>
      <c r="M2902" s="925">
        <v>5.4689512911494402E-3</v>
      </c>
    </row>
    <row r="2903" spans="1:13" ht="11.25" customHeight="1" x14ac:dyDescent="0.2">
      <c r="A2903" s="924" t="s">
        <v>853</v>
      </c>
      <c r="B2903" s="924" t="s">
        <v>801</v>
      </c>
      <c r="C2903" s="924" t="s">
        <v>1189</v>
      </c>
      <c r="D2903" s="924" t="s">
        <v>1190</v>
      </c>
      <c r="E2903" s="924" t="s">
        <v>856</v>
      </c>
      <c r="F2903" s="924" t="s">
        <v>1061</v>
      </c>
      <c r="G2903" s="924" t="s">
        <v>981</v>
      </c>
      <c r="H2903" s="924" t="s">
        <v>835</v>
      </c>
      <c r="I2903" s="924" t="s">
        <v>1040</v>
      </c>
      <c r="J2903" s="924" t="s">
        <v>859</v>
      </c>
      <c r="K2903" s="924" t="s">
        <v>918</v>
      </c>
      <c r="L2903" s="925">
        <v>0.62233793782070301</v>
      </c>
      <c r="M2903" s="925">
        <v>2.7421469650335E-4</v>
      </c>
    </row>
    <row r="2904" spans="1:13" ht="11.25" customHeight="1" x14ac:dyDescent="0.2">
      <c r="A2904" s="924" t="s">
        <v>853</v>
      </c>
      <c r="B2904" s="924" t="s">
        <v>801</v>
      </c>
      <c r="C2904" s="924" t="s">
        <v>1189</v>
      </c>
      <c r="D2904" s="924" t="s">
        <v>1190</v>
      </c>
      <c r="E2904" s="924" t="s">
        <v>856</v>
      </c>
      <c r="F2904" s="924" t="s">
        <v>1062</v>
      </c>
      <c r="G2904" s="924" t="s">
        <v>981</v>
      </c>
      <c r="H2904" s="924" t="s">
        <v>835</v>
      </c>
      <c r="I2904" s="924" t="s">
        <v>1040</v>
      </c>
      <c r="J2904" s="924" t="s">
        <v>859</v>
      </c>
      <c r="K2904" s="924" t="s">
        <v>920</v>
      </c>
      <c r="L2904" s="925">
        <v>1.0843178397044499</v>
      </c>
      <c r="M2904" s="925">
        <v>7.3452416167896196E-4</v>
      </c>
    </row>
    <row r="2905" spans="1:13" ht="11.25" customHeight="1" x14ac:dyDescent="0.2">
      <c r="A2905" s="924" t="s">
        <v>853</v>
      </c>
      <c r="B2905" s="924" t="s">
        <v>801</v>
      </c>
      <c r="C2905" s="924" t="s">
        <v>1189</v>
      </c>
      <c r="D2905" s="924" t="s">
        <v>1190</v>
      </c>
      <c r="E2905" s="924" t="s">
        <v>856</v>
      </c>
      <c r="F2905" s="924" t="s">
        <v>1063</v>
      </c>
      <c r="G2905" s="924" t="s">
        <v>981</v>
      </c>
      <c r="H2905" s="924" t="s">
        <v>835</v>
      </c>
      <c r="I2905" s="924" t="s">
        <v>1040</v>
      </c>
      <c r="J2905" s="924" t="s">
        <v>859</v>
      </c>
      <c r="K2905" s="924" t="s">
        <v>922</v>
      </c>
      <c r="L2905" s="925">
        <v>0.95292333792895101</v>
      </c>
      <c r="M2905" s="925">
        <v>1.72449008601916E-4</v>
      </c>
    </row>
    <row r="2906" spans="1:13" ht="11.25" customHeight="1" x14ac:dyDescent="0.2">
      <c r="A2906" s="924" t="s">
        <v>853</v>
      </c>
      <c r="B2906" s="924" t="s">
        <v>801</v>
      </c>
      <c r="C2906" s="924" t="s">
        <v>1189</v>
      </c>
      <c r="D2906" s="924" t="s">
        <v>1190</v>
      </c>
      <c r="E2906" s="924" t="s">
        <v>856</v>
      </c>
      <c r="F2906" s="924" t="s">
        <v>1064</v>
      </c>
      <c r="G2906" s="924" t="s">
        <v>981</v>
      </c>
      <c r="H2906" s="924" t="s">
        <v>835</v>
      </c>
      <c r="I2906" s="924" t="s">
        <v>1040</v>
      </c>
      <c r="J2906" s="924" t="s">
        <v>859</v>
      </c>
      <c r="K2906" s="924" t="s">
        <v>924</v>
      </c>
      <c r="L2906" s="925">
        <v>2.2951714992523198</v>
      </c>
      <c r="M2906" s="925">
        <v>1.71678746482939E-4</v>
      </c>
    </row>
    <row r="2907" spans="1:13" ht="11.25" customHeight="1" x14ac:dyDescent="0.2">
      <c r="A2907" s="924" t="s">
        <v>853</v>
      </c>
      <c r="B2907" s="924" t="s">
        <v>801</v>
      </c>
      <c r="C2907" s="924" t="s">
        <v>1189</v>
      </c>
      <c r="D2907" s="924" t="s">
        <v>1190</v>
      </c>
      <c r="E2907" s="924" t="s">
        <v>856</v>
      </c>
      <c r="F2907" s="924" t="s">
        <v>1065</v>
      </c>
      <c r="G2907" s="924" t="s">
        <v>981</v>
      </c>
      <c r="H2907" s="924" t="s">
        <v>835</v>
      </c>
      <c r="I2907" s="924" t="s">
        <v>1040</v>
      </c>
      <c r="J2907" s="924" t="s">
        <v>859</v>
      </c>
      <c r="K2907" s="924" t="s">
        <v>926</v>
      </c>
      <c r="L2907" s="925">
        <v>5.4980730786919603</v>
      </c>
      <c r="M2907" s="925">
        <v>3.6539533066388698E-3</v>
      </c>
    </row>
    <row r="2908" spans="1:13" ht="11.25" customHeight="1" x14ac:dyDescent="0.2">
      <c r="A2908" s="924" t="s">
        <v>853</v>
      </c>
      <c r="B2908" s="924" t="s">
        <v>801</v>
      </c>
      <c r="C2908" s="924" t="s">
        <v>1189</v>
      </c>
      <c r="D2908" s="924" t="s">
        <v>1190</v>
      </c>
      <c r="E2908" s="924" t="s">
        <v>856</v>
      </c>
      <c r="F2908" s="924" t="s">
        <v>1066</v>
      </c>
      <c r="G2908" s="924" t="s">
        <v>981</v>
      </c>
      <c r="H2908" s="924" t="s">
        <v>835</v>
      </c>
      <c r="I2908" s="924" t="s">
        <v>1040</v>
      </c>
      <c r="J2908" s="924" t="s">
        <v>859</v>
      </c>
      <c r="K2908" s="924" t="s">
        <v>928</v>
      </c>
      <c r="L2908" s="925">
        <v>3.7321074865758401</v>
      </c>
      <c r="M2908" s="925">
        <v>1.88818782976341E-3</v>
      </c>
    </row>
    <row r="2909" spans="1:13" ht="11.25" customHeight="1" x14ac:dyDescent="0.2">
      <c r="A2909" s="924" t="s">
        <v>853</v>
      </c>
      <c r="B2909" s="924" t="s">
        <v>801</v>
      </c>
      <c r="C2909" s="924" t="s">
        <v>1189</v>
      </c>
      <c r="D2909" s="924" t="s">
        <v>1190</v>
      </c>
      <c r="E2909" s="924" t="s">
        <v>856</v>
      </c>
      <c r="F2909" s="924" t="s">
        <v>1067</v>
      </c>
      <c r="G2909" s="924" t="s">
        <v>981</v>
      </c>
      <c r="H2909" s="924" t="s">
        <v>835</v>
      </c>
      <c r="I2909" s="924" t="s">
        <v>1040</v>
      </c>
      <c r="J2909" s="924" t="s">
        <v>859</v>
      </c>
      <c r="K2909" s="924" t="s">
        <v>1011</v>
      </c>
      <c r="L2909" s="925">
        <v>1.24062888324261</v>
      </c>
      <c r="M2909" s="925">
        <v>8.8072412060569095E-4</v>
      </c>
    </row>
    <row r="2910" spans="1:13" ht="11.25" customHeight="1" x14ac:dyDescent="0.2">
      <c r="A2910" s="924" t="s">
        <v>853</v>
      </c>
      <c r="B2910" s="924" t="s">
        <v>801</v>
      </c>
      <c r="C2910" s="924" t="s">
        <v>1189</v>
      </c>
      <c r="D2910" s="924" t="s">
        <v>1190</v>
      </c>
      <c r="E2910" s="924" t="s">
        <v>856</v>
      </c>
      <c r="F2910" s="924" t="s">
        <v>1041</v>
      </c>
      <c r="G2910" s="924" t="s">
        <v>981</v>
      </c>
      <c r="H2910" s="924" t="s">
        <v>835</v>
      </c>
      <c r="I2910" s="924" t="s">
        <v>1040</v>
      </c>
      <c r="J2910" s="924" t="s">
        <v>859</v>
      </c>
      <c r="K2910" s="924" t="s">
        <v>891</v>
      </c>
      <c r="L2910" s="925">
        <v>0.85778575297445103</v>
      </c>
      <c r="M2910" s="925">
        <v>4.2984979597804302E-4</v>
      </c>
    </row>
    <row r="2911" spans="1:13" ht="11.25" customHeight="1" x14ac:dyDescent="0.2">
      <c r="A2911" s="924" t="s">
        <v>853</v>
      </c>
      <c r="B2911" s="924" t="s">
        <v>801</v>
      </c>
      <c r="C2911" s="924" t="s">
        <v>1189</v>
      </c>
      <c r="D2911" s="924" t="s">
        <v>1190</v>
      </c>
      <c r="E2911" s="924" t="s">
        <v>856</v>
      </c>
      <c r="F2911" s="924" t="s">
        <v>1039</v>
      </c>
      <c r="G2911" s="924" t="s">
        <v>981</v>
      </c>
      <c r="H2911" s="924" t="s">
        <v>835</v>
      </c>
      <c r="I2911" s="924" t="s">
        <v>1040</v>
      </c>
      <c r="J2911" s="924" t="s">
        <v>859</v>
      </c>
      <c r="K2911" s="924" t="s">
        <v>901</v>
      </c>
      <c r="L2911" s="925">
        <v>0.20018213777802901</v>
      </c>
      <c r="M2911" s="925">
        <v>1.4778302386275801E-4</v>
      </c>
    </row>
    <row r="2912" spans="1:13" ht="11.25" customHeight="1" x14ac:dyDescent="0.2">
      <c r="A2912" s="924" t="s">
        <v>853</v>
      </c>
      <c r="B2912" s="924" t="s">
        <v>801</v>
      </c>
      <c r="C2912" s="924" t="s">
        <v>1189</v>
      </c>
      <c r="D2912" s="924" t="s">
        <v>1190</v>
      </c>
      <c r="E2912" s="924" t="s">
        <v>856</v>
      </c>
      <c r="F2912" s="924" t="s">
        <v>1083</v>
      </c>
      <c r="G2912" s="924" t="s">
        <v>981</v>
      </c>
      <c r="H2912" s="924" t="s">
        <v>835</v>
      </c>
      <c r="I2912" s="924" t="s">
        <v>998</v>
      </c>
      <c r="J2912" s="924" t="s">
        <v>940</v>
      </c>
      <c r="K2912" s="924" t="s">
        <v>1084</v>
      </c>
      <c r="L2912" s="925">
        <v>0.89043283835053399</v>
      </c>
      <c r="M2912" s="925">
        <v>1.6267607779809599E-3</v>
      </c>
    </row>
    <row r="2913" spans="1:13" ht="11.25" customHeight="1" x14ac:dyDescent="0.2">
      <c r="A2913" s="924" t="s">
        <v>853</v>
      </c>
      <c r="B2913" s="924" t="s">
        <v>801</v>
      </c>
      <c r="C2913" s="924" t="s">
        <v>1189</v>
      </c>
      <c r="D2913" s="924" t="s">
        <v>1190</v>
      </c>
      <c r="E2913" s="924" t="s">
        <v>856</v>
      </c>
      <c r="F2913" s="924" t="s">
        <v>1085</v>
      </c>
      <c r="G2913" s="924" t="s">
        <v>981</v>
      </c>
      <c r="H2913" s="924" t="s">
        <v>835</v>
      </c>
      <c r="I2913" s="924" t="s">
        <v>998</v>
      </c>
      <c r="J2913" s="924" t="s">
        <v>884</v>
      </c>
      <c r="K2913" s="924" t="s">
        <v>885</v>
      </c>
      <c r="L2913" s="925">
        <v>114.79876971244801</v>
      </c>
      <c r="M2913" s="925">
        <v>8.4323944291099906E-2</v>
      </c>
    </row>
    <row r="2914" spans="1:13" ht="11.25" customHeight="1" x14ac:dyDescent="0.2">
      <c r="A2914" s="924" t="s">
        <v>853</v>
      </c>
      <c r="B2914" s="924" t="s">
        <v>801</v>
      </c>
      <c r="C2914" s="924" t="s">
        <v>1189</v>
      </c>
      <c r="D2914" s="924" t="s">
        <v>1190</v>
      </c>
      <c r="E2914" s="924" t="s">
        <v>856</v>
      </c>
      <c r="F2914" s="924" t="s">
        <v>1073</v>
      </c>
      <c r="G2914" s="924" t="s">
        <v>981</v>
      </c>
      <c r="H2914" s="924" t="s">
        <v>835</v>
      </c>
      <c r="I2914" s="924" t="s">
        <v>998</v>
      </c>
      <c r="J2914" s="924" t="s">
        <v>884</v>
      </c>
      <c r="K2914" s="924" t="s">
        <v>1046</v>
      </c>
      <c r="L2914" s="925">
        <v>85.588096857070894</v>
      </c>
      <c r="M2914" s="925">
        <v>0.144509856123477</v>
      </c>
    </row>
    <row r="2915" spans="1:13" ht="11.25" customHeight="1" x14ac:dyDescent="0.2">
      <c r="A2915" s="924" t="s">
        <v>853</v>
      </c>
      <c r="B2915" s="924" t="s">
        <v>801</v>
      </c>
      <c r="C2915" s="924" t="s">
        <v>1189</v>
      </c>
      <c r="D2915" s="924" t="s">
        <v>1190</v>
      </c>
      <c r="E2915" s="924" t="s">
        <v>856</v>
      </c>
      <c r="F2915" s="924" t="s">
        <v>1037</v>
      </c>
      <c r="G2915" s="924" t="s">
        <v>858</v>
      </c>
      <c r="H2915" s="924" t="s">
        <v>836</v>
      </c>
      <c r="I2915" s="924" t="s">
        <v>837</v>
      </c>
      <c r="J2915" s="924" t="s">
        <v>859</v>
      </c>
      <c r="K2915" s="924" t="s">
        <v>918</v>
      </c>
      <c r="L2915" s="925">
        <v>105.17001271247899</v>
      </c>
      <c r="M2915" s="925">
        <v>1.0178182434401599E-3</v>
      </c>
    </row>
    <row r="2916" spans="1:13" ht="11.25" customHeight="1" x14ac:dyDescent="0.2">
      <c r="A2916" s="924" t="s">
        <v>853</v>
      </c>
      <c r="B2916" s="924" t="s">
        <v>801</v>
      </c>
      <c r="C2916" s="924" t="s">
        <v>1189</v>
      </c>
      <c r="D2916" s="924" t="s">
        <v>1190</v>
      </c>
      <c r="E2916" s="924" t="s">
        <v>856</v>
      </c>
      <c r="F2916" s="924" t="s">
        <v>1133</v>
      </c>
      <c r="G2916" s="924" t="s">
        <v>911</v>
      </c>
      <c r="H2916" s="924" t="s">
        <v>665</v>
      </c>
      <c r="I2916" s="924" t="s">
        <v>706</v>
      </c>
      <c r="J2916" s="924" t="s">
        <v>859</v>
      </c>
      <c r="K2916" s="924" t="s">
        <v>899</v>
      </c>
      <c r="L2916" s="925">
        <v>6.4203008601907599E-2</v>
      </c>
      <c r="M2916" s="925">
        <v>6.3963082714835204E-6</v>
      </c>
    </row>
    <row r="2917" spans="1:13" ht="11.25" customHeight="1" x14ac:dyDescent="0.2">
      <c r="A2917" s="924" t="s">
        <v>853</v>
      </c>
      <c r="B2917" s="924" t="s">
        <v>801</v>
      </c>
      <c r="C2917" s="924" t="s">
        <v>1189</v>
      </c>
      <c r="D2917" s="924" t="s">
        <v>1190</v>
      </c>
      <c r="E2917" s="924" t="s">
        <v>856</v>
      </c>
      <c r="F2917" s="924" t="s">
        <v>1075</v>
      </c>
      <c r="G2917" s="924" t="s">
        <v>981</v>
      </c>
      <c r="H2917" s="924" t="s">
        <v>835</v>
      </c>
      <c r="I2917" s="924" t="s">
        <v>998</v>
      </c>
      <c r="J2917" s="924" t="s">
        <v>859</v>
      </c>
      <c r="K2917" s="924" t="s">
        <v>889</v>
      </c>
      <c r="L2917" s="925">
        <v>2.9127859324216798</v>
      </c>
      <c r="M2917" s="925">
        <v>4.7142126641119804E-3</v>
      </c>
    </row>
    <row r="2918" spans="1:13" ht="11.25" customHeight="1" x14ac:dyDescent="0.2">
      <c r="A2918" s="924" t="s">
        <v>853</v>
      </c>
      <c r="B2918" s="924" t="s">
        <v>801</v>
      </c>
      <c r="C2918" s="924" t="s">
        <v>1189</v>
      </c>
      <c r="D2918" s="924" t="s">
        <v>1190</v>
      </c>
      <c r="E2918" s="924" t="s">
        <v>856</v>
      </c>
      <c r="F2918" s="924" t="s">
        <v>1076</v>
      </c>
      <c r="G2918" s="924" t="s">
        <v>981</v>
      </c>
      <c r="H2918" s="924" t="s">
        <v>835</v>
      </c>
      <c r="I2918" s="924" t="s">
        <v>998</v>
      </c>
      <c r="J2918" s="924" t="s">
        <v>859</v>
      </c>
      <c r="K2918" s="924" t="s">
        <v>860</v>
      </c>
      <c r="L2918" s="925">
        <v>0.18882962479256099</v>
      </c>
      <c r="M2918" s="925">
        <v>3.9011870649119401E-4</v>
      </c>
    </row>
    <row r="2919" spans="1:13" ht="11.25" customHeight="1" x14ac:dyDescent="0.2">
      <c r="A2919" s="924" t="s">
        <v>853</v>
      </c>
      <c r="B2919" s="924" t="s">
        <v>801</v>
      </c>
      <c r="C2919" s="924" t="s">
        <v>1189</v>
      </c>
      <c r="D2919" s="924" t="s">
        <v>1190</v>
      </c>
      <c r="E2919" s="924" t="s">
        <v>856</v>
      </c>
      <c r="F2919" s="924" t="s">
        <v>1077</v>
      </c>
      <c r="G2919" s="924" t="s">
        <v>981</v>
      </c>
      <c r="H2919" s="924" t="s">
        <v>835</v>
      </c>
      <c r="I2919" s="924" t="s">
        <v>998</v>
      </c>
      <c r="J2919" s="924" t="s">
        <v>859</v>
      </c>
      <c r="K2919" s="924" t="s">
        <v>897</v>
      </c>
      <c r="L2919" s="925">
        <v>0.225712362211198</v>
      </c>
      <c r="M2919" s="925">
        <v>4.7267522495531001E-4</v>
      </c>
    </row>
    <row r="2920" spans="1:13" ht="11.25" customHeight="1" x14ac:dyDescent="0.2">
      <c r="A2920" s="924" t="s">
        <v>853</v>
      </c>
      <c r="B2920" s="924" t="s">
        <v>801</v>
      </c>
      <c r="C2920" s="924" t="s">
        <v>1189</v>
      </c>
      <c r="D2920" s="924" t="s">
        <v>1190</v>
      </c>
      <c r="E2920" s="924" t="s">
        <v>856</v>
      </c>
      <c r="F2920" s="924" t="s">
        <v>1078</v>
      </c>
      <c r="G2920" s="924" t="s">
        <v>981</v>
      </c>
      <c r="H2920" s="924" t="s">
        <v>835</v>
      </c>
      <c r="I2920" s="924" t="s">
        <v>998</v>
      </c>
      <c r="J2920" s="924" t="s">
        <v>859</v>
      </c>
      <c r="K2920" s="924" t="s">
        <v>901</v>
      </c>
      <c r="L2920" s="925">
        <v>1.56401903223014E-3</v>
      </c>
      <c r="M2920" s="925">
        <v>3.49465264193327E-6</v>
      </c>
    </row>
    <row r="2921" spans="1:13" ht="11.25" customHeight="1" x14ac:dyDescent="0.2">
      <c r="A2921" s="924" t="s">
        <v>853</v>
      </c>
      <c r="B2921" s="924" t="s">
        <v>801</v>
      </c>
      <c r="C2921" s="924" t="s">
        <v>1189</v>
      </c>
      <c r="D2921" s="924" t="s">
        <v>1190</v>
      </c>
      <c r="E2921" s="924" t="s">
        <v>856</v>
      </c>
      <c r="F2921" s="924" t="s">
        <v>1079</v>
      </c>
      <c r="G2921" s="924" t="s">
        <v>981</v>
      </c>
      <c r="H2921" s="924" t="s">
        <v>835</v>
      </c>
      <c r="I2921" s="924" t="s">
        <v>998</v>
      </c>
      <c r="J2921" s="924" t="s">
        <v>859</v>
      </c>
      <c r="K2921" s="924" t="s">
        <v>909</v>
      </c>
      <c r="L2921" s="925">
        <v>7.5215403586626097</v>
      </c>
      <c r="M2921" s="925">
        <v>1.3470198231516401E-2</v>
      </c>
    </row>
    <row r="2922" spans="1:13" ht="11.25" customHeight="1" x14ac:dyDescent="0.2">
      <c r="A2922" s="924" t="s">
        <v>853</v>
      </c>
      <c r="B2922" s="924" t="s">
        <v>801</v>
      </c>
      <c r="C2922" s="924" t="s">
        <v>1189</v>
      </c>
      <c r="D2922" s="924" t="s">
        <v>1190</v>
      </c>
      <c r="E2922" s="924" t="s">
        <v>856</v>
      </c>
      <c r="F2922" s="924" t="s">
        <v>1080</v>
      </c>
      <c r="G2922" s="924" t="s">
        <v>981</v>
      </c>
      <c r="H2922" s="924" t="s">
        <v>835</v>
      </c>
      <c r="I2922" s="924" t="s">
        <v>998</v>
      </c>
      <c r="J2922" s="924" t="s">
        <v>859</v>
      </c>
      <c r="K2922" s="924" t="s">
        <v>920</v>
      </c>
      <c r="L2922" s="925">
        <v>4.4078678300138598E-2</v>
      </c>
      <c r="M2922" s="925">
        <v>9.8489600645734795E-5</v>
      </c>
    </row>
    <row r="2923" spans="1:13" ht="11.25" customHeight="1" x14ac:dyDescent="0.2">
      <c r="A2923" s="924" t="s">
        <v>853</v>
      </c>
      <c r="B2923" s="924" t="s">
        <v>801</v>
      </c>
      <c r="C2923" s="924" t="s">
        <v>1189</v>
      </c>
      <c r="D2923" s="924" t="s">
        <v>1190</v>
      </c>
      <c r="E2923" s="924" t="s">
        <v>856</v>
      </c>
      <c r="F2923" s="924" t="s">
        <v>1082</v>
      </c>
      <c r="G2923" s="924" t="s">
        <v>981</v>
      </c>
      <c r="H2923" s="924" t="s">
        <v>835</v>
      </c>
      <c r="I2923" s="924" t="s">
        <v>998</v>
      </c>
      <c r="J2923" s="924" t="s">
        <v>875</v>
      </c>
      <c r="K2923" s="924" t="s">
        <v>952</v>
      </c>
      <c r="L2923" s="925">
        <v>5.7701632613316199E-2</v>
      </c>
      <c r="M2923" s="925">
        <v>1.28928999060918E-4</v>
      </c>
    </row>
    <row r="2924" spans="1:13" ht="11.25" customHeight="1" x14ac:dyDescent="0.2">
      <c r="A2924" s="924" t="s">
        <v>853</v>
      </c>
      <c r="B2924" s="924" t="s">
        <v>801</v>
      </c>
      <c r="C2924" s="924" t="s">
        <v>1189</v>
      </c>
      <c r="D2924" s="924" t="s">
        <v>1190</v>
      </c>
      <c r="E2924" s="924" t="s">
        <v>856</v>
      </c>
      <c r="F2924" s="924" t="s">
        <v>1103</v>
      </c>
      <c r="G2924" s="924" t="s">
        <v>981</v>
      </c>
      <c r="H2924" s="924" t="s">
        <v>835</v>
      </c>
      <c r="I2924" s="924" t="s">
        <v>998</v>
      </c>
      <c r="J2924" s="924" t="s">
        <v>863</v>
      </c>
      <c r="K2924" s="924" t="s">
        <v>864</v>
      </c>
      <c r="L2924" s="925">
        <v>1.48192158085294E-2</v>
      </c>
      <c r="M2924" s="925">
        <v>3.3112140727098402E-5</v>
      </c>
    </row>
    <row r="2925" spans="1:13" ht="11.25" customHeight="1" x14ac:dyDescent="0.2">
      <c r="A2925" s="924" t="s">
        <v>853</v>
      </c>
      <c r="B2925" s="924" t="s">
        <v>801</v>
      </c>
      <c r="C2925" s="924" t="s">
        <v>1189</v>
      </c>
      <c r="D2925" s="924" t="s">
        <v>1190</v>
      </c>
      <c r="E2925" s="924" t="s">
        <v>856</v>
      </c>
      <c r="F2925" s="924" t="s">
        <v>1045</v>
      </c>
      <c r="G2925" s="924" t="s">
        <v>981</v>
      </c>
      <c r="H2925" s="924" t="s">
        <v>835</v>
      </c>
      <c r="I2925" s="924" t="s">
        <v>1040</v>
      </c>
      <c r="J2925" s="924" t="s">
        <v>884</v>
      </c>
      <c r="K2925" s="924" t="s">
        <v>1046</v>
      </c>
      <c r="L2925" s="925">
        <v>818.88962554931595</v>
      </c>
      <c r="M2925" s="925">
        <v>0.83613335982954595</v>
      </c>
    </row>
    <row r="2926" spans="1:13" ht="11.25" customHeight="1" x14ac:dyDescent="0.2">
      <c r="A2926" s="924" t="s">
        <v>853</v>
      </c>
      <c r="B2926" s="924" t="s">
        <v>801</v>
      </c>
      <c r="C2926" s="924" t="s">
        <v>1189</v>
      </c>
      <c r="D2926" s="924" t="s">
        <v>1190</v>
      </c>
      <c r="E2926" s="924" t="s">
        <v>856</v>
      </c>
      <c r="F2926" s="924" t="s">
        <v>1069</v>
      </c>
      <c r="G2926" s="924" t="s">
        <v>981</v>
      </c>
      <c r="H2926" s="924" t="s">
        <v>835</v>
      </c>
      <c r="I2926" s="924" t="s">
        <v>998</v>
      </c>
      <c r="J2926" s="924" t="s">
        <v>940</v>
      </c>
      <c r="K2926" s="924" t="s">
        <v>1070</v>
      </c>
      <c r="L2926" s="925">
        <v>11.099893685430301</v>
      </c>
      <c r="M2926" s="925">
        <v>2.0609072045772302E-2</v>
      </c>
    </row>
    <row r="2927" spans="1:13" ht="11.25" customHeight="1" x14ac:dyDescent="0.2">
      <c r="A2927" s="924" t="s">
        <v>853</v>
      </c>
      <c r="B2927" s="924" t="s">
        <v>801</v>
      </c>
      <c r="C2927" s="924" t="s">
        <v>1189</v>
      </c>
      <c r="D2927" s="924" t="s">
        <v>1190</v>
      </c>
      <c r="E2927" s="924" t="s">
        <v>856</v>
      </c>
      <c r="F2927" s="924" t="s">
        <v>1086</v>
      </c>
      <c r="G2927" s="924" t="s">
        <v>981</v>
      </c>
      <c r="H2927" s="924" t="s">
        <v>835</v>
      </c>
      <c r="I2927" s="924" t="s">
        <v>998</v>
      </c>
      <c r="J2927" s="924" t="s">
        <v>940</v>
      </c>
      <c r="K2927" s="924" t="s">
        <v>1087</v>
      </c>
      <c r="L2927" s="925">
        <v>11.9160751104355</v>
      </c>
      <c r="M2927" s="925">
        <v>2.29424129938707E-2</v>
      </c>
    </row>
    <row r="2928" spans="1:13" ht="11.25" customHeight="1" x14ac:dyDescent="0.2">
      <c r="A2928" s="924" t="s">
        <v>853</v>
      </c>
      <c r="B2928" s="924" t="s">
        <v>801</v>
      </c>
      <c r="C2928" s="924" t="s">
        <v>1189</v>
      </c>
      <c r="D2928" s="924" t="s">
        <v>1190</v>
      </c>
      <c r="E2928" s="924" t="s">
        <v>856</v>
      </c>
      <c r="F2928" s="924" t="s">
        <v>1088</v>
      </c>
      <c r="G2928" s="924" t="s">
        <v>981</v>
      </c>
      <c r="H2928" s="924" t="s">
        <v>835</v>
      </c>
      <c r="I2928" s="924" t="s">
        <v>998</v>
      </c>
      <c r="J2928" s="924" t="s">
        <v>940</v>
      </c>
      <c r="K2928" s="924" t="s">
        <v>1089</v>
      </c>
      <c r="L2928" s="925">
        <v>107.114324808121</v>
      </c>
      <c r="M2928" s="925">
        <v>0.195677468786016</v>
      </c>
    </row>
    <row r="2929" spans="1:13" ht="11.25" customHeight="1" x14ac:dyDescent="0.2">
      <c r="A2929" s="924" t="s">
        <v>853</v>
      </c>
      <c r="B2929" s="924" t="s">
        <v>801</v>
      </c>
      <c r="C2929" s="924" t="s">
        <v>1189</v>
      </c>
      <c r="D2929" s="924" t="s">
        <v>1190</v>
      </c>
      <c r="E2929" s="924" t="s">
        <v>856</v>
      </c>
      <c r="F2929" s="924" t="s">
        <v>1090</v>
      </c>
      <c r="G2929" s="924" t="s">
        <v>981</v>
      </c>
      <c r="H2929" s="924" t="s">
        <v>835</v>
      </c>
      <c r="I2929" s="924" t="s">
        <v>998</v>
      </c>
      <c r="J2929" s="924" t="s">
        <v>940</v>
      </c>
      <c r="K2929" s="924" t="s">
        <v>1091</v>
      </c>
      <c r="L2929" s="925">
        <v>16.511542439460801</v>
      </c>
      <c r="M2929" s="925">
        <v>2.8120085888076601E-2</v>
      </c>
    </row>
    <row r="2930" spans="1:13" ht="11.25" customHeight="1" x14ac:dyDescent="0.2">
      <c r="A2930" s="924" t="s">
        <v>853</v>
      </c>
      <c r="B2930" s="924" t="s">
        <v>801</v>
      </c>
      <c r="C2930" s="924" t="s">
        <v>1189</v>
      </c>
      <c r="D2930" s="924" t="s">
        <v>1190</v>
      </c>
      <c r="E2930" s="924" t="s">
        <v>856</v>
      </c>
      <c r="F2930" s="924" t="s">
        <v>1092</v>
      </c>
      <c r="G2930" s="924" t="s">
        <v>981</v>
      </c>
      <c r="H2930" s="924" t="s">
        <v>835</v>
      </c>
      <c r="I2930" s="924" t="s">
        <v>998</v>
      </c>
      <c r="J2930" s="924" t="s">
        <v>940</v>
      </c>
      <c r="K2930" s="924" t="s">
        <v>1093</v>
      </c>
      <c r="L2930" s="925">
        <v>93.387738943100004</v>
      </c>
      <c r="M2930" s="925">
        <v>0.18479944241698801</v>
      </c>
    </row>
    <row r="2931" spans="1:13" ht="11.25" customHeight="1" x14ac:dyDescent="0.2">
      <c r="A2931" s="924" t="s">
        <v>853</v>
      </c>
      <c r="B2931" s="924" t="s">
        <v>801</v>
      </c>
      <c r="C2931" s="924" t="s">
        <v>1189</v>
      </c>
      <c r="D2931" s="924" t="s">
        <v>1190</v>
      </c>
      <c r="E2931" s="924" t="s">
        <v>856</v>
      </c>
      <c r="F2931" s="924" t="s">
        <v>1094</v>
      </c>
      <c r="G2931" s="924" t="s">
        <v>981</v>
      </c>
      <c r="H2931" s="924" t="s">
        <v>835</v>
      </c>
      <c r="I2931" s="924" t="s">
        <v>998</v>
      </c>
      <c r="J2931" s="924" t="s">
        <v>940</v>
      </c>
      <c r="K2931" s="924" t="s">
        <v>1095</v>
      </c>
      <c r="L2931" s="925">
        <v>10.6267800480127</v>
      </c>
      <c r="M2931" s="925">
        <v>1.9820324640022601E-2</v>
      </c>
    </row>
    <row r="2932" spans="1:13" ht="11.25" customHeight="1" x14ac:dyDescent="0.2">
      <c r="A2932" s="924" t="s">
        <v>853</v>
      </c>
      <c r="B2932" s="924" t="s">
        <v>801</v>
      </c>
      <c r="C2932" s="924" t="s">
        <v>1189</v>
      </c>
      <c r="D2932" s="924" t="s">
        <v>1190</v>
      </c>
      <c r="E2932" s="924" t="s">
        <v>856</v>
      </c>
      <c r="F2932" s="924" t="s">
        <v>1096</v>
      </c>
      <c r="G2932" s="924" t="s">
        <v>981</v>
      </c>
      <c r="H2932" s="924" t="s">
        <v>835</v>
      </c>
      <c r="I2932" s="924" t="s">
        <v>998</v>
      </c>
      <c r="J2932" s="924" t="s">
        <v>940</v>
      </c>
      <c r="K2932" s="924" t="s">
        <v>1023</v>
      </c>
      <c r="L2932" s="925">
        <v>87.201877713203402</v>
      </c>
      <c r="M2932" s="925">
        <v>0.16309705446474301</v>
      </c>
    </row>
    <row r="2933" spans="1:13" ht="11.25" customHeight="1" x14ac:dyDescent="0.2">
      <c r="A2933" s="924" t="s">
        <v>853</v>
      </c>
      <c r="B2933" s="924" t="s">
        <v>801</v>
      </c>
      <c r="C2933" s="924" t="s">
        <v>1189</v>
      </c>
      <c r="D2933" s="924" t="s">
        <v>1190</v>
      </c>
      <c r="E2933" s="924" t="s">
        <v>856</v>
      </c>
      <c r="F2933" s="924" t="s">
        <v>1097</v>
      </c>
      <c r="G2933" s="924" t="s">
        <v>981</v>
      </c>
      <c r="H2933" s="924" t="s">
        <v>835</v>
      </c>
      <c r="I2933" s="924" t="s">
        <v>998</v>
      </c>
      <c r="J2933" s="924" t="s">
        <v>940</v>
      </c>
      <c r="K2933" s="924" t="s">
        <v>1098</v>
      </c>
      <c r="L2933" s="925">
        <v>5.3165518641471898</v>
      </c>
      <c r="M2933" s="925">
        <v>3.63198881968856E-2</v>
      </c>
    </row>
    <row r="2934" spans="1:13" ht="11.25" customHeight="1" x14ac:dyDescent="0.2">
      <c r="A2934" s="924" t="s">
        <v>853</v>
      </c>
      <c r="B2934" s="924" t="s">
        <v>801</v>
      </c>
      <c r="C2934" s="924" t="s">
        <v>1189</v>
      </c>
      <c r="D2934" s="924" t="s">
        <v>1190</v>
      </c>
      <c r="E2934" s="924" t="s">
        <v>856</v>
      </c>
      <c r="F2934" s="924" t="s">
        <v>1099</v>
      </c>
      <c r="G2934" s="924" t="s">
        <v>981</v>
      </c>
      <c r="H2934" s="924" t="s">
        <v>835</v>
      </c>
      <c r="I2934" s="924" t="s">
        <v>998</v>
      </c>
      <c r="J2934" s="924" t="s">
        <v>940</v>
      </c>
      <c r="K2934" s="924" t="s">
        <v>1025</v>
      </c>
      <c r="L2934" s="925">
        <v>32.1169240474701</v>
      </c>
      <c r="M2934" s="925">
        <v>0.21911881864070901</v>
      </c>
    </row>
    <row r="2935" spans="1:13" ht="11.25" customHeight="1" x14ac:dyDescent="0.2">
      <c r="A2935" s="924" t="s">
        <v>853</v>
      </c>
      <c r="B2935" s="924" t="s">
        <v>801</v>
      </c>
      <c r="C2935" s="924" t="s">
        <v>1189</v>
      </c>
      <c r="D2935" s="924" t="s">
        <v>1190</v>
      </c>
      <c r="E2935" s="924" t="s">
        <v>856</v>
      </c>
      <c r="F2935" s="924" t="s">
        <v>1100</v>
      </c>
      <c r="G2935" s="924" t="s">
        <v>981</v>
      </c>
      <c r="H2935" s="924" t="s">
        <v>835</v>
      </c>
      <c r="I2935" s="924" t="s">
        <v>998</v>
      </c>
      <c r="J2935" s="924" t="s">
        <v>940</v>
      </c>
      <c r="K2935" s="924" t="s">
        <v>1032</v>
      </c>
      <c r="L2935" s="925">
        <v>4.6531499450793497E-2</v>
      </c>
      <c r="M2935" s="925">
        <v>9.3290927310363299E-5</v>
      </c>
    </row>
    <row r="2936" spans="1:13" ht="11.25" customHeight="1" x14ac:dyDescent="0.2">
      <c r="A2936" s="924" t="s">
        <v>853</v>
      </c>
      <c r="B2936" s="924" t="s">
        <v>801</v>
      </c>
      <c r="C2936" s="924" t="s">
        <v>1189</v>
      </c>
      <c r="D2936" s="924" t="s">
        <v>1190</v>
      </c>
      <c r="E2936" s="924" t="s">
        <v>856</v>
      </c>
      <c r="F2936" s="924" t="s">
        <v>1081</v>
      </c>
      <c r="G2936" s="924" t="s">
        <v>981</v>
      </c>
      <c r="H2936" s="924" t="s">
        <v>835</v>
      </c>
      <c r="I2936" s="924" t="s">
        <v>998</v>
      </c>
      <c r="J2936" s="924" t="s">
        <v>863</v>
      </c>
      <c r="K2936" s="924" t="s">
        <v>935</v>
      </c>
      <c r="L2936" s="925">
        <v>0.193661269033328</v>
      </c>
      <c r="M2936" s="925">
        <v>4.32717395597138E-4</v>
      </c>
    </row>
    <row r="2937" spans="1:13" ht="11.25" customHeight="1" x14ac:dyDescent="0.2">
      <c r="A2937" s="924" t="s">
        <v>853</v>
      </c>
      <c r="B2937" s="924" t="s">
        <v>801</v>
      </c>
      <c r="C2937" s="924" t="s">
        <v>1189</v>
      </c>
      <c r="D2937" s="924" t="s">
        <v>1190</v>
      </c>
      <c r="E2937" s="924" t="s">
        <v>856</v>
      </c>
      <c r="F2937" s="924" t="s">
        <v>1104</v>
      </c>
      <c r="G2937" s="924" t="s">
        <v>981</v>
      </c>
      <c r="H2937" s="924" t="s">
        <v>835</v>
      </c>
      <c r="I2937" s="924" t="s">
        <v>1040</v>
      </c>
      <c r="J2937" s="924" t="s">
        <v>875</v>
      </c>
      <c r="K2937" s="924" t="s">
        <v>876</v>
      </c>
      <c r="L2937" s="925">
        <v>294.058524608612</v>
      </c>
      <c r="M2937" s="925">
        <v>0.19789115223102299</v>
      </c>
    </row>
    <row r="2938" spans="1:13" ht="11.25" customHeight="1" x14ac:dyDescent="0.2">
      <c r="A2938" s="924" t="s">
        <v>853</v>
      </c>
      <c r="B2938" s="924" t="s">
        <v>801</v>
      </c>
      <c r="C2938" s="924" t="s">
        <v>1189</v>
      </c>
      <c r="D2938" s="924" t="s">
        <v>1190</v>
      </c>
      <c r="E2938" s="924" t="s">
        <v>856</v>
      </c>
      <c r="F2938" s="924" t="s">
        <v>1105</v>
      </c>
      <c r="G2938" s="924" t="s">
        <v>981</v>
      </c>
      <c r="H2938" s="924" t="s">
        <v>835</v>
      </c>
      <c r="I2938" s="924" t="s">
        <v>1040</v>
      </c>
      <c r="J2938" s="924" t="s">
        <v>940</v>
      </c>
      <c r="K2938" s="924" t="s">
        <v>1106</v>
      </c>
      <c r="L2938" s="925">
        <v>14.5414258241653</v>
      </c>
      <c r="M2938" s="925">
        <v>1.06499938987952E-2</v>
      </c>
    </row>
    <row r="2939" spans="1:13" ht="11.25" customHeight="1" x14ac:dyDescent="0.2">
      <c r="A2939" s="924" t="s">
        <v>853</v>
      </c>
      <c r="B2939" s="924" t="s">
        <v>801</v>
      </c>
      <c r="C2939" s="924" t="s">
        <v>1189</v>
      </c>
      <c r="D2939" s="924" t="s">
        <v>1190</v>
      </c>
      <c r="E2939" s="924" t="s">
        <v>856</v>
      </c>
      <c r="F2939" s="924" t="s">
        <v>1107</v>
      </c>
      <c r="G2939" s="924" t="s">
        <v>981</v>
      </c>
      <c r="H2939" s="924" t="s">
        <v>835</v>
      </c>
      <c r="I2939" s="924" t="s">
        <v>1040</v>
      </c>
      <c r="J2939" s="924" t="s">
        <v>940</v>
      </c>
      <c r="K2939" s="924" t="s">
        <v>1034</v>
      </c>
      <c r="L2939" s="925">
        <v>46.773385599255597</v>
      </c>
      <c r="M2939" s="925">
        <v>3.3987747636928099E-2</v>
      </c>
    </row>
    <row r="2940" spans="1:13" ht="11.25" customHeight="1" x14ac:dyDescent="0.2">
      <c r="A2940" s="924" t="s">
        <v>853</v>
      </c>
      <c r="B2940" s="924" t="s">
        <v>801</v>
      </c>
      <c r="C2940" s="924" t="s">
        <v>1189</v>
      </c>
      <c r="D2940" s="924" t="s">
        <v>1190</v>
      </c>
      <c r="E2940" s="924" t="s">
        <v>856</v>
      </c>
      <c r="F2940" s="924" t="s">
        <v>1108</v>
      </c>
      <c r="G2940" s="924" t="s">
        <v>981</v>
      </c>
      <c r="H2940" s="924" t="s">
        <v>835</v>
      </c>
      <c r="I2940" s="924" t="s">
        <v>1040</v>
      </c>
      <c r="J2940" s="924" t="s">
        <v>870</v>
      </c>
      <c r="K2940" s="924" t="s">
        <v>1036</v>
      </c>
      <c r="L2940" s="925">
        <v>1.50893197674304</v>
      </c>
      <c r="M2940" s="925">
        <v>1.0206979975464501E-3</v>
      </c>
    </row>
    <row r="2941" spans="1:13" ht="11.25" customHeight="1" x14ac:dyDescent="0.2">
      <c r="A2941" s="924" t="s">
        <v>853</v>
      </c>
      <c r="B2941" s="924" t="s">
        <v>801</v>
      </c>
      <c r="C2941" s="924" t="s">
        <v>1189</v>
      </c>
      <c r="D2941" s="924" t="s">
        <v>1190</v>
      </c>
      <c r="E2941" s="924" t="s">
        <v>856</v>
      </c>
      <c r="F2941" s="924" t="s">
        <v>1109</v>
      </c>
      <c r="G2941" s="924" t="s">
        <v>981</v>
      </c>
      <c r="H2941" s="924" t="s">
        <v>835</v>
      </c>
      <c r="I2941" s="924" t="s">
        <v>1040</v>
      </c>
      <c r="J2941" s="924" t="s">
        <v>870</v>
      </c>
      <c r="K2941" s="924" t="s">
        <v>976</v>
      </c>
      <c r="L2941" s="925">
        <v>5.8225593324750697</v>
      </c>
      <c r="M2941" s="925">
        <v>1.19125342574122E-3</v>
      </c>
    </row>
    <row r="2942" spans="1:13" ht="11.25" customHeight="1" x14ac:dyDescent="0.2">
      <c r="A2942" s="924" t="s">
        <v>853</v>
      </c>
      <c r="B2942" s="924" t="s">
        <v>801</v>
      </c>
      <c r="C2942" s="924" t="s">
        <v>1189</v>
      </c>
      <c r="D2942" s="924" t="s">
        <v>1190</v>
      </c>
      <c r="E2942" s="924" t="s">
        <v>856</v>
      </c>
      <c r="F2942" s="924" t="s">
        <v>1110</v>
      </c>
      <c r="G2942" s="924" t="s">
        <v>981</v>
      </c>
      <c r="H2942" s="924" t="s">
        <v>835</v>
      </c>
      <c r="I2942" s="924" t="s">
        <v>1040</v>
      </c>
      <c r="J2942" s="924" t="s">
        <v>870</v>
      </c>
      <c r="K2942" s="924" t="s">
        <v>1019</v>
      </c>
      <c r="L2942" s="925">
        <v>4.4964706568862298E-2</v>
      </c>
      <c r="M2942" s="925">
        <v>3.7664811564752701E-5</v>
      </c>
    </row>
    <row r="2943" spans="1:13" ht="11.25" customHeight="1" x14ac:dyDescent="0.2">
      <c r="A2943" s="924" t="s">
        <v>853</v>
      </c>
      <c r="B2943" s="924" t="s">
        <v>801</v>
      </c>
      <c r="C2943" s="924" t="s">
        <v>1189</v>
      </c>
      <c r="D2943" s="924" t="s">
        <v>1190</v>
      </c>
      <c r="E2943" s="924" t="s">
        <v>856</v>
      </c>
      <c r="F2943" s="924" t="s">
        <v>1111</v>
      </c>
      <c r="G2943" s="924" t="s">
        <v>981</v>
      </c>
      <c r="H2943" s="924" t="s">
        <v>835</v>
      </c>
      <c r="I2943" s="924" t="s">
        <v>1040</v>
      </c>
      <c r="J2943" s="924" t="s">
        <v>870</v>
      </c>
      <c r="K2943" s="924" t="s">
        <v>1016</v>
      </c>
      <c r="L2943" s="925">
        <v>4.0255706803873199</v>
      </c>
      <c r="M2943" s="925">
        <v>3.3829749884262102E-3</v>
      </c>
    </row>
    <row r="2944" spans="1:13" ht="11.25" customHeight="1" x14ac:dyDescent="0.2">
      <c r="A2944" s="924" t="s">
        <v>853</v>
      </c>
      <c r="B2944" s="924" t="s">
        <v>801</v>
      </c>
      <c r="C2944" s="924" t="s">
        <v>1189</v>
      </c>
      <c r="D2944" s="924" t="s">
        <v>1190</v>
      </c>
      <c r="E2944" s="924" t="s">
        <v>856</v>
      </c>
      <c r="F2944" s="924" t="s">
        <v>1112</v>
      </c>
      <c r="G2944" s="924" t="s">
        <v>981</v>
      </c>
      <c r="H2944" s="924" t="s">
        <v>835</v>
      </c>
      <c r="I2944" s="924" t="s">
        <v>1040</v>
      </c>
      <c r="J2944" s="924" t="s">
        <v>870</v>
      </c>
      <c r="K2944" s="924" t="s">
        <v>959</v>
      </c>
      <c r="L2944" s="925">
        <v>1.2402375000529</v>
      </c>
      <c r="M2944" s="925">
        <v>8.1737399364101304E-4</v>
      </c>
    </row>
    <row r="2945" spans="1:13" ht="11.25" customHeight="1" x14ac:dyDescent="0.2">
      <c r="A2945" s="924" t="s">
        <v>853</v>
      </c>
      <c r="B2945" s="924" t="s">
        <v>801</v>
      </c>
      <c r="C2945" s="924" t="s">
        <v>1189</v>
      </c>
      <c r="D2945" s="924" t="s">
        <v>1190</v>
      </c>
      <c r="E2945" s="924" t="s">
        <v>856</v>
      </c>
      <c r="F2945" s="924" t="s">
        <v>1113</v>
      </c>
      <c r="G2945" s="924" t="s">
        <v>981</v>
      </c>
      <c r="H2945" s="924" t="s">
        <v>835</v>
      </c>
      <c r="I2945" s="924" t="s">
        <v>1040</v>
      </c>
      <c r="J2945" s="924" t="s">
        <v>870</v>
      </c>
      <c r="K2945" s="924" t="s">
        <v>961</v>
      </c>
      <c r="L2945" s="925">
        <v>13.552948914468301</v>
      </c>
      <c r="M2945" s="925">
        <v>1.0261725800546601E-2</v>
      </c>
    </row>
    <row r="2946" spans="1:13" ht="11.25" customHeight="1" x14ac:dyDescent="0.2">
      <c r="A2946" s="924" t="s">
        <v>853</v>
      </c>
      <c r="B2946" s="924" t="s">
        <v>801</v>
      </c>
      <c r="C2946" s="924" t="s">
        <v>1189</v>
      </c>
      <c r="D2946" s="924" t="s">
        <v>1190</v>
      </c>
      <c r="E2946" s="924" t="s">
        <v>856</v>
      </c>
      <c r="F2946" s="924" t="s">
        <v>1114</v>
      </c>
      <c r="G2946" s="924" t="s">
        <v>981</v>
      </c>
      <c r="H2946" s="924" t="s">
        <v>835</v>
      </c>
      <c r="I2946" s="924" t="s">
        <v>1040</v>
      </c>
      <c r="J2946" s="924" t="s">
        <v>870</v>
      </c>
      <c r="K2946" s="924" t="s">
        <v>963</v>
      </c>
      <c r="L2946" s="925">
        <v>29.557296976447098</v>
      </c>
      <c r="M2946" s="925">
        <v>4.9096215156168903E-2</v>
      </c>
    </row>
    <row r="2947" spans="1:13" ht="11.25" customHeight="1" x14ac:dyDescent="0.2">
      <c r="A2947" s="924" t="s">
        <v>853</v>
      </c>
      <c r="B2947" s="924" t="s">
        <v>801</v>
      </c>
      <c r="C2947" s="924" t="s">
        <v>1189</v>
      </c>
      <c r="D2947" s="924" t="s">
        <v>1190</v>
      </c>
      <c r="E2947" s="924" t="s">
        <v>856</v>
      </c>
      <c r="F2947" s="924" t="s">
        <v>1115</v>
      </c>
      <c r="G2947" s="924" t="s">
        <v>981</v>
      </c>
      <c r="H2947" s="924" t="s">
        <v>835</v>
      </c>
      <c r="I2947" s="924" t="s">
        <v>1040</v>
      </c>
      <c r="J2947" s="924" t="s">
        <v>870</v>
      </c>
      <c r="K2947" s="924" t="s">
        <v>965</v>
      </c>
      <c r="L2947" s="925">
        <v>6.3752660099416998</v>
      </c>
      <c r="M2947" s="925">
        <v>5.35759201693509E-3</v>
      </c>
    </row>
    <row r="2948" spans="1:13" ht="11.25" customHeight="1" x14ac:dyDescent="0.2">
      <c r="A2948" s="924" t="s">
        <v>853</v>
      </c>
      <c r="B2948" s="924" t="s">
        <v>801</v>
      </c>
      <c r="C2948" s="924" t="s">
        <v>1189</v>
      </c>
      <c r="D2948" s="924" t="s">
        <v>1190</v>
      </c>
      <c r="E2948" s="924" t="s">
        <v>856</v>
      </c>
      <c r="F2948" s="924" t="s">
        <v>1116</v>
      </c>
      <c r="G2948" s="924" t="s">
        <v>981</v>
      </c>
      <c r="H2948" s="924" t="s">
        <v>835</v>
      </c>
      <c r="I2948" s="924" t="s">
        <v>1040</v>
      </c>
      <c r="J2948" s="924" t="s">
        <v>940</v>
      </c>
      <c r="K2948" s="924" t="s">
        <v>1032</v>
      </c>
      <c r="L2948" s="925">
        <v>1521.6121830940201</v>
      </c>
      <c r="M2948" s="925">
        <v>0.95841309335082803</v>
      </c>
    </row>
    <row r="2949" spans="1:13" ht="11.25" customHeight="1" x14ac:dyDescent="0.2">
      <c r="A2949" s="924" t="s">
        <v>853</v>
      </c>
      <c r="B2949" s="924" t="s">
        <v>801</v>
      </c>
      <c r="C2949" s="924" t="s">
        <v>1189</v>
      </c>
      <c r="D2949" s="924" t="s">
        <v>1190</v>
      </c>
      <c r="E2949" s="924" t="s">
        <v>856</v>
      </c>
      <c r="F2949" s="924" t="s">
        <v>1117</v>
      </c>
      <c r="G2949" s="924" t="s">
        <v>981</v>
      </c>
      <c r="H2949" s="924" t="s">
        <v>835</v>
      </c>
      <c r="I2949" s="924" t="s">
        <v>1040</v>
      </c>
      <c r="J2949" s="924" t="s">
        <v>870</v>
      </c>
      <c r="K2949" s="924" t="s">
        <v>873</v>
      </c>
      <c r="L2949" s="925">
        <v>10.129619501531099</v>
      </c>
      <c r="M2949" s="925">
        <v>1.0158861059608199E-3</v>
      </c>
    </row>
    <row r="2950" spans="1:13" ht="11.25" customHeight="1" x14ac:dyDescent="0.2">
      <c r="A2950" s="924" t="s">
        <v>853</v>
      </c>
      <c r="B2950" s="924" t="s">
        <v>801</v>
      </c>
      <c r="C2950" s="924" t="s">
        <v>1189</v>
      </c>
      <c r="D2950" s="924" t="s">
        <v>1190</v>
      </c>
      <c r="E2950" s="924" t="s">
        <v>856</v>
      </c>
      <c r="F2950" s="924" t="s">
        <v>1126</v>
      </c>
      <c r="G2950" s="924" t="s">
        <v>981</v>
      </c>
      <c r="H2950" s="924" t="s">
        <v>835</v>
      </c>
      <c r="I2950" s="924" t="s">
        <v>1040</v>
      </c>
      <c r="J2950" s="924" t="s">
        <v>956</v>
      </c>
      <c r="K2950" s="924" t="s">
        <v>957</v>
      </c>
      <c r="L2950" s="925">
        <v>7.0500783389434205E-2</v>
      </c>
      <c r="M2950" s="925">
        <v>5.5328878659111103E-5</v>
      </c>
    </row>
    <row r="2951" spans="1:13" ht="11.25" customHeight="1" x14ac:dyDescent="0.2">
      <c r="A2951" s="924" t="s">
        <v>853</v>
      </c>
      <c r="B2951" s="924" t="s">
        <v>801</v>
      </c>
      <c r="C2951" s="924" t="s">
        <v>1189</v>
      </c>
      <c r="D2951" s="924" t="s">
        <v>1190</v>
      </c>
      <c r="E2951" s="924" t="s">
        <v>856</v>
      </c>
      <c r="F2951" s="924" t="s">
        <v>1119</v>
      </c>
      <c r="G2951" s="924" t="s">
        <v>981</v>
      </c>
      <c r="H2951" s="924" t="s">
        <v>835</v>
      </c>
      <c r="I2951" s="924" t="s">
        <v>1040</v>
      </c>
      <c r="J2951" s="924" t="s">
        <v>875</v>
      </c>
      <c r="K2951" s="924" t="s">
        <v>878</v>
      </c>
      <c r="L2951" s="925">
        <v>73.438889622688293</v>
      </c>
      <c r="M2951" s="925">
        <v>4.8885609617172997E-2</v>
      </c>
    </row>
    <row r="2952" spans="1:13" ht="11.25" customHeight="1" x14ac:dyDescent="0.2">
      <c r="A2952" s="924" t="s">
        <v>853</v>
      </c>
      <c r="B2952" s="924" t="s">
        <v>801</v>
      </c>
      <c r="C2952" s="924" t="s">
        <v>1189</v>
      </c>
      <c r="D2952" s="924" t="s">
        <v>1190</v>
      </c>
      <c r="E2952" s="924" t="s">
        <v>856</v>
      </c>
      <c r="F2952" s="924" t="s">
        <v>1120</v>
      </c>
      <c r="G2952" s="924" t="s">
        <v>981</v>
      </c>
      <c r="H2952" s="924" t="s">
        <v>835</v>
      </c>
      <c r="I2952" s="924" t="s">
        <v>1040</v>
      </c>
      <c r="J2952" s="924" t="s">
        <v>875</v>
      </c>
      <c r="K2952" s="924" t="s">
        <v>880</v>
      </c>
      <c r="L2952" s="925">
        <v>38.840315103530898</v>
      </c>
      <c r="M2952" s="925">
        <v>2.2549297658940801E-2</v>
      </c>
    </row>
    <row r="2953" spans="1:13" ht="11.25" customHeight="1" x14ac:dyDescent="0.2">
      <c r="A2953" s="924" t="s">
        <v>853</v>
      </c>
      <c r="B2953" s="924" t="s">
        <v>801</v>
      </c>
      <c r="C2953" s="924" t="s">
        <v>1189</v>
      </c>
      <c r="D2953" s="924" t="s">
        <v>1190</v>
      </c>
      <c r="E2953" s="924" t="s">
        <v>856</v>
      </c>
      <c r="F2953" s="924" t="s">
        <v>1121</v>
      </c>
      <c r="G2953" s="924" t="s">
        <v>981</v>
      </c>
      <c r="H2953" s="924" t="s">
        <v>835</v>
      </c>
      <c r="I2953" s="924" t="s">
        <v>1040</v>
      </c>
      <c r="J2953" s="924" t="s">
        <v>875</v>
      </c>
      <c r="K2953" s="924" t="s">
        <v>948</v>
      </c>
      <c r="L2953" s="925">
        <v>83.575198650360093</v>
      </c>
      <c r="M2953" s="925">
        <v>5.2279264236517499E-2</v>
      </c>
    </row>
    <row r="2954" spans="1:13" ht="11.25" customHeight="1" x14ac:dyDescent="0.2">
      <c r="A2954" s="924" t="s">
        <v>853</v>
      </c>
      <c r="B2954" s="924" t="s">
        <v>801</v>
      </c>
      <c r="C2954" s="924" t="s">
        <v>1189</v>
      </c>
      <c r="D2954" s="924" t="s">
        <v>1190</v>
      </c>
      <c r="E2954" s="924" t="s">
        <v>856</v>
      </c>
      <c r="F2954" s="924" t="s">
        <v>1122</v>
      </c>
      <c r="G2954" s="924" t="s">
        <v>981</v>
      </c>
      <c r="H2954" s="924" t="s">
        <v>835</v>
      </c>
      <c r="I2954" s="924" t="s">
        <v>1040</v>
      </c>
      <c r="J2954" s="924" t="s">
        <v>875</v>
      </c>
      <c r="K2954" s="924" t="s">
        <v>950</v>
      </c>
      <c r="L2954" s="925">
        <v>132.18991088867199</v>
      </c>
      <c r="M2954" s="925">
        <v>9.1679318105519797E-2</v>
      </c>
    </row>
    <row r="2955" spans="1:13" ht="11.25" customHeight="1" x14ac:dyDescent="0.2">
      <c r="A2955" s="924" t="s">
        <v>853</v>
      </c>
      <c r="B2955" s="924" t="s">
        <v>801</v>
      </c>
      <c r="C2955" s="924" t="s">
        <v>1189</v>
      </c>
      <c r="D2955" s="924" t="s">
        <v>1190</v>
      </c>
      <c r="E2955" s="924" t="s">
        <v>856</v>
      </c>
      <c r="F2955" s="924" t="s">
        <v>1123</v>
      </c>
      <c r="G2955" s="924" t="s">
        <v>981</v>
      </c>
      <c r="H2955" s="924" t="s">
        <v>835</v>
      </c>
      <c r="I2955" s="924" t="s">
        <v>1040</v>
      </c>
      <c r="J2955" s="924" t="s">
        <v>875</v>
      </c>
      <c r="K2955" s="924" t="s">
        <v>952</v>
      </c>
      <c r="L2955" s="925">
        <v>6.2010772302746799</v>
      </c>
      <c r="M2955" s="925">
        <v>4.3136773366070401E-3</v>
      </c>
    </row>
    <row r="2956" spans="1:13" ht="11.25" customHeight="1" x14ac:dyDescent="0.2">
      <c r="A2956" s="924" t="s">
        <v>853</v>
      </c>
      <c r="B2956" s="924" t="s">
        <v>801</v>
      </c>
      <c r="C2956" s="924" t="s">
        <v>1189</v>
      </c>
      <c r="D2956" s="924" t="s">
        <v>1190</v>
      </c>
      <c r="E2956" s="924" t="s">
        <v>856</v>
      </c>
      <c r="F2956" s="924" t="s">
        <v>1124</v>
      </c>
      <c r="G2956" s="924" t="s">
        <v>981</v>
      </c>
      <c r="H2956" s="924" t="s">
        <v>835</v>
      </c>
      <c r="I2956" s="924" t="s">
        <v>1040</v>
      </c>
      <c r="J2956" s="924" t="s">
        <v>956</v>
      </c>
      <c r="K2956" s="924" t="s">
        <v>1125</v>
      </c>
      <c r="L2956" s="925">
        <v>6.1188985779881504</v>
      </c>
      <c r="M2956" s="925">
        <v>4.8970749349450697E-3</v>
      </c>
    </row>
    <row r="2957" spans="1:13" ht="11.25" customHeight="1" x14ac:dyDescent="0.2">
      <c r="A2957" s="924" t="s">
        <v>853</v>
      </c>
      <c r="B2957" s="924" t="s">
        <v>801</v>
      </c>
      <c r="C2957" s="924" t="s">
        <v>1189</v>
      </c>
      <c r="D2957" s="924" t="s">
        <v>1190</v>
      </c>
      <c r="E2957" s="924" t="s">
        <v>856</v>
      </c>
      <c r="F2957" s="924" t="s">
        <v>1173</v>
      </c>
      <c r="G2957" s="924" t="s">
        <v>981</v>
      </c>
      <c r="H2957" s="924" t="s">
        <v>835</v>
      </c>
      <c r="I2957" s="924" t="s">
        <v>1040</v>
      </c>
      <c r="J2957" s="924" t="s">
        <v>863</v>
      </c>
      <c r="K2957" s="924" t="s">
        <v>1171</v>
      </c>
      <c r="L2957" s="925">
        <v>11.7631330490112</v>
      </c>
      <c r="M2957" s="925">
        <v>9.5219708018703404E-3</v>
      </c>
    </row>
    <row r="2958" spans="1:13" ht="11.25" customHeight="1" x14ac:dyDescent="0.2">
      <c r="A2958" s="924" t="s">
        <v>853</v>
      </c>
      <c r="B2958" s="924" t="s">
        <v>801</v>
      </c>
      <c r="C2958" s="924" t="s">
        <v>1189</v>
      </c>
      <c r="D2958" s="924" t="s">
        <v>1190</v>
      </c>
      <c r="E2958" s="924" t="s">
        <v>856</v>
      </c>
      <c r="F2958" s="924" t="s">
        <v>1042</v>
      </c>
      <c r="G2958" s="924" t="s">
        <v>981</v>
      </c>
      <c r="H2958" s="924" t="s">
        <v>835</v>
      </c>
      <c r="I2958" s="924" t="s">
        <v>998</v>
      </c>
      <c r="J2958" s="924" t="s">
        <v>956</v>
      </c>
      <c r="K2958" s="924" t="s">
        <v>1043</v>
      </c>
      <c r="L2958" s="925">
        <v>2.7451376058161299</v>
      </c>
      <c r="M2958" s="925">
        <v>4.7549058435834004E-3</v>
      </c>
    </row>
    <row r="2959" spans="1:13" ht="11.25" customHeight="1" x14ac:dyDescent="0.2">
      <c r="A2959" s="924" t="s">
        <v>853</v>
      </c>
      <c r="B2959" s="924" t="s">
        <v>801</v>
      </c>
      <c r="C2959" s="924" t="s">
        <v>1189</v>
      </c>
      <c r="D2959" s="924" t="s">
        <v>1190</v>
      </c>
      <c r="E2959" s="924" t="s">
        <v>856</v>
      </c>
      <c r="F2959" s="924" t="s">
        <v>1128</v>
      </c>
      <c r="G2959" s="924" t="s">
        <v>911</v>
      </c>
      <c r="H2959" s="924" t="s">
        <v>665</v>
      </c>
      <c r="I2959" s="924" t="s">
        <v>706</v>
      </c>
      <c r="J2959" s="924" t="s">
        <v>859</v>
      </c>
      <c r="K2959" s="924" t="s">
        <v>913</v>
      </c>
      <c r="L2959" s="925">
        <v>0.37322159158065898</v>
      </c>
      <c r="M2959" s="925">
        <v>4.1152521717435802E-5</v>
      </c>
    </row>
    <row r="2960" spans="1:13" ht="11.25" customHeight="1" x14ac:dyDescent="0.2">
      <c r="A2960" s="924" t="s">
        <v>853</v>
      </c>
      <c r="B2960" s="924" t="s">
        <v>801</v>
      </c>
      <c r="C2960" s="924" t="s">
        <v>1189</v>
      </c>
      <c r="D2960" s="924" t="s">
        <v>1190</v>
      </c>
      <c r="E2960" s="924" t="s">
        <v>856</v>
      </c>
      <c r="F2960" s="924" t="s">
        <v>1118</v>
      </c>
      <c r="G2960" s="924" t="s">
        <v>911</v>
      </c>
      <c r="H2960" s="924" t="s">
        <v>665</v>
      </c>
      <c r="I2960" s="924" t="s">
        <v>706</v>
      </c>
      <c r="J2960" s="924" t="s">
        <v>859</v>
      </c>
      <c r="K2960" s="924" t="s">
        <v>893</v>
      </c>
      <c r="L2960" s="925">
        <v>0.63286777026951302</v>
      </c>
      <c r="M2960" s="925">
        <v>3.06189808725321E-5</v>
      </c>
    </row>
    <row r="2961" spans="1:13" ht="11.25" customHeight="1" x14ac:dyDescent="0.2">
      <c r="A2961" s="924" t="s">
        <v>853</v>
      </c>
      <c r="B2961" s="924" t="s">
        <v>801</v>
      </c>
      <c r="C2961" s="924" t="s">
        <v>1189</v>
      </c>
      <c r="D2961" s="924" t="s">
        <v>1190</v>
      </c>
      <c r="E2961" s="924" t="s">
        <v>856</v>
      </c>
      <c r="F2961" s="924" t="s">
        <v>1129</v>
      </c>
      <c r="G2961" s="924" t="s">
        <v>911</v>
      </c>
      <c r="H2961" s="924" t="s">
        <v>665</v>
      </c>
      <c r="I2961" s="924" t="s">
        <v>706</v>
      </c>
      <c r="J2961" s="924" t="s">
        <v>859</v>
      </c>
      <c r="K2961" s="924" t="s">
        <v>897</v>
      </c>
      <c r="L2961" s="925">
        <v>0.103070388780907</v>
      </c>
      <c r="M2961" s="925">
        <v>3.7462496905504802E-5</v>
      </c>
    </row>
    <row r="2962" spans="1:13" ht="11.25" customHeight="1" x14ac:dyDescent="0.2">
      <c r="A2962" s="924" t="s">
        <v>853</v>
      </c>
      <c r="B2962" s="924" t="s">
        <v>801</v>
      </c>
      <c r="C2962" s="924" t="s">
        <v>1189</v>
      </c>
      <c r="D2962" s="924" t="s">
        <v>1190</v>
      </c>
      <c r="E2962" s="924" t="s">
        <v>856</v>
      </c>
      <c r="F2962" s="924" t="s">
        <v>1130</v>
      </c>
      <c r="G2962" s="924" t="s">
        <v>981</v>
      </c>
      <c r="H2962" s="924" t="s">
        <v>835</v>
      </c>
      <c r="I2962" s="924" t="s">
        <v>1040</v>
      </c>
      <c r="J2962" s="924" t="s">
        <v>870</v>
      </c>
      <c r="K2962" s="924" t="s">
        <v>871</v>
      </c>
      <c r="L2962" s="925">
        <v>9.1867813542485202</v>
      </c>
      <c r="M2962" s="925">
        <v>7.3136990586135696E-3</v>
      </c>
    </row>
    <row r="2963" spans="1:13" ht="11.25" customHeight="1" x14ac:dyDescent="0.2">
      <c r="A2963" s="924" t="s">
        <v>853</v>
      </c>
      <c r="B2963" s="924" t="s">
        <v>801</v>
      </c>
      <c r="C2963" s="924" t="s">
        <v>1189</v>
      </c>
      <c r="D2963" s="924" t="s">
        <v>1190</v>
      </c>
      <c r="E2963" s="924" t="s">
        <v>856</v>
      </c>
      <c r="F2963" s="924" t="s">
        <v>1148</v>
      </c>
      <c r="G2963" s="924" t="s">
        <v>981</v>
      </c>
      <c r="H2963" s="924" t="s">
        <v>835</v>
      </c>
      <c r="I2963" s="924" t="s">
        <v>1040</v>
      </c>
      <c r="J2963" s="924" t="s">
        <v>863</v>
      </c>
      <c r="K2963" s="924" t="s">
        <v>915</v>
      </c>
      <c r="L2963" s="925">
        <v>1.4882882237434401</v>
      </c>
      <c r="M2963" s="925">
        <v>5.5619123691030804E-4</v>
      </c>
    </row>
    <row r="2964" spans="1:13" ht="11.25" customHeight="1" x14ac:dyDescent="0.2">
      <c r="A2964" s="924" t="s">
        <v>853</v>
      </c>
      <c r="B2964" s="924" t="s">
        <v>801</v>
      </c>
      <c r="C2964" s="924" t="s">
        <v>1189</v>
      </c>
      <c r="D2964" s="924" t="s">
        <v>1190</v>
      </c>
      <c r="E2964" s="924" t="s">
        <v>856</v>
      </c>
      <c r="F2964" s="924" t="s">
        <v>1127</v>
      </c>
      <c r="G2964" s="924" t="s">
        <v>911</v>
      </c>
      <c r="H2964" s="924" t="s">
        <v>665</v>
      </c>
      <c r="I2964" s="924" t="s">
        <v>706</v>
      </c>
      <c r="J2964" s="924" t="s">
        <v>884</v>
      </c>
      <c r="K2964" s="924" t="s">
        <v>885</v>
      </c>
      <c r="L2964" s="925">
        <v>7.3753137737512597</v>
      </c>
      <c r="M2964" s="925">
        <v>3.2048308439698299E-3</v>
      </c>
    </row>
    <row r="2965" spans="1:13" ht="11.25" customHeight="1" x14ac:dyDescent="0.2">
      <c r="A2965" s="924" t="s">
        <v>853</v>
      </c>
      <c r="B2965" s="924" t="s">
        <v>801</v>
      </c>
      <c r="C2965" s="924" t="s">
        <v>1189</v>
      </c>
      <c r="D2965" s="924" t="s">
        <v>1190</v>
      </c>
      <c r="E2965" s="924" t="s">
        <v>856</v>
      </c>
      <c r="F2965" s="924" t="s">
        <v>1135</v>
      </c>
      <c r="G2965" s="924" t="s">
        <v>981</v>
      </c>
      <c r="H2965" s="924" t="s">
        <v>835</v>
      </c>
      <c r="I2965" s="924" t="s">
        <v>1040</v>
      </c>
      <c r="J2965" s="924" t="s">
        <v>863</v>
      </c>
      <c r="K2965" s="924" t="s">
        <v>935</v>
      </c>
      <c r="L2965" s="925">
        <v>17.447648540139198</v>
      </c>
      <c r="M2965" s="925">
        <v>6.2949779385235204E-3</v>
      </c>
    </row>
    <row r="2966" spans="1:13" ht="11.25" customHeight="1" x14ac:dyDescent="0.2">
      <c r="A2966" s="924" t="s">
        <v>853</v>
      </c>
      <c r="B2966" s="924" t="s">
        <v>801</v>
      </c>
      <c r="C2966" s="924" t="s">
        <v>1189</v>
      </c>
      <c r="D2966" s="924" t="s">
        <v>1190</v>
      </c>
      <c r="E2966" s="924" t="s">
        <v>856</v>
      </c>
      <c r="F2966" s="924" t="s">
        <v>1136</v>
      </c>
      <c r="G2966" s="924" t="s">
        <v>981</v>
      </c>
      <c r="H2966" s="924" t="s">
        <v>835</v>
      </c>
      <c r="I2966" s="924" t="s">
        <v>1040</v>
      </c>
      <c r="J2966" s="924" t="s">
        <v>863</v>
      </c>
      <c r="K2966" s="924" t="s">
        <v>864</v>
      </c>
      <c r="L2966" s="925">
        <v>32.785393893718698</v>
      </c>
      <c r="M2966" s="925">
        <v>2.4534548370866101E-2</v>
      </c>
    </row>
    <row r="2967" spans="1:13" ht="11.25" customHeight="1" x14ac:dyDescent="0.2">
      <c r="A2967" s="924" t="s">
        <v>853</v>
      </c>
      <c r="B2967" s="924" t="s">
        <v>801</v>
      </c>
      <c r="C2967" s="924" t="s">
        <v>1189</v>
      </c>
      <c r="D2967" s="924" t="s">
        <v>1190</v>
      </c>
      <c r="E2967" s="924" t="s">
        <v>856</v>
      </c>
      <c r="F2967" s="924" t="s">
        <v>1137</v>
      </c>
      <c r="G2967" s="924" t="s">
        <v>981</v>
      </c>
      <c r="H2967" s="924" t="s">
        <v>835</v>
      </c>
      <c r="I2967" s="924" t="s">
        <v>1040</v>
      </c>
      <c r="J2967" s="924" t="s">
        <v>863</v>
      </c>
      <c r="K2967" s="924" t="s">
        <v>866</v>
      </c>
      <c r="L2967" s="925">
        <v>0.72817777469754197</v>
      </c>
      <c r="M2967" s="925">
        <v>4.8911269277596104E-4</v>
      </c>
    </row>
    <row r="2968" spans="1:13" ht="11.25" customHeight="1" x14ac:dyDescent="0.2">
      <c r="A2968" s="924" t="s">
        <v>853</v>
      </c>
      <c r="B2968" s="924" t="s">
        <v>801</v>
      </c>
      <c r="C2968" s="924" t="s">
        <v>1189</v>
      </c>
      <c r="D2968" s="924" t="s">
        <v>1190</v>
      </c>
      <c r="E2968" s="924" t="s">
        <v>856</v>
      </c>
      <c r="F2968" s="924" t="s">
        <v>1131</v>
      </c>
      <c r="G2968" s="924" t="s">
        <v>981</v>
      </c>
      <c r="H2968" s="924" t="s">
        <v>835</v>
      </c>
      <c r="I2968" s="924" t="s">
        <v>1040</v>
      </c>
      <c r="J2968" s="924" t="s">
        <v>863</v>
      </c>
      <c r="K2968" s="924" t="s">
        <v>868</v>
      </c>
      <c r="L2968" s="925">
        <v>7.1746231168508503</v>
      </c>
      <c r="M2968" s="925">
        <v>5.0775898262145304E-4</v>
      </c>
    </row>
    <row r="2969" spans="1:13" ht="11.25" customHeight="1" x14ac:dyDescent="0.2">
      <c r="A2969" s="924" t="s">
        <v>853</v>
      </c>
      <c r="B2969" s="924" t="s">
        <v>801</v>
      </c>
      <c r="C2969" s="924" t="s">
        <v>1189</v>
      </c>
      <c r="D2969" s="924" t="s">
        <v>1190</v>
      </c>
      <c r="E2969" s="924" t="s">
        <v>856</v>
      </c>
      <c r="F2969" s="924" t="s">
        <v>1139</v>
      </c>
      <c r="G2969" s="924" t="s">
        <v>981</v>
      </c>
      <c r="H2969" s="924" t="s">
        <v>835</v>
      </c>
      <c r="I2969" s="924" t="s">
        <v>1040</v>
      </c>
      <c r="J2969" s="924" t="s">
        <v>940</v>
      </c>
      <c r="K2969" s="924" t="s">
        <v>1140</v>
      </c>
      <c r="L2969" s="925">
        <v>150.897343039513</v>
      </c>
      <c r="M2969" s="925">
        <v>0.110474761427795</v>
      </c>
    </row>
    <row r="2970" spans="1:13" ht="11.25" customHeight="1" x14ac:dyDescent="0.2">
      <c r="A2970" s="924" t="s">
        <v>853</v>
      </c>
      <c r="B2970" s="924" t="s">
        <v>801</v>
      </c>
      <c r="C2970" s="924" t="s">
        <v>1189</v>
      </c>
      <c r="D2970" s="924" t="s">
        <v>1190</v>
      </c>
      <c r="E2970" s="924" t="s">
        <v>856</v>
      </c>
      <c r="F2970" s="924" t="s">
        <v>1141</v>
      </c>
      <c r="G2970" s="924" t="s">
        <v>981</v>
      </c>
      <c r="H2970" s="924" t="s">
        <v>835</v>
      </c>
      <c r="I2970" s="924" t="s">
        <v>1040</v>
      </c>
      <c r="J2970" s="924" t="s">
        <v>940</v>
      </c>
      <c r="K2970" s="924" t="s">
        <v>1142</v>
      </c>
      <c r="L2970" s="925">
        <v>272.996328234673</v>
      </c>
      <c r="M2970" s="925">
        <v>0.20127496711211301</v>
      </c>
    </row>
    <row r="2971" spans="1:13" ht="11.25" customHeight="1" x14ac:dyDescent="0.2">
      <c r="A2971" s="924" t="s">
        <v>853</v>
      </c>
      <c r="B2971" s="924" t="s">
        <v>801</v>
      </c>
      <c r="C2971" s="924" t="s">
        <v>1189</v>
      </c>
      <c r="D2971" s="924" t="s">
        <v>1190</v>
      </c>
      <c r="E2971" s="924" t="s">
        <v>856</v>
      </c>
      <c r="F2971" s="924" t="s">
        <v>1143</v>
      </c>
      <c r="G2971" s="924" t="s">
        <v>981</v>
      </c>
      <c r="H2971" s="924" t="s">
        <v>835</v>
      </c>
      <c r="I2971" s="924" t="s">
        <v>1040</v>
      </c>
      <c r="J2971" s="924" t="s">
        <v>940</v>
      </c>
      <c r="K2971" s="924" t="s">
        <v>1084</v>
      </c>
      <c r="L2971" s="925">
        <v>12.985003300011201</v>
      </c>
      <c r="M2971" s="925">
        <v>9.4913953435025195E-3</v>
      </c>
    </row>
    <row r="2972" spans="1:13" ht="11.25" customHeight="1" x14ac:dyDescent="0.2">
      <c r="A2972" s="924" t="s">
        <v>853</v>
      </c>
      <c r="B2972" s="924" t="s">
        <v>801</v>
      </c>
      <c r="C2972" s="924" t="s">
        <v>1189</v>
      </c>
      <c r="D2972" s="924" t="s">
        <v>1190</v>
      </c>
      <c r="E2972" s="924" t="s">
        <v>856</v>
      </c>
      <c r="F2972" s="924" t="s">
        <v>1144</v>
      </c>
      <c r="G2972" s="924" t="s">
        <v>981</v>
      </c>
      <c r="H2972" s="924" t="s">
        <v>835</v>
      </c>
      <c r="I2972" s="924" t="s">
        <v>1040</v>
      </c>
      <c r="J2972" s="924" t="s">
        <v>940</v>
      </c>
      <c r="K2972" s="924" t="s">
        <v>1070</v>
      </c>
      <c r="L2972" s="925">
        <v>162.31227147579199</v>
      </c>
      <c r="M2972" s="925">
        <v>0.112966849730583</v>
      </c>
    </row>
    <row r="2973" spans="1:13" ht="11.25" customHeight="1" x14ac:dyDescent="0.2">
      <c r="A2973" s="924" t="s">
        <v>853</v>
      </c>
      <c r="B2973" s="924" t="s">
        <v>801</v>
      </c>
      <c r="C2973" s="924" t="s">
        <v>1189</v>
      </c>
      <c r="D2973" s="924" t="s">
        <v>1190</v>
      </c>
      <c r="E2973" s="924" t="s">
        <v>856</v>
      </c>
      <c r="F2973" s="924" t="s">
        <v>1149</v>
      </c>
      <c r="G2973" s="924" t="s">
        <v>981</v>
      </c>
      <c r="H2973" s="924" t="s">
        <v>835</v>
      </c>
      <c r="I2973" s="924" t="s">
        <v>1040</v>
      </c>
      <c r="J2973" s="924" t="s">
        <v>940</v>
      </c>
      <c r="K2973" s="924" t="s">
        <v>1091</v>
      </c>
      <c r="L2973" s="925">
        <v>0.83679023757576898</v>
      </c>
      <c r="M2973" s="925">
        <v>5.84033767609071E-4</v>
      </c>
    </row>
    <row r="2974" spans="1:13" ht="11.25" customHeight="1" x14ac:dyDescent="0.2">
      <c r="A2974" s="924" t="s">
        <v>853</v>
      </c>
      <c r="B2974" s="924" t="s">
        <v>801</v>
      </c>
      <c r="C2974" s="924" t="s">
        <v>1189</v>
      </c>
      <c r="D2974" s="924" t="s">
        <v>1190</v>
      </c>
      <c r="E2974" s="924" t="s">
        <v>856</v>
      </c>
      <c r="F2974" s="924" t="s">
        <v>1160</v>
      </c>
      <c r="G2974" s="924" t="s">
        <v>981</v>
      </c>
      <c r="H2974" s="924" t="s">
        <v>835</v>
      </c>
      <c r="I2974" s="924" t="s">
        <v>1040</v>
      </c>
      <c r="J2974" s="924" t="s">
        <v>940</v>
      </c>
      <c r="K2974" s="924" t="s">
        <v>1093</v>
      </c>
      <c r="L2974" s="925">
        <v>6.3234509639442003</v>
      </c>
      <c r="M2974" s="925">
        <v>4.4578745291801204E-3</v>
      </c>
    </row>
    <row r="2975" spans="1:13" ht="11.25" customHeight="1" x14ac:dyDescent="0.2">
      <c r="A2975" s="924" t="s">
        <v>853</v>
      </c>
      <c r="B2975" s="924" t="s">
        <v>801</v>
      </c>
      <c r="C2975" s="924" t="s">
        <v>1189</v>
      </c>
      <c r="D2975" s="924" t="s">
        <v>1190</v>
      </c>
      <c r="E2975" s="924" t="s">
        <v>856</v>
      </c>
      <c r="F2975" s="924" t="s">
        <v>1159</v>
      </c>
      <c r="G2975" s="924" t="s">
        <v>981</v>
      </c>
      <c r="H2975" s="924" t="s">
        <v>835</v>
      </c>
      <c r="I2975" s="924" t="s">
        <v>1040</v>
      </c>
      <c r="J2975" s="924" t="s">
        <v>940</v>
      </c>
      <c r="K2975" s="924" t="s">
        <v>1095</v>
      </c>
      <c r="L2975" s="925">
        <v>1.59635049942881</v>
      </c>
      <c r="M2975" s="925">
        <v>1.1143565998281699E-3</v>
      </c>
    </row>
    <row r="2976" spans="1:13" ht="11.25" customHeight="1" x14ac:dyDescent="0.2">
      <c r="A2976" s="924" t="s">
        <v>853</v>
      </c>
      <c r="B2976" s="924" t="s">
        <v>801</v>
      </c>
      <c r="C2976" s="924" t="s">
        <v>1189</v>
      </c>
      <c r="D2976" s="924" t="s">
        <v>1190</v>
      </c>
      <c r="E2976" s="924" t="s">
        <v>856</v>
      </c>
      <c r="F2976" s="924" t="s">
        <v>1146</v>
      </c>
      <c r="G2976" s="924" t="s">
        <v>981</v>
      </c>
      <c r="H2976" s="924" t="s">
        <v>835</v>
      </c>
      <c r="I2976" s="924" t="s">
        <v>1040</v>
      </c>
      <c r="J2976" s="924" t="s">
        <v>940</v>
      </c>
      <c r="K2976" s="924" t="s">
        <v>1147</v>
      </c>
      <c r="L2976" s="925">
        <v>409.04015111923201</v>
      </c>
      <c r="M2976" s="925">
        <v>0.263075795257464</v>
      </c>
    </row>
    <row r="2977" spans="1:13" ht="11.25" customHeight="1" x14ac:dyDescent="0.2">
      <c r="A2977" s="924" t="s">
        <v>853</v>
      </c>
      <c r="B2977" s="924" t="s">
        <v>801</v>
      </c>
      <c r="C2977" s="924" t="s">
        <v>1189</v>
      </c>
      <c r="D2977" s="924" t="s">
        <v>1190</v>
      </c>
      <c r="E2977" s="924" t="s">
        <v>856</v>
      </c>
      <c r="F2977" s="924" t="s">
        <v>1134</v>
      </c>
      <c r="G2977" s="924" t="s">
        <v>981</v>
      </c>
      <c r="H2977" s="924" t="s">
        <v>835</v>
      </c>
      <c r="I2977" s="924" t="s">
        <v>1040</v>
      </c>
      <c r="J2977" s="924" t="s">
        <v>863</v>
      </c>
      <c r="K2977" s="924" t="s">
        <v>933</v>
      </c>
      <c r="L2977" s="925">
        <v>81.044227123260498</v>
      </c>
      <c r="M2977" s="925">
        <v>5.7385779946343999E-3</v>
      </c>
    </row>
    <row r="2978" spans="1:13" ht="11.25" customHeight="1" x14ac:dyDescent="0.2">
      <c r="A2978" s="924" t="s">
        <v>853</v>
      </c>
      <c r="B2978" s="924" t="s">
        <v>801</v>
      </c>
      <c r="C2978" s="924" t="s">
        <v>1189</v>
      </c>
      <c r="D2978" s="924" t="s">
        <v>1190</v>
      </c>
      <c r="E2978" s="924" t="s">
        <v>856</v>
      </c>
      <c r="F2978" s="924" t="s">
        <v>1158</v>
      </c>
      <c r="G2978" s="924" t="s">
        <v>981</v>
      </c>
      <c r="H2978" s="924" t="s">
        <v>835</v>
      </c>
      <c r="I2978" s="924" t="s">
        <v>1040</v>
      </c>
      <c r="J2978" s="924" t="s">
        <v>940</v>
      </c>
      <c r="K2978" s="924" t="s">
        <v>1023</v>
      </c>
      <c r="L2978" s="925">
        <v>259.090749382973</v>
      </c>
      <c r="M2978" s="925">
        <v>0.14880040355956201</v>
      </c>
    </row>
    <row r="2979" spans="1:13" ht="11.25" customHeight="1" x14ac:dyDescent="0.2">
      <c r="A2979" s="924" t="s">
        <v>853</v>
      </c>
      <c r="B2979" s="924" t="s">
        <v>801</v>
      </c>
      <c r="C2979" s="924" t="s">
        <v>1189</v>
      </c>
      <c r="D2979" s="924" t="s">
        <v>1190</v>
      </c>
      <c r="E2979" s="924" t="s">
        <v>856</v>
      </c>
      <c r="F2979" s="924" t="s">
        <v>1132</v>
      </c>
      <c r="G2979" s="924" t="s">
        <v>981</v>
      </c>
      <c r="H2979" s="924" t="s">
        <v>835</v>
      </c>
      <c r="I2979" s="924" t="s">
        <v>1040</v>
      </c>
      <c r="J2979" s="924" t="s">
        <v>940</v>
      </c>
      <c r="K2979" s="924" t="s">
        <v>941</v>
      </c>
      <c r="L2979" s="925">
        <v>78.656482130289106</v>
      </c>
      <c r="M2979" s="925">
        <v>3.43177827162435E-2</v>
      </c>
    </row>
    <row r="2980" spans="1:13" ht="11.25" customHeight="1" x14ac:dyDescent="0.2">
      <c r="A2980" s="924" t="s">
        <v>853</v>
      </c>
      <c r="B2980" s="924" t="s">
        <v>801</v>
      </c>
      <c r="C2980" s="924" t="s">
        <v>1189</v>
      </c>
      <c r="D2980" s="924" t="s">
        <v>1190</v>
      </c>
      <c r="E2980" s="924" t="s">
        <v>856</v>
      </c>
      <c r="F2980" s="924" t="s">
        <v>1145</v>
      </c>
      <c r="G2980" s="924" t="s">
        <v>981</v>
      </c>
      <c r="H2980" s="924" t="s">
        <v>835</v>
      </c>
      <c r="I2980" s="924" t="s">
        <v>1040</v>
      </c>
      <c r="J2980" s="924" t="s">
        <v>940</v>
      </c>
      <c r="K2980" s="924" t="s">
        <v>1029</v>
      </c>
      <c r="L2980" s="925">
        <v>471.38150584697701</v>
      </c>
      <c r="M2980" s="925">
        <v>0.30966587492730502</v>
      </c>
    </row>
    <row r="2981" spans="1:13" ht="11.25" customHeight="1" x14ac:dyDescent="0.2">
      <c r="A2981" s="924" t="s">
        <v>853</v>
      </c>
      <c r="B2981" s="924" t="s">
        <v>801</v>
      </c>
      <c r="C2981" s="924" t="s">
        <v>1189</v>
      </c>
      <c r="D2981" s="924" t="s">
        <v>1190</v>
      </c>
      <c r="E2981" s="924" t="s">
        <v>856</v>
      </c>
      <c r="F2981" s="924" t="s">
        <v>1150</v>
      </c>
      <c r="G2981" s="924" t="s">
        <v>981</v>
      </c>
      <c r="H2981" s="924" t="s">
        <v>835</v>
      </c>
      <c r="I2981" s="924" t="s">
        <v>1040</v>
      </c>
      <c r="J2981" s="924" t="s">
        <v>940</v>
      </c>
      <c r="K2981" s="924" t="s">
        <v>1151</v>
      </c>
      <c r="L2981" s="925">
        <v>18.697670526802501</v>
      </c>
      <c r="M2981" s="925">
        <v>1.31533920357469E-2</v>
      </c>
    </row>
    <row r="2982" spans="1:13" ht="11.25" customHeight="1" x14ac:dyDescent="0.2">
      <c r="A2982" s="924" t="s">
        <v>853</v>
      </c>
      <c r="B2982" s="924" t="s">
        <v>801</v>
      </c>
      <c r="C2982" s="924" t="s">
        <v>1189</v>
      </c>
      <c r="D2982" s="924" t="s">
        <v>1190</v>
      </c>
      <c r="E2982" s="924" t="s">
        <v>856</v>
      </c>
      <c r="F2982" s="924" t="s">
        <v>1161</v>
      </c>
      <c r="G2982" s="924" t="s">
        <v>981</v>
      </c>
      <c r="H2982" s="924" t="s">
        <v>835</v>
      </c>
      <c r="I2982" s="924" t="s">
        <v>1040</v>
      </c>
      <c r="J2982" s="924" t="s">
        <v>940</v>
      </c>
      <c r="K2982" s="924" t="s">
        <v>1027</v>
      </c>
      <c r="L2982" s="925">
        <v>39.180178955197299</v>
      </c>
      <c r="M2982" s="925">
        <v>2.7061530707896998E-2</v>
      </c>
    </row>
    <row r="2983" spans="1:13" ht="11.25" customHeight="1" x14ac:dyDescent="0.2">
      <c r="A2983" s="924" t="s">
        <v>853</v>
      </c>
      <c r="B2983" s="924" t="s">
        <v>801</v>
      </c>
      <c r="C2983" s="924" t="s">
        <v>1189</v>
      </c>
      <c r="D2983" s="924" t="s">
        <v>1190</v>
      </c>
      <c r="E2983" s="924" t="s">
        <v>856</v>
      </c>
      <c r="F2983" s="924" t="s">
        <v>1152</v>
      </c>
      <c r="G2983" s="924" t="s">
        <v>981</v>
      </c>
      <c r="H2983" s="924" t="s">
        <v>835</v>
      </c>
      <c r="I2983" s="924" t="s">
        <v>1040</v>
      </c>
      <c r="J2983" s="924" t="s">
        <v>940</v>
      </c>
      <c r="K2983" s="924" t="s">
        <v>1153</v>
      </c>
      <c r="L2983" s="925">
        <v>34.685819640755703</v>
      </c>
      <c r="M2983" s="925">
        <v>2.27910199901089E-2</v>
      </c>
    </row>
    <row r="2984" spans="1:13" ht="11.25" customHeight="1" x14ac:dyDescent="0.2">
      <c r="A2984" s="924" t="s">
        <v>853</v>
      </c>
      <c r="B2984" s="924" t="s">
        <v>801</v>
      </c>
      <c r="C2984" s="924" t="s">
        <v>1189</v>
      </c>
      <c r="D2984" s="924" t="s">
        <v>1190</v>
      </c>
      <c r="E2984" s="924" t="s">
        <v>856</v>
      </c>
      <c r="F2984" s="924" t="s">
        <v>1154</v>
      </c>
      <c r="G2984" s="924" t="s">
        <v>981</v>
      </c>
      <c r="H2984" s="924" t="s">
        <v>835</v>
      </c>
      <c r="I2984" s="924" t="s">
        <v>1040</v>
      </c>
      <c r="J2984" s="924" t="s">
        <v>940</v>
      </c>
      <c r="K2984" s="924" t="s">
        <v>1155</v>
      </c>
      <c r="L2984" s="925">
        <v>30.513609707355499</v>
      </c>
      <c r="M2984" s="925">
        <v>1.9659020742473401E-2</v>
      </c>
    </row>
    <row r="2985" spans="1:13" ht="11.25" customHeight="1" x14ac:dyDescent="0.2">
      <c r="A2985" s="924" t="s">
        <v>853</v>
      </c>
      <c r="B2985" s="924" t="s">
        <v>801</v>
      </c>
      <c r="C2985" s="924" t="s">
        <v>1189</v>
      </c>
      <c r="D2985" s="924" t="s">
        <v>1190</v>
      </c>
      <c r="E2985" s="924" t="s">
        <v>856</v>
      </c>
      <c r="F2985" s="924" t="s">
        <v>1156</v>
      </c>
      <c r="G2985" s="924" t="s">
        <v>981</v>
      </c>
      <c r="H2985" s="924" t="s">
        <v>835</v>
      </c>
      <c r="I2985" s="924" t="s">
        <v>1040</v>
      </c>
      <c r="J2985" s="924" t="s">
        <v>940</v>
      </c>
      <c r="K2985" s="924" t="s">
        <v>1025</v>
      </c>
      <c r="L2985" s="925">
        <v>103.806182384491</v>
      </c>
      <c r="M2985" s="925">
        <v>0.19476489780936401</v>
      </c>
    </row>
    <row r="2986" spans="1:13" ht="11.25" customHeight="1" x14ac:dyDescent="0.2">
      <c r="A2986" s="924" t="s">
        <v>853</v>
      </c>
      <c r="B2986" s="924" t="s">
        <v>801</v>
      </c>
      <c r="C2986" s="924" t="s">
        <v>1189</v>
      </c>
      <c r="D2986" s="924" t="s">
        <v>1190</v>
      </c>
      <c r="E2986" s="924" t="s">
        <v>856</v>
      </c>
      <c r="F2986" s="924" t="s">
        <v>1157</v>
      </c>
      <c r="G2986" s="924" t="s">
        <v>981</v>
      </c>
      <c r="H2986" s="924" t="s">
        <v>835</v>
      </c>
      <c r="I2986" s="924" t="s">
        <v>1040</v>
      </c>
      <c r="J2986" s="924" t="s">
        <v>940</v>
      </c>
      <c r="K2986" s="924" t="s">
        <v>1098</v>
      </c>
      <c r="L2986" s="925">
        <v>17.189015865325899</v>
      </c>
      <c r="M2986" s="925">
        <v>3.2292768621118698E-2</v>
      </c>
    </row>
    <row r="2987" spans="1:13" ht="11.25" customHeight="1" x14ac:dyDescent="0.2">
      <c r="A2987" s="924" t="s">
        <v>853</v>
      </c>
      <c r="B2987" s="924" t="s">
        <v>802</v>
      </c>
      <c r="C2987" s="924" t="s">
        <v>1191</v>
      </c>
      <c r="D2987" s="924" t="s">
        <v>1176</v>
      </c>
      <c r="E2987" s="924" t="s">
        <v>856</v>
      </c>
      <c r="F2987" s="924" t="s">
        <v>874</v>
      </c>
      <c r="G2987" s="924" t="s">
        <v>862</v>
      </c>
      <c r="H2987" s="924" t="s">
        <v>665</v>
      </c>
      <c r="I2987" s="924" t="s">
        <v>787</v>
      </c>
      <c r="J2987" s="924" t="s">
        <v>875</v>
      </c>
      <c r="K2987" s="924" t="s">
        <v>876</v>
      </c>
      <c r="L2987" s="925">
        <v>238.53853654861501</v>
      </c>
      <c r="M2987" s="925">
        <v>7.2560163363814398</v>
      </c>
    </row>
    <row r="2988" spans="1:13" ht="11.25" customHeight="1" x14ac:dyDescent="0.2">
      <c r="A2988" s="924" t="s">
        <v>853</v>
      </c>
      <c r="B2988" s="924" t="s">
        <v>802</v>
      </c>
      <c r="C2988" s="924" t="s">
        <v>1191</v>
      </c>
      <c r="D2988" s="924" t="s">
        <v>1176</v>
      </c>
      <c r="E2988" s="924" t="s">
        <v>856</v>
      </c>
      <c r="F2988" s="924" t="s">
        <v>912</v>
      </c>
      <c r="G2988" s="924" t="s">
        <v>858</v>
      </c>
      <c r="H2988" s="924" t="s">
        <v>836</v>
      </c>
      <c r="I2988" s="924" t="s">
        <v>837</v>
      </c>
      <c r="J2988" s="924" t="s">
        <v>859</v>
      </c>
      <c r="K2988" s="924" t="s">
        <v>913</v>
      </c>
      <c r="L2988" s="925">
        <v>1181.15037631989</v>
      </c>
      <c r="M2988" s="925">
        <v>1.30073514353626E-2</v>
      </c>
    </row>
    <row r="2989" spans="1:13" ht="11.25" customHeight="1" x14ac:dyDescent="0.2">
      <c r="A2989" s="924" t="s">
        <v>853</v>
      </c>
      <c r="B2989" s="924" t="s">
        <v>802</v>
      </c>
      <c r="C2989" s="924" t="s">
        <v>1191</v>
      </c>
      <c r="D2989" s="924" t="s">
        <v>1176</v>
      </c>
      <c r="E2989" s="924" t="s">
        <v>856</v>
      </c>
      <c r="F2989" s="924" t="s">
        <v>857</v>
      </c>
      <c r="G2989" s="924" t="s">
        <v>858</v>
      </c>
      <c r="H2989" s="924" t="s">
        <v>836</v>
      </c>
      <c r="I2989" s="924" t="s">
        <v>837</v>
      </c>
      <c r="J2989" s="924" t="s">
        <v>859</v>
      </c>
      <c r="K2989" s="924" t="s">
        <v>860</v>
      </c>
      <c r="L2989" s="925">
        <v>31.684511303901701</v>
      </c>
      <c r="M2989" s="925">
        <v>2.9159701115339899E-3</v>
      </c>
    </row>
    <row r="2990" spans="1:13" ht="11.25" customHeight="1" x14ac:dyDescent="0.2">
      <c r="A2990" s="924" t="s">
        <v>853</v>
      </c>
      <c r="B2990" s="924" t="s">
        <v>802</v>
      </c>
      <c r="C2990" s="924" t="s">
        <v>1191</v>
      </c>
      <c r="D2990" s="924" t="s">
        <v>1176</v>
      </c>
      <c r="E2990" s="924" t="s">
        <v>856</v>
      </c>
      <c r="F2990" s="924" t="s">
        <v>888</v>
      </c>
      <c r="G2990" s="924" t="s">
        <v>858</v>
      </c>
      <c r="H2990" s="924" t="s">
        <v>836</v>
      </c>
      <c r="I2990" s="924" t="s">
        <v>837</v>
      </c>
      <c r="J2990" s="924" t="s">
        <v>859</v>
      </c>
      <c r="K2990" s="924" t="s">
        <v>889</v>
      </c>
      <c r="L2990" s="925">
        <v>1.92321123741567</v>
      </c>
      <c r="M2990" s="925">
        <v>2.12203486386731E-4</v>
      </c>
    </row>
    <row r="2991" spans="1:13" ht="11.25" customHeight="1" x14ac:dyDescent="0.2">
      <c r="A2991" s="924" t="s">
        <v>853</v>
      </c>
      <c r="B2991" s="924" t="s">
        <v>802</v>
      </c>
      <c r="C2991" s="924" t="s">
        <v>1191</v>
      </c>
      <c r="D2991" s="924" t="s">
        <v>1176</v>
      </c>
      <c r="E2991" s="924" t="s">
        <v>856</v>
      </c>
      <c r="F2991" s="924" t="s">
        <v>892</v>
      </c>
      <c r="G2991" s="924" t="s">
        <v>858</v>
      </c>
      <c r="H2991" s="924" t="s">
        <v>836</v>
      </c>
      <c r="I2991" s="924" t="s">
        <v>837</v>
      </c>
      <c r="J2991" s="924" t="s">
        <v>859</v>
      </c>
      <c r="K2991" s="924" t="s">
        <v>893</v>
      </c>
      <c r="L2991" s="925">
        <v>2956.7833557128902</v>
      </c>
      <c r="M2991" s="925">
        <v>3.7402758409370997E-2</v>
      </c>
    </row>
    <row r="2992" spans="1:13" ht="11.25" customHeight="1" x14ac:dyDescent="0.2">
      <c r="A2992" s="924" t="s">
        <v>853</v>
      </c>
      <c r="B2992" s="924" t="s">
        <v>802</v>
      </c>
      <c r="C2992" s="924" t="s">
        <v>1191</v>
      </c>
      <c r="D2992" s="924" t="s">
        <v>1176</v>
      </c>
      <c r="E2992" s="924" t="s">
        <v>856</v>
      </c>
      <c r="F2992" s="924" t="s">
        <v>883</v>
      </c>
      <c r="G2992" s="924" t="s">
        <v>858</v>
      </c>
      <c r="H2992" s="924" t="s">
        <v>836</v>
      </c>
      <c r="I2992" s="924" t="s">
        <v>837</v>
      </c>
      <c r="J2992" s="924" t="s">
        <v>884</v>
      </c>
      <c r="K2992" s="924" t="s">
        <v>885</v>
      </c>
      <c r="L2992" s="925">
        <v>236.32279443740799</v>
      </c>
      <c r="M2992" s="925">
        <v>9.0642483992269297E-3</v>
      </c>
    </row>
    <row r="2993" spans="1:13" ht="11.25" customHeight="1" x14ac:dyDescent="0.2">
      <c r="A2993" s="924" t="s">
        <v>853</v>
      </c>
      <c r="B2993" s="924" t="s">
        <v>802</v>
      </c>
      <c r="C2993" s="924" t="s">
        <v>1191</v>
      </c>
      <c r="D2993" s="924" t="s">
        <v>1176</v>
      </c>
      <c r="E2993" s="924" t="s">
        <v>856</v>
      </c>
      <c r="F2993" s="924" t="s">
        <v>881</v>
      </c>
      <c r="G2993" s="924" t="s">
        <v>862</v>
      </c>
      <c r="H2993" s="924" t="s">
        <v>665</v>
      </c>
      <c r="I2993" s="924" t="s">
        <v>787</v>
      </c>
      <c r="J2993" s="924" t="s">
        <v>875</v>
      </c>
      <c r="K2993" s="924" t="s">
        <v>882</v>
      </c>
      <c r="L2993" s="925">
        <v>598.97744178771995</v>
      </c>
      <c r="M2993" s="925">
        <v>2.8622855804860601</v>
      </c>
    </row>
    <row r="2994" spans="1:13" ht="11.25" customHeight="1" x14ac:dyDescent="0.2">
      <c r="A2994" s="924" t="s">
        <v>853</v>
      </c>
      <c r="B2994" s="924" t="s">
        <v>802</v>
      </c>
      <c r="C2994" s="924" t="s">
        <v>1191</v>
      </c>
      <c r="D2994" s="924" t="s">
        <v>1176</v>
      </c>
      <c r="E2994" s="924" t="s">
        <v>856</v>
      </c>
      <c r="F2994" s="924" t="s">
        <v>894</v>
      </c>
      <c r="G2994" s="924" t="s">
        <v>858</v>
      </c>
      <c r="H2994" s="924" t="s">
        <v>836</v>
      </c>
      <c r="I2994" s="924" t="s">
        <v>837</v>
      </c>
      <c r="J2994" s="924" t="s">
        <v>859</v>
      </c>
      <c r="K2994" s="924" t="s">
        <v>895</v>
      </c>
      <c r="L2994" s="925">
        <v>3217.0735740661598</v>
      </c>
      <c r="M2994" s="925">
        <v>2.1309707973159699E-2</v>
      </c>
    </row>
    <row r="2995" spans="1:13" ht="11.25" customHeight="1" x14ac:dyDescent="0.2">
      <c r="A2995" s="924" t="s">
        <v>853</v>
      </c>
      <c r="B2995" s="924" t="s">
        <v>802</v>
      </c>
      <c r="C2995" s="924" t="s">
        <v>1191</v>
      </c>
      <c r="D2995" s="924" t="s">
        <v>1176</v>
      </c>
      <c r="E2995" s="924" t="s">
        <v>856</v>
      </c>
      <c r="F2995" s="924" t="s">
        <v>877</v>
      </c>
      <c r="G2995" s="924" t="s">
        <v>862</v>
      </c>
      <c r="H2995" s="924" t="s">
        <v>665</v>
      </c>
      <c r="I2995" s="924" t="s">
        <v>787</v>
      </c>
      <c r="J2995" s="924" t="s">
        <v>875</v>
      </c>
      <c r="K2995" s="924" t="s">
        <v>878</v>
      </c>
      <c r="L2995" s="925">
        <v>11.410276234149901</v>
      </c>
      <c r="M2995" s="925">
        <v>0.186931125761475</v>
      </c>
    </row>
    <row r="2996" spans="1:13" ht="11.25" customHeight="1" x14ac:dyDescent="0.2">
      <c r="A2996" s="924" t="s">
        <v>853</v>
      </c>
      <c r="B2996" s="924" t="s">
        <v>802</v>
      </c>
      <c r="C2996" s="924" t="s">
        <v>1191</v>
      </c>
      <c r="D2996" s="924" t="s">
        <v>1176</v>
      </c>
      <c r="E2996" s="924" t="s">
        <v>856</v>
      </c>
      <c r="F2996" s="924" t="s">
        <v>906</v>
      </c>
      <c r="G2996" s="924" t="s">
        <v>858</v>
      </c>
      <c r="H2996" s="924" t="s">
        <v>836</v>
      </c>
      <c r="I2996" s="924" t="s">
        <v>837</v>
      </c>
      <c r="J2996" s="924" t="s">
        <v>859</v>
      </c>
      <c r="K2996" s="924" t="s">
        <v>907</v>
      </c>
      <c r="L2996" s="925">
        <v>11982.2498321533</v>
      </c>
      <c r="M2996" s="925">
        <v>7.9771470519517607E-2</v>
      </c>
    </row>
    <row r="2997" spans="1:13" ht="11.25" customHeight="1" x14ac:dyDescent="0.2">
      <c r="A2997" s="924" t="s">
        <v>853</v>
      </c>
      <c r="B2997" s="924" t="s">
        <v>802</v>
      </c>
      <c r="C2997" s="924" t="s">
        <v>1191</v>
      </c>
      <c r="D2997" s="924" t="s">
        <v>1176</v>
      </c>
      <c r="E2997" s="924" t="s">
        <v>856</v>
      </c>
      <c r="F2997" s="924" t="s">
        <v>872</v>
      </c>
      <c r="G2997" s="924" t="s">
        <v>862</v>
      </c>
      <c r="H2997" s="924" t="s">
        <v>665</v>
      </c>
      <c r="I2997" s="924" t="s">
        <v>787</v>
      </c>
      <c r="J2997" s="924" t="s">
        <v>870</v>
      </c>
      <c r="K2997" s="924" t="s">
        <v>873</v>
      </c>
      <c r="L2997" s="925">
        <v>6.0120116211473897</v>
      </c>
      <c r="M2997" s="925">
        <v>2.41984262465849E-2</v>
      </c>
    </row>
    <row r="2998" spans="1:13" ht="11.25" customHeight="1" x14ac:dyDescent="0.2">
      <c r="A2998" s="924" t="s">
        <v>853</v>
      </c>
      <c r="B2998" s="924" t="s">
        <v>802</v>
      </c>
      <c r="C2998" s="924" t="s">
        <v>1191</v>
      </c>
      <c r="D2998" s="924" t="s">
        <v>1176</v>
      </c>
      <c r="E2998" s="924" t="s">
        <v>856</v>
      </c>
      <c r="F2998" s="924" t="s">
        <v>879</v>
      </c>
      <c r="G2998" s="924" t="s">
        <v>862</v>
      </c>
      <c r="H2998" s="924" t="s">
        <v>665</v>
      </c>
      <c r="I2998" s="924" t="s">
        <v>787</v>
      </c>
      <c r="J2998" s="924" t="s">
        <v>875</v>
      </c>
      <c r="K2998" s="924" t="s">
        <v>880</v>
      </c>
      <c r="L2998" s="925">
        <v>16.8296705186367</v>
      </c>
      <c r="M2998" s="925">
        <v>9.4680539288674495E-2</v>
      </c>
    </row>
    <row r="2999" spans="1:13" ht="11.25" customHeight="1" x14ac:dyDescent="0.2">
      <c r="A2999" s="924" t="s">
        <v>853</v>
      </c>
      <c r="B2999" s="924" t="s">
        <v>802</v>
      </c>
      <c r="C2999" s="924" t="s">
        <v>1191</v>
      </c>
      <c r="D2999" s="924" t="s">
        <v>1176</v>
      </c>
      <c r="E2999" s="924" t="s">
        <v>856</v>
      </c>
      <c r="F2999" s="924" t="s">
        <v>896</v>
      </c>
      <c r="G2999" s="924" t="s">
        <v>858</v>
      </c>
      <c r="H2999" s="924" t="s">
        <v>836</v>
      </c>
      <c r="I2999" s="924" t="s">
        <v>837</v>
      </c>
      <c r="J2999" s="924" t="s">
        <v>859</v>
      </c>
      <c r="K2999" s="924" t="s">
        <v>897</v>
      </c>
      <c r="L2999" s="925">
        <v>177.39973282814</v>
      </c>
      <c r="M2999" s="925">
        <v>2.8727788336197998E-3</v>
      </c>
    </row>
    <row r="3000" spans="1:13" ht="11.25" customHeight="1" x14ac:dyDescent="0.2">
      <c r="A3000" s="924" t="s">
        <v>853</v>
      </c>
      <c r="B3000" s="924" t="s">
        <v>802</v>
      </c>
      <c r="C3000" s="924" t="s">
        <v>1191</v>
      </c>
      <c r="D3000" s="924" t="s">
        <v>1176</v>
      </c>
      <c r="E3000" s="924" t="s">
        <v>856</v>
      </c>
      <c r="F3000" s="924" t="s">
        <v>898</v>
      </c>
      <c r="G3000" s="924" t="s">
        <v>858</v>
      </c>
      <c r="H3000" s="924" t="s">
        <v>836</v>
      </c>
      <c r="I3000" s="924" t="s">
        <v>837</v>
      </c>
      <c r="J3000" s="924" t="s">
        <v>859</v>
      </c>
      <c r="K3000" s="924" t="s">
        <v>899</v>
      </c>
      <c r="L3000" s="925">
        <v>108.722824931145</v>
      </c>
      <c r="M3000" s="925">
        <v>1.89112751749576E-3</v>
      </c>
    </row>
    <row r="3001" spans="1:13" ht="11.25" customHeight="1" x14ac:dyDescent="0.2">
      <c r="A3001" s="924" t="s">
        <v>853</v>
      </c>
      <c r="B3001" s="924" t="s">
        <v>802</v>
      </c>
      <c r="C3001" s="924" t="s">
        <v>1191</v>
      </c>
      <c r="D3001" s="924" t="s">
        <v>1176</v>
      </c>
      <c r="E3001" s="924" t="s">
        <v>856</v>
      </c>
      <c r="F3001" s="924" t="s">
        <v>900</v>
      </c>
      <c r="G3001" s="924" t="s">
        <v>858</v>
      </c>
      <c r="H3001" s="924" t="s">
        <v>836</v>
      </c>
      <c r="I3001" s="924" t="s">
        <v>837</v>
      </c>
      <c r="J3001" s="924" t="s">
        <v>859</v>
      </c>
      <c r="K3001" s="924" t="s">
        <v>901</v>
      </c>
      <c r="L3001" s="925">
        <v>326.55227231979399</v>
      </c>
      <c r="M3001" s="925">
        <v>1.42319380536264E-2</v>
      </c>
    </row>
    <row r="3002" spans="1:13" ht="11.25" customHeight="1" x14ac:dyDescent="0.2">
      <c r="A3002" s="924" t="s">
        <v>853</v>
      </c>
      <c r="B3002" s="924" t="s">
        <v>802</v>
      </c>
      <c r="C3002" s="924" t="s">
        <v>1191</v>
      </c>
      <c r="D3002" s="924" t="s">
        <v>1176</v>
      </c>
      <c r="E3002" s="924" t="s">
        <v>856</v>
      </c>
      <c r="F3002" s="924" t="s">
        <v>886</v>
      </c>
      <c r="G3002" s="924" t="s">
        <v>858</v>
      </c>
      <c r="H3002" s="924" t="s">
        <v>836</v>
      </c>
      <c r="I3002" s="924" t="s">
        <v>837</v>
      </c>
      <c r="J3002" s="924" t="s">
        <v>859</v>
      </c>
      <c r="K3002" s="924" t="s">
        <v>887</v>
      </c>
      <c r="L3002" s="925">
        <v>2981.2749404907199</v>
      </c>
      <c r="M3002" s="925">
        <v>2.2064268254325701E-2</v>
      </c>
    </row>
    <row r="3003" spans="1:13" ht="11.25" customHeight="1" x14ac:dyDescent="0.2">
      <c r="A3003" s="924" t="s">
        <v>853</v>
      </c>
      <c r="B3003" s="924" t="s">
        <v>802</v>
      </c>
      <c r="C3003" s="924" t="s">
        <v>1191</v>
      </c>
      <c r="D3003" s="924" t="s">
        <v>1176</v>
      </c>
      <c r="E3003" s="924" t="s">
        <v>856</v>
      </c>
      <c r="F3003" s="924" t="s">
        <v>904</v>
      </c>
      <c r="G3003" s="924" t="s">
        <v>858</v>
      </c>
      <c r="H3003" s="924" t="s">
        <v>836</v>
      </c>
      <c r="I3003" s="924" t="s">
        <v>837</v>
      </c>
      <c r="J3003" s="924" t="s">
        <v>859</v>
      </c>
      <c r="K3003" s="924" t="s">
        <v>905</v>
      </c>
      <c r="L3003" s="925">
        <v>1214.13194942474</v>
      </c>
      <c r="M3003" s="925">
        <v>2.3001049477898099E-2</v>
      </c>
    </row>
    <row r="3004" spans="1:13" ht="11.25" customHeight="1" x14ac:dyDescent="0.2">
      <c r="A3004" s="924" t="s">
        <v>853</v>
      </c>
      <c r="B3004" s="924" t="s">
        <v>802</v>
      </c>
      <c r="C3004" s="924" t="s">
        <v>1191</v>
      </c>
      <c r="D3004" s="924" t="s">
        <v>1176</v>
      </c>
      <c r="E3004" s="924" t="s">
        <v>856</v>
      </c>
      <c r="F3004" s="924" t="s">
        <v>908</v>
      </c>
      <c r="G3004" s="924" t="s">
        <v>858</v>
      </c>
      <c r="H3004" s="924" t="s">
        <v>836</v>
      </c>
      <c r="I3004" s="924" t="s">
        <v>837</v>
      </c>
      <c r="J3004" s="924" t="s">
        <v>859</v>
      </c>
      <c r="K3004" s="924" t="s">
        <v>909</v>
      </c>
      <c r="L3004" s="925">
        <v>99.687561273574801</v>
      </c>
      <c r="M3004" s="925">
        <v>2.0864978001497998E-3</v>
      </c>
    </row>
    <row r="3005" spans="1:13" ht="11.25" customHeight="1" x14ac:dyDescent="0.2">
      <c r="A3005" s="924" t="s">
        <v>853</v>
      </c>
      <c r="B3005" s="924" t="s">
        <v>802</v>
      </c>
      <c r="C3005" s="924" t="s">
        <v>1191</v>
      </c>
      <c r="D3005" s="924" t="s">
        <v>1176</v>
      </c>
      <c r="E3005" s="924" t="s">
        <v>856</v>
      </c>
      <c r="F3005" s="924" t="s">
        <v>972</v>
      </c>
      <c r="G3005" s="924" t="s">
        <v>858</v>
      </c>
      <c r="H3005" s="924" t="s">
        <v>836</v>
      </c>
      <c r="I3005" s="924" t="s">
        <v>837</v>
      </c>
      <c r="J3005" s="924" t="s">
        <v>859</v>
      </c>
      <c r="K3005" s="924" t="s">
        <v>973</v>
      </c>
      <c r="L3005" s="925">
        <v>47.396705746650703</v>
      </c>
      <c r="M3005" s="925">
        <v>1.2074006523619099E-3</v>
      </c>
    </row>
    <row r="3006" spans="1:13" ht="11.25" customHeight="1" x14ac:dyDescent="0.2">
      <c r="A3006" s="924" t="s">
        <v>853</v>
      </c>
      <c r="B3006" s="924" t="s">
        <v>802</v>
      </c>
      <c r="C3006" s="924" t="s">
        <v>1191</v>
      </c>
      <c r="D3006" s="924" t="s">
        <v>1176</v>
      </c>
      <c r="E3006" s="924" t="s">
        <v>856</v>
      </c>
      <c r="F3006" s="924" t="s">
        <v>1037</v>
      </c>
      <c r="G3006" s="924" t="s">
        <v>858</v>
      </c>
      <c r="H3006" s="924" t="s">
        <v>836</v>
      </c>
      <c r="I3006" s="924" t="s">
        <v>837</v>
      </c>
      <c r="J3006" s="924" t="s">
        <v>859</v>
      </c>
      <c r="K3006" s="924" t="s">
        <v>918</v>
      </c>
      <c r="L3006" s="925">
        <v>2739.48171234131</v>
      </c>
      <c r="M3006" s="925">
        <v>2.6512262061260099E-2</v>
      </c>
    </row>
    <row r="3007" spans="1:13" ht="11.25" customHeight="1" x14ac:dyDescent="0.2">
      <c r="A3007" s="924" t="s">
        <v>853</v>
      </c>
      <c r="B3007" s="924" t="s">
        <v>802</v>
      </c>
      <c r="C3007" s="924" t="s">
        <v>1191</v>
      </c>
      <c r="D3007" s="924" t="s">
        <v>1176</v>
      </c>
      <c r="E3007" s="924" t="s">
        <v>856</v>
      </c>
      <c r="F3007" s="924" t="s">
        <v>869</v>
      </c>
      <c r="G3007" s="924" t="s">
        <v>862</v>
      </c>
      <c r="H3007" s="924" t="s">
        <v>665</v>
      </c>
      <c r="I3007" s="924" t="s">
        <v>787</v>
      </c>
      <c r="J3007" s="924" t="s">
        <v>870</v>
      </c>
      <c r="K3007" s="924" t="s">
        <v>871</v>
      </c>
      <c r="L3007" s="925">
        <v>5.4654759907862199E-2</v>
      </c>
      <c r="M3007" s="925">
        <v>3.1359554902792301E-3</v>
      </c>
    </row>
    <row r="3008" spans="1:13" ht="11.25" customHeight="1" x14ac:dyDescent="0.2">
      <c r="A3008" s="924" t="s">
        <v>853</v>
      </c>
      <c r="B3008" s="924" t="s">
        <v>802</v>
      </c>
      <c r="C3008" s="924" t="s">
        <v>1191</v>
      </c>
      <c r="D3008" s="924" t="s">
        <v>1176</v>
      </c>
      <c r="E3008" s="924" t="s">
        <v>856</v>
      </c>
      <c r="F3008" s="924" t="s">
        <v>1071</v>
      </c>
      <c r="G3008" s="924" t="s">
        <v>858</v>
      </c>
      <c r="H3008" s="924" t="s">
        <v>836</v>
      </c>
      <c r="I3008" s="924" t="s">
        <v>837</v>
      </c>
      <c r="J3008" s="924" t="s">
        <v>859</v>
      </c>
      <c r="K3008" s="924" t="s">
        <v>1072</v>
      </c>
      <c r="L3008" s="925">
        <v>10254.8388214111</v>
      </c>
      <c r="M3008" s="925">
        <v>9.1203483770186694E-2</v>
      </c>
    </row>
    <row r="3009" spans="1:13" ht="11.25" customHeight="1" x14ac:dyDescent="0.2">
      <c r="A3009" s="924" t="s">
        <v>853</v>
      </c>
      <c r="B3009" s="924" t="s">
        <v>802</v>
      </c>
      <c r="C3009" s="924" t="s">
        <v>1191</v>
      </c>
      <c r="D3009" s="924" t="s">
        <v>1176</v>
      </c>
      <c r="E3009" s="924" t="s">
        <v>856</v>
      </c>
      <c r="F3009" s="924" t="s">
        <v>943</v>
      </c>
      <c r="G3009" s="924" t="s">
        <v>911</v>
      </c>
      <c r="H3009" s="924" t="s">
        <v>665</v>
      </c>
      <c r="I3009" s="924" t="s">
        <v>706</v>
      </c>
      <c r="J3009" s="924" t="s">
        <v>870</v>
      </c>
      <c r="K3009" s="924" t="s">
        <v>873</v>
      </c>
      <c r="L3009" s="925">
        <v>5.9021185021265403E-2</v>
      </c>
      <c r="M3009" s="925">
        <v>2.6802005725912198E-6</v>
      </c>
    </row>
    <row r="3010" spans="1:13" ht="11.25" customHeight="1" x14ac:dyDescent="0.2">
      <c r="A3010" s="924" t="s">
        <v>853</v>
      </c>
      <c r="B3010" s="924" t="s">
        <v>802</v>
      </c>
      <c r="C3010" s="924" t="s">
        <v>1191</v>
      </c>
      <c r="D3010" s="924" t="s">
        <v>1176</v>
      </c>
      <c r="E3010" s="924" t="s">
        <v>856</v>
      </c>
      <c r="F3010" s="924" t="s">
        <v>923</v>
      </c>
      <c r="G3010" s="924" t="s">
        <v>911</v>
      </c>
      <c r="H3010" s="924" t="s">
        <v>665</v>
      </c>
      <c r="I3010" s="924" t="s">
        <v>706</v>
      </c>
      <c r="J3010" s="924" t="s">
        <v>859</v>
      </c>
      <c r="K3010" s="924" t="s">
        <v>924</v>
      </c>
      <c r="L3010" s="925">
        <v>47.140266954898799</v>
      </c>
      <c r="M3010" s="925">
        <v>2.49919234556728E-3</v>
      </c>
    </row>
    <row r="3011" spans="1:13" ht="11.25" customHeight="1" x14ac:dyDescent="0.2">
      <c r="A3011" s="924" t="s">
        <v>853</v>
      </c>
      <c r="B3011" s="924" t="s">
        <v>802</v>
      </c>
      <c r="C3011" s="924" t="s">
        <v>1191</v>
      </c>
      <c r="D3011" s="924" t="s">
        <v>1176</v>
      </c>
      <c r="E3011" s="924" t="s">
        <v>856</v>
      </c>
      <c r="F3011" s="924" t="s">
        <v>902</v>
      </c>
      <c r="G3011" s="924" t="s">
        <v>858</v>
      </c>
      <c r="H3011" s="924" t="s">
        <v>836</v>
      </c>
      <c r="I3011" s="924" t="s">
        <v>837</v>
      </c>
      <c r="J3011" s="924" t="s">
        <v>859</v>
      </c>
      <c r="K3011" s="924" t="s">
        <v>903</v>
      </c>
      <c r="L3011" s="925">
        <v>1402.2605800628701</v>
      </c>
      <c r="M3011" s="925">
        <v>2.43766382623107E-2</v>
      </c>
    </row>
    <row r="3012" spans="1:13" ht="11.25" customHeight="1" x14ac:dyDescent="0.2">
      <c r="A3012" s="924" t="s">
        <v>853</v>
      </c>
      <c r="B3012" s="924" t="s">
        <v>802</v>
      </c>
      <c r="C3012" s="924" t="s">
        <v>1191</v>
      </c>
      <c r="D3012" s="924" t="s">
        <v>1176</v>
      </c>
      <c r="E3012" s="924" t="s">
        <v>856</v>
      </c>
      <c r="F3012" s="924" t="s">
        <v>942</v>
      </c>
      <c r="G3012" s="924" t="s">
        <v>911</v>
      </c>
      <c r="H3012" s="924" t="s">
        <v>665</v>
      </c>
      <c r="I3012" s="924" t="s">
        <v>706</v>
      </c>
      <c r="J3012" s="924" t="s">
        <v>870</v>
      </c>
      <c r="K3012" s="924" t="s">
        <v>871</v>
      </c>
      <c r="L3012" s="925">
        <v>2.9036610052571601E-2</v>
      </c>
      <c r="M3012" s="925">
        <v>1.8121980360774601E-5</v>
      </c>
    </row>
    <row r="3013" spans="1:13" ht="11.25" customHeight="1" x14ac:dyDescent="0.2">
      <c r="A3013" s="924" t="s">
        <v>853</v>
      </c>
      <c r="B3013" s="924" t="s">
        <v>802</v>
      </c>
      <c r="C3013" s="924" t="s">
        <v>1191</v>
      </c>
      <c r="D3013" s="924" t="s">
        <v>1176</v>
      </c>
      <c r="E3013" s="924" t="s">
        <v>856</v>
      </c>
      <c r="F3013" s="924" t="s">
        <v>925</v>
      </c>
      <c r="G3013" s="924" t="s">
        <v>911</v>
      </c>
      <c r="H3013" s="924" t="s">
        <v>665</v>
      </c>
      <c r="I3013" s="924" t="s">
        <v>706</v>
      </c>
      <c r="J3013" s="924" t="s">
        <v>859</v>
      </c>
      <c r="K3013" s="924" t="s">
        <v>926</v>
      </c>
      <c r="L3013" s="925">
        <v>4.9827287979424</v>
      </c>
      <c r="M3013" s="925">
        <v>2.2971164867158201E-4</v>
      </c>
    </row>
    <row r="3014" spans="1:13" ht="11.25" customHeight="1" x14ac:dyDescent="0.2">
      <c r="A3014" s="924" t="s">
        <v>853</v>
      </c>
      <c r="B3014" s="924" t="s">
        <v>802</v>
      </c>
      <c r="C3014" s="924" t="s">
        <v>1191</v>
      </c>
      <c r="D3014" s="924" t="s">
        <v>1176</v>
      </c>
      <c r="E3014" s="924" t="s">
        <v>1164</v>
      </c>
      <c r="F3014" s="924" t="s">
        <v>1168</v>
      </c>
      <c r="G3014" s="924" t="s">
        <v>858</v>
      </c>
      <c r="H3014" s="924" t="s">
        <v>836</v>
      </c>
      <c r="I3014" s="924" t="s">
        <v>837</v>
      </c>
      <c r="J3014" s="924" t="s">
        <v>1166</v>
      </c>
      <c r="K3014" s="924" t="s">
        <v>1166</v>
      </c>
      <c r="L3014" s="925">
        <v>7.17911720275879</v>
      </c>
      <c r="M3014" s="925">
        <v>9.1837427493857095E-5</v>
      </c>
    </row>
    <row r="3015" spans="1:13" ht="11.25" customHeight="1" x14ac:dyDescent="0.2">
      <c r="A3015" s="924" t="s">
        <v>853</v>
      </c>
      <c r="B3015" s="924" t="s">
        <v>802</v>
      </c>
      <c r="C3015" s="924" t="s">
        <v>1191</v>
      </c>
      <c r="D3015" s="924" t="s">
        <v>1176</v>
      </c>
      <c r="E3015" s="924" t="s">
        <v>856</v>
      </c>
      <c r="F3015" s="924" t="s">
        <v>927</v>
      </c>
      <c r="G3015" s="924" t="s">
        <v>911</v>
      </c>
      <c r="H3015" s="924" t="s">
        <v>665</v>
      </c>
      <c r="I3015" s="924" t="s">
        <v>706</v>
      </c>
      <c r="J3015" s="924" t="s">
        <v>859</v>
      </c>
      <c r="K3015" s="924" t="s">
        <v>928</v>
      </c>
      <c r="L3015" s="925">
        <v>40.5133280754089</v>
      </c>
      <c r="M3015" s="925">
        <v>1.20153824773297E-2</v>
      </c>
    </row>
    <row r="3016" spans="1:13" ht="11.25" customHeight="1" x14ac:dyDescent="0.2">
      <c r="A3016" s="924" t="s">
        <v>853</v>
      </c>
      <c r="B3016" s="924" t="s">
        <v>802</v>
      </c>
      <c r="C3016" s="924" t="s">
        <v>1191</v>
      </c>
      <c r="D3016" s="924" t="s">
        <v>1176</v>
      </c>
      <c r="E3016" s="924" t="s">
        <v>856</v>
      </c>
      <c r="F3016" s="924" t="s">
        <v>921</v>
      </c>
      <c r="G3016" s="924" t="s">
        <v>911</v>
      </c>
      <c r="H3016" s="924" t="s">
        <v>665</v>
      </c>
      <c r="I3016" s="924" t="s">
        <v>706</v>
      </c>
      <c r="J3016" s="924" t="s">
        <v>859</v>
      </c>
      <c r="K3016" s="924" t="s">
        <v>922</v>
      </c>
      <c r="L3016" s="925">
        <v>19.1997458785772</v>
      </c>
      <c r="M3016" s="925">
        <v>2.5644173788350599E-3</v>
      </c>
    </row>
    <row r="3017" spans="1:13" ht="11.25" customHeight="1" x14ac:dyDescent="0.2">
      <c r="A3017" s="924" t="s">
        <v>853</v>
      </c>
      <c r="B3017" s="924" t="s">
        <v>802</v>
      </c>
      <c r="C3017" s="924" t="s">
        <v>1191</v>
      </c>
      <c r="D3017" s="924" t="s">
        <v>1176</v>
      </c>
      <c r="E3017" s="924" t="s">
        <v>856</v>
      </c>
      <c r="F3017" s="924" t="s">
        <v>929</v>
      </c>
      <c r="G3017" s="924" t="s">
        <v>911</v>
      </c>
      <c r="H3017" s="924" t="s">
        <v>665</v>
      </c>
      <c r="I3017" s="924" t="s">
        <v>706</v>
      </c>
      <c r="J3017" s="924" t="s">
        <v>859</v>
      </c>
      <c r="K3017" s="924" t="s">
        <v>891</v>
      </c>
      <c r="L3017" s="925">
        <v>16.679361939430201</v>
      </c>
      <c r="M3017" s="925">
        <v>6.6829010884248401E-3</v>
      </c>
    </row>
    <row r="3018" spans="1:13" ht="11.25" customHeight="1" x14ac:dyDescent="0.2">
      <c r="A3018" s="924" t="s">
        <v>853</v>
      </c>
      <c r="B3018" s="924" t="s">
        <v>802</v>
      </c>
      <c r="C3018" s="924" t="s">
        <v>1191</v>
      </c>
      <c r="D3018" s="924" t="s">
        <v>1176</v>
      </c>
      <c r="E3018" s="924" t="s">
        <v>856</v>
      </c>
      <c r="F3018" s="924" t="s">
        <v>930</v>
      </c>
      <c r="G3018" s="924" t="s">
        <v>911</v>
      </c>
      <c r="H3018" s="924" t="s">
        <v>665</v>
      </c>
      <c r="I3018" s="924" t="s">
        <v>706</v>
      </c>
      <c r="J3018" s="924" t="s">
        <v>863</v>
      </c>
      <c r="K3018" s="924" t="s">
        <v>931</v>
      </c>
      <c r="L3018" s="925">
        <v>186.21116042137101</v>
      </c>
      <c r="M3018" s="925">
        <v>3.7948433651763501E-2</v>
      </c>
    </row>
    <row r="3019" spans="1:13" ht="11.25" customHeight="1" x14ac:dyDescent="0.2">
      <c r="A3019" s="924" t="s">
        <v>853</v>
      </c>
      <c r="B3019" s="924" t="s">
        <v>802</v>
      </c>
      <c r="C3019" s="924" t="s">
        <v>1191</v>
      </c>
      <c r="D3019" s="924" t="s">
        <v>1176</v>
      </c>
      <c r="E3019" s="924" t="s">
        <v>856</v>
      </c>
      <c r="F3019" s="924" t="s">
        <v>932</v>
      </c>
      <c r="G3019" s="924" t="s">
        <v>911</v>
      </c>
      <c r="H3019" s="924" t="s">
        <v>665</v>
      </c>
      <c r="I3019" s="924" t="s">
        <v>706</v>
      </c>
      <c r="J3019" s="924" t="s">
        <v>863</v>
      </c>
      <c r="K3019" s="924" t="s">
        <v>933</v>
      </c>
      <c r="L3019" s="925">
        <v>17323.5495452881</v>
      </c>
      <c r="M3019" s="925">
        <v>0.83722524903714701</v>
      </c>
    </row>
    <row r="3020" spans="1:13" ht="11.25" customHeight="1" x14ac:dyDescent="0.2">
      <c r="A3020" s="924" t="s">
        <v>853</v>
      </c>
      <c r="B3020" s="924" t="s">
        <v>802</v>
      </c>
      <c r="C3020" s="924" t="s">
        <v>1191</v>
      </c>
      <c r="D3020" s="924" t="s">
        <v>1176</v>
      </c>
      <c r="E3020" s="924" t="s">
        <v>856</v>
      </c>
      <c r="F3020" s="924" t="s">
        <v>954</v>
      </c>
      <c r="G3020" s="924" t="s">
        <v>911</v>
      </c>
      <c r="H3020" s="924" t="s">
        <v>665</v>
      </c>
      <c r="I3020" s="924" t="s">
        <v>706</v>
      </c>
      <c r="J3020" s="924" t="s">
        <v>863</v>
      </c>
      <c r="K3020" s="924" t="s">
        <v>935</v>
      </c>
      <c r="L3020" s="925">
        <v>129.258051395416</v>
      </c>
      <c r="M3020" s="925">
        <v>6.1029754360788502E-3</v>
      </c>
    </row>
    <row r="3021" spans="1:13" ht="11.25" customHeight="1" x14ac:dyDescent="0.2">
      <c r="A3021" s="924" t="s">
        <v>853</v>
      </c>
      <c r="B3021" s="924" t="s">
        <v>802</v>
      </c>
      <c r="C3021" s="924" t="s">
        <v>1191</v>
      </c>
      <c r="D3021" s="924" t="s">
        <v>1176</v>
      </c>
      <c r="E3021" s="924" t="s">
        <v>856</v>
      </c>
      <c r="F3021" s="924" t="s">
        <v>936</v>
      </c>
      <c r="G3021" s="924" t="s">
        <v>911</v>
      </c>
      <c r="H3021" s="924" t="s">
        <v>665</v>
      </c>
      <c r="I3021" s="924" t="s">
        <v>706</v>
      </c>
      <c r="J3021" s="924" t="s">
        <v>863</v>
      </c>
      <c r="K3021" s="924" t="s">
        <v>864</v>
      </c>
      <c r="L3021" s="925">
        <v>40.770814478397398</v>
      </c>
      <c r="M3021" s="925">
        <v>1.8976555038534601E-3</v>
      </c>
    </row>
    <row r="3022" spans="1:13" ht="11.25" customHeight="1" x14ac:dyDescent="0.2">
      <c r="A3022" s="924" t="s">
        <v>853</v>
      </c>
      <c r="B3022" s="924" t="s">
        <v>802</v>
      </c>
      <c r="C3022" s="924" t="s">
        <v>1191</v>
      </c>
      <c r="D3022" s="924" t="s">
        <v>1176</v>
      </c>
      <c r="E3022" s="924" t="s">
        <v>856</v>
      </c>
      <c r="F3022" s="924" t="s">
        <v>914</v>
      </c>
      <c r="G3022" s="924" t="s">
        <v>911</v>
      </c>
      <c r="H3022" s="924" t="s">
        <v>665</v>
      </c>
      <c r="I3022" s="924" t="s">
        <v>706</v>
      </c>
      <c r="J3022" s="924" t="s">
        <v>863</v>
      </c>
      <c r="K3022" s="924" t="s">
        <v>915</v>
      </c>
      <c r="L3022" s="925">
        <v>9.8892395794391597</v>
      </c>
      <c r="M3022" s="925">
        <v>1.41107385252326E-3</v>
      </c>
    </row>
    <row r="3023" spans="1:13" ht="11.25" customHeight="1" x14ac:dyDescent="0.2">
      <c r="A3023" s="924" t="s">
        <v>853</v>
      </c>
      <c r="B3023" s="924" t="s">
        <v>802</v>
      </c>
      <c r="C3023" s="924" t="s">
        <v>1191</v>
      </c>
      <c r="D3023" s="924" t="s">
        <v>1176</v>
      </c>
      <c r="E3023" s="924" t="s">
        <v>856</v>
      </c>
      <c r="F3023" s="924" t="s">
        <v>945</v>
      </c>
      <c r="G3023" s="924" t="s">
        <v>911</v>
      </c>
      <c r="H3023" s="924" t="s">
        <v>665</v>
      </c>
      <c r="I3023" s="924" t="s">
        <v>706</v>
      </c>
      <c r="J3023" s="924" t="s">
        <v>875</v>
      </c>
      <c r="K3023" s="924" t="s">
        <v>878</v>
      </c>
      <c r="L3023" s="925">
        <v>172.31313943862901</v>
      </c>
      <c r="M3023" s="925">
        <v>2.5491990585578599E-2</v>
      </c>
    </row>
    <row r="3024" spans="1:13" ht="11.25" customHeight="1" x14ac:dyDescent="0.2">
      <c r="A3024" s="924" t="s">
        <v>853</v>
      </c>
      <c r="B3024" s="924" t="s">
        <v>802</v>
      </c>
      <c r="C3024" s="924" t="s">
        <v>1191</v>
      </c>
      <c r="D3024" s="924" t="s">
        <v>1176</v>
      </c>
      <c r="E3024" s="924" t="s">
        <v>856</v>
      </c>
      <c r="F3024" s="924" t="s">
        <v>939</v>
      </c>
      <c r="G3024" s="924" t="s">
        <v>911</v>
      </c>
      <c r="H3024" s="924" t="s">
        <v>665</v>
      </c>
      <c r="I3024" s="924" t="s">
        <v>706</v>
      </c>
      <c r="J3024" s="924" t="s">
        <v>940</v>
      </c>
      <c r="K3024" s="924" t="s">
        <v>941</v>
      </c>
      <c r="L3024" s="925">
        <v>977.05404663085903</v>
      </c>
      <c r="M3024" s="925">
        <v>4.7007014014525297E-2</v>
      </c>
    </row>
    <row r="3025" spans="1:13" ht="11.25" customHeight="1" x14ac:dyDescent="0.2">
      <c r="A3025" s="924" t="s">
        <v>853</v>
      </c>
      <c r="B3025" s="924" t="s">
        <v>802</v>
      </c>
      <c r="C3025" s="924" t="s">
        <v>1191</v>
      </c>
      <c r="D3025" s="924" t="s">
        <v>1176</v>
      </c>
      <c r="E3025" s="924" t="s">
        <v>856</v>
      </c>
      <c r="F3025" s="924" t="s">
        <v>867</v>
      </c>
      <c r="G3025" s="924" t="s">
        <v>862</v>
      </c>
      <c r="H3025" s="924" t="s">
        <v>665</v>
      </c>
      <c r="I3025" s="924" t="s">
        <v>787</v>
      </c>
      <c r="J3025" s="924" t="s">
        <v>863</v>
      </c>
      <c r="K3025" s="924" t="s">
        <v>868</v>
      </c>
      <c r="L3025" s="925">
        <v>6.5950668901205098</v>
      </c>
      <c r="M3025" s="925">
        <v>2.6983151386957598E-2</v>
      </c>
    </row>
    <row r="3026" spans="1:13" ht="11.25" customHeight="1" x14ac:dyDescent="0.2">
      <c r="A3026" s="924" t="s">
        <v>853</v>
      </c>
      <c r="B3026" s="924" t="s">
        <v>802</v>
      </c>
      <c r="C3026" s="924" t="s">
        <v>1191</v>
      </c>
      <c r="D3026" s="924" t="s">
        <v>1176</v>
      </c>
      <c r="E3026" s="924" t="s">
        <v>856</v>
      </c>
      <c r="F3026" s="924" t="s">
        <v>953</v>
      </c>
      <c r="G3026" s="924" t="s">
        <v>858</v>
      </c>
      <c r="H3026" s="924" t="s">
        <v>836</v>
      </c>
      <c r="I3026" s="924" t="s">
        <v>837</v>
      </c>
      <c r="J3026" s="924" t="s">
        <v>859</v>
      </c>
      <c r="K3026" s="924" t="s">
        <v>920</v>
      </c>
      <c r="L3026" s="925">
        <v>482.38648366928101</v>
      </c>
      <c r="M3026" s="925">
        <v>6.2221851378581102E-3</v>
      </c>
    </row>
    <row r="3027" spans="1:13" ht="11.25" customHeight="1" x14ac:dyDescent="0.2">
      <c r="A3027" s="924" t="s">
        <v>853</v>
      </c>
      <c r="B3027" s="924" t="s">
        <v>802</v>
      </c>
      <c r="C3027" s="924" t="s">
        <v>1191</v>
      </c>
      <c r="D3027" s="924" t="s">
        <v>1176</v>
      </c>
      <c r="E3027" s="924" t="s">
        <v>856</v>
      </c>
      <c r="F3027" s="924" t="s">
        <v>944</v>
      </c>
      <c r="G3027" s="924" t="s">
        <v>911</v>
      </c>
      <c r="H3027" s="924" t="s">
        <v>665</v>
      </c>
      <c r="I3027" s="924" t="s">
        <v>706</v>
      </c>
      <c r="J3027" s="924" t="s">
        <v>875</v>
      </c>
      <c r="K3027" s="924" t="s">
        <v>876</v>
      </c>
      <c r="L3027" s="925">
        <v>780.32313251495395</v>
      </c>
      <c r="M3027" s="925">
        <v>0.24671110796043599</v>
      </c>
    </row>
    <row r="3028" spans="1:13" ht="11.25" customHeight="1" x14ac:dyDescent="0.2">
      <c r="A3028" s="924" t="s">
        <v>853</v>
      </c>
      <c r="B3028" s="924" t="s">
        <v>802</v>
      </c>
      <c r="C3028" s="924" t="s">
        <v>1191</v>
      </c>
      <c r="D3028" s="924" t="s">
        <v>1176</v>
      </c>
      <c r="E3028" s="924" t="s">
        <v>856</v>
      </c>
      <c r="F3028" s="924" t="s">
        <v>946</v>
      </c>
      <c r="G3028" s="924" t="s">
        <v>911</v>
      </c>
      <c r="H3028" s="924" t="s">
        <v>665</v>
      </c>
      <c r="I3028" s="924" t="s">
        <v>706</v>
      </c>
      <c r="J3028" s="924" t="s">
        <v>875</v>
      </c>
      <c r="K3028" s="924" t="s">
        <v>880</v>
      </c>
      <c r="L3028" s="925">
        <v>203.699302196503</v>
      </c>
      <c r="M3028" s="925">
        <v>1.29644063636078E-2</v>
      </c>
    </row>
    <row r="3029" spans="1:13" ht="11.25" customHeight="1" x14ac:dyDescent="0.2">
      <c r="A3029" s="924" t="s">
        <v>853</v>
      </c>
      <c r="B3029" s="924" t="s">
        <v>802</v>
      </c>
      <c r="C3029" s="924" t="s">
        <v>1191</v>
      </c>
      <c r="D3029" s="924" t="s">
        <v>1176</v>
      </c>
      <c r="E3029" s="924" t="s">
        <v>856</v>
      </c>
      <c r="F3029" s="924" t="s">
        <v>947</v>
      </c>
      <c r="G3029" s="924" t="s">
        <v>911</v>
      </c>
      <c r="H3029" s="924" t="s">
        <v>665</v>
      </c>
      <c r="I3029" s="924" t="s">
        <v>706</v>
      </c>
      <c r="J3029" s="924" t="s">
        <v>875</v>
      </c>
      <c r="K3029" s="924" t="s">
        <v>948</v>
      </c>
      <c r="L3029" s="925">
        <v>253.18729639053299</v>
      </c>
      <c r="M3029" s="925">
        <v>1.9348251522387699E-2</v>
      </c>
    </row>
    <row r="3030" spans="1:13" ht="11.25" customHeight="1" x14ac:dyDescent="0.2">
      <c r="A3030" s="924" t="s">
        <v>853</v>
      </c>
      <c r="B3030" s="924" t="s">
        <v>802</v>
      </c>
      <c r="C3030" s="924" t="s">
        <v>1191</v>
      </c>
      <c r="D3030" s="924" t="s">
        <v>1176</v>
      </c>
      <c r="E3030" s="924" t="s">
        <v>856</v>
      </c>
      <c r="F3030" s="924" t="s">
        <v>949</v>
      </c>
      <c r="G3030" s="924" t="s">
        <v>911</v>
      </c>
      <c r="H3030" s="924" t="s">
        <v>665</v>
      </c>
      <c r="I3030" s="924" t="s">
        <v>706</v>
      </c>
      <c r="J3030" s="924" t="s">
        <v>875</v>
      </c>
      <c r="K3030" s="924" t="s">
        <v>950</v>
      </c>
      <c r="L3030" s="925">
        <v>3.3949396386742601</v>
      </c>
      <c r="M3030" s="925">
        <v>7.2815466091924496E-4</v>
      </c>
    </row>
    <row r="3031" spans="1:13" ht="11.25" customHeight="1" x14ac:dyDescent="0.2">
      <c r="A3031" s="924" t="s">
        <v>853</v>
      </c>
      <c r="B3031" s="924" t="s">
        <v>802</v>
      </c>
      <c r="C3031" s="924" t="s">
        <v>1191</v>
      </c>
      <c r="D3031" s="924" t="s">
        <v>1176</v>
      </c>
      <c r="E3031" s="924" t="s">
        <v>856</v>
      </c>
      <c r="F3031" s="924" t="s">
        <v>951</v>
      </c>
      <c r="G3031" s="924" t="s">
        <v>911</v>
      </c>
      <c r="H3031" s="924" t="s">
        <v>665</v>
      </c>
      <c r="I3031" s="924" t="s">
        <v>706</v>
      </c>
      <c r="J3031" s="924" t="s">
        <v>875</v>
      </c>
      <c r="K3031" s="924" t="s">
        <v>952</v>
      </c>
      <c r="L3031" s="925">
        <v>3.1334791816770999</v>
      </c>
      <c r="M3031" s="925">
        <v>1.94835831308637E-4</v>
      </c>
    </row>
    <row r="3032" spans="1:13" ht="11.25" customHeight="1" x14ac:dyDescent="0.2">
      <c r="A3032" s="924" t="s">
        <v>853</v>
      </c>
      <c r="B3032" s="924" t="s">
        <v>802</v>
      </c>
      <c r="C3032" s="924" t="s">
        <v>1191</v>
      </c>
      <c r="D3032" s="924" t="s">
        <v>1176</v>
      </c>
      <c r="E3032" s="924" t="s">
        <v>856</v>
      </c>
      <c r="F3032" s="924" t="s">
        <v>890</v>
      </c>
      <c r="G3032" s="924" t="s">
        <v>862</v>
      </c>
      <c r="H3032" s="924" t="s">
        <v>665</v>
      </c>
      <c r="I3032" s="924" t="s">
        <v>787</v>
      </c>
      <c r="J3032" s="924" t="s">
        <v>859</v>
      </c>
      <c r="K3032" s="924" t="s">
        <v>891</v>
      </c>
      <c r="L3032" s="925">
        <v>0.57628319878131196</v>
      </c>
      <c r="M3032" s="925">
        <v>2.0513962874247199E-2</v>
      </c>
    </row>
    <row r="3033" spans="1:13" ht="11.25" customHeight="1" x14ac:dyDescent="0.2">
      <c r="A3033" s="924" t="s">
        <v>853</v>
      </c>
      <c r="B3033" s="924" t="s">
        <v>802</v>
      </c>
      <c r="C3033" s="924" t="s">
        <v>1191</v>
      </c>
      <c r="D3033" s="924" t="s">
        <v>1176</v>
      </c>
      <c r="E3033" s="924" t="s">
        <v>856</v>
      </c>
      <c r="F3033" s="924" t="s">
        <v>937</v>
      </c>
      <c r="G3033" s="924" t="s">
        <v>862</v>
      </c>
      <c r="H3033" s="924" t="s">
        <v>665</v>
      </c>
      <c r="I3033" s="924" t="s">
        <v>787</v>
      </c>
      <c r="J3033" s="924" t="s">
        <v>863</v>
      </c>
      <c r="K3033" s="924" t="s">
        <v>933</v>
      </c>
      <c r="L3033" s="925">
        <v>1167.8050842285199</v>
      </c>
      <c r="M3033" s="925">
        <v>4.9741352796554601</v>
      </c>
    </row>
    <row r="3034" spans="1:13" ht="11.25" customHeight="1" x14ac:dyDescent="0.2">
      <c r="A3034" s="924" t="s">
        <v>853</v>
      </c>
      <c r="B3034" s="924" t="s">
        <v>802</v>
      </c>
      <c r="C3034" s="924" t="s">
        <v>1191</v>
      </c>
      <c r="D3034" s="924" t="s">
        <v>1176</v>
      </c>
      <c r="E3034" s="924" t="s">
        <v>856</v>
      </c>
      <c r="F3034" s="924" t="s">
        <v>934</v>
      </c>
      <c r="G3034" s="924" t="s">
        <v>862</v>
      </c>
      <c r="H3034" s="924" t="s">
        <v>665</v>
      </c>
      <c r="I3034" s="924" t="s">
        <v>787</v>
      </c>
      <c r="J3034" s="924" t="s">
        <v>863</v>
      </c>
      <c r="K3034" s="924" t="s">
        <v>935</v>
      </c>
      <c r="L3034" s="925">
        <v>0.98948422074317899</v>
      </c>
      <c r="M3034" s="925">
        <v>4.1594492940930598E-3</v>
      </c>
    </row>
    <row r="3035" spans="1:13" ht="11.25" customHeight="1" x14ac:dyDescent="0.2">
      <c r="A3035" s="924" t="s">
        <v>853</v>
      </c>
      <c r="B3035" s="924" t="s">
        <v>802</v>
      </c>
      <c r="C3035" s="924" t="s">
        <v>1191</v>
      </c>
      <c r="D3035" s="924" t="s">
        <v>1176</v>
      </c>
      <c r="E3035" s="924" t="s">
        <v>856</v>
      </c>
      <c r="F3035" s="924" t="s">
        <v>861</v>
      </c>
      <c r="G3035" s="924" t="s">
        <v>862</v>
      </c>
      <c r="H3035" s="924" t="s">
        <v>665</v>
      </c>
      <c r="I3035" s="924" t="s">
        <v>787</v>
      </c>
      <c r="J3035" s="924" t="s">
        <v>863</v>
      </c>
      <c r="K3035" s="924" t="s">
        <v>864</v>
      </c>
      <c r="L3035" s="925">
        <v>0.53924687905237101</v>
      </c>
      <c r="M3035" s="925">
        <v>2.2156607992656098E-3</v>
      </c>
    </row>
    <row r="3036" spans="1:13" ht="11.25" customHeight="1" x14ac:dyDescent="0.2">
      <c r="A3036" s="924" t="s">
        <v>853</v>
      </c>
      <c r="B3036" s="924" t="s">
        <v>802</v>
      </c>
      <c r="C3036" s="924" t="s">
        <v>1191</v>
      </c>
      <c r="D3036" s="924" t="s">
        <v>1176</v>
      </c>
      <c r="E3036" s="924" t="s">
        <v>856</v>
      </c>
      <c r="F3036" s="924" t="s">
        <v>865</v>
      </c>
      <c r="G3036" s="924" t="s">
        <v>862</v>
      </c>
      <c r="H3036" s="924" t="s">
        <v>665</v>
      </c>
      <c r="I3036" s="924" t="s">
        <v>787</v>
      </c>
      <c r="J3036" s="924" t="s">
        <v>863</v>
      </c>
      <c r="K3036" s="924" t="s">
        <v>866</v>
      </c>
      <c r="L3036" s="925">
        <v>6.9931825250387201</v>
      </c>
      <c r="M3036" s="925">
        <v>3.3739176295057398E-2</v>
      </c>
    </row>
    <row r="3037" spans="1:13" ht="11.25" customHeight="1" x14ac:dyDescent="0.2">
      <c r="A3037" s="924" t="s">
        <v>853</v>
      </c>
      <c r="B3037" s="924" t="s">
        <v>802</v>
      </c>
      <c r="C3037" s="924" t="s">
        <v>1191</v>
      </c>
      <c r="D3037" s="924" t="s">
        <v>1176</v>
      </c>
      <c r="E3037" s="924" t="s">
        <v>856</v>
      </c>
      <c r="F3037" s="924" t="s">
        <v>938</v>
      </c>
      <c r="G3037" s="924" t="s">
        <v>911</v>
      </c>
      <c r="H3037" s="924" t="s">
        <v>665</v>
      </c>
      <c r="I3037" s="924" t="s">
        <v>706</v>
      </c>
      <c r="J3037" s="924" t="s">
        <v>863</v>
      </c>
      <c r="K3037" s="924" t="s">
        <v>868</v>
      </c>
      <c r="L3037" s="925">
        <v>80.157244205474896</v>
      </c>
      <c r="M3037" s="925">
        <v>3.7038894843135499E-3</v>
      </c>
    </row>
    <row r="3038" spans="1:13" ht="11.25" customHeight="1" x14ac:dyDescent="0.2">
      <c r="A3038" s="924" t="s">
        <v>853</v>
      </c>
      <c r="B3038" s="924" t="s">
        <v>802</v>
      </c>
      <c r="C3038" s="924" t="s">
        <v>1191</v>
      </c>
      <c r="D3038" s="924" t="s">
        <v>1176</v>
      </c>
      <c r="E3038" s="924" t="s">
        <v>856</v>
      </c>
      <c r="F3038" s="924" t="s">
        <v>984</v>
      </c>
      <c r="G3038" s="924" t="s">
        <v>981</v>
      </c>
      <c r="H3038" s="924" t="s">
        <v>835</v>
      </c>
      <c r="I3038" s="924" t="s">
        <v>839</v>
      </c>
      <c r="J3038" s="924" t="s">
        <v>982</v>
      </c>
      <c r="K3038" s="924" t="s">
        <v>985</v>
      </c>
      <c r="L3038" s="925">
        <v>613.42917037010204</v>
      </c>
      <c r="M3038" s="925">
        <v>0.68427367100957803</v>
      </c>
    </row>
    <row r="3039" spans="1:13" ht="11.25" customHeight="1" x14ac:dyDescent="0.2">
      <c r="A3039" s="924" t="s">
        <v>853</v>
      </c>
      <c r="B3039" s="924" t="s">
        <v>802</v>
      </c>
      <c r="C3039" s="924" t="s">
        <v>1191</v>
      </c>
      <c r="D3039" s="924" t="s">
        <v>1176</v>
      </c>
      <c r="E3039" s="924" t="s">
        <v>856</v>
      </c>
      <c r="F3039" s="924" t="s">
        <v>962</v>
      </c>
      <c r="G3039" s="924" t="s">
        <v>858</v>
      </c>
      <c r="H3039" s="924" t="s">
        <v>836</v>
      </c>
      <c r="I3039" s="924" t="s">
        <v>837</v>
      </c>
      <c r="J3039" s="924" t="s">
        <v>870</v>
      </c>
      <c r="K3039" s="924" t="s">
        <v>963</v>
      </c>
      <c r="L3039" s="925">
        <v>5.1695687070605303E-2</v>
      </c>
      <c r="M3039" s="925">
        <v>3.6743100063386898E-7</v>
      </c>
    </row>
    <row r="3040" spans="1:13" ht="11.25" customHeight="1" x14ac:dyDescent="0.2">
      <c r="A3040" s="924" t="s">
        <v>853</v>
      </c>
      <c r="B3040" s="924" t="s">
        <v>802</v>
      </c>
      <c r="C3040" s="924" t="s">
        <v>1191</v>
      </c>
      <c r="D3040" s="924" t="s">
        <v>1176</v>
      </c>
      <c r="E3040" s="924" t="s">
        <v>856</v>
      </c>
      <c r="F3040" s="924" t="s">
        <v>964</v>
      </c>
      <c r="G3040" s="924" t="s">
        <v>858</v>
      </c>
      <c r="H3040" s="924" t="s">
        <v>836</v>
      </c>
      <c r="I3040" s="924" t="s">
        <v>837</v>
      </c>
      <c r="J3040" s="924" t="s">
        <v>870</v>
      </c>
      <c r="K3040" s="924" t="s">
        <v>965</v>
      </c>
      <c r="L3040" s="925">
        <v>17.278987474739601</v>
      </c>
      <c r="M3040" s="925">
        <v>1.5864736497484E-4</v>
      </c>
    </row>
    <row r="3041" spans="1:13" ht="11.25" customHeight="1" x14ac:dyDescent="0.2">
      <c r="A3041" s="924" t="s">
        <v>853</v>
      </c>
      <c r="B3041" s="924" t="s">
        <v>802</v>
      </c>
      <c r="C3041" s="924" t="s">
        <v>1191</v>
      </c>
      <c r="D3041" s="924" t="s">
        <v>1176</v>
      </c>
      <c r="E3041" s="924" t="s">
        <v>856</v>
      </c>
      <c r="F3041" s="924" t="s">
        <v>966</v>
      </c>
      <c r="G3041" s="924" t="s">
        <v>858</v>
      </c>
      <c r="H3041" s="924" t="s">
        <v>836</v>
      </c>
      <c r="I3041" s="924" t="s">
        <v>837</v>
      </c>
      <c r="J3041" s="924" t="s">
        <v>870</v>
      </c>
      <c r="K3041" s="924" t="s">
        <v>871</v>
      </c>
      <c r="L3041" s="925">
        <v>48.079382568597801</v>
      </c>
      <c r="M3041" s="925">
        <v>4.1777073107063202E-4</v>
      </c>
    </row>
    <row r="3042" spans="1:13" ht="11.25" customHeight="1" x14ac:dyDescent="0.2">
      <c r="A3042" s="924" t="s">
        <v>853</v>
      </c>
      <c r="B3042" s="924" t="s">
        <v>802</v>
      </c>
      <c r="C3042" s="924" t="s">
        <v>1191</v>
      </c>
      <c r="D3042" s="924" t="s">
        <v>1176</v>
      </c>
      <c r="E3042" s="924" t="s">
        <v>856</v>
      </c>
      <c r="F3042" s="924" t="s">
        <v>967</v>
      </c>
      <c r="G3042" s="924" t="s">
        <v>858</v>
      </c>
      <c r="H3042" s="924" t="s">
        <v>836</v>
      </c>
      <c r="I3042" s="924" t="s">
        <v>837</v>
      </c>
      <c r="J3042" s="924" t="s">
        <v>870</v>
      </c>
      <c r="K3042" s="924" t="s">
        <v>873</v>
      </c>
      <c r="L3042" s="925">
        <v>35.4358844980597</v>
      </c>
      <c r="M3042" s="925">
        <v>5.9865911651080196E-4</v>
      </c>
    </row>
    <row r="3043" spans="1:13" ht="11.25" customHeight="1" x14ac:dyDescent="0.2">
      <c r="A3043" s="924" t="s">
        <v>853</v>
      </c>
      <c r="B3043" s="924" t="s">
        <v>802</v>
      </c>
      <c r="C3043" s="924" t="s">
        <v>1191</v>
      </c>
      <c r="D3043" s="924" t="s">
        <v>1176</v>
      </c>
      <c r="E3043" s="924" t="s">
        <v>856</v>
      </c>
      <c r="F3043" s="924" t="s">
        <v>968</v>
      </c>
      <c r="G3043" s="924" t="s">
        <v>858</v>
      </c>
      <c r="H3043" s="924" t="s">
        <v>836</v>
      </c>
      <c r="I3043" s="924" t="s">
        <v>837</v>
      </c>
      <c r="J3043" s="924" t="s">
        <v>875</v>
      </c>
      <c r="K3043" s="924" t="s">
        <v>876</v>
      </c>
      <c r="L3043" s="925">
        <v>6107.6666564941397</v>
      </c>
      <c r="M3043" s="925">
        <v>0.163709971700882</v>
      </c>
    </row>
    <row r="3044" spans="1:13" ht="11.25" customHeight="1" x14ac:dyDescent="0.2">
      <c r="A3044" s="924" t="s">
        <v>853</v>
      </c>
      <c r="B3044" s="924" t="s">
        <v>802</v>
      </c>
      <c r="C3044" s="924" t="s">
        <v>1191</v>
      </c>
      <c r="D3044" s="924" t="s">
        <v>1176</v>
      </c>
      <c r="E3044" s="924" t="s">
        <v>856</v>
      </c>
      <c r="F3044" s="924" t="s">
        <v>969</v>
      </c>
      <c r="G3044" s="924" t="s">
        <v>858</v>
      </c>
      <c r="H3044" s="924" t="s">
        <v>836</v>
      </c>
      <c r="I3044" s="924" t="s">
        <v>837</v>
      </c>
      <c r="J3044" s="924" t="s">
        <v>875</v>
      </c>
      <c r="K3044" s="924" t="s">
        <v>878</v>
      </c>
      <c r="L3044" s="925">
        <v>1441.4927501678501</v>
      </c>
      <c r="M3044" s="925">
        <v>3.8184274949799098E-2</v>
      </c>
    </row>
    <row r="3045" spans="1:13" ht="11.25" customHeight="1" x14ac:dyDescent="0.2">
      <c r="A3045" s="924" t="s">
        <v>853</v>
      </c>
      <c r="B3045" s="924" t="s">
        <v>802</v>
      </c>
      <c r="C3045" s="924" t="s">
        <v>1191</v>
      </c>
      <c r="D3045" s="924" t="s">
        <v>1176</v>
      </c>
      <c r="E3045" s="924" t="s">
        <v>856</v>
      </c>
      <c r="F3045" s="924" t="s">
        <v>970</v>
      </c>
      <c r="G3045" s="924" t="s">
        <v>858</v>
      </c>
      <c r="H3045" s="924" t="s">
        <v>836</v>
      </c>
      <c r="I3045" s="924" t="s">
        <v>837</v>
      </c>
      <c r="J3045" s="924" t="s">
        <v>875</v>
      </c>
      <c r="K3045" s="924" t="s">
        <v>880</v>
      </c>
      <c r="L3045" s="925">
        <v>3998.8483161926301</v>
      </c>
      <c r="M3045" s="925">
        <v>7.7704587563857799E-2</v>
      </c>
    </row>
    <row r="3046" spans="1:13" ht="11.25" customHeight="1" x14ac:dyDescent="0.2">
      <c r="A3046" s="924" t="s">
        <v>853</v>
      </c>
      <c r="B3046" s="924" t="s">
        <v>802</v>
      </c>
      <c r="C3046" s="924" t="s">
        <v>1191</v>
      </c>
      <c r="D3046" s="924" t="s">
        <v>1176</v>
      </c>
      <c r="E3046" s="924" t="s">
        <v>856</v>
      </c>
      <c r="F3046" s="924" t="s">
        <v>971</v>
      </c>
      <c r="G3046" s="924" t="s">
        <v>858</v>
      </c>
      <c r="H3046" s="924" t="s">
        <v>836</v>
      </c>
      <c r="I3046" s="924" t="s">
        <v>837</v>
      </c>
      <c r="J3046" s="924" t="s">
        <v>875</v>
      </c>
      <c r="K3046" s="924" t="s">
        <v>948</v>
      </c>
      <c r="L3046" s="925">
        <v>2032.2615509033201</v>
      </c>
      <c r="M3046" s="925">
        <v>8.6926825839327607E-2</v>
      </c>
    </row>
    <row r="3047" spans="1:13" ht="11.25" customHeight="1" x14ac:dyDescent="0.2">
      <c r="A3047" s="924" t="s">
        <v>853</v>
      </c>
      <c r="B3047" s="924" t="s">
        <v>802</v>
      </c>
      <c r="C3047" s="924" t="s">
        <v>1191</v>
      </c>
      <c r="D3047" s="924" t="s">
        <v>1176</v>
      </c>
      <c r="E3047" s="924" t="s">
        <v>856</v>
      </c>
      <c r="F3047" s="924" t="s">
        <v>1000</v>
      </c>
      <c r="G3047" s="924" t="s">
        <v>858</v>
      </c>
      <c r="H3047" s="924" t="s">
        <v>836</v>
      </c>
      <c r="I3047" s="924" t="s">
        <v>837</v>
      </c>
      <c r="J3047" s="924" t="s">
        <v>875</v>
      </c>
      <c r="K3047" s="924" t="s">
        <v>950</v>
      </c>
      <c r="L3047" s="925">
        <v>195.30234575271601</v>
      </c>
      <c r="M3047" s="925">
        <v>4.5874472282889699E-3</v>
      </c>
    </row>
    <row r="3048" spans="1:13" ht="11.25" customHeight="1" x14ac:dyDescent="0.2">
      <c r="A3048" s="924" t="s">
        <v>853</v>
      </c>
      <c r="B3048" s="924" t="s">
        <v>802</v>
      </c>
      <c r="C3048" s="924" t="s">
        <v>1191</v>
      </c>
      <c r="D3048" s="924" t="s">
        <v>1176</v>
      </c>
      <c r="E3048" s="924" t="s">
        <v>856</v>
      </c>
      <c r="F3048" s="924" t="s">
        <v>974</v>
      </c>
      <c r="G3048" s="924" t="s">
        <v>858</v>
      </c>
      <c r="H3048" s="924" t="s">
        <v>836</v>
      </c>
      <c r="I3048" s="924" t="s">
        <v>837</v>
      </c>
      <c r="J3048" s="924" t="s">
        <v>875</v>
      </c>
      <c r="K3048" s="924" t="s">
        <v>952</v>
      </c>
      <c r="L3048" s="925">
        <v>172.828168392181</v>
      </c>
      <c r="M3048" s="925">
        <v>3.9047716547315802E-3</v>
      </c>
    </row>
    <row r="3049" spans="1:13" ht="11.25" customHeight="1" x14ac:dyDescent="0.2">
      <c r="A3049" s="924" t="s">
        <v>853</v>
      </c>
      <c r="B3049" s="924" t="s">
        <v>802</v>
      </c>
      <c r="C3049" s="924" t="s">
        <v>1191</v>
      </c>
      <c r="D3049" s="924" t="s">
        <v>1176</v>
      </c>
      <c r="E3049" s="924" t="s">
        <v>1164</v>
      </c>
      <c r="F3049" s="924" t="s">
        <v>1165</v>
      </c>
      <c r="G3049" s="924" t="s">
        <v>981</v>
      </c>
      <c r="H3049" s="924" t="s">
        <v>835</v>
      </c>
      <c r="I3049" s="924" t="s">
        <v>1040</v>
      </c>
      <c r="J3049" s="924" t="s">
        <v>1166</v>
      </c>
      <c r="K3049" s="924" t="s">
        <v>1166</v>
      </c>
      <c r="L3049" s="925">
        <v>0.23233543522656</v>
      </c>
      <c r="M3049" s="925">
        <v>6.6850037569565797E-5</v>
      </c>
    </row>
    <row r="3050" spans="1:13" ht="11.25" customHeight="1" x14ac:dyDescent="0.2">
      <c r="A3050" s="924" t="s">
        <v>853</v>
      </c>
      <c r="B3050" s="924" t="s">
        <v>802</v>
      </c>
      <c r="C3050" s="924" t="s">
        <v>1191</v>
      </c>
      <c r="D3050" s="924" t="s">
        <v>1176</v>
      </c>
      <c r="E3050" s="924" t="s">
        <v>856</v>
      </c>
      <c r="F3050" s="924" t="s">
        <v>980</v>
      </c>
      <c r="G3050" s="924" t="s">
        <v>981</v>
      </c>
      <c r="H3050" s="924" t="s">
        <v>835</v>
      </c>
      <c r="I3050" s="924" t="s">
        <v>839</v>
      </c>
      <c r="J3050" s="924" t="s">
        <v>982</v>
      </c>
      <c r="K3050" s="924" t="s">
        <v>983</v>
      </c>
      <c r="L3050" s="925">
        <v>1452.0089757442499</v>
      </c>
      <c r="M3050" s="925">
        <v>1.6561446886044</v>
      </c>
    </row>
    <row r="3051" spans="1:13" ht="11.25" customHeight="1" x14ac:dyDescent="0.2">
      <c r="A3051" s="924" t="s">
        <v>853</v>
      </c>
      <c r="B3051" s="924" t="s">
        <v>802</v>
      </c>
      <c r="C3051" s="924" t="s">
        <v>1191</v>
      </c>
      <c r="D3051" s="924" t="s">
        <v>1176</v>
      </c>
      <c r="E3051" s="924" t="s">
        <v>856</v>
      </c>
      <c r="F3051" s="924" t="s">
        <v>1015</v>
      </c>
      <c r="G3051" s="924" t="s">
        <v>858</v>
      </c>
      <c r="H3051" s="924" t="s">
        <v>836</v>
      </c>
      <c r="I3051" s="924" t="s">
        <v>837</v>
      </c>
      <c r="J3051" s="924" t="s">
        <v>870</v>
      </c>
      <c r="K3051" s="924" t="s">
        <v>1016</v>
      </c>
      <c r="L3051" s="925">
        <v>1.22005570493639</v>
      </c>
      <c r="M3051" s="925">
        <v>1.48233713425094E-5</v>
      </c>
    </row>
    <row r="3052" spans="1:13" ht="11.25" customHeight="1" x14ac:dyDescent="0.2">
      <c r="A3052" s="924" t="s">
        <v>853</v>
      </c>
      <c r="B3052" s="924" t="s">
        <v>802</v>
      </c>
      <c r="C3052" s="924" t="s">
        <v>1191</v>
      </c>
      <c r="D3052" s="924" t="s">
        <v>1176</v>
      </c>
      <c r="E3052" s="924" t="s">
        <v>856</v>
      </c>
      <c r="F3052" s="924" t="s">
        <v>986</v>
      </c>
      <c r="G3052" s="924" t="s">
        <v>981</v>
      </c>
      <c r="H3052" s="924" t="s">
        <v>835</v>
      </c>
      <c r="I3052" s="924" t="s">
        <v>839</v>
      </c>
      <c r="J3052" s="924" t="s">
        <v>987</v>
      </c>
      <c r="K3052" s="924" t="s">
        <v>988</v>
      </c>
      <c r="L3052" s="925">
        <v>446.32779031991998</v>
      </c>
      <c r="M3052" s="925">
        <v>0.22541794960852701</v>
      </c>
    </row>
    <row r="3053" spans="1:13" ht="11.25" customHeight="1" x14ac:dyDescent="0.2">
      <c r="A3053" s="924" t="s">
        <v>853</v>
      </c>
      <c r="B3053" s="924" t="s">
        <v>802</v>
      </c>
      <c r="C3053" s="924" t="s">
        <v>1191</v>
      </c>
      <c r="D3053" s="924" t="s">
        <v>1176</v>
      </c>
      <c r="E3053" s="924" t="s">
        <v>856</v>
      </c>
      <c r="F3053" s="924" t="s">
        <v>989</v>
      </c>
      <c r="G3053" s="924" t="s">
        <v>990</v>
      </c>
      <c r="H3053" s="924" t="s">
        <v>836</v>
      </c>
      <c r="I3053" s="924" t="s">
        <v>839</v>
      </c>
      <c r="J3053" s="924" t="s">
        <v>224</v>
      </c>
      <c r="K3053" s="924" t="s">
        <v>988</v>
      </c>
      <c r="L3053" s="925">
        <v>351.49453115463302</v>
      </c>
      <c r="M3053" s="925">
        <v>1.19675951556442E-2</v>
      </c>
    </row>
    <row r="3054" spans="1:13" ht="11.25" customHeight="1" x14ac:dyDescent="0.2">
      <c r="A3054" s="924" t="s">
        <v>853</v>
      </c>
      <c r="B3054" s="924" t="s">
        <v>802</v>
      </c>
      <c r="C3054" s="924" t="s">
        <v>1191</v>
      </c>
      <c r="D3054" s="924" t="s">
        <v>1176</v>
      </c>
      <c r="E3054" s="924" t="s">
        <v>856</v>
      </c>
      <c r="F3054" s="924" t="s">
        <v>991</v>
      </c>
      <c r="G3054" s="924" t="s">
        <v>990</v>
      </c>
      <c r="H3054" s="924" t="s">
        <v>836</v>
      </c>
      <c r="I3054" s="924" t="s">
        <v>839</v>
      </c>
      <c r="J3054" s="924" t="s">
        <v>224</v>
      </c>
      <c r="K3054" s="924" t="s">
        <v>983</v>
      </c>
      <c r="L3054" s="925">
        <v>2.93807558529079</v>
      </c>
      <c r="M3054" s="925">
        <v>1.7544225226995299E-4</v>
      </c>
    </row>
    <row r="3055" spans="1:13" ht="11.25" customHeight="1" x14ac:dyDescent="0.2">
      <c r="A3055" s="924" t="s">
        <v>853</v>
      </c>
      <c r="B3055" s="924" t="s">
        <v>802</v>
      </c>
      <c r="C3055" s="924" t="s">
        <v>1191</v>
      </c>
      <c r="D3055" s="924" t="s">
        <v>1176</v>
      </c>
      <c r="E3055" s="924" t="s">
        <v>856</v>
      </c>
      <c r="F3055" s="924" t="s">
        <v>992</v>
      </c>
      <c r="G3055" s="924" t="s">
        <v>858</v>
      </c>
      <c r="H3055" s="924" t="s">
        <v>836</v>
      </c>
      <c r="I3055" s="924" t="s">
        <v>834</v>
      </c>
      <c r="J3055" s="924" t="s">
        <v>224</v>
      </c>
      <c r="K3055" s="924" t="s">
        <v>993</v>
      </c>
      <c r="L3055" s="925">
        <v>206.9953302145</v>
      </c>
      <c r="M3055" s="925">
        <v>8.0558370294738797E-3</v>
      </c>
    </row>
    <row r="3056" spans="1:13" ht="11.25" customHeight="1" x14ac:dyDescent="0.2">
      <c r="A3056" s="924" t="s">
        <v>853</v>
      </c>
      <c r="B3056" s="924" t="s">
        <v>802</v>
      </c>
      <c r="C3056" s="924" t="s">
        <v>1191</v>
      </c>
      <c r="D3056" s="924" t="s">
        <v>1176</v>
      </c>
      <c r="E3056" s="924" t="s">
        <v>856</v>
      </c>
      <c r="F3056" s="924" t="s">
        <v>994</v>
      </c>
      <c r="G3056" s="924" t="s">
        <v>981</v>
      </c>
      <c r="H3056" s="924" t="s">
        <v>835</v>
      </c>
      <c r="I3056" s="924" t="s">
        <v>834</v>
      </c>
      <c r="J3056" s="924" t="s">
        <v>995</v>
      </c>
      <c r="K3056" s="924" t="s">
        <v>993</v>
      </c>
      <c r="L3056" s="925">
        <v>12.213744297623601</v>
      </c>
      <c r="M3056" s="925">
        <v>7.9379901809275601E-3</v>
      </c>
    </row>
    <row r="3057" spans="1:13" ht="11.25" customHeight="1" x14ac:dyDescent="0.2">
      <c r="A3057" s="924" t="s">
        <v>853</v>
      </c>
      <c r="B3057" s="924" t="s">
        <v>802</v>
      </c>
      <c r="C3057" s="924" t="s">
        <v>1191</v>
      </c>
      <c r="D3057" s="924" t="s">
        <v>1176</v>
      </c>
      <c r="E3057" s="924" t="s">
        <v>856</v>
      </c>
      <c r="F3057" s="924" t="s">
        <v>996</v>
      </c>
      <c r="G3057" s="924" t="s">
        <v>911</v>
      </c>
      <c r="H3057" s="924" t="s">
        <v>665</v>
      </c>
      <c r="I3057" s="924" t="s">
        <v>834</v>
      </c>
      <c r="J3057" s="924" t="s">
        <v>706</v>
      </c>
      <c r="K3057" s="924" t="s">
        <v>993</v>
      </c>
      <c r="L3057" s="925">
        <v>0.36619960074313002</v>
      </c>
      <c r="M3057" s="925">
        <v>4.5401602065453503E-5</v>
      </c>
    </row>
    <row r="3058" spans="1:13" ht="11.25" customHeight="1" x14ac:dyDescent="0.2">
      <c r="A3058" s="924" t="s">
        <v>853</v>
      </c>
      <c r="B3058" s="924" t="s">
        <v>802</v>
      </c>
      <c r="C3058" s="924" t="s">
        <v>1191</v>
      </c>
      <c r="D3058" s="924" t="s">
        <v>1176</v>
      </c>
      <c r="E3058" s="924" t="s">
        <v>1164</v>
      </c>
      <c r="F3058" s="924" t="s">
        <v>1167</v>
      </c>
      <c r="G3058" s="924" t="s">
        <v>911</v>
      </c>
      <c r="H3058" s="924" t="s">
        <v>665</v>
      </c>
      <c r="I3058" s="924" t="s">
        <v>706</v>
      </c>
      <c r="J3058" s="924" t="s">
        <v>1166</v>
      </c>
      <c r="K3058" s="924" t="s">
        <v>1166</v>
      </c>
      <c r="L3058" s="925">
        <v>0.12960578920319701</v>
      </c>
      <c r="M3058" s="925">
        <v>6.0073527379245198E-6</v>
      </c>
    </row>
    <row r="3059" spans="1:13" ht="11.25" customHeight="1" x14ac:dyDescent="0.2">
      <c r="A3059" s="924" t="s">
        <v>853</v>
      </c>
      <c r="B3059" s="924" t="s">
        <v>802</v>
      </c>
      <c r="C3059" s="924" t="s">
        <v>1191</v>
      </c>
      <c r="D3059" s="924" t="s">
        <v>1176</v>
      </c>
      <c r="E3059" s="924" t="s">
        <v>856</v>
      </c>
      <c r="F3059" s="924" t="s">
        <v>997</v>
      </c>
      <c r="G3059" s="924" t="s">
        <v>981</v>
      </c>
      <c r="H3059" s="924" t="s">
        <v>835</v>
      </c>
      <c r="I3059" s="924" t="s">
        <v>998</v>
      </c>
      <c r="J3059" s="924" t="s">
        <v>884</v>
      </c>
      <c r="K3059" s="924" t="s">
        <v>999</v>
      </c>
      <c r="L3059" s="925">
        <v>377.779256820679</v>
      </c>
      <c r="M3059" s="925">
        <v>1.2034804895520199</v>
      </c>
    </row>
    <row r="3060" spans="1:13" ht="11.25" customHeight="1" x14ac:dyDescent="0.2">
      <c r="A3060" s="924" t="s">
        <v>853</v>
      </c>
      <c r="B3060" s="924" t="s">
        <v>802</v>
      </c>
      <c r="C3060" s="924" t="s">
        <v>1191</v>
      </c>
      <c r="D3060" s="924" t="s">
        <v>1176</v>
      </c>
      <c r="E3060" s="924" t="s">
        <v>856</v>
      </c>
      <c r="F3060" s="924" t="s">
        <v>1073</v>
      </c>
      <c r="G3060" s="924" t="s">
        <v>981</v>
      </c>
      <c r="H3060" s="924" t="s">
        <v>835</v>
      </c>
      <c r="I3060" s="924" t="s">
        <v>998</v>
      </c>
      <c r="J3060" s="924" t="s">
        <v>884</v>
      </c>
      <c r="K3060" s="924" t="s">
        <v>1046</v>
      </c>
      <c r="L3060" s="925">
        <v>171.17619609832801</v>
      </c>
      <c r="M3060" s="925">
        <v>0.28901968756690599</v>
      </c>
    </row>
    <row r="3061" spans="1:13" ht="11.25" customHeight="1" x14ac:dyDescent="0.2">
      <c r="A3061" s="924" t="s">
        <v>853</v>
      </c>
      <c r="B3061" s="924" t="s">
        <v>802</v>
      </c>
      <c r="C3061" s="924" t="s">
        <v>1191</v>
      </c>
      <c r="D3061" s="924" t="s">
        <v>1176</v>
      </c>
      <c r="E3061" s="924" t="s">
        <v>856</v>
      </c>
      <c r="F3061" s="924" t="s">
        <v>919</v>
      </c>
      <c r="G3061" s="924" t="s">
        <v>911</v>
      </c>
      <c r="H3061" s="924" t="s">
        <v>665</v>
      </c>
      <c r="I3061" s="924" t="s">
        <v>706</v>
      </c>
      <c r="J3061" s="924" t="s">
        <v>859</v>
      </c>
      <c r="K3061" s="924" t="s">
        <v>920</v>
      </c>
      <c r="L3061" s="925">
        <v>1.80803486704826</v>
      </c>
      <c r="M3061" s="925">
        <v>5.0654483970902198E-4</v>
      </c>
    </row>
    <row r="3062" spans="1:13" ht="11.25" customHeight="1" x14ac:dyDescent="0.2">
      <c r="A3062" s="924" t="s">
        <v>853</v>
      </c>
      <c r="B3062" s="924" t="s">
        <v>802</v>
      </c>
      <c r="C3062" s="924" t="s">
        <v>1191</v>
      </c>
      <c r="D3062" s="924" t="s">
        <v>1176</v>
      </c>
      <c r="E3062" s="924" t="s">
        <v>856</v>
      </c>
      <c r="F3062" s="924" t="s">
        <v>1054</v>
      </c>
      <c r="G3062" s="924" t="s">
        <v>981</v>
      </c>
      <c r="H3062" s="924" t="s">
        <v>835</v>
      </c>
      <c r="I3062" s="924" t="s">
        <v>998</v>
      </c>
      <c r="J3062" s="924" t="s">
        <v>875</v>
      </c>
      <c r="K3062" s="924" t="s">
        <v>880</v>
      </c>
      <c r="L3062" s="925">
        <v>9.4010571599938003E-2</v>
      </c>
      <c r="M3062" s="925">
        <v>2.1005783423788701E-4</v>
      </c>
    </row>
    <row r="3063" spans="1:13" ht="11.25" customHeight="1" x14ac:dyDescent="0.2">
      <c r="A3063" s="924" t="s">
        <v>853</v>
      </c>
      <c r="B3063" s="924" t="s">
        <v>802</v>
      </c>
      <c r="C3063" s="924" t="s">
        <v>1191</v>
      </c>
      <c r="D3063" s="924" t="s">
        <v>1176</v>
      </c>
      <c r="E3063" s="924" t="s">
        <v>856</v>
      </c>
      <c r="F3063" s="924" t="s">
        <v>955</v>
      </c>
      <c r="G3063" s="924" t="s">
        <v>858</v>
      </c>
      <c r="H3063" s="924" t="s">
        <v>836</v>
      </c>
      <c r="I3063" s="924" t="s">
        <v>837</v>
      </c>
      <c r="J3063" s="924" t="s">
        <v>956</v>
      </c>
      <c r="K3063" s="924" t="s">
        <v>957</v>
      </c>
      <c r="L3063" s="925">
        <v>93.335226893425002</v>
      </c>
      <c r="M3063" s="925">
        <v>5.3605771641684896E-4</v>
      </c>
    </row>
    <row r="3064" spans="1:13" ht="11.25" customHeight="1" x14ac:dyDescent="0.2">
      <c r="A3064" s="924" t="s">
        <v>853</v>
      </c>
      <c r="B3064" s="924" t="s">
        <v>802</v>
      </c>
      <c r="C3064" s="924" t="s">
        <v>1191</v>
      </c>
      <c r="D3064" s="924" t="s">
        <v>1176</v>
      </c>
      <c r="E3064" s="924" t="s">
        <v>856</v>
      </c>
      <c r="F3064" s="924" t="s">
        <v>1021</v>
      </c>
      <c r="G3064" s="924" t="s">
        <v>858</v>
      </c>
      <c r="H3064" s="924" t="s">
        <v>836</v>
      </c>
      <c r="I3064" s="924" t="s">
        <v>837</v>
      </c>
      <c r="J3064" s="924" t="s">
        <v>863</v>
      </c>
      <c r="K3064" s="924" t="s">
        <v>868</v>
      </c>
      <c r="L3064" s="925">
        <v>2854.5089225769002</v>
      </c>
      <c r="M3064" s="925">
        <v>1.5343486474876E-2</v>
      </c>
    </row>
    <row r="3065" spans="1:13" ht="11.25" customHeight="1" x14ac:dyDescent="0.2">
      <c r="A3065" s="924" t="s">
        <v>853</v>
      </c>
      <c r="B3065" s="924" t="s">
        <v>802</v>
      </c>
      <c r="C3065" s="924" t="s">
        <v>1191</v>
      </c>
      <c r="D3065" s="924" t="s">
        <v>1176</v>
      </c>
      <c r="E3065" s="924" t="s">
        <v>856</v>
      </c>
      <c r="F3065" s="924" t="s">
        <v>1003</v>
      </c>
      <c r="G3065" s="924" t="s">
        <v>858</v>
      </c>
      <c r="H3065" s="924" t="s">
        <v>836</v>
      </c>
      <c r="I3065" s="924" t="s">
        <v>837</v>
      </c>
      <c r="J3065" s="924" t="s">
        <v>859</v>
      </c>
      <c r="K3065" s="924" t="s">
        <v>924</v>
      </c>
      <c r="L3065" s="925">
        <v>13043.771270752</v>
      </c>
      <c r="M3065" s="925">
        <v>0.124408760886581</v>
      </c>
    </row>
    <row r="3066" spans="1:13" ht="11.25" customHeight="1" x14ac:dyDescent="0.2">
      <c r="A3066" s="924" t="s">
        <v>853</v>
      </c>
      <c r="B3066" s="924" t="s">
        <v>802</v>
      </c>
      <c r="C3066" s="924" t="s">
        <v>1191</v>
      </c>
      <c r="D3066" s="924" t="s">
        <v>1176</v>
      </c>
      <c r="E3066" s="924" t="s">
        <v>856</v>
      </c>
      <c r="F3066" s="924" t="s">
        <v>1004</v>
      </c>
      <c r="G3066" s="924" t="s">
        <v>858</v>
      </c>
      <c r="H3066" s="924" t="s">
        <v>836</v>
      </c>
      <c r="I3066" s="924" t="s">
        <v>837</v>
      </c>
      <c r="J3066" s="924" t="s">
        <v>859</v>
      </c>
      <c r="K3066" s="924" t="s">
        <v>926</v>
      </c>
      <c r="L3066" s="925">
        <v>7905.0037307739303</v>
      </c>
      <c r="M3066" s="925">
        <v>0.32258508961240301</v>
      </c>
    </row>
    <row r="3067" spans="1:13" ht="11.25" customHeight="1" x14ac:dyDescent="0.2">
      <c r="A3067" s="924" t="s">
        <v>853</v>
      </c>
      <c r="B3067" s="924" t="s">
        <v>802</v>
      </c>
      <c r="C3067" s="924" t="s">
        <v>1191</v>
      </c>
      <c r="D3067" s="924" t="s">
        <v>1176</v>
      </c>
      <c r="E3067" s="924" t="s">
        <v>856</v>
      </c>
      <c r="F3067" s="924" t="s">
        <v>1005</v>
      </c>
      <c r="G3067" s="924" t="s">
        <v>858</v>
      </c>
      <c r="H3067" s="924" t="s">
        <v>836</v>
      </c>
      <c r="I3067" s="924" t="s">
        <v>837</v>
      </c>
      <c r="J3067" s="924" t="s">
        <v>859</v>
      </c>
      <c r="K3067" s="924" t="s">
        <v>1006</v>
      </c>
      <c r="L3067" s="925">
        <v>11930.953994751</v>
      </c>
      <c r="M3067" s="925">
        <v>9.2411321487816195E-2</v>
      </c>
    </row>
    <row r="3068" spans="1:13" ht="11.25" customHeight="1" x14ac:dyDescent="0.2">
      <c r="A3068" s="924" t="s">
        <v>853</v>
      </c>
      <c r="B3068" s="924" t="s">
        <v>802</v>
      </c>
      <c r="C3068" s="924" t="s">
        <v>1191</v>
      </c>
      <c r="D3068" s="924" t="s">
        <v>1176</v>
      </c>
      <c r="E3068" s="924" t="s">
        <v>856</v>
      </c>
      <c r="F3068" s="924" t="s">
        <v>1007</v>
      </c>
      <c r="G3068" s="924" t="s">
        <v>858</v>
      </c>
      <c r="H3068" s="924" t="s">
        <v>836</v>
      </c>
      <c r="I3068" s="924" t="s">
        <v>837</v>
      </c>
      <c r="J3068" s="924" t="s">
        <v>859</v>
      </c>
      <c r="K3068" s="924" t="s">
        <v>928</v>
      </c>
      <c r="L3068" s="925">
        <v>5492.8289871215802</v>
      </c>
      <c r="M3068" s="925">
        <v>0.23951741747805499</v>
      </c>
    </row>
    <row r="3069" spans="1:13" ht="11.25" customHeight="1" x14ac:dyDescent="0.2">
      <c r="A3069" s="924" t="s">
        <v>853</v>
      </c>
      <c r="B3069" s="924" t="s">
        <v>802</v>
      </c>
      <c r="C3069" s="924" t="s">
        <v>1191</v>
      </c>
      <c r="D3069" s="924" t="s">
        <v>1176</v>
      </c>
      <c r="E3069" s="924" t="s">
        <v>856</v>
      </c>
      <c r="F3069" s="924" t="s">
        <v>1008</v>
      </c>
      <c r="G3069" s="924" t="s">
        <v>858</v>
      </c>
      <c r="H3069" s="924" t="s">
        <v>836</v>
      </c>
      <c r="I3069" s="924" t="s">
        <v>837</v>
      </c>
      <c r="J3069" s="924" t="s">
        <v>859</v>
      </c>
      <c r="K3069" s="924" t="s">
        <v>1009</v>
      </c>
      <c r="L3069" s="925">
        <v>1280.4915599823</v>
      </c>
      <c r="M3069" s="925">
        <v>1.0431767726913699E-2</v>
      </c>
    </row>
    <row r="3070" spans="1:13" ht="11.25" customHeight="1" x14ac:dyDescent="0.2">
      <c r="A3070" s="924" t="s">
        <v>853</v>
      </c>
      <c r="B3070" s="924" t="s">
        <v>802</v>
      </c>
      <c r="C3070" s="924" t="s">
        <v>1191</v>
      </c>
      <c r="D3070" s="924" t="s">
        <v>1176</v>
      </c>
      <c r="E3070" s="924" t="s">
        <v>856</v>
      </c>
      <c r="F3070" s="924" t="s">
        <v>1010</v>
      </c>
      <c r="G3070" s="924" t="s">
        <v>858</v>
      </c>
      <c r="H3070" s="924" t="s">
        <v>836</v>
      </c>
      <c r="I3070" s="924" t="s">
        <v>837</v>
      </c>
      <c r="J3070" s="924" t="s">
        <v>859</v>
      </c>
      <c r="K3070" s="924" t="s">
        <v>1011</v>
      </c>
      <c r="L3070" s="925">
        <v>16.8054665327072</v>
      </c>
      <c r="M3070" s="925">
        <v>7.7329153518235195E-4</v>
      </c>
    </row>
    <row r="3071" spans="1:13" ht="11.25" customHeight="1" x14ac:dyDescent="0.2">
      <c r="A3071" s="924" t="s">
        <v>853</v>
      </c>
      <c r="B3071" s="924" t="s">
        <v>802</v>
      </c>
      <c r="C3071" s="924" t="s">
        <v>1191</v>
      </c>
      <c r="D3071" s="924" t="s">
        <v>1176</v>
      </c>
      <c r="E3071" s="924" t="s">
        <v>856</v>
      </c>
      <c r="F3071" s="924" t="s">
        <v>1012</v>
      </c>
      <c r="G3071" s="924" t="s">
        <v>858</v>
      </c>
      <c r="H3071" s="924" t="s">
        <v>836</v>
      </c>
      <c r="I3071" s="924" t="s">
        <v>837</v>
      </c>
      <c r="J3071" s="924" t="s">
        <v>859</v>
      </c>
      <c r="K3071" s="924" t="s">
        <v>891</v>
      </c>
      <c r="L3071" s="925">
        <v>1231.6046829223601</v>
      </c>
      <c r="M3071" s="925">
        <v>1.6323991713534301E-2</v>
      </c>
    </row>
    <row r="3072" spans="1:13" ht="11.25" customHeight="1" x14ac:dyDescent="0.2">
      <c r="A3072" s="924" t="s">
        <v>853</v>
      </c>
      <c r="B3072" s="924" t="s">
        <v>802</v>
      </c>
      <c r="C3072" s="924" t="s">
        <v>1191</v>
      </c>
      <c r="D3072" s="924" t="s">
        <v>1176</v>
      </c>
      <c r="E3072" s="924" t="s">
        <v>856</v>
      </c>
      <c r="F3072" s="924" t="s">
        <v>1013</v>
      </c>
      <c r="G3072" s="924" t="s">
        <v>858</v>
      </c>
      <c r="H3072" s="924" t="s">
        <v>836</v>
      </c>
      <c r="I3072" s="924" t="s">
        <v>837</v>
      </c>
      <c r="J3072" s="924" t="s">
        <v>863</v>
      </c>
      <c r="K3072" s="924" t="s">
        <v>931</v>
      </c>
      <c r="L3072" s="925">
        <v>312.63347530365002</v>
      </c>
      <c r="M3072" s="925">
        <v>1.14278790886146E-2</v>
      </c>
    </row>
    <row r="3073" spans="1:13" ht="11.25" customHeight="1" x14ac:dyDescent="0.2">
      <c r="A3073" s="924" t="s">
        <v>853</v>
      </c>
      <c r="B3073" s="924" t="s">
        <v>802</v>
      </c>
      <c r="C3073" s="924" t="s">
        <v>1191</v>
      </c>
      <c r="D3073" s="924" t="s">
        <v>1176</v>
      </c>
      <c r="E3073" s="924" t="s">
        <v>856</v>
      </c>
      <c r="F3073" s="924" t="s">
        <v>1014</v>
      </c>
      <c r="G3073" s="924" t="s">
        <v>858</v>
      </c>
      <c r="H3073" s="924" t="s">
        <v>836</v>
      </c>
      <c r="I3073" s="924" t="s">
        <v>837</v>
      </c>
      <c r="J3073" s="924" t="s">
        <v>863</v>
      </c>
      <c r="K3073" s="924" t="s">
        <v>933</v>
      </c>
      <c r="L3073" s="925">
        <v>4529.1703453064001</v>
      </c>
      <c r="M3073" s="925">
        <v>3.2064465987332397E-2</v>
      </c>
    </row>
    <row r="3074" spans="1:13" ht="11.25" customHeight="1" x14ac:dyDescent="0.2">
      <c r="A3074" s="924" t="s">
        <v>853</v>
      </c>
      <c r="B3074" s="924" t="s">
        <v>802</v>
      </c>
      <c r="C3074" s="924" t="s">
        <v>1191</v>
      </c>
      <c r="D3074" s="924" t="s">
        <v>1176</v>
      </c>
      <c r="E3074" s="924" t="s">
        <v>856</v>
      </c>
      <c r="F3074" s="924" t="s">
        <v>1038</v>
      </c>
      <c r="G3074" s="924" t="s">
        <v>858</v>
      </c>
      <c r="H3074" s="924" t="s">
        <v>836</v>
      </c>
      <c r="I3074" s="924" t="s">
        <v>837</v>
      </c>
      <c r="J3074" s="924" t="s">
        <v>863</v>
      </c>
      <c r="K3074" s="924" t="s">
        <v>935</v>
      </c>
      <c r="L3074" s="925">
        <v>1978.41932487488</v>
      </c>
      <c r="M3074" s="925">
        <v>2.1412149847037699E-2</v>
      </c>
    </row>
    <row r="3075" spans="1:13" ht="11.25" customHeight="1" x14ac:dyDescent="0.2">
      <c r="A3075" s="924" t="s">
        <v>853</v>
      </c>
      <c r="B3075" s="924" t="s">
        <v>802</v>
      </c>
      <c r="C3075" s="924" t="s">
        <v>1191</v>
      </c>
      <c r="D3075" s="924" t="s">
        <v>1176</v>
      </c>
      <c r="E3075" s="924" t="s">
        <v>856</v>
      </c>
      <c r="F3075" s="924" t="s">
        <v>1017</v>
      </c>
      <c r="G3075" s="924" t="s">
        <v>858</v>
      </c>
      <c r="H3075" s="924" t="s">
        <v>836</v>
      </c>
      <c r="I3075" s="924" t="s">
        <v>837</v>
      </c>
      <c r="J3075" s="924" t="s">
        <v>863</v>
      </c>
      <c r="K3075" s="924" t="s">
        <v>864</v>
      </c>
      <c r="L3075" s="925">
        <v>2006.40285110474</v>
      </c>
      <c r="M3075" s="925">
        <v>2.72108167318947E-2</v>
      </c>
    </row>
    <row r="3076" spans="1:13" ht="11.25" customHeight="1" x14ac:dyDescent="0.2">
      <c r="A3076" s="924" t="s">
        <v>853</v>
      </c>
      <c r="B3076" s="924" t="s">
        <v>802</v>
      </c>
      <c r="C3076" s="924" t="s">
        <v>1191</v>
      </c>
      <c r="D3076" s="924" t="s">
        <v>1176</v>
      </c>
      <c r="E3076" s="924" t="s">
        <v>856</v>
      </c>
      <c r="F3076" s="924" t="s">
        <v>960</v>
      </c>
      <c r="G3076" s="924" t="s">
        <v>858</v>
      </c>
      <c r="H3076" s="924" t="s">
        <v>836</v>
      </c>
      <c r="I3076" s="924" t="s">
        <v>837</v>
      </c>
      <c r="J3076" s="924" t="s">
        <v>870</v>
      </c>
      <c r="K3076" s="924" t="s">
        <v>961</v>
      </c>
      <c r="L3076" s="925">
        <v>18.690814010798899</v>
      </c>
      <c r="M3076" s="925">
        <v>1.65835899518463E-4</v>
      </c>
    </row>
    <row r="3077" spans="1:13" ht="11.25" customHeight="1" x14ac:dyDescent="0.2">
      <c r="A3077" s="924" t="s">
        <v>853</v>
      </c>
      <c r="B3077" s="924" t="s">
        <v>802</v>
      </c>
      <c r="C3077" s="924" t="s">
        <v>1191</v>
      </c>
      <c r="D3077" s="924" t="s">
        <v>1176</v>
      </c>
      <c r="E3077" s="924" t="s">
        <v>856</v>
      </c>
      <c r="F3077" s="924" t="s">
        <v>1020</v>
      </c>
      <c r="G3077" s="924" t="s">
        <v>858</v>
      </c>
      <c r="H3077" s="924" t="s">
        <v>836</v>
      </c>
      <c r="I3077" s="924" t="s">
        <v>837</v>
      </c>
      <c r="J3077" s="924" t="s">
        <v>863</v>
      </c>
      <c r="K3077" s="924" t="s">
        <v>866</v>
      </c>
      <c r="L3077" s="925">
        <v>18244.193206787098</v>
      </c>
      <c r="M3077" s="925">
        <v>0.44283349129909799</v>
      </c>
    </row>
    <row r="3078" spans="1:13" ht="11.25" customHeight="1" x14ac:dyDescent="0.2">
      <c r="A3078" s="924" t="s">
        <v>853</v>
      </c>
      <c r="B3078" s="924" t="s">
        <v>802</v>
      </c>
      <c r="C3078" s="924" t="s">
        <v>1191</v>
      </c>
      <c r="D3078" s="924" t="s">
        <v>1176</v>
      </c>
      <c r="E3078" s="924" t="s">
        <v>856</v>
      </c>
      <c r="F3078" s="924" t="s">
        <v>958</v>
      </c>
      <c r="G3078" s="924" t="s">
        <v>858</v>
      </c>
      <c r="H3078" s="924" t="s">
        <v>836</v>
      </c>
      <c r="I3078" s="924" t="s">
        <v>837</v>
      </c>
      <c r="J3078" s="924" t="s">
        <v>870</v>
      </c>
      <c r="K3078" s="924" t="s">
        <v>959</v>
      </c>
      <c r="L3078" s="925">
        <v>0.25627632596297201</v>
      </c>
      <c r="M3078" s="925">
        <v>2.3882972436661799E-6</v>
      </c>
    </row>
    <row r="3079" spans="1:13" ht="11.25" customHeight="1" x14ac:dyDescent="0.2">
      <c r="A3079" s="924" t="s">
        <v>853</v>
      </c>
      <c r="B3079" s="924" t="s">
        <v>802</v>
      </c>
      <c r="C3079" s="924" t="s">
        <v>1191</v>
      </c>
      <c r="D3079" s="924" t="s">
        <v>1176</v>
      </c>
      <c r="E3079" s="924" t="s">
        <v>856</v>
      </c>
      <c r="F3079" s="924" t="s">
        <v>1022</v>
      </c>
      <c r="G3079" s="924" t="s">
        <v>858</v>
      </c>
      <c r="H3079" s="924" t="s">
        <v>836</v>
      </c>
      <c r="I3079" s="924" t="s">
        <v>837</v>
      </c>
      <c r="J3079" s="924" t="s">
        <v>940</v>
      </c>
      <c r="K3079" s="924" t="s">
        <v>1023</v>
      </c>
      <c r="L3079" s="925">
        <v>1.1493786391802101</v>
      </c>
      <c r="M3079" s="925">
        <v>5.1629008006703898E-5</v>
      </c>
    </row>
    <row r="3080" spans="1:13" ht="11.25" customHeight="1" x14ac:dyDescent="0.2">
      <c r="A3080" s="924" t="s">
        <v>853</v>
      </c>
      <c r="B3080" s="924" t="s">
        <v>802</v>
      </c>
      <c r="C3080" s="924" t="s">
        <v>1191</v>
      </c>
      <c r="D3080" s="924" t="s">
        <v>1176</v>
      </c>
      <c r="E3080" s="924" t="s">
        <v>856</v>
      </c>
      <c r="F3080" s="924" t="s">
        <v>1024</v>
      </c>
      <c r="G3080" s="924" t="s">
        <v>858</v>
      </c>
      <c r="H3080" s="924" t="s">
        <v>836</v>
      </c>
      <c r="I3080" s="924" t="s">
        <v>837</v>
      </c>
      <c r="J3080" s="924" t="s">
        <v>940</v>
      </c>
      <c r="K3080" s="924" t="s">
        <v>1025</v>
      </c>
      <c r="L3080" s="925">
        <v>305.211463928223</v>
      </c>
      <c r="M3080" s="925">
        <v>5.0207394651806698E-3</v>
      </c>
    </row>
    <row r="3081" spans="1:13" ht="11.25" customHeight="1" x14ac:dyDescent="0.2">
      <c r="A3081" s="924" t="s">
        <v>853</v>
      </c>
      <c r="B3081" s="924" t="s">
        <v>802</v>
      </c>
      <c r="C3081" s="924" t="s">
        <v>1191</v>
      </c>
      <c r="D3081" s="924" t="s">
        <v>1176</v>
      </c>
      <c r="E3081" s="924" t="s">
        <v>856</v>
      </c>
      <c r="F3081" s="924" t="s">
        <v>1026</v>
      </c>
      <c r="G3081" s="924" t="s">
        <v>858</v>
      </c>
      <c r="H3081" s="924" t="s">
        <v>836</v>
      </c>
      <c r="I3081" s="924" t="s">
        <v>837</v>
      </c>
      <c r="J3081" s="924" t="s">
        <v>940</v>
      </c>
      <c r="K3081" s="924" t="s">
        <v>1027</v>
      </c>
      <c r="L3081" s="925">
        <v>8056.1832695007297</v>
      </c>
      <c r="M3081" s="925">
        <v>0.34002066071343501</v>
      </c>
    </row>
    <row r="3082" spans="1:13" ht="11.25" customHeight="1" x14ac:dyDescent="0.2">
      <c r="A3082" s="924" t="s">
        <v>853</v>
      </c>
      <c r="B3082" s="924" t="s">
        <v>802</v>
      </c>
      <c r="C3082" s="924" t="s">
        <v>1191</v>
      </c>
      <c r="D3082" s="924" t="s">
        <v>1176</v>
      </c>
      <c r="E3082" s="924" t="s">
        <v>856</v>
      </c>
      <c r="F3082" s="924" t="s">
        <v>1028</v>
      </c>
      <c r="G3082" s="924" t="s">
        <v>858</v>
      </c>
      <c r="H3082" s="924" t="s">
        <v>836</v>
      </c>
      <c r="I3082" s="924" t="s">
        <v>837</v>
      </c>
      <c r="J3082" s="924" t="s">
        <v>940</v>
      </c>
      <c r="K3082" s="924" t="s">
        <v>1029</v>
      </c>
      <c r="L3082" s="925">
        <v>1662.79682588577</v>
      </c>
      <c r="M3082" s="925">
        <v>9.0196988364311906E-2</v>
      </c>
    </row>
    <row r="3083" spans="1:13" ht="11.25" customHeight="1" x14ac:dyDescent="0.2">
      <c r="A3083" s="924" t="s">
        <v>853</v>
      </c>
      <c r="B3083" s="924" t="s">
        <v>802</v>
      </c>
      <c r="C3083" s="924" t="s">
        <v>1191</v>
      </c>
      <c r="D3083" s="924" t="s">
        <v>1176</v>
      </c>
      <c r="E3083" s="924" t="s">
        <v>856</v>
      </c>
      <c r="F3083" s="924" t="s">
        <v>1030</v>
      </c>
      <c r="G3083" s="924" t="s">
        <v>858</v>
      </c>
      <c r="H3083" s="924" t="s">
        <v>836</v>
      </c>
      <c r="I3083" s="924" t="s">
        <v>837</v>
      </c>
      <c r="J3083" s="924" t="s">
        <v>940</v>
      </c>
      <c r="K3083" s="924" t="s">
        <v>941</v>
      </c>
      <c r="L3083" s="925">
        <v>10982.344055175799</v>
      </c>
      <c r="M3083" s="925">
        <v>0.20629852735510201</v>
      </c>
    </row>
    <row r="3084" spans="1:13" ht="11.25" customHeight="1" x14ac:dyDescent="0.2">
      <c r="A3084" s="924" t="s">
        <v>853</v>
      </c>
      <c r="B3084" s="924" t="s">
        <v>802</v>
      </c>
      <c r="C3084" s="924" t="s">
        <v>1191</v>
      </c>
      <c r="D3084" s="924" t="s">
        <v>1176</v>
      </c>
      <c r="E3084" s="924" t="s">
        <v>856</v>
      </c>
      <c r="F3084" s="924" t="s">
        <v>1031</v>
      </c>
      <c r="G3084" s="924" t="s">
        <v>858</v>
      </c>
      <c r="H3084" s="924" t="s">
        <v>836</v>
      </c>
      <c r="I3084" s="924" t="s">
        <v>837</v>
      </c>
      <c r="J3084" s="924" t="s">
        <v>940</v>
      </c>
      <c r="K3084" s="924" t="s">
        <v>1032</v>
      </c>
      <c r="L3084" s="925">
        <v>1293.81463575363</v>
      </c>
      <c r="M3084" s="925">
        <v>2.69955575099061E-2</v>
      </c>
    </row>
    <row r="3085" spans="1:13" ht="11.25" customHeight="1" x14ac:dyDescent="0.2">
      <c r="A3085" s="924" t="s">
        <v>853</v>
      </c>
      <c r="B3085" s="924" t="s">
        <v>802</v>
      </c>
      <c r="C3085" s="924" t="s">
        <v>1191</v>
      </c>
      <c r="D3085" s="924" t="s">
        <v>1176</v>
      </c>
      <c r="E3085" s="924" t="s">
        <v>856</v>
      </c>
      <c r="F3085" s="924" t="s">
        <v>1033</v>
      </c>
      <c r="G3085" s="924" t="s">
        <v>858</v>
      </c>
      <c r="H3085" s="924" t="s">
        <v>836</v>
      </c>
      <c r="I3085" s="924" t="s">
        <v>837</v>
      </c>
      <c r="J3085" s="924" t="s">
        <v>940</v>
      </c>
      <c r="K3085" s="924" t="s">
        <v>1034</v>
      </c>
      <c r="L3085" s="925">
        <v>32.856035351753199</v>
      </c>
      <c r="M3085" s="925">
        <v>1.07743415833639E-3</v>
      </c>
    </row>
    <row r="3086" spans="1:13" ht="11.25" customHeight="1" x14ac:dyDescent="0.2">
      <c r="A3086" s="924" t="s">
        <v>853</v>
      </c>
      <c r="B3086" s="924" t="s">
        <v>802</v>
      </c>
      <c r="C3086" s="924" t="s">
        <v>1191</v>
      </c>
      <c r="D3086" s="924" t="s">
        <v>1176</v>
      </c>
      <c r="E3086" s="924" t="s">
        <v>856</v>
      </c>
      <c r="F3086" s="924" t="s">
        <v>1035</v>
      </c>
      <c r="G3086" s="924" t="s">
        <v>858</v>
      </c>
      <c r="H3086" s="924" t="s">
        <v>836</v>
      </c>
      <c r="I3086" s="924" t="s">
        <v>837</v>
      </c>
      <c r="J3086" s="924" t="s">
        <v>870</v>
      </c>
      <c r="K3086" s="924" t="s">
        <v>1036</v>
      </c>
      <c r="L3086" s="925">
        <v>5.91234285093378E-2</v>
      </c>
      <c r="M3086" s="925">
        <v>7.2409469387795001E-6</v>
      </c>
    </row>
    <row r="3087" spans="1:13" ht="11.25" customHeight="1" x14ac:dyDescent="0.2">
      <c r="A3087" s="924" t="s">
        <v>853</v>
      </c>
      <c r="B3087" s="924" t="s">
        <v>802</v>
      </c>
      <c r="C3087" s="924" t="s">
        <v>1191</v>
      </c>
      <c r="D3087" s="924" t="s">
        <v>1176</v>
      </c>
      <c r="E3087" s="924" t="s">
        <v>856</v>
      </c>
      <c r="F3087" s="924" t="s">
        <v>975</v>
      </c>
      <c r="G3087" s="924" t="s">
        <v>858</v>
      </c>
      <c r="H3087" s="924" t="s">
        <v>836</v>
      </c>
      <c r="I3087" s="924" t="s">
        <v>837</v>
      </c>
      <c r="J3087" s="924" t="s">
        <v>870</v>
      </c>
      <c r="K3087" s="924" t="s">
        <v>976</v>
      </c>
      <c r="L3087" s="925">
        <v>2456.57118701935</v>
      </c>
      <c r="M3087" s="925">
        <v>3.6766156501130402E-2</v>
      </c>
    </row>
    <row r="3088" spans="1:13" ht="11.25" customHeight="1" x14ac:dyDescent="0.2">
      <c r="A3088" s="924" t="s">
        <v>853</v>
      </c>
      <c r="B3088" s="924" t="s">
        <v>802</v>
      </c>
      <c r="C3088" s="924" t="s">
        <v>1191</v>
      </c>
      <c r="D3088" s="924" t="s">
        <v>1176</v>
      </c>
      <c r="E3088" s="924" t="s">
        <v>856</v>
      </c>
      <c r="F3088" s="924" t="s">
        <v>1018</v>
      </c>
      <c r="G3088" s="924" t="s">
        <v>858</v>
      </c>
      <c r="H3088" s="924" t="s">
        <v>836</v>
      </c>
      <c r="I3088" s="924" t="s">
        <v>837</v>
      </c>
      <c r="J3088" s="924" t="s">
        <v>870</v>
      </c>
      <c r="K3088" s="924" t="s">
        <v>1019</v>
      </c>
      <c r="L3088" s="925">
        <v>220.32136964797999</v>
      </c>
      <c r="M3088" s="925">
        <v>1.6558106482023E-3</v>
      </c>
    </row>
    <row r="3089" spans="1:13" ht="11.25" customHeight="1" x14ac:dyDescent="0.2">
      <c r="A3089" s="924" t="s">
        <v>853</v>
      </c>
      <c r="B3089" s="924" t="s">
        <v>802</v>
      </c>
      <c r="C3089" s="924" t="s">
        <v>1191</v>
      </c>
      <c r="D3089" s="924" t="s">
        <v>1176</v>
      </c>
      <c r="E3089" s="924" t="s">
        <v>856</v>
      </c>
      <c r="F3089" s="924" t="s">
        <v>1002</v>
      </c>
      <c r="G3089" s="924" t="s">
        <v>858</v>
      </c>
      <c r="H3089" s="924" t="s">
        <v>836</v>
      </c>
      <c r="I3089" s="924" t="s">
        <v>837</v>
      </c>
      <c r="J3089" s="924" t="s">
        <v>859</v>
      </c>
      <c r="K3089" s="924" t="s">
        <v>922</v>
      </c>
      <c r="L3089" s="925">
        <v>3836.3891143798801</v>
      </c>
      <c r="M3089" s="925">
        <v>4.3861581809324E-2</v>
      </c>
    </row>
    <row r="3090" spans="1:13" ht="11.25" customHeight="1" x14ac:dyDescent="0.2">
      <c r="A3090" s="924" t="s">
        <v>853</v>
      </c>
      <c r="B3090" s="924" t="s">
        <v>802</v>
      </c>
      <c r="C3090" s="924" t="s">
        <v>1191</v>
      </c>
      <c r="D3090" s="924" t="s">
        <v>1176</v>
      </c>
      <c r="E3090" s="924" t="s">
        <v>856</v>
      </c>
      <c r="F3090" s="924" t="s">
        <v>1001</v>
      </c>
      <c r="G3090" s="924" t="s">
        <v>858</v>
      </c>
      <c r="H3090" s="924" t="s">
        <v>836</v>
      </c>
      <c r="I3090" s="924" t="s">
        <v>837</v>
      </c>
      <c r="J3090" s="924" t="s">
        <v>863</v>
      </c>
      <c r="K3090" s="924" t="s">
        <v>915</v>
      </c>
      <c r="L3090" s="925">
        <v>77.438361883163495</v>
      </c>
      <c r="M3090" s="925">
        <v>2.3660716458948601E-3</v>
      </c>
    </row>
    <row r="3091" spans="1:13" ht="11.25" customHeight="1" x14ac:dyDescent="0.2">
      <c r="A3091" s="924" t="s">
        <v>853</v>
      </c>
      <c r="B3091" s="924" t="s">
        <v>802</v>
      </c>
      <c r="C3091" s="924" t="s">
        <v>1191</v>
      </c>
      <c r="D3091" s="924" t="s">
        <v>1176</v>
      </c>
      <c r="E3091" s="924" t="s">
        <v>856</v>
      </c>
      <c r="F3091" s="924" t="s">
        <v>1055</v>
      </c>
      <c r="G3091" s="924" t="s">
        <v>981</v>
      </c>
      <c r="H3091" s="924" t="s">
        <v>835</v>
      </c>
      <c r="I3091" s="924" t="s">
        <v>1040</v>
      </c>
      <c r="J3091" s="924" t="s">
        <v>859</v>
      </c>
      <c r="K3091" s="924" t="s">
        <v>899</v>
      </c>
      <c r="L3091" s="925">
        <v>100.02730989456199</v>
      </c>
      <c r="M3091" s="925">
        <v>7.0553371916616897E-2</v>
      </c>
    </row>
    <row r="3092" spans="1:13" ht="11.25" customHeight="1" x14ac:dyDescent="0.2">
      <c r="A3092" s="924" t="s">
        <v>853</v>
      </c>
      <c r="B3092" s="924" t="s">
        <v>802</v>
      </c>
      <c r="C3092" s="924" t="s">
        <v>1191</v>
      </c>
      <c r="D3092" s="924" t="s">
        <v>1176</v>
      </c>
      <c r="E3092" s="924" t="s">
        <v>856</v>
      </c>
      <c r="F3092" s="924" t="s">
        <v>1116</v>
      </c>
      <c r="G3092" s="924" t="s">
        <v>981</v>
      </c>
      <c r="H3092" s="924" t="s">
        <v>835</v>
      </c>
      <c r="I3092" s="924" t="s">
        <v>1040</v>
      </c>
      <c r="J3092" s="924" t="s">
        <v>940</v>
      </c>
      <c r="K3092" s="924" t="s">
        <v>1032</v>
      </c>
      <c r="L3092" s="925">
        <v>57358.985275268598</v>
      </c>
      <c r="M3092" s="925">
        <v>36.1634085327387</v>
      </c>
    </row>
    <row r="3093" spans="1:13" ht="11.25" customHeight="1" x14ac:dyDescent="0.2">
      <c r="A3093" s="924" t="s">
        <v>853</v>
      </c>
      <c r="B3093" s="924" t="s">
        <v>802</v>
      </c>
      <c r="C3093" s="924" t="s">
        <v>1191</v>
      </c>
      <c r="D3093" s="924" t="s">
        <v>1176</v>
      </c>
      <c r="E3093" s="924" t="s">
        <v>856</v>
      </c>
      <c r="F3093" s="924" t="s">
        <v>1066</v>
      </c>
      <c r="G3093" s="924" t="s">
        <v>981</v>
      </c>
      <c r="H3093" s="924" t="s">
        <v>835</v>
      </c>
      <c r="I3093" s="924" t="s">
        <v>1040</v>
      </c>
      <c r="J3093" s="924" t="s">
        <v>859</v>
      </c>
      <c r="K3093" s="924" t="s">
        <v>928</v>
      </c>
      <c r="L3093" s="925">
        <v>97.214395999908405</v>
      </c>
      <c r="M3093" s="925">
        <v>4.9245402417000199E-2</v>
      </c>
    </row>
    <row r="3094" spans="1:13" ht="11.25" customHeight="1" x14ac:dyDescent="0.2">
      <c r="A3094" s="924" t="s">
        <v>853</v>
      </c>
      <c r="B3094" s="924" t="s">
        <v>802</v>
      </c>
      <c r="C3094" s="924" t="s">
        <v>1191</v>
      </c>
      <c r="D3094" s="924" t="s">
        <v>1176</v>
      </c>
      <c r="E3094" s="924" t="s">
        <v>856</v>
      </c>
      <c r="F3094" s="924" t="s">
        <v>1065</v>
      </c>
      <c r="G3094" s="924" t="s">
        <v>981</v>
      </c>
      <c r="H3094" s="924" t="s">
        <v>835</v>
      </c>
      <c r="I3094" s="924" t="s">
        <v>1040</v>
      </c>
      <c r="J3094" s="924" t="s">
        <v>859</v>
      </c>
      <c r="K3094" s="924" t="s">
        <v>926</v>
      </c>
      <c r="L3094" s="925">
        <v>143.21457076072701</v>
      </c>
      <c r="M3094" s="925">
        <v>9.5308566465973896E-2</v>
      </c>
    </row>
    <row r="3095" spans="1:13" ht="11.25" customHeight="1" x14ac:dyDescent="0.2">
      <c r="A3095" s="924" t="s">
        <v>853</v>
      </c>
      <c r="B3095" s="924" t="s">
        <v>802</v>
      </c>
      <c r="C3095" s="924" t="s">
        <v>1191</v>
      </c>
      <c r="D3095" s="924" t="s">
        <v>1176</v>
      </c>
      <c r="E3095" s="924" t="s">
        <v>856</v>
      </c>
      <c r="F3095" s="924" t="s">
        <v>1064</v>
      </c>
      <c r="G3095" s="924" t="s">
        <v>981</v>
      </c>
      <c r="H3095" s="924" t="s">
        <v>835</v>
      </c>
      <c r="I3095" s="924" t="s">
        <v>1040</v>
      </c>
      <c r="J3095" s="924" t="s">
        <v>859</v>
      </c>
      <c r="K3095" s="924" t="s">
        <v>924</v>
      </c>
      <c r="L3095" s="925">
        <v>59.7849041223526</v>
      </c>
      <c r="M3095" s="925">
        <v>4.4780152602470497E-3</v>
      </c>
    </row>
    <row r="3096" spans="1:13" ht="11.25" customHeight="1" x14ac:dyDescent="0.2">
      <c r="A3096" s="924" t="s">
        <v>853</v>
      </c>
      <c r="B3096" s="924" t="s">
        <v>802</v>
      </c>
      <c r="C3096" s="924" t="s">
        <v>1191</v>
      </c>
      <c r="D3096" s="924" t="s">
        <v>1176</v>
      </c>
      <c r="E3096" s="924" t="s">
        <v>856</v>
      </c>
      <c r="F3096" s="924" t="s">
        <v>1063</v>
      </c>
      <c r="G3096" s="924" t="s">
        <v>981</v>
      </c>
      <c r="H3096" s="924" t="s">
        <v>835</v>
      </c>
      <c r="I3096" s="924" t="s">
        <v>1040</v>
      </c>
      <c r="J3096" s="924" t="s">
        <v>859</v>
      </c>
      <c r="K3096" s="924" t="s">
        <v>922</v>
      </c>
      <c r="L3096" s="925">
        <v>24.821863323450099</v>
      </c>
      <c r="M3096" s="925">
        <v>4.4972164550927101E-3</v>
      </c>
    </row>
    <row r="3097" spans="1:13" ht="11.25" customHeight="1" x14ac:dyDescent="0.2">
      <c r="A3097" s="924" t="s">
        <v>853</v>
      </c>
      <c r="B3097" s="924" t="s">
        <v>802</v>
      </c>
      <c r="C3097" s="924" t="s">
        <v>1191</v>
      </c>
      <c r="D3097" s="924" t="s">
        <v>1176</v>
      </c>
      <c r="E3097" s="924" t="s">
        <v>856</v>
      </c>
      <c r="F3097" s="924" t="s">
        <v>1062</v>
      </c>
      <c r="G3097" s="924" t="s">
        <v>981</v>
      </c>
      <c r="H3097" s="924" t="s">
        <v>835</v>
      </c>
      <c r="I3097" s="924" t="s">
        <v>1040</v>
      </c>
      <c r="J3097" s="924" t="s">
        <v>859</v>
      </c>
      <c r="K3097" s="924" t="s">
        <v>920</v>
      </c>
      <c r="L3097" s="925">
        <v>28.244452416896799</v>
      </c>
      <c r="M3097" s="925">
        <v>1.9158856685862698E-2</v>
      </c>
    </row>
    <row r="3098" spans="1:13" ht="11.25" customHeight="1" x14ac:dyDescent="0.2">
      <c r="A3098" s="924" t="s">
        <v>853</v>
      </c>
      <c r="B3098" s="924" t="s">
        <v>802</v>
      </c>
      <c r="C3098" s="924" t="s">
        <v>1191</v>
      </c>
      <c r="D3098" s="924" t="s">
        <v>1176</v>
      </c>
      <c r="E3098" s="924" t="s">
        <v>856</v>
      </c>
      <c r="F3098" s="924" t="s">
        <v>1061</v>
      </c>
      <c r="G3098" s="924" t="s">
        <v>981</v>
      </c>
      <c r="H3098" s="924" t="s">
        <v>835</v>
      </c>
      <c r="I3098" s="924" t="s">
        <v>1040</v>
      </c>
      <c r="J3098" s="924" t="s">
        <v>859</v>
      </c>
      <c r="K3098" s="924" t="s">
        <v>918</v>
      </c>
      <c r="L3098" s="925">
        <v>16.2107378691435</v>
      </c>
      <c r="M3098" s="925">
        <v>7.1509032968606299E-3</v>
      </c>
    </row>
    <row r="3099" spans="1:13" ht="11.25" customHeight="1" x14ac:dyDescent="0.2">
      <c r="A3099" s="924" t="s">
        <v>853</v>
      </c>
      <c r="B3099" s="924" t="s">
        <v>802</v>
      </c>
      <c r="C3099" s="924" t="s">
        <v>1191</v>
      </c>
      <c r="D3099" s="924" t="s">
        <v>1176</v>
      </c>
      <c r="E3099" s="924" t="s">
        <v>856</v>
      </c>
      <c r="F3099" s="924" t="s">
        <v>1060</v>
      </c>
      <c r="G3099" s="924" t="s">
        <v>981</v>
      </c>
      <c r="H3099" s="924" t="s">
        <v>835</v>
      </c>
      <c r="I3099" s="924" t="s">
        <v>1040</v>
      </c>
      <c r="J3099" s="924" t="s">
        <v>859</v>
      </c>
      <c r="K3099" s="924" t="s">
        <v>973</v>
      </c>
      <c r="L3099" s="925">
        <v>209.27094483375501</v>
      </c>
      <c r="M3099" s="925">
        <v>0.142650133832149</v>
      </c>
    </row>
    <row r="3100" spans="1:13" ht="11.25" customHeight="1" x14ac:dyDescent="0.2">
      <c r="A3100" s="924" t="s">
        <v>853</v>
      </c>
      <c r="B3100" s="924" t="s">
        <v>802</v>
      </c>
      <c r="C3100" s="924" t="s">
        <v>1191</v>
      </c>
      <c r="D3100" s="924" t="s">
        <v>1176</v>
      </c>
      <c r="E3100" s="924" t="s">
        <v>856</v>
      </c>
      <c r="F3100" s="924" t="s">
        <v>1059</v>
      </c>
      <c r="G3100" s="924" t="s">
        <v>981</v>
      </c>
      <c r="H3100" s="924" t="s">
        <v>835</v>
      </c>
      <c r="I3100" s="924" t="s">
        <v>1040</v>
      </c>
      <c r="J3100" s="924" t="s">
        <v>859</v>
      </c>
      <c r="K3100" s="924" t="s">
        <v>909</v>
      </c>
      <c r="L3100" s="925">
        <v>436.293510437012</v>
      </c>
      <c r="M3100" s="925">
        <v>0.30211972724646302</v>
      </c>
    </row>
    <row r="3101" spans="1:13" ht="11.25" customHeight="1" x14ac:dyDescent="0.2">
      <c r="A3101" s="924" t="s">
        <v>853</v>
      </c>
      <c r="B3101" s="924" t="s">
        <v>802</v>
      </c>
      <c r="C3101" s="924" t="s">
        <v>1191</v>
      </c>
      <c r="D3101" s="924" t="s">
        <v>1176</v>
      </c>
      <c r="E3101" s="924" t="s">
        <v>856</v>
      </c>
      <c r="F3101" s="924" t="s">
        <v>1058</v>
      </c>
      <c r="G3101" s="924" t="s">
        <v>981</v>
      </c>
      <c r="H3101" s="924" t="s">
        <v>835</v>
      </c>
      <c r="I3101" s="924" t="s">
        <v>1040</v>
      </c>
      <c r="J3101" s="924" t="s">
        <v>859</v>
      </c>
      <c r="K3101" s="924" t="s">
        <v>905</v>
      </c>
      <c r="L3101" s="925">
        <v>73.208548247814207</v>
      </c>
      <c r="M3101" s="925">
        <v>5.8042901953740497E-2</v>
      </c>
    </row>
    <row r="3102" spans="1:13" ht="11.25" customHeight="1" x14ac:dyDescent="0.2">
      <c r="A3102" s="924" t="s">
        <v>853</v>
      </c>
      <c r="B3102" s="924" t="s">
        <v>802</v>
      </c>
      <c r="C3102" s="924" t="s">
        <v>1191</v>
      </c>
      <c r="D3102" s="924" t="s">
        <v>1176</v>
      </c>
      <c r="E3102" s="924" t="s">
        <v>856</v>
      </c>
      <c r="F3102" s="924" t="s">
        <v>1082</v>
      </c>
      <c r="G3102" s="924" t="s">
        <v>981</v>
      </c>
      <c r="H3102" s="924" t="s">
        <v>835</v>
      </c>
      <c r="I3102" s="924" t="s">
        <v>998</v>
      </c>
      <c r="J3102" s="924" t="s">
        <v>875</v>
      </c>
      <c r="K3102" s="924" t="s">
        <v>952</v>
      </c>
      <c r="L3102" s="925">
        <v>1.6398425027728101</v>
      </c>
      <c r="M3102" s="925">
        <v>3.6640784746850802E-3</v>
      </c>
    </row>
    <row r="3103" spans="1:13" ht="11.25" customHeight="1" x14ac:dyDescent="0.2">
      <c r="A3103" s="924" t="s">
        <v>853</v>
      </c>
      <c r="B3103" s="924" t="s">
        <v>802</v>
      </c>
      <c r="C3103" s="924" t="s">
        <v>1191</v>
      </c>
      <c r="D3103" s="924" t="s">
        <v>1176</v>
      </c>
      <c r="E3103" s="924" t="s">
        <v>856</v>
      </c>
      <c r="F3103" s="924" t="s">
        <v>1039</v>
      </c>
      <c r="G3103" s="924" t="s">
        <v>981</v>
      </c>
      <c r="H3103" s="924" t="s">
        <v>835</v>
      </c>
      <c r="I3103" s="924" t="s">
        <v>1040</v>
      </c>
      <c r="J3103" s="924" t="s">
        <v>859</v>
      </c>
      <c r="K3103" s="924" t="s">
        <v>901</v>
      </c>
      <c r="L3103" s="925">
        <v>5.2143698632717097</v>
      </c>
      <c r="M3103" s="925">
        <v>3.8547242475033298E-3</v>
      </c>
    </row>
    <row r="3104" spans="1:13" ht="11.25" customHeight="1" x14ac:dyDescent="0.2">
      <c r="A3104" s="924" t="s">
        <v>853</v>
      </c>
      <c r="B3104" s="924" t="s">
        <v>802</v>
      </c>
      <c r="C3104" s="924" t="s">
        <v>1191</v>
      </c>
      <c r="D3104" s="924" t="s">
        <v>1176</v>
      </c>
      <c r="E3104" s="924" t="s">
        <v>856</v>
      </c>
      <c r="F3104" s="924" t="s">
        <v>1135</v>
      </c>
      <c r="G3104" s="924" t="s">
        <v>981</v>
      </c>
      <c r="H3104" s="924" t="s">
        <v>835</v>
      </c>
      <c r="I3104" s="924" t="s">
        <v>1040</v>
      </c>
      <c r="J3104" s="924" t="s">
        <v>863</v>
      </c>
      <c r="K3104" s="924" t="s">
        <v>935</v>
      </c>
      <c r="L3104" s="925">
        <v>286.63706445693998</v>
      </c>
      <c r="M3104" s="925">
        <v>0.103571650455706</v>
      </c>
    </row>
    <row r="3105" spans="1:13" ht="11.25" customHeight="1" x14ac:dyDescent="0.2">
      <c r="A3105" s="924" t="s">
        <v>853</v>
      </c>
      <c r="B3105" s="924" t="s">
        <v>802</v>
      </c>
      <c r="C3105" s="924" t="s">
        <v>1191</v>
      </c>
      <c r="D3105" s="924" t="s">
        <v>1176</v>
      </c>
      <c r="E3105" s="924" t="s">
        <v>856</v>
      </c>
      <c r="F3105" s="924" t="s">
        <v>1068</v>
      </c>
      <c r="G3105" s="924" t="s">
        <v>981</v>
      </c>
      <c r="H3105" s="924" t="s">
        <v>835</v>
      </c>
      <c r="I3105" s="924" t="s">
        <v>1040</v>
      </c>
      <c r="J3105" s="924" t="s">
        <v>859</v>
      </c>
      <c r="K3105" s="924" t="s">
        <v>897</v>
      </c>
      <c r="L3105" s="925">
        <v>237.318620443344</v>
      </c>
      <c r="M3105" s="925">
        <v>0.15876343469517501</v>
      </c>
    </row>
    <row r="3106" spans="1:13" ht="11.25" customHeight="1" x14ac:dyDescent="0.2">
      <c r="A3106" s="924" t="s">
        <v>853</v>
      </c>
      <c r="B3106" s="924" t="s">
        <v>802</v>
      </c>
      <c r="C3106" s="924" t="s">
        <v>1191</v>
      </c>
      <c r="D3106" s="924" t="s">
        <v>1176</v>
      </c>
      <c r="E3106" s="924" t="s">
        <v>856</v>
      </c>
      <c r="F3106" s="924" t="s">
        <v>1053</v>
      </c>
      <c r="G3106" s="924" t="s">
        <v>981</v>
      </c>
      <c r="H3106" s="924" t="s">
        <v>835</v>
      </c>
      <c r="I3106" s="924" t="s">
        <v>1040</v>
      </c>
      <c r="J3106" s="924" t="s">
        <v>859</v>
      </c>
      <c r="K3106" s="924" t="s">
        <v>893</v>
      </c>
      <c r="L3106" s="925">
        <v>119.028258085251</v>
      </c>
      <c r="M3106" s="925">
        <v>7.2572422737721395E-2</v>
      </c>
    </row>
    <row r="3107" spans="1:13" ht="11.25" customHeight="1" x14ac:dyDescent="0.2">
      <c r="A3107" s="924" t="s">
        <v>853</v>
      </c>
      <c r="B3107" s="924" t="s">
        <v>802</v>
      </c>
      <c r="C3107" s="924" t="s">
        <v>1191</v>
      </c>
      <c r="D3107" s="924" t="s">
        <v>1176</v>
      </c>
      <c r="E3107" s="924" t="s">
        <v>856</v>
      </c>
      <c r="F3107" s="924" t="s">
        <v>1052</v>
      </c>
      <c r="G3107" s="924" t="s">
        <v>981</v>
      </c>
      <c r="H3107" s="924" t="s">
        <v>835</v>
      </c>
      <c r="I3107" s="924" t="s">
        <v>1040</v>
      </c>
      <c r="J3107" s="924" t="s">
        <v>859</v>
      </c>
      <c r="K3107" s="924" t="s">
        <v>860</v>
      </c>
      <c r="L3107" s="925">
        <v>126.445348739624</v>
      </c>
      <c r="M3107" s="925">
        <v>8.9372674585320097E-2</v>
      </c>
    </row>
    <row r="3108" spans="1:13" ht="11.25" customHeight="1" x14ac:dyDescent="0.2">
      <c r="A3108" s="924" t="s">
        <v>853</v>
      </c>
      <c r="B3108" s="924" t="s">
        <v>802</v>
      </c>
      <c r="C3108" s="924" t="s">
        <v>1191</v>
      </c>
      <c r="D3108" s="924" t="s">
        <v>1176</v>
      </c>
      <c r="E3108" s="924" t="s">
        <v>856</v>
      </c>
      <c r="F3108" s="924" t="s">
        <v>1051</v>
      </c>
      <c r="G3108" s="924" t="s">
        <v>981</v>
      </c>
      <c r="H3108" s="924" t="s">
        <v>835</v>
      </c>
      <c r="I3108" s="924" t="s">
        <v>1040</v>
      </c>
      <c r="J3108" s="924" t="s">
        <v>859</v>
      </c>
      <c r="K3108" s="924" t="s">
        <v>889</v>
      </c>
      <c r="L3108" s="925">
        <v>0.50236077234149001</v>
      </c>
      <c r="M3108" s="925">
        <v>3.2716948726374502E-4</v>
      </c>
    </row>
    <row r="3109" spans="1:13" ht="11.25" customHeight="1" x14ac:dyDescent="0.2">
      <c r="A3109" s="924" t="s">
        <v>853</v>
      </c>
      <c r="B3109" s="924" t="s">
        <v>802</v>
      </c>
      <c r="C3109" s="924" t="s">
        <v>1191</v>
      </c>
      <c r="D3109" s="924" t="s">
        <v>1176</v>
      </c>
      <c r="E3109" s="924" t="s">
        <v>856</v>
      </c>
      <c r="F3109" s="924" t="s">
        <v>1050</v>
      </c>
      <c r="G3109" s="924" t="s">
        <v>981</v>
      </c>
      <c r="H3109" s="924" t="s">
        <v>835</v>
      </c>
      <c r="I3109" s="924" t="s">
        <v>1040</v>
      </c>
      <c r="J3109" s="924" t="s">
        <v>859</v>
      </c>
      <c r="K3109" s="924" t="s">
        <v>913</v>
      </c>
      <c r="L3109" s="925">
        <v>67.131915986537905</v>
      </c>
      <c r="M3109" s="925">
        <v>3.98284221337235E-2</v>
      </c>
    </row>
    <row r="3110" spans="1:13" ht="11.25" customHeight="1" x14ac:dyDescent="0.2">
      <c r="A3110" s="924" t="s">
        <v>853</v>
      </c>
      <c r="B3110" s="924" t="s">
        <v>802</v>
      </c>
      <c r="C3110" s="924" t="s">
        <v>1191</v>
      </c>
      <c r="D3110" s="924" t="s">
        <v>1176</v>
      </c>
      <c r="E3110" s="924" t="s">
        <v>856</v>
      </c>
      <c r="F3110" s="924" t="s">
        <v>1049</v>
      </c>
      <c r="G3110" s="924" t="s">
        <v>981</v>
      </c>
      <c r="H3110" s="924" t="s">
        <v>835</v>
      </c>
      <c r="I3110" s="924" t="s">
        <v>1040</v>
      </c>
      <c r="J3110" s="924" t="s">
        <v>884</v>
      </c>
      <c r="K3110" s="924" t="s">
        <v>885</v>
      </c>
      <c r="L3110" s="925">
        <v>215.64652657508901</v>
      </c>
      <c r="M3110" s="925">
        <v>0.20518222129612701</v>
      </c>
    </row>
    <row r="3111" spans="1:13" ht="11.25" customHeight="1" x14ac:dyDescent="0.2">
      <c r="A3111" s="924" t="s">
        <v>853</v>
      </c>
      <c r="B3111" s="924" t="s">
        <v>802</v>
      </c>
      <c r="C3111" s="924" t="s">
        <v>1191</v>
      </c>
      <c r="D3111" s="924" t="s">
        <v>1176</v>
      </c>
      <c r="E3111" s="924" t="s">
        <v>856</v>
      </c>
      <c r="F3111" s="924" t="s">
        <v>1047</v>
      </c>
      <c r="G3111" s="924" t="s">
        <v>981</v>
      </c>
      <c r="H3111" s="924" t="s">
        <v>835</v>
      </c>
      <c r="I3111" s="924" t="s">
        <v>1040</v>
      </c>
      <c r="J3111" s="924" t="s">
        <v>884</v>
      </c>
      <c r="K3111" s="924" t="s">
        <v>1048</v>
      </c>
      <c r="L3111" s="925">
        <v>2144.5543823242201</v>
      </c>
      <c r="M3111" s="925">
        <v>1.61418271437287</v>
      </c>
    </row>
    <row r="3112" spans="1:13" ht="11.25" customHeight="1" x14ac:dyDescent="0.2">
      <c r="A3112" s="924" t="s">
        <v>853</v>
      </c>
      <c r="B3112" s="924" t="s">
        <v>802</v>
      </c>
      <c r="C3112" s="924" t="s">
        <v>1191</v>
      </c>
      <c r="D3112" s="924" t="s">
        <v>1176</v>
      </c>
      <c r="E3112" s="924" t="s">
        <v>856</v>
      </c>
      <c r="F3112" s="924" t="s">
        <v>1045</v>
      </c>
      <c r="G3112" s="924" t="s">
        <v>981</v>
      </c>
      <c r="H3112" s="924" t="s">
        <v>835</v>
      </c>
      <c r="I3112" s="924" t="s">
        <v>1040</v>
      </c>
      <c r="J3112" s="924" t="s">
        <v>884</v>
      </c>
      <c r="K3112" s="924" t="s">
        <v>1046</v>
      </c>
      <c r="L3112" s="925">
        <v>1637.77943992615</v>
      </c>
      <c r="M3112" s="925">
        <v>1.67380125960335</v>
      </c>
    </row>
    <row r="3113" spans="1:13" ht="11.25" customHeight="1" x14ac:dyDescent="0.2">
      <c r="A3113" s="924" t="s">
        <v>853</v>
      </c>
      <c r="B3113" s="924" t="s">
        <v>802</v>
      </c>
      <c r="C3113" s="924" t="s">
        <v>1191</v>
      </c>
      <c r="D3113" s="924" t="s">
        <v>1176</v>
      </c>
      <c r="E3113" s="924" t="s">
        <v>856</v>
      </c>
      <c r="F3113" s="924" t="s">
        <v>1044</v>
      </c>
      <c r="G3113" s="924" t="s">
        <v>981</v>
      </c>
      <c r="H3113" s="924" t="s">
        <v>835</v>
      </c>
      <c r="I3113" s="924" t="s">
        <v>1040</v>
      </c>
      <c r="J3113" s="924" t="s">
        <v>884</v>
      </c>
      <c r="K3113" s="924" t="s">
        <v>999</v>
      </c>
      <c r="L3113" s="925">
        <v>172.119700908661</v>
      </c>
      <c r="M3113" s="925">
        <v>0.23726188597720499</v>
      </c>
    </row>
    <row r="3114" spans="1:13" ht="11.25" customHeight="1" x14ac:dyDescent="0.2">
      <c r="A3114" s="924" t="s">
        <v>853</v>
      </c>
      <c r="B3114" s="924" t="s">
        <v>802</v>
      </c>
      <c r="C3114" s="924" t="s">
        <v>1191</v>
      </c>
      <c r="D3114" s="924" t="s">
        <v>1176</v>
      </c>
      <c r="E3114" s="924" t="s">
        <v>856</v>
      </c>
      <c r="F3114" s="924" t="s">
        <v>1042</v>
      </c>
      <c r="G3114" s="924" t="s">
        <v>981</v>
      </c>
      <c r="H3114" s="924" t="s">
        <v>835</v>
      </c>
      <c r="I3114" s="924" t="s">
        <v>998</v>
      </c>
      <c r="J3114" s="924" t="s">
        <v>956</v>
      </c>
      <c r="K3114" s="924" t="s">
        <v>1043</v>
      </c>
      <c r="L3114" s="925">
        <v>1.7162488661706401</v>
      </c>
      <c r="M3114" s="925">
        <v>2.9727443543379199E-3</v>
      </c>
    </row>
    <row r="3115" spans="1:13" ht="11.25" customHeight="1" x14ac:dyDescent="0.2">
      <c r="A3115" s="924" t="s">
        <v>853</v>
      </c>
      <c r="B3115" s="924" t="s">
        <v>802</v>
      </c>
      <c r="C3115" s="924" t="s">
        <v>1191</v>
      </c>
      <c r="D3115" s="924" t="s">
        <v>1176</v>
      </c>
      <c r="E3115" s="924" t="s">
        <v>856</v>
      </c>
      <c r="F3115" s="924" t="s">
        <v>1057</v>
      </c>
      <c r="G3115" s="924" t="s">
        <v>981</v>
      </c>
      <c r="H3115" s="924" t="s">
        <v>835</v>
      </c>
      <c r="I3115" s="924" t="s">
        <v>1040</v>
      </c>
      <c r="J3115" s="924" t="s">
        <v>859</v>
      </c>
      <c r="K3115" s="924" t="s">
        <v>903</v>
      </c>
      <c r="L3115" s="925">
        <v>208.75821971893299</v>
      </c>
      <c r="M3115" s="925">
        <v>0.12901850026537401</v>
      </c>
    </row>
    <row r="3116" spans="1:13" ht="11.25" customHeight="1" x14ac:dyDescent="0.2">
      <c r="A3116" s="924" t="s">
        <v>853</v>
      </c>
      <c r="B3116" s="924" t="s">
        <v>802</v>
      </c>
      <c r="C3116" s="924" t="s">
        <v>1191</v>
      </c>
      <c r="D3116" s="924" t="s">
        <v>1176</v>
      </c>
      <c r="E3116" s="924" t="s">
        <v>856</v>
      </c>
      <c r="F3116" s="924" t="s">
        <v>1159</v>
      </c>
      <c r="G3116" s="924" t="s">
        <v>981</v>
      </c>
      <c r="H3116" s="924" t="s">
        <v>835</v>
      </c>
      <c r="I3116" s="924" t="s">
        <v>1040</v>
      </c>
      <c r="J3116" s="924" t="s">
        <v>940</v>
      </c>
      <c r="K3116" s="924" t="s">
        <v>1095</v>
      </c>
      <c r="L3116" s="925">
        <v>55.013365089893298</v>
      </c>
      <c r="M3116" s="925">
        <v>3.8440005708252997E-2</v>
      </c>
    </row>
    <row r="3117" spans="1:13" ht="11.25" customHeight="1" x14ac:dyDescent="0.2">
      <c r="A3117" s="924" t="s">
        <v>853</v>
      </c>
      <c r="B3117" s="924" t="s">
        <v>802</v>
      </c>
      <c r="C3117" s="924" t="s">
        <v>1191</v>
      </c>
      <c r="D3117" s="924" t="s">
        <v>1176</v>
      </c>
      <c r="E3117" s="924" t="s">
        <v>856</v>
      </c>
      <c r="F3117" s="924" t="s">
        <v>1102</v>
      </c>
      <c r="G3117" s="924" t="s">
        <v>981</v>
      </c>
      <c r="H3117" s="924" t="s">
        <v>835</v>
      </c>
      <c r="I3117" s="924" t="s">
        <v>998</v>
      </c>
      <c r="J3117" s="924" t="s">
        <v>875</v>
      </c>
      <c r="K3117" s="924" t="s">
        <v>876</v>
      </c>
      <c r="L3117" s="925">
        <v>40.620957016944899</v>
      </c>
      <c r="M3117" s="925">
        <v>8.2194740651175394E-2</v>
      </c>
    </row>
    <row r="3118" spans="1:13" ht="11.25" customHeight="1" x14ac:dyDescent="0.2">
      <c r="A3118" s="924" t="s">
        <v>853</v>
      </c>
      <c r="B3118" s="924" t="s">
        <v>802</v>
      </c>
      <c r="C3118" s="924" t="s">
        <v>1191</v>
      </c>
      <c r="D3118" s="924" t="s">
        <v>1176</v>
      </c>
      <c r="E3118" s="924" t="s">
        <v>856</v>
      </c>
      <c r="F3118" s="924" t="s">
        <v>917</v>
      </c>
      <c r="G3118" s="924" t="s">
        <v>911</v>
      </c>
      <c r="H3118" s="924" t="s">
        <v>665</v>
      </c>
      <c r="I3118" s="924" t="s">
        <v>706</v>
      </c>
      <c r="J3118" s="924" t="s">
        <v>859</v>
      </c>
      <c r="K3118" s="924" t="s">
        <v>918</v>
      </c>
      <c r="L3118" s="925">
        <v>10.957731559872601</v>
      </c>
      <c r="M3118" s="925">
        <v>3.53811942659377E-3</v>
      </c>
    </row>
    <row r="3119" spans="1:13" ht="11.25" customHeight="1" x14ac:dyDescent="0.2">
      <c r="A3119" s="924" t="s">
        <v>853</v>
      </c>
      <c r="B3119" s="924" t="s">
        <v>802</v>
      </c>
      <c r="C3119" s="924" t="s">
        <v>1191</v>
      </c>
      <c r="D3119" s="924" t="s">
        <v>1176</v>
      </c>
      <c r="E3119" s="924" t="s">
        <v>856</v>
      </c>
      <c r="F3119" s="924" t="s">
        <v>1132</v>
      </c>
      <c r="G3119" s="924" t="s">
        <v>981</v>
      </c>
      <c r="H3119" s="924" t="s">
        <v>835</v>
      </c>
      <c r="I3119" s="924" t="s">
        <v>1040</v>
      </c>
      <c r="J3119" s="924" t="s">
        <v>940</v>
      </c>
      <c r="K3119" s="924" t="s">
        <v>941</v>
      </c>
      <c r="L3119" s="925">
        <v>2965.0516977310199</v>
      </c>
      <c r="M3119" s="925">
        <v>1.29490030929446</v>
      </c>
    </row>
    <row r="3120" spans="1:13" ht="11.25" customHeight="1" x14ac:dyDescent="0.2">
      <c r="A3120" s="924" t="s">
        <v>853</v>
      </c>
      <c r="B3120" s="924" t="s">
        <v>802</v>
      </c>
      <c r="C3120" s="924" t="s">
        <v>1191</v>
      </c>
      <c r="D3120" s="924" t="s">
        <v>1176</v>
      </c>
      <c r="E3120" s="924" t="s">
        <v>856</v>
      </c>
      <c r="F3120" s="924" t="s">
        <v>1145</v>
      </c>
      <c r="G3120" s="924" t="s">
        <v>981</v>
      </c>
      <c r="H3120" s="924" t="s">
        <v>835</v>
      </c>
      <c r="I3120" s="924" t="s">
        <v>1040</v>
      </c>
      <c r="J3120" s="924" t="s">
        <v>940</v>
      </c>
      <c r="K3120" s="924" t="s">
        <v>1029</v>
      </c>
      <c r="L3120" s="925">
        <v>17769.2939758301</v>
      </c>
      <c r="M3120" s="925">
        <v>11.6845124810934</v>
      </c>
    </row>
    <row r="3121" spans="1:13" ht="11.25" customHeight="1" x14ac:dyDescent="0.2">
      <c r="A3121" s="924" t="s">
        <v>853</v>
      </c>
      <c r="B3121" s="924" t="s">
        <v>802</v>
      </c>
      <c r="C3121" s="924" t="s">
        <v>1191</v>
      </c>
      <c r="D3121" s="924" t="s">
        <v>1176</v>
      </c>
      <c r="E3121" s="924" t="s">
        <v>856</v>
      </c>
      <c r="F3121" s="924" t="s">
        <v>1146</v>
      </c>
      <c r="G3121" s="924" t="s">
        <v>981</v>
      </c>
      <c r="H3121" s="924" t="s">
        <v>835</v>
      </c>
      <c r="I3121" s="924" t="s">
        <v>1040</v>
      </c>
      <c r="J3121" s="924" t="s">
        <v>940</v>
      </c>
      <c r="K3121" s="924" t="s">
        <v>1147</v>
      </c>
      <c r="L3121" s="925">
        <v>14096.322921752901</v>
      </c>
      <c r="M3121" s="925">
        <v>9.0748641043901408</v>
      </c>
    </row>
    <row r="3122" spans="1:13" ht="11.25" customHeight="1" x14ac:dyDescent="0.2">
      <c r="A3122" s="924" t="s">
        <v>853</v>
      </c>
      <c r="B3122" s="924" t="s">
        <v>802</v>
      </c>
      <c r="C3122" s="924" t="s">
        <v>1191</v>
      </c>
      <c r="D3122" s="924" t="s">
        <v>1176</v>
      </c>
      <c r="E3122" s="924" t="s">
        <v>856</v>
      </c>
      <c r="F3122" s="924" t="s">
        <v>1150</v>
      </c>
      <c r="G3122" s="924" t="s">
        <v>981</v>
      </c>
      <c r="H3122" s="924" t="s">
        <v>835</v>
      </c>
      <c r="I3122" s="924" t="s">
        <v>1040</v>
      </c>
      <c r="J3122" s="924" t="s">
        <v>940</v>
      </c>
      <c r="K3122" s="924" t="s">
        <v>1151</v>
      </c>
      <c r="L3122" s="925">
        <v>704.83118009567295</v>
      </c>
      <c r="M3122" s="925">
        <v>0.49631185946054801</v>
      </c>
    </row>
    <row r="3123" spans="1:13" ht="11.25" customHeight="1" x14ac:dyDescent="0.2">
      <c r="A3123" s="924" t="s">
        <v>853</v>
      </c>
      <c r="B3123" s="924" t="s">
        <v>802</v>
      </c>
      <c r="C3123" s="924" t="s">
        <v>1191</v>
      </c>
      <c r="D3123" s="924" t="s">
        <v>1176</v>
      </c>
      <c r="E3123" s="924" t="s">
        <v>856</v>
      </c>
      <c r="F3123" s="924" t="s">
        <v>1161</v>
      </c>
      <c r="G3123" s="924" t="s">
        <v>981</v>
      </c>
      <c r="H3123" s="924" t="s">
        <v>835</v>
      </c>
      <c r="I3123" s="924" t="s">
        <v>1040</v>
      </c>
      <c r="J3123" s="924" t="s">
        <v>940</v>
      </c>
      <c r="K3123" s="924" t="s">
        <v>1027</v>
      </c>
      <c r="L3123" s="925">
        <v>1476.94421863556</v>
      </c>
      <c r="M3123" s="925">
        <v>1.0211009340364401</v>
      </c>
    </row>
    <row r="3124" spans="1:13" ht="11.25" customHeight="1" x14ac:dyDescent="0.2">
      <c r="A3124" s="924" t="s">
        <v>853</v>
      </c>
      <c r="B3124" s="924" t="s">
        <v>802</v>
      </c>
      <c r="C3124" s="924" t="s">
        <v>1191</v>
      </c>
      <c r="D3124" s="924" t="s">
        <v>1176</v>
      </c>
      <c r="E3124" s="924" t="s">
        <v>856</v>
      </c>
      <c r="F3124" s="924" t="s">
        <v>1152</v>
      </c>
      <c r="G3124" s="924" t="s">
        <v>981</v>
      </c>
      <c r="H3124" s="924" t="s">
        <v>835</v>
      </c>
      <c r="I3124" s="924" t="s">
        <v>1040</v>
      </c>
      <c r="J3124" s="924" t="s">
        <v>940</v>
      </c>
      <c r="K3124" s="924" t="s">
        <v>1153</v>
      </c>
      <c r="L3124" s="925">
        <v>1307.52368164063</v>
      </c>
      <c r="M3124" s="925">
        <v>0.85996468993835196</v>
      </c>
    </row>
    <row r="3125" spans="1:13" ht="11.25" customHeight="1" x14ac:dyDescent="0.2">
      <c r="A3125" s="924" t="s">
        <v>853</v>
      </c>
      <c r="B3125" s="924" t="s">
        <v>802</v>
      </c>
      <c r="C3125" s="924" t="s">
        <v>1191</v>
      </c>
      <c r="D3125" s="924" t="s">
        <v>1176</v>
      </c>
      <c r="E3125" s="924" t="s">
        <v>856</v>
      </c>
      <c r="F3125" s="924" t="s">
        <v>1154</v>
      </c>
      <c r="G3125" s="924" t="s">
        <v>981</v>
      </c>
      <c r="H3125" s="924" t="s">
        <v>835</v>
      </c>
      <c r="I3125" s="924" t="s">
        <v>1040</v>
      </c>
      <c r="J3125" s="924" t="s">
        <v>940</v>
      </c>
      <c r="K3125" s="924" t="s">
        <v>1155</v>
      </c>
      <c r="L3125" s="925">
        <v>1051.55869960785</v>
      </c>
      <c r="M3125" s="925">
        <v>0.67814263127809205</v>
      </c>
    </row>
    <row r="3126" spans="1:13" ht="11.25" customHeight="1" x14ac:dyDescent="0.2">
      <c r="A3126" s="924" t="s">
        <v>853</v>
      </c>
      <c r="B3126" s="924" t="s">
        <v>802</v>
      </c>
      <c r="C3126" s="924" t="s">
        <v>1191</v>
      </c>
      <c r="D3126" s="924" t="s">
        <v>1176</v>
      </c>
      <c r="E3126" s="924" t="s">
        <v>856</v>
      </c>
      <c r="F3126" s="924" t="s">
        <v>1156</v>
      </c>
      <c r="G3126" s="924" t="s">
        <v>981</v>
      </c>
      <c r="H3126" s="924" t="s">
        <v>835</v>
      </c>
      <c r="I3126" s="924" t="s">
        <v>1040</v>
      </c>
      <c r="J3126" s="924" t="s">
        <v>940</v>
      </c>
      <c r="K3126" s="924" t="s">
        <v>1025</v>
      </c>
      <c r="L3126" s="925">
        <v>3913.0985717773401</v>
      </c>
      <c r="M3126" s="925">
        <v>7.3579141236841696</v>
      </c>
    </row>
    <row r="3127" spans="1:13" ht="11.25" customHeight="1" x14ac:dyDescent="0.2">
      <c r="A3127" s="924" t="s">
        <v>853</v>
      </c>
      <c r="B3127" s="924" t="s">
        <v>802</v>
      </c>
      <c r="C3127" s="924" t="s">
        <v>1191</v>
      </c>
      <c r="D3127" s="924" t="s">
        <v>1176</v>
      </c>
      <c r="E3127" s="924" t="s">
        <v>856</v>
      </c>
      <c r="F3127" s="924" t="s">
        <v>1041</v>
      </c>
      <c r="G3127" s="924" t="s">
        <v>981</v>
      </c>
      <c r="H3127" s="924" t="s">
        <v>835</v>
      </c>
      <c r="I3127" s="924" t="s">
        <v>1040</v>
      </c>
      <c r="J3127" s="924" t="s">
        <v>859</v>
      </c>
      <c r="K3127" s="924" t="s">
        <v>891</v>
      </c>
      <c r="L3127" s="925">
        <v>22.343710184097301</v>
      </c>
      <c r="M3127" s="925">
        <v>1.1208642699784801E-2</v>
      </c>
    </row>
    <row r="3128" spans="1:13" ht="11.25" customHeight="1" x14ac:dyDescent="0.2">
      <c r="A3128" s="924" t="s">
        <v>853</v>
      </c>
      <c r="B3128" s="924" t="s">
        <v>802</v>
      </c>
      <c r="C3128" s="924" t="s">
        <v>1191</v>
      </c>
      <c r="D3128" s="924" t="s">
        <v>1176</v>
      </c>
      <c r="E3128" s="924" t="s">
        <v>856</v>
      </c>
      <c r="F3128" s="924" t="s">
        <v>1158</v>
      </c>
      <c r="G3128" s="924" t="s">
        <v>981</v>
      </c>
      <c r="H3128" s="924" t="s">
        <v>835</v>
      </c>
      <c r="I3128" s="924" t="s">
        <v>1040</v>
      </c>
      <c r="J3128" s="924" t="s">
        <v>940</v>
      </c>
      <c r="K3128" s="924" t="s">
        <v>1023</v>
      </c>
      <c r="L3128" s="925">
        <v>9766.7375869750995</v>
      </c>
      <c r="M3128" s="925">
        <v>5.6146059307575298</v>
      </c>
    </row>
    <row r="3129" spans="1:13" ht="11.25" customHeight="1" x14ac:dyDescent="0.2">
      <c r="A3129" s="924" t="s">
        <v>853</v>
      </c>
      <c r="B3129" s="924" t="s">
        <v>802</v>
      </c>
      <c r="C3129" s="924" t="s">
        <v>1191</v>
      </c>
      <c r="D3129" s="924" t="s">
        <v>1176</v>
      </c>
      <c r="E3129" s="924" t="s">
        <v>856</v>
      </c>
      <c r="F3129" s="924" t="s">
        <v>1134</v>
      </c>
      <c r="G3129" s="924" t="s">
        <v>981</v>
      </c>
      <c r="H3129" s="924" t="s">
        <v>835</v>
      </c>
      <c r="I3129" s="924" t="s">
        <v>1040</v>
      </c>
      <c r="J3129" s="924" t="s">
        <v>863</v>
      </c>
      <c r="K3129" s="924" t="s">
        <v>933</v>
      </c>
      <c r="L3129" s="925">
        <v>1331.4274024963399</v>
      </c>
      <c r="M3129" s="925">
        <v>9.4417168642394203E-2</v>
      </c>
    </row>
    <row r="3130" spans="1:13" ht="11.25" customHeight="1" x14ac:dyDescent="0.2">
      <c r="A3130" s="924" t="s">
        <v>853</v>
      </c>
      <c r="B3130" s="924" t="s">
        <v>802</v>
      </c>
      <c r="C3130" s="924" t="s">
        <v>1191</v>
      </c>
      <c r="D3130" s="924" t="s">
        <v>1176</v>
      </c>
      <c r="E3130" s="924" t="s">
        <v>856</v>
      </c>
      <c r="F3130" s="924" t="s">
        <v>1160</v>
      </c>
      <c r="G3130" s="924" t="s">
        <v>981</v>
      </c>
      <c r="H3130" s="924" t="s">
        <v>835</v>
      </c>
      <c r="I3130" s="924" t="s">
        <v>1040</v>
      </c>
      <c r="J3130" s="924" t="s">
        <v>940</v>
      </c>
      <c r="K3130" s="924" t="s">
        <v>1093</v>
      </c>
      <c r="L3130" s="925">
        <v>238.37011730670901</v>
      </c>
      <c r="M3130" s="925">
        <v>0.16820726607693401</v>
      </c>
    </row>
    <row r="3131" spans="1:13" ht="11.25" customHeight="1" x14ac:dyDescent="0.2">
      <c r="A3131" s="924" t="s">
        <v>853</v>
      </c>
      <c r="B3131" s="924" t="s">
        <v>802</v>
      </c>
      <c r="C3131" s="924" t="s">
        <v>1191</v>
      </c>
      <c r="D3131" s="924" t="s">
        <v>1176</v>
      </c>
      <c r="E3131" s="924" t="s">
        <v>856</v>
      </c>
      <c r="F3131" s="924" t="s">
        <v>1149</v>
      </c>
      <c r="G3131" s="924" t="s">
        <v>981</v>
      </c>
      <c r="H3131" s="924" t="s">
        <v>835</v>
      </c>
      <c r="I3131" s="924" t="s">
        <v>1040</v>
      </c>
      <c r="J3131" s="924" t="s">
        <v>940</v>
      </c>
      <c r="K3131" s="924" t="s">
        <v>1091</v>
      </c>
      <c r="L3131" s="925">
        <v>28.8374284207821</v>
      </c>
      <c r="M3131" s="925">
        <v>2.0146389069850602E-2</v>
      </c>
    </row>
    <row r="3132" spans="1:13" ht="11.25" customHeight="1" x14ac:dyDescent="0.2">
      <c r="A3132" s="924" t="s">
        <v>853</v>
      </c>
      <c r="B3132" s="924" t="s">
        <v>802</v>
      </c>
      <c r="C3132" s="924" t="s">
        <v>1191</v>
      </c>
      <c r="D3132" s="924" t="s">
        <v>1176</v>
      </c>
      <c r="E3132" s="924" t="s">
        <v>856</v>
      </c>
      <c r="F3132" s="924" t="s">
        <v>1144</v>
      </c>
      <c r="G3132" s="924" t="s">
        <v>981</v>
      </c>
      <c r="H3132" s="924" t="s">
        <v>835</v>
      </c>
      <c r="I3132" s="924" t="s">
        <v>1040</v>
      </c>
      <c r="J3132" s="924" t="s">
        <v>940</v>
      </c>
      <c r="K3132" s="924" t="s">
        <v>1070</v>
      </c>
      <c r="L3132" s="925">
        <v>6118.5569801330603</v>
      </c>
      <c r="M3132" s="925">
        <v>4.26253441348672</v>
      </c>
    </row>
    <row r="3133" spans="1:13" ht="11.25" customHeight="1" x14ac:dyDescent="0.2">
      <c r="A3133" s="924" t="s">
        <v>853</v>
      </c>
      <c r="B3133" s="924" t="s">
        <v>802</v>
      </c>
      <c r="C3133" s="924" t="s">
        <v>1191</v>
      </c>
      <c r="D3133" s="924" t="s">
        <v>1176</v>
      </c>
      <c r="E3133" s="924" t="s">
        <v>856</v>
      </c>
      <c r="F3133" s="924" t="s">
        <v>1143</v>
      </c>
      <c r="G3133" s="924" t="s">
        <v>981</v>
      </c>
      <c r="H3133" s="924" t="s">
        <v>835</v>
      </c>
      <c r="I3133" s="924" t="s">
        <v>1040</v>
      </c>
      <c r="J3133" s="924" t="s">
        <v>940</v>
      </c>
      <c r="K3133" s="924" t="s">
        <v>1084</v>
      </c>
      <c r="L3133" s="925">
        <v>447.48850297927902</v>
      </c>
      <c r="M3133" s="925">
        <v>0.32740804902277898</v>
      </c>
    </row>
    <row r="3134" spans="1:13" ht="11.25" customHeight="1" x14ac:dyDescent="0.2">
      <c r="A3134" s="924" t="s">
        <v>853</v>
      </c>
      <c r="B3134" s="924" t="s">
        <v>802</v>
      </c>
      <c r="C3134" s="924" t="s">
        <v>1191</v>
      </c>
      <c r="D3134" s="924" t="s">
        <v>1176</v>
      </c>
      <c r="E3134" s="924" t="s">
        <v>856</v>
      </c>
      <c r="F3134" s="924" t="s">
        <v>1141</v>
      </c>
      <c r="G3134" s="924" t="s">
        <v>981</v>
      </c>
      <c r="H3134" s="924" t="s">
        <v>835</v>
      </c>
      <c r="I3134" s="924" t="s">
        <v>1040</v>
      </c>
      <c r="J3134" s="924" t="s">
        <v>940</v>
      </c>
      <c r="K3134" s="924" t="s">
        <v>1142</v>
      </c>
      <c r="L3134" s="925">
        <v>10290.9244194031</v>
      </c>
      <c r="M3134" s="925">
        <v>7.5946351736783999</v>
      </c>
    </row>
    <row r="3135" spans="1:13" ht="11.25" customHeight="1" x14ac:dyDescent="0.2">
      <c r="A3135" s="924" t="s">
        <v>853</v>
      </c>
      <c r="B3135" s="924" t="s">
        <v>802</v>
      </c>
      <c r="C3135" s="924" t="s">
        <v>1191</v>
      </c>
      <c r="D3135" s="924" t="s">
        <v>1176</v>
      </c>
      <c r="E3135" s="924" t="s">
        <v>856</v>
      </c>
      <c r="F3135" s="924" t="s">
        <v>1139</v>
      </c>
      <c r="G3135" s="924" t="s">
        <v>981</v>
      </c>
      <c r="H3135" s="924" t="s">
        <v>835</v>
      </c>
      <c r="I3135" s="924" t="s">
        <v>1040</v>
      </c>
      <c r="J3135" s="924" t="s">
        <v>940</v>
      </c>
      <c r="K3135" s="924" t="s">
        <v>1140</v>
      </c>
      <c r="L3135" s="925">
        <v>5200.2177772522</v>
      </c>
      <c r="M3135" s="925">
        <v>3.8108547574495</v>
      </c>
    </row>
    <row r="3136" spans="1:13" ht="11.25" customHeight="1" x14ac:dyDescent="0.2">
      <c r="A3136" s="924" t="s">
        <v>853</v>
      </c>
      <c r="B3136" s="924" t="s">
        <v>802</v>
      </c>
      <c r="C3136" s="924" t="s">
        <v>1191</v>
      </c>
      <c r="D3136" s="924" t="s">
        <v>1176</v>
      </c>
      <c r="E3136" s="924" t="s">
        <v>856</v>
      </c>
      <c r="F3136" s="924" t="s">
        <v>1131</v>
      </c>
      <c r="G3136" s="924" t="s">
        <v>981</v>
      </c>
      <c r="H3136" s="924" t="s">
        <v>835</v>
      </c>
      <c r="I3136" s="924" t="s">
        <v>1040</v>
      </c>
      <c r="J3136" s="924" t="s">
        <v>863</v>
      </c>
      <c r="K3136" s="924" t="s">
        <v>868</v>
      </c>
      <c r="L3136" s="925">
        <v>117.867676734924</v>
      </c>
      <c r="M3136" s="925">
        <v>8.3541879357653705E-3</v>
      </c>
    </row>
    <row r="3137" spans="1:13" ht="11.25" customHeight="1" x14ac:dyDescent="0.2">
      <c r="A3137" s="924" t="s">
        <v>853</v>
      </c>
      <c r="B3137" s="924" t="s">
        <v>802</v>
      </c>
      <c r="C3137" s="924" t="s">
        <v>1191</v>
      </c>
      <c r="D3137" s="924" t="s">
        <v>1176</v>
      </c>
      <c r="E3137" s="924" t="s">
        <v>856</v>
      </c>
      <c r="F3137" s="924" t="s">
        <v>1137</v>
      </c>
      <c r="G3137" s="924" t="s">
        <v>981</v>
      </c>
      <c r="H3137" s="924" t="s">
        <v>835</v>
      </c>
      <c r="I3137" s="924" t="s">
        <v>1040</v>
      </c>
      <c r="J3137" s="924" t="s">
        <v>863</v>
      </c>
      <c r="K3137" s="924" t="s">
        <v>866</v>
      </c>
      <c r="L3137" s="925">
        <v>33.960962533950799</v>
      </c>
      <c r="M3137" s="925">
        <v>2.2845602652523701E-2</v>
      </c>
    </row>
    <row r="3138" spans="1:13" ht="11.25" customHeight="1" x14ac:dyDescent="0.2">
      <c r="A3138" s="924" t="s">
        <v>853</v>
      </c>
      <c r="B3138" s="924" t="s">
        <v>802</v>
      </c>
      <c r="C3138" s="924" t="s">
        <v>1191</v>
      </c>
      <c r="D3138" s="924" t="s">
        <v>1176</v>
      </c>
      <c r="E3138" s="924" t="s">
        <v>856</v>
      </c>
      <c r="F3138" s="924" t="s">
        <v>1148</v>
      </c>
      <c r="G3138" s="924" t="s">
        <v>981</v>
      </c>
      <c r="H3138" s="924" t="s">
        <v>835</v>
      </c>
      <c r="I3138" s="924" t="s">
        <v>1040</v>
      </c>
      <c r="J3138" s="924" t="s">
        <v>863</v>
      </c>
      <c r="K3138" s="924" t="s">
        <v>915</v>
      </c>
      <c r="L3138" s="925">
        <v>24.450209677219402</v>
      </c>
      <c r="M3138" s="925">
        <v>9.1504122287915397E-3</v>
      </c>
    </row>
    <row r="3139" spans="1:13" ht="11.25" customHeight="1" x14ac:dyDescent="0.2">
      <c r="A3139" s="924" t="s">
        <v>853</v>
      </c>
      <c r="B3139" s="924" t="s">
        <v>802</v>
      </c>
      <c r="C3139" s="924" t="s">
        <v>1191</v>
      </c>
      <c r="D3139" s="924" t="s">
        <v>1176</v>
      </c>
      <c r="E3139" s="924" t="s">
        <v>856</v>
      </c>
      <c r="F3139" s="924" t="s">
        <v>1136</v>
      </c>
      <c r="G3139" s="924" t="s">
        <v>981</v>
      </c>
      <c r="H3139" s="924" t="s">
        <v>835</v>
      </c>
      <c r="I3139" s="924" t="s">
        <v>1040</v>
      </c>
      <c r="J3139" s="924" t="s">
        <v>863</v>
      </c>
      <c r="K3139" s="924" t="s">
        <v>864</v>
      </c>
      <c r="L3139" s="925">
        <v>538.61199140548695</v>
      </c>
      <c r="M3139" s="925">
        <v>0.40366856008768098</v>
      </c>
    </row>
    <row r="3140" spans="1:13" ht="11.25" customHeight="1" x14ac:dyDescent="0.2">
      <c r="A3140" s="924" t="s">
        <v>853</v>
      </c>
      <c r="B3140" s="924" t="s">
        <v>802</v>
      </c>
      <c r="C3140" s="924" t="s">
        <v>1191</v>
      </c>
      <c r="D3140" s="924" t="s">
        <v>1176</v>
      </c>
      <c r="E3140" s="924" t="s">
        <v>856</v>
      </c>
      <c r="F3140" s="924" t="s">
        <v>1067</v>
      </c>
      <c r="G3140" s="924" t="s">
        <v>981</v>
      </c>
      <c r="H3140" s="924" t="s">
        <v>835</v>
      </c>
      <c r="I3140" s="924" t="s">
        <v>1040</v>
      </c>
      <c r="J3140" s="924" t="s">
        <v>859</v>
      </c>
      <c r="K3140" s="924" t="s">
        <v>1011</v>
      </c>
      <c r="L3140" s="925">
        <v>32.316056936979301</v>
      </c>
      <c r="M3140" s="925">
        <v>2.2972056865455701E-2</v>
      </c>
    </row>
    <row r="3141" spans="1:13" ht="11.25" customHeight="1" x14ac:dyDescent="0.2">
      <c r="A3141" s="924" t="s">
        <v>853</v>
      </c>
      <c r="B3141" s="924" t="s">
        <v>802</v>
      </c>
      <c r="C3141" s="924" t="s">
        <v>1191</v>
      </c>
      <c r="D3141" s="924" t="s">
        <v>1176</v>
      </c>
      <c r="E3141" s="924" t="s">
        <v>856</v>
      </c>
      <c r="F3141" s="924" t="s">
        <v>1157</v>
      </c>
      <c r="G3141" s="924" t="s">
        <v>981</v>
      </c>
      <c r="H3141" s="924" t="s">
        <v>835</v>
      </c>
      <c r="I3141" s="924" t="s">
        <v>1040</v>
      </c>
      <c r="J3141" s="924" t="s">
        <v>940</v>
      </c>
      <c r="K3141" s="924" t="s">
        <v>1098</v>
      </c>
      <c r="L3141" s="925">
        <v>592.36705780029297</v>
      </c>
      <c r="M3141" s="925">
        <v>1.1153006209060501</v>
      </c>
    </row>
    <row r="3142" spans="1:13" ht="11.25" customHeight="1" x14ac:dyDescent="0.2">
      <c r="A3142" s="924" t="s">
        <v>853</v>
      </c>
      <c r="B3142" s="924" t="s">
        <v>802</v>
      </c>
      <c r="C3142" s="924" t="s">
        <v>1191</v>
      </c>
      <c r="D3142" s="924" t="s">
        <v>1176</v>
      </c>
      <c r="E3142" s="924" t="s">
        <v>856</v>
      </c>
      <c r="F3142" s="924" t="s">
        <v>1123</v>
      </c>
      <c r="G3142" s="924" t="s">
        <v>981</v>
      </c>
      <c r="H3142" s="924" t="s">
        <v>835</v>
      </c>
      <c r="I3142" s="924" t="s">
        <v>1040</v>
      </c>
      <c r="J3142" s="924" t="s">
        <v>875</v>
      </c>
      <c r="K3142" s="924" t="s">
        <v>952</v>
      </c>
      <c r="L3142" s="925">
        <v>176.23052406311001</v>
      </c>
      <c r="M3142" s="925">
        <v>0.122775826392683</v>
      </c>
    </row>
    <row r="3143" spans="1:13" ht="11.25" customHeight="1" x14ac:dyDescent="0.2">
      <c r="A3143" s="924" t="s">
        <v>853</v>
      </c>
      <c r="B3143" s="924" t="s">
        <v>802</v>
      </c>
      <c r="C3143" s="924" t="s">
        <v>1191</v>
      </c>
      <c r="D3143" s="924" t="s">
        <v>1176</v>
      </c>
      <c r="E3143" s="924" t="s">
        <v>856</v>
      </c>
      <c r="F3143" s="924" t="s">
        <v>1110</v>
      </c>
      <c r="G3143" s="924" t="s">
        <v>981</v>
      </c>
      <c r="H3143" s="924" t="s">
        <v>835</v>
      </c>
      <c r="I3143" s="924" t="s">
        <v>1040</v>
      </c>
      <c r="J3143" s="924" t="s">
        <v>870</v>
      </c>
      <c r="K3143" s="924" t="s">
        <v>1019</v>
      </c>
      <c r="L3143" s="925">
        <v>2.2755719000997501E-2</v>
      </c>
      <c r="M3143" s="925">
        <v>1.9074819391562401E-5</v>
      </c>
    </row>
    <row r="3144" spans="1:13" ht="11.25" customHeight="1" x14ac:dyDescent="0.2">
      <c r="A3144" s="924" t="s">
        <v>853</v>
      </c>
      <c r="B3144" s="924" t="s">
        <v>802</v>
      </c>
      <c r="C3144" s="924" t="s">
        <v>1191</v>
      </c>
      <c r="D3144" s="924" t="s">
        <v>1176</v>
      </c>
      <c r="E3144" s="924" t="s">
        <v>856</v>
      </c>
      <c r="F3144" s="924" t="s">
        <v>1111</v>
      </c>
      <c r="G3144" s="924" t="s">
        <v>981</v>
      </c>
      <c r="H3144" s="924" t="s">
        <v>835</v>
      </c>
      <c r="I3144" s="924" t="s">
        <v>1040</v>
      </c>
      <c r="J3144" s="924" t="s">
        <v>870</v>
      </c>
      <c r="K3144" s="924" t="s">
        <v>1016</v>
      </c>
      <c r="L3144" s="925">
        <v>2.0372586376033701</v>
      </c>
      <c r="M3144" s="925">
        <v>1.7132606795939899E-3</v>
      </c>
    </row>
    <row r="3145" spans="1:13" ht="11.25" customHeight="1" x14ac:dyDescent="0.2">
      <c r="A3145" s="924" t="s">
        <v>853</v>
      </c>
      <c r="B3145" s="924" t="s">
        <v>802</v>
      </c>
      <c r="C3145" s="924" t="s">
        <v>1191</v>
      </c>
      <c r="D3145" s="924" t="s">
        <v>1176</v>
      </c>
      <c r="E3145" s="924" t="s">
        <v>856</v>
      </c>
      <c r="F3145" s="924" t="s">
        <v>1112</v>
      </c>
      <c r="G3145" s="924" t="s">
        <v>981</v>
      </c>
      <c r="H3145" s="924" t="s">
        <v>835</v>
      </c>
      <c r="I3145" s="924" t="s">
        <v>1040</v>
      </c>
      <c r="J3145" s="924" t="s">
        <v>870</v>
      </c>
      <c r="K3145" s="924" t="s">
        <v>959</v>
      </c>
      <c r="L3145" s="925">
        <v>0.62765873782336701</v>
      </c>
      <c r="M3145" s="925">
        <v>4.1405594402021999E-4</v>
      </c>
    </row>
    <row r="3146" spans="1:13" ht="11.25" customHeight="1" x14ac:dyDescent="0.2">
      <c r="A3146" s="924" t="s">
        <v>853</v>
      </c>
      <c r="B3146" s="924" t="s">
        <v>802</v>
      </c>
      <c r="C3146" s="924" t="s">
        <v>1191</v>
      </c>
      <c r="D3146" s="924" t="s">
        <v>1176</v>
      </c>
      <c r="E3146" s="924" t="s">
        <v>856</v>
      </c>
      <c r="F3146" s="924" t="s">
        <v>1113</v>
      </c>
      <c r="G3146" s="924" t="s">
        <v>981</v>
      </c>
      <c r="H3146" s="924" t="s">
        <v>835</v>
      </c>
      <c r="I3146" s="924" t="s">
        <v>1040</v>
      </c>
      <c r="J3146" s="924" t="s">
        <v>870</v>
      </c>
      <c r="K3146" s="924" t="s">
        <v>961</v>
      </c>
      <c r="L3146" s="925">
        <v>6.8588681314140603</v>
      </c>
      <c r="M3146" s="925">
        <v>5.1978110071786397E-3</v>
      </c>
    </row>
    <row r="3147" spans="1:13" ht="11.25" customHeight="1" x14ac:dyDescent="0.2">
      <c r="A3147" s="924" t="s">
        <v>853</v>
      </c>
      <c r="B3147" s="924" t="s">
        <v>802</v>
      </c>
      <c r="C3147" s="924" t="s">
        <v>1191</v>
      </c>
      <c r="D3147" s="924" t="s">
        <v>1176</v>
      </c>
      <c r="E3147" s="924" t="s">
        <v>856</v>
      </c>
      <c r="F3147" s="924" t="s">
        <v>1114</v>
      </c>
      <c r="G3147" s="924" t="s">
        <v>981</v>
      </c>
      <c r="H3147" s="924" t="s">
        <v>835</v>
      </c>
      <c r="I3147" s="924" t="s">
        <v>1040</v>
      </c>
      <c r="J3147" s="924" t="s">
        <v>870</v>
      </c>
      <c r="K3147" s="924" t="s">
        <v>963</v>
      </c>
      <c r="L3147" s="925">
        <v>14.9583427384496</v>
      </c>
      <c r="M3147" s="925">
        <v>2.4866401521649099E-2</v>
      </c>
    </row>
    <row r="3148" spans="1:13" ht="11.25" customHeight="1" x14ac:dyDescent="0.2">
      <c r="A3148" s="924" t="s">
        <v>853</v>
      </c>
      <c r="B3148" s="924" t="s">
        <v>802</v>
      </c>
      <c r="C3148" s="924" t="s">
        <v>1191</v>
      </c>
      <c r="D3148" s="924" t="s">
        <v>1176</v>
      </c>
      <c r="E3148" s="924" t="s">
        <v>856</v>
      </c>
      <c r="F3148" s="924" t="s">
        <v>1115</v>
      </c>
      <c r="G3148" s="924" t="s">
        <v>981</v>
      </c>
      <c r="H3148" s="924" t="s">
        <v>835</v>
      </c>
      <c r="I3148" s="924" t="s">
        <v>1040</v>
      </c>
      <c r="J3148" s="924" t="s">
        <v>870</v>
      </c>
      <c r="K3148" s="924" t="s">
        <v>965</v>
      </c>
      <c r="L3148" s="925">
        <v>3.2263911766931401</v>
      </c>
      <c r="M3148" s="925">
        <v>2.7132773154789902E-3</v>
      </c>
    </row>
    <row r="3149" spans="1:13" ht="11.25" customHeight="1" x14ac:dyDescent="0.2">
      <c r="A3149" s="924" t="s">
        <v>853</v>
      </c>
      <c r="B3149" s="924" t="s">
        <v>802</v>
      </c>
      <c r="C3149" s="924" t="s">
        <v>1191</v>
      </c>
      <c r="D3149" s="924" t="s">
        <v>1176</v>
      </c>
      <c r="E3149" s="924" t="s">
        <v>856</v>
      </c>
      <c r="F3149" s="924" t="s">
        <v>1130</v>
      </c>
      <c r="G3149" s="924" t="s">
        <v>981</v>
      </c>
      <c r="H3149" s="924" t="s">
        <v>835</v>
      </c>
      <c r="I3149" s="924" t="s">
        <v>1040</v>
      </c>
      <c r="J3149" s="924" t="s">
        <v>870</v>
      </c>
      <c r="K3149" s="924" t="s">
        <v>871</v>
      </c>
      <c r="L3149" s="925">
        <v>4.6492419205606001</v>
      </c>
      <c r="M3149" s="925">
        <v>3.7041289608623598E-3</v>
      </c>
    </row>
    <row r="3150" spans="1:13" ht="11.25" customHeight="1" x14ac:dyDescent="0.2">
      <c r="A3150" s="924" t="s">
        <v>853</v>
      </c>
      <c r="B3150" s="924" t="s">
        <v>802</v>
      </c>
      <c r="C3150" s="924" t="s">
        <v>1191</v>
      </c>
      <c r="D3150" s="924" t="s">
        <v>1176</v>
      </c>
      <c r="E3150" s="924" t="s">
        <v>856</v>
      </c>
      <c r="F3150" s="924" t="s">
        <v>1117</v>
      </c>
      <c r="G3150" s="924" t="s">
        <v>981</v>
      </c>
      <c r="H3150" s="924" t="s">
        <v>835</v>
      </c>
      <c r="I3150" s="924" t="s">
        <v>1040</v>
      </c>
      <c r="J3150" s="924" t="s">
        <v>870</v>
      </c>
      <c r="K3150" s="924" t="s">
        <v>873</v>
      </c>
      <c r="L3150" s="925">
        <v>5.12639231793582</v>
      </c>
      <c r="M3150" s="925">
        <v>5.1461559894505605E-4</v>
      </c>
    </row>
    <row r="3151" spans="1:13" ht="11.25" customHeight="1" x14ac:dyDescent="0.2">
      <c r="A3151" s="924" t="s">
        <v>853</v>
      </c>
      <c r="B3151" s="924" t="s">
        <v>802</v>
      </c>
      <c r="C3151" s="924" t="s">
        <v>1191</v>
      </c>
      <c r="D3151" s="924" t="s">
        <v>1176</v>
      </c>
      <c r="E3151" s="924" t="s">
        <v>856</v>
      </c>
      <c r="F3151" s="924" t="s">
        <v>1104</v>
      </c>
      <c r="G3151" s="924" t="s">
        <v>981</v>
      </c>
      <c r="H3151" s="924" t="s">
        <v>835</v>
      </c>
      <c r="I3151" s="924" t="s">
        <v>1040</v>
      </c>
      <c r="J3151" s="924" t="s">
        <v>875</v>
      </c>
      <c r="K3151" s="924" t="s">
        <v>876</v>
      </c>
      <c r="L3151" s="925">
        <v>8356.9526519775409</v>
      </c>
      <c r="M3151" s="925">
        <v>5.6323766559362403</v>
      </c>
    </row>
    <row r="3152" spans="1:13" ht="11.25" customHeight="1" x14ac:dyDescent="0.2">
      <c r="A3152" s="924" t="s">
        <v>853</v>
      </c>
      <c r="B3152" s="924" t="s">
        <v>802</v>
      </c>
      <c r="C3152" s="924" t="s">
        <v>1191</v>
      </c>
      <c r="D3152" s="924" t="s">
        <v>1176</v>
      </c>
      <c r="E3152" s="924" t="s">
        <v>856</v>
      </c>
      <c r="F3152" s="924" t="s">
        <v>1119</v>
      </c>
      <c r="G3152" s="924" t="s">
        <v>981</v>
      </c>
      <c r="H3152" s="924" t="s">
        <v>835</v>
      </c>
      <c r="I3152" s="924" t="s">
        <v>1040</v>
      </c>
      <c r="J3152" s="924" t="s">
        <v>875</v>
      </c>
      <c r="K3152" s="924" t="s">
        <v>878</v>
      </c>
      <c r="L3152" s="925">
        <v>2087.08568763733</v>
      </c>
      <c r="M3152" s="925">
        <v>1.39136862731539</v>
      </c>
    </row>
    <row r="3153" spans="1:13" ht="11.25" customHeight="1" x14ac:dyDescent="0.2">
      <c r="A3153" s="924" t="s">
        <v>853</v>
      </c>
      <c r="B3153" s="924" t="s">
        <v>802</v>
      </c>
      <c r="C3153" s="924" t="s">
        <v>1191</v>
      </c>
      <c r="D3153" s="924" t="s">
        <v>1176</v>
      </c>
      <c r="E3153" s="924" t="s">
        <v>856</v>
      </c>
      <c r="F3153" s="924" t="s">
        <v>1120</v>
      </c>
      <c r="G3153" s="924" t="s">
        <v>981</v>
      </c>
      <c r="H3153" s="924" t="s">
        <v>835</v>
      </c>
      <c r="I3153" s="924" t="s">
        <v>1040</v>
      </c>
      <c r="J3153" s="924" t="s">
        <v>875</v>
      </c>
      <c r="K3153" s="924" t="s">
        <v>880</v>
      </c>
      <c r="L3153" s="925">
        <v>1103.81663322449</v>
      </c>
      <c r="M3153" s="925">
        <v>0.64179545903789403</v>
      </c>
    </row>
    <row r="3154" spans="1:13" ht="11.25" customHeight="1" x14ac:dyDescent="0.2">
      <c r="A3154" s="924" t="s">
        <v>853</v>
      </c>
      <c r="B3154" s="924" t="s">
        <v>802</v>
      </c>
      <c r="C3154" s="924" t="s">
        <v>1191</v>
      </c>
      <c r="D3154" s="924" t="s">
        <v>1176</v>
      </c>
      <c r="E3154" s="924" t="s">
        <v>856</v>
      </c>
      <c r="F3154" s="924" t="s">
        <v>1109</v>
      </c>
      <c r="G3154" s="924" t="s">
        <v>981</v>
      </c>
      <c r="H3154" s="924" t="s">
        <v>835</v>
      </c>
      <c r="I3154" s="924" t="s">
        <v>1040</v>
      </c>
      <c r="J3154" s="924" t="s">
        <v>870</v>
      </c>
      <c r="K3154" s="924" t="s">
        <v>976</v>
      </c>
      <c r="L3154" s="925">
        <v>2.9466777350753501</v>
      </c>
      <c r="M3154" s="925">
        <v>6.0344855534122399E-4</v>
      </c>
    </row>
    <row r="3155" spans="1:13" ht="11.25" customHeight="1" x14ac:dyDescent="0.2">
      <c r="A3155" s="924" t="s">
        <v>853</v>
      </c>
      <c r="B3155" s="924" t="s">
        <v>802</v>
      </c>
      <c r="C3155" s="924" t="s">
        <v>1191</v>
      </c>
      <c r="D3155" s="924" t="s">
        <v>1176</v>
      </c>
      <c r="E3155" s="924" t="s">
        <v>856</v>
      </c>
      <c r="F3155" s="924" t="s">
        <v>1122</v>
      </c>
      <c r="G3155" s="924" t="s">
        <v>981</v>
      </c>
      <c r="H3155" s="924" t="s">
        <v>835</v>
      </c>
      <c r="I3155" s="924" t="s">
        <v>1040</v>
      </c>
      <c r="J3155" s="924" t="s">
        <v>875</v>
      </c>
      <c r="K3155" s="924" t="s">
        <v>950</v>
      </c>
      <c r="L3155" s="925">
        <v>3756.7522430419899</v>
      </c>
      <c r="M3155" s="925">
        <v>2.6093765109849301</v>
      </c>
    </row>
    <row r="3156" spans="1:13" ht="11.25" customHeight="1" x14ac:dyDescent="0.2">
      <c r="A3156" s="924" t="s">
        <v>853</v>
      </c>
      <c r="B3156" s="924" t="s">
        <v>802</v>
      </c>
      <c r="C3156" s="924" t="s">
        <v>1191</v>
      </c>
      <c r="D3156" s="924" t="s">
        <v>1176</v>
      </c>
      <c r="E3156" s="924" t="s">
        <v>856</v>
      </c>
      <c r="F3156" s="924" t="s">
        <v>1074</v>
      </c>
      <c r="G3156" s="924" t="s">
        <v>911</v>
      </c>
      <c r="H3156" s="924" t="s">
        <v>665</v>
      </c>
      <c r="I3156" s="924" t="s">
        <v>706</v>
      </c>
      <c r="J3156" s="924" t="s">
        <v>859</v>
      </c>
      <c r="K3156" s="924" t="s">
        <v>903</v>
      </c>
      <c r="L3156" s="925">
        <v>30.024132907390602</v>
      </c>
      <c r="M3156" s="925">
        <v>3.3531791436871598E-3</v>
      </c>
    </row>
    <row r="3157" spans="1:13" ht="11.25" customHeight="1" x14ac:dyDescent="0.2">
      <c r="A3157" s="924" t="s">
        <v>853</v>
      </c>
      <c r="B3157" s="924" t="s">
        <v>802</v>
      </c>
      <c r="C3157" s="924" t="s">
        <v>1191</v>
      </c>
      <c r="D3157" s="924" t="s">
        <v>1176</v>
      </c>
      <c r="E3157" s="924" t="s">
        <v>856</v>
      </c>
      <c r="F3157" s="924" t="s">
        <v>1124</v>
      </c>
      <c r="G3157" s="924" t="s">
        <v>981</v>
      </c>
      <c r="H3157" s="924" t="s">
        <v>835</v>
      </c>
      <c r="I3157" s="924" t="s">
        <v>1040</v>
      </c>
      <c r="J3157" s="924" t="s">
        <v>956</v>
      </c>
      <c r="K3157" s="924" t="s">
        <v>1125</v>
      </c>
      <c r="L3157" s="925">
        <v>3.8255090974271302</v>
      </c>
      <c r="M3157" s="925">
        <v>3.0662034252202401E-3</v>
      </c>
    </row>
    <row r="3158" spans="1:13" ht="11.25" customHeight="1" x14ac:dyDescent="0.2">
      <c r="A3158" s="924" t="s">
        <v>853</v>
      </c>
      <c r="B3158" s="924" t="s">
        <v>802</v>
      </c>
      <c r="C3158" s="924" t="s">
        <v>1191</v>
      </c>
      <c r="D3158" s="924" t="s">
        <v>1176</v>
      </c>
      <c r="E3158" s="924" t="s">
        <v>856</v>
      </c>
      <c r="F3158" s="924" t="s">
        <v>1126</v>
      </c>
      <c r="G3158" s="924" t="s">
        <v>981</v>
      </c>
      <c r="H3158" s="924" t="s">
        <v>835</v>
      </c>
      <c r="I3158" s="924" t="s">
        <v>1040</v>
      </c>
      <c r="J3158" s="924" t="s">
        <v>956</v>
      </c>
      <c r="K3158" s="924" t="s">
        <v>957</v>
      </c>
      <c r="L3158" s="925">
        <v>4.4076828111428802E-2</v>
      </c>
      <c r="M3158" s="925">
        <v>3.4643311266791002E-5</v>
      </c>
    </row>
    <row r="3159" spans="1:13" ht="11.25" customHeight="1" x14ac:dyDescent="0.2">
      <c r="A3159" s="924" t="s">
        <v>853</v>
      </c>
      <c r="B3159" s="924" t="s">
        <v>802</v>
      </c>
      <c r="C3159" s="924" t="s">
        <v>1191</v>
      </c>
      <c r="D3159" s="924" t="s">
        <v>1176</v>
      </c>
      <c r="E3159" s="924" t="s">
        <v>856</v>
      </c>
      <c r="F3159" s="924" t="s">
        <v>1127</v>
      </c>
      <c r="G3159" s="924" t="s">
        <v>911</v>
      </c>
      <c r="H3159" s="924" t="s">
        <v>665</v>
      </c>
      <c r="I3159" s="924" t="s">
        <v>706</v>
      </c>
      <c r="J3159" s="924" t="s">
        <v>884</v>
      </c>
      <c r="K3159" s="924" t="s">
        <v>885</v>
      </c>
      <c r="L3159" s="925">
        <v>14.7506283223629</v>
      </c>
      <c r="M3159" s="925">
        <v>6.4096613587025803E-3</v>
      </c>
    </row>
    <row r="3160" spans="1:13" ht="11.25" customHeight="1" x14ac:dyDescent="0.2">
      <c r="A3160" s="924" t="s">
        <v>853</v>
      </c>
      <c r="B3160" s="924" t="s">
        <v>802</v>
      </c>
      <c r="C3160" s="924" t="s">
        <v>1191</v>
      </c>
      <c r="D3160" s="924" t="s">
        <v>1176</v>
      </c>
      <c r="E3160" s="924" t="s">
        <v>856</v>
      </c>
      <c r="F3160" s="924" t="s">
        <v>1128</v>
      </c>
      <c r="G3160" s="924" t="s">
        <v>911</v>
      </c>
      <c r="H3160" s="924" t="s">
        <v>665</v>
      </c>
      <c r="I3160" s="924" t="s">
        <v>706</v>
      </c>
      <c r="J3160" s="924" t="s">
        <v>859</v>
      </c>
      <c r="K3160" s="924" t="s">
        <v>913</v>
      </c>
      <c r="L3160" s="925">
        <v>9.7217242643237096</v>
      </c>
      <c r="M3160" s="925">
        <v>1.0719462587758201E-3</v>
      </c>
    </row>
    <row r="3161" spans="1:13" ht="11.25" customHeight="1" x14ac:dyDescent="0.2">
      <c r="A3161" s="924" t="s">
        <v>853</v>
      </c>
      <c r="B3161" s="924" t="s">
        <v>802</v>
      </c>
      <c r="C3161" s="924" t="s">
        <v>1191</v>
      </c>
      <c r="D3161" s="924" t="s">
        <v>1176</v>
      </c>
      <c r="E3161" s="924" t="s">
        <v>856</v>
      </c>
      <c r="F3161" s="924" t="s">
        <v>1118</v>
      </c>
      <c r="G3161" s="924" t="s">
        <v>911</v>
      </c>
      <c r="H3161" s="924" t="s">
        <v>665</v>
      </c>
      <c r="I3161" s="924" t="s">
        <v>706</v>
      </c>
      <c r="J3161" s="924" t="s">
        <v>859</v>
      </c>
      <c r="K3161" s="924" t="s">
        <v>893</v>
      </c>
      <c r="L3161" s="925">
        <v>16.485022678971301</v>
      </c>
      <c r="M3161" s="925">
        <v>7.9756691320653805E-4</v>
      </c>
    </row>
    <row r="3162" spans="1:13" ht="11.25" customHeight="1" x14ac:dyDescent="0.2">
      <c r="A3162" s="924" t="s">
        <v>853</v>
      </c>
      <c r="B3162" s="924" t="s">
        <v>802</v>
      </c>
      <c r="C3162" s="924" t="s">
        <v>1191</v>
      </c>
      <c r="D3162" s="924" t="s">
        <v>1176</v>
      </c>
      <c r="E3162" s="924" t="s">
        <v>856</v>
      </c>
      <c r="F3162" s="924" t="s">
        <v>1129</v>
      </c>
      <c r="G3162" s="924" t="s">
        <v>911</v>
      </c>
      <c r="H3162" s="924" t="s">
        <v>665</v>
      </c>
      <c r="I3162" s="924" t="s">
        <v>706</v>
      </c>
      <c r="J3162" s="924" t="s">
        <v>859</v>
      </c>
      <c r="K3162" s="924" t="s">
        <v>897</v>
      </c>
      <c r="L3162" s="925">
        <v>2.6847901456057999</v>
      </c>
      <c r="M3162" s="925">
        <v>9.7582784223959596E-4</v>
      </c>
    </row>
    <row r="3163" spans="1:13" ht="11.25" customHeight="1" x14ac:dyDescent="0.2">
      <c r="A3163" s="924" t="s">
        <v>853</v>
      </c>
      <c r="B3163" s="924" t="s">
        <v>802</v>
      </c>
      <c r="C3163" s="924" t="s">
        <v>1191</v>
      </c>
      <c r="D3163" s="924" t="s">
        <v>1176</v>
      </c>
      <c r="E3163" s="924" t="s">
        <v>856</v>
      </c>
      <c r="F3163" s="924" t="s">
        <v>1133</v>
      </c>
      <c r="G3163" s="924" t="s">
        <v>911</v>
      </c>
      <c r="H3163" s="924" t="s">
        <v>665</v>
      </c>
      <c r="I3163" s="924" t="s">
        <v>706</v>
      </c>
      <c r="J3163" s="924" t="s">
        <v>859</v>
      </c>
      <c r="K3163" s="924" t="s">
        <v>899</v>
      </c>
      <c r="L3163" s="925">
        <v>1.6723681967705499</v>
      </c>
      <c r="M3163" s="925">
        <v>1.6661186884903099E-4</v>
      </c>
    </row>
    <row r="3164" spans="1:13" ht="11.25" customHeight="1" x14ac:dyDescent="0.2">
      <c r="A3164" s="924" t="s">
        <v>853</v>
      </c>
      <c r="B3164" s="924" t="s">
        <v>802</v>
      </c>
      <c r="C3164" s="924" t="s">
        <v>1191</v>
      </c>
      <c r="D3164" s="924" t="s">
        <v>1176</v>
      </c>
      <c r="E3164" s="924" t="s">
        <v>856</v>
      </c>
      <c r="F3164" s="924" t="s">
        <v>1056</v>
      </c>
      <c r="G3164" s="924" t="s">
        <v>981</v>
      </c>
      <c r="H3164" s="924" t="s">
        <v>835</v>
      </c>
      <c r="I3164" s="924" t="s">
        <v>998</v>
      </c>
      <c r="J3164" s="924" t="s">
        <v>875</v>
      </c>
      <c r="K3164" s="924" t="s">
        <v>878</v>
      </c>
      <c r="L3164" s="925">
        <v>271.03216052055399</v>
      </c>
      <c r="M3164" s="925">
        <v>0.52272649202495802</v>
      </c>
    </row>
    <row r="3165" spans="1:13" ht="11.25" customHeight="1" x14ac:dyDescent="0.2">
      <c r="A3165" s="924" t="s">
        <v>853</v>
      </c>
      <c r="B3165" s="924" t="s">
        <v>802</v>
      </c>
      <c r="C3165" s="924" t="s">
        <v>1191</v>
      </c>
      <c r="D3165" s="924" t="s">
        <v>1176</v>
      </c>
      <c r="E3165" s="924" t="s">
        <v>856</v>
      </c>
      <c r="F3165" s="924" t="s">
        <v>910</v>
      </c>
      <c r="G3165" s="924" t="s">
        <v>911</v>
      </c>
      <c r="H3165" s="924" t="s">
        <v>665</v>
      </c>
      <c r="I3165" s="924" t="s">
        <v>706</v>
      </c>
      <c r="J3165" s="924" t="s">
        <v>859</v>
      </c>
      <c r="K3165" s="924" t="s">
        <v>905</v>
      </c>
      <c r="L3165" s="925">
        <v>11.8123810440302</v>
      </c>
      <c r="M3165" s="925">
        <v>9.6565793683112099E-3</v>
      </c>
    </row>
    <row r="3166" spans="1:13" ht="11.25" customHeight="1" x14ac:dyDescent="0.2">
      <c r="A3166" s="924" t="s">
        <v>853</v>
      </c>
      <c r="B3166" s="924" t="s">
        <v>802</v>
      </c>
      <c r="C3166" s="924" t="s">
        <v>1191</v>
      </c>
      <c r="D3166" s="924" t="s">
        <v>1176</v>
      </c>
      <c r="E3166" s="924" t="s">
        <v>856</v>
      </c>
      <c r="F3166" s="924" t="s">
        <v>1138</v>
      </c>
      <c r="G3166" s="924" t="s">
        <v>981</v>
      </c>
      <c r="H3166" s="924" t="s">
        <v>835</v>
      </c>
      <c r="I3166" s="924" t="s">
        <v>1040</v>
      </c>
      <c r="J3166" s="924" t="s">
        <v>863</v>
      </c>
      <c r="K3166" s="924" t="s">
        <v>931</v>
      </c>
      <c r="L3166" s="925">
        <v>346.969432830811</v>
      </c>
      <c r="M3166" s="925">
        <v>0.134115867665969</v>
      </c>
    </row>
    <row r="3167" spans="1:13" ht="11.25" customHeight="1" x14ac:dyDescent="0.2">
      <c r="A3167" s="924" t="s">
        <v>853</v>
      </c>
      <c r="B3167" s="924" t="s">
        <v>802</v>
      </c>
      <c r="C3167" s="924" t="s">
        <v>1191</v>
      </c>
      <c r="D3167" s="924" t="s">
        <v>1176</v>
      </c>
      <c r="E3167" s="924" t="s">
        <v>856</v>
      </c>
      <c r="F3167" s="924" t="s">
        <v>916</v>
      </c>
      <c r="G3167" s="924" t="s">
        <v>911</v>
      </c>
      <c r="H3167" s="924" t="s">
        <v>665</v>
      </c>
      <c r="I3167" s="924" t="s">
        <v>706</v>
      </c>
      <c r="J3167" s="924" t="s">
        <v>859</v>
      </c>
      <c r="K3167" s="924" t="s">
        <v>909</v>
      </c>
      <c r="L3167" s="925">
        <v>28.250300705432899</v>
      </c>
      <c r="M3167" s="925">
        <v>1.30752478617069E-3</v>
      </c>
    </row>
    <row r="3168" spans="1:13" ht="11.25" customHeight="1" x14ac:dyDescent="0.2">
      <c r="A3168" s="924" t="s">
        <v>853</v>
      </c>
      <c r="B3168" s="924" t="s">
        <v>802</v>
      </c>
      <c r="C3168" s="924" t="s">
        <v>1191</v>
      </c>
      <c r="D3168" s="924" t="s">
        <v>1176</v>
      </c>
      <c r="E3168" s="924" t="s">
        <v>856</v>
      </c>
      <c r="F3168" s="924" t="s">
        <v>1121</v>
      </c>
      <c r="G3168" s="924" t="s">
        <v>981</v>
      </c>
      <c r="H3168" s="924" t="s">
        <v>835</v>
      </c>
      <c r="I3168" s="924" t="s">
        <v>1040</v>
      </c>
      <c r="J3168" s="924" t="s">
        <v>875</v>
      </c>
      <c r="K3168" s="924" t="s">
        <v>948</v>
      </c>
      <c r="L3168" s="925">
        <v>2375.1536216735799</v>
      </c>
      <c r="M3168" s="925">
        <v>1.4879687938919199</v>
      </c>
    </row>
    <row r="3169" spans="1:13" ht="11.25" customHeight="1" x14ac:dyDescent="0.2">
      <c r="A3169" s="924" t="s">
        <v>853</v>
      </c>
      <c r="B3169" s="924" t="s">
        <v>802</v>
      </c>
      <c r="C3169" s="924" t="s">
        <v>1191</v>
      </c>
      <c r="D3169" s="924" t="s">
        <v>1176</v>
      </c>
      <c r="E3169" s="924" t="s">
        <v>856</v>
      </c>
      <c r="F3169" s="924" t="s">
        <v>1099</v>
      </c>
      <c r="G3169" s="924" t="s">
        <v>981</v>
      </c>
      <c r="H3169" s="924" t="s">
        <v>835</v>
      </c>
      <c r="I3169" s="924" t="s">
        <v>998</v>
      </c>
      <c r="J3169" s="924" t="s">
        <v>940</v>
      </c>
      <c r="K3169" s="924" t="s">
        <v>1025</v>
      </c>
      <c r="L3169" s="925">
        <v>1210.6862487793001</v>
      </c>
      <c r="M3169" s="925">
        <v>8.2599475979804993</v>
      </c>
    </row>
    <row r="3170" spans="1:13" ht="11.25" customHeight="1" x14ac:dyDescent="0.2">
      <c r="A3170" s="924" t="s">
        <v>853</v>
      </c>
      <c r="B3170" s="924" t="s">
        <v>802</v>
      </c>
      <c r="C3170" s="924" t="s">
        <v>1191</v>
      </c>
      <c r="D3170" s="924" t="s">
        <v>1176</v>
      </c>
      <c r="E3170" s="924" t="s">
        <v>856</v>
      </c>
      <c r="F3170" s="924" t="s">
        <v>1100</v>
      </c>
      <c r="G3170" s="924" t="s">
        <v>981</v>
      </c>
      <c r="H3170" s="924" t="s">
        <v>835</v>
      </c>
      <c r="I3170" s="924" t="s">
        <v>998</v>
      </c>
      <c r="J3170" s="924" t="s">
        <v>940</v>
      </c>
      <c r="K3170" s="924" t="s">
        <v>1032</v>
      </c>
      <c r="L3170" s="925">
        <v>1.7540599512867601</v>
      </c>
      <c r="M3170" s="925">
        <v>3.5167144287697699E-3</v>
      </c>
    </row>
    <row r="3171" spans="1:13" ht="11.25" customHeight="1" x14ac:dyDescent="0.2">
      <c r="A3171" s="924" t="s">
        <v>853</v>
      </c>
      <c r="B3171" s="924" t="s">
        <v>802</v>
      </c>
      <c r="C3171" s="924" t="s">
        <v>1191</v>
      </c>
      <c r="D3171" s="924" t="s">
        <v>1176</v>
      </c>
      <c r="E3171" s="924" t="s">
        <v>856</v>
      </c>
      <c r="F3171" s="924" t="s">
        <v>1097</v>
      </c>
      <c r="G3171" s="924" t="s">
        <v>981</v>
      </c>
      <c r="H3171" s="924" t="s">
        <v>835</v>
      </c>
      <c r="I3171" s="924" t="s">
        <v>998</v>
      </c>
      <c r="J3171" s="924" t="s">
        <v>940</v>
      </c>
      <c r="K3171" s="924" t="s">
        <v>1098</v>
      </c>
      <c r="L3171" s="925">
        <v>183.21876716613801</v>
      </c>
      <c r="M3171" s="925">
        <v>1.2516544610261899</v>
      </c>
    </row>
    <row r="3172" spans="1:13" ht="11.25" customHeight="1" x14ac:dyDescent="0.2">
      <c r="A3172" s="924" t="s">
        <v>853</v>
      </c>
      <c r="B3172" s="924" t="s">
        <v>802</v>
      </c>
      <c r="C3172" s="924" t="s">
        <v>1191</v>
      </c>
      <c r="D3172" s="924" t="s">
        <v>1176</v>
      </c>
      <c r="E3172" s="924" t="s">
        <v>856</v>
      </c>
      <c r="F3172" s="924" t="s">
        <v>1096</v>
      </c>
      <c r="G3172" s="924" t="s">
        <v>981</v>
      </c>
      <c r="H3172" s="924" t="s">
        <v>835</v>
      </c>
      <c r="I3172" s="924" t="s">
        <v>998</v>
      </c>
      <c r="J3172" s="924" t="s">
        <v>940</v>
      </c>
      <c r="K3172" s="924" t="s">
        <v>1023</v>
      </c>
      <c r="L3172" s="925">
        <v>3287.1794252395598</v>
      </c>
      <c r="M3172" s="925">
        <v>6.1481384430080697</v>
      </c>
    </row>
    <row r="3173" spans="1:13" ht="11.25" customHeight="1" x14ac:dyDescent="0.2">
      <c r="A3173" s="924" t="s">
        <v>853</v>
      </c>
      <c r="B3173" s="924" t="s">
        <v>802</v>
      </c>
      <c r="C3173" s="924" t="s">
        <v>1191</v>
      </c>
      <c r="D3173" s="924" t="s">
        <v>1176</v>
      </c>
      <c r="E3173" s="924" t="s">
        <v>856</v>
      </c>
      <c r="F3173" s="924" t="s">
        <v>1094</v>
      </c>
      <c r="G3173" s="924" t="s">
        <v>981</v>
      </c>
      <c r="H3173" s="924" t="s">
        <v>835</v>
      </c>
      <c r="I3173" s="924" t="s">
        <v>998</v>
      </c>
      <c r="J3173" s="924" t="s">
        <v>940</v>
      </c>
      <c r="K3173" s="924" t="s">
        <v>1095</v>
      </c>
      <c r="L3173" s="925">
        <v>366.21960711479198</v>
      </c>
      <c r="M3173" s="925">
        <v>0.68304724199697398</v>
      </c>
    </row>
    <row r="3174" spans="1:13" ht="11.25" customHeight="1" x14ac:dyDescent="0.2">
      <c r="A3174" s="924" t="s">
        <v>853</v>
      </c>
      <c r="B3174" s="924" t="s">
        <v>802</v>
      </c>
      <c r="C3174" s="924" t="s">
        <v>1191</v>
      </c>
      <c r="D3174" s="924" t="s">
        <v>1176</v>
      </c>
      <c r="E3174" s="924" t="s">
        <v>856</v>
      </c>
      <c r="F3174" s="924" t="s">
        <v>1092</v>
      </c>
      <c r="G3174" s="924" t="s">
        <v>981</v>
      </c>
      <c r="H3174" s="924" t="s">
        <v>835</v>
      </c>
      <c r="I3174" s="924" t="s">
        <v>998</v>
      </c>
      <c r="J3174" s="924" t="s">
        <v>940</v>
      </c>
      <c r="K3174" s="924" t="s">
        <v>1093</v>
      </c>
      <c r="L3174" s="925">
        <v>3520.3637647628798</v>
      </c>
      <c r="M3174" s="925">
        <v>6.9662397205829603</v>
      </c>
    </row>
    <row r="3175" spans="1:13" ht="11.25" customHeight="1" x14ac:dyDescent="0.2">
      <c r="A3175" s="924" t="s">
        <v>853</v>
      </c>
      <c r="B3175" s="924" t="s">
        <v>802</v>
      </c>
      <c r="C3175" s="924" t="s">
        <v>1191</v>
      </c>
      <c r="D3175" s="924" t="s">
        <v>1176</v>
      </c>
      <c r="E3175" s="924" t="s">
        <v>856</v>
      </c>
      <c r="F3175" s="924" t="s">
        <v>1090</v>
      </c>
      <c r="G3175" s="924" t="s">
        <v>981</v>
      </c>
      <c r="H3175" s="924" t="s">
        <v>835</v>
      </c>
      <c r="I3175" s="924" t="s">
        <v>998</v>
      </c>
      <c r="J3175" s="924" t="s">
        <v>940</v>
      </c>
      <c r="K3175" s="924" t="s">
        <v>1091</v>
      </c>
      <c r="L3175" s="925">
        <v>569.01982450485195</v>
      </c>
      <c r="M3175" s="925">
        <v>0.96907305344939199</v>
      </c>
    </row>
    <row r="3176" spans="1:13" ht="11.25" customHeight="1" x14ac:dyDescent="0.2">
      <c r="A3176" s="924" t="s">
        <v>853</v>
      </c>
      <c r="B3176" s="924" t="s">
        <v>802</v>
      </c>
      <c r="C3176" s="924" t="s">
        <v>1191</v>
      </c>
      <c r="D3176" s="924" t="s">
        <v>1176</v>
      </c>
      <c r="E3176" s="924" t="s">
        <v>856</v>
      </c>
      <c r="F3176" s="924" t="s">
        <v>1088</v>
      </c>
      <c r="G3176" s="924" t="s">
        <v>981</v>
      </c>
      <c r="H3176" s="924" t="s">
        <v>835</v>
      </c>
      <c r="I3176" s="924" t="s">
        <v>998</v>
      </c>
      <c r="J3176" s="924" t="s">
        <v>940</v>
      </c>
      <c r="K3176" s="924" t="s">
        <v>1089</v>
      </c>
      <c r="L3176" s="925">
        <v>4037.8078308105501</v>
      </c>
      <c r="M3176" s="925">
        <v>7.3762982264161101</v>
      </c>
    </row>
    <row r="3177" spans="1:13" ht="11.25" customHeight="1" x14ac:dyDescent="0.2">
      <c r="A3177" s="924" t="s">
        <v>853</v>
      </c>
      <c r="B3177" s="924" t="s">
        <v>802</v>
      </c>
      <c r="C3177" s="924" t="s">
        <v>1191</v>
      </c>
      <c r="D3177" s="924" t="s">
        <v>1176</v>
      </c>
      <c r="E3177" s="924" t="s">
        <v>856</v>
      </c>
      <c r="F3177" s="924" t="s">
        <v>1086</v>
      </c>
      <c r="G3177" s="924" t="s">
        <v>981</v>
      </c>
      <c r="H3177" s="924" t="s">
        <v>835</v>
      </c>
      <c r="I3177" s="924" t="s">
        <v>998</v>
      </c>
      <c r="J3177" s="924" t="s">
        <v>940</v>
      </c>
      <c r="K3177" s="924" t="s">
        <v>1087</v>
      </c>
      <c r="L3177" s="925">
        <v>410.651176452637</v>
      </c>
      <c r="M3177" s="925">
        <v>0.79064059816300902</v>
      </c>
    </row>
    <row r="3178" spans="1:13" ht="11.25" customHeight="1" x14ac:dyDescent="0.2">
      <c r="A3178" s="924" t="s">
        <v>853</v>
      </c>
      <c r="B3178" s="924" t="s">
        <v>802</v>
      </c>
      <c r="C3178" s="924" t="s">
        <v>1191</v>
      </c>
      <c r="D3178" s="924" t="s">
        <v>1176</v>
      </c>
      <c r="E3178" s="924" t="s">
        <v>856</v>
      </c>
      <c r="F3178" s="924" t="s">
        <v>1069</v>
      </c>
      <c r="G3178" s="924" t="s">
        <v>981</v>
      </c>
      <c r="H3178" s="924" t="s">
        <v>835</v>
      </c>
      <c r="I3178" s="924" t="s">
        <v>998</v>
      </c>
      <c r="J3178" s="924" t="s">
        <v>940</v>
      </c>
      <c r="K3178" s="924" t="s">
        <v>1070</v>
      </c>
      <c r="L3178" s="925">
        <v>418.42388558387802</v>
      </c>
      <c r="M3178" s="925">
        <v>0.77688426128588595</v>
      </c>
    </row>
    <row r="3179" spans="1:13" ht="11.25" customHeight="1" x14ac:dyDescent="0.2">
      <c r="A3179" s="924" t="s">
        <v>853</v>
      </c>
      <c r="B3179" s="924" t="s">
        <v>802</v>
      </c>
      <c r="C3179" s="924" t="s">
        <v>1191</v>
      </c>
      <c r="D3179" s="924" t="s">
        <v>1176</v>
      </c>
      <c r="E3179" s="924" t="s">
        <v>856</v>
      </c>
      <c r="F3179" s="924" t="s">
        <v>1083</v>
      </c>
      <c r="G3179" s="924" t="s">
        <v>981</v>
      </c>
      <c r="H3179" s="924" t="s">
        <v>835</v>
      </c>
      <c r="I3179" s="924" t="s">
        <v>998</v>
      </c>
      <c r="J3179" s="924" t="s">
        <v>940</v>
      </c>
      <c r="K3179" s="924" t="s">
        <v>1084</v>
      </c>
      <c r="L3179" s="925">
        <v>30.686057150363901</v>
      </c>
      <c r="M3179" s="925">
        <v>5.6061350740492302E-2</v>
      </c>
    </row>
    <row r="3180" spans="1:13" ht="11.25" customHeight="1" x14ac:dyDescent="0.2">
      <c r="A3180" s="924" t="s">
        <v>853</v>
      </c>
      <c r="B3180" s="924" t="s">
        <v>802</v>
      </c>
      <c r="C3180" s="924" t="s">
        <v>1191</v>
      </c>
      <c r="D3180" s="924" t="s">
        <v>1176</v>
      </c>
      <c r="E3180" s="924" t="s">
        <v>856</v>
      </c>
      <c r="F3180" s="924" t="s">
        <v>1103</v>
      </c>
      <c r="G3180" s="924" t="s">
        <v>981</v>
      </c>
      <c r="H3180" s="924" t="s">
        <v>835</v>
      </c>
      <c r="I3180" s="924" t="s">
        <v>998</v>
      </c>
      <c r="J3180" s="924" t="s">
        <v>863</v>
      </c>
      <c r="K3180" s="924" t="s">
        <v>864</v>
      </c>
      <c r="L3180" s="925">
        <v>0.243456240743399</v>
      </c>
      <c r="M3180" s="925">
        <v>5.4398043221226501E-4</v>
      </c>
    </row>
    <row r="3181" spans="1:13" ht="11.25" customHeight="1" x14ac:dyDescent="0.2">
      <c r="A3181" s="924" t="s">
        <v>853</v>
      </c>
      <c r="B3181" s="924" t="s">
        <v>802</v>
      </c>
      <c r="C3181" s="924" t="s">
        <v>1191</v>
      </c>
      <c r="D3181" s="924" t="s">
        <v>1176</v>
      </c>
      <c r="E3181" s="924" t="s">
        <v>856</v>
      </c>
      <c r="F3181" s="924" t="s">
        <v>1075</v>
      </c>
      <c r="G3181" s="924" t="s">
        <v>981</v>
      </c>
      <c r="H3181" s="924" t="s">
        <v>835</v>
      </c>
      <c r="I3181" s="924" t="s">
        <v>998</v>
      </c>
      <c r="J3181" s="924" t="s">
        <v>859</v>
      </c>
      <c r="K3181" s="924" t="s">
        <v>889</v>
      </c>
      <c r="L3181" s="925">
        <v>75.872647345066099</v>
      </c>
      <c r="M3181" s="925">
        <v>0.122796415351331</v>
      </c>
    </row>
    <row r="3182" spans="1:13" ht="11.25" customHeight="1" x14ac:dyDescent="0.2">
      <c r="A3182" s="924" t="s">
        <v>853</v>
      </c>
      <c r="B3182" s="924" t="s">
        <v>802</v>
      </c>
      <c r="C3182" s="924" t="s">
        <v>1191</v>
      </c>
      <c r="D3182" s="924" t="s">
        <v>1176</v>
      </c>
      <c r="E3182" s="924" t="s">
        <v>856</v>
      </c>
      <c r="F3182" s="924" t="s">
        <v>1101</v>
      </c>
      <c r="G3182" s="924" t="s">
        <v>981</v>
      </c>
      <c r="H3182" s="924" t="s">
        <v>835</v>
      </c>
      <c r="I3182" s="924" t="s">
        <v>998</v>
      </c>
      <c r="J3182" s="924" t="s">
        <v>870</v>
      </c>
      <c r="K3182" s="924" t="s">
        <v>961</v>
      </c>
      <c r="L3182" s="925">
        <v>0.31387100194115197</v>
      </c>
      <c r="M3182" s="925">
        <v>5.1678084730610895E-4</v>
      </c>
    </row>
    <row r="3183" spans="1:13" ht="11.25" customHeight="1" x14ac:dyDescent="0.2">
      <c r="A3183" s="924" t="s">
        <v>853</v>
      </c>
      <c r="B3183" s="924" t="s">
        <v>802</v>
      </c>
      <c r="C3183" s="924" t="s">
        <v>1191</v>
      </c>
      <c r="D3183" s="924" t="s">
        <v>1176</v>
      </c>
      <c r="E3183" s="924" t="s">
        <v>856</v>
      </c>
      <c r="F3183" s="924" t="s">
        <v>1107</v>
      </c>
      <c r="G3183" s="924" t="s">
        <v>981</v>
      </c>
      <c r="H3183" s="924" t="s">
        <v>835</v>
      </c>
      <c r="I3183" s="924" t="s">
        <v>1040</v>
      </c>
      <c r="J3183" s="924" t="s">
        <v>940</v>
      </c>
      <c r="K3183" s="924" t="s">
        <v>1034</v>
      </c>
      <c r="L3183" s="925">
        <v>1763.1790084838899</v>
      </c>
      <c r="M3183" s="925">
        <v>1.28244551579928</v>
      </c>
    </row>
    <row r="3184" spans="1:13" ht="11.25" customHeight="1" x14ac:dyDescent="0.2">
      <c r="A3184" s="924" t="s">
        <v>853</v>
      </c>
      <c r="B3184" s="924" t="s">
        <v>802</v>
      </c>
      <c r="C3184" s="924" t="s">
        <v>1191</v>
      </c>
      <c r="D3184" s="924" t="s">
        <v>1176</v>
      </c>
      <c r="E3184" s="924" t="s">
        <v>856</v>
      </c>
      <c r="F3184" s="924" t="s">
        <v>1081</v>
      </c>
      <c r="G3184" s="924" t="s">
        <v>981</v>
      </c>
      <c r="H3184" s="924" t="s">
        <v>835</v>
      </c>
      <c r="I3184" s="924" t="s">
        <v>998</v>
      </c>
      <c r="J3184" s="924" t="s">
        <v>863</v>
      </c>
      <c r="K3184" s="924" t="s">
        <v>935</v>
      </c>
      <c r="L3184" s="925">
        <v>3.1815456151962298</v>
      </c>
      <c r="M3184" s="925">
        <v>7.1088626209529996E-3</v>
      </c>
    </row>
    <row r="3185" spans="1:13" ht="11.25" customHeight="1" x14ac:dyDescent="0.2">
      <c r="A3185" s="924" t="s">
        <v>853</v>
      </c>
      <c r="B3185" s="924" t="s">
        <v>802</v>
      </c>
      <c r="C3185" s="924" t="s">
        <v>1191</v>
      </c>
      <c r="D3185" s="924" t="s">
        <v>1176</v>
      </c>
      <c r="E3185" s="924" t="s">
        <v>856</v>
      </c>
      <c r="F3185" s="924" t="s">
        <v>1085</v>
      </c>
      <c r="G3185" s="924" t="s">
        <v>981</v>
      </c>
      <c r="H3185" s="924" t="s">
        <v>835</v>
      </c>
      <c r="I3185" s="924" t="s">
        <v>998</v>
      </c>
      <c r="J3185" s="924" t="s">
        <v>884</v>
      </c>
      <c r="K3185" s="924" t="s">
        <v>885</v>
      </c>
      <c r="L3185" s="925">
        <v>229.59753370285</v>
      </c>
      <c r="M3185" s="925">
        <v>0.16864788136445</v>
      </c>
    </row>
    <row r="3186" spans="1:13" ht="11.25" customHeight="1" x14ac:dyDescent="0.2">
      <c r="A3186" s="924" t="s">
        <v>853</v>
      </c>
      <c r="B3186" s="924" t="s">
        <v>802</v>
      </c>
      <c r="C3186" s="924" t="s">
        <v>1191</v>
      </c>
      <c r="D3186" s="924" t="s">
        <v>1176</v>
      </c>
      <c r="E3186" s="924" t="s">
        <v>856</v>
      </c>
      <c r="F3186" s="924" t="s">
        <v>1108</v>
      </c>
      <c r="G3186" s="924" t="s">
        <v>981</v>
      </c>
      <c r="H3186" s="924" t="s">
        <v>835</v>
      </c>
      <c r="I3186" s="924" t="s">
        <v>1040</v>
      </c>
      <c r="J3186" s="924" t="s">
        <v>870</v>
      </c>
      <c r="K3186" s="924" t="s">
        <v>1036</v>
      </c>
      <c r="L3186" s="925">
        <v>0.76363949710503198</v>
      </c>
      <c r="M3186" s="925">
        <v>5.1705328382922701E-4</v>
      </c>
    </row>
    <row r="3187" spans="1:13" ht="11.25" customHeight="1" x14ac:dyDescent="0.2">
      <c r="A3187" s="924" t="s">
        <v>853</v>
      </c>
      <c r="B3187" s="924" t="s">
        <v>802</v>
      </c>
      <c r="C3187" s="924" t="s">
        <v>1191</v>
      </c>
      <c r="D3187" s="924" t="s">
        <v>1176</v>
      </c>
      <c r="E3187" s="924" t="s">
        <v>856</v>
      </c>
      <c r="F3187" s="924" t="s">
        <v>1076</v>
      </c>
      <c r="G3187" s="924" t="s">
        <v>981</v>
      </c>
      <c r="H3187" s="924" t="s">
        <v>835</v>
      </c>
      <c r="I3187" s="924" t="s">
        <v>998</v>
      </c>
      <c r="J3187" s="924" t="s">
        <v>859</v>
      </c>
      <c r="K3187" s="924" t="s">
        <v>860</v>
      </c>
      <c r="L3187" s="925">
        <v>4.9186580032110196</v>
      </c>
      <c r="M3187" s="925">
        <v>1.01618592598243E-2</v>
      </c>
    </row>
    <row r="3188" spans="1:13" ht="11.25" customHeight="1" x14ac:dyDescent="0.2">
      <c r="A3188" s="924" t="s">
        <v>853</v>
      </c>
      <c r="B3188" s="924" t="s">
        <v>802</v>
      </c>
      <c r="C3188" s="924" t="s">
        <v>1191</v>
      </c>
      <c r="D3188" s="924" t="s">
        <v>1176</v>
      </c>
      <c r="E3188" s="924" t="s">
        <v>856</v>
      </c>
      <c r="F3188" s="924" t="s">
        <v>1077</v>
      </c>
      <c r="G3188" s="924" t="s">
        <v>981</v>
      </c>
      <c r="H3188" s="924" t="s">
        <v>835</v>
      </c>
      <c r="I3188" s="924" t="s">
        <v>998</v>
      </c>
      <c r="J3188" s="924" t="s">
        <v>859</v>
      </c>
      <c r="K3188" s="924" t="s">
        <v>897</v>
      </c>
      <c r="L3188" s="925">
        <v>5.8793838843703297</v>
      </c>
      <c r="M3188" s="925">
        <v>1.23123143421253E-2</v>
      </c>
    </row>
    <row r="3189" spans="1:13" ht="11.25" customHeight="1" x14ac:dyDescent="0.2">
      <c r="A3189" s="924" t="s">
        <v>853</v>
      </c>
      <c r="B3189" s="924" t="s">
        <v>802</v>
      </c>
      <c r="C3189" s="924" t="s">
        <v>1191</v>
      </c>
      <c r="D3189" s="924" t="s">
        <v>1176</v>
      </c>
      <c r="E3189" s="924" t="s">
        <v>856</v>
      </c>
      <c r="F3189" s="924" t="s">
        <v>1078</v>
      </c>
      <c r="G3189" s="924" t="s">
        <v>981</v>
      </c>
      <c r="H3189" s="924" t="s">
        <v>835</v>
      </c>
      <c r="I3189" s="924" t="s">
        <v>998</v>
      </c>
      <c r="J3189" s="924" t="s">
        <v>859</v>
      </c>
      <c r="K3189" s="924" t="s">
        <v>901</v>
      </c>
      <c r="L3189" s="925">
        <v>4.0739741933066398E-2</v>
      </c>
      <c r="M3189" s="925">
        <v>9.1029119744234804E-5</v>
      </c>
    </row>
    <row r="3190" spans="1:13" ht="11.25" customHeight="1" x14ac:dyDescent="0.2">
      <c r="A3190" s="924" t="s">
        <v>853</v>
      </c>
      <c r="B3190" s="924" t="s">
        <v>802</v>
      </c>
      <c r="C3190" s="924" t="s">
        <v>1191</v>
      </c>
      <c r="D3190" s="924" t="s">
        <v>1176</v>
      </c>
      <c r="E3190" s="924" t="s">
        <v>856</v>
      </c>
      <c r="F3190" s="924" t="s">
        <v>1079</v>
      </c>
      <c r="G3190" s="924" t="s">
        <v>981</v>
      </c>
      <c r="H3190" s="924" t="s">
        <v>835</v>
      </c>
      <c r="I3190" s="924" t="s">
        <v>998</v>
      </c>
      <c r="J3190" s="924" t="s">
        <v>859</v>
      </c>
      <c r="K3190" s="924" t="s">
        <v>909</v>
      </c>
      <c r="L3190" s="925">
        <v>195.92202758789099</v>
      </c>
      <c r="M3190" s="925">
        <v>0.35087320348247902</v>
      </c>
    </row>
    <row r="3191" spans="1:13" ht="11.25" customHeight="1" x14ac:dyDescent="0.2">
      <c r="A3191" s="924" t="s">
        <v>853</v>
      </c>
      <c r="B3191" s="924" t="s">
        <v>802</v>
      </c>
      <c r="C3191" s="924" t="s">
        <v>1191</v>
      </c>
      <c r="D3191" s="924" t="s">
        <v>1176</v>
      </c>
      <c r="E3191" s="924" t="s">
        <v>856</v>
      </c>
      <c r="F3191" s="924" t="s">
        <v>1080</v>
      </c>
      <c r="G3191" s="924" t="s">
        <v>981</v>
      </c>
      <c r="H3191" s="924" t="s">
        <v>835</v>
      </c>
      <c r="I3191" s="924" t="s">
        <v>998</v>
      </c>
      <c r="J3191" s="924" t="s">
        <v>859</v>
      </c>
      <c r="K3191" s="924" t="s">
        <v>920</v>
      </c>
      <c r="L3191" s="925">
        <v>1.14816757291555</v>
      </c>
      <c r="M3191" s="925">
        <v>2.5654712153482299E-3</v>
      </c>
    </row>
    <row r="3192" spans="1:13" ht="11.25" customHeight="1" x14ac:dyDescent="0.2">
      <c r="A3192" s="924" t="s">
        <v>853</v>
      </c>
      <c r="B3192" s="924" t="s">
        <v>802</v>
      </c>
      <c r="C3192" s="924" t="s">
        <v>1191</v>
      </c>
      <c r="D3192" s="924" t="s">
        <v>1176</v>
      </c>
      <c r="E3192" s="924" t="s">
        <v>856</v>
      </c>
      <c r="F3192" s="924" t="s">
        <v>1105</v>
      </c>
      <c r="G3192" s="924" t="s">
        <v>981</v>
      </c>
      <c r="H3192" s="924" t="s">
        <v>835</v>
      </c>
      <c r="I3192" s="924" t="s">
        <v>1040</v>
      </c>
      <c r="J3192" s="924" t="s">
        <v>940</v>
      </c>
      <c r="K3192" s="924" t="s">
        <v>1106</v>
      </c>
      <c r="L3192" s="925">
        <v>501.12598752975498</v>
      </c>
      <c r="M3192" s="925">
        <v>0.36737404908194499</v>
      </c>
    </row>
    <row r="3193" spans="1:13" ht="11.25" customHeight="1" x14ac:dyDescent="0.2">
      <c r="A3193" s="924" t="s">
        <v>853</v>
      </c>
      <c r="B3193" s="924" t="s">
        <v>1192</v>
      </c>
      <c r="C3193" s="924" t="s">
        <v>1193</v>
      </c>
      <c r="D3193" s="924" t="s">
        <v>1176</v>
      </c>
      <c r="E3193" s="924" t="s">
        <v>856</v>
      </c>
      <c r="F3193" s="924" t="s">
        <v>883</v>
      </c>
      <c r="G3193" s="924" t="s">
        <v>858</v>
      </c>
      <c r="H3193" s="924" t="s">
        <v>836</v>
      </c>
      <c r="I3193" s="924" t="s">
        <v>837</v>
      </c>
      <c r="J3193" s="924" t="s">
        <v>884</v>
      </c>
      <c r="K3193" s="924" t="s">
        <v>885</v>
      </c>
      <c r="L3193" s="925">
        <v>118.161397457123</v>
      </c>
      <c r="M3193" s="925">
        <v>4.5321243297848897E-3</v>
      </c>
    </row>
    <row r="3194" spans="1:13" ht="11.25" customHeight="1" x14ac:dyDescent="0.2">
      <c r="A3194" s="924" t="s">
        <v>853</v>
      </c>
      <c r="B3194" s="924" t="s">
        <v>1192</v>
      </c>
      <c r="C3194" s="924" t="s">
        <v>1193</v>
      </c>
      <c r="D3194" s="924" t="s">
        <v>1176</v>
      </c>
      <c r="E3194" s="924" t="s">
        <v>856</v>
      </c>
      <c r="F3194" s="924" t="s">
        <v>881</v>
      </c>
      <c r="G3194" s="924" t="s">
        <v>862</v>
      </c>
      <c r="H3194" s="924" t="s">
        <v>665</v>
      </c>
      <c r="I3194" s="924" t="s">
        <v>787</v>
      </c>
      <c r="J3194" s="924" t="s">
        <v>875</v>
      </c>
      <c r="K3194" s="924" t="s">
        <v>882</v>
      </c>
      <c r="L3194" s="925">
        <v>457.56148052215599</v>
      </c>
      <c r="M3194" s="925">
        <v>2.1865122709423299</v>
      </c>
    </row>
    <row r="3195" spans="1:13" ht="11.25" customHeight="1" x14ac:dyDescent="0.2">
      <c r="A3195" s="924" t="s">
        <v>853</v>
      </c>
      <c r="B3195" s="924" t="s">
        <v>1192</v>
      </c>
      <c r="C3195" s="924" t="s">
        <v>1193</v>
      </c>
      <c r="D3195" s="924" t="s">
        <v>1176</v>
      </c>
      <c r="E3195" s="924" t="s">
        <v>856</v>
      </c>
      <c r="F3195" s="924" t="s">
        <v>912</v>
      </c>
      <c r="G3195" s="924" t="s">
        <v>858</v>
      </c>
      <c r="H3195" s="924" t="s">
        <v>836</v>
      </c>
      <c r="I3195" s="924" t="s">
        <v>837</v>
      </c>
      <c r="J3195" s="924" t="s">
        <v>859</v>
      </c>
      <c r="K3195" s="924" t="s">
        <v>913</v>
      </c>
      <c r="L3195" s="925">
        <v>1348.9109916687</v>
      </c>
      <c r="M3195" s="925">
        <v>1.48548024656066E-2</v>
      </c>
    </row>
    <row r="3196" spans="1:13" ht="11.25" customHeight="1" x14ac:dyDescent="0.2">
      <c r="A3196" s="924" t="s">
        <v>853</v>
      </c>
      <c r="B3196" s="924" t="s">
        <v>1192</v>
      </c>
      <c r="C3196" s="924" t="s">
        <v>1193</v>
      </c>
      <c r="D3196" s="924" t="s">
        <v>1176</v>
      </c>
      <c r="E3196" s="924" t="s">
        <v>856</v>
      </c>
      <c r="F3196" s="924" t="s">
        <v>879</v>
      </c>
      <c r="G3196" s="924" t="s">
        <v>862</v>
      </c>
      <c r="H3196" s="924" t="s">
        <v>665</v>
      </c>
      <c r="I3196" s="924" t="s">
        <v>787</v>
      </c>
      <c r="J3196" s="924" t="s">
        <v>875</v>
      </c>
      <c r="K3196" s="924" t="s">
        <v>880</v>
      </c>
      <c r="L3196" s="925">
        <v>12.8562672138214</v>
      </c>
      <c r="M3196" s="925">
        <v>7.2326899404288297E-2</v>
      </c>
    </row>
    <row r="3197" spans="1:13" ht="11.25" customHeight="1" x14ac:dyDescent="0.2">
      <c r="A3197" s="924" t="s">
        <v>853</v>
      </c>
      <c r="B3197" s="924" t="s">
        <v>1192</v>
      </c>
      <c r="C3197" s="924" t="s">
        <v>1193</v>
      </c>
      <c r="D3197" s="924" t="s">
        <v>1176</v>
      </c>
      <c r="E3197" s="924" t="s">
        <v>856</v>
      </c>
      <c r="F3197" s="924" t="s">
        <v>877</v>
      </c>
      <c r="G3197" s="924" t="s">
        <v>862</v>
      </c>
      <c r="H3197" s="924" t="s">
        <v>665</v>
      </c>
      <c r="I3197" s="924" t="s">
        <v>787</v>
      </c>
      <c r="J3197" s="924" t="s">
        <v>875</v>
      </c>
      <c r="K3197" s="924" t="s">
        <v>878</v>
      </c>
      <c r="L3197" s="925">
        <v>8.7163635045289993</v>
      </c>
      <c r="M3197" s="925">
        <v>0.142797589476686</v>
      </c>
    </row>
    <row r="3198" spans="1:13" ht="11.25" customHeight="1" x14ac:dyDescent="0.2">
      <c r="A3198" s="924" t="s">
        <v>853</v>
      </c>
      <c r="B3198" s="924" t="s">
        <v>1192</v>
      </c>
      <c r="C3198" s="924" t="s">
        <v>1193</v>
      </c>
      <c r="D3198" s="924" t="s">
        <v>1176</v>
      </c>
      <c r="E3198" s="924" t="s">
        <v>856</v>
      </c>
      <c r="F3198" s="924" t="s">
        <v>874</v>
      </c>
      <c r="G3198" s="924" t="s">
        <v>862</v>
      </c>
      <c r="H3198" s="924" t="s">
        <v>665</v>
      </c>
      <c r="I3198" s="924" t="s">
        <v>787</v>
      </c>
      <c r="J3198" s="924" t="s">
        <v>875</v>
      </c>
      <c r="K3198" s="924" t="s">
        <v>876</v>
      </c>
      <c r="L3198" s="925">
        <v>182.22074556350699</v>
      </c>
      <c r="M3198" s="925">
        <v>5.5429051220416996</v>
      </c>
    </row>
    <row r="3199" spans="1:13" ht="11.25" customHeight="1" x14ac:dyDescent="0.2">
      <c r="A3199" s="924" t="s">
        <v>853</v>
      </c>
      <c r="B3199" s="924" t="s">
        <v>1192</v>
      </c>
      <c r="C3199" s="924" t="s">
        <v>1193</v>
      </c>
      <c r="D3199" s="924" t="s">
        <v>1176</v>
      </c>
      <c r="E3199" s="924" t="s">
        <v>856</v>
      </c>
      <c r="F3199" s="924" t="s">
        <v>872</v>
      </c>
      <c r="G3199" s="924" t="s">
        <v>862</v>
      </c>
      <c r="H3199" s="924" t="s">
        <v>665</v>
      </c>
      <c r="I3199" s="924" t="s">
        <v>787</v>
      </c>
      <c r="J3199" s="924" t="s">
        <v>870</v>
      </c>
      <c r="K3199" s="924" t="s">
        <v>873</v>
      </c>
      <c r="L3199" s="925">
        <v>2.3505671620369002</v>
      </c>
      <c r="M3199" s="925">
        <v>9.4610649830428901E-3</v>
      </c>
    </row>
    <row r="3200" spans="1:13" ht="11.25" customHeight="1" x14ac:dyDescent="0.2">
      <c r="A3200" s="924" t="s">
        <v>853</v>
      </c>
      <c r="B3200" s="924" t="s">
        <v>1192</v>
      </c>
      <c r="C3200" s="924" t="s">
        <v>1193</v>
      </c>
      <c r="D3200" s="924" t="s">
        <v>1176</v>
      </c>
      <c r="E3200" s="924" t="s">
        <v>856</v>
      </c>
      <c r="F3200" s="924" t="s">
        <v>888</v>
      </c>
      <c r="G3200" s="924" t="s">
        <v>858</v>
      </c>
      <c r="H3200" s="924" t="s">
        <v>836</v>
      </c>
      <c r="I3200" s="924" t="s">
        <v>837</v>
      </c>
      <c r="J3200" s="924" t="s">
        <v>859</v>
      </c>
      <c r="K3200" s="924" t="s">
        <v>889</v>
      </c>
      <c r="L3200" s="925">
        <v>2.19636770896614</v>
      </c>
      <c r="M3200" s="925">
        <v>2.4234307059733999E-4</v>
      </c>
    </row>
    <row r="3201" spans="1:13" ht="11.25" customHeight="1" x14ac:dyDescent="0.2">
      <c r="A3201" s="924" t="s">
        <v>853</v>
      </c>
      <c r="B3201" s="924" t="s">
        <v>1192</v>
      </c>
      <c r="C3201" s="924" t="s">
        <v>1193</v>
      </c>
      <c r="D3201" s="924" t="s">
        <v>1176</v>
      </c>
      <c r="E3201" s="924" t="s">
        <v>856</v>
      </c>
      <c r="F3201" s="924" t="s">
        <v>867</v>
      </c>
      <c r="G3201" s="924" t="s">
        <v>862</v>
      </c>
      <c r="H3201" s="924" t="s">
        <v>665</v>
      </c>
      <c r="I3201" s="924" t="s">
        <v>787</v>
      </c>
      <c r="J3201" s="924" t="s">
        <v>863</v>
      </c>
      <c r="K3201" s="924" t="s">
        <v>868</v>
      </c>
      <c r="L3201" s="925">
        <v>4.8422734141349801</v>
      </c>
      <c r="M3201" s="925">
        <v>1.98117521940731E-2</v>
      </c>
    </row>
    <row r="3202" spans="1:13" ht="11.25" customHeight="1" x14ac:dyDescent="0.2">
      <c r="A3202" s="924" t="s">
        <v>853</v>
      </c>
      <c r="B3202" s="924" t="s">
        <v>1192</v>
      </c>
      <c r="C3202" s="924" t="s">
        <v>1193</v>
      </c>
      <c r="D3202" s="924" t="s">
        <v>1176</v>
      </c>
      <c r="E3202" s="924" t="s">
        <v>856</v>
      </c>
      <c r="F3202" s="924" t="s">
        <v>904</v>
      </c>
      <c r="G3202" s="924" t="s">
        <v>858</v>
      </c>
      <c r="H3202" s="924" t="s">
        <v>836</v>
      </c>
      <c r="I3202" s="924" t="s">
        <v>837</v>
      </c>
      <c r="J3202" s="924" t="s">
        <v>859</v>
      </c>
      <c r="K3202" s="924" t="s">
        <v>905</v>
      </c>
      <c r="L3202" s="925">
        <v>1386.5769386291499</v>
      </c>
      <c r="M3202" s="925">
        <v>2.62679250072324E-2</v>
      </c>
    </row>
    <row r="3203" spans="1:13" ht="11.25" customHeight="1" x14ac:dyDescent="0.2">
      <c r="A3203" s="924" t="s">
        <v>853</v>
      </c>
      <c r="B3203" s="924" t="s">
        <v>1192</v>
      </c>
      <c r="C3203" s="924" t="s">
        <v>1193</v>
      </c>
      <c r="D3203" s="924" t="s">
        <v>1176</v>
      </c>
      <c r="E3203" s="924" t="s">
        <v>856</v>
      </c>
      <c r="F3203" s="924" t="s">
        <v>865</v>
      </c>
      <c r="G3203" s="924" t="s">
        <v>862</v>
      </c>
      <c r="H3203" s="924" t="s">
        <v>665</v>
      </c>
      <c r="I3203" s="924" t="s">
        <v>787</v>
      </c>
      <c r="J3203" s="924" t="s">
        <v>863</v>
      </c>
      <c r="K3203" s="924" t="s">
        <v>866</v>
      </c>
      <c r="L3203" s="925">
        <v>6.3888728022575396</v>
      </c>
      <c r="M3203" s="925">
        <v>3.0823626120763899E-2</v>
      </c>
    </row>
    <row r="3204" spans="1:13" ht="11.25" customHeight="1" x14ac:dyDescent="0.2">
      <c r="A3204" s="924" t="s">
        <v>853</v>
      </c>
      <c r="B3204" s="924" t="s">
        <v>1192</v>
      </c>
      <c r="C3204" s="924" t="s">
        <v>1193</v>
      </c>
      <c r="D3204" s="924" t="s">
        <v>1176</v>
      </c>
      <c r="E3204" s="924" t="s">
        <v>856</v>
      </c>
      <c r="F3204" s="924" t="s">
        <v>869</v>
      </c>
      <c r="G3204" s="924" t="s">
        <v>862</v>
      </c>
      <c r="H3204" s="924" t="s">
        <v>665</v>
      </c>
      <c r="I3204" s="924" t="s">
        <v>787</v>
      </c>
      <c r="J3204" s="924" t="s">
        <v>870</v>
      </c>
      <c r="K3204" s="924" t="s">
        <v>871</v>
      </c>
      <c r="L3204" s="925">
        <v>2.1368831519794199E-2</v>
      </c>
      <c r="M3204" s="925">
        <v>1.22609076959179E-3</v>
      </c>
    </row>
    <row r="3205" spans="1:13" ht="11.25" customHeight="1" x14ac:dyDescent="0.2">
      <c r="A3205" s="924" t="s">
        <v>853</v>
      </c>
      <c r="B3205" s="924" t="s">
        <v>1192</v>
      </c>
      <c r="C3205" s="924" t="s">
        <v>1193</v>
      </c>
      <c r="D3205" s="924" t="s">
        <v>1176</v>
      </c>
      <c r="E3205" s="924" t="s">
        <v>856</v>
      </c>
      <c r="F3205" s="924" t="s">
        <v>857</v>
      </c>
      <c r="G3205" s="924" t="s">
        <v>858</v>
      </c>
      <c r="H3205" s="924" t="s">
        <v>836</v>
      </c>
      <c r="I3205" s="924" t="s">
        <v>837</v>
      </c>
      <c r="J3205" s="924" t="s">
        <v>859</v>
      </c>
      <c r="K3205" s="924" t="s">
        <v>860</v>
      </c>
      <c r="L3205" s="925">
        <v>36.184709280729301</v>
      </c>
      <c r="M3205" s="925">
        <v>3.33013003294269E-3</v>
      </c>
    </row>
    <row r="3206" spans="1:13" ht="11.25" customHeight="1" x14ac:dyDescent="0.2">
      <c r="A3206" s="924" t="s">
        <v>853</v>
      </c>
      <c r="B3206" s="924" t="s">
        <v>1192</v>
      </c>
      <c r="C3206" s="924" t="s">
        <v>1193</v>
      </c>
      <c r="D3206" s="924" t="s">
        <v>1176</v>
      </c>
      <c r="E3206" s="924" t="s">
        <v>856</v>
      </c>
      <c r="F3206" s="924" t="s">
        <v>892</v>
      </c>
      <c r="G3206" s="924" t="s">
        <v>858</v>
      </c>
      <c r="H3206" s="924" t="s">
        <v>836</v>
      </c>
      <c r="I3206" s="924" t="s">
        <v>837</v>
      </c>
      <c r="J3206" s="924" t="s">
        <v>859</v>
      </c>
      <c r="K3206" s="924" t="s">
        <v>893</v>
      </c>
      <c r="L3206" s="925">
        <v>3376.7396926879901</v>
      </c>
      <c r="M3206" s="925">
        <v>4.2715128261988901E-2</v>
      </c>
    </row>
    <row r="3207" spans="1:13" ht="11.25" customHeight="1" x14ac:dyDescent="0.2">
      <c r="A3207" s="924" t="s">
        <v>853</v>
      </c>
      <c r="B3207" s="924" t="s">
        <v>1192</v>
      </c>
      <c r="C3207" s="924" t="s">
        <v>1193</v>
      </c>
      <c r="D3207" s="924" t="s">
        <v>1176</v>
      </c>
      <c r="E3207" s="924" t="s">
        <v>856</v>
      </c>
      <c r="F3207" s="924" t="s">
        <v>894</v>
      </c>
      <c r="G3207" s="924" t="s">
        <v>858</v>
      </c>
      <c r="H3207" s="924" t="s">
        <v>836</v>
      </c>
      <c r="I3207" s="924" t="s">
        <v>837</v>
      </c>
      <c r="J3207" s="924" t="s">
        <v>859</v>
      </c>
      <c r="K3207" s="924" t="s">
        <v>895</v>
      </c>
      <c r="L3207" s="925">
        <v>3673.9996223449698</v>
      </c>
      <c r="M3207" s="925">
        <v>2.4336355316791E-2</v>
      </c>
    </row>
    <row r="3208" spans="1:13" ht="11.25" customHeight="1" x14ac:dyDescent="0.2">
      <c r="A3208" s="924" t="s">
        <v>853</v>
      </c>
      <c r="B3208" s="924" t="s">
        <v>1192</v>
      </c>
      <c r="C3208" s="924" t="s">
        <v>1193</v>
      </c>
      <c r="D3208" s="924" t="s">
        <v>1176</v>
      </c>
      <c r="E3208" s="924" t="s">
        <v>856</v>
      </c>
      <c r="F3208" s="924" t="s">
        <v>896</v>
      </c>
      <c r="G3208" s="924" t="s">
        <v>858</v>
      </c>
      <c r="H3208" s="924" t="s">
        <v>836</v>
      </c>
      <c r="I3208" s="924" t="s">
        <v>837</v>
      </c>
      <c r="J3208" s="924" t="s">
        <v>859</v>
      </c>
      <c r="K3208" s="924" t="s">
        <v>897</v>
      </c>
      <c r="L3208" s="925">
        <v>202.596089363098</v>
      </c>
      <c r="M3208" s="925">
        <v>3.28080419123467E-3</v>
      </c>
    </row>
    <row r="3209" spans="1:13" ht="11.25" customHeight="1" x14ac:dyDescent="0.2">
      <c r="A3209" s="924" t="s">
        <v>853</v>
      </c>
      <c r="B3209" s="924" t="s">
        <v>1192</v>
      </c>
      <c r="C3209" s="924" t="s">
        <v>1193</v>
      </c>
      <c r="D3209" s="924" t="s">
        <v>1176</v>
      </c>
      <c r="E3209" s="924" t="s">
        <v>856</v>
      </c>
      <c r="F3209" s="924" t="s">
        <v>898</v>
      </c>
      <c r="G3209" s="924" t="s">
        <v>858</v>
      </c>
      <c r="H3209" s="924" t="s">
        <v>836</v>
      </c>
      <c r="I3209" s="924" t="s">
        <v>837</v>
      </c>
      <c r="J3209" s="924" t="s">
        <v>859</v>
      </c>
      <c r="K3209" s="924" t="s">
        <v>899</v>
      </c>
      <c r="L3209" s="925">
        <v>124.164886951447</v>
      </c>
      <c r="M3209" s="925">
        <v>2.1597273727138599E-3</v>
      </c>
    </row>
    <row r="3210" spans="1:13" ht="11.25" customHeight="1" x14ac:dyDescent="0.2">
      <c r="A3210" s="924" t="s">
        <v>853</v>
      </c>
      <c r="B3210" s="924" t="s">
        <v>1192</v>
      </c>
      <c r="C3210" s="924" t="s">
        <v>1193</v>
      </c>
      <c r="D3210" s="924" t="s">
        <v>1176</v>
      </c>
      <c r="E3210" s="924" t="s">
        <v>856</v>
      </c>
      <c r="F3210" s="924" t="s">
        <v>902</v>
      </c>
      <c r="G3210" s="924" t="s">
        <v>858</v>
      </c>
      <c r="H3210" s="924" t="s">
        <v>836</v>
      </c>
      <c r="I3210" s="924" t="s">
        <v>837</v>
      </c>
      <c r="J3210" s="924" t="s">
        <v>859</v>
      </c>
      <c r="K3210" s="924" t="s">
        <v>903</v>
      </c>
      <c r="L3210" s="925">
        <v>1601.4258327484099</v>
      </c>
      <c r="M3210" s="925">
        <v>2.7838886734571099E-2</v>
      </c>
    </row>
    <row r="3211" spans="1:13" ht="11.25" customHeight="1" x14ac:dyDescent="0.2">
      <c r="A3211" s="924" t="s">
        <v>853</v>
      </c>
      <c r="B3211" s="924" t="s">
        <v>1192</v>
      </c>
      <c r="C3211" s="924" t="s">
        <v>1193</v>
      </c>
      <c r="D3211" s="924" t="s">
        <v>1176</v>
      </c>
      <c r="E3211" s="924" t="s">
        <v>856</v>
      </c>
      <c r="F3211" s="924" t="s">
        <v>906</v>
      </c>
      <c r="G3211" s="924" t="s">
        <v>858</v>
      </c>
      <c r="H3211" s="924" t="s">
        <v>836</v>
      </c>
      <c r="I3211" s="924" t="s">
        <v>837</v>
      </c>
      <c r="J3211" s="924" t="s">
        <v>859</v>
      </c>
      <c r="K3211" s="924" t="s">
        <v>907</v>
      </c>
      <c r="L3211" s="925">
        <v>13684.107879638699</v>
      </c>
      <c r="M3211" s="925">
        <v>9.1101527469618304E-2</v>
      </c>
    </row>
    <row r="3212" spans="1:13" ht="11.25" customHeight="1" x14ac:dyDescent="0.2">
      <c r="A3212" s="924" t="s">
        <v>853</v>
      </c>
      <c r="B3212" s="924" t="s">
        <v>1192</v>
      </c>
      <c r="C3212" s="924" t="s">
        <v>1193</v>
      </c>
      <c r="D3212" s="924" t="s">
        <v>1176</v>
      </c>
      <c r="E3212" s="924" t="s">
        <v>856</v>
      </c>
      <c r="F3212" s="924" t="s">
        <v>908</v>
      </c>
      <c r="G3212" s="924" t="s">
        <v>858</v>
      </c>
      <c r="H3212" s="924" t="s">
        <v>836</v>
      </c>
      <c r="I3212" s="924" t="s">
        <v>837</v>
      </c>
      <c r="J3212" s="924" t="s">
        <v>859</v>
      </c>
      <c r="K3212" s="924" t="s">
        <v>909</v>
      </c>
      <c r="L3212" s="925">
        <v>113.846343517303</v>
      </c>
      <c r="M3212" s="925">
        <v>2.38284672354894E-3</v>
      </c>
    </row>
    <row r="3213" spans="1:13" ht="11.25" customHeight="1" x14ac:dyDescent="0.2">
      <c r="A3213" s="924" t="s">
        <v>853</v>
      </c>
      <c r="B3213" s="924" t="s">
        <v>1192</v>
      </c>
      <c r="C3213" s="924" t="s">
        <v>1193</v>
      </c>
      <c r="D3213" s="924" t="s">
        <v>1176</v>
      </c>
      <c r="E3213" s="924" t="s">
        <v>856</v>
      </c>
      <c r="F3213" s="924" t="s">
        <v>972</v>
      </c>
      <c r="G3213" s="924" t="s">
        <v>858</v>
      </c>
      <c r="H3213" s="924" t="s">
        <v>836</v>
      </c>
      <c r="I3213" s="924" t="s">
        <v>837</v>
      </c>
      <c r="J3213" s="924" t="s">
        <v>859</v>
      </c>
      <c r="K3213" s="924" t="s">
        <v>973</v>
      </c>
      <c r="L3213" s="925">
        <v>54.128527939319603</v>
      </c>
      <c r="M3213" s="925">
        <v>1.37888961950239E-3</v>
      </c>
    </row>
    <row r="3214" spans="1:13" ht="11.25" customHeight="1" x14ac:dyDescent="0.2">
      <c r="A3214" s="924" t="s">
        <v>853</v>
      </c>
      <c r="B3214" s="924" t="s">
        <v>1192</v>
      </c>
      <c r="C3214" s="924" t="s">
        <v>1193</v>
      </c>
      <c r="D3214" s="924" t="s">
        <v>1176</v>
      </c>
      <c r="E3214" s="924" t="s">
        <v>856</v>
      </c>
      <c r="F3214" s="924" t="s">
        <v>861</v>
      </c>
      <c r="G3214" s="924" t="s">
        <v>862</v>
      </c>
      <c r="H3214" s="924" t="s">
        <v>665</v>
      </c>
      <c r="I3214" s="924" t="s">
        <v>787</v>
      </c>
      <c r="J3214" s="924" t="s">
        <v>863</v>
      </c>
      <c r="K3214" s="924" t="s">
        <v>864</v>
      </c>
      <c r="L3214" s="925">
        <v>0.395929246675223</v>
      </c>
      <c r="M3214" s="925">
        <v>1.6267975770460901E-3</v>
      </c>
    </row>
    <row r="3215" spans="1:13" ht="11.25" customHeight="1" x14ac:dyDescent="0.2">
      <c r="A3215" s="924" t="s">
        <v>853</v>
      </c>
      <c r="B3215" s="924" t="s">
        <v>1192</v>
      </c>
      <c r="C3215" s="924" t="s">
        <v>1193</v>
      </c>
      <c r="D3215" s="924" t="s">
        <v>1176</v>
      </c>
      <c r="E3215" s="924" t="s">
        <v>856</v>
      </c>
      <c r="F3215" s="924" t="s">
        <v>938</v>
      </c>
      <c r="G3215" s="924" t="s">
        <v>911</v>
      </c>
      <c r="H3215" s="924" t="s">
        <v>665</v>
      </c>
      <c r="I3215" s="924" t="s">
        <v>706</v>
      </c>
      <c r="J3215" s="924" t="s">
        <v>863</v>
      </c>
      <c r="K3215" s="924" t="s">
        <v>868</v>
      </c>
      <c r="L3215" s="925">
        <v>58.853610217571301</v>
      </c>
      <c r="M3215" s="925">
        <v>2.7194961512577698E-3</v>
      </c>
    </row>
    <row r="3216" spans="1:13" ht="11.25" customHeight="1" x14ac:dyDescent="0.2">
      <c r="A3216" s="924" t="s">
        <v>853</v>
      </c>
      <c r="B3216" s="924" t="s">
        <v>1192</v>
      </c>
      <c r="C3216" s="924" t="s">
        <v>1193</v>
      </c>
      <c r="D3216" s="924" t="s">
        <v>1176</v>
      </c>
      <c r="E3216" s="924" t="s">
        <v>856</v>
      </c>
      <c r="F3216" s="924" t="s">
        <v>1037</v>
      </c>
      <c r="G3216" s="924" t="s">
        <v>858</v>
      </c>
      <c r="H3216" s="924" t="s">
        <v>836</v>
      </c>
      <c r="I3216" s="924" t="s">
        <v>837</v>
      </c>
      <c r="J3216" s="924" t="s">
        <v>859</v>
      </c>
      <c r="K3216" s="924" t="s">
        <v>918</v>
      </c>
      <c r="L3216" s="925">
        <v>3128.5746536254901</v>
      </c>
      <c r="M3216" s="925">
        <v>3.0277836780896902E-2</v>
      </c>
    </row>
    <row r="3217" spans="1:13" ht="11.25" customHeight="1" x14ac:dyDescent="0.2">
      <c r="A3217" s="924" t="s">
        <v>853</v>
      </c>
      <c r="B3217" s="924" t="s">
        <v>1192</v>
      </c>
      <c r="C3217" s="924" t="s">
        <v>1193</v>
      </c>
      <c r="D3217" s="924" t="s">
        <v>1176</v>
      </c>
      <c r="E3217" s="924" t="s">
        <v>856</v>
      </c>
      <c r="F3217" s="924" t="s">
        <v>900</v>
      </c>
      <c r="G3217" s="924" t="s">
        <v>858</v>
      </c>
      <c r="H3217" s="924" t="s">
        <v>836</v>
      </c>
      <c r="I3217" s="924" t="s">
        <v>837</v>
      </c>
      <c r="J3217" s="924" t="s">
        <v>859</v>
      </c>
      <c r="K3217" s="924" t="s">
        <v>901</v>
      </c>
      <c r="L3217" s="925">
        <v>372.93303775787399</v>
      </c>
      <c r="M3217" s="925">
        <v>1.62533234788498E-2</v>
      </c>
    </row>
    <row r="3218" spans="1:13" ht="11.25" customHeight="1" x14ac:dyDescent="0.2">
      <c r="A3218" s="924" t="s">
        <v>853</v>
      </c>
      <c r="B3218" s="924" t="s">
        <v>1192</v>
      </c>
      <c r="C3218" s="924" t="s">
        <v>1193</v>
      </c>
      <c r="D3218" s="924" t="s">
        <v>1176</v>
      </c>
      <c r="E3218" s="924" t="s">
        <v>856</v>
      </c>
      <c r="F3218" s="924" t="s">
        <v>939</v>
      </c>
      <c r="G3218" s="924" t="s">
        <v>911</v>
      </c>
      <c r="H3218" s="924" t="s">
        <v>665</v>
      </c>
      <c r="I3218" s="924" t="s">
        <v>706</v>
      </c>
      <c r="J3218" s="924" t="s">
        <v>940</v>
      </c>
      <c r="K3218" s="924" t="s">
        <v>941</v>
      </c>
      <c r="L3218" s="925">
        <v>477.37193620204903</v>
      </c>
      <c r="M3218" s="925">
        <v>2.2966818978602501E-2</v>
      </c>
    </row>
    <row r="3219" spans="1:13" ht="11.25" customHeight="1" x14ac:dyDescent="0.2">
      <c r="A3219" s="924" t="s">
        <v>853</v>
      </c>
      <c r="B3219" s="924" t="s">
        <v>1192</v>
      </c>
      <c r="C3219" s="924" t="s">
        <v>1193</v>
      </c>
      <c r="D3219" s="924" t="s">
        <v>1176</v>
      </c>
      <c r="E3219" s="924" t="s">
        <v>856</v>
      </c>
      <c r="F3219" s="924" t="s">
        <v>917</v>
      </c>
      <c r="G3219" s="924" t="s">
        <v>911</v>
      </c>
      <c r="H3219" s="924" t="s">
        <v>665</v>
      </c>
      <c r="I3219" s="924" t="s">
        <v>706</v>
      </c>
      <c r="J3219" s="924" t="s">
        <v>859</v>
      </c>
      <c r="K3219" s="924" t="s">
        <v>918</v>
      </c>
      <c r="L3219" s="925">
        <v>12.5140739828348</v>
      </c>
      <c r="M3219" s="925">
        <v>4.0406450243608604E-3</v>
      </c>
    </row>
    <row r="3220" spans="1:13" ht="11.25" customHeight="1" x14ac:dyDescent="0.2">
      <c r="A3220" s="924" t="s">
        <v>853</v>
      </c>
      <c r="B3220" s="924" t="s">
        <v>1192</v>
      </c>
      <c r="C3220" s="924" t="s">
        <v>1193</v>
      </c>
      <c r="D3220" s="924" t="s">
        <v>1176</v>
      </c>
      <c r="E3220" s="924" t="s">
        <v>856</v>
      </c>
      <c r="F3220" s="924" t="s">
        <v>921</v>
      </c>
      <c r="G3220" s="924" t="s">
        <v>911</v>
      </c>
      <c r="H3220" s="924" t="s">
        <v>665</v>
      </c>
      <c r="I3220" s="924" t="s">
        <v>706</v>
      </c>
      <c r="J3220" s="924" t="s">
        <v>859</v>
      </c>
      <c r="K3220" s="924" t="s">
        <v>922</v>
      </c>
      <c r="L3220" s="925">
        <v>21.926716893911401</v>
      </c>
      <c r="M3220" s="925">
        <v>2.9286454396242299E-3</v>
      </c>
    </row>
    <row r="3221" spans="1:13" ht="11.25" customHeight="1" x14ac:dyDescent="0.2">
      <c r="A3221" s="924" t="s">
        <v>853</v>
      </c>
      <c r="B3221" s="924" t="s">
        <v>1192</v>
      </c>
      <c r="C3221" s="924" t="s">
        <v>1193</v>
      </c>
      <c r="D3221" s="924" t="s">
        <v>1176</v>
      </c>
      <c r="E3221" s="924" t="s">
        <v>856</v>
      </c>
      <c r="F3221" s="924" t="s">
        <v>923</v>
      </c>
      <c r="G3221" s="924" t="s">
        <v>911</v>
      </c>
      <c r="H3221" s="924" t="s">
        <v>665</v>
      </c>
      <c r="I3221" s="924" t="s">
        <v>706</v>
      </c>
      <c r="J3221" s="924" t="s">
        <v>859</v>
      </c>
      <c r="K3221" s="924" t="s">
        <v>924</v>
      </c>
      <c r="L3221" s="925">
        <v>53.835662424564397</v>
      </c>
      <c r="M3221" s="925">
        <v>2.8541563842736698E-3</v>
      </c>
    </row>
    <row r="3222" spans="1:13" ht="11.25" customHeight="1" x14ac:dyDescent="0.2">
      <c r="A3222" s="924" t="s">
        <v>853</v>
      </c>
      <c r="B3222" s="924" t="s">
        <v>1192</v>
      </c>
      <c r="C3222" s="924" t="s">
        <v>1193</v>
      </c>
      <c r="D3222" s="924" t="s">
        <v>1176</v>
      </c>
      <c r="E3222" s="924" t="s">
        <v>856</v>
      </c>
      <c r="F3222" s="924" t="s">
        <v>925</v>
      </c>
      <c r="G3222" s="924" t="s">
        <v>911</v>
      </c>
      <c r="H3222" s="924" t="s">
        <v>665</v>
      </c>
      <c r="I3222" s="924" t="s">
        <v>706</v>
      </c>
      <c r="J3222" s="924" t="s">
        <v>859</v>
      </c>
      <c r="K3222" s="924" t="s">
        <v>926</v>
      </c>
      <c r="L3222" s="925">
        <v>5.6904334723949397</v>
      </c>
      <c r="M3222" s="925">
        <v>2.6233793983010401E-4</v>
      </c>
    </row>
    <row r="3223" spans="1:13" ht="11.25" customHeight="1" x14ac:dyDescent="0.2">
      <c r="A3223" s="924" t="s">
        <v>853</v>
      </c>
      <c r="B3223" s="924" t="s">
        <v>1192</v>
      </c>
      <c r="C3223" s="924" t="s">
        <v>1193</v>
      </c>
      <c r="D3223" s="924" t="s">
        <v>1176</v>
      </c>
      <c r="E3223" s="924" t="s">
        <v>856</v>
      </c>
      <c r="F3223" s="924" t="s">
        <v>927</v>
      </c>
      <c r="G3223" s="924" t="s">
        <v>911</v>
      </c>
      <c r="H3223" s="924" t="s">
        <v>665</v>
      </c>
      <c r="I3223" s="924" t="s">
        <v>706</v>
      </c>
      <c r="J3223" s="924" t="s">
        <v>859</v>
      </c>
      <c r="K3223" s="924" t="s">
        <v>928</v>
      </c>
      <c r="L3223" s="925">
        <v>46.2674993276596</v>
      </c>
      <c r="M3223" s="925">
        <v>1.37219501102663E-2</v>
      </c>
    </row>
    <row r="3224" spans="1:13" ht="11.25" customHeight="1" x14ac:dyDescent="0.2">
      <c r="A3224" s="924" t="s">
        <v>853</v>
      </c>
      <c r="B3224" s="924" t="s">
        <v>1192</v>
      </c>
      <c r="C3224" s="924" t="s">
        <v>1193</v>
      </c>
      <c r="D3224" s="924" t="s">
        <v>1176</v>
      </c>
      <c r="E3224" s="924" t="s">
        <v>856</v>
      </c>
      <c r="F3224" s="924" t="s">
        <v>929</v>
      </c>
      <c r="G3224" s="924" t="s">
        <v>911</v>
      </c>
      <c r="H3224" s="924" t="s">
        <v>665</v>
      </c>
      <c r="I3224" s="924" t="s">
        <v>706</v>
      </c>
      <c r="J3224" s="924" t="s">
        <v>859</v>
      </c>
      <c r="K3224" s="924" t="s">
        <v>891</v>
      </c>
      <c r="L3224" s="925">
        <v>19.048357188701601</v>
      </c>
      <c r="M3224" s="925">
        <v>7.63208309399488E-3</v>
      </c>
    </row>
    <row r="3225" spans="1:13" ht="11.25" customHeight="1" x14ac:dyDescent="0.2">
      <c r="A3225" s="924" t="s">
        <v>853</v>
      </c>
      <c r="B3225" s="924" t="s">
        <v>1192</v>
      </c>
      <c r="C3225" s="924" t="s">
        <v>1193</v>
      </c>
      <c r="D3225" s="924" t="s">
        <v>1176</v>
      </c>
      <c r="E3225" s="924" t="s">
        <v>856</v>
      </c>
      <c r="F3225" s="924" t="s">
        <v>930</v>
      </c>
      <c r="G3225" s="924" t="s">
        <v>911</v>
      </c>
      <c r="H3225" s="924" t="s">
        <v>665</v>
      </c>
      <c r="I3225" s="924" t="s">
        <v>706</v>
      </c>
      <c r="J3225" s="924" t="s">
        <v>863</v>
      </c>
      <c r="K3225" s="924" t="s">
        <v>931</v>
      </c>
      <c r="L3225" s="925">
        <v>136.72129213810001</v>
      </c>
      <c r="M3225" s="925">
        <v>2.7862771858053699E-2</v>
      </c>
    </row>
    <row r="3226" spans="1:13" ht="11.25" customHeight="1" x14ac:dyDescent="0.2">
      <c r="A3226" s="924" t="s">
        <v>853</v>
      </c>
      <c r="B3226" s="924" t="s">
        <v>1192</v>
      </c>
      <c r="C3226" s="924" t="s">
        <v>1193</v>
      </c>
      <c r="D3226" s="924" t="s">
        <v>1176</v>
      </c>
      <c r="E3226" s="924" t="s">
        <v>856</v>
      </c>
      <c r="F3226" s="924" t="s">
        <v>932</v>
      </c>
      <c r="G3226" s="924" t="s">
        <v>911</v>
      </c>
      <c r="H3226" s="924" t="s">
        <v>665</v>
      </c>
      <c r="I3226" s="924" t="s">
        <v>706</v>
      </c>
      <c r="J3226" s="924" t="s">
        <v>863</v>
      </c>
      <c r="K3226" s="924" t="s">
        <v>933</v>
      </c>
      <c r="L3226" s="925">
        <v>12719.4140472412</v>
      </c>
      <c r="M3226" s="925">
        <v>0.614713181741536</v>
      </c>
    </row>
    <row r="3227" spans="1:13" ht="11.25" customHeight="1" x14ac:dyDescent="0.2">
      <c r="A3227" s="924" t="s">
        <v>853</v>
      </c>
      <c r="B3227" s="924" t="s">
        <v>1192</v>
      </c>
      <c r="C3227" s="924" t="s">
        <v>1193</v>
      </c>
      <c r="D3227" s="924" t="s">
        <v>1176</v>
      </c>
      <c r="E3227" s="924" t="s">
        <v>856</v>
      </c>
      <c r="F3227" s="924" t="s">
        <v>954</v>
      </c>
      <c r="G3227" s="924" t="s">
        <v>911</v>
      </c>
      <c r="H3227" s="924" t="s">
        <v>665</v>
      </c>
      <c r="I3227" s="924" t="s">
        <v>706</v>
      </c>
      <c r="J3227" s="924" t="s">
        <v>863</v>
      </c>
      <c r="K3227" s="924" t="s">
        <v>935</v>
      </c>
      <c r="L3227" s="925">
        <v>94.904689669609098</v>
      </c>
      <c r="M3227" s="925">
        <v>4.4809701212216203E-3</v>
      </c>
    </row>
    <row r="3228" spans="1:13" ht="11.25" customHeight="1" x14ac:dyDescent="0.2">
      <c r="A3228" s="924" t="s">
        <v>853</v>
      </c>
      <c r="B3228" s="924" t="s">
        <v>1192</v>
      </c>
      <c r="C3228" s="924" t="s">
        <v>1193</v>
      </c>
      <c r="D3228" s="924" t="s">
        <v>1176</v>
      </c>
      <c r="E3228" s="924" t="s">
        <v>856</v>
      </c>
      <c r="F3228" s="924" t="s">
        <v>936</v>
      </c>
      <c r="G3228" s="924" t="s">
        <v>911</v>
      </c>
      <c r="H3228" s="924" t="s">
        <v>665</v>
      </c>
      <c r="I3228" s="924" t="s">
        <v>706</v>
      </c>
      <c r="J3228" s="924" t="s">
        <v>863</v>
      </c>
      <c r="K3228" s="924" t="s">
        <v>864</v>
      </c>
      <c r="L3228" s="925">
        <v>29.935024887323401</v>
      </c>
      <c r="M3228" s="925">
        <v>1.39330968340801E-3</v>
      </c>
    </row>
    <row r="3229" spans="1:13" ht="11.25" customHeight="1" x14ac:dyDescent="0.2">
      <c r="A3229" s="924" t="s">
        <v>853</v>
      </c>
      <c r="B3229" s="924" t="s">
        <v>1192</v>
      </c>
      <c r="C3229" s="924" t="s">
        <v>1193</v>
      </c>
      <c r="D3229" s="924" t="s">
        <v>1176</v>
      </c>
      <c r="E3229" s="924" t="s">
        <v>856</v>
      </c>
      <c r="F3229" s="924" t="s">
        <v>942</v>
      </c>
      <c r="G3229" s="924" t="s">
        <v>911</v>
      </c>
      <c r="H3229" s="924" t="s">
        <v>665</v>
      </c>
      <c r="I3229" s="924" t="s">
        <v>706</v>
      </c>
      <c r="J3229" s="924" t="s">
        <v>870</v>
      </c>
      <c r="K3229" s="924" t="s">
        <v>871</v>
      </c>
      <c r="L3229" s="925">
        <v>1.13526860841375E-2</v>
      </c>
      <c r="M3229" s="925">
        <v>7.08530511284167E-6</v>
      </c>
    </row>
    <row r="3230" spans="1:13" ht="11.25" customHeight="1" x14ac:dyDescent="0.2">
      <c r="A3230" s="924" t="s">
        <v>853</v>
      </c>
      <c r="B3230" s="924" t="s">
        <v>1192</v>
      </c>
      <c r="C3230" s="924" t="s">
        <v>1193</v>
      </c>
      <c r="D3230" s="924" t="s">
        <v>1176</v>
      </c>
      <c r="E3230" s="924" t="s">
        <v>856</v>
      </c>
      <c r="F3230" s="924" t="s">
        <v>886</v>
      </c>
      <c r="G3230" s="924" t="s">
        <v>858</v>
      </c>
      <c r="H3230" s="924" t="s">
        <v>836</v>
      </c>
      <c r="I3230" s="924" t="s">
        <v>837</v>
      </c>
      <c r="J3230" s="924" t="s">
        <v>859</v>
      </c>
      <c r="K3230" s="924" t="s">
        <v>887</v>
      </c>
      <c r="L3230" s="925">
        <v>3404.7105140685999</v>
      </c>
      <c r="M3230" s="925">
        <v>2.5198085434567499E-2</v>
      </c>
    </row>
    <row r="3231" spans="1:13" ht="11.25" customHeight="1" x14ac:dyDescent="0.2">
      <c r="A3231" s="924" t="s">
        <v>853</v>
      </c>
      <c r="B3231" s="924" t="s">
        <v>1192</v>
      </c>
      <c r="C3231" s="924" t="s">
        <v>1193</v>
      </c>
      <c r="D3231" s="924" t="s">
        <v>1176</v>
      </c>
      <c r="E3231" s="924" t="s">
        <v>856</v>
      </c>
      <c r="F3231" s="924" t="s">
        <v>934</v>
      </c>
      <c r="G3231" s="924" t="s">
        <v>862</v>
      </c>
      <c r="H3231" s="924" t="s">
        <v>665</v>
      </c>
      <c r="I3231" s="924" t="s">
        <v>787</v>
      </c>
      <c r="J3231" s="924" t="s">
        <v>863</v>
      </c>
      <c r="K3231" s="924" t="s">
        <v>935</v>
      </c>
      <c r="L3231" s="925">
        <v>0.72650557290762696</v>
      </c>
      <c r="M3231" s="925">
        <v>3.0539779654645801E-3</v>
      </c>
    </row>
    <row r="3232" spans="1:13" ht="11.25" customHeight="1" x14ac:dyDescent="0.2">
      <c r="A3232" s="924" t="s">
        <v>853</v>
      </c>
      <c r="B3232" s="924" t="s">
        <v>1192</v>
      </c>
      <c r="C3232" s="924" t="s">
        <v>1193</v>
      </c>
      <c r="D3232" s="924" t="s">
        <v>1176</v>
      </c>
      <c r="E3232" s="924" t="s">
        <v>856</v>
      </c>
      <c r="F3232" s="924" t="s">
        <v>919</v>
      </c>
      <c r="G3232" s="924" t="s">
        <v>911</v>
      </c>
      <c r="H3232" s="924" t="s">
        <v>665</v>
      </c>
      <c r="I3232" s="924" t="s">
        <v>706</v>
      </c>
      <c r="J3232" s="924" t="s">
        <v>859</v>
      </c>
      <c r="K3232" s="924" t="s">
        <v>920</v>
      </c>
      <c r="L3232" s="925">
        <v>2.0648329704999902</v>
      </c>
      <c r="M3232" s="925">
        <v>5.7849022755362999E-4</v>
      </c>
    </row>
    <row r="3233" spans="1:13" ht="11.25" customHeight="1" x14ac:dyDescent="0.2">
      <c r="A3233" s="924" t="s">
        <v>853</v>
      </c>
      <c r="B3233" s="924" t="s">
        <v>1192</v>
      </c>
      <c r="C3233" s="924" t="s">
        <v>1193</v>
      </c>
      <c r="D3233" s="924" t="s">
        <v>1176</v>
      </c>
      <c r="E3233" s="924" t="s">
        <v>856</v>
      </c>
      <c r="F3233" s="924" t="s">
        <v>943</v>
      </c>
      <c r="G3233" s="924" t="s">
        <v>911</v>
      </c>
      <c r="H3233" s="924" t="s">
        <v>665</v>
      </c>
      <c r="I3233" s="924" t="s">
        <v>706</v>
      </c>
      <c r="J3233" s="924" t="s">
        <v>870</v>
      </c>
      <c r="K3233" s="924" t="s">
        <v>873</v>
      </c>
      <c r="L3233" s="925">
        <v>2.3076009681972199E-2</v>
      </c>
      <c r="M3233" s="925">
        <v>1.04790069799243E-6</v>
      </c>
    </row>
    <row r="3234" spans="1:13" ht="11.25" customHeight="1" x14ac:dyDescent="0.2">
      <c r="A3234" s="924" t="s">
        <v>853</v>
      </c>
      <c r="B3234" s="924" t="s">
        <v>1192</v>
      </c>
      <c r="C3234" s="924" t="s">
        <v>1193</v>
      </c>
      <c r="D3234" s="924" t="s">
        <v>1176</v>
      </c>
      <c r="E3234" s="924" t="s">
        <v>856</v>
      </c>
      <c r="F3234" s="924" t="s">
        <v>944</v>
      </c>
      <c r="G3234" s="924" t="s">
        <v>911</v>
      </c>
      <c r="H3234" s="924" t="s">
        <v>665</v>
      </c>
      <c r="I3234" s="924" t="s">
        <v>706</v>
      </c>
      <c r="J3234" s="924" t="s">
        <v>875</v>
      </c>
      <c r="K3234" s="924" t="s">
        <v>876</v>
      </c>
      <c r="L3234" s="925">
        <v>596.09245586395298</v>
      </c>
      <c r="M3234" s="925">
        <v>0.188463750993833</v>
      </c>
    </row>
    <row r="3235" spans="1:13" ht="11.25" customHeight="1" x14ac:dyDescent="0.2">
      <c r="A3235" s="924" t="s">
        <v>853</v>
      </c>
      <c r="B3235" s="924" t="s">
        <v>1192</v>
      </c>
      <c r="C3235" s="924" t="s">
        <v>1193</v>
      </c>
      <c r="D3235" s="924" t="s">
        <v>1176</v>
      </c>
      <c r="E3235" s="924" t="s">
        <v>856</v>
      </c>
      <c r="F3235" s="924" t="s">
        <v>945</v>
      </c>
      <c r="G3235" s="924" t="s">
        <v>911</v>
      </c>
      <c r="H3235" s="924" t="s">
        <v>665</v>
      </c>
      <c r="I3235" s="924" t="s">
        <v>706</v>
      </c>
      <c r="J3235" s="924" t="s">
        <v>875</v>
      </c>
      <c r="K3235" s="924" t="s">
        <v>878</v>
      </c>
      <c r="L3235" s="925">
        <v>131.63080322742499</v>
      </c>
      <c r="M3235" s="925">
        <v>1.9473453423415801E-2</v>
      </c>
    </row>
    <row r="3236" spans="1:13" ht="11.25" customHeight="1" x14ac:dyDescent="0.2">
      <c r="A3236" s="924" t="s">
        <v>853</v>
      </c>
      <c r="B3236" s="924" t="s">
        <v>1192</v>
      </c>
      <c r="C3236" s="924" t="s">
        <v>1193</v>
      </c>
      <c r="D3236" s="924" t="s">
        <v>1176</v>
      </c>
      <c r="E3236" s="924" t="s">
        <v>856</v>
      </c>
      <c r="F3236" s="924" t="s">
        <v>946</v>
      </c>
      <c r="G3236" s="924" t="s">
        <v>911</v>
      </c>
      <c r="H3236" s="924" t="s">
        <v>665</v>
      </c>
      <c r="I3236" s="924" t="s">
        <v>706</v>
      </c>
      <c r="J3236" s="924" t="s">
        <v>875</v>
      </c>
      <c r="K3236" s="924" t="s">
        <v>880</v>
      </c>
      <c r="L3236" s="925">
        <v>155.60685420036299</v>
      </c>
      <c r="M3236" s="925">
        <v>9.9035691382596304E-3</v>
      </c>
    </row>
    <row r="3237" spans="1:13" ht="11.25" customHeight="1" x14ac:dyDescent="0.2">
      <c r="A3237" s="924" t="s">
        <v>853</v>
      </c>
      <c r="B3237" s="924" t="s">
        <v>1192</v>
      </c>
      <c r="C3237" s="924" t="s">
        <v>1193</v>
      </c>
      <c r="D3237" s="924" t="s">
        <v>1176</v>
      </c>
      <c r="E3237" s="924" t="s">
        <v>856</v>
      </c>
      <c r="F3237" s="924" t="s">
        <v>947</v>
      </c>
      <c r="G3237" s="924" t="s">
        <v>911</v>
      </c>
      <c r="H3237" s="924" t="s">
        <v>665</v>
      </c>
      <c r="I3237" s="924" t="s">
        <v>706</v>
      </c>
      <c r="J3237" s="924" t="s">
        <v>875</v>
      </c>
      <c r="K3237" s="924" t="s">
        <v>948</v>
      </c>
      <c r="L3237" s="925">
        <v>193.41092038154599</v>
      </c>
      <c r="M3237" s="925">
        <v>1.47802132933066E-2</v>
      </c>
    </row>
    <row r="3238" spans="1:13" ht="11.25" customHeight="1" x14ac:dyDescent="0.2">
      <c r="A3238" s="924" t="s">
        <v>853</v>
      </c>
      <c r="B3238" s="924" t="s">
        <v>1192</v>
      </c>
      <c r="C3238" s="924" t="s">
        <v>1193</v>
      </c>
      <c r="D3238" s="924" t="s">
        <v>1176</v>
      </c>
      <c r="E3238" s="924" t="s">
        <v>856</v>
      </c>
      <c r="F3238" s="924" t="s">
        <v>949</v>
      </c>
      <c r="G3238" s="924" t="s">
        <v>911</v>
      </c>
      <c r="H3238" s="924" t="s">
        <v>665</v>
      </c>
      <c r="I3238" s="924" t="s">
        <v>706</v>
      </c>
      <c r="J3238" s="924" t="s">
        <v>875</v>
      </c>
      <c r="K3238" s="924" t="s">
        <v>950</v>
      </c>
      <c r="L3238" s="925">
        <v>2.5934097245335601</v>
      </c>
      <c r="M3238" s="925">
        <v>5.5624077367610902E-4</v>
      </c>
    </row>
    <row r="3239" spans="1:13" ht="11.25" customHeight="1" x14ac:dyDescent="0.2">
      <c r="A3239" s="924" t="s">
        <v>853</v>
      </c>
      <c r="B3239" s="924" t="s">
        <v>1192</v>
      </c>
      <c r="C3239" s="924" t="s">
        <v>1193</v>
      </c>
      <c r="D3239" s="924" t="s">
        <v>1176</v>
      </c>
      <c r="E3239" s="924" t="s">
        <v>856</v>
      </c>
      <c r="F3239" s="924" t="s">
        <v>951</v>
      </c>
      <c r="G3239" s="924" t="s">
        <v>911</v>
      </c>
      <c r="H3239" s="924" t="s">
        <v>665</v>
      </c>
      <c r="I3239" s="924" t="s">
        <v>706</v>
      </c>
      <c r="J3239" s="924" t="s">
        <v>875</v>
      </c>
      <c r="K3239" s="924" t="s">
        <v>952</v>
      </c>
      <c r="L3239" s="925">
        <v>2.3936790823936498</v>
      </c>
      <c r="M3239" s="925">
        <v>1.4883597765447099E-4</v>
      </c>
    </row>
    <row r="3240" spans="1:13" ht="11.25" customHeight="1" x14ac:dyDescent="0.2">
      <c r="A3240" s="924" t="s">
        <v>853</v>
      </c>
      <c r="B3240" s="924" t="s">
        <v>1192</v>
      </c>
      <c r="C3240" s="924" t="s">
        <v>1193</v>
      </c>
      <c r="D3240" s="924" t="s">
        <v>1176</v>
      </c>
      <c r="E3240" s="924" t="s">
        <v>856</v>
      </c>
      <c r="F3240" s="924" t="s">
        <v>890</v>
      </c>
      <c r="G3240" s="924" t="s">
        <v>862</v>
      </c>
      <c r="H3240" s="924" t="s">
        <v>665</v>
      </c>
      <c r="I3240" s="924" t="s">
        <v>787</v>
      </c>
      <c r="J3240" s="924" t="s">
        <v>859</v>
      </c>
      <c r="K3240" s="924" t="s">
        <v>891</v>
      </c>
      <c r="L3240" s="925">
        <v>0.65813372377306201</v>
      </c>
      <c r="M3240" s="925">
        <v>2.3427596592227901E-2</v>
      </c>
    </row>
    <row r="3241" spans="1:13" ht="11.25" customHeight="1" x14ac:dyDescent="0.2">
      <c r="A3241" s="924" t="s">
        <v>853</v>
      </c>
      <c r="B3241" s="924" t="s">
        <v>1192</v>
      </c>
      <c r="C3241" s="924" t="s">
        <v>1193</v>
      </c>
      <c r="D3241" s="924" t="s">
        <v>1176</v>
      </c>
      <c r="E3241" s="924" t="s">
        <v>856</v>
      </c>
      <c r="F3241" s="924" t="s">
        <v>937</v>
      </c>
      <c r="G3241" s="924" t="s">
        <v>862</v>
      </c>
      <c r="H3241" s="924" t="s">
        <v>665</v>
      </c>
      <c r="I3241" s="924" t="s">
        <v>787</v>
      </c>
      <c r="J3241" s="924" t="s">
        <v>863</v>
      </c>
      <c r="K3241" s="924" t="s">
        <v>933</v>
      </c>
      <c r="L3241" s="925">
        <v>857.43415164947498</v>
      </c>
      <c r="M3241" s="925">
        <v>3.6521415561437598</v>
      </c>
    </row>
    <row r="3242" spans="1:13" ht="11.25" customHeight="1" x14ac:dyDescent="0.2">
      <c r="A3242" s="924" t="s">
        <v>853</v>
      </c>
      <c r="B3242" s="924" t="s">
        <v>1192</v>
      </c>
      <c r="C3242" s="924" t="s">
        <v>1193</v>
      </c>
      <c r="D3242" s="924" t="s">
        <v>1176</v>
      </c>
      <c r="E3242" s="924" t="s">
        <v>856</v>
      </c>
      <c r="F3242" s="924" t="s">
        <v>914</v>
      </c>
      <c r="G3242" s="924" t="s">
        <v>911</v>
      </c>
      <c r="H3242" s="924" t="s">
        <v>665</v>
      </c>
      <c r="I3242" s="924" t="s">
        <v>706</v>
      </c>
      <c r="J3242" s="924" t="s">
        <v>863</v>
      </c>
      <c r="K3242" s="924" t="s">
        <v>915</v>
      </c>
      <c r="L3242" s="925">
        <v>7.2609434649348303</v>
      </c>
      <c r="M3242" s="925">
        <v>1.03604788932898E-3</v>
      </c>
    </row>
    <row r="3243" spans="1:13" ht="11.25" customHeight="1" x14ac:dyDescent="0.2">
      <c r="A3243" s="924" t="s">
        <v>853</v>
      </c>
      <c r="B3243" s="924" t="s">
        <v>1192</v>
      </c>
      <c r="C3243" s="924" t="s">
        <v>1193</v>
      </c>
      <c r="D3243" s="924" t="s">
        <v>1176</v>
      </c>
      <c r="E3243" s="924" t="s">
        <v>856</v>
      </c>
      <c r="F3243" s="924" t="s">
        <v>974</v>
      </c>
      <c r="G3243" s="924" t="s">
        <v>858</v>
      </c>
      <c r="H3243" s="924" t="s">
        <v>836</v>
      </c>
      <c r="I3243" s="924" t="s">
        <v>837</v>
      </c>
      <c r="J3243" s="924" t="s">
        <v>875</v>
      </c>
      <c r="K3243" s="924" t="s">
        <v>952</v>
      </c>
      <c r="L3243" s="925">
        <v>132.024240970612</v>
      </c>
      <c r="M3243" s="925">
        <v>2.9828731251768702E-3</v>
      </c>
    </row>
    <row r="3244" spans="1:13" ht="11.25" customHeight="1" x14ac:dyDescent="0.2">
      <c r="A3244" s="924" t="s">
        <v>853</v>
      </c>
      <c r="B3244" s="924" t="s">
        <v>1192</v>
      </c>
      <c r="C3244" s="924" t="s">
        <v>1193</v>
      </c>
      <c r="D3244" s="924" t="s">
        <v>1176</v>
      </c>
      <c r="E3244" s="924" t="s">
        <v>1164</v>
      </c>
      <c r="F3244" s="924" t="s">
        <v>1165</v>
      </c>
      <c r="G3244" s="924" t="s">
        <v>981</v>
      </c>
      <c r="H3244" s="924" t="s">
        <v>835</v>
      </c>
      <c r="I3244" s="924" t="s">
        <v>1040</v>
      </c>
      <c r="J3244" s="924" t="s">
        <v>1166</v>
      </c>
      <c r="K3244" s="924" t="s">
        <v>1166</v>
      </c>
      <c r="L3244" s="925">
        <v>1.5267752489307901E-2</v>
      </c>
      <c r="M3244" s="925">
        <v>4.3838930636752602E-6</v>
      </c>
    </row>
    <row r="3245" spans="1:13" ht="11.25" customHeight="1" x14ac:dyDescent="0.2">
      <c r="A3245" s="924" t="s">
        <v>853</v>
      </c>
      <c r="B3245" s="924" t="s">
        <v>1192</v>
      </c>
      <c r="C3245" s="924" t="s">
        <v>1193</v>
      </c>
      <c r="D3245" s="924" t="s">
        <v>1176</v>
      </c>
      <c r="E3245" s="924" t="s">
        <v>856</v>
      </c>
      <c r="F3245" s="924" t="s">
        <v>958</v>
      </c>
      <c r="G3245" s="924" t="s">
        <v>858</v>
      </c>
      <c r="H3245" s="924" t="s">
        <v>836</v>
      </c>
      <c r="I3245" s="924" t="s">
        <v>837</v>
      </c>
      <c r="J3245" s="924" t="s">
        <v>870</v>
      </c>
      <c r="K3245" s="924" t="s">
        <v>959</v>
      </c>
      <c r="L3245" s="925">
        <v>0.100198530068155</v>
      </c>
      <c r="M3245" s="925">
        <v>9.3377252429263604E-7</v>
      </c>
    </row>
    <row r="3246" spans="1:13" ht="11.25" customHeight="1" x14ac:dyDescent="0.2">
      <c r="A3246" s="924" t="s">
        <v>853</v>
      </c>
      <c r="B3246" s="924" t="s">
        <v>1192</v>
      </c>
      <c r="C3246" s="924" t="s">
        <v>1193</v>
      </c>
      <c r="D3246" s="924" t="s">
        <v>1176</v>
      </c>
      <c r="E3246" s="924" t="s">
        <v>856</v>
      </c>
      <c r="F3246" s="924" t="s">
        <v>960</v>
      </c>
      <c r="G3246" s="924" t="s">
        <v>858</v>
      </c>
      <c r="H3246" s="924" t="s">
        <v>836</v>
      </c>
      <c r="I3246" s="924" t="s">
        <v>837</v>
      </c>
      <c r="J3246" s="924" t="s">
        <v>870</v>
      </c>
      <c r="K3246" s="924" t="s">
        <v>961</v>
      </c>
      <c r="L3246" s="925">
        <v>7.3077043779194399</v>
      </c>
      <c r="M3246" s="925">
        <v>6.4838261137900602E-5</v>
      </c>
    </row>
    <row r="3247" spans="1:13" ht="11.25" customHeight="1" x14ac:dyDescent="0.2">
      <c r="A3247" s="924" t="s">
        <v>853</v>
      </c>
      <c r="B3247" s="924" t="s">
        <v>1192</v>
      </c>
      <c r="C3247" s="924" t="s">
        <v>1193</v>
      </c>
      <c r="D3247" s="924" t="s">
        <v>1176</v>
      </c>
      <c r="E3247" s="924" t="s">
        <v>856</v>
      </c>
      <c r="F3247" s="924" t="s">
        <v>962</v>
      </c>
      <c r="G3247" s="924" t="s">
        <v>858</v>
      </c>
      <c r="H3247" s="924" t="s">
        <v>836</v>
      </c>
      <c r="I3247" s="924" t="s">
        <v>837</v>
      </c>
      <c r="J3247" s="924" t="s">
        <v>870</v>
      </c>
      <c r="K3247" s="924" t="s">
        <v>963</v>
      </c>
      <c r="L3247" s="925">
        <v>2.02118976449128E-2</v>
      </c>
      <c r="M3247" s="925">
        <v>1.4365764362117601E-7</v>
      </c>
    </row>
    <row r="3248" spans="1:13" ht="11.25" customHeight="1" x14ac:dyDescent="0.2">
      <c r="A3248" s="924" t="s">
        <v>853</v>
      </c>
      <c r="B3248" s="924" t="s">
        <v>1192</v>
      </c>
      <c r="C3248" s="924" t="s">
        <v>1193</v>
      </c>
      <c r="D3248" s="924" t="s">
        <v>1176</v>
      </c>
      <c r="E3248" s="924" t="s">
        <v>856</v>
      </c>
      <c r="F3248" s="924" t="s">
        <v>964</v>
      </c>
      <c r="G3248" s="924" t="s">
        <v>858</v>
      </c>
      <c r="H3248" s="924" t="s">
        <v>836</v>
      </c>
      <c r="I3248" s="924" t="s">
        <v>837</v>
      </c>
      <c r="J3248" s="924" t="s">
        <v>870</v>
      </c>
      <c r="K3248" s="924" t="s">
        <v>965</v>
      </c>
      <c r="L3248" s="925">
        <v>6.7557122148573399</v>
      </c>
      <c r="M3248" s="925">
        <v>6.20277021163851E-5</v>
      </c>
    </row>
    <row r="3249" spans="1:13" ht="11.25" customHeight="1" x14ac:dyDescent="0.2">
      <c r="A3249" s="924" t="s">
        <v>853</v>
      </c>
      <c r="B3249" s="924" t="s">
        <v>1192</v>
      </c>
      <c r="C3249" s="924" t="s">
        <v>1193</v>
      </c>
      <c r="D3249" s="924" t="s">
        <v>1176</v>
      </c>
      <c r="E3249" s="924" t="s">
        <v>856</v>
      </c>
      <c r="F3249" s="924" t="s">
        <v>966</v>
      </c>
      <c r="G3249" s="924" t="s">
        <v>858</v>
      </c>
      <c r="H3249" s="924" t="s">
        <v>836</v>
      </c>
      <c r="I3249" s="924" t="s">
        <v>837</v>
      </c>
      <c r="J3249" s="924" t="s">
        <v>870</v>
      </c>
      <c r="K3249" s="924" t="s">
        <v>871</v>
      </c>
      <c r="L3249" s="925">
        <v>18.798002764582598</v>
      </c>
      <c r="M3249" s="925">
        <v>1.6333933715451099E-4</v>
      </c>
    </row>
    <row r="3250" spans="1:13" ht="11.25" customHeight="1" x14ac:dyDescent="0.2">
      <c r="A3250" s="924" t="s">
        <v>853</v>
      </c>
      <c r="B3250" s="924" t="s">
        <v>1192</v>
      </c>
      <c r="C3250" s="924" t="s">
        <v>1193</v>
      </c>
      <c r="D3250" s="924" t="s">
        <v>1176</v>
      </c>
      <c r="E3250" s="924" t="s">
        <v>856</v>
      </c>
      <c r="F3250" s="924" t="s">
        <v>967</v>
      </c>
      <c r="G3250" s="924" t="s">
        <v>858</v>
      </c>
      <c r="H3250" s="924" t="s">
        <v>836</v>
      </c>
      <c r="I3250" s="924" t="s">
        <v>837</v>
      </c>
      <c r="J3250" s="924" t="s">
        <v>870</v>
      </c>
      <c r="K3250" s="924" t="s">
        <v>873</v>
      </c>
      <c r="L3250" s="925">
        <v>13.8546680621803</v>
      </c>
      <c r="M3250" s="925">
        <v>2.3406283148741399E-4</v>
      </c>
    </row>
    <row r="3251" spans="1:13" ht="11.25" customHeight="1" x14ac:dyDescent="0.2">
      <c r="A3251" s="924" t="s">
        <v>853</v>
      </c>
      <c r="B3251" s="924" t="s">
        <v>1192</v>
      </c>
      <c r="C3251" s="924" t="s">
        <v>1193</v>
      </c>
      <c r="D3251" s="924" t="s">
        <v>1176</v>
      </c>
      <c r="E3251" s="924" t="s">
        <v>856</v>
      </c>
      <c r="F3251" s="924" t="s">
        <v>968</v>
      </c>
      <c r="G3251" s="924" t="s">
        <v>858</v>
      </c>
      <c r="H3251" s="924" t="s">
        <v>836</v>
      </c>
      <c r="I3251" s="924" t="s">
        <v>837</v>
      </c>
      <c r="J3251" s="924" t="s">
        <v>875</v>
      </c>
      <c r="K3251" s="924" t="s">
        <v>876</v>
      </c>
      <c r="L3251" s="925">
        <v>4665.67432403564</v>
      </c>
      <c r="M3251" s="925">
        <v>0.12505878055890199</v>
      </c>
    </row>
    <row r="3252" spans="1:13" ht="11.25" customHeight="1" x14ac:dyDescent="0.2">
      <c r="A3252" s="924" t="s">
        <v>853</v>
      </c>
      <c r="B3252" s="924" t="s">
        <v>1192</v>
      </c>
      <c r="C3252" s="924" t="s">
        <v>1193</v>
      </c>
      <c r="D3252" s="924" t="s">
        <v>1176</v>
      </c>
      <c r="E3252" s="924" t="s">
        <v>856</v>
      </c>
      <c r="F3252" s="924" t="s">
        <v>969</v>
      </c>
      <c r="G3252" s="924" t="s">
        <v>858</v>
      </c>
      <c r="H3252" s="924" t="s">
        <v>836</v>
      </c>
      <c r="I3252" s="924" t="s">
        <v>837</v>
      </c>
      <c r="J3252" s="924" t="s">
        <v>875</v>
      </c>
      <c r="K3252" s="924" t="s">
        <v>878</v>
      </c>
      <c r="L3252" s="925">
        <v>1101.16295623779</v>
      </c>
      <c r="M3252" s="925">
        <v>2.9169145881951401E-2</v>
      </c>
    </row>
    <row r="3253" spans="1:13" ht="11.25" customHeight="1" x14ac:dyDescent="0.2">
      <c r="A3253" s="924" t="s">
        <v>853</v>
      </c>
      <c r="B3253" s="924" t="s">
        <v>1192</v>
      </c>
      <c r="C3253" s="924" t="s">
        <v>1193</v>
      </c>
      <c r="D3253" s="924" t="s">
        <v>1176</v>
      </c>
      <c r="E3253" s="924" t="s">
        <v>856</v>
      </c>
      <c r="F3253" s="924" t="s">
        <v>970</v>
      </c>
      <c r="G3253" s="924" t="s">
        <v>858</v>
      </c>
      <c r="H3253" s="924" t="s">
        <v>836</v>
      </c>
      <c r="I3253" s="924" t="s">
        <v>837</v>
      </c>
      <c r="J3253" s="924" t="s">
        <v>875</v>
      </c>
      <c r="K3253" s="924" t="s">
        <v>880</v>
      </c>
      <c r="L3253" s="925">
        <v>3054.7384757995601</v>
      </c>
      <c r="M3253" s="925">
        <v>5.9358879291721699E-2</v>
      </c>
    </row>
    <row r="3254" spans="1:13" ht="11.25" customHeight="1" x14ac:dyDescent="0.2">
      <c r="A3254" s="924" t="s">
        <v>853</v>
      </c>
      <c r="B3254" s="924" t="s">
        <v>1192</v>
      </c>
      <c r="C3254" s="924" t="s">
        <v>1193</v>
      </c>
      <c r="D3254" s="924" t="s">
        <v>1176</v>
      </c>
      <c r="E3254" s="924" t="s">
        <v>856</v>
      </c>
      <c r="F3254" s="924" t="s">
        <v>1035</v>
      </c>
      <c r="G3254" s="924" t="s">
        <v>858</v>
      </c>
      <c r="H3254" s="924" t="s">
        <v>836</v>
      </c>
      <c r="I3254" s="924" t="s">
        <v>837</v>
      </c>
      <c r="J3254" s="924" t="s">
        <v>870</v>
      </c>
      <c r="K3254" s="924" t="s">
        <v>1036</v>
      </c>
      <c r="L3254" s="925">
        <v>2.3116000171285098E-2</v>
      </c>
      <c r="M3254" s="925">
        <v>2.8310542316395899E-6</v>
      </c>
    </row>
    <row r="3255" spans="1:13" ht="11.25" customHeight="1" x14ac:dyDescent="0.2">
      <c r="A3255" s="924" t="s">
        <v>853</v>
      </c>
      <c r="B3255" s="924" t="s">
        <v>1192</v>
      </c>
      <c r="C3255" s="924" t="s">
        <v>1193</v>
      </c>
      <c r="D3255" s="924" t="s">
        <v>1176</v>
      </c>
      <c r="E3255" s="924" t="s">
        <v>856</v>
      </c>
      <c r="F3255" s="924" t="s">
        <v>1000</v>
      </c>
      <c r="G3255" s="924" t="s">
        <v>858</v>
      </c>
      <c r="H3255" s="924" t="s">
        <v>836</v>
      </c>
      <c r="I3255" s="924" t="s">
        <v>837</v>
      </c>
      <c r="J3255" s="924" t="s">
        <v>875</v>
      </c>
      <c r="K3255" s="924" t="s">
        <v>950</v>
      </c>
      <c r="L3255" s="925">
        <v>149.19237089157099</v>
      </c>
      <c r="M3255" s="925">
        <v>3.5043724244019402E-3</v>
      </c>
    </row>
    <row r="3256" spans="1:13" ht="11.25" customHeight="1" x14ac:dyDescent="0.2">
      <c r="A3256" s="924" t="s">
        <v>853</v>
      </c>
      <c r="B3256" s="924" t="s">
        <v>1192</v>
      </c>
      <c r="C3256" s="924" t="s">
        <v>1193</v>
      </c>
      <c r="D3256" s="924" t="s">
        <v>1176</v>
      </c>
      <c r="E3256" s="924" t="s">
        <v>856</v>
      </c>
      <c r="F3256" s="924" t="s">
        <v>975</v>
      </c>
      <c r="G3256" s="924" t="s">
        <v>858</v>
      </c>
      <c r="H3256" s="924" t="s">
        <v>836</v>
      </c>
      <c r="I3256" s="924" t="s">
        <v>837</v>
      </c>
      <c r="J3256" s="924" t="s">
        <v>870</v>
      </c>
      <c r="K3256" s="924" t="s">
        <v>976</v>
      </c>
      <c r="L3256" s="925">
        <v>960.46649217605602</v>
      </c>
      <c r="M3256" s="925">
        <v>1.43747782200307E-2</v>
      </c>
    </row>
    <row r="3257" spans="1:13" ht="11.25" customHeight="1" x14ac:dyDescent="0.2">
      <c r="A3257" s="924" t="s">
        <v>853</v>
      </c>
      <c r="B3257" s="924" t="s">
        <v>1192</v>
      </c>
      <c r="C3257" s="924" t="s">
        <v>1193</v>
      </c>
      <c r="D3257" s="924" t="s">
        <v>1176</v>
      </c>
      <c r="E3257" s="924" t="s">
        <v>856</v>
      </c>
      <c r="F3257" s="924" t="s">
        <v>955</v>
      </c>
      <c r="G3257" s="924" t="s">
        <v>858</v>
      </c>
      <c r="H3257" s="924" t="s">
        <v>836</v>
      </c>
      <c r="I3257" s="924" t="s">
        <v>837</v>
      </c>
      <c r="J3257" s="924" t="s">
        <v>956</v>
      </c>
      <c r="K3257" s="924" t="s">
        <v>957</v>
      </c>
      <c r="L3257" s="925">
        <v>354.87765264511103</v>
      </c>
      <c r="M3257" s="925">
        <v>2.0381896079015899E-3</v>
      </c>
    </row>
    <row r="3258" spans="1:13" ht="11.25" customHeight="1" x14ac:dyDescent="0.2">
      <c r="A3258" s="924" t="s">
        <v>853</v>
      </c>
      <c r="B3258" s="924" t="s">
        <v>1192</v>
      </c>
      <c r="C3258" s="924" t="s">
        <v>1193</v>
      </c>
      <c r="D3258" s="924" t="s">
        <v>1176</v>
      </c>
      <c r="E3258" s="924" t="s">
        <v>856</v>
      </c>
      <c r="F3258" s="924" t="s">
        <v>980</v>
      </c>
      <c r="G3258" s="924" t="s">
        <v>981</v>
      </c>
      <c r="H3258" s="924" t="s">
        <v>835</v>
      </c>
      <c r="I3258" s="924" t="s">
        <v>839</v>
      </c>
      <c r="J3258" s="924" t="s">
        <v>982</v>
      </c>
      <c r="K3258" s="924" t="s">
        <v>983</v>
      </c>
      <c r="L3258" s="925">
        <v>1645.61017823219</v>
      </c>
      <c r="M3258" s="925">
        <v>1.8769638440571701</v>
      </c>
    </row>
    <row r="3259" spans="1:13" ht="11.25" customHeight="1" x14ac:dyDescent="0.2">
      <c r="A3259" s="924" t="s">
        <v>853</v>
      </c>
      <c r="B3259" s="924" t="s">
        <v>1192</v>
      </c>
      <c r="C3259" s="924" t="s">
        <v>1193</v>
      </c>
      <c r="D3259" s="924" t="s">
        <v>1176</v>
      </c>
      <c r="E3259" s="924" t="s">
        <v>856</v>
      </c>
      <c r="F3259" s="924" t="s">
        <v>984</v>
      </c>
      <c r="G3259" s="924" t="s">
        <v>981</v>
      </c>
      <c r="H3259" s="924" t="s">
        <v>835</v>
      </c>
      <c r="I3259" s="924" t="s">
        <v>839</v>
      </c>
      <c r="J3259" s="924" t="s">
        <v>982</v>
      </c>
      <c r="K3259" s="924" t="s">
        <v>985</v>
      </c>
      <c r="L3259" s="925">
        <v>695.219559550285</v>
      </c>
      <c r="M3259" s="925">
        <v>0.77550995838828396</v>
      </c>
    </row>
    <row r="3260" spans="1:13" ht="11.25" customHeight="1" x14ac:dyDescent="0.2">
      <c r="A3260" s="924" t="s">
        <v>853</v>
      </c>
      <c r="B3260" s="924" t="s">
        <v>1192</v>
      </c>
      <c r="C3260" s="924" t="s">
        <v>1193</v>
      </c>
      <c r="D3260" s="924" t="s">
        <v>1176</v>
      </c>
      <c r="E3260" s="924" t="s">
        <v>856</v>
      </c>
      <c r="F3260" s="924" t="s">
        <v>986</v>
      </c>
      <c r="G3260" s="924" t="s">
        <v>981</v>
      </c>
      <c r="H3260" s="924" t="s">
        <v>835</v>
      </c>
      <c r="I3260" s="924" t="s">
        <v>839</v>
      </c>
      <c r="J3260" s="924" t="s">
        <v>987</v>
      </c>
      <c r="K3260" s="924" t="s">
        <v>988</v>
      </c>
      <c r="L3260" s="925">
        <v>505.838236093521</v>
      </c>
      <c r="M3260" s="925">
        <v>0.25535218394361398</v>
      </c>
    </row>
    <row r="3261" spans="1:13" ht="11.25" customHeight="1" x14ac:dyDescent="0.2">
      <c r="A3261" s="924" t="s">
        <v>853</v>
      </c>
      <c r="B3261" s="924" t="s">
        <v>1192</v>
      </c>
      <c r="C3261" s="924" t="s">
        <v>1193</v>
      </c>
      <c r="D3261" s="924" t="s">
        <v>1176</v>
      </c>
      <c r="E3261" s="924" t="s">
        <v>856</v>
      </c>
      <c r="F3261" s="924" t="s">
        <v>989</v>
      </c>
      <c r="G3261" s="924" t="s">
        <v>990</v>
      </c>
      <c r="H3261" s="924" t="s">
        <v>836</v>
      </c>
      <c r="I3261" s="924" t="s">
        <v>839</v>
      </c>
      <c r="J3261" s="924" t="s">
        <v>224</v>
      </c>
      <c r="K3261" s="924" t="s">
        <v>988</v>
      </c>
      <c r="L3261" s="925">
        <v>398.36054509878198</v>
      </c>
      <c r="M3261" s="925">
        <v>1.3563272807520999E-2</v>
      </c>
    </row>
    <row r="3262" spans="1:13" ht="11.25" customHeight="1" x14ac:dyDescent="0.2">
      <c r="A3262" s="924" t="s">
        <v>853</v>
      </c>
      <c r="B3262" s="924" t="s">
        <v>1192</v>
      </c>
      <c r="C3262" s="924" t="s">
        <v>1193</v>
      </c>
      <c r="D3262" s="924" t="s">
        <v>1176</v>
      </c>
      <c r="E3262" s="924" t="s">
        <v>856</v>
      </c>
      <c r="F3262" s="924" t="s">
        <v>991</v>
      </c>
      <c r="G3262" s="924" t="s">
        <v>990</v>
      </c>
      <c r="H3262" s="924" t="s">
        <v>836</v>
      </c>
      <c r="I3262" s="924" t="s">
        <v>839</v>
      </c>
      <c r="J3262" s="924" t="s">
        <v>224</v>
      </c>
      <c r="K3262" s="924" t="s">
        <v>983</v>
      </c>
      <c r="L3262" s="925">
        <v>3.32982005784288</v>
      </c>
      <c r="M3262" s="925">
        <v>1.9883455626112901E-4</v>
      </c>
    </row>
    <row r="3263" spans="1:13" ht="11.25" customHeight="1" x14ac:dyDescent="0.2">
      <c r="A3263" s="924" t="s">
        <v>853</v>
      </c>
      <c r="B3263" s="924" t="s">
        <v>1192</v>
      </c>
      <c r="C3263" s="924" t="s">
        <v>1193</v>
      </c>
      <c r="D3263" s="924" t="s">
        <v>1176</v>
      </c>
      <c r="E3263" s="924" t="s">
        <v>856</v>
      </c>
      <c r="F3263" s="924" t="s">
        <v>992</v>
      </c>
      <c r="G3263" s="924" t="s">
        <v>858</v>
      </c>
      <c r="H3263" s="924" t="s">
        <v>836</v>
      </c>
      <c r="I3263" s="924" t="s">
        <v>834</v>
      </c>
      <c r="J3263" s="924" t="s">
        <v>224</v>
      </c>
      <c r="K3263" s="924" t="s">
        <v>993</v>
      </c>
      <c r="L3263" s="925">
        <v>135.45005476474799</v>
      </c>
      <c r="M3263" s="925">
        <v>5.27144095036647E-3</v>
      </c>
    </row>
    <row r="3264" spans="1:13" ht="11.25" customHeight="1" x14ac:dyDescent="0.2">
      <c r="A3264" s="924" t="s">
        <v>853</v>
      </c>
      <c r="B3264" s="924" t="s">
        <v>1192</v>
      </c>
      <c r="C3264" s="924" t="s">
        <v>1193</v>
      </c>
      <c r="D3264" s="924" t="s">
        <v>1176</v>
      </c>
      <c r="E3264" s="924" t="s">
        <v>856</v>
      </c>
      <c r="F3264" s="924" t="s">
        <v>994</v>
      </c>
      <c r="G3264" s="924" t="s">
        <v>981</v>
      </c>
      <c r="H3264" s="924" t="s">
        <v>835</v>
      </c>
      <c r="I3264" s="924" t="s">
        <v>834</v>
      </c>
      <c r="J3264" s="924" t="s">
        <v>995</v>
      </c>
      <c r="K3264" s="924" t="s">
        <v>993</v>
      </c>
      <c r="L3264" s="925">
        <v>7.9922204539179802</v>
      </c>
      <c r="M3264" s="925">
        <v>5.1835719951647298E-3</v>
      </c>
    </row>
    <row r="3265" spans="1:13" ht="11.25" customHeight="1" x14ac:dyDescent="0.2">
      <c r="A3265" s="924" t="s">
        <v>853</v>
      </c>
      <c r="B3265" s="924" t="s">
        <v>1192</v>
      </c>
      <c r="C3265" s="924" t="s">
        <v>1193</v>
      </c>
      <c r="D3265" s="924" t="s">
        <v>1176</v>
      </c>
      <c r="E3265" s="924" t="s">
        <v>856</v>
      </c>
      <c r="F3265" s="924" t="s">
        <v>996</v>
      </c>
      <c r="G3265" s="924" t="s">
        <v>911</v>
      </c>
      <c r="H3265" s="924" t="s">
        <v>665</v>
      </c>
      <c r="I3265" s="924" t="s">
        <v>834</v>
      </c>
      <c r="J3265" s="924" t="s">
        <v>706</v>
      </c>
      <c r="K3265" s="924" t="s">
        <v>993</v>
      </c>
      <c r="L3265" s="925">
        <v>0.23962732357904301</v>
      </c>
      <c r="M3265" s="925">
        <v>2.9709114507170401E-5</v>
      </c>
    </row>
    <row r="3266" spans="1:13" ht="11.25" customHeight="1" x14ac:dyDescent="0.2">
      <c r="A3266" s="924" t="s">
        <v>853</v>
      </c>
      <c r="B3266" s="924" t="s">
        <v>1192</v>
      </c>
      <c r="C3266" s="924" t="s">
        <v>1193</v>
      </c>
      <c r="D3266" s="924" t="s">
        <v>1176</v>
      </c>
      <c r="E3266" s="924" t="s">
        <v>1164</v>
      </c>
      <c r="F3266" s="924" t="s">
        <v>1167</v>
      </c>
      <c r="G3266" s="924" t="s">
        <v>911</v>
      </c>
      <c r="H3266" s="924" t="s">
        <v>665</v>
      </c>
      <c r="I3266" s="924" t="s">
        <v>706</v>
      </c>
      <c r="J3266" s="924" t="s">
        <v>1166</v>
      </c>
      <c r="K3266" s="924" t="s">
        <v>1166</v>
      </c>
      <c r="L3266" s="925">
        <v>8.5169559170026297E-3</v>
      </c>
      <c r="M3266" s="925">
        <v>3.9476895619117201E-7</v>
      </c>
    </row>
    <row r="3267" spans="1:13" ht="11.25" customHeight="1" x14ac:dyDescent="0.2">
      <c r="A3267" s="924" t="s">
        <v>853</v>
      </c>
      <c r="B3267" s="924" t="s">
        <v>1192</v>
      </c>
      <c r="C3267" s="924" t="s">
        <v>1193</v>
      </c>
      <c r="D3267" s="924" t="s">
        <v>1176</v>
      </c>
      <c r="E3267" s="924" t="s">
        <v>1164</v>
      </c>
      <c r="F3267" s="924" t="s">
        <v>1168</v>
      </c>
      <c r="G3267" s="924" t="s">
        <v>858</v>
      </c>
      <c r="H3267" s="924" t="s">
        <v>836</v>
      </c>
      <c r="I3267" s="924" t="s">
        <v>837</v>
      </c>
      <c r="J3267" s="924" t="s">
        <v>1166</v>
      </c>
      <c r="K3267" s="924" t="s">
        <v>1166</v>
      </c>
      <c r="L3267" s="925">
        <v>0.47177050914615398</v>
      </c>
      <c r="M3267" s="925">
        <v>6.0350316701818204E-6</v>
      </c>
    </row>
    <row r="3268" spans="1:13" ht="11.25" customHeight="1" x14ac:dyDescent="0.2">
      <c r="A3268" s="924" t="s">
        <v>853</v>
      </c>
      <c r="B3268" s="924" t="s">
        <v>1192</v>
      </c>
      <c r="C3268" s="924" t="s">
        <v>1193</v>
      </c>
      <c r="D3268" s="924" t="s">
        <v>1176</v>
      </c>
      <c r="E3268" s="924" t="s">
        <v>856</v>
      </c>
      <c r="F3268" s="924" t="s">
        <v>971</v>
      </c>
      <c r="G3268" s="924" t="s">
        <v>858</v>
      </c>
      <c r="H3268" s="924" t="s">
        <v>836</v>
      </c>
      <c r="I3268" s="924" t="s">
        <v>837</v>
      </c>
      <c r="J3268" s="924" t="s">
        <v>875</v>
      </c>
      <c r="K3268" s="924" t="s">
        <v>948</v>
      </c>
      <c r="L3268" s="925">
        <v>1552.4540290832499</v>
      </c>
      <c r="M3268" s="925">
        <v>6.6403805994014006E-2</v>
      </c>
    </row>
    <row r="3269" spans="1:13" ht="11.25" customHeight="1" x14ac:dyDescent="0.2">
      <c r="A3269" s="924" t="s">
        <v>853</v>
      </c>
      <c r="B3269" s="924" t="s">
        <v>1192</v>
      </c>
      <c r="C3269" s="924" t="s">
        <v>1193</v>
      </c>
      <c r="D3269" s="924" t="s">
        <v>1176</v>
      </c>
      <c r="E3269" s="924" t="s">
        <v>856</v>
      </c>
      <c r="F3269" s="924" t="s">
        <v>1017</v>
      </c>
      <c r="G3269" s="924" t="s">
        <v>858</v>
      </c>
      <c r="H3269" s="924" t="s">
        <v>836</v>
      </c>
      <c r="I3269" s="924" t="s">
        <v>837</v>
      </c>
      <c r="J3269" s="924" t="s">
        <v>863</v>
      </c>
      <c r="K3269" s="924" t="s">
        <v>864</v>
      </c>
      <c r="L3269" s="925">
        <v>1473.1549282074</v>
      </c>
      <c r="M3269" s="925">
        <v>1.9978913069735399E-2</v>
      </c>
    </row>
    <row r="3270" spans="1:13" ht="11.25" customHeight="1" x14ac:dyDescent="0.2">
      <c r="A3270" s="924" t="s">
        <v>853</v>
      </c>
      <c r="B3270" s="924" t="s">
        <v>1192</v>
      </c>
      <c r="C3270" s="924" t="s">
        <v>1193</v>
      </c>
      <c r="D3270" s="924" t="s">
        <v>1176</v>
      </c>
      <c r="E3270" s="924" t="s">
        <v>856</v>
      </c>
      <c r="F3270" s="924" t="s">
        <v>953</v>
      </c>
      <c r="G3270" s="924" t="s">
        <v>858</v>
      </c>
      <c r="H3270" s="924" t="s">
        <v>836</v>
      </c>
      <c r="I3270" s="924" t="s">
        <v>837</v>
      </c>
      <c r="J3270" s="924" t="s">
        <v>859</v>
      </c>
      <c r="K3270" s="924" t="s">
        <v>920</v>
      </c>
      <c r="L3270" s="925">
        <v>550.90058279037498</v>
      </c>
      <c r="M3270" s="925">
        <v>7.1059326494378201E-3</v>
      </c>
    </row>
    <row r="3271" spans="1:13" ht="11.25" customHeight="1" x14ac:dyDescent="0.2">
      <c r="A3271" s="924" t="s">
        <v>853</v>
      </c>
      <c r="B3271" s="924" t="s">
        <v>1192</v>
      </c>
      <c r="C3271" s="924" t="s">
        <v>1193</v>
      </c>
      <c r="D3271" s="924" t="s">
        <v>1176</v>
      </c>
      <c r="E3271" s="924" t="s">
        <v>856</v>
      </c>
      <c r="F3271" s="924" t="s">
        <v>1002</v>
      </c>
      <c r="G3271" s="924" t="s">
        <v>858</v>
      </c>
      <c r="H3271" s="924" t="s">
        <v>836</v>
      </c>
      <c r="I3271" s="924" t="s">
        <v>837</v>
      </c>
      <c r="J3271" s="924" t="s">
        <v>859</v>
      </c>
      <c r="K3271" s="924" t="s">
        <v>922</v>
      </c>
      <c r="L3271" s="925">
        <v>4381.2777976989701</v>
      </c>
      <c r="M3271" s="925">
        <v>5.0091310040443197E-2</v>
      </c>
    </row>
    <row r="3272" spans="1:13" ht="11.25" customHeight="1" x14ac:dyDescent="0.2">
      <c r="A3272" s="924" t="s">
        <v>853</v>
      </c>
      <c r="B3272" s="924" t="s">
        <v>1192</v>
      </c>
      <c r="C3272" s="924" t="s">
        <v>1193</v>
      </c>
      <c r="D3272" s="924" t="s">
        <v>1176</v>
      </c>
      <c r="E3272" s="924" t="s">
        <v>856</v>
      </c>
      <c r="F3272" s="924" t="s">
        <v>1003</v>
      </c>
      <c r="G3272" s="924" t="s">
        <v>858</v>
      </c>
      <c r="H3272" s="924" t="s">
        <v>836</v>
      </c>
      <c r="I3272" s="924" t="s">
        <v>837</v>
      </c>
      <c r="J3272" s="924" t="s">
        <v>859</v>
      </c>
      <c r="K3272" s="924" t="s">
        <v>924</v>
      </c>
      <c r="L3272" s="925">
        <v>14896.397933959999</v>
      </c>
      <c r="M3272" s="925">
        <v>0.142078744755054</v>
      </c>
    </row>
    <row r="3273" spans="1:13" ht="11.25" customHeight="1" x14ac:dyDescent="0.2">
      <c r="A3273" s="924" t="s">
        <v>853</v>
      </c>
      <c r="B3273" s="924" t="s">
        <v>1192</v>
      </c>
      <c r="C3273" s="924" t="s">
        <v>1193</v>
      </c>
      <c r="D3273" s="924" t="s">
        <v>1176</v>
      </c>
      <c r="E3273" s="924" t="s">
        <v>856</v>
      </c>
      <c r="F3273" s="924" t="s">
        <v>1004</v>
      </c>
      <c r="G3273" s="924" t="s">
        <v>858</v>
      </c>
      <c r="H3273" s="924" t="s">
        <v>836</v>
      </c>
      <c r="I3273" s="924" t="s">
        <v>837</v>
      </c>
      <c r="J3273" s="924" t="s">
        <v>859</v>
      </c>
      <c r="K3273" s="924" t="s">
        <v>926</v>
      </c>
      <c r="L3273" s="925">
        <v>9027.7640151977503</v>
      </c>
      <c r="M3273" s="925">
        <v>0.36840233574912401</v>
      </c>
    </row>
    <row r="3274" spans="1:13" ht="11.25" customHeight="1" x14ac:dyDescent="0.2">
      <c r="A3274" s="924" t="s">
        <v>853</v>
      </c>
      <c r="B3274" s="924" t="s">
        <v>1192</v>
      </c>
      <c r="C3274" s="924" t="s">
        <v>1193</v>
      </c>
      <c r="D3274" s="924" t="s">
        <v>1176</v>
      </c>
      <c r="E3274" s="924" t="s">
        <v>856</v>
      </c>
      <c r="F3274" s="924" t="s">
        <v>1005</v>
      </c>
      <c r="G3274" s="924" t="s">
        <v>858</v>
      </c>
      <c r="H3274" s="924" t="s">
        <v>836</v>
      </c>
      <c r="I3274" s="924" t="s">
        <v>837</v>
      </c>
      <c r="J3274" s="924" t="s">
        <v>859</v>
      </c>
      <c r="K3274" s="924" t="s">
        <v>1006</v>
      </c>
      <c r="L3274" s="925">
        <v>13625.5265655518</v>
      </c>
      <c r="M3274" s="925">
        <v>0.10553663206519601</v>
      </c>
    </row>
    <row r="3275" spans="1:13" ht="11.25" customHeight="1" x14ac:dyDescent="0.2">
      <c r="A3275" s="924" t="s">
        <v>853</v>
      </c>
      <c r="B3275" s="924" t="s">
        <v>1192</v>
      </c>
      <c r="C3275" s="924" t="s">
        <v>1193</v>
      </c>
      <c r="D3275" s="924" t="s">
        <v>1176</v>
      </c>
      <c r="E3275" s="924" t="s">
        <v>856</v>
      </c>
      <c r="F3275" s="924" t="s">
        <v>1007</v>
      </c>
      <c r="G3275" s="924" t="s">
        <v>858</v>
      </c>
      <c r="H3275" s="924" t="s">
        <v>836</v>
      </c>
      <c r="I3275" s="924" t="s">
        <v>837</v>
      </c>
      <c r="J3275" s="924" t="s">
        <v>859</v>
      </c>
      <c r="K3275" s="924" t="s">
        <v>928</v>
      </c>
      <c r="L3275" s="925">
        <v>6272.9844436645499</v>
      </c>
      <c r="M3275" s="925">
        <v>0.273536452281405</v>
      </c>
    </row>
    <row r="3276" spans="1:13" ht="11.25" customHeight="1" x14ac:dyDescent="0.2">
      <c r="A3276" s="924" t="s">
        <v>853</v>
      </c>
      <c r="B3276" s="924" t="s">
        <v>1192</v>
      </c>
      <c r="C3276" s="924" t="s">
        <v>1193</v>
      </c>
      <c r="D3276" s="924" t="s">
        <v>1176</v>
      </c>
      <c r="E3276" s="924" t="s">
        <v>856</v>
      </c>
      <c r="F3276" s="924" t="s">
        <v>1008</v>
      </c>
      <c r="G3276" s="924" t="s">
        <v>858</v>
      </c>
      <c r="H3276" s="924" t="s">
        <v>836</v>
      </c>
      <c r="I3276" s="924" t="s">
        <v>837</v>
      </c>
      <c r="J3276" s="924" t="s">
        <v>859</v>
      </c>
      <c r="K3276" s="924" t="s">
        <v>1009</v>
      </c>
      <c r="L3276" s="925">
        <v>1462.3616657257101</v>
      </c>
      <c r="M3276" s="925">
        <v>1.19134109368133E-2</v>
      </c>
    </row>
    <row r="3277" spans="1:13" ht="11.25" customHeight="1" x14ac:dyDescent="0.2">
      <c r="A3277" s="924" t="s">
        <v>853</v>
      </c>
      <c r="B3277" s="924" t="s">
        <v>1192</v>
      </c>
      <c r="C3277" s="924" t="s">
        <v>1193</v>
      </c>
      <c r="D3277" s="924" t="s">
        <v>1176</v>
      </c>
      <c r="E3277" s="924" t="s">
        <v>856</v>
      </c>
      <c r="F3277" s="924" t="s">
        <v>1010</v>
      </c>
      <c r="G3277" s="924" t="s">
        <v>858</v>
      </c>
      <c r="H3277" s="924" t="s">
        <v>836</v>
      </c>
      <c r="I3277" s="924" t="s">
        <v>837</v>
      </c>
      <c r="J3277" s="924" t="s">
        <v>859</v>
      </c>
      <c r="K3277" s="924" t="s">
        <v>1011</v>
      </c>
      <c r="L3277" s="925">
        <v>19.192373335361498</v>
      </c>
      <c r="M3277" s="925">
        <v>8.8312326526818197E-4</v>
      </c>
    </row>
    <row r="3278" spans="1:13" ht="11.25" customHeight="1" x14ac:dyDescent="0.2">
      <c r="A3278" s="924" t="s">
        <v>853</v>
      </c>
      <c r="B3278" s="924" t="s">
        <v>1192</v>
      </c>
      <c r="C3278" s="924" t="s">
        <v>1193</v>
      </c>
      <c r="D3278" s="924" t="s">
        <v>1176</v>
      </c>
      <c r="E3278" s="924" t="s">
        <v>856</v>
      </c>
      <c r="F3278" s="924" t="s">
        <v>1012</v>
      </c>
      <c r="G3278" s="924" t="s">
        <v>858</v>
      </c>
      <c r="H3278" s="924" t="s">
        <v>836</v>
      </c>
      <c r="I3278" s="924" t="s">
        <v>837</v>
      </c>
      <c r="J3278" s="924" t="s">
        <v>859</v>
      </c>
      <c r="K3278" s="924" t="s">
        <v>891</v>
      </c>
      <c r="L3278" s="925">
        <v>1406.5314273834199</v>
      </c>
      <c r="M3278" s="925">
        <v>1.86425146562215E-2</v>
      </c>
    </row>
    <row r="3279" spans="1:13" ht="11.25" customHeight="1" x14ac:dyDescent="0.2">
      <c r="A3279" s="924" t="s">
        <v>853</v>
      </c>
      <c r="B3279" s="924" t="s">
        <v>1192</v>
      </c>
      <c r="C3279" s="924" t="s">
        <v>1193</v>
      </c>
      <c r="D3279" s="924" t="s">
        <v>1176</v>
      </c>
      <c r="E3279" s="924" t="s">
        <v>856</v>
      </c>
      <c r="F3279" s="924" t="s">
        <v>1013</v>
      </c>
      <c r="G3279" s="924" t="s">
        <v>858</v>
      </c>
      <c r="H3279" s="924" t="s">
        <v>836</v>
      </c>
      <c r="I3279" s="924" t="s">
        <v>837</v>
      </c>
      <c r="J3279" s="924" t="s">
        <v>863</v>
      </c>
      <c r="K3279" s="924" t="s">
        <v>931</v>
      </c>
      <c r="L3279" s="925">
        <v>229.54391193389901</v>
      </c>
      <c r="M3279" s="925">
        <v>8.3906587032060997E-3</v>
      </c>
    </row>
    <row r="3280" spans="1:13" ht="11.25" customHeight="1" x14ac:dyDescent="0.2">
      <c r="A3280" s="924" t="s">
        <v>853</v>
      </c>
      <c r="B3280" s="924" t="s">
        <v>1192</v>
      </c>
      <c r="C3280" s="924" t="s">
        <v>1193</v>
      </c>
      <c r="D3280" s="924" t="s">
        <v>1176</v>
      </c>
      <c r="E3280" s="924" t="s">
        <v>856</v>
      </c>
      <c r="F3280" s="924" t="s">
        <v>1015</v>
      </c>
      <c r="G3280" s="924" t="s">
        <v>858</v>
      </c>
      <c r="H3280" s="924" t="s">
        <v>836</v>
      </c>
      <c r="I3280" s="924" t="s">
        <v>837</v>
      </c>
      <c r="J3280" s="924" t="s">
        <v>870</v>
      </c>
      <c r="K3280" s="924" t="s">
        <v>1016</v>
      </c>
      <c r="L3280" s="925">
        <v>0.47701553965453097</v>
      </c>
      <c r="M3280" s="925">
        <v>5.79562051397642E-6</v>
      </c>
    </row>
    <row r="3281" spans="1:13" ht="11.25" customHeight="1" x14ac:dyDescent="0.2">
      <c r="A3281" s="924" t="s">
        <v>853</v>
      </c>
      <c r="B3281" s="924" t="s">
        <v>1192</v>
      </c>
      <c r="C3281" s="924" t="s">
        <v>1193</v>
      </c>
      <c r="D3281" s="924" t="s">
        <v>1176</v>
      </c>
      <c r="E3281" s="924" t="s">
        <v>856</v>
      </c>
      <c r="F3281" s="924" t="s">
        <v>1038</v>
      </c>
      <c r="G3281" s="924" t="s">
        <v>858</v>
      </c>
      <c r="H3281" s="924" t="s">
        <v>836</v>
      </c>
      <c r="I3281" s="924" t="s">
        <v>837</v>
      </c>
      <c r="J3281" s="924" t="s">
        <v>863</v>
      </c>
      <c r="K3281" s="924" t="s">
        <v>935</v>
      </c>
      <c r="L3281" s="925">
        <v>1452.6084671020501</v>
      </c>
      <c r="M3281" s="925">
        <v>1.5721375960311E-2</v>
      </c>
    </row>
    <row r="3282" spans="1:13" ht="11.25" customHeight="1" x14ac:dyDescent="0.2">
      <c r="A3282" s="924" t="s">
        <v>853</v>
      </c>
      <c r="B3282" s="924" t="s">
        <v>1192</v>
      </c>
      <c r="C3282" s="924" t="s">
        <v>1193</v>
      </c>
      <c r="D3282" s="924" t="s">
        <v>1176</v>
      </c>
      <c r="E3282" s="924" t="s">
        <v>856</v>
      </c>
      <c r="F3282" s="924" t="s">
        <v>1071</v>
      </c>
      <c r="G3282" s="924" t="s">
        <v>858</v>
      </c>
      <c r="H3282" s="924" t="s">
        <v>836</v>
      </c>
      <c r="I3282" s="924" t="s">
        <v>837</v>
      </c>
      <c r="J3282" s="924" t="s">
        <v>859</v>
      </c>
      <c r="K3282" s="924" t="s">
        <v>1072</v>
      </c>
      <c r="L3282" s="925">
        <v>11711.349929809599</v>
      </c>
      <c r="M3282" s="925">
        <v>0.104157246329123</v>
      </c>
    </row>
    <row r="3283" spans="1:13" ht="11.25" customHeight="1" x14ac:dyDescent="0.2">
      <c r="A3283" s="924" t="s">
        <v>853</v>
      </c>
      <c r="B3283" s="924" t="s">
        <v>1192</v>
      </c>
      <c r="C3283" s="924" t="s">
        <v>1193</v>
      </c>
      <c r="D3283" s="924" t="s">
        <v>1176</v>
      </c>
      <c r="E3283" s="924" t="s">
        <v>856</v>
      </c>
      <c r="F3283" s="924" t="s">
        <v>1001</v>
      </c>
      <c r="G3283" s="924" t="s">
        <v>858</v>
      </c>
      <c r="H3283" s="924" t="s">
        <v>836</v>
      </c>
      <c r="I3283" s="924" t="s">
        <v>837</v>
      </c>
      <c r="J3283" s="924" t="s">
        <v>863</v>
      </c>
      <c r="K3283" s="924" t="s">
        <v>915</v>
      </c>
      <c r="L3283" s="925">
        <v>56.857324600219698</v>
      </c>
      <c r="M3283" s="925">
        <v>1.7372334230287799E-3</v>
      </c>
    </row>
    <row r="3284" spans="1:13" ht="11.25" customHeight="1" x14ac:dyDescent="0.2">
      <c r="A3284" s="924" t="s">
        <v>853</v>
      </c>
      <c r="B3284" s="924" t="s">
        <v>1192</v>
      </c>
      <c r="C3284" s="924" t="s">
        <v>1193</v>
      </c>
      <c r="D3284" s="924" t="s">
        <v>1176</v>
      </c>
      <c r="E3284" s="924" t="s">
        <v>856</v>
      </c>
      <c r="F3284" s="924" t="s">
        <v>1020</v>
      </c>
      <c r="G3284" s="924" t="s">
        <v>858</v>
      </c>
      <c r="H3284" s="924" t="s">
        <v>836</v>
      </c>
      <c r="I3284" s="924" t="s">
        <v>837</v>
      </c>
      <c r="J3284" s="924" t="s">
        <v>863</v>
      </c>
      <c r="K3284" s="924" t="s">
        <v>866</v>
      </c>
      <c r="L3284" s="925">
        <v>16667.638183593801</v>
      </c>
      <c r="M3284" s="925">
        <v>0.404566328084911</v>
      </c>
    </row>
    <row r="3285" spans="1:13" ht="11.25" customHeight="1" x14ac:dyDescent="0.2">
      <c r="A3285" s="924" t="s">
        <v>853</v>
      </c>
      <c r="B3285" s="924" t="s">
        <v>1192</v>
      </c>
      <c r="C3285" s="924" t="s">
        <v>1193</v>
      </c>
      <c r="D3285" s="924" t="s">
        <v>1176</v>
      </c>
      <c r="E3285" s="924" t="s">
        <v>856</v>
      </c>
      <c r="F3285" s="924" t="s">
        <v>1021</v>
      </c>
      <c r="G3285" s="924" t="s">
        <v>858</v>
      </c>
      <c r="H3285" s="924" t="s">
        <v>836</v>
      </c>
      <c r="I3285" s="924" t="s">
        <v>837</v>
      </c>
      <c r="J3285" s="924" t="s">
        <v>863</v>
      </c>
      <c r="K3285" s="924" t="s">
        <v>868</v>
      </c>
      <c r="L3285" s="925">
        <v>2095.85740470886</v>
      </c>
      <c r="M3285" s="925">
        <v>1.12656027340563E-2</v>
      </c>
    </row>
    <row r="3286" spans="1:13" ht="11.25" customHeight="1" x14ac:dyDescent="0.2">
      <c r="A3286" s="924" t="s">
        <v>853</v>
      </c>
      <c r="B3286" s="924" t="s">
        <v>1192</v>
      </c>
      <c r="C3286" s="924" t="s">
        <v>1193</v>
      </c>
      <c r="D3286" s="924" t="s">
        <v>1176</v>
      </c>
      <c r="E3286" s="924" t="s">
        <v>856</v>
      </c>
      <c r="F3286" s="924" t="s">
        <v>1022</v>
      </c>
      <c r="G3286" s="924" t="s">
        <v>858</v>
      </c>
      <c r="H3286" s="924" t="s">
        <v>836</v>
      </c>
      <c r="I3286" s="924" t="s">
        <v>837</v>
      </c>
      <c r="J3286" s="924" t="s">
        <v>940</v>
      </c>
      <c r="K3286" s="924" t="s">
        <v>1023</v>
      </c>
      <c r="L3286" s="925">
        <v>0.56156681105494499</v>
      </c>
      <c r="M3286" s="925">
        <v>2.52250557222777E-5</v>
      </c>
    </row>
    <row r="3287" spans="1:13" ht="11.25" customHeight="1" x14ac:dyDescent="0.2">
      <c r="A3287" s="924" t="s">
        <v>853</v>
      </c>
      <c r="B3287" s="924" t="s">
        <v>1192</v>
      </c>
      <c r="C3287" s="924" t="s">
        <v>1193</v>
      </c>
      <c r="D3287" s="924" t="s">
        <v>1176</v>
      </c>
      <c r="E3287" s="924" t="s">
        <v>856</v>
      </c>
      <c r="F3287" s="924" t="s">
        <v>1024</v>
      </c>
      <c r="G3287" s="924" t="s">
        <v>858</v>
      </c>
      <c r="H3287" s="924" t="s">
        <v>836</v>
      </c>
      <c r="I3287" s="924" t="s">
        <v>837</v>
      </c>
      <c r="J3287" s="924" t="s">
        <v>940</v>
      </c>
      <c r="K3287" s="924" t="s">
        <v>1025</v>
      </c>
      <c r="L3287" s="925">
        <v>149.12113761901901</v>
      </c>
      <c r="M3287" s="925">
        <v>2.45304694590232E-3</v>
      </c>
    </row>
    <row r="3288" spans="1:13" ht="11.25" customHeight="1" x14ac:dyDescent="0.2">
      <c r="A3288" s="924" t="s">
        <v>853</v>
      </c>
      <c r="B3288" s="924" t="s">
        <v>1192</v>
      </c>
      <c r="C3288" s="924" t="s">
        <v>1193</v>
      </c>
      <c r="D3288" s="924" t="s">
        <v>1176</v>
      </c>
      <c r="E3288" s="924" t="s">
        <v>856</v>
      </c>
      <c r="F3288" s="924" t="s">
        <v>1026</v>
      </c>
      <c r="G3288" s="924" t="s">
        <v>858</v>
      </c>
      <c r="H3288" s="924" t="s">
        <v>836</v>
      </c>
      <c r="I3288" s="924" t="s">
        <v>837</v>
      </c>
      <c r="J3288" s="924" t="s">
        <v>940</v>
      </c>
      <c r="K3288" s="924" t="s">
        <v>1027</v>
      </c>
      <c r="L3288" s="925">
        <v>3936.1139469146701</v>
      </c>
      <c r="M3288" s="925">
        <v>0.16612828597453699</v>
      </c>
    </row>
    <row r="3289" spans="1:13" ht="11.25" customHeight="1" x14ac:dyDescent="0.2">
      <c r="A3289" s="924" t="s">
        <v>853</v>
      </c>
      <c r="B3289" s="924" t="s">
        <v>1192</v>
      </c>
      <c r="C3289" s="924" t="s">
        <v>1193</v>
      </c>
      <c r="D3289" s="924" t="s">
        <v>1176</v>
      </c>
      <c r="E3289" s="924" t="s">
        <v>856</v>
      </c>
      <c r="F3289" s="924" t="s">
        <v>1028</v>
      </c>
      <c r="G3289" s="924" t="s">
        <v>858</v>
      </c>
      <c r="H3289" s="924" t="s">
        <v>836</v>
      </c>
      <c r="I3289" s="924" t="s">
        <v>837</v>
      </c>
      <c r="J3289" s="924" t="s">
        <v>940</v>
      </c>
      <c r="K3289" s="924" t="s">
        <v>1029</v>
      </c>
      <c r="L3289" s="925">
        <v>812.413957834244</v>
      </c>
      <c r="M3289" s="925">
        <v>4.4068719054678199E-2</v>
      </c>
    </row>
    <row r="3290" spans="1:13" ht="11.25" customHeight="1" x14ac:dyDescent="0.2">
      <c r="A3290" s="924" t="s">
        <v>853</v>
      </c>
      <c r="B3290" s="924" t="s">
        <v>1192</v>
      </c>
      <c r="C3290" s="924" t="s">
        <v>1193</v>
      </c>
      <c r="D3290" s="924" t="s">
        <v>1176</v>
      </c>
      <c r="E3290" s="924" t="s">
        <v>856</v>
      </c>
      <c r="F3290" s="924" t="s">
        <v>1030</v>
      </c>
      <c r="G3290" s="924" t="s">
        <v>858</v>
      </c>
      <c r="H3290" s="924" t="s">
        <v>836</v>
      </c>
      <c r="I3290" s="924" t="s">
        <v>837</v>
      </c>
      <c r="J3290" s="924" t="s">
        <v>940</v>
      </c>
      <c r="K3290" s="924" t="s">
        <v>941</v>
      </c>
      <c r="L3290" s="925">
        <v>5365.7871932983398</v>
      </c>
      <c r="M3290" s="925">
        <v>0.10079393781825299</v>
      </c>
    </row>
    <row r="3291" spans="1:13" ht="11.25" customHeight="1" x14ac:dyDescent="0.2">
      <c r="A3291" s="924" t="s">
        <v>853</v>
      </c>
      <c r="B3291" s="924" t="s">
        <v>1192</v>
      </c>
      <c r="C3291" s="924" t="s">
        <v>1193</v>
      </c>
      <c r="D3291" s="924" t="s">
        <v>1176</v>
      </c>
      <c r="E3291" s="924" t="s">
        <v>856</v>
      </c>
      <c r="F3291" s="924" t="s">
        <v>1031</v>
      </c>
      <c r="G3291" s="924" t="s">
        <v>858</v>
      </c>
      <c r="H3291" s="924" t="s">
        <v>836</v>
      </c>
      <c r="I3291" s="924" t="s">
        <v>837</v>
      </c>
      <c r="J3291" s="924" t="s">
        <v>940</v>
      </c>
      <c r="K3291" s="924" t="s">
        <v>1032</v>
      </c>
      <c r="L3291" s="925">
        <v>632.13571190834</v>
      </c>
      <c r="M3291" s="925">
        <v>1.31895726965752E-2</v>
      </c>
    </row>
    <row r="3292" spans="1:13" ht="11.25" customHeight="1" x14ac:dyDescent="0.2">
      <c r="A3292" s="924" t="s">
        <v>853</v>
      </c>
      <c r="B3292" s="924" t="s">
        <v>1192</v>
      </c>
      <c r="C3292" s="924" t="s">
        <v>1193</v>
      </c>
      <c r="D3292" s="924" t="s">
        <v>1176</v>
      </c>
      <c r="E3292" s="924" t="s">
        <v>856</v>
      </c>
      <c r="F3292" s="924" t="s">
        <v>1033</v>
      </c>
      <c r="G3292" s="924" t="s">
        <v>858</v>
      </c>
      <c r="H3292" s="924" t="s">
        <v>836</v>
      </c>
      <c r="I3292" s="924" t="s">
        <v>837</v>
      </c>
      <c r="J3292" s="924" t="s">
        <v>940</v>
      </c>
      <c r="K3292" s="924" t="s">
        <v>1034</v>
      </c>
      <c r="L3292" s="925">
        <v>16.052898138761499</v>
      </c>
      <c r="M3292" s="925">
        <v>5.2641602442449198E-4</v>
      </c>
    </row>
    <row r="3293" spans="1:13" ht="11.25" customHeight="1" x14ac:dyDescent="0.2">
      <c r="A3293" s="924" t="s">
        <v>853</v>
      </c>
      <c r="B3293" s="924" t="s">
        <v>1192</v>
      </c>
      <c r="C3293" s="924" t="s">
        <v>1193</v>
      </c>
      <c r="D3293" s="924" t="s">
        <v>1176</v>
      </c>
      <c r="E3293" s="924" t="s">
        <v>856</v>
      </c>
      <c r="F3293" s="924" t="s">
        <v>916</v>
      </c>
      <c r="G3293" s="924" t="s">
        <v>911</v>
      </c>
      <c r="H3293" s="924" t="s">
        <v>665</v>
      </c>
      <c r="I3293" s="924" t="s">
        <v>706</v>
      </c>
      <c r="J3293" s="924" t="s">
        <v>859</v>
      </c>
      <c r="K3293" s="924" t="s">
        <v>909</v>
      </c>
      <c r="L3293" s="925">
        <v>32.262728542089498</v>
      </c>
      <c r="M3293" s="925">
        <v>1.4932345893612399E-3</v>
      </c>
    </row>
    <row r="3294" spans="1:13" ht="11.25" customHeight="1" x14ac:dyDescent="0.2">
      <c r="A3294" s="924" t="s">
        <v>853</v>
      </c>
      <c r="B3294" s="924" t="s">
        <v>1192</v>
      </c>
      <c r="C3294" s="924" t="s">
        <v>1193</v>
      </c>
      <c r="D3294" s="924" t="s">
        <v>1176</v>
      </c>
      <c r="E3294" s="924" t="s">
        <v>856</v>
      </c>
      <c r="F3294" s="924" t="s">
        <v>1014</v>
      </c>
      <c r="G3294" s="924" t="s">
        <v>858</v>
      </c>
      <c r="H3294" s="924" t="s">
        <v>836</v>
      </c>
      <c r="I3294" s="924" t="s">
        <v>837</v>
      </c>
      <c r="J3294" s="924" t="s">
        <v>863</v>
      </c>
      <c r="K3294" s="924" t="s">
        <v>933</v>
      </c>
      <c r="L3294" s="925">
        <v>3325.4391632080101</v>
      </c>
      <c r="M3294" s="925">
        <v>2.3542601011740799E-2</v>
      </c>
    </row>
    <row r="3295" spans="1:13" ht="11.25" customHeight="1" x14ac:dyDescent="0.2">
      <c r="A3295" s="924" t="s">
        <v>853</v>
      </c>
      <c r="B3295" s="924" t="s">
        <v>1192</v>
      </c>
      <c r="C3295" s="924" t="s">
        <v>1193</v>
      </c>
      <c r="D3295" s="924" t="s">
        <v>1176</v>
      </c>
      <c r="E3295" s="924" t="s">
        <v>856</v>
      </c>
      <c r="F3295" s="924" t="s">
        <v>1039</v>
      </c>
      <c r="G3295" s="924" t="s">
        <v>981</v>
      </c>
      <c r="H3295" s="924" t="s">
        <v>835</v>
      </c>
      <c r="I3295" s="924" t="s">
        <v>1040</v>
      </c>
      <c r="J3295" s="924" t="s">
        <v>859</v>
      </c>
      <c r="K3295" s="924" t="s">
        <v>901</v>
      </c>
      <c r="L3295" s="925">
        <v>5.95497469604015</v>
      </c>
      <c r="M3295" s="925">
        <v>4.3940166433458199E-3</v>
      </c>
    </row>
    <row r="3296" spans="1:13" ht="11.25" customHeight="1" x14ac:dyDescent="0.2">
      <c r="A3296" s="924" t="s">
        <v>853</v>
      </c>
      <c r="B3296" s="924" t="s">
        <v>1192</v>
      </c>
      <c r="C3296" s="924" t="s">
        <v>1193</v>
      </c>
      <c r="D3296" s="924" t="s">
        <v>1176</v>
      </c>
      <c r="E3296" s="924" t="s">
        <v>856</v>
      </c>
      <c r="F3296" s="924" t="s">
        <v>1041</v>
      </c>
      <c r="G3296" s="924" t="s">
        <v>981</v>
      </c>
      <c r="H3296" s="924" t="s">
        <v>835</v>
      </c>
      <c r="I3296" s="924" t="s">
        <v>1040</v>
      </c>
      <c r="J3296" s="924" t="s">
        <v>859</v>
      </c>
      <c r="K3296" s="924" t="s">
        <v>891</v>
      </c>
      <c r="L3296" s="925">
        <v>25.517221182584802</v>
      </c>
      <c r="M3296" s="925">
        <v>1.2782114092260599E-2</v>
      </c>
    </row>
    <row r="3297" spans="1:13" ht="11.25" customHeight="1" x14ac:dyDescent="0.2">
      <c r="A3297" s="924" t="s">
        <v>853</v>
      </c>
      <c r="B3297" s="924" t="s">
        <v>1192</v>
      </c>
      <c r="C3297" s="924" t="s">
        <v>1193</v>
      </c>
      <c r="D3297" s="924" t="s">
        <v>1176</v>
      </c>
      <c r="E3297" s="924" t="s">
        <v>856</v>
      </c>
      <c r="F3297" s="924" t="s">
        <v>1042</v>
      </c>
      <c r="G3297" s="924" t="s">
        <v>981</v>
      </c>
      <c r="H3297" s="924" t="s">
        <v>835</v>
      </c>
      <c r="I3297" s="924" t="s">
        <v>998</v>
      </c>
      <c r="J3297" s="924" t="s">
        <v>956</v>
      </c>
      <c r="K3297" s="924" t="s">
        <v>1043</v>
      </c>
      <c r="L3297" s="925">
        <v>6.5254920795559901</v>
      </c>
      <c r="M3297" s="925">
        <v>1.1302899525617201E-2</v>
      </c>
    </row>
    <row r="3298" spans="1:13" ht="11.25" customHeight="1" x14ac:dyDescent="0.2">
      <c r="A3298" s="924" t="s">
        <v>853</v>
      </c>
      <c r="B3298" s="924" t="s">
        <v>1192</v>
      </c>
      <c r="C3298" s="924" t="s">
        <v>1193</v>
      </c>
      <c r="D3298" s="924" t="s">
        <v>1176</v>
      </c>
      <c r="E3298" s="924" t="s">
        <v>856</v>
      </c>
      <c r="F3298" s="924" t="s">
        <v>1044</v>
      </c>
      <c r="G3298" s="924" t="s">
        <v>981</v>
      </c>
      <c r="H3298" s="924" t="s">
        <v>835</v>
      </c>
      <c r="I3298" s="924" t="s">
        <v>1040</v>
      </c>
      <c r="J3298" s="924" t="s">
        <v>884</v>
      </c>
      <c r="K3298" s="924" t="s">
        <v>999</v>
      </c>
      <c r="L3298" s="925">
        <v>86.059841752052293</v>
      </c>
      <c r="M3298" s="925">
        <v>0.11848080888103101</v>
      </c>
    </row>
    <row r="3299" spans="1:13" ht="11.25" customHeight="1" x14ac:dyDescent="0.2">
      <c r="A3299" s="924" t="s">
        <v>853</v>
      </c>
      <c r="B3299" s="924" t="s">
        <v>1192</v>
      </c>
      <c r="C3299" s="924" t="s">
        <v>1193</v>
      </c>
      <c r="D3299" s="924" t="s">
        <v>1176</v>
      </c>
      <c r="E3299" s="924" t="s">
        <v>856</v>
      </c>
      <c r="F3299" s="924" t="s">
        <v>1045</v>
      </c>
      <c r="G3299" s="924" t="s">
        <v>981</v>
      </c>
      <c r="H3299" s="924" t="s">
        <v>835</v>
      </c>
      <c r="I3299" s="924" t="s">
        <v>1040</v>
      </c>
      <c r="J3299" s="924" t="s">
        <v>884</v>
      </c>
      <c r="K3299" s="924" t="s">
        <v>1046</v>
      </c>
      <c r="L3299" s="925">
        <v>818.88962554931595</v>
      </c>
      <c r="M3299" s="925">
        <v>0.83584736649936497</v>
      </c>
    </row>
    <row r="3300" spans="1:13" ht="11.25" customHeight="1" x14ac:dyDescent="0.2">
      <c r="A3300" s="924" t="s">
        <v>853</v>
      </c>
      <c r="B3300" s="924" t="s">
        <v>1192</v>
      </c>
      <c r="C3300" s="924" t="s">
        <v>1193</v>
      </c>
      <c r="D3300" s="924" t="s">
        <v>1176</v>
      </c>
      <c r="E3300" s="924" t="s">
        <v>856</v>
      </c>
      <c r="F3300" s="924" t="s">
        <v>1047</v>
      </c>
      <c r="G3300" s="924" t="s">
        <v>981</v>
      </c>
      <c r="H3300" s="924" t="s">
        <v>835</v>
      </c>
      <c r="I3300" s="924" t="s">
        <v>1040</v>
      </c>
      <c r="J3300" s="924" t="s">
        <v>884</v>
      </c>
      <c r="K3300" s="924" t="s">
        <v>1048</v>
      </c>
      <c r="L3300" s="925">
        <v>932.41563224792503</v>
      </c>
      <c r="M3300" s="925">
        <v>0.70092486403882504</v>
      </c>
    </row>
    <row r="3301" spans="1:13" ht="11.25" customHeight="1" x14ac:dyDescent="0.2">
      <c r="A3301" s="924" t="s">
        <v>853</v>
      </c>
      <c r="B3301" s="924" t="s">
        <v>1192</v>
      </c>
      <c r="C3301" s="924" t="s">
        <v>1193</v>
      </c>
      <c r="D3301" s="924" t="s">
        <v>1176</v>
      </c>
      <c r="E3301" s="924" t="s">
        <v>856</v>
      </c>
      <c r="F3301" s="924" t="s">
        <v>1049</v>
      </c>
      <c r="G3301" s="924" t="s">
        <v>981</v>
      </c>
      <c r="H3301" s="924" t="s">
        <v>835</v>
      </c>
      <c r="I3301" s="924" t="s">
        <v>1040</v>
      </c>
      <c r="J3301" s="924" t="s">
        <v>884</v>
      </c>
      <c r="K3301" s="924" t="s">
        <v>885</v>
      </c>
      <c r="L3301" s="925">
        <v>107.823253512383</v>
      </c>
      <c r="M3301" s="925">
        <v>0.102468877346837</v>
      </c>
    </row>
    <row r="3302" spans="1:13" ht="11.25" customHeight="1" x14ac:dyDescent="0.2">
      <c r="A3302" s="924" t="s">
        <v>853</v>
      </c>
      <c r="B3302" s="924" t="s">
        <v>1192</v>
      </c>
      <c r="C3302" s="924" t="s">
        <v>1193</v>
      </c>
      <c r="D3302" s="924" t="s">
        <v>1176</v>
      </c>
      <c r="E3302" s="924" t="s">
        <v>856</v>
      </c>
      <c r="F3302" s="924" t="s">
        <v>1050</v>
      </c>
      <c r="G3302" s="924" t="s">
        <v>981</v>
      </c>
      <c r="H3302" s="924" t="s">
        <v>835</v>
      </c>
      <c r="I3302" s="924" t="s">
        <v>1040</v>
      </c>
      <c r="J3302" s="924" t="s">
        <v>859</v>
      </c>
      <c r="K3302" s="924" t="s">
        <v>913</v>
      </c>
      <c r="L3302" s="925">
        <v>76.666753470897703</v>
      </c>
      <c r="M3302" s="925">
        <v>4.5401084657214603E-2</v>
      </c>
    </row>
    <row r="3303" spans="1:13" ht="11.25" customHeight="1" x14ac:dyDescent="0.2">
      <c r="A3303" s="924" t="s">
        <v>853</v>
      </c>
      <c r="B3303" s="924" t="s">
        <v>1192</v>
      </c>
      <c r="C3303" s="924" t="s">
        <v>1193</v>
      </c>
      <c r="D3303" s="924" t="s">
        <v>1176</v>
      </c>
      <c r="E3303" s="924" t="s">
        <v>856</v>
      </c>
      <c r="F3303" s="924" t="s">
        <v>1051</v>
      </c>
      <c r="G3303" s="924" t="s">
        <v>981</v>
      </c>
      <c r="H3303" s="924" t="s">
        <v>835</v>
      </c>
      <c r="I3303" s="924" t="s">
        <v>1040</v>
      </c>
      <c r="J3303" s="924" t="s">
        <v>859</v>
      </c>
      <c r="K3303" s="924" t="s">
        <v>889</v>
      </c>
      <c r="L3303" s="925">
        <v>0.57371187210082997</v>
      </c>
      <c r="M3303" s="925">
        <v>3.7294175217539299E-4</v>
      </c>
    </row>
    <row r="3304" spans="1:13" ht="11.25" customHeight="1" x14ac:dyDescent="0.2">
      <c r="A3304" s="924" t="s">
        <v>853</v>
      </c>
      <c r="B3304" s="924" t="s">
        <v>1192</v>
      </c>
      <c r="C3304" s="924" t="s">
        <v>1193</v>
      </c>
      <c r="D3304" s="924" t="s">
        <v>1176</v>
      </c>
      <c r="E3304" s="924" t="s">
        <v>856</v>
      </c>
      <c r="F3304" s="924" t="s">
        <v>1052</v>
      </c>
      <c r="G3304" s="924" t="s">
        <v>981</v>
      </c>
      <c r="H3304" s="924" t="s">
        <v>835</v>
      </c>
      <c r="I3304" s="924" t="s">
        <v>1040</v>
      </c>
      <c r="J3304" s="924" t="s">
        <v>859</v>
      </c>
      <c r="K3304" s="924" t="s">
        <v>860</v>
      </c>
      <c r="L3304" s="925">
        <v>144.40458154678299</v>
      </c>
      <c r="M3304" s="925">
        <v>0.10187625908292799</v>
      </c>
    </row>
    <row r="3305" spans="1:13" ht="11.25" customHeight="1" x14ac:dyDescent="0.2">
      <c r="A3305" s="924" t="s">
        <v>853</v>
      </c>
      <c r="B3305" s="924" t="s">
        <v>1192</v>
      </c>
      <c r="C3305" s="924" t="s">
        <v>1193</v>
      </c>
      <c r="D3305" s="924" t="s">
        <v>1176</v>
      </c>
      <c r="E3305" s="924" t="s">
        <v>856</v>
      </c>
      <c r="F3305" s="924" t="s">
        <v>1053</v>
      </c>
      <c r="G3305" s="924" t="s">
        <v>981</v>
      </c>
      <c r="H3305" s="924" t="s">
        <v>835</v>
      </c>
      <c r="I3305" s="924" t="s">
        <v>1040</v>
      </c>
      <c r="J3305" s="924" t="s">
        <v>859</v>
      </c>
      <c r="K3305" s="924" t="s">
        <v>893</v>
      </c>
      <c r="L3305" s="925">
        <v>135.93403077125501</v>
      </c>
      <c r="M3305" s="925">
        <v>8.2725582527928096E-2</v>
      </c>
    </row>
    <row r="3306" spans="1:13" ht="11.25" customHeight="1" x14ac:dyDescent="0.2">
      <c r="A3306" s="924" t="s">
        <v>853</v>
      </c>
      <c r="B3306" s="924" t="s">
        <v>1192</v>
      </c>
      <c r="C3306" s="924" t="s">
        <v>1193</v>
      </c>
      <c r="D3306" s="924" t="s">
        <v>1176</v>
      </c>
      <c r="E3306" s="924" t="s">
        <v>856</v>
      </c>
      <c r="F3306" s="924" t="s">
        <v>1054</v>
      </c>
      <c r="G3306" s="924" t="s">
        <v>981</v>
      </c>
      <c r="H3306" s="924" t="s">
        <v>835</v>
      </c>
      <c r="I3306" s="924" t="s">
        <v>998</v>
      </c>
      <c r="J3306" s="924" t="s">
        <v>875</v>
      </c>
      <c r="K3306" s="924" t="s">
        <v>880</v>
      </c>
      <c r="L3306" s="925">
        <v>7.1815102011896698E-2</v>
      </c>
      <c r="M3306" s="925">
        <v>1.6046421637838599E-4</v>
      </c>
    </row>
    <row r="3307" spans="1:13" ht="11.25" customHeight="1" x14ac:dyDescent="0.2">
      <c r="A3307" s="924" t="s">
        <v>853</v>
      </c>
      <c r="B3307" s="924" t="s">
        <v>1192</v>
      </c>
      <c r="C3307" s="924" t="s">
        <v>1193</v>
      </c>
      <c r="D3307" s="924" t="s">
        <v>1176</v>
      </c>
      <c r="E3307" s="924" t="s">
        <v>856</v>
      </c>
      <c r="F3307" s="924" t="s">
        <v>1055</v>
      </c>
      <c r="G3307" s="924" t="s">
        <v>981</v>
      </c>
      <c r="H3307" s="924" t="s">
        <v>835</v>
      </c>
      <c r="I3307" s="924" t="s">
        <v>1040</v>
      </c>
      <c r="J3307" s="924" t="s">
        <v>859</v>
      </c>
      <c r="K3307" s="924" t="s">
        <v>899</v>
      </c>
      <c r="L3307" s="925">
        <v>114.23434305191</v>
      </c>
      <c r="M3307" s="925">
        <v>8.0424147217058803E-2</v>
      </c>
    </row>
    <row r="3308" spans="1:13" ht="11.25" customHeight="1" x14ac:dyDescent="0.2">
      <c r="A3308" s="924" t="s">
        <v>853</v>
      </c>
      <c r="B3308" s="924" t="s">
        <v>1192</v>
      </c>
      <c r="C3308" s="924" t="s">
        <v>1193</v>
      </c>
      <c r="D3308" s="924" t="s">
        <v>1176</v>
      </c>
      <c r="E3308" s="924" t="s">
        <v>856</v>
      </c>
      <c r="F3308" s="924" t="s">
        <v>1056</v>
      </c>
      <c r="G3308" s="924" t="s">
        <v>981</v>
      </c>
      <c r="H3308" s="924" t="s">
        <v>835</v>
      </c>
      <c r="I3308" s="924" t="s">
        <v>998</v>
      </c>
      <c r="J3308" s="924" t="s">
        <v>875</v>
      </c>
      <c r="K3308" s="924" t="s">
        <v>878</v>
      </c>
      <c r="L3308" s="925">
        <v>207.04261732101401</v>
      </c>
      <c r="M3308" s="925">
        <v>0.39931279281154303</v>
      </c>
    </row>
    <row r="3309" spans="1:13" ht="11.25" customHeight="1" x14ac:dyDescent="0.2">
      <c r="A3309" s="924" t="s">
        <v>853</v>
      </c>
      <c r="B3309" s="924" t="s">
        <v>1192</v>
      </c>
      <c r="C3309" s="924" t="s">
        <v>1193</v>
      </c>
      <c r="D3309" s="924" t="s">
        <v>1176</v>
      </c>
      <c r="E3309" s="924" t="s">
        <v>856</v>
      </c>
      <c r="F3309" s="924" t="s">
        <v>1057</v>
      </c>
      <c r="G3309" s="924" t="s">
        <v>981</v>
      </c>
      <c r="H3309" s="924" t="s">
        <v>835</v>
      </c>
      <c r="I3309" s="924" t="s">
        <v>1040</v>
      </c>
      <c r="J3309" s="924" t="s">
        <v>859</v>
      </c>
      <c r="K3309" s="924" t="s">
        <v>903</v>
      </c>
      <c r="L3309" s="925">
        <v>238.40847325325001</v>
      </c>
      <c r="M3309" s="925">
        <v>0.14707028682642001</v>
      </c>
    </row>
    <row r="3310" spans="1:13" ht="11.25" customHeight="1" x14ac:dyDescent="0.2">
      <c r="A3310" s="924" t="s">
        <v>853</v>
      </c>
      <c r="B3310" s="924" t="s">
        <v>1192</v>
      </c>
      <c r="C3310" s="924" t="s">
        <v>1193</v>
      </c>
      <c r="D3310" s="924" t="s">
        <v>1176</v>
      </c>
      <c r="E3310" s="924" t="s">
        <v>856</v>
      </c>
      <c r="F3310" s="924" t="s">
        <v>1058</v>
      </c>
      <c r="G3310" s="924" t="s">
        <v>981</v>
      </c>
      <c r="H3310" s="924" t="s">
        <v>835</v>
      </c>
      <c r="I3310" s="924" t="s">
        <v>1040</v>
      </c>
      <c r="J3310" s="924" t="s">
        <v>859</v>
      </c>
      <c r="K3310" s="924" t="s">
        <v>905</v>
      </c>
      <c r="L3310" s="925">
        <v>83.606467247009306</v>
      </c>
      <c r="M3310" s="925">
        <v>6.6172346050734604E-2</v>
      </c>
    </row>
    <row r="3311" spans="1:13" ht="11.25" customHeight="1" x14ac:dyDescent="0.2">
      <c r="A3311" s="924" t="s">
        <v>853</v>
      </c>
      <c r="B3311" s="924" t="s">
        <v>1192</v>
      </c>
      <c r="C3311" s="924" t="s">
        <v>1193</v>
      </c>
      <c r="D3311" s="924" t="s">
        <v>1176</v>
      </c>
      <c r="E3311" s="924" t="s">
        <v>856</v>
      </c>
      <c r="F3311" s="924" t="s">
        <v>1059</v>
      </c>
      <c r="G3311" s="924" t="s">
        <v>981</v>
      </c>
      <c r="H3311" s="924" t="s">
        <v>835</v>
      </c>
      <c r="I3311" s="924" t="s">
        <v>1040</v>
      </c>
      <c r="J3311" s="924" t="s">
        <v>859</v>
      </c>
      <c r="K3311" s="924" t="s">
        <v>909</v>
      </c>
      <c r="L3311" s="925">
        <v>498.26101636886602</v>
      </c>
      <c r="M3311" s="925">
        <v>0.34438742650672799</v>
      </c>
    </row>
    <row r="3312" spans="1:13" ht="11.25" customHeight="1" x14ac:dyDescent="0.2">
      <c r="A3312" s="924" t="s">
        <v>853</v>
      </c>
      <c r="B3312" s="924" t="s">
        <v>1192</v>
      </c>
      <c r="C3312" s="924" t="s">
        <v>1193</v>
      </c>
      <c r="D3312" s="924" t="s">
        <v>1176</v>
      </c>
      <c r="E3312" s="924" t="s">
        <v>856</v>
      </c>
      <c r="F3312" s="924" t="s">
        <v>1060</v>
      </c>
      <c r="G3312" s="924" t="s">
        <v>981</v>
      </c>
      <c r="H3312" s="924" t="s">
        <v>835</v>
      </c>
      <c r="I3312" s="924" t="s">
        <v>1040</v>
      </c>
      <c r="J3312" s="924" t="s">
        <v>859</v>
      </c>
      <c r="K3312" s="924" t="s">
        <v>973</v>
      </c>
      <c r="L3312" s="925">
        <v>238.99403834342999</v>
      </c>
      <c r="M3312" s="925">
        <v>0.16260785641497899</v>
      </c>
    </row>
    <row r="3313" spans="1:13" ht="11.25" customHeight="1" x14ac:dyDescent="0.2">
      <c r="A3313" s="924" t="s">
        <v>853</v>
      </c>
      <c r="B3313" s="924" t="s">
        <v>1192</v>
      </c>
      <c r="C3313" s="924" t="s">
        <v>1193</v>
      </c>
      <c r="D3313" s="924" t="s">
        <v>1176</v>
      </c>
      <c r="E3313" s="924" t="s">
        <v>856</v>
      </c>
      <c r="F3313" s="924" t="s">
        <v>1061</v>
      </c>
      <c r="G3313" s="924" t="s">
        <v>981</v>
      </c>
      <c r="H3313" s="924" t="s">
        <v>835</v>
      </c>
      <c r="I3313" s="924" t="s">
        <v>1040</v>
      </c>
      <c r="J3313" s="924" t="s">
        <v>859</v>
      </c>
      <c r="K3313" s="924" t="s">
        <v>918</v>
      </c>
      <c r="L3313" s="925">
        <v>18.5131733864546</v>
      </c>
      <c r="M3313" s="925">
        <v>8.1538780068513006E-3</v>
      </c>
    </row>
    <row r="3314" spans="1:13" ht="11.25" customHeight="1" x14ac:dyDescent="0.2">
      <c r="A3314" s="924" t="s">
        <v>853</v>
      </c>
      <c r="B3314" s="924" t="s">
        <v>1192</v>
      </c>
      <c r="C3314" s="924" t="s">
        <v>1193</v>
      </c>
      <c r="D3314" s="924" t="s">
        <v>1176</v>
      </c>
      <c r="E3314" s="924" t="s">
        <v>856</v>
      </c>
      <c r="F3314" s="924" t="s">
        <v>1062</v>
      </c>
      <c r="G3314" s="924" t="s">
        <v>981</v>
      </c>
      <c r="H3314" s="924" t="s">
        <v>835</v>
      </c>
      <c r="I3314" s="924" t="s">
        <v>1040</v>
      </c>
      <c r="J3314" s="924" t="s">
        <v>859</v>
      </c>
      <c r="K3314" s="924" t="s">
        <v>920</v>
      </c>
      <c r="L3314" s="925">
        <v>32.256039321422598</v>
      </c>
      <c r="M3314" s="925">
        <v>2.1839621694425701E-2</v>
      </c>
    </row>
    <row r="3315" spans="1:13" ht="11.25" customHeight="1" x14ac:dyDescent="0.2">
      <c r="A3315" s="924" t="s">
        <v>853</v>
      </c>
      <c r="B3315" s="924" t="s">
        <v>1192</v>
      </c>
      <c r="C3315" s="924" t="s">
        <v>1193</v>
      </c>
      <c r="D3315" s="924" t="s">
        <v>1176</v>
      </c>
      <c r="E3315" s="924" t="s">
        <v>856</v>
      </c>
      <c r="F3315" s="924" t="s">
        <v>1063</v>
      </c>
      <c r="G3315" s="924" t="s">
        <v>981</v>
      </c>
      <c r="H3315" s="924" t="s">
        <v>835</v>
      </c>
      <c r="I3315" s="924" t="s">
        <v>1040</v>
      </c>
      <c r="J3315" s="924" t="s">
        <v>859</v>
      </c>
      <c r="K3315" s="924" t="s">
        <v>922</v>
      </c>
      <c r="L3315" s="925">
        <v>28.347341388463999</v>
      </c>
      <c r="M3315" s="925">
        <v>5.1277803395350903E-3</v>
      </c>
    </row>
    <row r="3316" spans="1:13" ht="11.25" customHeight="1" x14ac:dyDescent="0.2">
      <c r="A3316" s="924" t="s">
        <v>853</v>
      </c>
      <c r="B3316" s="924" t="s">
        <v>1192</v>
      </c>
      <c r="C3316" s="924" t="s">
        <v>1193</v>
      </c>
      <c r="D3316" s="924" t="s">
        <v>1176</v>
      </c>
      <c r="E3316" s="924" t="s">
        <v>856</v>
      </c>
      <c r="F3316" s="924" t="s">
        <v>1064</v>
      </c>
      <c r="G3316" s="924" t="s">
        <v>981</v>
      </c>
      <c r="H3316" s="924" t="s">
        <v>835</v>
      </c>
      <c r="I3316" s="924" t="s">
        <v>1040</v>
      </c>
      <c r="J3316" s="924" t="s">
        <v>859</v>
      </c>
      <c r="K3316" s="924" t="s">
        <v>924</v>
      </c>
      <c r="L3316" s="925">
        <v>68.276250839233398</v>
      </c>
      <c r="M3316" s="925">
        <v>5.1045057916780899E-3</v>
      </c>
    </row>
    <row r="3317" spans="1:13" ht="11.25" customHeight="1" x14ac:dyDescent="0.2">
      <c r="A3317" s="924" t="s">
        <v>853</v>
      </c>
      <c r="B3317" s="924" t="s">
        <v>1192</v>
      </c>
      <c r="C3317" s="924" t="s">
        <v>1193</v>
      </c>
      <c r="D3317" s="924" t="s">
        <v>1176</v>
      </c>
      <c r="E3317" s="924" t="s">
        <v>856</v>
      </c>
      <c r="F3317" s="924" t="s">
        <v>1065</v>
      </c>
      <c r="G3317" s="924" t="s">
        <v>981</v>
      </c>
      <c r="H3317" s="924" t="s">
        <v>835</v>
      </c>
      <c r="I3317" s="924" t="s">
        <v>1040</v>
      </c>
      <c r="J3317" s="924" t="s">
        <v>859</v>
      </c>
      <c r="K3317" s="924" t="s">
        <v>926</v>
      </c>
      <c r="L3317" s="925">
        <v>163.555492639542</v>
      </c>
      <c r="M3317" s="925">
        <v>0.108642662293278</v>
      </c>
    </row>
    <row r="3318" spans="1:13" ht="11.25" customHeight="1" x14ac:dyDescent="0.2">
      <c r="A3318" s="924" t="s">
        <v>853</v>
      </c>
      <c r="B3318" s="924" t="s">
        <v>1192</v>
      </c>
      <c r="C3318" s="924" t="s">
        <v>1193</v>
      </c>
      <c r="D3318" s="924" t="s">
        <v>1176</v>
      </c>
      <c r="E3318" s="924" t="s">
        <v>856</v>
      </c>
      <c r="F3318" s="924" t="s">
        <v>1066</v>
      </c>
      <c r="G3318" s="924" t="s">
        <v>981</v>
      </c>
      <c r="H3318" s="924" t="s">
        <v>835</v>
      </c>
      <c r="I3318" s="924" t="s">
        <v>1040</v>
      </c>
      <c r="J3318" s="924" t="s">
        <v>859</v>
      </c>
      <c r="K3318" s="924" t="s">
        <v>928</v>
      </c>
      <c r="L3318" s="925">
        <v>111.02191483974499</v>
      </c>
      <c r="M3318" s="925">
        <v>5.6143600872019299E-2</v>
      </c>
    </row>
    <row r="3319" spans="1:13" ht="11.25" customHeight="1" x14ac:dyDescent="0.2">
      <c r="A3319" s="924" t="s">
        <v>853</v>
      </c>
      <c r="B3319" s="924" t="s">
        <v>1192</v>
      </c>
      <c r="C3319" s="924" t="s">
        <v>1193</v>
      </c>
      <c r="D3319" s="924" t="s">
        <v>1176</v>
      </c>
      <c r="E3319" s="924" t="s">
        <v>856</v>
      </c>
      <c r="F3319" s="924" t="s">
        <v>1067</v>
      </c>
      <c r="G3319" s="924" t="s">
        <v>981</v>
      </c>
      <c r="H3319" s="924" t="s">
        <v>835</v>
      </c>
      <c r="I3319" s="924" t="s">
        <v>1040</v>
      </c>
      <c r="J3319" s="924" t="s">
        <v>859</v>
      </c>
      <c r="K3319" s="924" t="s">
        <v>1011</v>
      </c>
      <c r="L3319" s="925">
        <v>36.905951142311103</v>
      </c>
      <c r="M3319" s="925">
        <v>2.61866783298501E-2</v>
      </c>
    </row>
    <row r="3320" spans="1:13" ht="11.25" customHeight="1" x14ac:dyDescent="0.2">
      <c r="A3320" s="924" t="s">
        <v>853</v>
      </c>
      <c r="B3320" s="924" t="s">
        <v>1192</v>
      </c>
      <c r="C3320" s="924" t="s">
        <v>1193</v>
      </c>
      <c r="D3320" s="924" t="s">
        <v>1176</v>
      </c>
      <c r="E3320" s="924" t="s">
        <v>856</v>
      </c>
      <c r="F3320" s="924" t="s">
        <v>1068</v>
      </c>
      <c r="G3320" s="924" t="s">
        <v>981</v>
      </c>
      <c r="H3320" s="924" t="s">
        <v>835</v>
      </c>
      <c r="I3320" s="924" t="s">
        <v>1040</v>
      </c>
      <c r="J3320" s="924" t="s">
        <v>859</v>
      </c>
      <c r="K3320" s="924" t="s">
        <v>897</v>
      </c>
      <c r="L3320" s="925">
        <v>271.02527284622198</v>
      </c>
      <c r="M3320" s="925">
        <v>0.18097581098209001</v>
      </c>
    </row>
    <row r="3321" spans="1:13" ht="11.25" customHeight="1" x14ac:dyDescent="0.2">
      <c r="A3321" s="924" t="s">
        <v>853</v>
      </c>
      <c r="B3321" s="924" t="s">
        <v>1192</v>
      </c>
      <c r="C3321" s="924" t="s">
        <v>1193</v>
      </c>
      <c r="D3321" s="924" t="s">
        <v>1176</v>
      </c>
      <c r="E3321" s="924" t="s">
        <v>856</v>
      </c>
      <c r="F3321" s="924" t="s">
        <v>1069</v>
      </c>
      <c r="G3321" s="924" t="s">
        <v>981</v>
      </c>
      <c r="H3321" s="924" t="s">
        <v>835</v>
      </c>
      <c r="I3321" s="924" t="s">
        <v>998</v>
      </c>
      <c r="J3321" s="924" t="s">
        <v>940</v>
      </c>
      <c r="K3321" s="924" t="s">
        <v>1070</v>
      </c>
      <c r="L3321" s="925">
        <v>204.43477743864099</v>
      </c>
      <c r="M3321" s="925">
        <v>0.37957221188116802</v>
      </c>
    </row>
    <row r="3322" spans="1:13" ht="11.25" customHeight="1" x14ac:dyDescent="0.2">
      <c r="A3322" s="924" t="s">
        <v>853</v>
      </c>
      <c r="B3322" s="924" t="s">
        <v>1192</v>
      </c>
      <c r="C3322" s="924" t="s">
        <v>1193</v>
      </c>
      <c r="D3322" s="924" t="s">
        <v>1176</v>
      </c>
      <c r="E3322" s="924" t="s">
        <v>856</v>
      </c>
      <c r="F3322" s="924" t="s">
        <v>910</v>
      </c>
      <c r="G3322" s="924" t="s">
        <v>911</v>
      </c>
      <c r="H3322" s="924" t="s">
        <v>665</v>
      </c>
      <c r="I3322" s="924" t="s">
        <v>706</v>
      </c>
      <c r="J3322" s="924" t="s">
        <v>859</v>
      </c>
      <c r="K3322" s="924" t="s">
        <v>905</v>
      </c>
      <c r="L3322" s="925">
        <v>13.4901135414839</v>
      </c>
      <c r="M3322" s="925">
        <v>1.10281166926143E-2</v>
      </c>
    </row>
    <row r="3323" spans="1:13" ht="11.25" customHeight="1" x14ac:dyDescent="0.2">
      <c r="A3323" s="924" t="s">
        <v>853</v>
      </c>
      <c r="B3323" s="924" t="s">
        <v>1192</v>
      </c>
      <c r="C3323" s="924" t="s">
        <v>1193</v>
      </c>
      <c r="D3323" s="924" t="s">
        <v>1176</v>
      </c>
      <c r="E3323" s="924" t="s">
        <v>856</v>
      </c>
      <c r="F3323" s="924" t="s">
        <v>1018</v>
      </c>
      <c r="G3323" s="924" t="s">
        <v>858</v>
      </c>
      <c r="H3323" s="924" t="s">
        <v>836</v>
      </c>
      <c r="I3323" s="924" t="s">
        <v>837</v>
      </c>
      <c r="J3323" s="924" t="s">
        <v>870</v>
      </c>
      <c r="K3323" s="924" t="s">
        <v>1019</v>
      </c>
      <c r="L3323" s="925">
        <v>86.140916198492107</v>
      </c>
      <c r="M3323" s="925">
        <v>6.4738615002468702E-4</v>
      </c>
    </row>
    <row r="3324" spans="1:13" ht="11.25" customHeight="1" x14ac:dyDescent="0.2">
      <c r="A3324" s="924" t="s">
        <v>853</v>
      </c>
      <c r="B3324" s="924" t="s">
        <v>1192</v>
      </c>
      <c r="C3324" s="924" t="s">
        <v>1193</v>
      </c>
      <c r="D3324" s="924" t="s">
        <v>1176</v>
      </c>
      <c r="E3324" s="924" t="s">
        <v>856</v>
      </c>
      <c r="F3324" s="924" t="s">
        <v>1073</v>
      </c>
      <c r="G3324" s="924" t="s">
        <v>981</v>
      </c>
      <c r="H3324" s="924" t="s">
        <v>835</v>
      </c>
      <c r="I3324" s="924" t="s">
        <v>998</v>
      </c>
      <c r="J3324" s="924" t="s">
        <v>884</v>
      </c>
      <c r="K3324" s="924" t="s">
        <v>1046</v>
      </c>
      <c r="L3324" s="925">
        <v>85.588096857070894</v>
      </c>
      <c r="M3324" s="925">
        <v>0.144509856123477</v>
      </c>
    </row>
    <row r="3325" spans="1:13" ht="11.25" customHeight="1" x14ac:dyDescent="0.2">
      <c r="A3325" s="924" t="s">
        <v>853</v>
      </c>
      <c r="B3325" s="924" t="s">
        <v>1192</v>
      </c>
      <c r="C3325" s="924" t="s">
        <v>1193</v>
      </c>
      <c r="D3325" s="924" t="s">
        <v>1176</v>
      </c>
      <c r="E3325" s="924" t="s">
        <v>856</v>
      </c>
      <c r="F3325" s="924" t="s">
        <v>1075</v>
      </c>
      <c r="G3325" s="924" t="s">
        <v>981</v>
      </c>
      <c r="H3325" s="924" t="s">
        <v>835</v>
      </c>
      <c r="I3325" s="924" t="s">
        <v>998</v>
      </c>
      <c r="J3325" s="924" t="s">
        <v>859</v>
      </c>
      <c r="K3325" s="924" t="s">
        <v>889</v>
      </c>
      <c r="L3325" s="925">
        <v>86.648927807807894</v>
      </c>
      <c r="M3325" s="925">
        <v>0.14023729169275601</v>
      </c>
    </row>
    <row r="3326" spans="1:13" ht="11.25" customHeight="1" x14ac:dyDescent="0.2">
      <c r="A3326" s="924" t="s">
        <v>853</v>
      </c>
      <c r="B3326" s="924" t="s">
        <v>1192</v>
      </c>
      <c r="C3326" s="924" t="s">
        <v>1193</v>
      </c>
      <c r="D3326" s="924" t="s">
        <v>1176</v>
      </c>
      <c r="E3326" s="924" t="s">
        <v>856</v>
      </c>
      <c r="F3326" s="924" t="s">
        <v>1076</v>
      </c>
      <c r="G3326" s="924" t="s">
        <v>981</v>
      </c>
      <c r="H3326" s="924" t="s">
        <v>835</v>
      </c>
      <c r="I3326" s="924" t="s">
        <v>998</v>
      </c>
      <c r="J3326" s="924" t="s">
        <v>859</v>
      </c>
      <c r="K3326" s="924" t="s">
        <v>860</v>
      </c>
      <c r="L3326" s="925">
        <v>5.6172607541084298</v>
      </c>
      <c r="M3326" s="925">
        <v>1.1605156963923899E-2</v>
      </c>
    </row>
    <row r="3327" spans="1:13" ht="11.25" customHeight="1" x14ac:dyDescent="0.2">
      <c r="A3327" s="924" t="s">
        <v>853</v>
      </c>
      <c r="B3327" s="924" t="s">
        <v>1192</v>
      </c>
      <c r="C3327" s="924" t="s">
        <v>1193</v>
      </c>
      <c r="D3327" s="924" t="s">
        <v>1176</v>
      </c>
      <c r="E3327" s="924" t="s">
        <v>856</v>
      </c>
      <c r="F3327" s="924" t="s">
        <v>1077</v>
      </c>
      <c r="G3327" s="924" t="s">
        <v>981</v>
      </c>
      <c r="H3327" s="924" t="s">
        <v>835</v>
      </c>
      <c r="I3327" s="924" t="s">
        <v>998</v>
      </c>
      <c r="J3327" s="924" t="s">
        <v>859</v>
      </c>
      <c r="K3327" s="924" t="s">
        <v>897</v>
      </c>
      <c r="L3327" s="925">
        <v>6.71444252133369</v>
      </c>
      <c r="M3327" s="925">
        <v>1.4061048961593801E-2</v>
      </c>
    </row>
    <row r="3328" spans="1:13" ht="11.25" customHeight="1" x14ac:dyDescent="0.2">
      <c r="A3328" s="924" t="s">
        <v>853</v>
      </c>
      <c r="B3328" s="924" t="s">
        <v>1192</v>
      </c>
      <c r="C3328" s="924" t="s">
        <v>1193</v>
      </c>
      <c r="D3328" s="924" t="s">
        <v>1176</v>
      </c>
      <c r="E3328" s="924" t="s">
        <v>856</v>
      </c>
      <c r="F3328" s="924" t="s">
        <v>1078</v>
      </c>
      <c r="G3328" s="924" t="s">
        <v>981</v>
      </c>
      <c r="H3328" s="924" t="s">
        <v>835</v>
      </c>
      <c r="I3328" s="924" t="s">
        <v>998</v>
      </c>
      <c r="J3328" s="924" t="s">
        <v>859</v>
      </c>
      <c r="K3328" s="924" t="s">
        <v>901</v>
      </c>
      <c r="L3328" s="925">
        <v>4.6526076563168303E-2</v>
      </c>
      <c r="M3328" s="925">
        <v>1.03958083855105E-4</v>
      </c>
    </row>
    <row r="3329" spans="1:13" ht="11.25" customHeight="1" x14ac:dyDescent="0.2">
      <c r="A3329" s="924" t="s">
        <v>853</v>
      </c>
      <c r="B3329" s="924" t="s">
        <v>1192</v>
      </c>
      <c r="C3329" s="924" t="s">
        <v>1193</v>
      </c>
      <c r="D3329" s="924" t="s">
        <v>1176</v>
      </c>
      <c r="E3329" s="924" t="s">
        <v>856</v>
      </c>
      <c r="F3329" s="924" t="s">
        <v>1079</v>
      </c>
      <c r="G3329" s="924" t="s">
        <v>981</v>
      </c>
      <c r="H3329" s="924" t="s">
        <v>835</v>
      </c>
      <c r="I3329" s="924" t="s">
        <v>998</v>
      </c>
      <c r="J3329" s="924" t="s">
        <v>859</v>
      </c>
      <c r="K3329" s="924" t="s">
        <v>909</v>
      </c>
      <c r="L3329" s="925">
        <v>223.749073982239</v>
      </c>
      <c r="M3329" s="925">
        <v>0.40070830890908798</v>
      </c>
    </row>
    <row r="3330" spans="1:13" ht="11.25" customHeight="1" x14ac:dyDescent="0.2">
      <c r="A3330" s="924" t="s">
        <v>853</v>
      </c>
      <c r="B3330" s="924" t="s">
        <v>1192</v>
      </c>
      <c r="C3330" s="924" t="s">
        <v>1193</v>
      </c>
      <c r="D3330" s="924" t="s">
        <v>1176</v>
      </c>
      <c r="E3330" s="924" t="s">
        <v>856</v>
      </c>
      <c r="F3330" s="924" t="s">
        <v>1080</v>
      </c>
      <c r="G3330" s="924" t="s">
        <v>981</v>
      </c>
      <c r="H3330" s="924" t="s">
        <v>835</v>
      </c>
      <c r="I3330" s="924" t="s">
        <v>998</v>
      </c>
      <c r="J3330" s="924" t="s">
        <v>859</v>
      </c>
      <c r="K3330" s="924" t="s">
        <v>920</v>
      </c>
      <c r="L3330" s="925">
        <v>1.3112434688955501</v>
      </c>
      <c r="M3330" s="925">
        <v>2.92984881161829E-3</v>
      </c>
    </row>
    <row r="3331" spans="1:13" ht="11.25" customHeight="1" x14ac:dyDescent="0.2">
      <c r="A3331" s="924" t="s">
        <v>853</v>
      </c>
      <c r="B3331" s="924" t="s">
        <v>1192</v>
      </c>
      <c r="C3331" s="924" t="s">
        <v>1193</v>
      </c>
      <c r="D3331" s="924" t="s">
        <v>1176</v>
      </c>
      <c r="E3331" s="924" t="s">
        <v>856</v>
      </c>
      <c r="F3331" s="924" t="s">
        <v>1081</v>
      </c>
      <c r="G3331" s="924" t="s">
        <v>981</v>
      </c>
      <c r="H3331" s="924" t="s">
        <v>835</v>
      </c>
      <c r="I3331" s="924" t="s">
        <v>998</v>
      </c>
      <c r="J3331" s="924" t="s">
        <v>863</v>
      </c>
      <c r="K3331" s="924" t="s">
        <v>935</v>
      </c>
      <c r="L3331" s="925">
        <v>2.3359755985438801</v>
      </c>
      <c r="M3331" s="925">
        <v>5.21951489645289E-3</v>
      </c>
    </row>
    <row r="3332" spans="1:13" ht="11.25" customHeight="1" x14ac:dyDescent="0.2">
      <c r="A3332" s="924" t="s">
        <v>853</v>
      </c>
      <c r="B3332" s="924" t="s">
        <v>1192</v>
      </c>
      <c r="C3332" s="924" t="s">
        <v>1193</v>
      </c>
      <c r="D3332" s="924" t="s">
        <v>1176</v>
      </c>
      <c r="E3332" s="924" t="s">
        <v>856</v>
      </c>
      <c r="F3332" s="924" t="s">
        <v>1082</v>
      </c>
      <c r="G3332" s="924" t="s">
        <v>981</v>
      </c>
      <c r="H3332" s="924" t="s">
        <v>835</v>
      </c>
      <c r="I3332" s="924" t="s">
        <v>998</v>
      </c>
      <c r="J3332" s="924" t="s">
        <v>875</v>
      </c>
      <c r="K3332" s="924" t="s">
        <v>952</v>
      </c>
      <c r="L3332" s="925">
        <v>1.25268514640629</v>
      </c>
      <c r="M3332" s="925">
        <v>2.7990027592750301E-3</v>
      </c>
    </row>
    <row r="3333" spans="1:13" ht="11.25" customHeight="1" x14ac:dyDescent="0.2">
      <c r="A3333" s="924" t="s">
        <v>853</v>
      </c>
      <c r="B3333" s="924" t="s">
        <v>1192</v>
      </c>
      <c r="C3333" s="924" t="s">
        <v>1193</v>
      </c>
      <c r="D3333" s="924" t="s">
        <v>1176</v>
      </c>
      <c r="E3333" s="924" t="s">
        <v>856</v>
      </c>
      <c r="F3333" s="924" t="s">
        <v>1083</v>
      </c>
      <c r="G3333" s="924" t="s">
        <v>981</v>
      </c>
      <c r="H3333" s="924" t="s">
        <v>835</v>
      </c>
      <c r="I3333" s="924" t="s">
        <v>998</v>
      </c>
      <c r="J3333" s="924" t="s">
        <v>940</v>
      </c>
      <c r="K3333" s="924" t="s">
        <v>1084</v>
      </c>
      <c r="L3333" s="925">
        <v>27.469590991735501</v>
      </c>
      <c r="M3333" s="925">
        <v>5.0185107538709403E-2</v>
      </c>
    </row>
    <row r="3334" spans="1:13" ht="11.25" customHeight="1" x14ac:dyDescent="0.2">
      <c r="A3334" s="924" t="s">
        <v>853</v>
      </c>
      <c r="B3334" s="924" t="s">
        <v>1192</v>
      </c>
      <c r="C3334" s="924" t="s">
        <v>1193</v>
      </c>
      <c r="D3334" s="924" t="s">
        <v>1176</v>
      </c>
      <c r="E3334" s="924" t="s">
        <v>856</v>
      </c>
      <c r="F3334" s="924" t="s">
        <v>1085</v>
      </c>
      <c r="G3334" s="924" t="s">
        <v>981</v>
      </c>
      <c r="H3334" s="924" t="s">
        <v>835</v>
      </c>
      <c r="I3334" s="924" t="s">
        <v>998</v>
      </c>
      <c r="J3334" s="924" t="s">
        <v>884</v>
      </c>
      <c r="K3334" s="924" t="s">
        <v>885</v>
      </c>
      <c r="L3334" s="925">
        <v>114.79876971244801</v>
      </c>
      <c r="M3334" s="925">
        <v>8.4323944291099906E-2</v>
      </c>
    </row>
    <row r="3335" spans="1:13" ht="11.25" customHeight="1" x14ac:dyDescent="0.2">
      <c r="A3335" s="924" t="s">
        <v>853</v>
      </c>
      <c r="B3335" s="924" t="s">
        <v>1192</v>
      </c>
      <c r="C3335" s="924" t="s">
        <v>1193</v>
      </c>
      <c r="D3335" s="924" t="s">
        <v>1176</v>
      </c>
      <c r="E3335" s="924" t="s">
        <v>856</v>
      </c>
      <c r="F3335" s="924" t="s">
        <v>1086</v>
      </c>
      <c r="G3335" s="924" t="s">
        <v>981</v>
      </c>
      <c r="H3335" s="924" t="s">
        <v>835</v>
      </c>
      <c r="I3335" s="924" t="s">
        <v>998</v>
      </c>
      <c r="J3335" s="924" t="s">
        <v>940</v>
      </c>
      <c r="K3335" s="924" t="s">
        <v>1087</v>
      </c>
      <c r="L3335" s="925">
        <v>367.60726928710898</v>
      </c>
      <c r="M3335" s="925">
        <v>0.70776708237826802</v>
      </c>
    </row>
    <row r="3336" spans="1:13" ht="11.25" customHeight="1" x14ac:dyDescent="0.2">
      <c r="A3336" s="924" t="s">
        <v>853</v>
      </c>
      <c r="B3336" s="924" t="s">
        <v>1192</v>
      </c>
      <c r="C3336" s="924" t="s">
        <v>1193</v>
      </c>
      <c r="D3336" s="924" t="s">
        <v>1176</v>
      </c>
      <c r="E3336" s="924" t="s">
        <v>856</v>
      </c>
      <c r="F3336" s="924" t="s">
        <v>1088</v>
      </c>
      <c r="G3336" s="924" t="s">
        <v>981</v>
      </c>
      <c r="H3336" s="924" t="s">
        <v>835</v>
      </c>
      <c r="I3336" s="924" t="s">
        <v>998</v>
      </c>
      <c r="J3336" s="924" t="s">
        <v>940</v>
      </c>
      <c r="K3336" s="924" t="s">
        <v>1089</v>
      </c>
      <c r="L3336" s="925">
        <v>1972.8028678894</v>
      </c>
      <c r="M3336" s="925">
        <v>3.6039308533072498</v>
      </c>
    </row>
    <row r="3337" spans="1:13" ht="11.25" customHeight="1" x14ac:dyDescent="0.2">
      <c r="A3337" s="924" t="s">
        <v>853</v>
      </c>
      <c r="B3337" s="924" t="s">
        <v>1192</v>
      </c>
      <c r="C3337" s="924" t="s">
        <v>1193</v>
      </c>
      <c r="D3337" s="924" t="s">
        <v>1176</v>
      </c>
      <c r="E3337" s="924" t="s">
        <v>856</v>
      </c>
      <c r="F3337" s="924" t="s">
        <v>1090</v>
      </c>
      <c r="G3337" s="924" t="s">
        <v>981</v>
      </c>
      <c r="H3337" s="924" t="s">
        <v>835</v>
      </c>
      <c r="I3337" s="924" t="s">
        <v>998</v>
      </c>
      <c r="J3337" s="924" t="s">
        <v>940</v>
      </c>
      <c r="K3337" s="924" t="s">
        <v>1091</v>
      </c>
      <c r="L3337" s="925">
        <v>509.376389503479</v>
      </c>
      <c r="M3337" s="925">
        <v>0.86749633401632298</v>
      </c>
    </row>
    <row r="3338" spans="1:13" ht="11.25" customHeight="1" x14ac:dyDescent="0.2">
      <c r="A3338" s="924" t="s">
        <v>853</v>
      </c>
      <c r="B3338" s="924" t="s">
        <v>1192</v>
      </c>
      <c r="C3338" s="924" t="s">
        <v>1193</v>
      </c>
      <c r="D3338" s="924" t="s">
        <v>1176</v>
      </c>
      <c r="E3338" s="924" t="s">
        <v>856</v>
      </c>
      <c r="F3338" s="924" t="s">
        <v>1092</v>
      </c>
      <c r="G3338" s="924" t="s">
        <v>981</v>
      </c>
      <c r="H3338" s="924" t="s">
        <v>835</v>
      </c>
      <c r="I3338" s="924" t="s">
        <v>998</v>
      </c>
      <c r="J3338" s="924" t="s">
        <v>940</v>
      </c>
      <c r="K3338" s="924" t="s">
        <v>1093</v>
      </c>
      <c r="L3338" s="925">
        <v>1719.9884862899801</v>
      </c>
      <c r="M3338" s="925">
        <v>3.4035860626027001</v>
      </c>
    </row>
    <row r="3339" spans="1:13" ht="11.25" customHeight="1" x14ac:dyDescent="0.2">
      <c r="A3339" s="924" t="s">
        <v>853</v>
      </c>
      <c r="B3339" s="924" t="s">
        <v>1192</v>
      </c>
      <c r="C3339" s="924" t="s">
        <v>1193</v>
      </c>
      <c r="D3339" s="924" t="s">
        <v>1176</v>
      </c>
      <c r="E3339" s="924" t="s">
        <v>856</v>
      </c>
      <c r="F3339" s="924" t="s">
        <v>1094</v>
      </c>
      <c r="G3339" s="924" t="s">
        <v>981</v>
      </c>
      <c r="H3339" s="924" t="s">
        <v>835</v>
      </c>
      <c r="I3339" s="924" t="s">
        <v>998</v>
      </c>
      <c r="J3339" s="924" t="s">
        <v>940</v>
      </c>
      <c r="K3339" s="924" t="s">
        <v>1095</v>
      </c>
      <c r="L3339" s="925">
        <v>327.833135604858</v>
      </c>
      <c r="M3339" s="925">
        <v>0.61145180044695702</v>
      </c>
    </row>
    <row r="3340" spans="1:13" ht="11.25" customHeight="1" x14ac:dyDescent="0.2">
      <c r="A3340" s="924" t="s">
        <v>853</v>
      </c>
      <c r="B3340" s="924" t="s">
        <v>1192</v>
      </c>
      <c r="C3340" s="924" t="s">
        <v>1193</v>
      </c>
      <c r="D3340" s="924" t="s">
        <v>1176</v>
      </c>
      <c r="E3340" s="924" t="s">
        <v>856</v>
      </c>
      <c r="F3340" s="924" t="s">
        <v>1096</v>
      </c>
      <c r="G3340" s="924" t="s">
        <v>981</v>
      </c>
      <c r="H3340" s="924" t="s">
        <v>835</v>
      </c>
      <c r="I3340" s="924" t="s">
        <v>998</v>
      </c>
      <c r="J3340" s="924" t="s">
        <v>940</v>
      </c>
      <c r="K3340" s="924" t="s">
        <v>1023</v>
      </c>
      <c r="L3340" s="925">
        <v>1606.0599017143199</v>
      </c>
      <c r="M3340" s="925">
        <v>3.0038771852850901</v>
      </c>
    </row>
    <row r="3341" spans="1:13" ht="11.25" customHeight="1" x14ac:dyDescent="0.2">
      <c r="A3341" s="924" t="s">
        <v>853</v>
      </c>
      <c r="B3341" s="924" t="s">
        <v>1192</v>
      </c>
      <c r="C3341" s="924" t="s">
        <v>1193</v>
      </c>
      <c r="D3341" s="924" t="s">
        <v>1176</v>
      </c>
      <c r="E3341" s="924" t="s">
        <v>856</v>
      </c>
      <c r="F3341" s="924" t="s">
        <v>1097</v>
      </c>
      <c r="G3341" s="924" t="s">
        <v>981</v>
      </c>
      <c r="H3341" s="924" t="s">
        <v>835</v>
      </c>
      <c r="I3341" s="924" t="s">
        <v>998</v>
      </c>
      <c r="J3341" s="924" t="s">
        <v>940</v>
      </c>
      <c r="K3341" s="924" t="s">
        <v>1098</v>
      </c>
      <c r="L3341" s="925">
        <v>164.01411628723099</v>
      </c>
      <c r="M3341" s="925">
        <v>1.1204584538936599</v>
      </c>
    </row>
    <row r="3342" spans="1:13" ht="11.25" customHeight="1" x14ac:dyDescent="0.2">
      <c r="A3342" s="924" t="s">
        <v>853</v>
      </c>
      <c r="B3342" s="924" t="s">
        <v>1192</v>
      </c>
      <c r="C3342" s="924" t="s">
        <v>1193</v>
      </c>
      <c r="D3342" s="924" t="s">
        <v>1176</v>
      </c>
      <c r="E3342" s="924" t="s">
        <v>856</v>
      </c>
      <c r="F3342" s="924" t="s">
        <v>1099</v>
      </c>
      <c r="G3342" s="924" t="s">
        <v>981</v>
      </c>
      <c r="H3342" s="924" t="s">
        <v>835</v>
      </c>
      <c r="I3342" s="924" t="s">
        <v>998</v>
      </c>
      <c r="J3342" s="924" t="s">
        <v>940</v>
      </c>
      <c r="K3342" s="924" t="s">
        <v>1025</v>
      </c>
      <c r="L3342" s="925">
        <v>591.520595550537</v>
      </c>
      <c r="M3342" s="925">
        <v>4.0356679558754003</v>
      </c>
    </row>
    <row r="3343" spans="1:13" ht="11.25" customHeight="1" x14ac:dyDescent="0.2">
      <c r="A3343" s="924" t="s">
        <v>853</v>
      </c>
      <c r="B3343" s="924" t="s">
        <v>1192</v>
      </c>
      <c r="C3343" s="924" t="s">
        <v>1193</v>
      </c>
      <c r="D3343" s="924" t="s">
        <v>1176</v>
      </c>
      <c r="E3343" s="924" t="s">
        <v>856</v>
      </c>
      <c r="F3343" s="924" t="s">
        <v>1100</v>
      </c>
      <c r="G3343" s="924" t="s">
        <v>981</v>
      </c>
      <c r="H3343" s="924" t="s">
        <v>835</v>
      </c>
      <c r="I3343" s="924" t="s">
        <v>998</v>
      </c>
      <c r="J3343" s="924" t="s">
        <v>940</v>
      </c>
      <c r="K3343" s="924" t="s">
        <v>1032</v>
      </c>
      <c r="L3343" s="925">
        <v>0.85700408462434996</v>
      </c>
      <c r="M3343" s="925">
        <v>1.7182057708851101E-3</v>
      </c>
    </row>
    <row r="3344" spans="1:13" ht="11.25" customHeight="1" x14ac:dyDescent="0.2">
      <c r="A3344" s="924" t="s">
        <v>853</v>
      </c>
      <c r="B3344" s="924" t="s">
        <v>1192</v>
      </c>
      <c r="C3344" s="924" t="s">
        <v>1193</v>
      </c>
      <c r="D3344" s="924" t="s">
        <v>1176</v>
      </c>
      <c r="E3344" s="924" t="s">
        <v>856</v>
      </c>
      <c r="F3344" s="924" t="s">
        <v>1101</v>
      </c>
      <c r="G3344" s="924" t="s">
        <v>981</v>
      </c>
      <c r="H3344" s="924" t="s">
        <v>835</v>
      </c>
      <c r="I3344" s="924" t="s">
        <v>998</v>
      </c>
      <c r="J3344" s="924" t="s">
        <v>870</v>
      </c>
      <c r="K3344" s="924" t="s">
        <v>961</v>
      </c>
      <c r="L3344" s="925">
        <v>0.122716820827918</v>
      </c>
      <c r="M3344" s="925">
        <v>2.0205007734830401E-4</v>
      </c>
    </row>
    <row r="3345" spans="1:13" ht="11.25" customHeight="1" x14ac:dyDescent="0.2">
      <c r="A3345" s="924" t="s">
        <v>853</v>
      </c>
      <c r="B3345" s="924" t="s">
        <v>1192</v>
      </c>
      <c r="C3345" s="924" t="s">
        <v>1193</v>
      </c>
      <c r="D3345" s="924" t="s">
        <v>1176</v>
      </c>
      <c r="E3345" s="924" t="s">
        <v>856</v>
      </c>
      <c r="F3345" s="924" t="s">
        <v>1102</v>
      </c>
      <c r="G3345" s="924" t="s">
        <v>981</v>
      </c>
      <c r="H3345" s="924" t="s">
        <v>835</v>
      </c>
      <c r="I3345" s="924" t="s">
        <v>998</v>
      </c>
      <c r="J3345" s="924" t="s">
        <v>875</v>
      </c>
      <c r="K3345" s="924" t="s">
        <v>876</v>
      </c>
      <c r="L3345" s="925">
        <v>31.030543386936198</v>
      </c>
      <c r="M3345" s="925">
        <v>6.2788933282718104E-2</v>
      </c>
    </row>
    <row r="3346" spans="1:13" ht="11.25" customHeight="1" x14ac:dyDescent="0.2">
      <c r="A3346" s="924" t="s">
        <v>853</v>
      </c>
      <c r="B3346" s="924" t="s">
        <v>1192</v>
      </c>
      <c r="C3346" s="924" t="s">
        <v>1193</v>
      </c>
      <c r="D3346" s="924" t="s">
        <v>1176</v>
      </c>
      <c r="E3346" s="924" t="s">
        <v>856</v>
      </c>
      <c r="F3346" s="924" t="s">
        <v>1103</v>
      </c>
      <c r="G3346" s="924" t="s">
        <v>981</v>
      </c>
      <c r="H3346" s="924" t="s">
        <v>835</v>
      </c>
      <c r="I3346" s="924" t="s">
        <v>998</v>
      </c>
      <c r="J3346" s="924" t="s">
        <v>863</v>
      </c>
      <c r="K3346" s="924" t="s">
        <v>864</v>
      </c>
      <c r="L3346" s="925">
        <v>0.178751928033307</v>
      </c>
      <c r="M3346" s="925">
        <v>3.9940433453011798E-4</v>
      </c>
    </row>
    <row r="3347" spans="1:13" ht="11.25" customHeight="1" x14ac:dyDescent="0.2">
      <c r="A3347" s="924" t="s">
        <v>853</v>
      </c>
      <c r="B3347" s="924" t="s">
        <v>1192</v>
      </c>
      <c r="C3347" s="924" t="s">
        <v>1193</v>
      </c>
      <c r="D3347" s="924" t="s">
        <v>1176</v>
      </c>
      <c r="E3347" s="924" t="s">
        <v>856</v>
      </c>
      <c r="F3347" s="924" t="s">
        <v>1121</v>
      </c>
      <c r="G3347" s="924" t="s">
        <v>981</v>
      </c>
      <c r="H3347" s="924" t="s">
        <v>835</v>
      </c>
      <c r="I3347" s="924" t="s">
        <v>1040</v>
      </c>
      <c r="J3347" s="924" t="s">
        <v>875</v>
      </c>
      <c r="K3347" s="924" t="s">
        <v>948</v>
      </c>
      <c r="L3347" s="925">
        <v>1814.3898601532001</v>
      </c>
      <c r="M3347" s="925">
        <v>1.13431350852807</v>
      </c>
    </row>
    <row r="3348" spans="1:13" ht="11.25" customHeight="1" x14ac:dyDescent="0.2">
      <c r="A3348" s="924" t="s">
        <v>853</v>
      </c>
      <c r="B3348" s="924" t="s">
        <v>1192</v>
      </c>
      <c r="C3348" s="924" t="s">
        <v>1193</v>
      </c>
      <c r="D3348" s="924" t="s">
        <v>1176</v>
      </c>
      <c r="E3348" s="924" t="s">
        <v>856</v>
      </c>
      <c r="F3348" s="924" t="s">
        <v>1109</v>
      </c>
      <c r="G3348" s="924" t="s">
        <v>981</v>
      </c>
      <c r="H3348" s="924" t="s">
        <v>835</v>
      </c>
      <c r="I3348" s="924" t="s">
        <v>1040</v>
      </c>
      <c r="J3348" s="924" t="s">
        <v>870</v>
      </c>
      <c r="K3348" s="924" t="s">
        <v>976</v>
      </c>
      <c r="L3348" s="925">
        <v>1.1520871301181601</v>
      </c>
      <c r="M3348" s="925">
        <v>2.3562947971589299E-4</v>
      </c>
    </row>
    <row r="3349" spans="1:13" ht="11.25" customHeight="1" x14ac:dyDescent="0.2">
      <c r="A3349" s="924" t="s">
        <v>853</v>
      </c>
      <c r="B3349" s="924" t="s">
        <v>1192</v>
      </c>
      <c r="C3349" s="924" t="s">
        <v>1193</v>
      </c>
      <c r="D3349" s="924" t="s">
        <v>1176</v>
      </c>
      <c r="E3349" s="924" t="s">
        <v>856</v>
      </c>
      <c r="F3349" s="924" t="s">
        <v>1110</v>
      </c>
      <c r="G3349" s="924" t="s">
        <v>981</v>
      </c>
      <c r="H3349" s="924" t="s">
        <v>835</v>
      </c>
      <c r="I3349" s="924" t="s">
        <v>1040</v>
      </c>
      <c r="J3349" s="924" t="s">
        <v>870</v>
      </c>
      <c r="K3349" s="924" t="s">
        <v>1019</v>
      </c>
      <c r="L3349" s="925">
        <v>8.8969965217984299E-3</v>
      </c>
      <c r="M3349" s="925">
        <v>7.45075386410221E-6</v>
      </c>
    </row>
    <row r="3350" spans="1:13" ht="11.25" customHeight="1" x14ac:dyDescent="0.2">
      <c r="A3350" s="924" t="s">
        <v>853</v>
      </c>
      <c r="B3350" s="924" t="s">
        <v>1192</v>
      </c>
      <c r="C3350" s="924" t="s">
        <v>1193</v>
      </c>
      <c r="D3350" s="924" t="s">
        <v>1176</v>
      </c>
      <c r="E3350" s="924" t="s">
        <v>856</v>
      </c>
      <c r="F3350" s="924" t="s">
        <v>1111</v>
      </c>
      <c r="G3350" s="924" t="s">
        <v>981</v>
      </c>
      <c r="H3350" s="924" t="s">
        <v>835</v>
      </c>
      <c r="I3350" s="924" t="s">
        <v>1040</v>
      </c>
      <c r="J3350" s="924" t="s">
        <v>870</v>
      </c>
      <c r="K3350" s="924" t="s">
        <v>1016</v>
      </c>
      <c r="L3350" s="925">
        <v>0.79652427555993199</v>
      </c>
      <c r="M3350" s="925">
        <v>6.6921140432896198E-4</v>
      </c>
    </row>
    <row r="3351" spans="1:13" ht="11.25" customHeight="1" x14ac:dyDescent="0.2">
      <c r="A3351" s="924" t="s">
        <v>853</v>
      </c>
      <c r="B3351" s="924" t="s">
        <v>1192</v>
      </c>
      <c r="C3351" s="924" t="s">
        <v>1193</v>
      </c>
      <c r="D3351" s="924" t="s">
        <v>1176</v>
      </c>
      <c r="E3351" s="924" t="s">
        <v>856</v>
      </c>
      <c r="F3351" s="924" t="s">
        <v>1112</v>
      </c>
      <c r="G3351" s="924" t="s">
        <v>981</v>
      </c>
      <c r="H3351" s="924" t="s">
        <v>835</v>
      </c>
      <c r="I3351" s="924" t="s">
        <v>1040</v>
      </c>
      <c r="J3351" s="924" t="s">
        <v>870</v>
      </c>
      <c r="K3351" s="924" t="s">
        <v>959</v>
      </c>
      <c r="L3351" s="925">
        <v>0.24540106038330101</v>
      </c>
      <c r="M3351" s="925">
        <v>1.61676057814475E-4</v>
      </c>
    </row>
    <row r="3352" spans="1:13" ht="11.25" customHeight="1" x14ac:dyDescent="0.2">
      <c r="A3352" s="924" t="s">
        <v>853</v>
      </c>
      <c r="B3352" s="924" t="s">
        <v>1192</v>
      </c>
      <c r="C3352" s="924" t="s">
        <v>1193</v>
      </c>
      <c r="D3352" s="924" t="s">
        <v>1176</v>
      </c>
      <c r="E3352" s="924" t="s">
        <v>856</v>
      </c>
      <c r="F3352" s="924" t="s">
        <v>1113</v>
      </c>
      <c r="G3352" s="924" t="s">
        <v>981</v>
      </c>
      <c r="H3352" s="924" t="s">
        <v>835</v>
      </c>
      <c r="I3352" s="924" t="s">
        <v>1040</v>
      </c>
      <c r="J3352" s="924" t="s">
        <v>870</v>
      </c>
      <c r="K3352" s="924" t="s">
        <v>961</v>
      </c>
      <c r="L3352" s="925">
        <v>2.6816701060160999</v>
      </c>
      <c r="M3352" s="925">
        <v>2.02982443795463E-3</v>
      </c>
    </row>
    <row r="3353" spans="1:13" ht="11.25" customHeight="1" x14ac:dyDescent="0.2">
      <c r="A3353" s="924" t="s">
        <v>853</v>
      </c>
      <c r="B3353" s="924" t="s">
        <v>1192</v>
      </c>
      <c r="C3353" s="924" t="s">
        <v>1193</v>
      </c>
      <c r="D3353" s="924" t="s">
        <v>1176</v>
      </c>
      <c r="E3353" s="924" t="s">
        <v>856</v>
      </c>
      <c r="F3353" s="924" t="s">
        <v>1114</v>
      </c>
      <c r="G3353" s="924" t="s">
        <v>981</v>
      </c>
      <c r="H3353" s="924" t="s">
        <v>835</v>
      </c>
      <c r="I3353" s="924" t="s">
        <v>1040</v>
      </c>
      <c r="J3353" s="924" t="s">
        <v>870</v>
      </c>
      <c r="K3353" s="924" t="s">
        <v>963</v>
      </c>
      <c r="L3353" s="925">
        <v>5.8483868222683704</v>
      </c>
      <c r="M3353" s="925">
        <v>9.7117710956808895E-3</v>
      </c>
    </row>
    <row r="3354" spans="1:13" ht="11.25" customHeight="1" x14ac:dyDescent="0.2">
      <c r="A3354" s="924" t="s">
        <v>853</v>
      </c>
      <c r="B3354" s="924" t="s">
        <v>1192</v>
      </c>
      <c r="C3354" s="924" t="s">
        <v>1193</v>
      </c>
      <c r="D3354" s="924" t="s">
        <v>1176</v>
      </c>
      <c r="E3354" s="924" t="s">
        <v>856</v>
      </c>
      <c r="F3354" s="924" t="s">
        <v>1115</v>
      </c>
      <c r="G3354" s="924" t="s">
        <v>981</v>
      </c>
      <c r="H3354" s="924" t="s">
        <v>835</v>
      </c>
      <c r="I3354" s="924" t="s">
        <v>1040</v>
      </c>
      <c r="J3354" s="924" t="s">
        <v>870</v>
      </c>
      <c r="K3354" s="924" t="s">
        <v>965</v>
      </c>
      <c r="L3354" s="925">
        <v>1.2614490492269399</v>
      </c>
      <c r="M3354" s="925">
        <v>1.05982499917445E-3</v>
      </c>
    </row>
    <row r="3355" spans="1:13" ht="11.25" customHeight="1" x14ac:dyDescent="0.2">
      <c r="A3355" s="924" t="s">
        <v>853</v>
      </c>
      <c r="B3355" s="924" t="s">
        <v>1192</v>
      </c>
      <c r="C3355" s="924" t="s">
        <v>1193</v>
      </c>
      <c r="D3355" s="924" t="s">
        <v>1176</v>
      </c>
      <c r="E3355" s="924" t="s">
        <v>856</v>
      </c>
      <c r="F3355" s="924" t="s">
        <v>1130</v>
      </c>
      <c r="G3355" s="924" t="s">
        <v>981</v>
      </c>
      <c r="H3355" s="924" t="s">
        <v>835</v>
      </c>
      <c r="I3355" s="924" t="s">
        <v>1040</v>
      </c>
      <c r="J3355" s="924" t="s">
        <v>870</v>
      </c>
      <c r="K3355" s="924" t="s">
        <v>871</v>
      </c>
      <c r="L3355" s="925">
        <v>1.8177533098496499</v>
      </c>
      <c r="M3355" s="925">
        <v>1.4467485090108301E-3</v>
      </c>
    </row>
    <row r="3356" spans="1:13" ht="11.25" customHeight="1" x14ac:dyDescent="0.2">
      <c r="A3356" s="924" t="s">
        <v>853</v>
      </c>
      <c r="B3356" s="924" t="s">
        <v>1192</v>
      </c>
      <c r="C3356" s="924" t="s">
        <v>1193</v>
      </c>
      <c r="D3356" s="924" t="s">
        <v>1176</v>
      </c>
      <c r="E3356" s="924" t="s">
        <v>856</v>
      </c>
      <c r="F3356" s="924" t="s">
        <v>1117</v>
      </c>
      <c r="G3356" s="924" t="s">
        <v>981</v>
      </c>
      <c r="H3356" s="924" t="s">
        <v>835</v>
      </c>
      <c r="I3356" s="924" t="s">
        <v>1040</v>
      </c>
      <c r="J3356" s="924" t="s">
        <v>870</v>
      </c>
      <c r="K3356" s="924" t="s">
        <v>873</v>
      </c>
      <c r="L3356" s="925">
        <v>2.0043089059181498</v>
      </c>
      <c r="M3356" s="925">
        <v>2.00941560990486E-4</v>
      </c>
    </row>
    <row r="3357" spans="1:13" ht="11.25" customHeight="1" x14ac:dyDescent="0.2">
      <c r="A3357" s="924" t="s">
        <v>853</v>
      </c>
      <c r="B3357" s="924" t="s">
        <v>1192</v>
      </c>
      <c r="C3357" s="924" t="s">
        <v>1193</v>
      </c>
      <c r="D3357" s="924" t="s">
        <v>1176</v>
      </c>
      <c r="E3357" s="924" t="s">
        <v>856</v>
      </c>
      <c r="F3357" s="924" t="s">
        <v>1104</v>
      </c>
      <c r="G3357" s="924" t="s">
        <v>981</v>
      </c>
      <c r="H3357" s="924" t="s">
        <v>835</v>
      </c>
      <c r="I3357" s="924" t="s">
        <v>1040</v>
      </c>
      <c r="J3357" s="924" t="s">
        <v>875</v>
      </c>
      <c r="K3357" s="924" t="s">
        <v>876</v>
      </c>
      <c r="L3357" s="925">
        <v>6383.9142761230496</v>
      </c>
      <c r="M3357" s="925">
        <v>4.2936795428395298</v>
      </c>
    </row>
    <row r="3358" spans="1:13" ht="11.25" customHeight="1" x14ac:dyDescent="0.2">
      <c r="A3358" s="924" t="s">
        <v>853</v>
      </c>
      <c r="B3358" s="924" t="s">
        <v>1192</v>
      </c>
      <c r="C3358" s="924" t="s">
        <v>1193</v>
      </c>
      <c r="D3358" s="924" t="s">
        <v>1176</v>
      </c>
      <c r="E3358" s="924" t="s">
        <v>856</v>
      </c>
      <c r="F3358" s="924" t="s">
        <v>1108</v>
      </c>
      <c r="G3358" s="924" t="s">
        <v>981</v>
      </c>
      <c r="H3358" s="924" t="s">
        <v>835</v>
      </c>
      <c r="I3358" s="924" t="s">
        <v>1040</v>
      </c>
      <c r="J3358" s="924" t="s">
        <v>870</v>
      </c>
      <c r="K3358" s="924" t="s">
        <v>1036</v>
      </c>
      <c r="L3358" s="925">
        <v>0.29856654512696001</v>
      </c>
      <c r="M3358" s="925">
        <v>2.0189333918097001E-4</v>
      </c>
    </row>
    <row r="3359" spans="1:13" ht="11.25" customHeight="1" x14ac:dyDescent="0.2">
      <c r="A3359" s="924" t="s">
        <v>853</v>
      </c>
      <c r="B3359" s="924" t="s">
        <v>1192</v>
      </c>
      <c r="C3359" s="924" t="s">
        <v>1193</v>
      </c>
      <c r="D3359" s="924" t="s">
        <v>1176</v>
      </c>
      <c r="E3359" s="924" t="s">
        <v>856</v>
      </c>
      <c r="F3359" s="924" t="s">
        <v>1120</v>
      </c>
      <c r="G3359" s="924" t="s">
        <v>981</v>
      </c>
      <c r="H3359" s="924" t="s">
        <v>835</v>
      </c>
      <c r="I3359" s="924" t="s">
        <v>1040</v>
      </c>
      <c r="J3359" s="924" t="s">
        <v>875</v>
      </c>
      <c r="K3359" s="924" t="s">
        <v>880</v>
      </c>
      <c r="L3359" s="925">
        <v>843.21062088012695</v>
      </c>
      <c r="M3359" s="925">
        <v>0.48925703042732499</v>
      </c>
    </row>
    <row r="3360" spans="1:13" ht="11.25" customHeight="1" x14ac:dyDescent="0.2">
      <c r="A3360" s="924" t="s">
        <v>853</v>
      </c>
      <c r="B3360" s="924" t="s">
        <v>1192</v>
      </c>
      <c r="C3360" s="924" t="s">
        <v>1193</v>
      </c>
      <c r="D3360" s="924" t="s">
        <v>1176</v>
      </c>
      <c r="E3360" s="924" t="s">
        <v>856</v>
      </c>
      <c r="F3360" s="924" t="s">
        <v>1129</v>
      </c>
      <c r="G3360" s="924" t="s">
        <v>911</v>
      </c>
      <c r="H3360" s="924" t="s">
        <v>665</v>
      </c>
      <c r="I3360" s="924" t="s">
        <v>706</v>
      </c>
      <c r="J3360" s="924" t="s">
        <v>859</v>
      </c>
      <c r="K3360" s="924" t="s">
        <v>897</v>
      </c>
      <c r="L3360" s="925">
        <v>3.0661146119236902</v>
      </c>
      <c r="M3360" s="925">
        <v>1.1144260438413799E-3</v>
      </c>
    </row>
    <row r="3361" spans="1:13" ht="11.25" customHeight="1" x14ac:dyDescent="0.2">
      <c r="A3361" s="924" t="s">
        <v>853</v>
      </c>
      <c r="B3361" s="924" t="s">
        <v>1192</v>
      </c>
      <c r="C3361" s="924" t="s">
        <v>1193</v>
      </c>
      <c r="D3361" s="924" t="s">
        <v>1176</v>
      </c>
      <c r="E3361" s="924" t="s">
        <v>856</v>
      </c>
      <c r="F3361" s="924" t="s">
        <v>1122</v>
      </c>
      <c r="G3361" s="924" t="s">
        <v>981</v>
      </c>
      <c r="H3361" s="924" t="s">
        <v>835</v>
      </c>
      <c r="I3361" s="924" t="s">
        <v>1040</v>
      </c>
      <c r="J3361" s="924" t="s">
        <v>875</v>
      </c>
      <c r="K3361" s="924" t="s">
        <v>950</v>
      </c>
      <c r="L3361" s="925">
        <v>2869.8008422851599</v>
      </c>
      <c r="M3361" s="925">
        <v>1.98918287102606</v>
      </c>
    </row>
    <row r="3362" spans="1:13" ht="11.25" customHeight="1" x14ac:dyDescent="0.2">
      <c r="A3362" s="924" t="s">
        <v>853</v>
      </c>
      <c r="B3362" s="924" t="s">
        <v>1192</v>
      </c>
      <c r="C3362" s="924" t="s">
        <v>1193</v>
      </c>
      <c r="D3362" s="924" t="s">
        <v>1176</v>
      </c>
      <c r="E3362" s="924" t="s">
        <v>856</v>
      </c>
      <c r="F3362" s="924" t="s">
        <v>1123</v>
      </c>
      <c r="G3362" s="924" t="s">
        <v>981</v>
      </c>
      <c r="H3362" s="924" t="s">
        <v>835</v>
      </c>
      <c r="I3362" s="924" t="s">
        <v>1040</v>
      </c>
      <c r="J3362" s="924" t="s">
        <v>875</v>
      </c>
      <c r="K3362" s="924" t="s">
        <v>952</v>
      </c>
      <c r="L3362" s="925">
        <v>134.623334646225</v>
      </c>
      <c r="M3362" s="925">
        <v>9.3594622109264905E-2</v>
      </c>
    </row>
    <row r="3363" spans="1:13" ht="11.25" customHeight="1" x14ac:dyDescent="0.2">
      <c r="A3363" s="924" t="s">
        <v>853</v>
      </c>
      <c r="B3363" s="924" t="s">
        <v>1192</v>
      </c>
      <c r="C3363" s="924" t="s">
        <v>1193</v>
      </c>
      <c r="D3363" s="924" t="s">
        <v>1176</v>
      </c>
      <c r="E3363" s="924" t="s">
        <v>856</v>
      </c>
      <c r="F3363" s="924" t="s">
        <v>1124</v>
      </c>
      <c r="G3363" s="924" t="s">
        <v>981</v>
      </c>
      <c r="H3363" s="924" t="s">
        <v>835</v>
      </c>
      <c r="I3363" s="924" t="s">
        <v>1040</v>
      </c>
      <c r="J3363" s="924" t="s">
        <v>956</v>
      </c>
      <c r="K3363" s="924" t="s">
        <v>1125</v>
      </c>
      <c r="L3363" s="925">
        <v>14.545288607478099</v>
      </c>
      <c r="M3363" s="925">
        <v>1.1634209414523901E-2</v>
      </c>
    </row>
    <row r="3364" spans="1:13" ht="11.25" customHeight="1" x14ac:dyDescent="0.2">
      <c r="A3364" s="924" t="s">
        <v>853</v>
      </c>
      <c r="B3364" s="924" t="s">
        <v>1192</v>
      </c>
      <c r="C3364" s="924" t="s">
        <v>1193</v>
      </c>
      <c r="D3364" s="924" t="s">
        <v>1176</v>
      </c>
      <c r="E3364" s="924" t="s">
        <v>856</v>
      </c>
      <c r="F3364" s="924" t="s">
        <v>1126</v>
      </c>
      <c r="G3364" s="924" t="s">
        <v>981</v>
      </c>
      <c r="H3364" s="924" t="s">
        <v>835</v>
      </c>
      <c r="I3364" s="924" t="s">
        <v>1040</v>
      </c>
      <c r="J3364" s="924" t="s">
        <v>956</v>
      </c>
      <c r="K3364" s="924" t="s">
        <v>957</v>
      </c>
      <c r="L3364" s="925">
        <v>0.16758807119913399</v>
      </c>
      <c r="M3364" s="925">
        <v>1.31447097714954E-4</v>
      </c>
    </row>
    <row r="3365" spans="1:13" ht="11.25" customHeight="1" x14ac:dyDescent="0.2">
      <c r="A3365" s="924" t="s">
        <v>853</v>
      </c>
      <c r="B3365" s="924" t="s">
        <v>1192</v>
      </c>
      <c r="C3365" s="924" t="s">
        <v>1193</v>
      </c>
      <c r="D3365" s="924" t="s">
        <v>1176</v>
      </c>
      <c r="E3365" s="924" t="s">
        <v>856</v>
      </c>
      <c r="F3365" s="924" t="s">
        <v>1127</v>
      </c>
      <c r="G3365" s="924" t="s">
        <v>911</v>
      </c>
      <c r="H3365" s="924" t="s">
        <v>665</v>
      </c>
      <c r="I3365" s="924" t="s">
        <v>706</v>
      </c>
      <c r="J3365" s="924" t="s">
        <v>884</v>
      </c>
      <c r="K3365" s="924" t="s">
        <v>885</v>
      </c>
      <c r="L3365" s="925">
        <v>7.3753137737512597</v>
      </c>
      <c r="M3365" s="925">
        <v>3.2048308439698299E-3</v>
      </c>
    </row>
    <row r="3366" spans="1:13" ht="11.25" customHeight="1" x14ac:dyDescent="0.2">
      <c r="A3366" s="924" t="s">
        <v>853</v>
      </c>
      <c r="B3366" s="924" t="s">
        <v>1192</v>
      </c>
      <c r="C3366" s="924" t="s">
        <v>1193</v>
      </c>
      <c r="D3366" s="924" t="s">
        <v>1176</v>
      </c>
      <c r="E3366" s="924" t="s">
        <v>856</v>
      </c>
      <c r="F3366" s="924" t="s">
        <v>1128</v>
      </c>
      <c r="G3366" s="924" t="s">
        <v>911</v>
      </c>
      <c r="H3366" s="924" t="s">
        <v>665</v>
      </c>
      <c r="I3366" s="924" t="s">
        <v>706</v>
      </c>
      <c r="J3366" s="924" t="s">
        <v>859</v>
      </c>
      <c r="K3366" s="924" t="s">
        <v>913</v>
      </c>
      <c r="L3366" s="925">
        <v>11.102514281868901</v>
      </c>
      <c r="M3366" s="925">
        <v>1.2241968531725401E-3</v>
      </c>
    </row>
    <row r="3367" spans="1:13" ht="11.25" customHeight="1" x14ac:dyDescent="0.2">
      <c r="A3367" s="924" t="s">
        <v>853</v>
      </c>
      <c r="B3367" s="924" t="s">
        <v>1192</v>
      </c>
      <c r="C3367" s="924" t="s">
        <v>1193</v>
      </c>
      <c r="D3367" s="924" t="s">
        <v>1176</v>
      </c>
      <c r="E3367" s="924" t="s">
        <v>856</v>
      </c>
      <c r="F3367" s="924" t="s">
        <v>1118</v>
      </c>
      <c r="G3367" s="924" t="s">
        <v>911</v>
      </c>
      <c r="H3367" s="924" t="s">
        <v>665</v>
      </c>
      <c r="I3367" s="924" t="s">
        <v>706</v>
      </c>
      <c r="J3367" s="924" t="s">
        <v>859</v>
      </c>
      <c r="K3367" s="924" t="s">
        <v>893</v>
      </c>
      <c r="L3367" s="925">
        <v>18.826410621404602</v>
      </c>
      <c r="M3367" s="925">
        <v>9.10846212718752E-4</v>
      </c>
    </row>
    <row r="3368" spans="1:13" ht="11.25" customHeight="1" x14ac:dyDescent="0.2">
      <c r="A3368" s="924" t="s">
        <v>853</v>
      </c>
      <c r="B3368" s="924" t="s">
        <v>1192</v>
      </c>
      <c r="C3368" s="924" t="s">
        <v>1193</v>
      </c>
      <c r="D3368" s="924" t="s">
        <v>1176</v>
      </c>
      <c r="E3368" s="924" t="s">
        <v>856</v>
      </c>
      <c r="F3368" s="924" t="s">
        <v>1133</v>
      </c>
      <c r="G3368" s="924" t="s">
        <v>911</v>
      </c>
      <c r="H3368" s="924" t="s">
        <v>665</v>
      </c>
      <c r="I3368" s="924" t="s">
        <v>706</v>
      </c>
      <c r="J3368" s="924" t="s">
        <v>859</v>
      </c>
      <c r="K3368" s="924" t="s">
        <v>899</v>
      </c>
      <c r="L3368" s="925">
        <v>1.90989746339619</v>
      </c>
      <c r="M3368" s="925">
        <v>1.9027600629328801E-4</v>
      </c>
    </row>
    <row r="3369" spans="1:13" ht="11.25" customHeight="1" x14ac:dyDescent="0.2">
      <c r="A3369" s="924" t="s">
        <v>853</v>
      </c>
      <c r="B3369" s="924" t="s">
        <v>1192</v>
      </c>
      <c r="C3369" s="924" t="s">
        <v>1193</v>
      </c>
      <c r="D3369" s="924" t="s">
        <v>1176</v>
      </c>
      <c r="E3369" s="924" t="s">
        <v>856</v>
      </c>
      <c r="F3369" s="924" t="s">
        <v>1074</v>
      </c>
      <c r="G3369" s="924" t="s">
        <v>911</v>
      </c>
      <c r="H3369" s="924" t="s">
        <v>665</v>
      </c>
      <c r="I3369" s="924" t="s">
        <v>706</v>
      </c>
      <c r="J3369" s="924" t="s">
        <v>859</v>
      </c>
      <c r="K3369" s="924" t="s">
        <v>903</v>
      </c>
      <c r="L3369" s="925">
        <v>34.288507014513002</v>
      </c>
      <c r="M3369" s="925">
        <v>3.8294362971100799E-3</v>
      </c>
    </row>
    <row r="3370" spans="1:13" ht="11.25" customHeight="1" x14ac:dyDescent="0.2">
      <c r="A3370" s="924" t="s">
        <v>853</v>
      </c>
      <c r="B3370" s="924" t="s">
        <v>1192</v>
      </c>
      <c r="C3370" s="924" t="s">
        <v>1193</v>
      </c>
      <c r="D3370" s="924" t="s">
        <v>1176</v>
      </c>
      <c r="E3370" s="924" t="s">
        <v>856</v>
      </c>
      <c r="F3370" s="924" t="s">
        <v>1138</v>
      </c>
      <c r="G3370" s="924" t="s">
        <v>981</v>
      </c>
      <c r="H3370" s="924" t="s">
        <v>835</v>
      </c>
      <c r="I3370" s="924" t="s">
        <v>1040</v>
      </c>
      <c r="J3370" s="924" t="s">
        <v>863</v>
      </c>
      <c r="K3370" s="924" t="s">
        <v>931</v>
      </c>
      <c r="L3370" s="925">
        <v>254.75430345535301</v>
      </c>
      <c r="M3370" s="925">
        <v>9.8285519874480101E-2</v>
      </c>
    </row>
    <row r="3371" spans="1:13" ht="11.25" customHeight="1" x14ac:dyDescent="0.2">
      <c r="A3371" s="924" t="s">
        <v>853</v>
      </c>
      <c r="B3371" s="924" t="s">
        <v>1192</v>
      </c>
      <c r="C3371" s="924" t="s">
        <v>1193</v>
      </c>
      <c r="D3371" s="924" t="s">
        <v>1176</v>
      </c>
      <c r="E3371" s="924" t="s">
        <v>856</v>
      </c>
      <c r="F3371" s="924" t="s">
        <v>997</v>
      </c>
      <c r="G3371" s="924" t="s">
        <v>981</v>
      </c>
      <c r="H3371" s="924" t="s">
        <v>835</v>
      </c>
      <c r="I3371" s="924" t="s">
        <v>998</v>
      </c>
      <c r="J3371" s="924" t="s">
        <v>884</v>
      </c>
      <c r="K3371" s="924" t="s">
        <v>999</v>
      </c>
      <c r="L3371" s="925">
        <v>188.889589071274</v>
      </c>
      <c r="M3371" s="925">
        <v>0.60174027550965503</v>
      </c>
    </row>
    <row r="3372" spans="1:13" ht="11.25" customHeight="1" x14ac:dyDescent="0.2">
      <c r="A3372" s="924" t="s">
        <v>853</v>
      </c>
      <c r="B3372" s="924" t="s">
        <v>1192</v>
      </c>
      <c r="C3372" s="924" t="s">
        <v>1193</v>
      </c>
      <c r="D3372" s="924" t="s">
        <v>1176</v>
      </c>
      <c r="E3372" s="924" t="s">
        <v>856</v>
      </c>
      <c r="F3372" s="924" t="s">
        <v>1119</v>
      </c>
      <c r="G3372" s="924" t="s">
        <v>981</v>
      </c>
      <c r="H3372" s="924" t="s">
        <v>835</v>
      </c>
      <c r="I3372" s="924" t="s">
        <v>1040</v>
      </c>
      <c r="J3372" s="924" t="s">
        <v>875</v>
      </c>
      <c r="K3372" s="924" t="s">
        <v>878</v>
      </c>
      <c r="L3372" s="925">
        <v>1594.3346652984601</v>
      </c>
      <c r="M3372" s="925">
        <v>1.06068390183646</v>
      </c>
    </row>
    <row r="3373" spans="1:13" ht="11.25" customHeight="1" x14ac:dyDescent="0.2">
      <c r="A3373" s="924" t="s">
        <v>853</v>
      </c>
      <c r="B3373" s="924" t="s">
        <v>1192</v>
      </c>
      <c r="C3373" s="924" t="s">
        <v>1193</v>
      </c>
      <c r="D3373" s="924" t="s">
        <v>1176</v>
      </c>
      <c r="E3373" s="924" t="s">
        <v>856</v>
      </c>
      <c r="F3373" s="924" t="s">
        <v>1148</v>
      </c>
      <c r="G3373" s="924" t="s">
        <v>981</v>
      </c>
      <c r="H3373" s="924" t="s">
        <v>835</v>
      </c>
      <c r="I3373" s="924" t="s">
        <v>1040</v>
      </c>
      <c r="J3373" s="924" t="s">
        <v>863</v>
      </c>
      <c r="K3373" s="924" t="s">
        <v>915</v>
      </c>
      <c r="L3373" s="925">
        <v>17.952001646161101</v>
      </c>
      <c r="M3373" s="925">
        <v>6.7051987266495399E-3</v>
      </c>
    </row>
    <row r="3374" spans="1:13" ht="11.25" customHeight="1" x14ac:dyDescent="0.2">
      <c r="A3374" s="924" t="s">
        <v>853</v>
      </c>
      <c r="B3374" s="924" t="s">
        <v>1192</v>
      </c>
      <c r="C3374" s="924" t="s">
        <v>1193</v>
      </c>
      <c r="D3374" s="924" t="s">
        <v>1176</v>
      </c>
      <c r="E3374" s="924" t="s">
        <v>856</v>
      </c>
      <c r="F3374" s="924" t="s">
        <v>1135</v>
      </c>
      <c r="G3374" s="924" t="s">
        <v>981</v>
      </c>
      <c r="H3374" s="924" t="s">
        <v>835</v>
      </c>
      <c r="I3374" s="924" t="s">
        <v>1040</v>
      </c>
      <c r="J3374" s="924" t="s">
        <v>863</v>
      </c>
      <c r="K3374" s="924" t="s">
        <v>935</v>
      </c>
      <c r="L3374" s="925">
        <v>210.45664668083199</v>
      </c>
      <c r="M3374" s="925">
        <v>7.5887431972660097E-2</v>
      </c>
    </row>
    <row r="3375" spans="1:13" ht="11.25" customHeight="1" x14ac:dyDescent="0.2">
      <c r="A3375" s="924" t="s">
        <v>853</v>
      </c>
      <c r="B3375" s="924" t="s">
        <v>1192</v>
      </c>
      <c r="C3375" s="924" t="s">
        <v>1193</v>
      </c>
      <c r="D3375" s="924" t="s">
        <v>1176</v>
      </c>
      <c r="E3375" s="924" t="s">
        <v>856</v>
      </c>
      <c r="F3375" s="924" t="s">
        <v>1107</v>
      </c>
      <c r="G3375" s="924" t="s">
        <v>981</v>
      </c>
      <c r="H3375" s="924" t="s">
        <v>835</v>
      </c>
      <c r="I3375" s="924" t="s">
        <v>1040</v>
      </c>
      <c r="J3375" s="924" t="s">
        <v>940</v>
      </c>
      <c r="K3375" s="924" t="s">
        <v>1034</v>
      </c>
      <c r="L3375" s="925">
        <v>861.45921182632401</v>
      </c>
      <c r="M3375" s="925">
        <v>0.625765575808373</v>
      </c>
    </row>
    <row r="3376" spans="1:13" ht="11.25" customHeight="1" x14ac:dyDescent="0.2">
      <c r="A3376" s="924" t="s">
        <v>853</v>
      </c>
      <c r="B3376" s="924" t="s">
        <v>1192</v>
      </c>
      <c r="C3376" s="924" t="s">
        <v>1193</v>
      </c>
      <c r="D3376" s="924" t="s">
        <v>1176</v>
      </c>
      <c r="E3376" s="924" t="s">
        <v>856</v>
      </c>
      <c r="F3376" s="924" t="s">
        <v>1134</v>
      </c>
      <c r="G3376" s="924" t="s">
        <v>981</v>
      </c>
      <c r="H3376" s="924" t="s">
        <v>835</v>
      </c>
      <c r="I3376" s="924" t="s">
        <v>1040</v>
      </c>
      <c r="J3376" s="924" t="s">
        <v>863</v>
      </c>
      <c r="K3376" s="924" t="s">
        <v>933</v>
      </c>
      <c r="L3376" s="925">
        <v>977.57025146484398</v>
      </c>
      <c r="M3376" s="925">
        <v>6.9179911166429506E-2</v>
      </c>
    </row>
    <row r="3377" spans="1:13" ht="11.25" customHeight="1" x14ac:dyDescent="0.2">
      <c r="A3377" s="924" t="s">
        <v>853</v>
      </c>
      <c r="B3377" s="924" t="s">
        <v>1192</v>
      </c>
      <c r="C3377" s="924" t="s">
        <v>1193</v>
      </c>
      <c r="D3377" s="924" t="s">
        <v>1176</v>
      </c>
      <c r="E3377" s="924" t="s">
        <v>856</v>
      </c>
      <c r="F3377" s="924" t="s">
        <v>1136</v>
      </c>
      <c r="G3377" s="924" t="s">
        <v>981</v>
      </c>
      <c r="H3377" s="924" t="s">
        <v>835</v>
      </c>
      <c r="I3377" s="924" t="s">
        <v>1040</v>
      </c>
      <c r="J3377" s="924" t="s">
        <v>863</v>
      </c>
      <c r="K3377" s="924" t="s">
        <v>864</v>
      </c>
      <c r="L3377" s="925">
        <v>395.46332406997698</v>
      </c>
      <c r="M3377" s="925">
        <v>0.29576981207355901</v>
      </c>
    </row>
    <row r="3378" spans="1:13" ht="11.25" customHeight="1" x14ac:dyDescent="0.2">
      <c r="A3378" s="924" t="s">
        <v>853</v>
      </c>
      <c r="B3378" s="924" t="s">
        <v>1192</v>
      </c>
      <c r="C3378" s="924" t="s">
        <v>1193</v>
      </c>
      <c r="D3378" s="924" t="s">
        <v>1176</v>
      </c>
      <c r="E3378" s="924" t="s">
        <v>856</v>
      </c>
      <c r="F3378" s="924" t="s">
        <v>1137</v>
      </c>
      <c r="G3378" s="924" t="s">
        <v>981</v>
      </c>
      <c r="H3378" s="924" t="s">
        <v>835</v>
      </c>
      <c r="I3378" s="924" t="s">
        <v>1040</v>
      </c>
      <c r="J3378" s="924" t="s">
        <v>863</v>
      </c>
      <c r="K3378" s="924" t="s">
        <v>866</v>
      </c>
      <c r="L3378" s="925">
        <v>31.026228606700901</v>
      </c>
      <c r="M3378" s="925">
        <v>2.0828134933253799E-2</v>
      </c>
    </row>
    <row r="3379" spans="1:13" ht="11.25" customHeight="1" x14ac:dyDescent="0.2">
      <c r="A3379" s="924" t="s">
        <v>853</v>
      </c>
      <c r="B3379" s="924" t="s">
        <v>1192</v>
      </c>
      <c r="C3379" s="924" t="s">
        <v>1193</v>
      </c>
      <c r="D3379" s="924" t="s">
        <v>1176</v>
      </c>
      <c r="E3379" s="924" t="s">
        <v>856</v>
      </c>
      <c r="F3379" s="924" t="s">
        <v>1131</v>
      </c>
      <c r="G3379" s="924" t="s">
        <v>981</v>
      </c>
      <c r="H3379" s="924" t="s">
        <v>835</v>
      </c>
      <c r="I3379" s="924" t="s">
        <v>1040</v>
      </c>
      <c r="J3379" s="924" t="s">
        <v>863</v>
      </c>
      <c r="K3379" s="924" t="s">
        <v>868</v>
      </c>
      <c r="L3379" s="925">
        <v>86.541600942611694</v>
      </c>
      <c r="M3379" s="925">
        <v>6.1211545980768304E-3</v>
      </c>
    </row>
    <row r="3380" spans="1:13" ht="11.25" customHeight="1" x14ac:dyDescent="0.2">
      <c r="A3380" s="924" t="s">
        <v>853</v>
      </c>
      <c r="B3380" s="924" t="s">
        <v>1192</v>
      </c>
      <c r="C3380" s="924" t="s">
        <v>1193</v>
      </c>
      <c r="D3380" s="924" t="s">
        <v>1176</v>
      </c>
      <c r="E3380" s="924" t="s">
        <v>856</v>
      </c>
      <c r="F3380" s="924" t="s">
        <v>1139</v>
      </c>
      <c r="G3380" s="924" t="s">
        <v>981</v>
      </c>
      <c r="H3380" s="924" t="s">
        <v>835</v>
      </c>
      <c r="I3380" s="924" t="s">
        <v>1040</v>
      </c>
      <c r="J3380" s="924" t="s">
        <v>940</v>
      </c>
      <c r="K3380" s="924" t="s">
        <v>1140</v>
      </c>
      <c r="L3380" s="925">
        <v>4655.1400032043503</v>
      </c>
      <c r="M3380" s="925">
        <v>3.4069632624735098</v>
      </c>
    </row>
    <row r="3381" spans="1:13" ht="11.25" customHeight="1" x14ac:dyDescent="0.2">
      <c r="A3381" s="924" t="s">
        <v>853</v>
      </c>
      <c r="B3381" s="924" t="s">
        <v>1192</v>
      </c>
      <c r="C3381" s="924" t="s">
        <v>1193</v>
      </c>
      <c r="D3381" s="924" t="s">
        <v>1176</v>
      </c>
      <c r="E3381" s="924" t="s">
        <v>856</v>
      </c>
      <c r="F3381" s="924" t="s">
        <v>1141</v>
      </c>
      <c r="G3381" s="924" t="s">
        <v>981</v>
      </c>
      <c r="H3381" s="924" t="s">
        <v>835</v>
      </c>
      <c r="I3381" s="924" t="s">
        <v>1040</v>
      </c>
      <c r="J3381" s="924" t="s">
        <v>940</v>
      </c>
      <c r="K3381" s="924" t="s">
        <v>1142</v>
      </c>
      <c r="L3381" s="925">
        <v>5027.9712200164804</v>
      </c>
      <c r="M3381" s="925">
        <v>3.7057754490524499</v>
      </c>
    </row>
    <row r="3382" spans="1:13" ht="11.25" customHeight="1" x14ac:dyDescent="0.2">
      <c r="A3382" s="924" t="s">
        <v>853</v>
      </c>
      <c r="B3382" s="924" t="s">
        <v>1192</v>
      </c>
      <c r="C3382" s="924" t="s">
        <v>1193</v>
      </c>
      <c r="D3382" s="924" t="s">
        <v>1176</v>
      </c>
      <c r="E3382" s="924" t="s">
        <v>856</v>
      </c>
      <c r="F3382" s="924" t="s">
        <v>1143</v>
      </c>
      <c r="G3382" s="924" t="s">
        <v>981</v>
      </c>
      <c r="H3382" s="924" t="s">
        <v>835</v>
      </c>
      <c r="I3382" s="924" t="s">
        <v>1040</v>
      </c>
      <c r="J3382" s="924" t="s">
        <v>940</v>
      </c>
      <c r="K3382" s="924" t="s">
        <v>1084</v>
      </c>
      <c r="L3382" s="925">
        <v>400.58356404304499</v>
      </c>
      <c r="M3382" s="925">
        <v>0.29270792240276899</v>
      </c>
    </row>
    <row r="3383" spans="1:13" ht="11.25" customHeight="1" x14ac:dyDescent="0.2">
      <c r="A3383" s="924" t="s">
        <v>853</v>
      </c>
      <c r="B3383" s="924" t="s">
        <v>1192</v>
      </c>
      <c r="C3383" s="924" t="s">
        <v>1193</v>
      </c>
      <c r="D3383" s="924" t="s">
        <v>1176</v>
      </c>
      <c r="E3383" s="924" t="s">
        <v>856</v>
      </c>
      <c r="F3383" s="924" t="s">
        <v>1144</v>
      </c>
      <c r="G3383" s="924" t="s">
        <v>981</v>
      </c>
      <c r="H3383" s="924" t="s">
        <v>835</v>
      </c>
      <c r="I3383" s="924" t="s">
        <v>1040</v>
      </c>
      <c r="J3383" s="924" t="s">
        <v>940</v>
      </c>
      <c r="K3383" s="924" t="s">
        <v>1070</v>
      </c>
      <c r="L3383" s="925">
        <v>2989.4217777252202</v>
      </c>
      <c r="M3383" s="925">
        <v>2.0798892378807099</v>
      </c>
    </row>
    <row r="3384" spans="1:13" ht="11.25" customHeight="1" x14ac:dyDescent="0.2">
      <c r="A3384" s="924" t="s">
        <v>853</v>
      </c>
      <c r="B3384" s="924" t="s">
        <v>1192</v>
      </c>
      <c r="C3384" s="924" t="s">
        <v>1193</v>
      </c>
      <c r="D3384" s="924" t="s">
        <v>1176</v>
      </c>
      <c r="E3384" s="924" t="s">
        <v>856</v>
      </c>
      <c r="F3384" s="924" t="s">
        <v>1149</v>
      </c>
      <c r="G3384" s="924" t="s">
        <v>981</v>
      </c>
      <c r="H3384" s="924" t="s">
        <v>835</v>
      </c>
      <c r="I3384" s="924" t="s">
        <v>1040</v>
      </c>
      <c r="J3384" s="924" t="s">
        <v>940</v>
      </c>
      <c r="K3384" s="924" t="s">
        <v>1091</v>
      </c>
      <c r="L3384" s="925">
        <v>25.814749553799601</v>
      </c>
      <c r="M3384" s="925">
        <v>1.8011185995419499E-2</v>
      </c>
    </row>
    <row r="3385" spans="1:13" ht="11.25" customHeight="1" x14ac:dyDescent="0.2">
      <c r="A3385" s="924" t="s">
        <v>853</v>
      </c>
      <c r="B3385" s="924" t="s">
        <v>1192</v>
      </c>
      <c r="C3385" s="924" t="s">
        <v>1193</v>
      </c>
      <c r="D3385" s="924" t="s">
        <v>1176</v>
      </c>
      <c r="E3385" s="924" t="s">
        <v>856</v>
      </c>
      <c r="F3385" s="924" t="s">
        <v>1160</v>
      </c>
      <c r="G3385" s="924" t="s">
        <v>981</v>
      </c>
      <c r="H3385" s="924" t="s">
        <v>835</v>
      </c>
      <c r="I3385" s="924" t="s">
        <v>1040</v>
      </c>
      <c r="J3385" s="924" t="s">
        <v>940</v>
      </c>
      <c r="K3385" s="924" t="s">
        <v>1093</v>
      </c>
      <c r="L3385" s="925">
        <v>116.463551700115</v>
      </c>
      <c r="M3385" s="925">
        <v>8.2076148071792004E-2</v>
      </c>
    </row>
    <row r="3386" spans="1:13" ht="11.25" customHeight="1" x14ac:dyDescent="0.2">
      <c r="A3386" s="924" t="s">
        <v>853</v>
      </c>
      <c r="B3386" s="924" t="s">
        <v>1192</v>
      </c>
      <c r="C3386" s="924" t="s">
        <v>1193</v>
      </c>
      <c r="D3386" s="924" t="s">
        <v>1176</v>
      </c>
      <c r="E3386" s="924" t="s">
        <v>856</v>
      </c>
      <c r="F3386" s="924" t="s">
        <v>1145</v>
      </c>
      <c r="G3386" s="924" t="s">
        <v>981</v>
      </c>
      <c r="H3386" s="924" t="s">
        <v>835</v>
      </c>
      <c r="I3386" s="924" t="s">
        <v>1040</v>
      </c>
      <c r="J3386" s="924" t="s">
        <v>940</v>
      </c>
      <c r="K3386" s="924" t="s">
        <v>1029</v>
      </c>
      <c r="L3386" s="925">
        <v>8681.7723541259802</v>
      </c>
      <c r="M3386" s="925">
        <v>5.7014151066541698</v>
      </c>
    </row>
    <row r="3387" spans="1:13" ht="11.25" customHeight="1" x14ac:dyDescent="0.2">
      <c r="A3387" s="924" t="s">
        <v>853</v>
      </c>
      <c r="B3387" s="924" t="s">
        <v>1192</v>
      </c>
      <c r="C3387" s="924" t="s">
        <v>1193</v>
      </c>
      <c r="D3387" s="924" t="s">
        <v>1176</v>
      </c>
      <c r="E3387" s="924" t="s">
        <v>856</v>
      </c>
      <c r="F3387" s="924" t="s">
        <v>1159</v>
      </c>
      <c r="G3387" s="924" t="s">
        <v>981</v>
      </c>
      <c r="H3387" s="924" t="s">
        <v>835</v>
      </c>
      <c r="I3387" s="924" t="s">
        <v>1040</v>
      </c>
      <c r="J3387" s="924" t="s">
        <v>940</v>
      </c>
      <c r="K3387" s="924" t="s">
        <v>1095</v>
      </c>
      <c r="L3387" s="925">
        <v>49.246948629617698</v>
      </c>
      <c r="M3387" s="925">
        <v>3.4365964937023798E-2</v>
      </c>
    </row>
    <row r="3388" spans="1:13" ht="11.25" customHeight="1" x14ac:dyDescent="0.2">
      <c r="A3388" s="924" t="s">
        <v>853</v>
      </c>
      <c r="B3388" s="924" t="s">
        <v>1192</v>
      </c>
      <c r="C3388" s="924" t="s">
        <v>1193</v>
      </c>
      <c r="D3388" s="924" t="s">
        <v>1176</v>
      </c>
      <c r="E3388" s="924" t="s">
        <v>856</v>
      </c>
      <c r="F3388" s="924" t="s">
        <v>1116</v>
      </c>
      <c r="G3388" s="924" t="s">
        <v>981</v>
      </c>
      <c r="H3388" s="924" t="s">
        <v>835</v>
      </c>
      <c r="I3388" s="924" t="s">
        <v>1040</v>
      </c>
      <c r="J3388" s="924" t="s">
        <v>940</v>
      </c>
      <c r="K3388" s="924" t="s">
        <v>1032</v>
      </c>
      <c r="L3388" s="925">
        <v>28024.633796691902</v>
      </c>
      <c r="M3388" s="925">
        <v>17.645823501050501</v>
      </c>
    </row>
    <row r="3389" spans="1:13" ht="11.25" customHeight="1" x14ac:dyDescent="0.2">
      <c r="A3389" s="924" t="s">
        <v>853</v>
      </c>
      <c r="B3389" s="924" t="s">
        <v>1192</v>
      </c>
      <c r="C3389" s="924" t="s">
        <v>1193</v>
      </c>
      <c r="D3389" s="924" t="s">
        <v>1176</v>
      </c>
      <c r="E3389" s="924" t="s">
        <v>856</v>
      </c>
      <c r="F3389" s="924" t="s">
        <v>1132</v>
      </c>
      <c r="G3389" s="924" t="s">
        <v>981</v>
      </c>
      <c r="H3389" s="924" t="s">
        <v>835</v>
      </c>
      <c r="I3389" s="924" t="s">
        <v>1040</v>
      </c>
      <c r="J3389" s="924" t="s">
        <v>940</v>
      </c>
      <c r="K3389" s="924" t="s">
        <v>941</v>
      </c>
      <c r="L3389" s="925">
        <v>1448.67354917526</v>
      </c>
      <c r="M3389" s="925">
        <v>0.63184227119199898</v>
      </c>
    </row>
    <row r="3390" spans="1:13" ht="11.25" customHeight="1" x14ac:dyDescent="0.2">
      <c r="A3390" s="924" t="s">
        <v>853</v>
      </c>
      <c r="B3390" s="924" t="s">
        <v>1192</v>
      </c>
      <c r="C3390" s="924" t="s">
        <v>1193</v>
      </c>
      <c r="D3390" s="924" t="s">
        <v>1176</v>
      </c>
      <c r="E3390" s="924" t="s">
        <v>856</v>
      </c>
      <c r="F3390" s="924" t="s">
        <v>1105</v>
      </c>
      <c r="G3390" s="924" t="s">
        <v>981</v>
      </c>
      <c r="H3390" s="924" t="s">
        <v>835</v>
      </c>
      <c r="I3390" s="924" t="s">
        <v>1040</v>
      </c>
      <c r="J3390" s="924" t="s">
        <v>940</v>
      </c>
      <c r="K3390" s="924" t="s">
        <v>1106</v>
      </c>
      <c r="L3390" s="925">
        <v>448.59882545471203</v>
      </c>
      <c r="M3390" s="925">
        <v>0.32843828681626502</v>
      </c>
    </row>
    <row r="3391" spans="1:13" ht="11.25" customHeight="1" x14ac:dyDescent="0.2">
      <c r="A3391" s="924" t="s">
        <v>853</v>
      </c>
      <c r="B3391" s="924" t="s">
        <v>1192</v>
      </c>
      <c r="C3391" s="924" t="s">
        <v>1193</v>
      </c>
      <c r="D3391" s="924" t="s">
        <v>1176</v>
      </c>
      <c r="E3391" s="924" t="s">
        <v>856</v>
      </c>
      <c r="F3391" s="924" t="s">
        <v>1146</v>
      </c>
      <c r="G3391" s="924" t="s">
        <v>981</v>
      </c>
      <c r="H3391" s="924" t="s">
        <v>835</v>
      </c>
      <c r="I3391" s="924" t="s">
        <v>1040</v>
      </c>
      <c r="J3391" s="924" t="s">
        <v>940</v>
      </c>
      <c r="K3391" s="924" t="s">
        <v>1147</v>
      </c>
      <c r="L3391" s="925">
        <v>12618.769859313999</v>
      </c>
      <c r="M3391" s="925">
        <v>8.1130703315138799</v>
      </c>
    </row>
    <row r="3392" spans="1:13" ht="11.25" customHeight="1" x14ac:dyDescent="0.2">
      <c r="A3392" s="924" t="s">
        <v>853</v>
      </c>
      <c r="B3392" s="924" t="s">
        <v>1192</v>
      </c>
      <c r="C3392" s="924" t="s">
        <v>1193</v>
      </c>
      <c r="D3392" s="924" t="s">
        <v>1176</v>
      </c>
      <c r="E3392" s="924" t="s">
        <v>856</v>
      </c>
      <c r="F3392" s="924" t="s">
        <v>1150</v>
      </c>
      <c r="G3392" s="924" t="s">
        <v>981</v>
      </c>
      <c r="H3392" s="924" t="s">
        <v>835</v>
      </c>
      <c r="I3392" s="924" t="s">
        <v>1040</v>
      </c>
      <c r="J3392" s="924" t="s">
        <v>940</v>
      </c>
      <c r="K3392" s="924" t="s">
        <v>1151</v>
      </c>
      <c r="L3392" s="925">
        <v>344.36850440502201</v>
      </c>
      <c r="M3392" s="925">
        <v>0.242173618287779</v>
      </c>
    </row>
    <row r="3393" spans="1:13" ht="11.25" customHeight="1" x14ac:dyDescent="0.2">
      <c r="A3393" s="924" t="s">
        <v>853</v>
      </c>
      <c r="B3393" s="924" t="s">
        <v>1192</v>
      </c>
      <c r="C3393" s="924" t="s">
        <v>1193</v>
      </c>
      <c r="D3393" s="924" t="s">
        <v>1176</v>
      </c>
      <c r="E3393" s="924" t="s">
        <v>856</v>
      </c>
      <c r="F3393" s="924" t="s">
        <v>1152</v>
      </c>
      <c r="G3393" s="924" t="s">
        <v>981</v>
      </c>
      <c r="H3393" s="924" t="s">
        <v>835</v>
      </c>
      <c r="I3393" s="924" t="s">
        <v>1040</v>
      </c>
      <c r="J3393" s="924" t="s">
        <v>940</v>
      </c>
      <c r="K3393" s="924" t="s">
        <v>1153</v>
      </c>
      <c r="L3393" s="925">
        <v>638.83363699913002</v>
      </c>
      <c r="M3393" s="925">
        <v>0.41961681982502302</v>
      </c>
    </row>
    <row r="3394" spans="1:13" ht="11.25" customHeight="1" x14ac:dyDescent="0.2">
      <c r="A3394" s="924" t="s">
        <v>853</v>
      </c>
      <c r="B3394" s="924" t="s">
        <v>1192</v>
      </c>
      <c r="C3394" s="924" t="s">
        <v>1193</v>
      </c>
      <c r="D3394" s="924" t="s">
        <v>1176</v>
      </c>
      <c r="E3394" s="924" t="s">
        <v>856</v>
      </c>
      <c r="F3394" s="924" t="s">
        <v>1154</v>
      </c>
      <c r="G3394" s="924" t="s">
        <v>981</v>
      </c>
      <c r="H3394" s="924" t="s">
        <v>835</v>
      </c>
      <c r="I3394" s="924" t="s">
        <v>1040</v>
      </c>
      <c r="J3394" s="924" t="s">
        <v>940</v>
      </c>
      <c r="K3394" s="924" t="s">
        <v>1155</v>
      </c>
      <c r="L3394" s="925">
        <v>941.33600234985397</v>
      </c>
      <c r="M3394" s="925">
        <v>0.606270222113096</v>
      </c>
    </row>
    <row r="3395" spans="1:13" ht="11.25" customHeight="1" x14ac:dyDescent="0.2">
      <c r="A3395" s="924" t="s">
        <v>853</v>
      </c>
      <c r="B3395" s="924" t="s">
        <v>1192</v>
      </c>
      <c r="C3395" s="924" t="s">
        <v>1193</v>
      </c>
      <c r="D3395" s="924" t="s">
        <v>1176</v>
      </c>
      <c r="E3395" s="924" t="s">
        <v>856</v>
      </c>
      <c r="F3395" s="924" t="s">
        <v>1156</v>
      </c>
      <c r="G3395" s="924" t="s">
        <v>981</v>
      </c>
      <c r="H3395" s="924" t="s">
        <v>835</v>
      </c>
      <c r="I3395" s="924" t="s">
        <v>1040</v>
      </c>
      <c r="J3395" s="924" t="s">
        <v>940</v>
      </c>
      <c r="K3395" s="924" t="s">
        <v>1025</v>
      </c>
      <c r="L3395" s="925">
        <v>1911.8731842041</v>
      </c>
      <c r="M3395" s="925">
        <v>3.5835037790238902</v>
      </c>
    </row>
    <row r="3396" spans="1:13" ht="11.25" customHeight="1" x14ac:dyDescent="0.2">
      <c r="A3396" s="924" t="s">
        <v>853</v>
      </c>
      <c r="B3396" s="924" t="s">
        <v>1192</v>
      </c>
      <c r="C3396" s="924" t="s">
        <v>1193</v>
      </c>
      <c r="D3396" s="924" t="s">
        <v>1176</v>
      </c>
      <c r="E3396" s="924" t="s">
        <v>856</v>
      </c>
      <c r="F3396" s="924" t="s">
        <v>1157</v>
      </c>
      <c r="G3396" s="924" t="s">
        <v>981</v>
      </c>
      <c r="H3396" s="924" t="s">
        <v>835</v>
      </c>
      <c r="I3396" s="924" t="s">
        <v>1040</v>
      </c>
      <c r="J3396" s="924" t="s">
        <v>940</v>
      </c>
      <c r="K3396" s="924" t="s">
        <v>1098</v>
      </c>
      <c r="L3396" s="925">
        <v>530.27642822265602</v>
      </c>
      <c r="M3396" s="925">
        <v>0.99521727580577102</v>
      </c>
    </row>
    <row r="3397" spans="1:13" ht="11.25" customHeight="1" x14ac:dyDescent="0.2">
      <c r="A3397" s="924" t="s">
        <v>853</v>
      </c>
      <c r="B3397" s="924" t="s">
        <v>1192</v>
      </c>
      <c r="C3397" s="924" t="s">
        <v>1193</v>
      </c>
      <c r="D3397" s="924" t="s">
        <v>1176</v>
      </c>
      <c r="E3397" s="924" t="s">
        <v>856</v>
      </c>
      <c r="F3397" s="924" t="s">
        <v>1161</v>
      </c>
      <c r="G3397" s="924" t="s">
        <v>981</v>
      </c>
      <c r="H3397" s="924" t="s">
        <v>835</v>
      </c>
      <c r="I3397" s="924" t="s">
        <v>1040</v>
      </c>
      <c r="J3397" s="924" t="s">
        <v>940</v>
      </c>
      <c r="K3397" s="924" t="s">
        <v>1027</v>
      </c>
      <c r="L3397" s="925">
        <v>721.60967969894398</v>
      </c>
      <c r="M3397" s="925">
        <v>0.49824365559811701</v>
      </c>
    </row>
    <row r="3398" spans="1:13" ht="11.25" customHeight="1" x14ac:dyDescent="0.2">
      <c r="A3398" s="924" t="s">
        <v>853</v>
      </c>
      <c r="B3398" s="924" t="s">
        <v>1192</v>
      </c>
      <c r="C3398" s="924" t="s">
        <v>1193</v>
      </c>
      <c r="D3398" s="924" t="s">
        <v>1176</v>
      </c>
      <c r="E3398" s="924" t="s">
        <v>856</v>
      </c>
      <c r="F3398" s="924" t="s">
        <v>1158</v>
      </c>
      <c r="G3398" s="924" t="s">
        <v>981</v>
      </c>
      <c r="H3398" s="924" t="s">
        <v>835</v>
      </c>
      <c r="I3398" s="924" t="s">
        <v>1040</v>
      </c>
      <c r="J3398" s="924" t="s">
        <v>940</v>
      </c>
      <c r="K3398" s="924" t="s">
        <v>1023</v>
      </c>
      <c r="L3398" s="925">
        <v>4771.86183929443</v>
      </c>
      <c r="M3398" s="925">
        <v>2.7396417728086799</v>
      </c>
    </row>
    <row r="3399" spans="1:13" ht="11.25" customHeight="1" x14ac:dyDescent="0.2">
      <c r="A3399" s="924" t="s">
        <v>853</v>
      </c>
      <c r="B3399" s="924" t="s">
        <v>1194</v>
      </c>
      <c r="C3399" s="924" t="s">
        <v>1195</v>
      </c>
      <c r="D3399" s="924" t="s">
        <v>1190</v>
      </c>
      <c r="E3399" s="924" t="s">
        <v>856</v>
      </c>
      <c r="F3399" s="924" t="s">
        <v>867</v>
      </c>
      <c r="G3399" s="924" t="s">
        <v>862</v>
      </c>
      <c r="H3399" s="924" t="s">
        <v>665</v>
      </c>
      <c r="I3399" s="924" t="s">
        <v>787</v>
      </c>
      <c r="J3399" s="924" t="s">
        <v>863</v>
      </c>
      <c r="K3399" s="924" t="s">
        <v>868</v>
      </c>
      <c r="L3399" s="925">
        <v>0.396633531432599</v>
      </c>
      <c r="M3399" s="925">
        <v>1.6227925298153399E-3</v>
      </c>
    </row>
    <row r="3400" spans="1:13" ht="11.25" customHeight="1" x14ac:dyDescent="0.2">
      <c r="A3400" s="924" t="s">
        <v>853</v>
      </c>
      <c r="B3400" s="924" t="s">
        <v>1194</v>
      </c>
      <c r="C3400" s="924" t="s">
        <v>1195</v>
      </c>
      <c r="D3400" s="924" t="s">
        <v>1190</v>
      </c>
      <c r="E3400" s="924" t="s">
        <v>856</v>
      </c>
      <c r="F3400" s="924" t="s">
        <v>883</v>
      </c>
      <c r="G3400" s="924" t="s">
        <v>858</v>
      </c>
      <c r="H3400" s="924" t="s">
        <v>836</v>
      </c>
      <c r="I3400" s="924" t="s">
        <v>837</v>
      </c>
      <c r="J3400" s="924" t="s">
        <v>884</v>
      </c>
      <c r="K3400" s="924" t="s">
        <v>885</v>
      </c>
      <c r="L3400" s="925">
        <v>78.774263620376601</v>
      </c>
      <c r="M3400" s="925">
        <v>3.02141586627158E-3</v>
      </c>
    </row>
    <row r="3401" spans="1:13" ht="11.25" customHeight="1" x14ac:dyDescent="0.2">
      <c r="A3401" s="924" t="s">
        <v>853</v>
      </c>
      <c r="B3401" s="924" t="s">
        <v>1194</v>
      </c>
      <c r="C3401" s="924" t="s">
        <v>1195</v>
      </c>
      <c r="D3401" s="924" t="s">
        <v>1190</v>
      </c>
      <c r="E3401" s="924" t="s">
        <v>856</v>
      </c>
      <c r="F3401" s="924" t="s">
        <v>881</v>
      </c>
      <c r="G3401" s="924" t="s">
        <v>862</v>
      </c>
      <c r="H3401" s="924" t="s">
        <v>665</v>
      </c>
      <c r="I3401" s="924" t="s">
        <v>787</v>
      </c>
      <c r="J3401" s="924" t="s">
        <v>875</v>
      </c>
      <c r="K3401" s="924" t="s">
        <v>882</v>
      </c>
      <c r="L3401" s="925">
        <v>53.7107728123665</v>
      </c>
      <c r="M3401" s="925">
        <v>0.25666306703351399</v>
      </c>
    </row>
    <row r="3402" spans="1:13" ht="11.25" customHeight="1" x14ac:dyDescent="0.2">
      <c r="A3402" s="924" t="s">
        <v>853</v>
      </c>
      <c r="B3402" s="924" t="s">
        <v>1194</v>
      </c>
      <c r="C3402" s="924" t="s">
        <v>1195</v>
      </c>
      <c r="D3402" s="924" t="s">
        <v>1190</v>
      </c>
      <c r="E3402" s="924" t="s">
        <v>856</v>
      </c>
      <c r="F3402" s="924" t="s">
        <v>879</v>
      </c>
      <c r="G3402" s="924" t="s">
        <v>862</v>
      </c>
      <c r="H3402" s="924" t="s">
        <v>665</v>
      </c>
      <c r="I3402" s="924" t="s">
        <v>787</v>
      </c>
      <c r="J3402" s="924" t="s">
        <v>875</v>
      </c>
      <c r="K3402" s="924" t="s">
        <v>880</v>
      </c>
      <c r="L3402" s="925">
        <v>1.5091306027025</v>
      </c>
      <c r="M3402" s="925">
        <v>8.4900835036023602E-3</v>
      </c>
    </row>
    <row r="3403" spans="1:13" ht="11.25" customHeight="1" x14ac:dyDescent="0.2">
      <c r="A3403" s="924" t="s">
        <v>853</v>
      </c>
      <c r="B3403" s="924" t="s">
        <v>1194</v>
      </c>
      <c r="C3403" s="924" t="s">
        <v>1195</v>
      </c>
      <c r="D3403" s="924" t="s">
        <v>1190</v>
      </c>
      <c r="E3403" s="924" t="s">
        <v>856</v>
      </c>
      <c r="F3403" s="924" t="s">
        <v>877</v>
      </c>
      <c r="G3403" s="924" t="s">
        <v>862</v>
      </c>
      <c r="H3403" s="924" t="s">
        <v>665</v>
      </c>
      <c r="I3403" s="924" t="s">
        <v>787</v>
      </c>
      <c r="J3403" s="924" t="s">
        <v>875</v>
      </c>
      <c r="K3403" s="924" t="s">
        <v>878</v>
      </c>
      <c r="L3403" s="925">
        <v>1.02316882833838</v>
      </c>
      <c r="M3403" s="925">
        <v>1.6762271199695498E-2</v>
      </c>
    </row>
    <row r="3404" spans="1:13" ht="11.25" customHeight="1" x14ac:dyDescent="0.2">
      <c r="A3404" s="924" t="s">
        <v>853</v>
      </c>
      <c r="B3404" s="924" t="s">
        <v>1194</v>
      </c>
      <c r="C3404" s="924" t="s">
        <v>1195</v>
      </c>
      <c r="D3404" s="924" t="s">
        <v>1190</v>
      </c>
      <c r="E3404" s="924" t="s">
        <v>856</v>
      </c>
      <c r="F3404" s="924" t="s">
        <v>874</v>
      </c>
      <c r="G3404" s="924" t="s">
        <v>862</v>
      </c>
      <c r="H3404" s="924" t="s">
        <v>665</v>
      </c>
      <c r="I3404" s="924" t="s">
        <v>787</v>
      </c>
      <c r="J3404" s="924" t="s">
        <v>875</v>
      </c>
      <c r="K3404" s="924" t="s">
        <v>876</v>
      </c>
      <c r="L3404" s="925">
        <v>21.389951527118701</v>
      </c>
      <c r="M3404" s="925">
        <v>0.65065305773168802</v>
      </c>
    </row>
    <row r="3405" spans="1:13" ht="11.25" customHeight="1" x14ac:dyDescent="0.2">
      <c r="A3405" s="924" t="s">
        <v>853</v>
      </c>
      <c r="B3405" s="924" t="s">
        <v>1194</v>
      </c>
      <c r="C3405" s="924" t="s">
        <v>1195</v>
      </c>
      <c r="D3405" s="924" t="s">
        <v>1190</v>
      </c>
      <c r="E3405" s="924" t="s">
        <v>856</v>
      </c>
      <c r="F3405" s="924" t="s">
        <v>865</v>
      </c>
      <c r="G3405" s="924" t="s">
        <v>862</v>
      </c>
      <c r="H3405" s="924" t="s">
        <v>665</v>
      </c>
      <c r="I3405" s="924" t="s">
        <v>787</v>
      </c>
      <c r="J3405" s="924" t="s">
        <v>863</v>
      </c>
      <c r="K3405" s="924" t="s">
        <v>866</v>
      </c>
      <c r="L3405" s="925">
        <v>0.33095068577677</v>
      </c>
      <c r="M3405" s="925">
        <v>1.5966984900615E-3</v>
      </c>
    </row>
    <row r="3406" spans="1:13" ht="11.25" customHeight="1" x14ac:dyDescent="0.2">
      <c r="A3406" s="924" t="s">
        <v>853</v>
      </c>
      <c r="B3406" s="924" t="s">
        <v>1194</v>
      </c>
      <c r="C3406" s="924" t="s">
        <v>1195</v>
      </c>
      <c r="D3406" s="924" t="s">
        <v>1190</v>
      </c>
      <c r="E3406" s="924" t="s">
        <v>856</v>
      </c>
      <c r="F3406" s="924" t="s">
        <v>869</v>
      </c>
      <c r="G3406" s="924" t="s">
        <v>862</v>
      </c>
      <c r="H3406" s="924" t="s">
        <v>665</v>
      </c>
      <c r="I3406" s="924" t="s">
        <v>787</v>
      </c>
      <c r="J3406" s="924" t="s">
        <v>870</v>
      </c>
      <c r="K3406" s="924" t="s">
        <v>871</v>
      </c>
      <c r="L3406" s="925">
        <v>0.15404099662555401</v>
      </c>
      <c r="M3406" s="925">
        <v>8.8384923633384495E-3</v>
      </c>
    </row>
    <row r="3407" spans="1:13" ht="11.25" customHeight="1" x14ac:dyDescent="0.2">
      <c r="A3407" s="924" t="s">
        <v>853</v>
      </c>
      <c r="B3407" s="924" t="s">
        <v>1194</v>
      </c>
      <c r="C3407" s="924" t="s">
        <v>1195</v>
      </c>
      <c r="D3407" s="924" t="s">
        <v>1190</v>
      </c>
      <c r="E3407" s="924" t="s">
        <v>856</v>
      </c>
      <c r="F3407" s="924" t="s">
        <v>898</v>
      </c>
      <c r="G3407" s="924" t="s">
        <v>858</v>
      </c>
      <c r="H3407" s="924" t="s">
        <v>836</v>
      </c>
      <c r="I3407" s="924" t="s">
        <v>837</v>
      </c>
      <c r="J3407" s="924" t="s">
        <v>859</v>
      </c>
      <c r="K3407" s="924" t="s">
        <v>899</v>
      </c>
      <c r="L3407" s="925">
        <v>7.26085288822651</v>
      </c>
      <c r="M3407" s="925">
        <v>1.26295478944272E-4</v>
      </c>
    </row>
    <row r="3408" spans="1:13" ht="11.25" customHeight="1" x14ac:dyDescent="0.2">
      <c r="A3408" s="924" t="s">
        <v>853</v>
      </c>
      <c r="B3408" s="924" t="s">
        <v>1194</v>
      </c>
      <c r="C3408" s="924" t="s">
        <v>1195</v>
      </c>
      <c r="D3408" s="924" t="s">
        <v>1190</v>
      </c>
      <c r="E3408" s="924" t="s">
        <v>856</v>
      </c>
      <c r="F3408" s="924" t="s">
        <v>861</v>
      </c>
      <c r="G3408" s="924" t="s">
        <v>862</v>
      </c>
      <c r="H3408" s="924" t="s">
        <v>665</v>
      </c>
      <c r="I3408" s="924" t="s">
        <v>787</v>
      </c>
      <c r="J3408" s="924" t="s">
        <v>863</v>
      </c>
      <c r="K3408" s="924" t="s">
        <v>864</v>
      </c>
      <c r="L3408" s="925">
        <v>3.2430805847980103E-2</v>
      </c>
      <c r="M3408" s="925">
        <v>1.3325202337455299E-4</v>
      </c>
    </row>
    <row r="3409" spans="1:13" ht="11.25" customHeight="1" x14ac:dyDescent="0.2">
      <c r="A3409" s="924" t="s">
        <v>853</v>
      </c>
      <c r="B3409" s="924" t="s">
        <v>1194</v>
      </c>
      <c r="C3409" s="924" t="s">
        <v>1195</v>
      </c>
      <c r="D3409" s="924" t="s">
        <v>1190</v>
      </c>
      <c r="E3409" s="924" t="s">
        <v>856</v>
      </c>
      <c r="F3409" s="924" t="s">
        <v>872</v>
      </c>
      <c r="G3409" s="924" t="s">
        <v>862</v>
      </c>
      <c r="H3409" s="924" t="s">
        <v>665</v>
      </c>
      <c r="I3409" s="924" t="s">
        <v>787</v>
      </c>
      <c r="J3409" s="924" t="s">
        <v>870</v>
      </c>
      <c r="K3409" s="924" t="s">
        <v>873</v>
      </c>
      <c r="L3409" s="925">
        <v>16.944476023316401</v>
      </c>
      <c r="M3409" s="925">
        <v>6.8201758753275499E-2</v>
      </c>
    </row>
    <row r="3410" spans="1:13" ht="11.25" customHeight="1" x14ac:dyDescent="0.2">
      <c r="A3410" s="924" t="s">
        <v>853</v>
      </c>
      <c r="B3410" s="924" t="s">
        <v>1194</v>
      </c>
      <c r="C3410" s="924" t="s">
        <v>1195</v>
      </c>
      <c r="D3410" s="924" t="s">
        <v>1190</v>
      </c>
      <c r="E3410" s="924" t="s">
        <v>856</v>
      </c>
      <c r="F3410" s="924" t="s">
        <v>912</v>
      </c>
      <c r="G3410" s="924" t="s">
        <v>858</v>
      </c>
      <c r="H3410" s="924" t="s">
        <v>836</v>
      </c>
      <c r="I3410" s="924" t="s">
        <v>837</v>
      </c>
      <c r="J3410" s="924" t="s">
        <v>859</v>
      </c>
      <c r="K3410" s="924" t="s">
        <v>913</v>
      </c>
      <c r="L3410" s="925">
        <v>78.880946755409198</v>
      </c>
      <c r="M3410" s="925">
        <v>8.6867159396319905E-4</v>
      </c>
    </row>
    <row r="3411" spans="1:13" ht="11.25" customHeight="1" x14ac:dyDescent="0.2">
      <c r="A3411" s="924" t="s">
        <v>853</v>
      </c>
      <c r="B3411" s="924" t="s">
        <v>1194</v>
      </c>
      <c r="C3411" s="924" t="s">
        <v>1195</v>
      </c>
      <c r="D3411" s="924" t="s">
        <v>1190</v>
      </c>
      <c r="E3411" s="924" t="s">
        <v>856</v>
      </c>
      <c r="F3411" s="924" t="s">
        <v>888</v>
      </c>
      <c r="G3411" s="924" t="s">
        <v>858</v>
      </c>
      <c r="H3411" s="924" t="s">
        <v>836</v>
      </c>
      <c r="I3411" s="924" t="s">
        <v>837</v>
      </c>
      <c r="J3411" s="924" t="s">
        <v>859</v>
      </c>
      <c r="K3411" s="924" t="s">
        <v>889</v>
      </c>
      <c r="L3411" s="925">
        <v>0.128438089857809</v>
      </c>
      <c r="M3411" s="925">
        <v>1.41716132754655E-5</v>
      </c>
    </row>
    <row r="3412" spans="1:13" ht="11.25" customHeight="1" x14ac:dyDescent="0.2">
      <c r="A3412" s="924" t="s">
        <v>853</v>
      </c>
      <c r="B3412" s="924" t="s">
        <v>1194</v>
      </c>
      <c r="C3412" s="924" t="s">
        <v>1195</v>
      </c>
      <c r="D3412" s="924" t="s">
        <v>1190</v>
      </c>
      <c r="E3412" s="924" t="s">
        <v>856</v>
      </c>
      <c r="F3412" s="924" t="s">
        <v>857</v>
      </c>
      <c r="G3412" s="924" t="s">
        <v>858</v>
      </c>
      <c r="H3412" s="924" t="s">
        <v>836</v>
      </c>
      <c r="I3412" s="924" t="s">
        <v>837</v>
      </c>
      <c r="J3412" s="924" t="s">
        <v>859</v>
      </c>
      <c r="K3412" s="924" t="s">
        <v>860</v>
      </c>
      <c r="L3412" s="925">
        <v>2.11599154397845</v>
      </c>
      <c r="M3412" s="925">
        <v>1.9473766961874999E-4</v>
      </c>
    </row>
    <row r="3413" spans="1:13" ht="11.25" customHeight="1" x14ac:dyDescent="0.2">
      <c r="A3413" s="924" t="s">
        <v>853</v>
      </c>
      <c r="B3413" s="924" t="s">
        <v>1194</v>
      </c>
      <c r="C3413" s="924" t="s">
        <v>1195</v>
      </c>
      <c r="D3413" s="924" t="s">
        <v>1190</v>
      </c>
      <c r="E3413" s="924" t="s">
        <v>856</v>
      </c>
      <c r="F3413" s="924" t="s">
        <v>892</v>
      </c>
      <c r="G3413" s="924" t="s">
        <v>858</v>
      </c>
      <c r="H3413" s="924" t="s">
        <v>836</v>
      </c>
      <c r="I3413" s="924" t="s">
        <v>837</v>
      </c>
      <c r="J3413" s="924" t="s">
        <v>859</v>
      </c>
      <c r="K3413" s="924" t="s">
        <v>893</v>
      </c>
      <c r="L3413" s="925">
        <v>197.46331548690799</v>
      </c>
      <c r="M3413" s="925">
        <v>2.49787429228832E-3</v>
      </c>
    </row>
    <row r="3414" spans="1:13" ht="11.25" customHeight="1" x14ac:dyDescent="0.2">
      <c r="A3414" s="924" t="s">
        <v>853</v>
      </c>
      <c r="B3414" s="924" t="s">
        <v>1194</v>
      </c>
      <c r="C3414" s="924" t="s">
        <v>1195</v>
      </c>
      <c r="D3414" s="924" t="s">
        <v>1190</v>
      </c>
      <c r="E3414" s="924" t="s">
        <v>856</v>
      </c>
      <c r="F3414" s="924" t="s">
        <v>906</v>
      </c>
      <c r="G3414" s="924" t="s">
        <v>858</v>
      </c>
      <c r="H3414" s="924" t="s">
        <v>836</v>
      </c>
      <c r="I3414" s="924" t="s">
        <v>837</v>
      </c>
      <c r="J3414" s="924" t="s">
        <v>859</v>
      </c>
      <c r="K3414" s="924" t="s">
        <v>907</v>
      </c>
      <c r="L3414" s="925">
        <v>800.21251296997104</v>
      </c>
      <c r="M3414" s="925">
        <v>5.3273902566957103E-3</v>
      </c>
    </row>
    <row r="3415" spans="1:13" ht="11.25" customHeight="1" x14ac:dyDescent="0.2">
      <c r="A3415" s="924" t="s">
        <v>853</v>
      </c>
      <c r="B3415" s="924" t="s">
        <v>1194</v>
      </c>
      <c r="C3415" s="924" t="s">
        <v>1195</v>
      </c>
      <c r="D3415" s="924" t="s">
        <v>1190</v>
      </c>
      <c r="E3415" s="924" t="s">
        <v>856</v>
      </c>
      <c r="F3415" s="924" t="s">
        <v>896</v>
      </c>
      <c r="G3415" s="924" t="s">
        <v>858</v>
      </c>
      <c r="H3415" s="924" t="s">
        <v>836</v>
      </c>
      <c r="I3415" s="924" t="s">
        <v>837</v>
      </c>
      <c r="J3415" s="924" t="s">
        <v>859</v>
      </c>
      <c r="K3415" s="924" t="s">
        <v>897</v>
      </c>
      <c r="L3415" s="925">
        <v>11.847312361002</v>
      </c>
      <c r="M3415" s="925">
        <v>1.9185324562798201E-4</v>
      </c>
    </row>
    <row r="3416" spans="1:13" ht="11.25" customHeight="1" x14ac:dyDescent="0.2">
      <c r="A3416" s="924" t="s">
        <v>853</v>
      </c>
      <c r="B3416" s="924" t="s">
        <v>1194</v>
      </c>
      <c r="C3416" s="924" t="s">
        <v>1195</v>
      </c>
      <c r="D3416" s="924" t="s">
        <v>1190</v>
      </c>
      <c r="E3416" s="924" t="s">
        <v>856</v>
      </c>
      <c r="F3416" s="924" t="s">
        <v>900</v>
      </c>
      <c r="G3416" s="924" t="s">
        <v>858</v>
      </c>
      <c r="H3416" s="924" t="s">
        <v>836</v>
      </c>
      <c r="I3416" s="924" t="s">
        <v>837</v>
      </c>
      <c r="J3416" s="924" t="s">
        <v>859</v>
      </c>
      <c r="K3416" s="924" t="s">
        <v>901</v>
      </c>
      <c r="L3416" s="925">
        <v>21.8081900179386</v>
      </c>
      <c r="M3416" s="925">
        <v>9.5045365280555004E-4</v>
      </c>
    </row>
    <row r="3417" spans="1:13" ht="11.25" customHeight="1" x14ac:dyDescent="0.2">
      <c r="A3417" s="924" t="s">
        <v>853</v>
      </c>
      <c r="B3417" s="924" t="s">
        <v>1194</v>
      </c>
      <c r="C3417" s="924" t="s">
        <v>1195</v>
      </c>
      <c r="D3417" s="924" t="s">
        <v>1190</v>
      </c>
      <c r="E3417" s="924" t="s">
        <v>856</v>
      </c>
      <c r="F3417" s="924" t="s">
        <v>902</v>
      </c>
      <c r="G3417" s="924" t="s">
        <v>858</v>
      </c>
      <c r="H3417" s="924" t="s">
        <v>836</v>
      </c>
      <c r="I3417" s="924" t="s">
        <v>837</v>
      </c>
      <c r="J3417" s="924" t="s">
        <v>859</v>
      </c>
      <c r="K3417" s="924" t="s">
        <v>903</v>
      </c>
      <c r="L3417" s="925">
        <v>93.647383451461806</v>
      </c>
      <c r="M3417" s="925">
        <v>1.62794882989203E-3</v>
      </c>
    </row>
    <row r="3418" spans="1:13" ht="11.25" customHeight="1" x14ac:dyDescent="0.2">
      <c r="A3418" s="924" t="s">
        <v>853</v>
      </c>
      <c r="B3418" s="924" t="s">
        <v>1194</v>
      </c>
      <c r="C3418" s="924" t="s">
        <v>1195</v>
      </c>
      <c r="D3418" s="924" t="s">
        <v>1190</v>
      </c>
      <c r="E3418" s="924" t="s">
        <v>856</v>
      </c>
      <c r="F3418" s="924" t="s">
        <v>904</v>
      </c>
      <c r="G3418" s="924" t="s">
        <v>858</v>
      </c>
      <c r="H3418" s="924" t="s">
        <v>836</v>
      </c>
      <c r="I3418" s="924" t="s">
        <v>837</v>
      </c>
      <c r="J3418" s="924" t="s">
        <v>859</v>
      </c>
      <c r="K3418" s="924" t="s">
        <v>905</v>
      </c>
      <c r="L3418" s="925">
        <v>81.083557009697003</v>
      </c>
      <c r="M3418" s="925">
        <v>1.53608250656134E-3</v>
      </c>
    </row>
    <row r="3419" spans="1:13" ht="11.25" customHeight="1" x14ac:dyDescent="0.2">
      <c r="A3419" s="924" t="s">
        <v>853</v>
      </c>
      <c r="B3419" s="924" t="s">
        <v>1194</v>
      </c>
      <c r="C3419" s="924" t="s">
        <v>1195</v>
      </c>
      <c r="D3419" s="924" t="s">
        <v>1190</v>
      </c>
      <c r="E3419" s="924" t="s">
        <v>856</v>
      </c>
      <c r="F3419" s="924" t="s">
        <v>938</v>
      </c>
      <c r="G3419" s="924" t="s">
        <v>911</v>
      </c>
      <c r="H3419" s="924" t="s">
        <v>665</v>
      </c>
      <c r="I3419" s="924" t="s">
        <v>706</v>
      </c>
      <c r="J3419" s="924" t="s">
        <v>863</v>
      </c>
      <c r="K3419" s="924" t="s">
        <v>868</v>
      </c>
      <c r="L3419" s="925">
        <v>4.8207347244024303</v>
      </c>
      <c r="M3419" s="925">
        <v>2.22755735194369E-4</v>
      </c>
    </row>
    <row r="3420" spans="1:13" ht="11.25" customHeight="1" x14ac:dyDescent="0.2">
      <c r="A3420" s="924" t="s">
        <v>853</v>
      </c>
      <c r="B3420" s="924" t="s">
        <v>1194</v>
      </c>
      <c r="C3420" s="924" t="s">
        <v>1195</v>
      </c>
      <c r="D3420" s="924" t="s">
        <v>1190</v>
      </c>
      <c r="E3420" s="924" t="s">
        <v>856</v>
      </c>
      <c r="F3420" s="924" t="s">
        <v>908</v>
      </c>
      <c r="G3420" s="924" t="s">
        <v>858</v>
      </c>
      <c r="H3420" s="924" t="s">
        <v>836</v>
      </c>
      <c r="I3420" s="924" t="s">
        <v>837</v>
      </c>
      <c r="J3420" s="924" t="s">
        <v>859</v>
      </c>
      <c r="K3420" s="924" t="s">
        <v>909</v>
      </c>
      <c r="L3420" s="925">
        <v>6.6574496626853898</v>
      </c>
      <c r="M3420" s="925">
        <v>1.3934291673045599E-4</v>
      </c>
    </row>
    <row r="3421" spans="1:13" ht="11.25" customHeight="1" x14ac:dyDescent="0.2">
      <c r="A3421" s="924" t="s">
        <v>853</v>
      </c>
      <c r="B3421" s="924" t="s">
        <v>1194</v>
      </c>
      <c r="C3421" s="924" t="s">
        <v>1195</v>
      </c>
      <c r="D3421" s="924" t="s">
        <v>1190</v>
      </c>
      <c r="E3421" s="924" t="s">
        <v>856</v>
      </c>
      <c r="F3421" s="924" t="s">
        <v>972</v>
      </c>
      <c r="G3421" s="924" t="s">
        <v>858</v>
      </c>
      <c r="H3421" s="924" t="s">
        <v>836</v>
      </c>
      <c r="I3421" s="924" t="s">
        <v>837</v>
      </c>
      <c r="J3421" s="924" t="s">
        <v>859</v>
      </c>
      <c r="K3421" s="924" t="s">
        <v>973</v>
      </c>
      <c r="L3421" s="925">
        <v>3.1653013266622998</v>
      </c>
      <c r="M3421" s="925">
        <v>8.0634018337022399E-5</v>
      </c>
    </row>
    <row r="3422" spans="1:13" ht="11.25" customHeight="1" x14ac:dyDescent="0.2">
      <c r="A3422" s="924" t="s">
        <v>853</v>
      </c>
      <c r="B3422" s="924" t="s">
        <v>1194</v>
      </c>
      <c r="C3422" s="924" t="s">
        <v>1195</v>
      </c>
      <c r="D3422" s="924" t="s">
        <v>1190</v>
      </c>
      <c r="E3422" s="924" t="s">
        <v>856</v>
      </c>
      <c r="F3422" s="924" t="s">
        <v>894</v>
      </c>
      <c r="G3422" s="924" t="s">
        <v>858</v>
      </c>
      <c r="H3422" s="924" t="s">
        <v>836</v>
      </c>
      <c r="I3422" s="924" t="s">
        <v>837</v>
      </c>
      <c r="J3422" s="924" t="s">
        <v>859</v>
      </c>
      <c r="K3422" s="924" t="s">
        <v>895</v>
      </c>
      <c r="L3422" s="925">
        <v>214.846309423447</v>
      </c>
      <c r="M3422" s="925">
        <v>1.42312937950351E-3</v>
      </c>
    </row>
    <row r="3423" spans="1:13" ht="11.25" customHeight="1" x14ac:dyDescent="0.2">
      <c r="A3423" s="924" t="s">
        <v>853</v>
      </c>
      <c r="B3423" s="924" t="s">
        <v>1194</v>
      </c>
      <c r="C3423" s="924" t="s">
        <v>1195</v>
      </c>
      <c r="D3423" s="924" t="s">
        <v>1190</v>
      </c>
      <c r="E3423" s="924" t="s">
        <v>856</v>
      </c>
      <c r="F3423" s="924" t="s">
        <v>939</v>
      </c>
      <c r="G3423" s="924" t="s">
        <v>911</v>
      </c>
      <c r="H3423" s="924" t="s">
        <v>665</v>
      </c>
      <c r="I3423" s="924" t="s">
        <v>706</v>
      </c>
      <c r="J3423" s="924" t="s">
        <v>940</v>
      </c>
      <c r="K3423" s="924" t="s">
        <v>941</v>
      </c>
      <c r="L3423" s="925">
        <v>31.1686112731695</v>
      </c>
      <c r="M3423" s="925">
        <v>1.49955209235486E-3</v>
      </c>
    </row>
    <row r="3424" spans="1:13" ht="11.25" customHeight="1" x14ac:dyDescent="0.2">
      <c r="A3424" s="924" t="s">
        <v>853</v>
      </c>
      <c r="B3424" s="924" t="s">
        <v>1194</v>
      </c>
      <c r="C3424" s="924" t="s">
        <v>1195</v>
      </c>
      <c r="D3424" s="924" t="s">
        <v>1190</v>
      </c>
      <c r="E3424" s="924" t="s">
        <v>856</v>
      </c>
      <c r="F3424" s="924" t="s">
        <v>919</v>
      </c>
      <c r="G3424" s="924" t="s">
        <v>911</v>
      </c>
      <c r="H3424" s="924" t="s">
        <v>665</v>
      </c>
      <c r="I3424" s="924" t="s">
        <v>706</v>
      </c>
      <c r="J3424" s="924" t="s">
        <v>859</v>
      </c>
      <c r="K3424" s="924" t="s">
        <v>920</v>
      </c>
      <c r="L3424" s="925">
        <v>0.120746294036508</v>
      </c>
      <c r="M3424" s="925">
        <v>3.3828665685575702E-5</v>
      </c>
    </row>
    <row r="3425" spans="1:13" ht="11.25" customHeight="1" x14ac:dyDescent="0.2">
      <c r="A3425" s="924" t="s">
        <v>853</v>
      </c>
      <c r="B3425" s="924" t="s">
        <v>1194</v>
      </c>
      <c r="C3425" s="924" t="s">
        <v>1195</v>
      </c>
      <c r="D3425" s="924" t="s">
        <v>1190</v>
      </c>
      <c r="E3425" s="924" t="s">
        <v>856</v>
      </c>
      <c r="F3425" s="924" t="s">
        <v>1015</v>
      </c>
      <c r="G3425" s="924" t="s">
        <v>858</v>
      </c>
      <c r="H3425" s="924" t="s">
        <v>836</v>
      </c>
      <c r="I3425" s="924" t="s">
        <v>837</v>
      </c>
      <c r="J3425" s="924" t="s">
        <v>870</v>
      </c>
      <c r="K3425" s="924" t="s">
        <v>1016</v>
      </c>
      <c r="L3425" s="925">
        <v>3.4386504851281599</v>
      </c>
      <c r="M3425" s="925">
        <v>4.17787502167144E-5</v>
      </c>
    </row>
    <row r="3426" spans="1:13" ht="11.25" customHeight="1" x14ac:dyDescent="0.2">
      <c r="A3426" s="924" t="s">
        <v>853</v>
      </c>
      <c r="B3426" s="924" t="s">
        <v>1194</v>
      </c>
      <c r="C3426" s="924" t="s">
        <v>1195</v>
      </c>
      <c r="D3426" s="924" t="s">
        <v>1190</v>
      </c>
      <c r="E3426" s="924" t="s">
        <v>856</v>
      </c>
      <c r="F3426" s="924" t="s">
        <v>1037</v>
      </c>
      <c r="G3426" s="924" t="s">
        <v>858</v>
      </c>
      <c r="H3426" s="924" t="s">
        <v>836</v>
      </c>
      <c r="I3426" s="924" t="s">
        <v>837</v>
      </c>
      <c r="J3426" s="924" t="s">
        <v>859</v>
      </c>
      <c r="K3426" s="924" t="s">
        <v>918</v>
      </c>
      <c r="L3426" s="925">
        <v>182.95121312141401</v>
      </c>
      <c r="M3426" s="925">
        <v>1.7705724216625601E-3</v>
      </c>
    </row>
    <row r="3427" spans="1:13" ht="11.25" customHeight="1" x14ac:dyDescent="0.2">
      <c r="A3427" s="924" t="s">
        <v>853</v>
      </c>
      <c r="B3427" s="924" t="s">
        <v>1194</v>
      </c>
      <c r="C3427" s="924" t="s">
        <v>1195</v>
      </c>
      <c r="D3427" s="924" t="s">
        <v>1190</v>
      </c>
      <c r="E3427" s="924" t="s">
        <v>856</v>
      </c>
      <c r="F3427" s="924" t="s">
        <v>923</v>
      </c>
      <c r="G3427" s="924" t="s">
        <v>911</v>
      </c>
      <c r="H3427" s="924" t="s">
        <v>665</v>
      </c>
      <c r="I3427" s="924" t="s">
        <v>706</v>
      </c>
      <c r="J3427" s="924" t="s">
        <v>859</v>
      </c>
      <c r="K3427" s="924" t="s">
        <v>924</v>
      </c>
      <c r="L3427" s="925">
        <v>3.1481747105717699</v>
      </c>
      <c r="M3427" s="925">
        <v>1.6690389520590499E-4</v>
      </c>
    </row>
    <row r="3428" spans="1:13" ht="11.25" customHeight="1" x14ac:dyDescent="0.2">
      <c r="A3428" s="924" t="s">
        <v>853</v>
      </c>
      <c r="B3428" s="924" t="s">
        <v>1194</v>
      </c>
      <c r="C3428" s="924" t="s">
        <v>1195</v>
      </c>
      <c r="D3428" s="924" t="s">
        <v>1190</v>
      </c>
      <c r="E3428" s="924" t="s">
        <v>856</v>
      </c>
      <c r="F3428" s="924" t="s">
        <v>925</v>
      </c>
      <c r="G3428" s="924" t="s">
        <v>911</v>
      </c>
      <c r="H3428" s="924" t="s">
        <v>665</v>
      </c>
      <c r="I3428" s="924" t="s">
        <v>706</v>
      </c>
      <c r="J3428" s="924" t="s">
        <v>859</v>
      </c>
      <c r="K3428" s="924" t="s">
        <v>926</v>
      </c>
      <c r="L3428" s="925">
        <v>0.33276239456608903</v>
      </c>
      <c r="M3428" s="925">
        <v>1.53408650618303E-5</v>
      </c>
    </row>
    <row r="3429" spans="1:13" ht="11.25" customHeight="1" x14ac:dyDescent="0.2">
      <c r="A3429" s="924" t="s">
        <v>853</v>
      </c>
      <c r="B3429" s="924" t="s">
        <v>1194</v>
      </c>
      <c r="C3429" s="924" t="s">
        <v>1195</v>
      </c>
      <c r="D3429" s="924" t="s">
        <v>1190</v>
      </c>
      <c r="E3429" s="924" t="s">
        <v>856</v>
      </c>
      <c r="F3429" s="924" t="s">
        <v>927</v>
      </c>
      <c r="G3429" s="924" t="s">
        <v>911</v>
      </c>
      <c r="H3429" s="924" t="s">
        <v>665</v>
      </c>
      <c r="I3429" s="924" t="s">
        <v>706</v>
      </c>
      <c r="J3429" s="924" t="s">
        <v>859</v>
      </c>
      <c r="K3429" s="924" t="s">
        <v>928</v>
      </c>
      <c r="L3429" s="925">
        <v>2.7056079618632798</v>
      </c>
      <c r="M3429" s="925">
        <v>8.0242513683970195E-4</v>
      </c>
    </row>
    <row r="3430" spans="1:13" ht="11.25" customHeight="1" x14ac:dyDescent="0.2">
      <c r="A3430" s="924" t="s">
        <v>853</v>
      </c>
      <c r="B3430" s="924" t="s">
        <v>1194</v>
      </c>
      <c r="C3430" s="924" t="s">
        <v>1195</v>
      </c>
      <c r="D3430" s="924" t="s">
        <v>1190</v>
      </c>
      <c r="E3430" s="924" t="s">
        <v>856</v>
      </c>
      <c r="F3430" s="924" t="s">
        <v>929</v>
      </c>
      <c r="G3430" s="924" t="s">
        <v>911</v>
      </c>
      <c r="H3430" s="924" t="s">
        <v>665</v>
      </c>
      <c r="I3430" s="924" t="s">
        <v>706</v>
      </c>
      <c r="J3430" s="924" t="s">
        <v>859</v>
      </c>
      <c r="K3430" s="924" t="s">
        <v>891</v>
      </c>
      <c r="L3430" s="925">
        <v>1.11390018556267</v>
      </c>
      <c r="M3430" s="925">
        <v>4.46305279410808E-4</v>
      </c>
    </row>
    <row r="3431" spans="1:13" ht="11.25" customHeight="1" x14ac:dyDescent="0.2">
      <c r="A3431" s="924" t="s">
        <v>853</v>
      </c>
      <c r="B3431" s="924" t="s">
        <v>1194</v>
      </c>
      <c r="C3431" s="924" t="s">
        <v>1195</v>
      </c>
      <c r="D3431" s="924" t="s">
        <v>1190</v>
      </c>
      <c r="E3431" s="924" t="s">
        <v>856</v>
      </c>
      <c r="F3431" s="924" t="s">
        <v>930</v>
      </c>
      <c r="G3431" s="924" t="s">
        <v>911</v>
      </c>
      <c r="H3431" s="924" t="s">
        <v>665</v>
      </c>
      <c r="I3431" s="924" t="s">
        <v>706</v>
      </c>
      <c r="J3431" s="924" t="s">
        <v>863</v>
      </c>
      <c r="K3431" s="924" t="s">
        <v>931</v>
      </c>
      <c r="L3431" s="925">
        <v>11.1989237368107</v>
      </c>
      <c r="M3431" s="925">
        <v>2.2822567430011999E-3</v>
      </c>
    </row>
    <row r="3432" spans="1:13" ht="11.25" customHeight="1" x14ac:dyDescent="0.2">
      <c r="A3432" s="924" t="s">
        <v>853</v>
      </c>
      <c r="B3432" s="924" t="s">
        <v>1194</v>
      </c>
      <c r="C3432" s="924" t="s">
        <v>1195</v>
      </c>
      <c r="D3432" s="924" t="s">
        <v>1190</v>
      </c>
      <c r="E3432" s="924" t="s">
        <v>856</v>
      </c>
      <c r="F3432" s="924" t="s">
        <v>932</v>
      </c>
      <c r="G3432" s="924" t="s">
        <v>911</v>
      </c>
      <c r="H3432" s="924" t="s">
        <v>665</v>
      </c>
      <c r="I3432" s="924" t="s">
        <v>706</v>
      </c>
      <c r="J3432" s="924" t="s">
        <v>863</v>
      </c>
      <c r="K3432" s="924" t="s">
        <v>933</v>
      </c>
      <c r="L3432" s="925">
        <v>1041.85496807098</v>
      </c>
      <c r="M3432" s="925">
        <v>5.0351544399745797E-2</v>
      </c>
    </row>
    <row r="3433" spans="1:13" ht="11.25" customHeight="1" x14ac:dyDescent="0.2">
      <c r="A3433" s="924" t="s">
        <v>853</v>
      </c>
      <c r="B3433" s="924" t="s">
        <v>1194</v>
      </c>
      <c r="C3433" s="924" t="s">
        <v>1195</v>
      </c>
      <c r="D3433" s="924" t="s">
        <v>1190</v>
      </c>
      <c r="E3433" s="924" t="s">
        <v>856</v>
      </c>
      <c r="F3433" s="924" t="s">
        <v>954</v>
      </c>
      <c r="G3433" s="924" t="s">
        <v>911</v>
      </c>
      <c r="H3433" s="924" t="s">
        <v>665</v>
      </c>
      <c r="I3433" s="924" t="s">
        <v>706</v>
      </c>
      <c r="J3433" s="924" t="s">
        <v>863</v>
      </c>
      <c r="K3433" s="924" t="s">
        <v>935</v>
      </c>
      <c r="L3433" s="925">
        <v>7.7737053930759403</v>
      </c>
      <c r="M3433" s="925">
        <v>3.6703897058032502E-4</v>
      </c>
    </row>
    <row r="3434" spans="1:13" ht="11.25" customHeight="1" x14ac:dyDescent="0.2">
      <c r="A3434" s="924" t="s">
        <v>853</v>
      </c>
      <c r="B3434" s="924" t="s">
        <v>1194</v>
      </c>
      <c r="C3434" s="924" t="s">
        <v>1195</v>
      </c>
      <c r="D3434" s="924" t="s">
        <v>1190</v>
      </c>
      <c r="E3434" s="924" t="s">
        <v>856</v>
      </c>
      <c r="F3434" s="924" t="s">
        <v>942</v>
      </c>
      <c r="G3434" s="924" t="s">
        <v>911</v>
      </c>
      <c r="H3434" s="924" t="s">
        <v>665</v>
      </c>
      <c r="I3434" s="924" t="s">
        <v>706</v>
      </c>
      <c r="J3434" s="924" t="s">
        <v>870</v>
      </c>
      <c r="K3434" s="924" t="s">
        <v>871</v>
      </c>
      <c r="L3434" s="925">
        <v>8.1837862060638103E-2</v>
      </c>
      <c r="M3434" s="925">
        <v>5.1075653690446602E-5</v>
      </c>
    </row>
    <row r="3435" spans="1:13" ht="11.25" customHeight="1" x14ac:dyDescent="0.2">
      <c r="A3435" s="924" t="s">
        <v>853</v>
      </c>
      <c r="B3435" s="924" t="s">
        <v>1194</v>
      </c>
      <c r="C3435" s="924" t="s">
        <v>1195</v>
      </c>
      <c r="D3435" s="924" t="s">
        <v>1190</v>
      </c>
      <c r="E3435" s="924" t="s">
        <v>856</v>
      </c>
      <c r="F3435" s="924" t="s">
        <v>914</v>
      </c>
      <c r="G3435" s="924" t="s">
        <v>911</v>
      </c>
      <c r="H3435" s="924" t="s">
        <v>665</v>
      </c>
      <c r="I3435" s="924" t="s">
        <v>706</v>
      </c>
      <c r="J3435" s="924" t="s">
        <v>863</v>
      </c>
      <c r="K3435" s="924" t="s">
        <v>915</v>
      </c>
      <c r="L3435" s="925">
        <v>0.59474862832576003</v>
      </c>
      <c r="M3435" s="925">
        <v>8.4863335331419903E-5</v>
      </c>
    </row>
    <row r="3436" spans="1:13" ht="11.25" customHeight="1" x14ac:dyDescent="0.2">
      <c r="A3436" s="924" t="s">
        <v>853</v>
      </c>
      <c r="B3436" s="924" t="s">
        <v>1194</v>
      </c>
      <c r="C3436" s="924" t="s">
        <v>1195</v>
      </c>
      <c r="D3436" s="924" t="s">
        <v>1190</v>
      </c>
      <c r="E3436" s="924" t="s">
        <v>856</v>
      </c>
      <c r="F3436" s="924" t="s">
        <v>934</v>
      </c>
      <c r="G3436" s="924" t="s">
        <v>862</v>
      </c>
      <c r="H3436" s="924" t="s">
        <v>665</v>
      </c>
      <c r="I3436" s="924" t="s">
        <v>787</v>
      </c>
      <c r="J3436" s="924" t="s">
        <v>863</v>
      </c>
      <c r="K3436" s="924" t="s">
        <v>935</v>
      </c>
      <c r="L3436" s="925">
        <v>5.9508529549930203E-2</v>
      </c>
      <c r="M3436" s="925">
        <v>2.50153334945935E-4</v>
      </c>
    </row>
    <row r="3437" spans="1:13" ht="11.25" customHeight="1" x14ac:dyDescent="0.2">
      <c r="A3437" s="924" t="s">
        <v>853</v>
      </c>
      <c r="B3437" s="924" t="s">
        <v>1194</v>
      </c>
      <c r="C3437" s="924" t="s">
        <v>1195</v>
      </c>
      <c r="D3437" s="924" t="s">
        <v>1190</v>
      </c>
      <c r="E3437" s="924" t="s">
        <v>856</v>
      </c>
      <c r="F3437" s="924" t="s">
        <v>921</v>
      </c>
      <c r="G3437" s="924" t="s">
        <v>911</v>
      </c>
      <c r="H3437" s="924" t="s">
        <v>665</v>
      </c>
      <c r="I3437" s="924" t="s">
        <v>706</v>
      </c>
      <c r="J3437" s="924" t="s">
        <v>859</v>
      </c>
      <c r="K3437" s="924" t="s">
        <v>922</v>
      </c>
      <c r="L3437" s="925">
        <v>1.2822195515036601</v>
      </c>
      <c r="M3437" s="925">
        <v>1.71259821428293E-4</v>
      </c>
    </row>
    <row r="3438" spans="1:13" ht="11.25" customHeight="1" x14ac:dyDescent="0.2">
      <c r="A3438" s="924" t="s">
        <v>853</v>
      </c>
      <c r="B3438" s="924" t="s">
        <v>1194</v>
      </c>
      <c r="C3438" s="924" t="s">
        <v>1195</v>
      </c>
      <c r="D3438" s="924" t="s">
        <v>1190</v>
      </c>
      <c r="E3438" s="924" t="s">
        <v>856</v>
      </c>
      <c r="F3438" s="924" t="s">
        <v>943</v>
      </c>
      <c r="G3438" s="924" t="s">
        <v>911</v>
      </c>
      <c r="H3438" s="924" t="s">
        <v>665</v>
      </c>
      <c r="I3438" s="924" t="s">
        <v>706</v>
      </c>
      <c r="J3438" s="924" t="s">
        <v>870</v>
      </c>
      <c r="K3438" s="924" t="s">
        <v>873</v>
      </c>
      <c r="L3438" s="925">
        <v>0.166347508551553</v>
      </c>
      <c r="M3438" s="925">
        <v>7.5539733117579999E-6</v>
      </c>
    </row>
    <row r="3439" spans="1:13" ht="11.25" customHeight="1" x14ac:dyDescent="0.2">
      <c r="A3439" s="924" t="s">
        <v>853</v>
      </c>
      <c r="B3439" s="924" t="s">
        <v>1194</v>
      </c>
      <c r="C3439" s="924" t="s">
        <v>1195</v>
      </c>
      <c r="D3439" s="924" t="s">
        <v>1190</v>
      </c>
      <c r="E3439" s="924" t="s">
        <v>856</v>
      </c>
      <c r="F3439" s="924" t="s">
        <v>944</v>
      </c>
      <c r="G3439" s="924" t="s">
        <v>911</v>
      </c>
      <c r="H3439" s="924" t="s">
        <v>665</v>
      </c>
      <c r="I3439" s="924" t="s">
        <v>706</v>
      </c>
      <c r="J3439" s="924" t="s">
        <v>875</v>
      </c>
      <c r="K3439" s="924" t="s">
        <v>876</v>
      </c>
      <c r="L3439" s="925">
        <v>69.972214281559005</v>
      </c>
      <c r="M3439" s="925">
        <v>2.2122790513094501E-2</v>
      </c>
    </row>
    <row r="3440" spans="1:13" ht="11.25" customHeight="1" x14ac:dyDescent="0.2">
      <c r="A3440" s="924" t="s">
        <v>853</v>
      </c>
      <c r="B3440" s="924" t="s">
        <v>1194</v>
      </c>
      <c r="C3440" s="924" t="s">
        <v>1195</v>
      </c>
      <c r="D3440" s="924" t="s">
        <v>1190</v>
      </c>
      <c r="E3440" s="924" t="s">
        <v>856</v>
      </c>
      <c r="F3440" s="924" t="s">
        <v>945</v>
      </c>
      <c r="G3440" s="924" t="s">
        <v>911</v>
      </c>
      <c r="H3440" s="924" t="s">
        <v>665</v>
      </c>
      <c r="I3440" s="924" t="s">
        <v>706</v>
      </c>
      <c r="J3440" s="924" t="s">
        <v>875</v>
      </c>
      <c r="K3440" s="924" t="s">
        <v>878</v>
      </c>
      <c r="L3440" s="925">
        <v>15.4514670222998</v>
      </c>
      <c r="M3440" s="925">
        <v>2.28588892923653E-3</v>
      </c>
    </row>
    <row r="3441" spans="1:13" ht="11.25" customHeight="1" x14ac:dyDescent="0.2">
      <c r="A3441" s="924" t="s">
        <v>853</v>
      </c>
      <c r="B3441" s="924" t="s">
        <v>1194</v>
      </c>
      <c r="C3441" s="924" t="s">
        <v>1195</v>
      </c>
      <c r="D3441" s="924" t="s">
        <v>1190</v>
      </c>
      <c r="E3441" s="924" t="s">
        <v>856</v>
      </c>
      <c r="F3441" s="924" t="s">
        <v>946</v>
      </c>
      <c r="G3441" s="924" t="s">
        <v>911</v>
      </c>
      <c r="H3441" s="924" t="s">
        <v>665</v>
      </c>
      <c r="I3441" s="924" t="s">
        <v>706</v>
      </c>
      <c r="J3441" s="924" t="s">
        <v>875</v>
      </c>
      <c r="K3441" s="924" t="s">
        <v>880</v>
      </c>
      <c r="L3441" s="925">
        <v>18.2658907771111</v>
      </c>
      <c r="M3441" s="925">
        <v>1.1625293780070901E-3</v>
      </c>
    </row>
    <row r="3442" spans="1:13" ht="11.25" customHeight="1" x14ac:dyDescent="0.2">
      <c r="A3442" s="924" t="s">
        <v>853</v>
      </c>
      <c r="B3442" s="924" t="s">
        <v>1194</v>
      </c>
      <c r="C3442" s="924" t="s">
        <v>1195</v>
      </c>
      <c r="D3442" s="924" t="s">
        <v>1190</v>
      </c>
      <c r="E3442" s="924" t="s">
        <v>856</v>
      </c>
      <c r="F3442" s="924" t="s">
        <v>947</v>
      </c>
      <c r="G3442" s="924" t="s">
        <v>911</v>
      </c>
      <c r="H3442" s="924" t="s">
        <v>665</v>
      </c>
      <c r="I3442" s="924" t="s">
        <v>706</v>
      </c>
      <c r="J3442" s="924" t="s">
        <v>875</v>
      </c>
      <c r="K3442" s="924" t="s">
        <v>948</v>
      </c>
      <c r="L3442" s="925">
        <v>22.703511446714401</v>
      </c>
      <c r="M3442" s="925">
        <v>1.73497449850402E-3</v>
      </c>
    </row>
    <row r="3443" spans="1:13" ht="11.25" customHeight="1" x14ac:dyDescent="0.2">
      <c r="A3443" s="924" t="s">
        <v>853</v>
      </c>
      <c r="B3443" s="924" t="s">
        <v>1194</v>
      </c>
      <c r="C3443" s="924" t="s">
        <v>1195</v>
      </c>
      <c r="D3443" s="924" t="s">
        <v>1190</v>
      </c>
      <c r="E3443" s="924" t="s">
        <v>856</v>
      </c>
      <c r="F3443" s="924" t="s">
        <v>949</v>
      </c>
      <c r="G3443" s="924" t="s">
        <v>911</v>
      </c>
      <c r="H3443" s="924" t="s">
        <v>665</v>
      </c>
      <c r="I3443" s="924" t="s">
        <v>706</v>
      </c>
      <c r="J3443" s="924" t="s">
        <v>875</v>
      </c>
      <c r="K3443" s="924" t="s">
        <v>950</v>
      </c>
      <c r="L3443" s="925">
        <v>0.30442697787657402</v>
      </c>
      <c r="M3443" s="925">
        <v>6.5294230353174498E-5</v>
      </c>
    </row>
    <row r="3444" spans="1:13" ht="11.25" customHeight="1" x14ac:dyDescent="0.2">
      <c r="A3444" s="924" t="s">
        <v>853</v>
      </c>
      <c r="B3444" s="924" t="s">
        <v>1194</v>
      </c>
      <c r="C3444" s="924" t="s">
        <v>1195</v>
      </c>
      <c r="D3444" s="924" t="s">
        <v>1190</v>
      </c>
      <c r="E3444" s="924" t="s">
        <v>856</v>
      </c>
      <c r="F3444" s="924" t="s">
        <v>951</v>
      </c>
      <c r="G3444" s="924" t="s">
        <v>911</v>
      </c>
      <c r="H3444" s="924" t="s">
        <v>665</v>
      </c>
      <c r="I3444" s="924" t="s">
        <v>706</v>
      </c>
      <c r="J3444" s="924" t="s">
        <v>875</v>
      </c>
      <c r="K3444" s="924" t="s">
        <v>952</v>
      </c>
      <c r="L3444" s="925">
        <v>0.280981716932729</v>
      </c>
      <c r="M3444" s="925">
        <v>1.7471087303988501E-5</v>
      </c>
    </row>
    <row r="3445" spans="1:13" ht="11.25" customHeight="1" x14ac:dyDescent="0.2">
      <c r="A3445" s="924" t="s">
        <v>853</v>
      </c>
      <c r="B3445" s="924" t="s">
        <v>1194</v>
      </c>
      <c r="C3445" s="924" t="s">
        <v>1195</v>
      </c>
      <c r="D3445" s="924" t="s">
        <v>1190</v>
      </c>
      <c r="E3445" s="924" t="s">
        <v>856</v>
      </c>
      <c r="F3445" s="924" t="s">
        <v>890</v>
      </c>
      <c r="G3445" s="924" t="s">
        <v>862</v>
      </c>
      <c r="H3445" s="924" t="s">
        <v>665</v>
      </c>
      <c r="I3445" s="924" t="s">
        <v>787</v>
      </c>
      <c r="J3445" s="924" t="s">
        <v>859</v>
      </c>
      <c r="K3445" s="924" t="s">
        <v>891</v>
      </c>
      <c r="L3445" s="925">
        <v>3.8486019329866401E-2</v>
      </c>
      <c r="M3445" s="925">
        <v>1.3699869375614099E-3</v>
      </c>
    </row>
    <row r="3446" spans="1:13" ht="11.25" customHeight="1" x14ac:dyDescent="0.2">
      <c r="A3446" s="924" t="s">
        <v>853</v>
      </c>
      <c r="B3446" s="924" t="s">
        <v>1194</v>
      </c>
      <c r="C3446" s="924" t="s">
        <v>1195</v>
      </c>
      <c r="D3446" s="924" t="s">
        <v>1190</v>
      </c>
      <c r="E3446" s="924" t="s">
        <v>856</v>
      </c>
      <c r="F3446" s="924" t="s">
        <v>937</v>
      </c>
      <c r="G3446" s="924" t="s">
        <v>862</v>
      </c>
      <c r="H3446" s="924" t="s">
        <v>665</v>
      </c>
      <c r="I3446" s="924" t="s">
        <v>787</v>
      </c>
      <c r="J3446" s="924" t="s">
        <v>863</v>
      </c>
      <c r="K3446" s="924" t="s">
        <v>933</v>
      </c>
      <c r="L3446" s="925">
        <v>70.232980787754101</v>
      </c>
      <c r="M3446" s="925">
        <v>0.29914916679263098</v>
      </c>
    </row>
    <row r="3447" spans="1:13" ht="11.25" customHeight="1" x14ac:dyDescent="0.2">
      <c r="A3447" s="924" t="s">
        <v>853</v>
      </c>
      <c r="B3447" s="924" t="s">
        <v>1194</v>
      </c>
      <c r="C3447" s="924" t="s">
        <v>1195</v>
      </c>
      <c r="D3447" s="924" t="s">
        <v>1190</v>
      </c>
      <c r="E3447" s="924" t="s">
        <v>856</v>
      </c>
      <c r="F3447" s="924" t="s">
        <v>936</v>
      </c>
      <c r="G3447" s="924" t="s">
        <v>911</v>
      </c>
      <c r="H3447" s="924" t="s">
        <v>665</v>
      </c>
      <c r="I3447" s="924" t="s">
        <v>706</v>
      </c>
      <c r="J3447" s="924" t="s">
        <v>863</v>
      </c>
      <c r="K3447" s="924" t="s">
        <v>864</v>
      </c>
      <c r="L3447" s="925">
        <v>2.4519966505467901</v>
      </c>
      <c r="M3447" s="925">
        <v>1.14126904122713E-4</v>
      </c>
    </row>
    <row r="3448" spans="1:13" ht="11.25" customHeight="1" x14ac:dyDescent="0.2">
      <c r="A3448" s="924" t="s">
        <v>853</v>
      </c>
      <c r="B3448" s="924" t="s">
        <v>1194</v>
      </c>
      <c r="C3448" s="924" t="s">
        <v>1195</v>
      </c>
      <c r="D3448" s="924" t="s">
        <v>1190</v>
      </c>
      <c r="E3448" s="924" t="s">
        <v>856</v>
      </c>
      <c r="F3448" s="924" t="s">
        <v>955</v>
      </c>
      <c r="G3448" s="924" t="s">
        <v>858</v>
      </c>
      <c r="H3448" s="924" t="s">
        <v>836</v>
      </c>
      <c r="I3448" s="924" t="s">
        <v>837</v>
      </c>
      <c r="J3448" s="924" t="s">
        <v>956</v>
      </c>
      <c r="K3448" s="924" t="s">
        <v>957</v>
      </c>
      <c r="L3448" s="925">
        <v>242.965974092484</v>
      </c>
      <c r="M3448" s="925">
        <v>1.39543915642548E-3</v>
      </c>
    </row>
    <row r="3449" spans="1:13" ht="11.25" customHeight="1" x14ac:dyDescent="0.2">
      <c r="A3449" s="924" t="s">
        <v>853</v>
      </c>
      <c r="B3449" s="924" t="s">
        <v>1194</v>
      </c>
      <c r="C3449" s="924" t="s">
        <v>1195</v>
      </c>
      <c r="D3449" s="924" t="s">
        <v>1190</v>
      </c>
      <c r="E3449" s="924" t="s">
        <v>856</v>
      </c>
      <c r="F3449" s="924" t="s">
        <v>975</v>
      </c>
      <c r="G3449" s="924" t="s">
        <v>858</v>
      </c>
      <c r="H3449" s="924" t="s">
        <v>836</v>
      </c>
      <c r="I3449" s="924" t="s">
        <v>837</v>
      </c>
      <c r="J3449" s="924" t="s">
        <v>870</v>
      </c>
      <c r="K3449" s="924" t="s">
        <v>976</v>
      </c>
      <c r="L3449" s="925">
        <v>6923.6921749114999</v>
      </c>
      <c r="M3449" s="925">
        <v>0.103623086193693</v>
      </c>
    </row>
    <row r="3450" spans="1:13" ht="11.25" customHeight="1" x14ac:dyDescent="0.2">
      <c r="A3450" s="924" t="s">
        <v>853</v>
      </c>
      <c r="B3450" s="924" t="s">
        <v>1194</v>
      </c>
      <c r="C3450" s="924" t="s">
        <v>1195</v>
      </c>
      <c r="D3450" s="924" t="s">
        <v>1190</v>
      </c>
      <c r="E3450" s="924" t="s">
        <v>856</v>
      </c>
      <c r="F3450" s="924" t="s">
        <v>960</v>
      </c>
      <c r="G3450" s="924" t="s">
        <v>858</v>
      </c>
      <c r="H3450" s="924" t="s">
        <v>836</v>
      </c>
      <c r="I3450" s="924" t="s">
        <v>837</v>
      </c>
      <c r="J3450" s="924" t="s">
        <v>870</v>
      </c>
      <c r="K3450" s="924" t="s">
        <v>961</v>
      </c>
      <c r="L3450" s="925">
        <v>52.678872138261802</v>
      </c>
      <c r="M3450" s="925">
        <v>4.6739798736083999E-4</v>
      </c>
    </row>
    <row r="3451" spans="1:13" ht="11.25" customHeight="1" x14ac:dyDescent="0.2">
      <c r="A3451" s="924" t="s">
        <v>853</v>
      </c>
      <c r="B3451" s="924" t="s">
        <v>1194</v>
      </c>
      <c r="C3451" s="924" t="s">
        <v>1195</v>
      </c>
      <c r="D3451" s="924" t="s">
        <v>1190</v>
      </c>
      <c r="E3451" s="924" t="s">
        <v>856</v>
      </c>
      <c r="F3451" s="924" t="s">
        <v>962</v>
      </c>
      <c r="G3451" s="924" t="s">
        <v>858</v>
      </c>
      <c r="H3451" s="924" t="s">
        <v>836</v>
      </c>
      <c r="I3451" s="924" t="s">
        <v>837</v>
      </c>
      <c r="J3451" s="924" t="s">
        <v>870</v>
      </c>
      <c r="K3451" s="924" t="s">
        <v>963</v>
      </c>
      <c r="L3451" s="925">
        <v>0.14570102764991999</v>
      </c>
      <c r="M3451" s="925">
        <v>1.0355815177609499E-6</v>
      </c>
    </row>
    <row r="3452" spans="1:13" ht="11.25" customHeight="1" x14ac:dyDescent="0.2">
      <c r="A3452" s="924" t="s">
        <v>853</v>
      </c>
      <c r="B3452" s="924" t="s">
        <v>1194</v>
      </c>
      <c r="C3452" s="924" t="s">
        <v>1195</v>
      </c>
      <c r="D3452" s="924" t="s">
        <v>1190</v>
      </c>
      <c r="E3452" s="924" t="s">
        <v>856</v>
      </c>
      <c r="F3452" s="924" t="s">
        <v>964</v>
      </c>
      <c r="G3452" s="924" t="s">
        <v>858</v>
      </c>
      <c r="H3452" s="924" t="s">
        <v>836</v>
      </c>
      <c r="I3452" s="924" t="s">
        <v>837</v>
      </c>
      <c r="J3452" s="924" t="s">
        <v>870</v>
      </c>
      <c r="K3452" s="924" t="s">
        <v>965</v>
      </c>
      <c r="L3452" s="925">
        <v>48.699737817048998</v>
      </c>
      <c r="M3452" s="925">
        <v>4.4713747500679801E-4</v>
      </c>
    </row>
    <row r="3453" spans="1:13" ht="11.25" customHeight="1" x14ac:dyDescent="0.2">
      <c r="A3453" s="924" t="s">
        <v>853</v>
      </c>
      <c r="B3453" s="924" t="s">
        <v>1194</v>
      </c>
      <c r="C3453" s="924" t="s">
        <v>1195</v>
      </c>
      <c r="D3453" s="924" t="s">
        <v>1190</v>
      </c>
      <c r="E3453" s="924" t="s">
        <v>856</v>
      </c>
      <c r="F3453" s="924" t="s">
        <v>966</v>
      </c>
      <c r="G3453" s="924" t="s">
        <v>858</v>
      </c>
      <c r="H3453" s="924" t="s">
        <v>836</v>
      </c>
      <c r="I3453" s="924" t="s">
        <v>837</v>
      </c>
      <c r="J3453" s="924" t="s">
        <v>870</v>
      </c>
      <c r="K3453" s="924" t="s">
        <v>871</v>
      </c>
      <c r="L3453" s="925">
        <v>135.50873354077299</v>
      </c>
      <c r="M3453" s="925">
        <v>1.1774603002194801E-3</v>
      </c>
    </row>
    <row r="3454" spans="1:13" ht="11.25" customHeight="1" x14ac:dyDescent="0.2">
      <c r="A3454" s="924" t="s">
        <v>853</v>
      </c>
      <c r="B3454" s="924" t="s">
        <v>1194</v>
      </c>
      <c r="C3454" s="924" t="s">
        <v>1195</v>
      </c>
      <c r="D3454" s="924" t="s">
        <v>1190</v>
      </c>
      <c r="E3454" s="924" t="s">
        <v>856</v>
      </c>
      <c r="F3454" s="924" t="s">
        <v>967</v>
      </c>
      <c r="G3454" s="924" t="s">
        <v>858</v>
      </c>
      <c r="H3454" s="924" t="s">
        <v>836</v>
      </c>
      <c r="I3454" s="924" t="s">
        <v>837</v>
      </c>
      <c r="J3454" s="924" t="s">
        <v>870</v>
      </c>
      <c r="K3454" s="924" t="s">
        <v>873</v>
      </c>
      <c r="L3454" s="925">
        <v>99.873814046382904</v>
      </c>
      <c r="M3454" s="925">
        <v>1.6872836138119901E-3</v>
      </c>
    </row>
    <row r="3455" spans="1:13" ht="11.25" customHeight="1" x14ac:dyDescent="0.2">
      <c r="A3455" s="924" t="s">
        <v>853</v>
      </c>
      <c r="B3455" s="924" t="s">
        <v>1194</v>
      </c>
      <c r="C3455" s="924" t="s">
        <v>1195</v>
      </c>
      <c r="D3455" s="924" t="s">
        <v>1190</v>
      </c>
      <c r="E3455" s="924" t="s">
        <v>856</v>
      </c>
      <c r="F3455" s="924" t="s">
        <v>968</v>
      </c>
      <c r="G3455" s="924" t="s">
        <v>858</v>
      </c>
      <c r="H3455" s="924" t="s">
        <v>836</v>
      </c>
      <c r="I3455" s="924" t="s">
        <v>837</v>
      </c>
      <c r="J3455" s="924" t="s">
        <v>875</v>
      </c>
      <c r="K3455" s="924" t="s">
        <v>876</v>
      </c>
      <c r="L3455" s="925">
        <v>547.67947292327904</v>
      </c>
      <c r="M3455" s="925">
        <v>1.4680009632002101E-2</v>
      </c>
    </row>
    <row r="3456" spans="1:13" ht="11.25" customHeight="1" x14ac:dyDescent="0.2">
      <c r="A3456" s="924" t="s">
        <v>853</v>
      </c>
      <c r="B3456" s="924" t="s">
        <v>1194</v>
      </c>
      <c r="C3456" s="924" t="s">
        <v>1195</v>
      </c>
      <c r="D3456" s="924" t="s">
        <v>1190</v>
      </c>
      <c r="E3456" s="924" t="s">
        <v>856</v>
      </c>
      <c r="F3456" s="924" t="s">
        <v>969</v>
      </c>
      <c r="G3456" s="924" t="s">
        <v>858</v>
      </c>
      <c r="H3456" s="924" t="s">
        <v>836</v>
      </c>
      <c r="I3456" s="924" t="s">
        <v>837</v>
      </c>
      <c r="J3456" s="924" t="s">
        <v>875</v>
      </c>
      <c r="K3456" s="924" t="s">
        <v>878</v>
      </c>
      <c r="L3456" s="925">
        <v>129.259853363037</v>
      </c>
      <c r="M3456" s="925">
        <v>3.4240157535805299E-3</v>
      </c>
    </row>
    <row r="3457" spans="1:13" ht="11.25" customHeight="1" x14ac:dyDescent="0.2">
      <c r="A3457" s="924" t="s">
        <v>853</v>
      </c>
      <c r="B3457" s="924" t="s">
        <v>1194</v>
      </c>
      <c r="C3457" s="924" t="s">
        <v>1195</v>
      </c>
      <c r="D3457" s="924" t="s">
        <v>1190</v>
      </c>
      <c r="E3457" s="924" t="s">
        <v>856</v>
      </c>
      <c r="F3457" s="924" t="s">
        <v>970</v>
      </c>
      <c r="G3457" s="924" t="s">
        <v>858</v>
      </c>
      <c r="H3457" s="924" t="s">
        <v>836</v>
      </c>
      <c r="I3457" s="924" t="s">
        <v>837</v>
      </c>
      <c r="J3457" s="924" t="s">
        <v>875</v>
      </c>
      <c r="K3457" s="924" t="s">
        <v>880</v>
      </c>
      <c r="L3457" s="925">
        <v>358.580031871796</v>
      </c>
      <c r="M3457" s="925">
        <v>6.9678313673193796E-3</v>
      </c>
    </row>
    <row r="3458" spans="1:13" ht="11.25" customHeight="1" x14ac:dyDescent="0.2">
      <c r="A3458" s="924" t="s">
        <v>853</v>
      </c>
      <c r="B3458" s="924" t="s">
        <v>1194</v>
      </c>
      <c r="C3458" s="924" t="s">
        <v>1195</v>
      </c>
      <c r="D3458" s="924" t="s">
        <v>1190</v>
      </c>
      <c r="E3458" s="924" t="s">
        <v>856</v>
      </c>
      <c r="F3458" s="924" t="s">
        <v>971</v>
      </c>
      <c r="G3458" s="924" t="s">
        <v>858</v>
      </c>
      <c r="H3458" s="924" t="s">
        <v>836</v>
      </c>
      <c r="I3458" s="924" t="s">
        <v>837</v>
      </c>
      <c r="J3458" s="924" t="s">
        <v>875</v>
      </c>
      <c r="K3458" s="924" t="s">
        <v>948</v>
      </c>
      <c r="L3458" s="925">
        <v>182.23458600044299</v>
      </c>
      <c r="M3458" s="925">
        <v>7.7948006004362504E-3</v>
      </c>
    </row>
    <row r="3459" spans="1:13" ht="11.25" customHeight="1" x14ac:dyDescent="0.2">
      <c r="A3459" s="924" t="s">
        <v>853</v>
      </c>
      <c r="B3459" s="924" t="s">
        <v>1194</v>
      </c>
      <c r="C3459" s="924" t="s">
        <v>1195</v>
      </c>
      <c r="D3459" s="924" t="s">
        <v>1190</v>
      </c>
      <c r="E3459" s="924" t="s">
        <v>856</v>
      </c>
      <c r="F3459" s="924" t="s">
        <v>1018</v>
      </c>
      <c r="G3459" s="924" t="s">
        <v>858</v>
      </c>
      <c r="H3459" s="924" t="s">
        <v>836</v>
      </c>
      <c r="I3459" s="924" t="s">
        <v>837</v>
      </c>
      <c r="J3459" s="924" t="s">
        <v>870</v>
      </c>
      <c r="K3459" s="924" t="s">
        <v>1019</v>
      </c>
      <c r="L3459" s="925">
        <v>620.96190881729103</v>
      </c>
      <c r="M3459" s="925">
        <v>4.6667968461235904E-3</v>
      </c>
    </row>
    <row r="3460" spans="1:13" ht="11.25" customHeight="1" x14ac:dyDescent="0.2">
      <c r="A3460" s="924" t="s">
        <v>853</v>
      </c>
      <c r="B3460" s="924" t="s">
        <v>1194</v>
      </c>
      <c r="C3460" s="924" t="s">
        <v>1195</v>
      </c>
      <c r="D3460" s="924" t="s">
        <v>1190</v>
      </c>
      <c r="E3460" s="924" t="s">
        <v>856</v>
      </c>
      <c r="F3460" s="924" t="s">
        <v>974</v>
      </c>
      <c r="G3460" s="924" t="s">
        <v>858</v>
      </c>
      <c r="H3460" s="924" t="s">
        <v>836</v>
      </c>
      <c r="I3460" s="924" t="s">
        <v>837</v>
      </c>
      <c r="J3460" s="924" t="s">
        <v>875</v>
      </c>
      <c r="K3460" s="924" t="s">
        <v>952</v>
      </c>
      <c r="L3460" s="925">
        <v>15.4976468086243</v>
      </c>
      <c r="M3460" s="925">
        <v>3.5014407959010901E-4</v>
      </c>
    </row>
    <row r="3461" spans="1:13" ht="11.25" customHeight="1" x14ac:dyDescent="0.2">
      <c r="A3461" s="924" t="s">
        <v>853</v>
      </c>
      <c r="B3461" s="924" t="s">
        <v>1194</v>
      </c>
      <c r="C3461" s="924" t="s">
        <v>1195</v>
      </c>
      <c r="D3461" s="924" t="s">
        <v>1190</v>
      </c>
      <c r="E3461" s="924" t="s">
        <v>856</v>
      </c>
      <c r="F3461" s="924" t="s">
        <v>1035</v>
      </c>
      <c r="G3461" s="924" t="s">
        <v>858</v>
      </c>
      <c r="H3461" s="924" t="s">
        <v>836</v>
      </c>
      <c r="I3461" s="924" t="s">
        <v>837</v>
      </c>
      <c r="J3461" s="924" t="s">
        <v>870</v>
      </c>
      <c r="K3461" s="924" t="s">
        <v>1036</v>
      </c>
      <c r="L3461" s="925">
        <v>0.166635700850748</v>
      </c>
      <c r="M3461" s="925">
        <v>2.0408151710178699E-5</v>
      </c>
    </row>
    <row r="3462" spans="1:13" ht="11.25" customHeight="1" x14ac:dyDescent="0.2">
      <c r="A3462" s="924" t="s">
        <v>853</v>
      </c>
      <c r="B3462" s="924" t="s">
        <v>1194</v>
      </c>
      <c r="C3462" s="924" t="s">
        <v>1195</v>
      </c>
      <c r="D3462" s="924" t="s">
        <v>1190</v>
      </c>
      <c r="E3462" s="924" t="s">
        <v>856</v>
      </c>
      <c r="F3462" s="924" t="s">
        <v>980</v>
      </c>
      <c r="G3462" s="924" t="s">
        <v>981</v>
      </c>
      <c r="H3462" s="924" t="s">
        <v>835</v>
      </c>
      <c r="I3462" s="924" t="s">
        <v>839</v>
      </c>
      <c r="J3462" s="924" t="s">
        <v>982</v>
      </c>
      <c r="K3462" s="924" t="s">
        <v>983</v>
      </c>
      <c r="L3462" s="925">
        <v>4549.6273479461697</v>
      </c>
      <c r="M3462" s="925">
        <v>5.1892532557249096</v>
      </c>
    </row>
    <row r="3463" spans="1:13" ht="11.25" customHeight="1" x14ac:dyDescent="0.2">
      <c r="A3463" s="924" t="s">
        <v>853</v>
      </c>
      <c r="B3463" s="924" t="s">
        <v>1194</v>
      </c>
      <c r="C3463" s="924" t="s">
        <v>1195</v>
      </c>
      <c r="D3463" s="924" t="s">
        <v>1190</v>
      </c>
      <c r="E3463" s="924" t="s">
        <v>856</v>
      </c>
      <c r="F3463" s="924" t="s">
        <v>984</v>
      </c>
      <c r="G3463" s="924" t="s">
        <v>981</v>
      </c>
      <c r="H3463" s="924" t="s">
        <v>835</v>
      </c>
      <c r="I3463" s="924" t="s">
        <v>839</v>
      </c>
      <c r="J3463" s="924" t="s">
        <v>982</v>
      </c>
      <c r="K3463" s="924" t="s">
        <v>985</v>
      </c>
      <c r="L3463" s="925">
        <v>1922.0780601501499</v>
      </c>
      <c r="M3463" s="925">
        <v>2.1440566820092499</v>
      </c>
    </row>
    <row r="3464" spans="1:13" ht="11.25" customHeight="1" x14ac:dyDescent="0.2">
      <c r="A3464" s="924" t="s">
        <v>853</v>
      </c>
      <c r="B3464" s="924" t="s">
        <v>1194</v>
      </c>
      <c r="C3464" s="924" t="s">
        <v>1195</v>
      </c>
      <c r="D3464" s="924" t="s">
        <v>1190</v>
      </c>
      <c r="E3464" s="924" t="s">
        <v>856</v>
      </c>
      <c r="F3464" s="924" t="s">
        <v>986</v>
      </c>
      <c r="G3464" s="924" t="s">
        <v>981</v>
      </c>
      <c r="H3464" s="924" t="s">
        <v>835</v>
      </c>
      <c r="I3464" s="924" t="s">
        <v>839</v>
      </c>
      <c r="J3464" s="924" t="s">
        <v>987</v>
      </c>
      <c r="K3464" s="924" t="s">
        <v>988</v>
      </c>
      <c r="L3464" s="925">
        <v>3734.2759618759201</v>
      </c>
      <c r="M3464" s="925">
        <v>1.8845156352035699</v>
      </c>
    </row>
    <row r="3465" spans="1:13" ht="11.25" customHeight="1" x14ac:dyDescent="0.2">
      <c r="A3465" s="924" t="s">
        <v>853</v>
      </c>
      <c r="B3465" s="924" t="s">
        <v>1194</v>
      </c>
      <c r="C3465" s="924" t="s">
        <v>1195</v>
      </c>
      <c r="D3465" s="924" t="s">
        <v>1190</v>
      </c>
      <c r="E3465" s="924" t="s">
        <v>856</v>
      </c>
      <c r="F3465" s="924" t="s">
        <v>989</v>
      </c>
      <c r="G3465" s="924" t="s">
        <v>990</v>
      </c>
      <c r="H3465" s="924" t="s">
        <v>836</v>
      </c>
      <c r="I3465" s="924" t="s">
        <v>839</v>
      </c>
      <c r="J3465" s="924" t="s">
        <v>224</v>
      </c>
      <c r="K3465" s="924" t="s">
        <v>988</v>
      </c>
      <c r="L3465" s="925">
        <v>2940.8376493454002</v>
      </c>
      <c r="M3465" s="925">
        <v>0.100128883047503</v>
      </c>
    </row>
    <row r="3466" spans="1:13" ht="11.25" customHeight="1" x14ac:dyDescent="0.2">
      <c r="A3466" s="924" t="s">
        <v>853</v>
      </c>
      <c r="B3466" s="924" t="s">
        <v>1194</v>
      </c>
      <c r="C3466" s="924" t="s">
        <v>1195</v>
      </c>
      <c r="D3466" s="924" t="s">
        <v>1190</v>
      </c>
      <c r="E3466" s="924" t="s">
        <v>856</v>
      </c>
      <c r="F3466" s="924" t="s">
        <v>991</v>
      </c>
      <c r="G3466" s="924" t="s">
        <v>990</v>
      </c>
      <c r="H3466" s="924" t="s">
        <v>836</v>
      </c>
      <c r="I3466" s="924" t="s">
        <v>839</v>
      </c>
      <c r="J3466" s="924" t="s">
        <v>224</v>
      </c>
      <c r="K3466" s="924" t="s">
        <v>983</v>
      </c>
      <c r="L3466" s="925">
        <v>9.2059718593955004</v>
      </c>
      <c r="M3466" s="925">
        <v>5.4971898531519503E-4</v>
      </c>
    </row>
    <row r="3467" spans="1:13" ht="11.25" customHeight="1" x14ac:dyDescent="0.2">
      <c r="A3467" s="924" t="s">
        <v>853</v>
      </c>
      <c r="B3467" s="924" t="s">
        <v>1194</v>
      </c>
      <c r="C3467" s="924" t="s">
        <v>1195</v>
      </c>
      <c r="D3467" s="924" t="s">
        <v>1190</v>
      </c>
      <c r="E3467" s="924" t="s">
        <v>1164</v>
      </c>
      <c r="F3467" s="924" t="s">
        <v>1165</v>
      </c>
      <c r="G3467" s="924" t="s">
        <v>981</v>
      </c>
      <c r="H3467" s="924" t="s">
        <v>835</v>
      </c>
      <c r="I3467" s="924" t="s">
        <v>1040</v>
      </c>
      <c r="J3467" s="924" t="s">
        <v>1166</v>
      </c>
      <c r="K3467" s="924" t="s">
        <v>1166</v>
      </c>
      <c r="L3467" s="925">
        <v>2.4561169557273398E-2</v>
      </c>
      <c r="M3467" s="925">
        <v>7.0484538099435701E-6</v>
      </c>
    </row>
    <row r="3468" spans="1:13" ht="11.25" customHeight="1" x14ac:dyDescent="0.2">
      <c r="A3468" s="924" t="s">
        <v>853</v>
      </c>
      <c r="B3468" s="924" t="s">
        <v>1194</v>
      </c>
      <c r="C3468" s="924" t="s">
        <v>1195</v>
      </c>
      <c r="D3468" s="924" t="s">
        <v>1190</v>
      </c>
      <c r="E3468" s="924" t="s">
        <v>1164</v>
      </c>
      <c r="F3468" s="924" t="s">
        <v>1167</v>
      </c>
      <c r="G3468" s="924" t="s">
        <v>911</v>
      </c>
      <c r="H3468" s="924" t="s">
        <v>665</v>
      </c>
      <c r="I3468" s="924" t="s">
        <v>706</v>
      </c>
      <c r="J3468" s="924" t="s">
        <v>1166</v>
      </c>
      <c r="K3468" s="924" t="s">
        <v>1166</v>
      </c>
      <c r="L3468" s="925">
        <v>1.37011845363304E-2</v>
      </c>
      <c r="M3468" s="925">
        <v>6.3506286274162004E-7</v>
      </c>
    </row>
    <row r="3469" spans="1:13" ht="11.25" customHeight="1" x14ac:dyDescent="0.2">
      <c r="A3469" s="924" t="s">
        <v>853</v>
      </c>
      <c r="B3469" s="924" t="s">
        <v>1194</v>
      </c>
      <c r="C3469" s="924" t="s">
        <v>1195</v>
      </c>
      <c r="D3469" s="924" t="s">
        <v>1190</v>
      </c>
      <c r="E3469" s="924" t="s">
        <v>1164</v>
      </c>
      <c r="F3469" s="924" t="s">
        <v>1168</v>
      </c>
      <c r="G3469" s="924" t="s">
        <v>858</v>
      </c>
      <c r="H3469" s="924" t="s">
        <v>836</v>
      </c>
      <c r="I3469" s="924" t="s">
        <v>837</v>
      </c>
      <c r="J3469" s="924" t="s">
        <v>1166</v>
      </c>
      <c r="K3469" s="924" t="s">
        <v>1166</v>
      </c>
      <c r="L3469" s="925">
        <v>0.758935026824474</v>
      </c>
      <c r="M3469" s="925">
        <v>9.7085301826726999E-6</v>
      </c>
    </row>
    <row r="3470" spans="1:13" ht="11.25" customHeight="1" x14ac:dyDescent="0.2">
      <c r="A3470" s="924" t="s">
        <v>853</v>
      </c>
      <c r="B3470" s="924" t="s">
        <v>1194</v>
      </c>
      <c r="C3470" s="924" t="s">
        <v>1195</v>
      </c>
      <c r="D3470" s="924" t="s">
        <v>1190</v>
      </c>
      <c r="E3470" s="924" t="s">
        <v>856</v>
      </c>
      <c r="F3470" s="924" t="s">
        <v>917</v>
      </c>
      <c r="G3470" s="924" t="s">
        <v>911</v>
      </c>
      <c r="H3470" s="924" t="s">
        <v>665</v>
      </c>
      <c r="I3470" s="924" t="s">
        <v>706</v>
      </c>
      <c r="J3470" s="924" t="s">
        <v>859</v>
      </c>
      <c r="K3470" s="924" t="s">
        <v>918</v>
      </c>
      <c r="L3470" s="925">
        <v>0.73179183341562704</v>
      </c>
      <c r="M3470" s="925">
        <v>2.3628676524367601E-4</v>
      </c>
    </row>
    <row r="3471" spans="1:13" ht="11.25" customHeight="1" x14ac:dyDescent="0.2">
      <c r="A3471" s="924" t="s">
        <v>853</v>
      </c>
      <c r="B3471" s="924" t="s">
        <v>1194</v>
      </c>
      <c r="C3471" s="924" t="s">
        <v>1195</v>
      </c>
      <c r="D3471" s="924" t="s">
        <v>1190</v>
      </c>
      <c r="E3471" s="924" t="s">
        <v>856</v>
      </c>
      <c r="F3471" s="924" t="s">
        <v>1074</v>
      </c>
      <c r="G3471" s="924" t="s">
        <v>911</v>
      </c>
      <c r="H3471" s="924" t="s">
        <v>665</v>
      </c>
      <c r="I3471" s="924" t="s">
        <v>706</v>
      </c>
      <c r="J3471" s="924" t="s">
        <v>859</v>
      </c>
      <c r="K3471" s="924" t="s">
        <v>903</v>
      </c>
      <c r="L3471" s="925">
        <v>2.00510630197823</v>
      </c>
      <c r="M3471" s="925">
        <v>2.2393587011038099E-4</v>
      </c>
    </row>
    <row r="3472" spans="1:13" ht="11.25" customHeight="1" x14ac:dyDescent="0.2">
      <c r="A3472" s="924" t="s">
        <v>853</v>
      </c>
      <c r="B3472" s="924" t="s">
        <v>1194</v>
      </c>
      <c r="C3472" s="924" t="s">
        <v>1195</v>
      </c>
      <c r="D3472" s="924" t="s">
        <v>1190</v>
      </c>
      <c r="E3472" s="924" t="s">
        <v>856</v>
      </c>
      <c r="F3472" s="924" t="s">
        <v>1000</v>
      </c>
      <c r="G3472" s="924" t="s">
        <v>858</v>
      </c>
      <c r="H3472" s="924" t="s">
        <v>836</v>
      </c>
      <c r="I3472" s="924" t="s">
        <v>837</v>
      </c>
      <c r="J3472" s="924" t="s">
        <v>875</v>
      </c>
      <c r="K3472" s="924" t="s">
        <v>950</v>
      </c>
      <c r="L3472" s="925">
        <v>17.512923762202298</v>
      </c>
      <c r="M3472" s="925">
        <v>4.1136015189380297E-4</v>
      </c>
    </row>
    <row r="3473" spans="1:13" ht="11.25" customHeight="1" x14ac:dyDescent="0.2">
      <c r="A3473" s="924" t="s">
        <v>853</v>
      </c>
      <c r="B3473" s="924" t="s">
        <v>1194</v>
      </c>
      <c r="C3473" s="924" t="s">
        <v>1195</v>
      </c>
      <c r="D3473" s="924" t="s">
        <v>1190</v>
      </c>
      <c r="E3473" s="924" t="s">
        <v>856</v>
      </c>
      <c r="F3473" s="924" t="s">
        <v>1038</v>
      </c>
      <c r="G3473" s="924" t="s">
        <v>858</v>
      </c>
      <c r="H3473" s="924" t="s">
        <v>836</v>
      </c>
      <c r="I3473" s="924" t="s">
        <v>837</v>
      </c>
      <c r="J3473" s="924" t="s">
        <v>863</v>
      </c>
      <c r="K3473" s="924" t="s">
        <v>935</v>
      </c>
      <c r="L3473" s="925">
        <v>118.98405444622</v>
      </c>
      <c r="M3473" s="925">
        <v>1.2877476696360199E-3</v>
      </c>
    </row>
    <row r="3474" spans="1:13" ht="11.25" customHeight="1" x14ac:dyDescent="0.2">
      <c r="A3474" s="924" t="s">
        <v>853</v>
      </c>
      <c r="B3474" s="924" t="s">
        <v>1194</v>
      </c>
      <c r="C3474" s="924" t="s">
        <v>1195</v>
      </c>
      <c r="D3474" s="924" t="s">
        <v>1190</v>
      </c>
      <c r="E3474" s="924" t="s">
        <v>856</v>
      </c>
      <c r="F3474" s="924" t="s">
        <v>1071</v>
      </c>
      <c r="G3474" s="924" t="s">
        <v>858</v>
      </c>
      <c r="H3474" s="924" t="s">
        <v>836</v>
      </c>
      <c r="I3474" s="924" t="s">
        <v>837</v>
      </c>
      <c r="J3474" s="924" t="s">
        <v>859</v>
      </c>
      <c r="K3474" s="924" t="s">
        <v>1072</v>
      </c>
      <c r="L3474" s="925">
        <v>684.85039520263695</v>
      </c>
      <c r="M3474" s="925">
        <v>6.09085509421448E-3</v>
      </c>
    </row>
    <row r="3475" spans="1:13" ht="11.25" customHeight="1" x14ac:dyDescent="0.2">
      <c r="A3475" s="924" t="s">
        <v>853</v>
      </c>
      <c r="B3475" s="924" t="s">
        <v>1194</v>
      </c>
      <c r="C3475" s="924" t="s">
        <v>1195</v>
      </c>
      <c r="D3475" s="924" t="s">
        <v>1190</v>
      </c>
      <c r="E3475" s="924" t="s">
        <v>856</v>
      </c>
      <c r="F3475" s="924" t="s">
        <v>953</v>
      </c>
      <c r="G3475" s="924" t="s">
        <v>858</v>
      </c>
      <c r="H3475" s="924" t="s">
        <v>836</v>
      </c>
      <c r="I3475" s="924" t="s">
        <v>837</v>
      </c>
      <c r="J3475" s="924" t="s">
        <v>859</v>
      </c>
      <c r="K3475" s="924" t="s">
        <v>920</v>
      </c>
      <c r="L3475" s="925">
        <v>32.215288430452297</v>
      </c>
      <c r="M3475" s="925">
        <v>4.15537097453011E-4</v>
      </c>
    </row>
    <row r="3476" spans="1:13" ht="11.25" customHeight="1" x14ac:dyDescent="0.2">
      <c r="A3476" s="924" t="s">
        <v>853</v>
      </c>
      <c r="B3476" s="924" t="s">
        <v>1194</v>
      </c>
      <c r="C3476" s="924" t="s">
        <v>1195</v>
      </c>
      <c r="D3476" s="924" t="s">
        <v>1190</v>
      </c>
      <c r="E3476" s="924" t="s">
        <v>856</v>
      </c>
      <c r="F3476" s="924" t="s">
        <v>1002</v>
      </c>
      <c r="G3476" s="924" t="s">
        <v>858</v>
      </c>
      <c r="H3476" s="924" t="s">
        <v>836</v>
      </c>
      <c r="I3476" s="924" t="s">
        <v>837</v>
      </c>
      <c r="J3476" s="924" t="s">
        <v>859</v>
      </c>
      <c r="K3476" s="924" t="s">
        <v>922</v>
      </c>
      <c r="L3476" s="925">
        <v>256.206192493439</v>
      </c>
      <c r="M3476" s="925">
        <v>2.9292148690842601E-3</v>
      </c>
    </row>
    <row r="3477" spans="1:13" ht="11.25" customHeight="1" x14ac:dyDescent="0.2">
      <c r="A3477" s="924" t="s">
        <v>853</v>
      </c>
      <c r="B3477" s="924" t="s">
        <v>1194</v>
      </c>
      <c r="C3477" s="924" t="s">
        <v>1195</v>
      </c>
      <c r="D3477" s="924" t="s">
        <v>1190</v>
      </c>
      <c r="E3477" s="924" t="s">
        <v>856</v>
      </c>
      <c r="F3477" s="924" t="s">
        <v>1003</v>
      </c>
      <c r="G3477" s="924" t="s">
        <v>858</v>
      </c>
      <c r="H3477" s="924" t="s">
        <v>836</v>
      </c>
      <c r="I3477" s="924" t="s">
        <v>837</v>
      </c>
      <c r="J3477" s="924" t="s">
        <v>859</v>
      </c>
      <c r="K3477" s="924" t="s">
        <v>924</v>
      </c>
      <c r="L3477" s="925">
        <v>871.10410499572799</v>
      </c>
      <c r="M3477" s="925">
        <v>8.3084093204206493E-3</v>
      </c>
    </row>
    <row r="3478" spans="1:13" ht="11.25" customHeight="1" x14ac:dyDescent="0.2">
      <c r="A3478" s="924" t="s">
        <v>853</v>
      </c>
      <c r="B3478" s="924" t="s">
        <v>1194</v>
      </c>
      <c r="C3478" s="924" t="s">
        <v>1195</v>
      </c>
      <c r="D3478" s="924" t="s">
        <v>1190</v>
      </c>
      <c r="E3478" s="924" t="s">
        <v>856</v>
      </c>
      <c r="F3478" s="924" t="s">
        <v>1004</v>
      </c>
      <c r="G3478" s="924" t="s">
        <v>858</v>
      </c>
      <c r="H3478" s="924" t="s">
        <v>836</v>
      </c>
      <c r="I3478" s="924" t="s">
        <v>837</v>
      </c>
      <c r="J3478" s="924" t="s">
        <v>859</v>
      </c>
      <c r="K3478" s="924" t="s">
        <v>926</v>
      </c>
      <c r="L3478" s="925">
        <v>527.92103958129906</v>
      </c>
      <c r="M3478" s="925">
        <v>2.15432492805121E-2</v>
      </c>
    </row>
    <row r="3479" spans="1:13" ht="11.25" customHeight="1" x14ac:dyDescent="0.2">
      <c r="A3479" s="924" t="s">
        <v>853</v>
      </c>
      <c r="B3479" s="924" t="s">
        <v>1194</v>
      </c>
      <c r="C3479" s="924" t="s">
        <v>1195</v>
      </c>
      <c r="D3479" s="924" t="s">
        <v>1190</v>
      </c>
      <c r="E3479" s="924" t="s">
        <v>856</v>
      </c>
      <c r="F3479" s="924" t="s">
        <v>1005</v>
      </c>
      <c r="G3479" s="924" t="s">
        <v>858</v>
      </c>
      <c r="H3479" s="924" t="s">
        <v>836</v>
      </c>
      <c r="I3479" s="924" t="s">
        <v>837</v>
      </c>
      <c r="J3479" s="924" t="s">
        <v>859</v>
      </c>
      <c r="K3479" s="924" t="s">
        <v>1006</v>
      </c>
      <c r="L3479" s="925">
        <v>796.78674507141102</v>
      </c>
      <c r="M3479" s="925">
        <v>6.1715184276636102E-3</v>
      </c>
    </row>
    <row r="3480" spans="1:13" ht="11.25" customHeight="1" x14ac:dyDescent="0.2">
      <c r="A3480" s="924" t="s">
        <v>853</v>
      </c>
      <c r="B3480" s="924" t="s">
        <v>1194</v>
      </c>
      <c r="C3480" s="924" t="s">
        <v>1195</v>
      </c>
      <c r="D3480" s="924" t="s">
        <v>1190</v>
      </c>
      <c r="E3480" s="924" t="s">
        <v>856</v>
      </c>
      <c r="F3480" s="924" t="s">
        <v>1007</v>
      </c>
      <c r="G3480" s="924" t="s">
        <v>858</v>
      </c>
      <c r="H3480" s="924" t="s">
        <v>836</v>
      </c>
      <c r="I3480" s="924" t="s">
        <v>837</v>
      </c>
      <c r="J3480" s="924" t="s">
        <v>859</v>
      </c>
      <c r="K3480" s="924" t="s">
        <v>928</v>
      </c>
      <c r="L3480" s="925">
        <v>366.82842111587502</v>
      </c>
      <c r="M3480" s="925">
        <v>1.5995726011169598E-2</v>
      </c>
    </row>
    <row r="3481" spans="1:13" ht="11.25" customHeight="1" x14ac:dyDescent="0.2">
      <c r="A3481" s="924" t="s">
        <v>853</v>
      </c>
      <c r="B3481" s="924" t="s">
        <v>1194</v>
      </c>
      <c r="C3481" s="924" t="s">
        <v>1195</v>
      </c>
      <c r="D3481" s="924" t="s">
        <v>1190</v>
      </c>
      <c r="E3481" s="924" t="s">
        <v>856</v>
      </c>
      <c r="F3481" s="924" t="s">
        <v>1008</v>
      </c>
      <c r="G3481" s="924" t="s">
        <v>858</v>
      </c>
      <c r="H3481" s="924" t="s">
        <v>836</v>
      </c>
      <c r="I3481" s="924" t="s">
        <v>837</v>
      </c>
      <c r="J3481" s="924" t="s">
        <v>859</v>
      </c>
      <c r="K3481" s="924" t="s">
        <v>1009</v>
      </c>
      <c r="L3481" s="925">
        <v>85.515260934829698</v>
      </c>
      <c r="M3481" s="925">
        <v>6.9666657324774005E-4</v>
      </c>
    </row>
    <row r="3482" spans="1:13" ht="11.25" customHeight="1" x14ac:dyDescent="0.2">
      <c r="A3482" s="924" t="s">
        <v>853</v>
      </c>
      <c r="B3482" s="924" t="s">
        <v>1194</v>
      </c>
      <c r="C3482" s="924" t="s">
        <v>1195</v>
      </c>
      <c r="D3482" s="924" t="s">
        <v>1190</v>
      </c>
      <c r="E3482" s="924" t="s">
        <v>856</v>
      </c>
      <c r="F3482" s="924" t="s">
        <v>1010</v>
      </c>
      <c r="G3482" s="924" t="s">
        <v>858</v>
      </c>
      <c r="H3482" s="924" t="s">
        <v>836</v>
      </c>
      <c r="I3482" s="924" t="s">
        <v>837</v>
      </c>
      <c r="J3482" s="924" t="s">
        <v>859</v>
      </c>
      <c r="K3482" s="924" t="s">
        <v>1011</v>
      </c>
      <c r="L3482" s="925">
        <v>1.12232194468379</v>
      </c>
      <c r="M3482" s="925">
        <v>5.1642844491439598E-5</v>
      </c>
    </row>
    <row r="3483" spans="1:13" ht="11.25" customHeight="1" x14ac:dyDescent="0.2">
      <c r="A3483" s="924" t="s">
        <v>853</v>
      </c>
      <c r="B3483" s="924" t="s">
        <v>1194</v>
      </c>
      <c r="C3483" s="924" t="s">
        <v>1195</v>
      </c>
      <c r="D3483" s="924" t="s">
        <v>1190</v>
      </c>
      <c r="E3483" s="924" t="s">
        <v>856</v>
      </c>
      <c r="F3483" s="924" t="s">
        <v>1012</v>
      </c>
      <c r="G3483" s="924" t="s">
        <v>858</v>
      </c>
      <c r="H3483" s="924" t="s">
        <v>836</v>
      </c>
      <c r="I3483" s="924" t="s">
        <v>837</v>
      </c>
      <c r="J3483" s="924" t="s">
        <v>859</v>
      </c>
      <c r="K3483" s="924" t="s">
        <v>891</v>
      </c>
      <c r="L3483" s="925">
        <v>82.250442504882798</v>
      </c>
      <c r="M3483" s="925">
        <v>1.0901674102683501E-3</v>
      </c>
    </row>
    <row r="3484" spans="1:13" ht="11.25" customHeight="1" x14ac:dyDescent="0.2">
      <c r="A3484" s="924" t="s">
        <v>853</v>
      </c>
      <c r="B3484" s="924" t="s">
        <v>1194</v>
      </c>
      <c r="C3484" s="924" t="s">
        <v>1195</v>
      </c>
      <c r="D3484" s="924" t="s">
        <v>1190</v>
      </c>
      <c r="E3484" s="924" t="s">
        <v>856</v>
      </c>
      <c r="F3484" s="924" t="s">
        <v>958</v>
      </c>
      <c r="G3484" s="924" t="s">
        <v>858</v>
      </c>
      <c r="H3484" s="924" t="s">
        <v>836</v>
      </c>
      <c r="I3484" s="924" t="s">
        <v>837</v>
      </c>
      <c r="J3484" s="924" t="s">
        <v>870</v>
      </c>
      <c r="K3484" s="924" t="s">
        <v>959</v>
      </c>
      <c r="L3484" s="925">
        <v>0.72229882283136204</v>
      </c>
      <c r="M3484" s="925">
        <v>6.7312638940275598E-6</v>
      </c>
    </row>
    <row r="3485" spans="1:13" ht="11.25" customHeight="1" x14ac:dyDescent="0.2">
      <c r="A3485" s="924" t="s">
        <v>853</v>
      </c>
      <c r="B3485" s="924" t="s">
        <v>1194</v>
      </c>
      <c r="C3485" s="924" t="s">
        <v>1195</v>
      </c>
      <c r="D3485" s="924" t="s">
        <v>1190</v>
      </c>
      <c r="E3485" s="924" t="s">
        <v>856</v>
      </c>
      <c r="F3485" s="924" t="s">
        <v>1014</v>
      </c>
      <c r="G3485" s="924" t="s">
        <v>858</v>
      </c>
      <c r="H3485" s="924" t="s">
        <v>836</v>
      </c>
      <c r="I3485" s="924" t="s">
        <v>837</v>
      </c>
      <c r="J3485" s="924" t="s">
        <v>863</v>
      </c>
      <c r="K3485" s="924" t="s">
        <v>933</v>
      </c>
      <c r="L3485" s="925">
        <v>272.38871145248402</v>
      </c>
      <c r="M3485" s="925">
        <v>1.9283884482206299E-3</v>
      </c>
    </row>
    <row r="3486" spans="1:13" ht="11.25" customHeight="1" x14ac:dyDescent="0.2">
      <c r="A3486" s="924" t="s">
        <v>853</v>
      </c>
      <c r="B3486" s="924" t="s">
        <v>1194</v>
      </c>
      <c r="C3486" s="924" t="s">
        <v>1195</v>
      </c>
      <c r="D3486" s="924" t="s">
        <v>1190</v>
      </c>
      <c r="E3486" s="924" t="s">
        <v>856</v>
      </c>
      <c r="F3486" s="924" t="s">
        <v>886</v>
      </c>
      <c r="G3486" s="924" t="s">
        <v>858</v>
      </c>
      <c r="H3486" s="924" t="s">
        <v>836</v>
      </c>
      <c r="I3486" s="924" t="s">
        <v>837</v>
      </c>
      <c r="J3486" s="924" t="s">
        <v>859</v>
      </c>
      <c r="K3486" s="924" t="s">
        <v>887</v>
      </c>
      <c r="L3486" s="925">
        <v>199.09894037246701</v>
      </c>
      <c r="M3486" s="925">
        <v>1.4735214038523699E-3</v>
      </c>
    </row>
    <row r="3487" spans="1:13" ht="11.25" customHeight="1" x14ac:dyDescent="0.2">
      <c r="A3487" s="924" t="s">
        <v>853</v>
      </c>
      <c r="B3487" s="924" t="s">
        <v>1194</v>
      </c>
      <c r="C3487" s="924" t="s">
        <v>1195</v>
      </c>
      <c r="D3487" s="924" t="s">
        <v>1190</v>
      </c>
      <c r="E3487" s="924" t="s">
        <v>856</v>
      </c>
      <c r="F3487" s="924" t="s">
        <v>1017</v>
      </c>
      <c r="G3487" s="924" t="s">
        <v>858</v>
      </c>
      <c r="H3487" s="924" t="s">
        <v>836</v>
      </c>
      <c r="I3487" s="924" t="s">
        <v>837</v>
      </c>
      <c r="J3487" s="924" t="s">
        <v>863</v>
      </c>
      <c r="K3487" s="924" t="s">
        <v>864</v>
      </c>
      <c r="L3487" s="925">
        <v>120.66699719429</v>
      </c>
      <c r="M3487" s="925">
        <v>1.6364851740036099E-3</v>
      </c>
    </row>
    <row r="3488" spans="1:13" ht="11.25" customHeight="1" x14ac:dyDescent="0.2">
      <c r="A3488" s="924" t="s">
        <v>853</v>
      </c>
      <c r="B3488" s="924" t="s">
        <v>1194</v>
      </c>
      <c r="C3488" s="924" t="s">
        <v>1195</v>
      </c>
      <c r="D3488" s="924" t="s">
        <v>1190</v>
      </c>
      <c r="E3488" s="924" t="s">
        <v>856</v>
      </c>
      <c r="F3488" s="924" t="s">
        <v>1001</v>
      </c>
      <c r="G3488" s="924" t="s">
        <v>858</v>
      </c>
      <c r="H3488" s="924" t="s">
        <v>836</v>
      </c>
      <c r="I3488" s="924" t="s">
        <v>837</v>
      </c>
      <c r="J3488" s="924" t="s">
        <v>863</v>
      </c>
      <c r="K3488" s="924" t="s">
        <v>915</v>
      </c>
      <c r="L3488" s="925">
        <v>4.6572183594107601</v>
      </c>
      <c r="M3488" s="925">
        <v>1.42297873559016E-4</v>
      </c>
    </row>
    <row r="3489" spans="1:13" ht="11.25" customHeight="1" x14ac:dyDescent="0.2">
      <c r="A3489" s="924" t="s">
        <v>853</v>
      </c>
      <c r="B3489" s="924" t="s">
        <v>1194</v>
      </c>
      <c r="C3489" s="924" t="s">
        <v>1195</v>
      </c>
      <c r="D3489" s="924" t="s">
        <v>1190</v>
      </c>
      <c r="E3489" s="924" t="s">
        <v>856</v>
      </c>
      <c r="F3489" s="924" t="s">
        <v>1020</v>
      </c>
      <c r="G3489" s="924" t="s">
        <v>858</v>
      </c>
      <c r="H3489" s="924" t="s">
        <v>836</v>
      </c>
      <c r="I3489" s="924" t="s">
        <v>837</v>
      </c>
      <c r="J3489" s="924" t="s">
        <v>863</v>
      </c>
      <c r="K3489" s="924" t="s">
        <v>866</v>
      </c>
      <c r="L3489" s="925">
        <v>863.40258216857899</v>
      </c>
      <c r="M3489" s="925">
        <v>2.0956993227173398E-2</v>
      </c>
    </row>
    <row r="3490" spans="1:13" ht="11.25" customHeight="1" x14ac:dyDescent="0.2">
      <c r="A3490" s="924" t="s">
        <v>853</v>
      </c>
      <c r="B3490" s="924" t="s">
        <v>1194</v>
      </c>
      <c r="C3490" s="924" t="s">
        <v>1195</v>
      </c>
      <c r="D3490" s="924" t="s">
        <v>1190</v>
      </c>
      <c r="E3490" s="924" t="s">
        <v>856</v>
      </c>
      <c r="F3490" s="924" t="s">
        <v>1021</v>
      </c>
      <c r="G3490" s="924" t="s">
        <v>858</v>
      </c>
      <c r="H3490" s="924" t="s">
        <v>836</v>
      </c>
      <c r="I3490" s="924" t="s">
        <v>837</v>
      </c>
      <c r="J3490" s="924" t="s">
        <v>863</v>
      </c>
      <c r="K3490" s="924" t="s">
        <v>868</v>
      </c>
      <c r="L3490" s="925">
        <v>171.67292857170099</v>
      </c>
      <c r="M3490" s="925">
        <v>9.2277244857541497E-4</v>
      </c>
    </row>
    <row r="3491" spans="1:13" ht="11.25" customHeight="1" x14ac:dyDescent="0.2">
      <c r="A3491" s="924" t="s">
        <v>853</v>
      </c>
      <c r="B3491" s="924" t="s">
        <v>1194</v>
      </c>
      <c r="C3491" s="924" t="s">
        <v>1195</v>
      </c>
      <c r="D3491" s="924" t="s">
        <v>1190</v>
      </c>
      <c r="E3491" s="924" t="s">
        <v>856</v>
      </c>
      <c r="F3491" s="924" t="s">
        <v>1022</v>
      </c>
      <c r="G3491" s="924" t="s">
        <v>858</v>
      </c>
      <c r="H3491" s="924" t="s">
        <v>836</v>
      </c>
      <c r="I3491" s="924" t="s">
        <v>837</v>
      </c>
      <c r="J3491" s="924" t="s">
        <v>940</v>
      </c>
      <c r="K3491" s="924" t="s">
        <v>1023</v>
      </c>
      <c r="L3491" s="925">
        <v>3.66658711282071E-2</v>
      </c>
      <c r="M3491" s="925">
        <v>1.6469961643741901E-6</v>
      </c>
    </row>
    <row r="3492" spans="1:13" ht="11.25" customHeight="1" x14ac:dyDescent="0.2">
      <c r="A3492" s="924" t="s">
        <v>853</v>
      </c>
      <c r="B3492" s="924" t="s">
        <v>1194</v>
      </c>
      <c r="C3492" s="924" t="s">
        <v>1195</v>
      </c>
      <c r="D3492" s="924" t="s">
        <v>1190</v>
      </c>
      <c r="E3492" s="924" t="s">
        <v>856</v>
      </c>
      <c r="F3492" s="924" t="s">
        <v>1026</v>
      </c>
      <c r="G3492" s="924" t="s">
        <v>858</v>
      </c>
      <c r="H3492" s="924" t="s">
        <v>836</v>
      </c>
      <c r="I3492" s="924" t="s">
        <v>837</v>
      </c>
      <c r="J3492" s="924" t="s">
        <v>940</v>
      </c>
      <c r="K3492" s="924" t="s">
        <v>1027</v>
      </c>
      <c r="L3492" s="925">
        <v>256.997114658356</v>
      </c>
      <c r="M3492" s="925">
        <v>1.08468632542298E-2</v>
      </c>
    </row>
    <row r="3493" spans="1:13" ht="11.25" customHeight="1" x14ac:dyDescent="0.2">
      <c r="A3493" s="924" t="s">
        <v>853</v>
      </c>
      <c r="B3493" s="924" t="s">
        <v>1194</v>
      </c>
      <c r="C3493" s="924" t="s">
        <v>1195</v>
      </c>
      <c r="D3493" s="924" t="s">
        <v>1190</v>
      </c>
      <c r="E3493" s="924" t="s">
        <v>856</v>
      </c>
      <c r="F3493" s="924" t="s">
        <v>1028</v>
      </c>
      <c r="G3493" s="924" t="s">
        <v>858</v>
      </c>
      <c r="H3493" s="924" t="s">
        <v>836</v>
      </c>
      <c r="I3493" s="924" t="s">
        <v>837</v>
      </c>
      <c r="J3493" s="924" t="s">
        <v>940</v>
      </c>
      <c r="K3493" s="924" t="s">
        <v>1029</v>
      </c>
      <c r="L3493" s="925">
        <v>53.0442277342081</v>
      </c>
      <c r="M3493" s="925">
        <v>2.87733818002422E-3</v>
      </c>
    </row>
    <row r="3494" spans="1:13" ht="11.25" customHeight="1" x14ac:dyDescent="0.2">
      <c r="A3494" s="924" t="s">
        <v>853</v>
      </c>
      <c r="B3494" s="924" t="s">
        <v>1194</v>
      </c>
      <c r="C3494" s="924" t="s">
        <v>1195</v>
      </c>
      <c r="D3494" s="924" t="s">
        <v>1190</v>
      </c>
      <c r="E3494" s="924" t="s">
        <v>856</v>
      </c>
      <c r="F3494" s="924" t="s">
        <v>1030</v>
      </c>
      <c r="G3494" s="924" t="s">
        <v>858</v>
      </c>
      <c r="H3494" s="924" t="s">
        <v>836</v>
      </c>
      <c r="I3494" s="924" t="s">
        <v>837</v>
      </c>
      <c r="J3494" s="924" t="s">
        <v>940</v>
      </c>
      <c r="K3494" s="924" t="s">
        <v>941</v>
      </c>
      <c r="L3494" s="925">
        <v>350.34339189529402</v>
      </c>
      <c r="M3494" s="925">
        <v>6.5810484593953299E-3</v>
      </c>
    </row>
    <row r="3495" spans="1:13" ht="11.25" customHeight="1" x14ac:dyDescent="0.2">
      <c r="A3495" s="924" t="s">
        <v>853</v>
      </c>
      <c r="B3495" s="924" t="s">
        <v>1194</v>
      </c>
      <c r="C3495" s="924" t="s">
        <v>1195</v>
      </c>
      <c r="D3495" s="924" t="s">
        <v>1190</v>
      </c>
      <c r="E3495" s="924" t="s">
        <v>856</v>
      </c>
      <c r="F3495" s="924" t="s">
        <v>1031</v>
      </c>
      <c r="G3495" s="924" t="s">
        <v>858</v>
      </c>
      <c r="H3495" s="924" t="s">
        <v>836</v>
      </c>
      <c r="I3495" s="924" t="s">
        <v>837</v>
      </c>
      <c r="J3495" s="924" t="s">
        <v>940</v>
      </c>
      <c r="K3495" s="924" t="s">
        <v>1032</v>
      </c>
      <c r="L3495" s="925">
        <v>41.2734646946192</v>
      </c>
      <c r="M3495" s="925">
        <v>8.6117464234902697E-4</v>
      </c>
    </row>
    <row r="3496" spans="1:13" ht="11.25" customHeight="1" x14ac:dyDescent="0.2">
      <c r="A3496" s="924" t="s">
        <v>853</v>
      </c>
      <c r="B3496" s="924" t="s">
        <v>1194</v>
      </c>
      <c r="C3496" s="924" t="s">
        <v>1195</v>
      </c>
      <c r="D3496" s="924" t="s">
        <v>1190</v>
      </c>
      <c r="E3496" s="924" t="s">
        <v>856</v>
      </c>
      <c r="F3496" s="924" t="s">
        <v>1033</v>
      </c>
      <c r="G3496" s="924" t="s">
        <v>858</v>
      </c>
      <c r="H3496" s="924" t="s">
        <v>836</v>
      </c>
      <c r="I3496" s="924" t="s">
        <v>837</v>
      </c>
      <c r="J3496" s="924" t="s">
        <v>940</v>
      </c>
      <c r="K3496" s="924" t="s">
        <v>1034</v>
      </c>
      <c r="L3496" s="925">
        <v>1.0481273289769899</v>
      </c>
      <c r="M3496" s="925">
        <v>3.4370795307325799E-5</v>
      </c>
    </row>
    <row r="3497" spans="1:13" ht="11.25" customHeight="1" x14ac:dyDescent="0.2">
      <c r="A3497" s="924" t="s">
        <v>853</v>
      </c>
      <c r="B3497" s="924" t="s">
        <v>1194</v>
      </c>
      <c r="C3497" s="924" t="s">
        <v>1195</v>
      </c>
      <c r="D3497" s="924" t="s">
        <v>1190</v>
      </c>
      <c r="E3497" s="924" t="s">
        <v>856</v>
      </c>
      <c r="F3497" s="924" t="s">
        <v>1013</v>
      </c>
      <c r="G3497" s="924" t="s">
        <v>858</v>
      </c>
      <c r="H3497" s="924" t="s">
        <v>836</v>
      </c>
      <c r="I3497" s="924" t="s">
        <v>837</v>
      </c>
      <c r="J3497" s="924" t="s">
        <v>863</v>
      </c>
      <c r="K3497" s="924" t="s">
        <v>931</v>
      </c>
      <c r="L3497" s="925">
        <v>18.802082091569901</v>
      </c>
      <c r="M3497" s="925">
        <v>6.8728391751449202E-4</v>
      </c>
    </row>
    <row r="3498" spans="1:13" ht="11.25" customHeight="1" x14ac:dyDescent="0.2">
      <c r="A3498" s="924" t="s">
        <v>853</v>
      </c>
      <c r="B3498" s="924" t="s">
        <v>1194</v>
      </c>
      <c r="C3498" s="924" t="s">
        <v>1195</v>
      </c>
      <c r="D3498" s="924" t="s">
        <v>1190</v>
      </c>
      <c r="E3498" s="924" t="s">
        <v>856</v>
      </c>
      <c r="F3498" s="924" t="s">
        <v>1058</v>
      </c>
      <c r="G3498" s="924" t="s">
        <v>981</v>
      </c>
      <c r="H3498" s="924" t="s">
        <v>835</v>
      </c>
      <c r="I3498" s="924" t="s">
        <v>1040</v>
      </c>
      <c r="J3498" s="924" t="s">
        <v>859</v>
      </c>
      <c r="K3498" s="924" t="s">
        <v>905</v>
      </c>
      <c r="L3498" s="925">
        <v>4.8890968747437</v>
      </c>
      <c r="M3498" s="925">
        <v>3.86768967223361E-3</v>
      </c>
    </row>
    <row r="3499" spans="1:13" ht="11.25" customHeight="1" x14ac:dyDescent="0.2">
      <c r="A3499" s="924" t="s">
        <v>853</v>
      </c>
      <c r="B3499" s="924" t="s">
        <v>1194</v>
      </c>
      <c r="C3499" s="924" t="s">
        <v>1195</v>
      </c>
      <c r="D3499" s="924" t="s">
        <v>1190</v>
      </c>
      <c r="E3499" s="924" t="s">
        <v>856</v>
      </c>
      <c r="F3499" s="924" t="s">
        <v>1138</v>
      </c>
      <c r="G3499" s="924" t="s">
        <v>981</v>
      </c>
      <c r="H3499" s="924" t="s">
        <v>835</v>
      </c>
      <c r="I3499" s="924" t="s">
        <v>1040</v>
      </c>
      <c r="J3499" s="924" t="s">
        <v>863</v>
      </c>
      <c r="K3499" s="924" t="s">
        <v>931</v>
      </c>
      <c r="L3499" s="925">
        <v>20.8670828640461</v>
      </c>
      <c r="M3499" s="925">
        <v>8.0465771543458704E-3</v>
      </c>
    </row>
    <row r="3500" spans="1:13" ht="11.25" customHeight="1" x14ac:dyDescent="0.2">
      <c r="A3500" s="924" t="s">
        <v>853</v>
      </c>
      <c r="B3500" s="924" t="s">
        <v>1194</v>
      </c>
      <c r="C3500" s="924" t="s">
        <v>1195</v>
      </c>
      <c r="D3500" s="924" t="s">
        <v>1190</v>
      </c>
      <c r="E3500" s="924" t="s">
        <v>856</v>
      </c>
      <c r="F3500" s="924" t="s">
        <v>1045</v>
      </c>
      <c r="G3500" s="924" t="s">
        <v>981</v>
      </c>
      <c r="H3500" s="924" t="s">
        <v>835</v>
      </c>
      <c r="I3500" s="924" t="s">
        <v>1040</v>
      </c>
      <c r="J3500" s="924" t="s">
        <v>884</v>
      </c>
      <c r="K3500" s="924" t="s">
        <v>1046</v>
      </c>
      <c r="L3500" s="925">
        <v>545.926413536072</v>
      </c>
      <c r="M3500" s="925">
        <v>0.55699629882292401</v>
      </c>
    </row>
    <row r="3501" spans="1:13" ht="11.25" customHeight="1" x14ac:dyDescent="0.2">
      <c r="A3501" s="924" t="s">
        <v>853</v>
      </c>
      <c r="B3501" s="924" t="s">
        <v>1194</v>
      </c>
      <c r="C3501" s="924" t="s">
        <v>1195</v>
      </c>
      <c r="D3501" s="924" t="s">
        <v>1190</v>
      </c>
      <c r="E3501" s="924" t="s">
        <v>856</v>
      </c>
      <c r="F3501" s="924" t="s">
        <v>1047</v>
      </c>
      <c r="G3501" s="924" t="s">
        <v>981</v>
      </c>
      <c r="H3501" s="924" t="s">
        <v>835</v>
      </c>
      <c r="I3501" s="924" t="s">
        <v>1040</v>
      </c>
      <c r="J3501" s="924" t="s">
        <v>884</v>
      </c>
      <c r="K3501" s="924" t="s">
        <v>1048</v>
      </c>
      <c r="L3501" s="925">
        <v>186.48304176330601</v>
      </c>
      <c r="M3501" s="925">
        <v>0.14012510888278501</v>
      </c>
    </row>
    <row r="3502" spans="1:13" ht="11.25" customHeight="1" x14ac:dyDescent="0.2">
      <c r="A3502" s="924" t="s">
        <v>853</v>
      </c>
      <c r="B3502" s="924" t="s">
        <v>1194</v>
      </c>
      <c r="C3502" s="924" t="s">
        <v>1195</v>
      </c>
      <c r="D3502" s="924" t="s">
        <v>1190</v>
      </c>
      <c r="E3502" s="924" t="s">
        <v>856</v>
      </c>
      <c r="F3502" s="924" t="s">
        <v>1049</v>
      </c>
      <c r="G3502" s="924" t="s">
        <v>981</v>
      </c>
      <c r="H3502" s="924" t="s">
        <v>835</v>
      </c>
      <c r="I3502" s="924" t="s">
        <v>1040</v>
      </c>
      <c r="J3502" s="924" t="s">
        <v>884</v>
      </c>
      <c r="K3502" s="924" t="s">
        <v>885</v>
      </c>
      <c r="L3502" s="925">
        <v>71.882183790206895</v>
      </c>
      <c r="M3502" s="925">
        <v>6.8285293076769393E-2</v>
      </c>
    </row>
    <row r="3503" spans="1:13" ht="11.25" customHeight="1" x14ac:dyDescent="0.2">
      <c r="A3503" s="924" t="s">
        <v>853</v>
      </c>
      <c r="B3503" s="924" t="s">
        <v>1194</v>
      </c>
      <c r="C3503" s="924" t="s">
        <v>1195</v>
      </c>
      <c r="D3503" s="924" t="s">
        <v>1190</v>
      </c>
      <c r="E3503" s="924" t="s">
        <v>856</v>
      </c>
      <c r="F3503" s="924" t="s">
        <v>1050</v>
      </c>
      <c r="G3503" s="924" t="s">
        <v>981</v>
      </c>
      <c r="H3503" s="924" t="s">
        <v>835</v>
      </c>
      <c r="I3503" s="924" t="s">
        <v>1040</v>
      </c>
      <c r="J3503" s="924" t="s">
        <v>859</v>
      </c>
      <c r="K3503" s="924" t="s">
        <v>913</v>
      </c>
      <c r="L3503" s="925">
        <v>4.4832799620926398</v>
      </c>
      <c r="M3503" s="925">
        <v>2.6535406951779801E-3</v>
      </c>
    </row>
    <row r="3504" spans="1:13" ht="11.25" customHeight="1" x14ac:dyDescent="0.2">
      <c r="A3504" s="924" t="s">
        <v>853</v>
      </c>
      <c r="B3504" s="924" t="s">
        <v>1194</v>
      </c>
      <c r="C3504" s="924" t="s">
        <v>1195</v>
      </c>
      <c r="D3504" s="924" t="s">
        <v>1190</v>
      </c>
      <c r="E3504" s="924" t="s">
        <v>856</v>
      </c>
      <c r="F3504" s="924" t="s">
        <v>1051</v>
      </c>
      <c r="G3504" s="924" t="s">
        <v>981</v>
      </c>
      <c r="H3504" s="924" t="s">
        <v>835</v>
      </c>
      <c r="I3504" s="924" t="s">
        <v>1040</v>
      </c>
      <c r="J3504" s="924" t="s">
        <v>859</v>
      </c>
      <c r="K3504" s="924" t="s">
        <v>889</v>
      </c>
      <c r="L3504" s="925">
        <v>3.3549246989423402E-2</v>
      </c>
      <c r="M3504" s="925">
        <v>2.1797125782541099E-5</v>
      </c>
    </row>
    <row r="3505" spans="1:13" ht="11.25" customHeight="1" x14ac:dyDescent="0.2">
      <c r="A3505" s="924" t="s">
        <v>853</v>
      </c>
      <c r="B3505" s="924" t="s">
        <v>1194</v>
      </c>
      <c r="C3505" s="924" t="s">
        <v>1195</v>
      </c>
      <c r="D3505" s="924" t="s">
        <v>1190</v>
      </c>
      <c r="E3505" s="924" t="s">
        <v>856</v>
      </c>
      <c r="F3505" s="924" t="s">
        <v>1052</v>
      </c>
      <c r="G3505" s="924" t="s">
        <v>981</v>
      </c>
      <c r="H3505" s="924" t="s">
        <v>835</v>
      </c>
      <c r="I3505" s="924" t="s">
        <v>1040</v>
      </c>
      <c r="J3505" s="924" t="s">
        <v>859</v>
      </c>
      <c r="K3505" s="924" t="s">
        <v>860</v>
      </c>
      <c r="L3505" s="925">
        <v>8.4444191530346906</v>
      </c>
      <c r="M3505" s="925">
        <v>5.9543067691265597E-3</v>
      </c>
    </row>
    <row r="3506" spans="1:13" ht="11.25" customHeight="1" x14ac:dyDescent="0.2">
      <c r="A3506" s="924" t="s">
        <v>853</v>
      </c>
      <c r="B3506" s="924" t="s">
        <v>1194</v>
      </c>
      <c r="C3506" s="924" t="s">
        <v>1195</v>
      </c>
      <c r="D3506" s="924" t="s">
        <v>1190</v>
      </c>
      <c r="E3506" s="924" t="s">
        <v>856</v>
      </c>
      <c r="F3506" s="924" t="s">
        <v>1053</v>
      </c>
      <c r="G3506" s="924" t="s">
        <v>981</v>
      </c>
      <c r="H3506" s="924" t="s">
        <v>835</v>
      </c>
      <c r="I3506" s="924" t="s">
        <v>1040</v>
      </c>
      <c r="J3506" s="924" t="s">
        <v>859</v>
      </c>
      <c r="K3506" s="924" t="s">
        <v>893</v>
      </c>
      <c r="L3506" s="925">
        <v>7.94908105581999</v>
      </c>
      <c r="M3506" s="925">
        <v>4.8350189099437601E-3</v>
      </c>
    </row>
    <row r="3507" spans="1:13" ht="11.25" customHeight="1" x14ac:dyDescent="0.2">
      <c r="A3507" s="924" t="s">
        <v>853</v>
      </c>
      <c r="B3507" s="924" t="s">
        <v>1194</v>
      </c>
      <c r="C3507" s="924" t="s">
        <v>1195</v>
      </c>
      <c r="D3507" s="924" t="s">
        <v>1190</v>
      </c>
      <c r="E3507" s="924" t="s">
        <v>856</v>
      </c>
      <c r="F3507" s="924" t="s">
        <v>1068</v>
      </c>
      <c r="G3507" s="924" t="s">
        <v>981</v>
      </c>
      <c r="H3507" s="924" t="s">
        <v>835</v>
      </c>
      <c r="I3507" s="924" t="s">
        <v>1040</v>
      </c>
      <c r="J3507" s="924" t="s">
        <v>859</v>
      </c>
      <c r="K3507" s="924" t="s">
        <v>897</v>
      </c>
      <c r="L3507" s="925">
        <v>15.8488823324442</v>
      </c>
      <c r="M3507" s="925">
        <v>1.05774074498015E-2</v>
      </c>
    </row>
    <row r="3508" spans="1:13" ht="11.25" customHeight="1" x14ac:dyDescent="0.2">
      <c r="A3508" s="924" t="s">
        <v>853</v>
      </c>
      <c r="B3508" s="924" t="s">
        <v>1194</v>
      </c>
      <c r="C3508" s="924" t="s">
        <v>1195</v>
      </c>
      <c r="D3508" s="924" t="s">
        <v>1190</v>
      </c>
      <c r="E3508" s="924" t="s">
        <v>856</v>
      </c>
      <c r="F3508" s="924" t="s">
        <v>1055</v>
      </c>
      <c r="G3508" s="924" t="s">
        <v>981</v>
      </c>
      <c r="H3508" s="924" t="s">
        <v>835</v>
      </c>
      <c r="I3508" s="924" t="s">
        <v>1040</v>
      </c>
      <c r="J3508" s="924" t="s">
        <v>859</v>
      </c>
      <c r="K3508" s="924" t="s">
        <v>899</v>
      </c>
      <c r="L3508" s="925">
        <v>6.6801402270793897</v>
      </c>
      <c r="M3508" s="925">
        <v>4.70050677437328E-3</v>
      </c>
    </row>
    <row r="3509" spans="1:13" ht="11.25" customHeight="1" x14ac:dyDescent="0.2">
      <c r="A3509" s="924" t="s">
        <v>853</v>
      </c>
      <c r="B3509" s="924" t="s">
        <v>1194</v>
      </c>
      <c r="C3509" s="924" t="s">
        <v>1195</v>
      </c>
      <c r="D3509" s="924" t="s">
        <v>1190</v>
      </c>
      <c r="E3509" s="924" t="s">
        <v>856</v>
      </c>
      <c r="F3509" s="924" t="s">
        <v>1042</v>
      </c>
      <c r="G3509" s="924" t="s">
        <v>981</v>
      </c>
      <c r="H3509" s="924" t="s">
        <v>835</v>
      </c>
      <c r="I3509" s="924" t="s">
        <v>998</v>
      </c>
      <c r="J3509" s="924" t="s">
        <v>956</v>
      </c>
      <c r="K3509" s="924" t="s">
        <v>1043</v>
      </c>
      <c r="L3509" s="925">
        <v>4.4676665849983701</v>
      </c>
      <c r="M3509" s="925">
        <v>7.7385087206494098E-3</v>
      </c>
    </row>
    <row r="3510" spans="1:13" ht="11.25" customHeight="1" x14ac:dyDescent="0.2">
      <c r="A3510" s="924" t="s">
        <v>853</v>
      </c>
      <c r="B3510" s="924" t="s">
        <v>1194</v>
      </c>
      <c r="C3510" s="924" t="s">
        <v>1195</v>
      </c>
      <c r="D3510" s="924" t="s">
        <v>1190</v>
      </c>
      <c r="E3510" s="924" t="s">
        <v>856</v>
      </c>
      <c r="F3510" s="924" t="s">
        <v>1057</v>
      </c>
      <c r="G3510" s="924" t="s">
        <v>981</v>
      </c>
      <c r="H3510" s="924" t="s">
        <v>835</v>
      </c>
      <c r="I3510" s="924" t="s">
        <v>1040</v>
      </c>
      <c r="J3510" s="924" t="s">
        <v>859</v>
      </c>
      <c r="K3510" s="924" t="s">
        <v>903</v>
      </c>
      <c r="L3510" s="925">
        <v>13.941532388329501</v>
      </c>
      <c r="M3510" s="925">
        <v>8.5957650036334599E-3</v>
      </c>
    </row>
    <row r="3511" spans="1:13" ht="11.25" customHeight="1" x14ac:dyDescent="0.2">
      <c r="A3511" s="924" t="s">
        <v>853</v>
      </c>
      <c r="B3511" s="924" t="s">
        <v>1194</v>
      </c>
      <c r="C3511" s="924" t="s">
        <v>1195</v>
      </c>
      <c r="D3511" s="924" t="s">
        <v>1190</v>
      </c>
      <c r="E3511" s="924" t="s">
        <v>856</v>
      </c>
      <c r="F3511" s="924" t="s">
        <v>1054</v>
      </c>
      <c r="G3511" s="924" t="s">
        <v>981</v>
      </c>
      <c r="H3511" s="924" t="s">
        <v>835</v>
      </c>
      <c r="I3511" s="924" t="s">
        <v>998</v>
      </c>
      <c r="J3511" s="924" t="s">
        <v>875</v>
      </c>
      <c r="K3511" s="924" t="s">
        <v>880</v>
      </c>
      <c r="L3511" s="925">
        <v>8.4300214148242993E-3</v>
      </c>
      <c r="M3511" s="925">
        <v>1.8836065322602701E-5</v>
      </c>
    </row>
    <row r="3512" spans="1:13" ht="11.25" customHeight="1" x14ac:dyDescent="0.2">
      <c r="A3512" s="924" t="s">
        <v>853</v>
      </c>
      <c r="B3512" s="924" t="s">
        <v>1194</v>
      </c>
      <c r="C3512" s="924" t="s">
        <v>1195</v>
      </c>
      <c r="D3512" s="924" t="s">
        <v>1190</v>
      </c>
      <c r="E3512" s="924" t="s">
        <v>856</v>
      </c>
      <c r="F3512" s="924" t="s">
        <v>1059</v>
      </c>
      <c r="G3512" s="924" t="s">
        <v>981</v>
      </c>
      <c r="H3512" s="924" t="s">
        <v>835</v>
      </c>
      <c r="I3512" s="924" t="s">
        <v>1040</v>
      </c>
      <c r="J3512" s="924" t="s">
        <v>859</v>
      </c>
      <c r="K3512" s="924" t="s">
        <v>909</v>
      </c>
      <c r="L3512" s="925">
        <v>29.137053132057201</v>
      </c>
      <c r="M3512" s="925">
        <v>2.01282293710392E-2</v>
      </c>
    </row>
    <row r="3513" spans="1:13" ht="11.25" customHeight="1" x14ac:dyDescent="0.2">
      <c r="A3513" s="924" t="s">
        <v>853</v>
      </c>
      <c r="B3513" s="924" t="s">
        <v>1194</v>
      </c>
      <c r="C3513" s="924" t="s">
        <v>1195</v>
      </c>
      <c r="D3513" s="924" t="s">
        <v>1190</v>
      </c>
      <c r="E3513" s="924" t="s">
        <v>856</v>
      </c>
      <c r="F3513" s="924" t="s">
        <v>1060</v>
      </c>
      <c r="G3513" s="924" t="s">
        <v>981</v>
      </c>
      <c r="H3513" s="924" t="s">
        <v>835</v>
      </c>
      <c r="I3513" s="924" t="s">
        <v>1040</v>
      </c>
      <c r="J3513" s="924" t="s">
        <v>859</v>
      </c>
      <c r="K3513" s="924" t="s">
        <v>973</v>
      </c>
      <c r="L3513" s="925">
        <v>13.975771784782401</v>
      </c>
      <c r="M3513" s="925">
        <v>9.5038607832975703E-3</v>
      </c>
    </row>
    <row r="3514" spans="1:13" ht="11.25" customHeight="1" x14ac:dyDescent="0.2">
      <c r="A3514" s="924" t="s">
        <v>853</v>
      </c>
      <c r="B3514" s="924" t="s">
        <v>1194</v>
      </c>
      <c r="C3514" s="924" t="s">
        <v>1195</v>
      </c>
      <c r="D3514" s="924" t="s">
        <v>1190</v>
      </c>
      <c r="E3514" s="924" t="s">
        <v>856</v>
      </c>
      <c r="F3514" s="924" t="s">
        <v>1061</v>
      </c>
      <c r="G3514" s="924" t="s">
        <v>981</v>
      </c>
      <c r="H3514" s="924" t="s">
        <v>835</v>
      </c>
      <c r="I3514" s="924" t="s">
        <v>1040</v>
      </c>
      <c r="J3514" s="924" t="s">
        <v>859</v>
      </c>
      <c r="K3514" s="924" t="s">
        <v>918</v>
      </c>
      <c r="L3514" s="925">
        <v>1.0826042890548699</v>
      </c>
      <c r="M3514" s="925">
        <v>4.7660753205036599E-4</v>
      </c>
    </row>
    <row r="3515" spans="1:13" ht="11.25" customHeight="1" x14ac:dyDescent="0.2">
      <c r="A3515" s="924" t="s">
        <v>853</v>
      </c>
      <c r="B3515" s="924" t="s">
        <v>1194</v>
      </c>
      <c r="C3515" s="924" t="s">
        <v>1195</v>
      </c>
      <c r="D3515" s="924" t="s">
        <v>1190</v>
      </c>
      <c r="E3515" s="924" t="s">
        <v>856</v>
      </c>
      <c r="F3515" s="924" t="s">
        <v>1062</v>
      </c>
      <c r="G3515" s="924" t="s">
        <v>981</v>
      </c>
      <c r="H3515" s="924" t="s">
        <v>835</v>
      </c>
      <c r="I3515" s="924" t="s">
        <v>1040</v>
      </c>
      <c r="J3515" s="924" t="s">
        <v>859</v>
      </c>
      <c r="K3515" s="924" t="s">
        <v>920</v>
      </c>
      <c r="L3515" s="925">
        <v>1.88625342398882</v>
      </c>
      <c r="M3515" s="925">
        <v>1.2764550694868101E-3</v>
      </c>
    </row>
    <row r="3516" spans="1:13" ht="11.25" customHeight="1" x14ac:dyDescent="0.2">
      <c r="A3516" s="924" t="s">
        <v>853</v>
      </c>
      <c r="B3516" s="924" t="s">
        <v>1194</v>
      </c>
      <c r="C3516" s="924" t="s">
        <v>1195</v>
      </c>
      <c r="D3516" s="924" t="s">
        <v>1190</v>
      </c>
      <c r="E3516" s="924" t="s">
        <v>856</v>
      </c>
      <c r="F3516" s="924" t="s">
        <v>1063</v>
      </c>
      <c r="G3516" s="924" t="s">
        <v>981</v>
      </c>
      <c r="H3516" s="924" t="s">
        <v>835</v>
      </c>
      <c r="I3516" s="924" t="s">
        <v>1040</v>
      </c>
      <c r="J3516" s="924" t="s">
        <v>859</v>
      </c>
      <c r="K3516" s="924" t="s">
        <v>922</v>
      </c>
      <c r="L3516" s="925">
        <v>1.6576821096241501</v>
      </c>
      <c r="M3516" s="925">
        <v>2.99723711862043E-4</v>
      </c>
    </row>
    <row r="3517" spans="1:13" ht="11.25" customHeight="1" x14ac:dyDescent="0.2">
      <c r="A3517" s="924" t="s">
        <v>853</v>
      </c>
      <c r="B3517" s="924" t="s">
        <v>1194</v>
      </c>
      <c r="C3517" s="924" t="s">
        <v>1195</v>
      </c>
      <c r="D3517" s="924" t="s">
        <v>1190</v>
      </c>
      <c r="E3517" s="924" t="s">
        <v>856</v>
      </c>
      <c r="F3517" s="924" t="s">
        <v>1064</v>
      </c>
      <c r="G3517" s="924" t="s">
        <v>981</v>
      </c>
      <c r="H3517" s="924" t="s">
        <v>835</v>
      </c>
      <c r="I3517" s="924" t="s">
        <v>1040</v>
      </c>
      <c r="J3517" s="924" t="s">
        <v>859</v>
      </c>
      <c r="K3517" s="924" t="s">
        <v>924</v>
      </c>
      <c r="L3517" s="925">
        <v>3.9926256723701998</v>
      </c>
      <c r="M3517" s="925">
        <v>2.98340306699174E-4</v>
      </c>
    </row>
    <row r="3518" spans="1:13" ht="11.25" customHeight="1" x14ac:dyDescent="0.2">
      <c r="A3518" s="924" t="s">
        <v>853</v>
      </c>
      <c r="B3518" s="924" t="s">
        <v>1194</v>
      </c>
      <c r="C3518" s="924" t="s">
        <v>1195</v>
      </c>
      <c r="D3518" s="924" t="s">
        <v>1190</v>
      </c>
      <c r="E3518" s="924" t="s">
        <v>856</v>
      </c>
      <c r="F3518" s="924" t="s">
        <v>1065</v>
      </c>
      <c r="G3518" s="924" t="s">
        <v>981</v>
      </c>
      <c r="H3518" s="924" t="s">
        <v>835</v>
      </c>
      <c r="I3518" s="924" t="s">
        <v>1040</v>
      </c>
      <c r="J3518" s="924" t="s">
        <v>859</v>
      </c>
      <c r="K3518" s="924" t="s">
        <v>926</v>
      </c>
      <c r="L3518" s="925">
        <v>9.5643134713172895</v>
      </c>
      <c r="M3518" s="925">
        <v>6.3497765731881399E-3</v>
      </c>
    </row>
    <row r="3519" spans="1:13" ht="11.25" customHeight="1" x14ac:dyDescent="0.2">
      <c r="A3519" s="924" t="s">
        <v>853</v>
      </c>
      <c r="B3519" s="924" t="s">
        <v>1194</v>
      </c>
      <c r="C3519" s="924" t="s">
        <v>1195</v>
      </c>
      <c r="D3519" s="924" t="s">
        <v>1190</v>
      </c>
      <c r="E3519" s="924" t="s">
        <v>856</v>
      </c>
      <c r="F3519" s="924" t="s">
        <v>1066</v>
      </c>
      <c r="G3519" s="924" t="s">
        <v>981</v>
      </c>
      <c r="H3519" s="924" t="s">
        <v>835</v>
      </c>
      <c r="I3519" s="924" t="s">
        <v>1040</v>
      </c>
      <c r="J3519" s="924" t="s">
        <v>859</v>
      </c>
      <c r="K3519" s="924" t="s">
        <v>928</v>
      </c>
      <c r="L3519" s="925">
        <v>6.4922831803560301</v>
      </c>
      <c r="M3519" s="925">
        <v>3.28153747432225E-3</v>
      </c>
    </row>
    <row r="3520" spans="1:13" ht="11.25" customHeight="1" x14ac:dyDescent="0.2">
      <c r="A3520" s="924" t="s">
        <v>853</v>
      </c>
      <c r="B3520" s="924" t="s">
        <v>1194</v>
      </c>
      <c r="C3520" s="924" t="s">
        <v>1195</v>
      </c>
      <c r="D3520" s="924" t="s">
        <v>1190</v>
      </c>
      <c r="E3520" s="924" t="s">
        <v>856</v>
      </c>
      <c r="F3520" s="924" t="s">
        <v>1067</v>
      </c>
      <c r="G3520" s="924" t="s">
        <v>981</v>
      </c>
      <c r="H3520" s="924" t="s">
        <v>835</v>
      </c>
      <c r="I3520" s="924" t="s">
        <v>1040</v>
      </c>
      <c r="J3520" s="924" t="s">
        <v>859</v>
      </c>
      <c r="K3520" s="924" t="s">
        <v>1011</v>
      </c>
      <c r="L3520" s="925">
        <v>2.1581680867821</v>
      </c>
      <c r="M3520" s="925">
        <v>1.53053098767941E-3</v>
      </c>
    </row>
    <row r="3521" spans="1:13" ht="11.25" customHeight="1" x14ac:dyDescent="0.2">
      <c r="A3521" s="924" t="s">
        <v>853</v>
      </c>
      <c r="B3521" s="924" t="s">
        <v>1194</v>
      </c>
      <c r="C3521" s="924" t="s">
        <v>1195</v>
      </c>
      <c r="D3521" s="924" t="s">
        <v>1190</v>
      </c>
      <c r="E3521" s="924" t="s">
        <v>856</v>
      </c>
      <c r="F3521" s="924" t="s">
        <v>1041</v>
      </c>
      <c r="G3521" s="924" t="s">
        <v>981</v>
      </c>
      <c r="H3521" s="924" t="s">
        <v>835</v>
      </c>
      <c r="I3521" s="924" t="s">
        <v>1040</v>
      </c>
      <c r="J3521" s="924" t="s">
        <v>859</v>
      </c>
      <c r="K3521" s="924" t="s">
        <v>891</v>
      </c>
      <c r="L3521" s="925">
        <v>1.4921835772693199</v>
      </c>
      <c r="M3521" s="925">
        <v>7.4715832806759896E-4</v>
      </c>
    </row>
    <row r="3522" spans="1:13" ht="11.25" customHeight="1" x14ac:dyDescent="0.2">
      <c r="A3522" s="924" t="s">
        <v>853</v>
      </c>
      <c r="B3522" s="924" t="s">
        <v>1194</v>
      </c>
      <c r="C3522" s="924" t="s">
        <v>1195</v>
      </c>
      <c r="D3522" s="924" t="s">
        <v>1190</v>
      </c>
      <c r="E3522" s="924" t="s">
        <v>856</v>
      </c>
      <c r="F3522" s="924" t="s">
        <v>1039</v>
      </c>
      <c r="G3522" s="924" t="s">
        <v>981</v>
      </c>
      <c r="H3522" s="924" t="s">
        <v>835</v>
      </c>
      <c r="I3522" s="924" t="s">
        <v>1040</v>
      </c>
      <c r="J3522" s="924" t="s">
        <v>859</v>
      </c>
      <c r="K3522" s="924" t="s">
        <v>901</v>
      </c>
      <c r="L3522" s="925">
        <v>0.34823205461725598</v>
      </c>
      <c r="M3522" s="925">
        <v>2.5681465626803401E-4</v>
      </c>
    </row>
    <row r="3523" spans="1:13" ht="11.25" customHeight="1" x14ac:dyDescent="0.2">
      <c r="A3523" s="924" t="s">
        <v>853</v>
      </c>
      <c r="B3523" s="924" t="s">
        <v>1194</v>
      </c>
      <c r="C3523" s="924" t="s">
        <v>1195</v>
      </c>
      <c r="D3523" s="924" t="s">
        <v>1190</v>
      </c>
      <c r="E3523" s="924" t="s">
        <v>856</v>
      </c>
      <c r="F3523" s="924" t="s">
        <v>1069</v>
      </c>
      <c r="G3523" s="924" t="s">
        <v>981</v>
      </c>
      <c r="H3523" s="924" t="s">
        <v>835</v>
      </c>
      <c r="I3523" s="924" t="s">
        <v>998</v>
      </c>
      <c r="J3523" s="924" t="s">
        <v>940</v>
      </c>
      <c r="K3523" s="924" t="s">
        <v>1070</v>
      </c>
      <c r="L3523" s="925">
        <v>13.347973220050299</v>
      </c>
      <c r="M3523" s="925">
        <v>2.4783067507087302E-2</v>
      </c>
    </row>
    <row r="3524" spans="1:13" ht="11.25" customHeight="1" x14ac:dyDescent="0.2">
      <c r="A3524" s="924" t="s">
        <v>853</v>
      </c>
      <c r="B3524" s="924" t="s">
        <v>1194</v>
      </c>
      <c r="C3524" s="924" t="s">
        <v>1195</v>
      </c>
      <c r="D3524" s="924" t="s">
        <v>1190</v>
      </c>
      <c r="E3524" s="924" t="s">
        <v>856</v>
      </c>
      <c r="F3524" s="924" t="s">
        <v>916</v>
      </c>
      <c r="G3524" s="924" t="s">
        <v>911</v>
      </c>
      <c r="H3524" s="924" t="s">
        <v>665</v>
      </c>
      <c r="I3524" s="924" t="s">
        <v>706</v>
      </c>
      <c r="J3524" s="924" t="s">
        <v>859</v>
      </c>
      <c r="K3524" s="924" t="s">
        <v>909</v>
      </c>
      <c r="L3524" s="925">
        <v>1.8866443131119</v>
      </c>
      <c r="M3524" s="925">
        <v>8.7320615648422999E-5</v>
      </c>
    </row>
    <row r="3525" spans="1:13" ht="11.25" customHeight="1" x14ac:dyDescent="0.2">
      <c r="A3525" s="924" t="s">
        <v>853</v>
      </c>
      <c r="B3525" s="924" t="s">
        <v>1194</v>
      </c>
      <c r="C3525" s="924" t="s">
        <v>1195</v>
      </c>
      <c r="D3525" s="924" t="s">
        <v>1190</v>
      </c>
      <c r="E3525" s="924" t="s">
        <v>856</v>
      </c>
      <c r="F3525" s="924" t="s">
        <v>1073</v>
      </c>
      <c r="G3525" s="924" t="s">
        <v>981</v>
      </c>
      <c r="H3525" s="924" t="s">
        <v>835</v>
      </c>
      <c r="I3525" s="924" t="s">
        <v>998</v>
      </c>
      <c r="J3525" s="924" t="s">
        <v>884</v>
      </c>
      <c r="K3525" s="924" t="s">
        <v>1046</v>
      </c>
      <c r="L3525" s="925">
        <v>57.058739662170403</v>
      </c>
      <c r="M3525" s="925">
        <v>9.6339908428490204E-2</v>
      </c>
    </row>
    <row r="3526" spans="1:13" ht="11.25" customHeight="1" x14ac:dyDescent="0.2">
      <c r="A3526" s="924" t="s">
        <v>853</v>
      </c>
      <c r="B3526" s="924" t="s">
        <v>1194</v>
      </c>
      <c r="C3526" s="924" t="s">
        <v>1195</v>
      </c>
      <c r="D3526" s="924" t="s">
        <v>1190</v>
      </c>
      <c r="E3526" s="924" t="s">
        <v>856</v>
      </c>
      <c r="F3526" s="924" t="s">
        <v>1085</v>
      </c>
      <c r="G3526" s="924" t="s">
        <v>981</v>
      </c>
      <c r="H3526" s="924" t="s">
        <v>835</v>
      </c>
      <c r="I3526" s="924" t="s">
        <v>998</v>
      </c>
      <c r="J3526" s="924" t="s">
        <v>884</v>
      </c>
      <c r="K3526" s="924" t="s">
        <v>885</v>
      </c>
      <c r="L3526" s="925">
        <v>76.532515645027203</v>
      </c>
      <c r="M3526" s="925">
        <v>5.6215955526568002E-2</v>
      </c>
    </row>
    <row r="3527" spans="1:13" ht="11.25" customHeight="1" x14ac:dyDescent="0.2">
      <c r="A3527" s="924" t="s">
        <v>853</v>
      </c>
      <c r="B3527" s="924" t="s">
        <v>1194</v>
      </c>
      <c r="C3527" s="924" t="s">
        <v>1195</v>
      </c>
      <c r="D3527" s="924" t="s">
        <v>1190</v>
      </c>
      <c r="E3527" s="924" t="s">
        <v>856</v>
      </c>
      <c r="F3527" s="924" t="s">
        <v>1075</v>
      </c>
      <c r="G3527" s="924" t="s">
        <v>981</v>
      </c>
      <c r="H3527" s="924" t="s">
        <v>835</v>
      </c>
      <c r="I3527" s="924" t="s">
        <v>998</v>
      </c>
      <c r="J3527" s="924" t="s">
        <v>859</v>
      </c>
      <c r="K3527" s="924" t="s">
        <v>889</v>
      </c>
      <c r="L3527" s="925">
        <v>5.0670128390193003</v>
      </c>
      <c r="M3527" s="925">
        <v>8.20072868373245E-3</v>
      </c>
    </row>
    <row r="3528" spans="1:13" ht="11.25" customHeight="1" x14ac:dyDescent="0.2">
      <c r="A3528" s="924" t="s">
        <v>853</v>
      </c>
      <c r="B3528" s="924" t="s">
        <v>1194</v>
      </c>
      <c r="C3528" s="924" t="s">
        <v>1195</v>
      </c>
      <c r="D3528" s="924" t="s">
        <v>1190</v>
      </c>
      <c r="E3528" s="924" t="s">
        <v>856</v>
      </c>
      <c r="F3528" s="924" t="s">
        <v>1076</v>
      </c>
      <c r="G3528" s="924" t="s">
        <v>981</v>
      </c>
      <c r="H3528" s="924" t="s">
        <v>835</v>
      </c>
      <c r="I3528" s="924" t="s">
        <v>998</v>
      </c>
      <c r="J3528" s="924" t="s">
        <v>859</v>
      </c>
      <c r="K3528" s="924" t="s">
        <v>860</v>
      </c>
      <c r="L3528" s="925">
        <v>0.32848339108750202</v>
      </c>
      <c r="M3528" s="925">
        <v>6.7864090669900201E-4</v>
      </c>
    </row>
    <row r="3529" spans="1:13" ht="11.25" customHeight="1" x14ac:dyDescent="0.2">
      <c r="A3529" s="924" t="s">
        <v>853</v>
      </c>
      <c r="B3529" s="924" t="s">
        <v>1194</v>
      </c>
      <c r="C3529" s="924" t="s">
        <v>1195</v>
      </c>
      <c r="D3529" s="924" t="s">
        <v>1190</v>
      </c>
      <c r="E3529" s="924" t="s">
        <v>856</v>
      </c>
      <c r="F3529" s="924" t="s">
        <v>1077</v>
      </c>
      <c r="G3529" s="924" t="s">
        <v>981</v>
      </c>
      <c r="H3529" s="924" t="s">
        <v>835</v>
      </c>
      <c r="I3529" s="924" t="s">
        <v>998</v>
      </c>
      <c r="J3529" s="924" t="s">
        <v>859</v>
      </c>
      <c r="K3529" s="924" t="s">
        <v>897</v>
      </c>
      <c r="L3529" s="925">
        <v>0.39264384377747802</v>
      </c>
      <c r="M3529" s="925">
        <v>8.2225485402886999E-4</v>
      </c>
    </row>
    <row r="3530" spans="1:13" ht="11.25" customHeight="1" x14ac:dyDescent="0.2">
      <c r="A3530" s="924" t="s">
        <v>853</v>
      </c>
      <c r="B3530" s="924" t="s">
        <v>1194</v>
      </c>
      <c r="C3530" s="924" t="s">
        <v>1195</v>
      </c>
      <c r="D3530" s="924" t="s">
        <v>1190</v>
      </c>
      <c r="E3530" s="924" t="s">
        <v>856</v>
      </c>
      <c r="F3530" s="924" t="s">
        <v>1078</v>
      </c>
      <c r="G3530" s="924" t="s">
        <v>981</v>
      </c>
      <c r="H3530" s="924" t="s">
        <v>835</v>
      </c>
      <c r="I3530" s="924" t="s">
        <v>998</v>
      </c>
      <c r="J3530" s="924" t="s">
        <v>859</v>
      </c>
      <c r="K3530" s="924" t="s">
        <v>901</v>
      </c>
      <c r="L3530" s="925">
        <v>2.7207293787796499E-3</v>
      </c>
      <c r="M3530" s="925">
        <v>6.0792138825149803E-6</v>
      </c>
    </row>
    <row r="3531" spans="1:13" ht="11.25" customHeight="1" x14ac:dyDescent="0.2">
      <c r="A3531" s="924" t="s">
        <v>853</v>
      </c>
      <c r="B3531" s="924" t="s">
        <v>1194</v>
      </c>
      <c r="C3531" s="924" t="s">
        <v>1195</v>
      </c>
      <c r="D3531" s="924" t="s">
        <v>1190</v>
      </c>
      <c r="E3531" s="924" t="s">
        <v>856</v>
      </c>
      <c r="F3531" s="924" t="s">
        <v>1079</v>
      </c>
      <c r="G3531" s="924" t="s">
        <v>981</v>
      </c>
      <c r="H3531" s="924" t="s">
        <v>835</v>
      </c>
      <c r="I3531" s="924" t="s">
        <v>998</v>
      </c>
      <c r="J3531" s="924" t="s">
        <v>859</v>
      </c>
      <c r="K3531" s="924" t="s">
        <v>909</v>
      </c>
      <c r="L3531" s="925">
        <v>13.084287285804701</v>
      </c>
      <c r="M3531" s="925">
        <v>2.3432417307049001E-2</v>
      </c>
    </row>
    <row r="3532" spans="1:13" ht="11.25" customHeight="1" x14ac:dyDescent="0.2">
      <c r="A3532" s="924" t="s">
        <v>853</v>
      </c>
      <c r="B3532" s="924" t="s">
        <v>1194</v>
      </c>
      <c r="C3532" s="924" t="s">
        <v>1195</v>
      </c>
      <c r="D3532" s="924" t="s">
        <v>1190</v>
      </c>
      <c r="E3532" s="924" t="s">
        <v>856</v>
      </c>
      <c r="F3532" s="924" t="s">
        <v>1080</v>
      </c>
      <c r="G3532" s="924" t="s">
        <v>981</v>
      </c>
      <c r="H3532" s="924" t="s">
        <v>835</v>
      </c>
      <c r="I3532" s="924" t="s">
        <v>998</v>
      </c>
      <c r="J3532" s="924" t="s">
        <v>859</v>
      </c>
      <c r="K3532" s="924" t="s">
        <v>920</v>
      </c>
      <c r="L3532" s="925">
        <v>7.6678183162584901E-2</v>
      </c>
      <c r="M3532" s="925">
        <v>1.71330301782291E-4</v>
      </c>
    </row>
    <row r="3533" spans="1:13" ht="11.25" customHeight="1" x14ac:dyDescent="0.2">
      <c r="A3533" s="924" t="s">
        <v>853</v>
      </c>
      <c r="B3533" s="924" t="s">
        <v>1194</v>
      </c>
      <c r="C3533" s="924" t="s">
        <v>1195</v>
      </c>
      <c r="D3533" s="924" t="s">
        <v>1190</v>
      </c>
      <c r="E3533" s="924" t="s">
        <v>856</v>
      </c>
      <c r="F3533" s="924" t="s">
        <v>1081</v>
      </c>
      <c r="G3533" s="924" t="s">
        <v>981</v>
      </c>
      <c r="H3533" s="924" t="s">
        <v>835</v>
      </c>
      <c r="I3533" s="924" t="s">
        <v>998</v>
      </c>
      <c r="J3533" s="924" t="s">
        <v>863</v>
      </c>
      <c r="K3533" s="924" t="s">
        <v>935</v>
      </c>
      <c r="L3533" s="925">
        <v>0.19134114775806699</v>
      </c>
      <c r="M3533" s="925">
        <v>4.2753371735671002E-4</v>
      </c>
    </row>
    <row r="3534" spans="1:13" ht="11.25" customHeight="1" x14ac:dyDescent="0.2">
      <c r="A3534" s="924" t="s">
        <v>853</v>
      </c>
      <c r="B3534" s="924" t="s">
        <v>1194</v>
      </c>
      <c r="C3534" s="924" t="s">
        <v>1195</v>
      </c>
      <c r="D3534" s="924" t="s">
        <v>1190</v>
      </c>
      <c r="E3534" s="924" t="s">
        <v>856</v>
      </c>
      <c r="F3534" s="924" t="s">
        <v>997</v>
      </c>
      <c r="G3534" s="924" t="s">
        <v>981</v>
      </c>
      <c r="H3534" s="924" t="s">
        <v>835</v>
      </c>
      <c r="I3534" s="924" t="s">
        <v>998</v>
      </c>
      <c r="J3534" s="924" t="s">
        <v>884</v>
      </c>
      <c r="K3534" s="924" t="s">
        <v>999</v>
      </c>
      <c r="L3534" s="925">
        <v>125.926413297653</v>
      </c>
      <c r="M3534" s="925">
        <v>0.40116013493388902</v>
      </c>
    </row>
    <row r="3535" spans="1:13" ht="11.25" customHeight="1" x14ac:dyDescent="0.2">
      <c r="A3535" s="924" t="s">
        <v>853</v>
      </c>
      <c r="B3535" s="924" t="s">
        <v>1194</v>
      </c>
      <c r="C3535" s="924" t="s">
        <v>1195</v>
      </c>
      <c r="D3535" s="924" t="s">
        <v>1190</v>
      </c>
      <c r="E3535" s="924" t="s">
        <v>856</v>
      </c>
      <c r="F3535" s="924" t="s">
        <v>1083</v>
      </c>
      <c r="G3535" s="924" t="s">
        <v>981</v>
      </c>
      <c r="H3535" s="924" t="s">
        <v>835</v>
      </c>
      <c r="I3535" s="924" t="s">
        <v>998</v>
      </c>
      <c r="J3535" s="924" t="s">
        <v>940</v>
      </c>
      <c r="K3535" s="924" t="s">
        <v>1084</v>
      </c>
      <c r="L3535" s="925">
        <v>1.5599023206159499</v>
      </c>
      <c r="M3535" s="925">
        <v>2.8498369920271199E-3</v>
      </c>
    </row>
    <row r="3536" spans="1:13" ht="11.25" customHeight="1" x14ac:dyDescent="0.2">
      <c r="A3536" s="924" t="s">
        <v>853</v>
      </c>
      <c r="B3536" s="924" t="s">
        <v>1194</v>
      </c>
      <c r="C3536" s="924" t="s">
        <v>1195</v>
      </c>
      <c r="D3536" s="924" t="s">
        <v>1190</v>
      </c>
      <c r="E3536" s="924" t="s">
        <v>856</v>
      </c>
      <c r="F3536" s="924" t="s">
        <v>1044</v>
      </c>
      <c r="G3536" s="924" t="s">
        <v>981</v>
      </c>
      <c r="H3536" s="924" t="s">
        <v>835</v>
      </c>
      <c r="I3536" s="924" t="s">
        <v>1040</v>
      </c>
      <c r="J3536" s="924" t="s">
        <v>884</v>
      </c>
      <c r="K3536" s="924" t="s">
        <v>999</v>
      </c>
      <c r="L3536" s="925">
        <v>57.3732395172119</v>
      </c>
      <c r="M3536" s="925">
        <v>7.8953685020678704E-2</v>
      </c>
    </row>
    <row r="3537" spans="1:13" ht="11.25" customHeight="1" x14ac:dyDescent="0.2">
      <c r="A3537" s="924" t="s">
        <v>853</v>
      </c>
      <c r="B3537" s="924" t="s">
        <v>1194</v>
      </c>
      <c r="C3537" s="924" t="s">
        <v>1195</v>
      </c>
      <c r="D3537" s="924" t="s">
        <v>1190</v>
      </c>
      <c r="E3537" s="924" t="s">
        <v>856</v>
      </c>
      <c r="F3537" s="924" t="s">
        <v>1086</v>
      </c>
      <c r="G3537" s="924" t="s">
        <v>981</v>
      </c>
      <c r="H3537" s="924" t="s">
        <v>835</v>
      </c>
      <c r="I3537" s="924" t="s">
        <v>998</v>
      </c>
      <c r="J3537" s="924" t="s">
        <v>940</v>
      </c>
      <c r="K3537" s="924" t="s">
        <v>1087</v>
      </c>
      <c r="L3537" s="925">
        <v>20.875151097774499</v>
      </c>
      <c r="M3537" s="925">
        <v>4.0191614534705898E-2</v>
      </c>
    </row>
    <row r="3538" spans="1:13" ht="11.25" customHeight="1" x14ac:dyDescent="0.2">
      <c r="A3538" s="924" t="s">
        <v>853</v>
      </c>
      <c r="B3538" s="924" t="s">
        <v>1194</v>
      </c>
      <c r="C3538" s="924" t="s">
        <v>1195</v>
      </c>
      <c r="D3538" s="924" t="s">
        <v>1190</v>
      </c>
      <c r="E3538" s="924" t="s">
        <v>856</v>
      </c>
      <c r="F3538" s="924" t="s">
        <v>1088</v>
      </c>
      <c r="G3538" s="924" t="s">
        <v>981</v>
      </c>
      <c r="H3538" s="924" t="s">
        <v>835</v>
      </c>
      <c r="I3538" s="924" t="s">
        <v>998</v>
      </c>
      <c r="J3538" s="924" t="s">
        <v>940</v>
      </c>
      <c r="K3538" s="924" t="s">
        <v>1089</v>
      </c>
      <c r="L3538" s="925">
        <v>128.80844736099201</v>
      </c>
      <c r="M3538" s="925">
        <v>0.23530811024829701</v>
      </c>
    </row>
    <row r="3539" spans="1:13" ht="11.25" customHeight="1" x14ac:dyDescent="0.2">
      <c r="A3539" s="924" t="s">
        <v>853</v>
      </c>
      <c r="B3539" s="924" t="s">
        <v>1194</v>
      </c>
      <c r="C3539" s="924" t="s">
        <v>1195</v>
      </c>
      <c r="D3539" s="924" t="s">
        <v>1190</v>
      </c>
      <c r="E3539" s="924" t="s">
        <v>856</v>
      </c>
      <c r="F3539" s="924" t="s">
        <v>1090</v>
      </c>
      <c r="G3539" s="924" t="s">
        <v>981</v>
      </c>
      <c r="H3539" s="924" t="s">
        <v>835</v>
      </c>
      <c r="I3539" s="924" t="s">
        <v>998</v>
      </c>
      <c r="J3539" s="924" t="s">
        <v>940</v>
      </c>
      <c r="K3539" s="924" t="s">
        <v>1091</v>
      </c>
      <c r="L3539" s="925">
        <v>28.925701409578298</v>
      </c>
      <c r="M3539" s="925">
        <v>4.9262103013461497E-2</v>
      </c>
    </row>
    <row r="3540" spans="1:13" ht="11.25" customHeight="1" x14ac:dyDescent="0.2">
      <c r="A3540" s="924" t="s">
        <v>853</v>
      </c>
      <c r="B3540" s="924" t="s">
        <v>1194</v>
      </c>
      <c r="C3540" s="924" t="s">
        <v>1195</v>
      </c>
      <c r="D3540" s="924" t="s">
        <v>1190</v>
      </c>
      <c r="E3540" s="924" t="s">
        <v>856</v>
      </c>
      <c r="F3540" s="924" t="s">
        <v>1092</v>
      </c>
      <c r="G3540" s="924" t="s">
        <v>981</v>
      </c>
      <c r="H3540" s="924" t="s">
        <v>835</v>
      </c>
      <c r="I3540" s="924" t="s">
        <v>998</v>
      </c>
      <c r="J3540" s="924" t="s">
        <v>940</v>
      </c>
      <c r="K3540" s="924" t="s">
        <v>1093</v>
      </c>
      <c r="L3540" s="925">
        <v>112.301776200533</v>
      </c>
      <c r="M3540" s="925">
        <v>0.22222715755924599</v>
      </c>
    </row>
    <row r="3541" spans="1:13" ht="11.25" customHeight="1" x14ac:dyDescent="0.2">
      <c r="A3541" s="924" t="s">
        <v>853</v>
      </c>
      <c r="B3541" s="924" t="s">
        <v>1194</v>
      </c>
      <c r="C3541" s="924" t="s">
        <v>1195</v>
      </c>
      <c r="D3541" s="924" t="s">
        <v>1190</v>
      </c>
      <c r="E3541" s="924" t="s">
        <v>856</v>
      </c>
      <c r="F3541" s="924" t="s">
        <v>1094</v>
      </c>
      <c r="G3541" s="924" t="s">
        <v>981</v>
      </c>
      <c r="H3541" s="924" t="s">
        <v>835</v>
      </c>
      <c r="I3541" s="924" t="s">
        <v>998</v>
      </c>
      <c r="J3541" s="924" t="s">
        <v>940</v>
      </c>
      <c r="K3541" s="924" t="s">
        <v>1095</v>
      </c>
      <c r="L3541" s="925">
        <v>18.616493433713899</v>
      </c>
      <c r="M3541" s="925">
        <v>3.4722201642580303E-2</v>
      </c>
    </row>
    <row r="3542" spans="1:13" ht="11.25" customHeight="1" x14ac:dyDescent="0.2">
      <c r="A3542" s="924" t="s">
        <v>853</v>
      </c>
      <c r="B3542" s="924" t="s">
        <v>1194</v>
      </c>
      <c r="C3542" s="924" t="s">
        <v>1195</v>
      </c>
      <c r="D3542" s="924" t="s">
        <v>1190</v>
      </c>
      <c r="E3542" s="924" t="s">
        <v>856</v>
      </c>
      <c r="F3542" s="924" t="s">
        <v>1096</v>
      </c>
      <c r="G3542" s="924" t="s">
        <v>981</v>
      </c>
      <c r="H3542" s="924" t="s">
        <v>835</v>
      </c>
      <c r="I3542" s="924" t="s">
        <v>998</v>
      </c>
      <c r="J3542" s="924" t="s">
        <v>940</v>
      </c>
      <c r="K3542" s="924" t="s">
        <v>1023</v>
      </c>
      <c r="L3542" s="925">
        <v>104.863009780645</v>
      </c>
      <c r="M3542" s="925">
        <v>0.19612929271534099</v>
      </c>
    </row>
    <row r="3543" spans="1:13" ht="11.25" customHeight="1" x14ac:dyDescent="0.2">
      <c r="A3543" s="924" t="s">
        <v>853</v>
      </c>
      <c r="B3543" s="924" t="s">
        <v>1194</v>
      </c>
      <c r="C3543" s="924" t="s">
        <v>1195</v>
      </c>
      <c r="D3543" s="924" t="s">
        <v>1190</v>
      </c>
      <c r="E3543" s="924" t="s">
        <v>856</v>
      </c>
      <c r="F3543" s="924" t="s">
        <v>1100</v>
      </c>
      <c r="G3543" s="924" t="s">
        <v>981</v>
      </c>
      <c r="H3543" s="924" t="s">
        <v>835</v>
      </c>
      <c r="I3543" s="924" t="s">
        <v>998</v>
      </c>
      <c r="J3543" s="924" t="s">
        <v>940</v>
      </c>
      <c r="K3543" s="924" t="s">
        <v>1032</v>
      </c>
      <c r="L3543" s="925">
        <v>5.59556041553151E-2</v>
      </c>
      <c r="M3543" s="925">
        <v>1.12185311820667E-4</v>
      </c>
    </row>
    <row r="3544" spans="1:13" ht="11.25" customHeight="1" x14ac:dyDescent="0.2">
      <c r="A3544" s="924" t="s">
        <v>853</v>
      </c>
      <c r="B3544" s="924" t="s">
        <v>1194</v>
      </c>
      <c r="C3544" s="924" t="s">
        <v>1195</v>
      </c>
      <c r="D3544" s="924" t="s">
        <v>1190</v>
      </c>
      <c r="E3544" s="924" t="s">
        <v>856</v>
      </c>
      <c r="F3544" s="924" t="s">
        <v>1101</v>
      </c>
      <c r="G3544" s="924" t="s">
        <v>981</v>
      </c>
      <c r="H3544" s="924" t="s">
        <v>835</v>
      </c>
      <c r="I3544" s="924" t="s">
        <v>998</v>
      </c>
      <c r="J3544" s="924" t="s">
        <v>870</v>
      </c>
      <c r="K3544" s="924" t="s">
        <v>961</v>
      </c>
      <c r="L3544" s="925">
        <v>0.88462548679672204</v>
      </c>
      <c r="M3544" s="925">
        <v>1.4565143524123401E-3</v>
      </c>
    </row>
    <row r="3545" spans="1:13" ht="11.25" customHeight="1" x14ac:dyDescent="0.2">
      <c r="A3545" s="924" t="s">
        <v>853</v>
      </c>
      <c r="B3545" s="924" t="s">
        <v>1194</v>
      </c>
      <c r="C3545" s="924" t="s">
        <v>1195</v>
      </c>
      <c r="D3545" s="924" t="s">
        <v>1190</v>
      </c>
      <c r="E3545" s="924" t="s">
        <v>856</v>
      </c>
      <c r="F3545" s="924" t="s">
        <v>1102</v>
      </c>
      <c r="G3545" s="924" t="s">
        <v>981</v>
      </c>
      <c r="H3545" s="924" t="s">
        <v>835</v>
      </c>
      <c r="I3545" s="924" t="s">
        <v>998</v>
      </c>
      <c r="J3545" s="924" t="s">
        <v>875</v>
      </c>
      <c r="K3545" s="924" t="s">
        <v>876</v>
      </c>
      <c r="L3545" s="925">
        <v>3.6425149254500901</v>
      </c>
      <c r="M3545" s="925">
        <v>7.37046661379281E-3</v>
      </c>
    </row>
    <row r="3546" spans="1:13" ht="11.25" customHeight="1" x14ac:dyDescent="0.2">
      <c r="A3546" s="924" t="s">
        <v>853</v>
      </c>
      <c r="B3546" s="924" t="s">
        <v>1194</v>
      </c>
      <c r="C3546" s="924" t="s">
        <v>1195</v>
      </c>
      <c r="D3546" s="924" t="s">
        <v>1190</v>
      </c>
      <c r="E3546" s="924" t="s">
        <v>856</v>
      </c>
      <c r="F3546" s="924" t="s">
        <v>1056</v>
      </c>
      <c r="G3546" s="924" t="s">
        <v>981</v>
      </c>
      <c r="H3546" s="924" t="s">
        <v>835</v>
      </c>
      <c r="I3546" s="924" t="s">
        <v>998</v>
      </c>
      <c r="J3546" s="924" t="s">
        <v>875</v>
      </c>
      <c r="K3546" s="924" t="s">
        <v>878</v>
      </c>
      <c r="L3546" s="925">
        <v>24.303670495748499</v>
      </c>
      <c r="M3546" s="925">
        <v>4.6873270650394303E-2</v>
      </c>
    </row>
    <row r="3547" spans="1:13" ht="11.25" customHeight="1" x14ac:dyDescent="0.2">
      <c r="A3547" s="924" t="s">
        <v>853</v>
      </c>
      <c r="B3547" s="924" t="s">
        <v>1194</v>
      </c>
      <c r="C3547" s="924" t="s">
        <v>1195</v>
      </c>
      <c r="D3547" s="924" t="s">
        <v>1190</v>
      </c>
      <c r="E3547" s="924" t="s">
        <v>856</v>
      </c>
      <c r="F3547" s="924" t="s">
        <v>1103</v>
      </c>
      <c r="G3547" s="924" t="s">
        <v>981</v>
      </c>
      <c r="H3547" s="924" t="s">
        <v>835</v>
      </c>
      <c r="I3547" s="924" t="s">
        <v>998</v>
      </c>
      <c r="J3547" s="924" t="s">
        <v>863</v>
      </c>
      <c r="K3547" s="924" t="s">
        <v>864</v>
      </c>
      <c r="L3547" s="925">
        <v>1.4641697169281501E-2</v>
      </c>
      <c r="M3547" s="925">
        <v>3.2715481012246501E-5</v>
      </c>
    </row>
    <row r="3548" spans="1:13" ht="11.25" customHeight="1" x14ac:dyDescent="0.2">
      <c r="A3548" s="924" t="s">
        <v>853</v>
      </c>
      <c r="B3548" s="924" t="s">
        <v>1194</v>
      </c>
      <c r="C3548" s="924" t="s">
        <v>1195</v>
      </c>
      <c r="D3548" s="924" t="s">
        <v>1190</v>
      </c>
      <c r="E3548" s="924" t="s">
        <v>856</v>
      </c>
      <c r="F3548" s="924" t="s">
        <v>1123</v>
      </c>
      <c r="G3548" s="924" t="s">
        <v>981</v>
      </c>
      <c r="H3548" s="924" t="s">
        <v>835</v>
      </c>
      <c r="I3548" s="924" t="s">
        <v>1040</v>
      </c>
      <c r="J3548" s="924" t="s">
        <v>875</v>
      </c>
      <c r="K3548" s="924" t="s">
        <v>952</v>
      </c>
      <c r="L3548" s="925">
        <v>15.802736788988099</v>
      </c>
      <c r="M3548" s="925">
        <v>1.0980522209214499E-2</v>
      </c>
    </row>
    <row r="3549" spans="1:13" ht="11.25" customHeight="1" x14ac:dyDescent="0.2">
      <c r="A3549" s="924" t="s">
        <v>853</v>
      </c>
      <c r="B3549" s="924" t="s">
        <v>1194</v>
      </c>
      <c r="C3549" s="924" t="s">
        <v>1195</v>
      </c>
      <c r="D3549" s="924" t="s">
        <v>1190</v>
      </c>
      <c r="E3549" s="924" t="s">
        <v>856</v>
      </c>
      <c r="F3549" s="924" t="s">
        <v>1110</v>
      </c>
      <c r="G3549" s="924" t="s">
        <v>981</v>
      </c>
      <c r="H3549" s="924" t="s">
        <v>835</v>
      </c>
      <c r="I3549" s="924" t="s">
        <v>1040</v>
      </c>
      <c r="J3549" s="924" t="s">
        <v>870</v>
      </c>
      <c r="K3549" s="924" t="s">
        <v>1019</v>
      </c>
      <c r="L3549" s="925">
        <v>6.4135570428334204E-2</v>
      </c>
      <c r="M3549" s="925">
        <v>5.3693873940829897E-5</v>
      </c>
    </row>
    <row r="3550" spans="1:13" ht="11.25" customHeight="1" x14ac:dyDescent="0.2">
      <c r="A3550" s="924" t="s">
        <v>853</v>
      </c>
      <c r="B3550" s="924" t="s">
        <v>1194</v>
      </c>
      <c r="C3550" s="924" t="s">
        <v>1195</v>
      </c>
      <c r="D3550" s="924" t="s">
        <v>1190</v>
      </c>
      <c r="E3550" s="924" t="s">
        <v>856</v>
      </c>
      <c r="F3550" s="924" t="s">
        <v>1111</v>
      </c>
      <c r="G3550" s="924" t="s">
        <v>981</v>
      </c>
      <c r="H3550" s="924" t="s">
        <v>835</v>
      </c>
      <c r="I3550" s="924" t="s">
        <v>1040</v>
      </c>
      <c r="J3550" s="924" t="s">
        <v>870</v>
      </c>
      <c r="K3550" s="924" t="s">
        <v>1016</v>
      </c>
      <c r="L3550" s="925">
        <v>5.7418851237744102</v>
      </c>
      <c r="M3550" s="925">
        <v>4.8226735580101402E-3</v>
      </c>
    </row>
    <row r="3551" spans="1:13" ht="11.25" customHeight="1" x14ac:dyDescent="0.2">
      <c r="A3551" s="924" t="s">
        <v>853</v>
      </c>
      <c r="B3551" s="924" t="s">
        <v>1194</v>
      </c>
      <c r="C3551" s="924" t="s">
        <v>1195</v>
      </c>
      <c r="D3551" s="924" t="s">
        <v>1190</v>
      </c>
      <c r="E3551" s="924" t="s">
        <v>856</v>
      </c>
      <c r="F3551" s="924" t="s">
        <v>1112</v>
      </c>
      <c r="G3551" s="924" t="s">
        <v>981</v>
      </c>
      <c r="H3551" s="924" t="s">
        <v>835</v>
      </c>
      <c r="I3551" s="924" t="s">
        <v>1040</v>
      </c>
      <c r="J3551" s="924" t="s">
        <v>870</v>
      </c>
      <c r="K3551" s="924" t="s">
        <v>959</v>
      </c>
      <c r="L3551" s="925">
        <v>1.7690165862441101</v>
      </c>
      <c r="M3551" s="925">
        <v>1.1649885673250501E-3</v>
      </c>
    </row>
    <row r="3552" spans="1:13" ht="11.25" customHeight="1" x14ac:dyDescent="0.2">
      <c r="A3552" s="924" t="s">
        <v>853</v>
      </c>
      <c r="B3552" s="924" t="s">
        <v>1194</v>
      </c>
      <c r="C3552" s="924" t="s">
        <v>1195</v>
      </c>
      <c r="D3552" s="924" t="s">
        <v>1190</v>
      </c>
      <c r="E3552" s="924" t="s">
        <v>856</v>
      </c>
      <c r="F3552" s="924" t="s">
        <v>1113</v>
      </c>
      <c r="G3552" s="924" t="s">
        <v>981</v>
      </c>
      <c r="H3552" s="924" t="s">
        <v>835</v>
      </c>
      <c r="I3552" s="924" t="s">
        <v>1040</v>
      </c>
      <c r="J3552" s="924" t="s">
        <v>870</v>
      </c>
      <c r="K3552" s="924" t="s">
        <v>961</v>
      </c>
      <c r="L3552" s="925">
        <v>19.331288985907999</v>
      </c>
      <c r="M3552" s="925">
        <v>1.46268476123623E-2</v>
      </c>
    </row>
    <row r="3553" spans="1:13" ht="11.25" customHeight="1" x14ac:dyDescent="0.2">
      <c r="A3553" s="924" t="s">
        <v>853</v>
      </c>
      <c r="B3553" s="924" t="s">
        <v>1194</v>
      </c>
      <c r="C3553" s="924" t="s">
        <v>1195</v>
      </c>
      <c r="D3553" s="924" t="s">
        <v>1190</v>
      </c>
      <c r="E3553" s="924" t="s">
        <v>856</v>
      </c>
      <c r="F3553" s="924" t="s">
        <v>1114</v>
      </c>
      <c r="G3553" s="924" t="s">
        <v>981</v>
      </c>
      <c r="H3553" s="924" t="s">
        <v>835</v>
      </c>
      <c r="I3553" s="924" t="s">
        <v>1040</v>
      </c>
      <c r="J3553" s="924" t="s">
        <v>870</v>
      </c>
      <c r="K3553" s="924" t="s">
        <v>963</v>
      </c>
      <c r="L3553" s="925">
        <v>42.159148216247601</v>
      </c>
      <c r="M3553" s="925">
        <v>6.9985111036658096E-2</v>
      </c>
    </row>
    <row r="3554" spans="1:13" ht="11.25" customHeight="1" x14ac:dyDescent="0.2">
      <c r="A3554" s="924" t="s">
        <v>853</v>
      </c>
      <c r="B3554" s="924" t="s">
        <v>1194</v>
      </c>
      <c r="C3554" s="924" t="s">
        <v>1195</v>
      </c>
      <c r="D3554" s="924" t="s">
        <v>1190</v>
      </c>
      <c r="E3554" s="924" t="s">
        <v>856</v>
      </c>
      <c r="F3554" s="924" t="s">
        <v>1115</v>
      </c>
      <c r="G3554" s="924" t="s">
        <v>981</v>
      </c>
      <c r="H3554" s="924" t="s">
        <v>835</v>
      </c>
      <c r="I3554" s="924" t="s">
        <v>1040</v>
      </c>
      <c r="J3554" s="924" t="s">
        <v>870</v>
      </c>
      <c r="K3554" s="924" t="s">
        <v>965</v>
      </c>
      <c r="L3554" s="925">
        <v>9.0933783762156999</v>
      </c>
      <c r="M3554" s="925">
        <v>7.6376316746973299E-3</v>
      </c>
    </row>
    <row r="3555" spans="1:13" ht="11.25" customHeight="1" x14ac:dyDescent="0.2">
      <c r="A3555" s="924" t="s">
        <v>853</v>
      </c>
      <c r="B3555" s="924" t="s">
        <v>1194</v>
      </c>
      <c r="C3555" s="924" t="s">
        <v>1195</v>
      </c>
      <c r="D3555" s="924" t="s">
        <v>1190</v>
      </c>
      <c r="E3555" s="924" t="s">
        <v>856</v>
      </c>
      <c r="F3555" s="924" t="s">
        <v>1130</v>
      </c>
      <c r="G3555" s="924" t="s">
        <v>981</v>
      </c>
      <c r="H3555" s="924" t="s">
        <v>835</v>
      </c>
      <c r="I3555" s="924" t="s">
        <v>1040</v>
      </c>
      <c r="J3555" s="924" t="s">
        <v>870</v>
      </c>
      <c r="K3555" s="924" t="s">
        <v>871</v>
      </c>
      <c r="L3555" s="925">
        <v>13.1035941764712</v>
      </c>
      <c r="M3555" s="925">
        <v>1.04257444809264E-2</v>
      </c>
    </row>
    <row r="3556" spans="1:13" ht="11.25" customHeight="1" x14ac:dyDescent="0.2">
      <c r="A3556" s="924" t="s">
        <v>853</v>
      </c>
      <c r="B3556" s="924" t="s">
        <v>1194</v>
      </c>
      <c r="C3556" s="924" t="s">
        <v>1195</v>
      </c>
      <c r="D3556" s="924" t="s">
        <v>1190</v>
      </c>
      <c r="E3556" s="924" t="s">
        <v>856</v>
      </c>
      <c r="F3556" s="924" t="s">
        <v>1117</v>
      </c>
      <c r="G3556" s="924" t="s">
        <v>981</v>
      </c>
      <c r="H3556" s="924" t="s">
        <v>835</v>
      </c>
      <c r="I3556" s="924" t="s">
        <v>1040</v>
      </c>
      <c r="J3556" s="924" t="s">
        <v>870</v>
      </c>
      <c r="K3556" s="924" t="s">
        <v>873</v>
      </c>
      <c r="L3556" s="925">
        <v>14.4484119042754</v>
      </c>
      <c r="M3556" s="925">
        <v>1.4479235996987E-3</v>
      </c>
    </row>
    <row r="3557" spans="1:13" ht="11.25" customHeight="1" x14ac:dyDescent="0.2">
      <c r="A3557" s="924" t="s">
        <v>853</v>
      </c>
      <c r="B3557" s="924" t="s">
        <v>1194</v>
      </c>
      <c r="C3557" s="924" t="s">
        <v>1195</v>
      </c>
      <c r="D3557" s="924" t="s">
        <v>1190</v>
      </c>
      <c r="E3557" s="924" t="s">
        <v>856</v>
      </c>
      <c r="F3557" s="924" t="s">
        <v>1104</v>
      </c>
      <c r="G3557" s="924" t="s">
        <v>981</v>
      </c>
      <c r="H3557" s="924" t="s">
        <v>835</v>
      </c>
      <c r="I3557" s="924" t="s">
        <v>1040</v>
      </c>
      <c r="J3557" s="924" t="s">
        <v>875</v>
      </c>
      <c r="K3557" s="924" t="s">
        <v>876</v>
      </c>
      <c r="L3557" s="925">
        <v>749.37471199035599</v>
      </c>
      <c r="M3557" s="925">
        <v>0.50373446848243497</v>
      </c>
    </row>
    <row r="3558" spans="1:13" ht="11.25" customHeight="1" x14ac:dyDescent="0.2">
      <c r="A3558" s="924" t="s">
        <v>853</v>
      </c>
      <c r="B3558" s="924" t="s">
        <v>1194</v>
      </c>
      <c r="C3558" s="924" t="s">
        <v>1195</v>
      </c>
      <c r="D3558" s="924" t="s">
        <v>1190</v>
      </c>
      <c r="E3558" s="924" t="s">
        <v>856</v>
      </c>
      <c r="F3558" s="924" t="s">
        <v>1109</v>
      </c>
      <c r="G3558" s="924" t="s">
        <v>981</v>
      </c>
      <c r="H3558" s="924" t="s">
        <v>835</v>
      </c>
      <c r="I3558" s="924" t="s">
        <v>1040</v>
      </c>
      <c r="J3558" s="924" t="s">
        <v>870</v>
      </c>
      <c r="K3558" s="924" t="s">
        <v>976</v>
      </c>
      <c r="L3558" s="925">
        <v>8.3050265125930292</v>
      </c>
      <c r="M3558" s="925">
        <v>1.6978772757525499E-3</v>
      </c>
    </row>
    <row r="3559" spans="1:13" ht="11.25" customHeight="1" x14ac:dyDescent="0.2">
      <c r="A3559" s="924" t="s">
        <v>853</v>
      </c>
      <c r="B3559" s="924" t="s">
        <v>1194</v>
      </c>
      <c r="C3559" s="924" t="s">
        <v>1195</v>
      </c>
      <c r="D3559" s="924" t="s">
        <v>1190</v>
      </c>
      <c r="E3559" s="924" t="s">
        <v>856</v>
      </c>
      <c r="F3559" s="924" t="s">
        <v>1122</v>
      </c>
      <c r="G3559" s="924" t="s">
        <v>981</v>
      </c>
      <c r="H3559" s="924" t="s">
        <v>835</v>
      </c>
      <c r="I3559" s="924" t="s">
        <v>1040</v>
      </c>
      <c r="J3559" s="924" t="s">
        <v>875</v>
      </c>
      <c r="K3559" s="924" t="s">
        <v>950</v>
      </c>
      <c r="L3559" s="925">
        <v>336.87107276916498</v>
      </c>
      <c r="M3559" s="925">
        <v>0.23337090718683801</v>
      </c>
    </row>
    <row r="3560" spans="1:13" ht="11.25" customHeight="1" x14ac:dyDescent="0.2">
      <c r="A3560" s="924" t="s">
        <v>853</v>
      </c>
      <c r="B3560" s="924" t="s">
        <v>1194</v>
      </c>
      <c r="C3560" s="924" t="s">
        <v>1195</v>
      </c>
      <c r="D3560" s="924" t="s">
        <v>1190</v>
      </c>
      <c r="E3560" s="924" t="s">
        <v>856</v>
      </c>
      <c r="F3560" s="924" t="s">
        <v>1119</v>
      </c>
      <c r="G3560" s="924" t="s">
        <v>981</v>
      </c>
      <c r="H3560" s="924" t="s">
        <v>835</v>
      </c>
      <c r="I3560" s="924" t="s">
        <v>1040</v>
      </c>
      <c r="J3560" s="924" t="s">
        <v>875</v>
      </c>
      <c r="K3560" s="924" t="s">
        <v>878</v>
      </c>
      <c r="L3560" s="925">
        <v>187.15071868896499</v>
      </c>
      <c r="M3560" s="925">
        <v>0.124439868270201</v>
      </c>
    </row>
    <row r="3561" spans="1:13" ht="11.25" customHeight="1" x14ac:dyDescent="0.2">
      <c r="A3561" s="924" t="s">
        <v>853</v>
      </c>
      <c r="B3561" s="924" t="s">
        <v>1194</v>
      </c>
      <c r="C3561" s="924" t="s">
        <v>1195</v>
      </c>
      <c r="D3561" s="924" t="s">
        <v>1190</v>
      </c>
      <c r="E3561" s="924" t="s">
        <v>856</v>
      </c>
      <c r="F3561" s="924" t="s">
        <v>1124</v>
      </c>
      <c r="G3561" s="924" t="s">
        <v>981</v>
      </c>
      <c r="H3561" s="924" t="s">
        <v>835</v>
      </c>
      <c r="I3561" s="924" t="s">
        <v>1040</v>
      </c>
      <c r="J3561" s="924" t="s">
        <v>956</v>
      </c>
      <c r="K3561" s="924" t="s">
        <v>1125</v>
      </c>
      <c r="L3561" s="925">
        <v>9.9583898186683708</v>
      </c>
      <c r="M3561" s="925">
        <v>7.9609483096305701E-3</v>
      </c>
    </row>
    <row r="3562" spans="1:13" ht="11.25" customHeight="1" x14ac:dyDescent="0.2">
      <c r="A3562" s="924" t="s">
        <v>853</v>
      </c>
      <c r="B3562" s="924" t="s">
        <v>1194</v>
      </c>
      <c r="C3562" s="924" t="s">
        <v>1195</v>
      </c>
      <c r="D3562" s="924" t="s">
        <v>1190</v>
      </c>
      <c r="E3562" s="924" t="s">
        <v>856</v>
      </c>
      <c r="F3562" s="924" t="s">
        <v>1126</v>
      </c>
      <c r="G3562" s="924" t="s">
        <v>981</v>
      </c>
      <c r="H3562" s="924" t="s">
        <v>835</v>
      </c>
      <c r="I3562" s="924" t="s">
        <v>1040</v>
      </c>
      <c r="J3562" s="924" t="s">
        <v>956</v>
      </c>
      <c r="K3562" s="924" t="s">
        <v>957</v>
      </c>
      <c r="L3562" s="925">
        <v>0.114738720818423</v>
      </c>
      <c r="M3562" s="925">
        <v>8.9945136096503106E-5</v>
      </c>
    </row>
    <row r="3563" spans="1:13" ht="11.25" customHeight="1" x14ac:dyDescent="0.2">
      <c r="A3563" s="924" t="s">
        <v>853</v>
      </c>
      <c r="B3563" s="924" t="s">
        <v>1194</v>
      </c>
      <c r="C3563" s="924" t="s">
        <v>1195</v>
      </c>
      <c r="D3563" s="924" t="s">
        <v>1190</v>
      </c>
      <c r="E3563" s="924" t="s">
        <v>856</v>
      </c>
      <c r="F3563" s="924" t="s">
        <v>1127</v>
      </c>
      <c r="G3563" s="924" t="s">
        <v>911</v>
      </c>
      <c r="H3563" s="924" t="s">
        <v>665</v>
      </c>
      <c r="I3563" s="924" t="s">
        <v>706</v>
      </c>
      <c r="J3563" s="924" t="s">
        <v>884</v>
      </c>
      <c r="K3563" s="924" t="s">
        <v>885</v>
      </c>
      <c r="L3563" s="925">
        <v>4.9168759360909498</v>
      </c>
      <c r="M3563" s="925">
        <v>2.1365537813835501E-3</v>
      </c>
    </row>
    <row r="3564" spans="1:13" ht="11.25" customHeight="1" x14ac:dyDescent="0.2">
      <c r="A3564" s="924" t="s">
        <v>853</v>
      </c>
      <c r="B3564" s="924" t="s">
        <v>1194</v>
      </c>
      <c r="C3564" s="924" t="s">
        <v>1195</v>
      </c>
      <c r="D3564" s="924" t="s">
        <v>1190</v>
      </c>
      <c r="E3564" s="924" t="s">
        <v>856</v>
      </c>
      <c r="F3564" s="924" t="s">
        <v>1128</v>
      </c>
      <c r="G3564" s="924" t="s">
        <v>911</v>
      </c>
      <c r="H3564" s="924" t="s">
        <v>665</v>
      </c>
      <c r="I3564" s="924" t="s">
        <v>706</v>
      </c>
      <c r="J3564" s="924" t="s">
        <v>859</v>
      </c>
      <c r="K3564" s="924" t="s">
        <v>913</v>
      </c>
      <c r="L3564" s="925">
        <v>0.64924728870391801</v>
      </c>
      <c r="M3564" s="925">
        <v>7.15879722648083E-5</v>
      </c>
    </row>
    <row r="3565" spans="1:13" ht="11.25" customHeight="1" x14ac:dyDescent="0.2">
      <c r="A3565" s="924" t="s">
        <v>853</v>
      </c>
      <c r="B3565" s="924" t="s">
        <v>1194</v>
      </c>
      <c r="C3565" s="924" t="s">
        <v>1195</v>
      </c>
      <c r="D3565" s="924" t="s">
        <v>1190</v>
      </c>
      <c r="E3565" s="924" t="s">
        <v>856</v>
      </c>
      <c r="F3565" s="924" t="s">
        <v>1118</v>
      </c>
      <c r="G3565" s="924" t="s">
        <v>911</v>
      </c>
      <c r="H3565" s="924" t="s">
        <v>665</v>
      </c>
      <c r="I3565" s="924" t="s">
        <v>706</v>
      </c>
      <c r="J3565" s="924" t="s">
        <v>859</v>
      </c>
      <c r="K3565" s="924" t="s">
        <v>893</v>
      </c>
      <c r="L3565" s="925">
        <v>1.1009216113016</v>
      </c>
      <c r="M3565" s="925">
        <v>5.3264037944700201E-5</v>
      </c>
    </row>
    <row r="3566" spans="1:13" ht="11.25" customHeight="1" x14ac:dyDescent="0.2">
      <c r="A3566" s="924" t="s">
        <v>853</v>
      </c>
      <c r="B3566" s="924" t="s">
        <v>1194</v>
      </c>
      <c r="C3566" s="924" t="s">
        <v>1195</v>
      </c>
      <c r="D3566" s="924" t="s">
        <v>1190</v>
      </c>
      <c r="E3566" s="924" t="s">
        <v>856</v>
      </c>
      <c r="F3566" s="924" t="s">
        <v>1129</v>
      </c>
      <c r="G3566" s="924" t="s">
        <v>911</v>
      </c>
      <c r="H3566" s="924" t="s">
        <v>665</v>
      </c>
      <c r="I3566" s="924" t="s">
        <v>706</v>
      </c>
      <c r="J3566" s="924" t="s">
        <v>859</v>
      </c>
      <c r="K3566" s="924" t="s">
        <v>897</v>
      </c>
      <c r="L3566" s="925">
        <v>0.179298764560372</v>
      </c>
      <c r="M3566" s="925">
        <v>6.5168863415010505E-5</v>
      </c>
    </row>
    <row r="3567" spans="1:13" ht="11.25" customHeight="1" x14ac:dyDescent="0.2">
      <c r="A3567" s="924" t="s">
        <v>853</v>
      </c>
      <c r="B3567" s="924" t="s">
        <v>1194</v>
      </c>
      <c r="C3567" s="924" t="s">
        <v>1195</v>
      </c>
      <c r="D3567" s="924" t="s">
        <v>1190</v>
      </c>
      <c r="E3567" s="924" t="s">
        <v>856</v>
      </c>
      <c r="F3567" s="924" t="s">
        <v>1133</v>
      </c>
      <c r="G3567" s="924" t="s">
        <v>911</v>
      </c>
      <c r="H3567" s="924" t="s">
        <v>665</v>
      </c>
      <c r="I3567" s="924" t="s">
        <v>706</v>
      </c>
      <c r="J3567" s="924" t="s">
        <v>859</v>
      </c>
      <c r="K3567" s="924" t="s">
        <v>899</v>
      </c>
      <c r="L3567" s="925">
        <v>0.111686040181667</v>
      </c>
      <c r="M3567" s="925">
        <v>1.11268650719865E-5</v>
      </c>
    </row>
    <row r="3568" spans="1:13" ht="11.25" customHeight="1" x14ac:dyDescent="0.2">
      <c r="A3568" s="924" t="s">
        <v>853</v>
      </c>
      <c r="B3568" s="924" t="s">
        <v>1194</v>
      </c>
      <c r="C3568" s="924" t="s">
        <v>1195</v>
      </c>
      <c r="D3568" s="924" t="s">
        <v>1190</v>
      </c>
      <c r="E3568" s="924" t="s">
        <v>856</v>
      </c>
      <c r="F3568" s="924" t="s">
        <v>1134</v>
      </c>
      <c r="G3568" s="924" t="s">
        <v>981</v>
      </c>
      <c r="H3568" s="924" t="s">
        <v>835</v>
      </c>
      <c r="I3568" s="924" t="s">
        <v>1040</v>
      </c>
      <c r="J3568" s="924" t="s">
        <v>863</v>
      </c>
      <c r="K3568" s="924" t="s">
        <v>933</v>
      </c>
      <c r="L3568" s="925">
        <v>80.073370575904804</v>
      </c>
      <c r="M3568" s="925">
        <v>5.6634388238308003E-3</v>
      </c>
    </row>
    <row r="3569" spans="1:13" ht="11.25" customHeight="1" x14ac:dyDescent="0.2">
      <c r="A3569" s="924" t="s">
        <v>853</v>
      </c>
      <c r="B3569" s="924" t="s">
        <v>1194</v>
      </c>
      <c r="C3569" s="924" t="s">
        <v>1195</v>
      </c>
      <c r="D3569" s="924" t="s">
        <v>1190</v>
      </c>
      <c r="E3569" s="924" t="s">
        <v>856</v>
      </c>
      <c r="F3569" s="924" t="s">
        <v>1082</v>
      </c>
      <c r="G3569" s="924" t="s">
        <v>981</v>
      </c>
      <c r="H3569" s="924" t="s">
        <v>835</v>
      </c>
      <c r="I3569" s="924" t="s">
        <v>998</v>
      </c>
      <c r="J3569" s="924" t="s">
        <v>875</v>
      </c>
      <c r="K3569" s="924" t="s">
        <v>952</v>
      </c>
      <c r="L3569" s="925">
        <v>0.14704613573849201</v>
      </c>
      <c r="M3569" s="925">
        <v>3.2856086318133699E-4</v>
      </c>
    </row>
    <row r="3570" spans="1:13" ht="11.25" customHeight="1" x14ac:dyDescent="0.2">
      <c r="A3570" s="924" t="s">
        <v>853</v>
      </c>
      <c r="B3570" s="924" t="s">
        <v>1194</v>
      </c>
      <c r="C3570" s="924" t="s">
        <v>1195</v>
      </c>
      <c r="D3570" s="924" t="s">
        <v>1190</v>
      </c>
      <c r="E3570" s="924" t="s">
        <v>856</v>
      </c>
      <c r="F3570" s="924" t="s">
        <v>910</v>
      </c>
      <c r="G3570" s="924" t="s">
        <v>911</v>
      </c>
      <c r="H3570" s="924" t="s">
        <v>665</v>
      </c>
      <c r="I3570" s="924" t="s">
        <v>706</v>
      </c>
      <c r="J3570" s="924" t="s">
        <v>859</v>
      </c>
      <c r="K3570" s="924" t="s">
        <v>905</v>
      </c>
      <c r="L3570" s="925">
        <v>0.78886804077774297</v>
      </c>
      <c r="M3570" s="925">
        <v>6.4489680653423398E-4</v>
      </c>
    </row>
    <row r="3571" spans="1:13" ht="11.25" customHeight="1" x14ac:dyDescent="0.2">
      <c r="A3571" s="924" t="s">
        <v>853</v>
      </c>
      <c r="B3571" s="924" t="s">
        <v>1194</v>
      </c>
      <c r="C3571" s="924" t="s">
        <v>1195</v>
      </c>
      <c r="D3571" s="924" t="s">
        <v>1190</v>
      </c>
      <c r="E3571" s="924" t="s">
        <v>856</v>
      </c>
      <c r="F3571" s="924" t="s">
        <v>1120</v>
      </c>
      <c r="G3571" s="924" t="s">
        <v>981</v>
      </c>
      <c r="H3571" s="924" t="s">
        <v>835</v>
      </c>
      <c r="I3571" s="924" t="s">
        <v>1040</v>
      </c>
      <c r="J3571" s="924" t="s">
        <v>875</v>
      </c>
      <c r="K3571" s="924" t="s">
        <v>880</v>
      </c>
      <c r="L3571" s="925">
        <v>98.980151891708402</v>
      </c>
      <c r="M3571" s="925">
        <v>5.7399710134404799E-2</v>
      </c>
    </row>
    <row r="3572" spans="1:13" ht="11.25" customHeight="1" x14ac:dyDescent="0.2">
      <c r="A3572" s="924" t="s">
        <v>853</v>
      </c>
      <c r="B3572" s="924" t="s">
        <v>1194</v>
      </c>
      <c r="C3572" s="924" t="s">
        <v>1195</v>
      </c>
      <c r="D3572" s="924" t="s">
        <v>1190</v>
      </c>
      <c r="E3572" s="924" t="s">
        <v>856</v>
      </c>
      <c r="F3572" s="924" t="s">
        <v>1148</v>
      </c>
      <c r="G3572" s="924" t="s">
        <v>981</v>
      </c>
      <c r="H3572" s="924" t="s">
        <v>835</v>
      </c>
      <c r="I3572" s="924" t="s">
        <v>1040</v>
      </c>
      <c r="J3572" s="924" t="s">
        <v>863</v>
      </c>
      <c r="K3572" s="924" t="s">
        <v>915</v>
      </c>
      <c r="L3572" s="925">
        <v>1.4704597275704101</v>
      </c>
      <c r="M3572" s="925">
        <v>5.4893754463591904E-4</v>
      </c>
    </row>
    <row r="3573" spans="1:13" ht="11.25" customHeight="1" x14ac:dyDescent="0.2">
      <c r="A3573" s="924" t="s">
        <v>853</v>
      </c>
      <c r="B3573" s="924" t="s">
        <v>1194</v>
      </c>
      <c r="C3573" s="924" t="s">
        <v>1195</v>
      </c>
      <c r="D3573" s="924" t="s">
        <v>1190</v>
      </c>
      <c r="E3573" s="924" t="s">
        <v>856</v>
      </c>
      <c r="F3573" s="924" t="s">
        <v>1135</v>
      </c>
      <c r="G3573" s="924" t="s">
        <v>981</v>
      </c>
      <c r="H3573" s="924" t="s">
        <v>835</v>
      </c>
      <c r="I3573" s="924" t="s">
        <v>1040</v>
      </c>
      <c r="J3573" s="924" t="s">
        <v>863</v>
      </c>
      <c r="K3573" s="924" t="s">
        <v>935</v>
      </c>
      <c r="L3573" s="925">
        <v>17.2386318147182</v>
      </c>
      <c r="M3573" s="925">
        <v>6.2125533004291399E-3</v>
      </c>
    </row>
    <row r="3574" spans="1:13" ht="11.25" customHeight="1" x14ac:dyDescent="0.2">
      <c r="A3574" s="924" t="s">
        <v>853</v>
      </c>
      <c r="B3574" s="924" t="s">
        <v>1194</v>
      </c>
      <c r="C3574" s="924" t="s">
        <v>1195</v>
      </c>
      <c r="D3574" s="924" t="s">
        <v>1190</v>
      </c>
      <c r="E3574" s="924" t="s">
        <v>856</v>
      </c>
      <c r="F3574" s="924" t="s">
        <v>1121</v>
      </c>
      <c r="G3574" s="924" t="s">
        <v>981</v>
      </c>
      <c r="H3574" s="924" t="s">
        <v>835</v>
      </c>
      <c r="I3574" s="924" t="s">
        <v>1040</v>
      </c>
      <c r="J3574" s="924" t="s">
        <v>875</v>
      </c>
      <c r="K3574" s="924" t="s">
        <v>948</v>
      </c>
      <c r="L3574" s="925">
        <v>212.981953144073</v>
      </c>
      <c r="M3574" s="925">
        <v>0.133077827043735</v>
      </c>
    </row>
    <row r="3575" spans="1:13" ht="11.25" customHeight="1" x14ac:dyDescent="0.2">
      <c r="A3575" s="924" t="s">
        <v>853</v>
      </c>
      <c r="B3575" s="924" t="s">
        <v>1194</v>
      </c>
      <c r="C3575" s="924" t="s">
        <v>1195</v>
      </c>
      <c r="D3575" s="924" t="s">
        <v>1190</v>
      </c>
      <c r="E3575" s="924" t="s">
        <v>856</v>
      </c>
      <c r="F3575" s="924" t="s">
        <v>1136</v>
      </c>
      <c r="G3575" s="924" t="s">
        <v>981</v>
      </c>
      <c r="H3575" s="924" t="s">
        <v>835</v>
      </c>
      <c r="I3575" s="924" t="s">
        <v>1040</v>
      </c>
      <c r="J3575" s="924" t="s">
        <v>863</v>
      </c>
      <c r="K3575" s="924" t="s">
        <v>864</v>
      </c>
      <c r="L3575" s="925">
        <v>32.392631351947799</v>
      </c>
      <c r="M3575" s="925">
        <v>2.4213313823565799E-2</v>
      </c>
    </row>
    <row r="3576" spans="1:13" ht="11.25" customHeight="1" x14ac:dyDescent="0.2">
      <c r="A3576" s="924" t="s">
        <v>853</v>
      </c>
      <c r="B3576" s="924" t="s">
        <v>1194</v>
      </c>
      <c r="C3576" s="924" t="s">
        <v>1195</v>
      </c>
      <c r="D3576" s="924" t="s">
        <v>1190</v>
      </c>
      <c r="E3576" s="924" t="s">
        <v>856</v>
      </c>
      <c r="F3576" s="924" t="s">
        <v>1108</v>
      </c>
      <c r="G3576" s="924" t="s">
        <v>981</v>
      </c>
      <c r="H3576" s="924" t="s">
        <v>835</v>
      </c>
      <c r="I3576" s="924" t="s">
        <v>1040</v>
      </c>
      <c r="J3576" s="924" t="s">
        <v>870</v>
      </c>
      <c r="K3576" s="924" t="s">
        <v>1036</v>
      </c>
      <c r="L3576" s="925">
        <v>2.1522691515274301</v>
      </c>
      <c r="M3576" s="925">
        <v>1.4547825735462499E-3</v>
      </c>
    </row>
    <row r="3577" spans="1:13" ht="11.25" customHeight="1" x14ac:dyDescent="0.2">
      <c r="A3577" s="924" t="s">
        <v>853</v>
      </c>
      <c r="B3577" s="924" t="s">
        <v>1194</v>
      </c>
      <c r="C3577" s="924" t="s">
        <v>1195</v>
      </c>
      <c r="D3577" s="924" t="s">
        <v>1190</v>
      </c>
      <c r="E3577" s="924" t="s">
        <v>856</v>
      </c>
      <c r="F3577" s="924" t="s">
        <v>1137</v>
      </c>
      <c r="G3577" s="924" t="s">
        <v>981</v>
      </c>
      <c r="H3577" s="924" t="s">
        <v>835</v>
      </c>
      <c r="I3577" s="924" t="s">
        <v>1040</v>
      </c>
      <c r="J3577" s="924" t="s">
        <v>863</v>
      </c>
      <c r="K3577" s="924" t="s">
        <v>866</v>
      </c>
      <c r="L3577" s="925">
        <v>1.6071944311261199</v>
      </c>
      <c r="M3577" s="925">
        <v>1.0783251018438001E-3</v>
      </c>
    </row>
    <row r="3578" spans="1:13" ht="11.25" customHeight="1" x14ac:dyDescent="0.2">
      <c r="A3578" s="924" t="s">
        <v>853</v>
      </c>
      <c r="B3578" s="924" t="s">
        <v>1194</v>
      </c>
      <c r="C3578" s="924" t="s">
        <v>1195</v>
      </c>
      <c r="D3578" s="924" t="s">
        <v>1190</v>
      </c>
      <c r="E3578" s="924" t="s">
        <v>856</v>
      </c>
      <c r="F3578" s="924" t="s">
        <v>1131</v>
      </c>
      <c r="G3578" s="924" t="s">
        <v>981</v>
      </c>
      <c r="H3578" s="924" t="s">
        <v>835</v>
      </c>
      <c r="I3578" s="924" t="s">
        <v>1040</v>
      </c>
      <c r="J3578" s="924" t="s">
        <v>863</v>
      </c>
      <c r="K3578" s="924" t="s">
        <v>868</v>
      </c>
      <c r="L3578" s="925">
        <v>7.0886758565902701</v>
      </c>
      <c r="M3578" s="925">
        <v>5.0111043719880399E-4</v>
      </c>
    </row>
    <row r="3579" spans="1:13" ht="11.25" customHeight="1" x14ac:dyDescent="0.2">
      <c r="A3579" s="924" t="s">
        <v>853</v>
      </c>
      <c r="B3579" s="924" t="s">
        <v>1194</v>
      </c>
      <c r="C3579" s="924" t="s">
        <v>1195</v>
      </c>
      <c r="D3579" s="924" t="s">
        <v>1190</v>
      </c>
      <c r="E3579" s="924" t="s">
        <v>856</v>
      </c>
      <c r="F3579" s="924" t="s">
        <v>1139</v>
      </c>
      <c r="G3579" s="924" t="s">
        <v>981</v>
      </c>
      <c r="H3579" s="924" t="s">
        <v>835</v>
      </c>
      <c r="I3579" s="924" t="s">
        <v>1040</v>
      </c>
      <c r="J3579" s="924" t="s">
        <v>940</v>
      </c>
      <c r="K3579" s="924" t="s">
        <v>1140</v>
      </c>
      <c r="L3579" s="925">
        <v>264.34911918640103</v>
      </c>
      <c r="M3579" s="925">
        <v>0.193389569693414</v>
      </c>
    </row>
    <row r="3580" spans="1:13" ht="11.25" customHeight="1" x14ac:dyDescent="0.2">
      <c r="A3580" s="924" t="s">
        <v>853</v>
      </c>
      <c r="B3580" s="924" t="s">
        <v>1194</v>
      </c>
      <c r="C3580" s="924" t="s">
        <v>1195</v>
      </c>
      <c r="D3580" s="924" t="s">
        <v>1190</v>
      </c>
      <c r="E3580" s="924" t="s">
        <v>856</v>
      </c>
      <c r="F3580" s="924" t="s">
        <v>1141</v>
      </c>
      <c r="G3580" s="924" t="s">
        <v>981</v>
      </c>
      <c r="H3580" s="924" t="s">
        <v>835</v>
      </c>
      <c r="I3580" s="924" t="s">
        <v>1040</v>
      </c>
      <c r="J3580" s="924" t="s">
        <v>940</v>
      </c>
      <c r="K3580" s="924" t="s">
        <v>1142</v>
      </c>
      <c r="L3580" s="925">
        <v>328.28680121898702</v>
      </c>
      <c r="M3580" s="925">
        <v>0.241857680142857</v>
      </c>
    </row>
    <row r="3581" spans="1:13" ht="11.25" customHeight="1" x14ac:dyDescent="0.2">
      <c r="A3581" s="924" t="s">
        <v>853</v>
      </c>
      <c r="B3581" s="924" t="s">
        <v>1194</v>
      </c>
      <c r="C3581" s="924" t="s">
        <v>1195</v>
      </c>
      <c r="D3581" s="924" t="s">
        <v>1190</v>
      </c>
      <c r="E3581" s="924" t="s">
        <v>856</v>
      </c>
      <c r="F3581" s="924" t="s">
        <v>1143</v>
      </c>
      <c r="G3581" s="924" t="s">
        <v>981</v>
      </c>
      <c r="H3581" s="924" t="s">
        <v>835</v>
      </c>
      <c r="I3581" s="924" t="s">
        <v>1040</v>
      </c>
      <c r="J3581" s="924" t="s">
        <v>940</v>
      </c>
      <c r="K3581" s="924" t="s">
        <v>1084</v>
      </c>
      <c r="L3581" s="925">
        <v>22.747748211026199</v>
      </c>
      <c r="M3581" s="925">
        <v>1.66149875876727E-2</v>
      </c>
    </row>
    <row r="3582" spans="1:13" ht="11.25" customHeight="1" x14ac:dyDescent="0.2">
      <c r="A3582" s="924" t="s">
        <v>853</v>
      </c>
      <c r="B3582" s="924" t="s">
        <v>1194</v>
      </c>
      <c r="C3582" s="924" t="s">
        <v>1195</v>
      </c>
      <c r="D3582" s="924" t="s">
        <v>1190</v>
      </c>
      <c r="E3582" s="924" t="s">
        <v>856</v>
      </c>
      <c r="F3582" s="924" t="s">
        <v>1144</v>
      </c>
      <c r="G3582" s="924" t="s">
        <v>981</v>
      </c>
      <c r="H3582" s="924" t="s">
        <v>835</v>
      </c>
      <c r="I3582" s="924" t="s">
        <v>1040</v>
      </c>
      <c r="J3582" s="924" t="s">
        <v>940</v>
      </c>
      <c r="K3582" s="924" t="s">
        <v>1070</v>
      </c>
      <c r="L3582" s="925">
        <v>195.185573875904</v>
      </c>
      <c r="M3582" s="925">
        <v>0.135744138446171</v>
      </c>
    </row>
    <row r="3583" spans="1:13" ht="11.25" customHeight="1" x14ac:dyDescent="0.2">
      <c r="A3583" s="924" t="s">
        <v>853</v>
      </c>
      <c r="B3583" s="924" t="s">
        <v>1194</v>
      </c>
      <c r="C3583" s="924" t="s">
        <v>1195</v>
      </c>
      <c r="D3583" s="924" t="s">
        <v>1190</v>
      </c>
      <c r="E3583" s="924" t="s">
        <v>856</v>
      </c>
      <c r="F3583" s="924" t="s">
        <v>1149</v>
      </c>
      <c r="G3583" s="924" t="s">
        <v>981</v>
      </c>
      <c r="H3583" s="924" t="s">
        <v>835</v>
      </c>
      <c r="I3583" s="924" t="s">
        <v>1040</v>
      </c>
      <c r="J3583" s="924" t="s">
        <v>940</v>
      </c>
      <c r="K3583" s="924" t="s">
        <v>1091</v>
      </c>
      <c r="L3583" s="925">
        <v>1.46592900343239</v>
      </c>
      <c r="M3583" s="925">
        <v>1.0223695835520599E-3</v>
      </c>
    </row>
    <row r="3584" spans="1:13" ht="11.25" customHeight="1" x14ac:dyDescent="0.2">
      <c r="A3584" s="924" t="s">
        <v>853</v>
      </c>
      <c r="B3584" s="924" t="s">
        <v>1194</v>
      </c>
      <c r="C3584" s="924" t="s">
        <v>1195</v>
      </c>
      <c r="D3584" s="924" t="s">
        <v>1190</v>
      </c>
      <c r="E3584" s="924" t="s">
        <v>856</v>
      </c>
      <c r="F3584" s="924" t="s">
        <v>1160</v>
      </c>
      <c r="G3584" s="924" t="s">
        <v>981</v>
      </c>
      <c r="H3584" s="924" t="s">
        <v>835</v>
      </c>
      <c r="I3584" s="924" t="s">
        <v>1040</v>
      </c>
      <c r="J3584" s="924" t="s">
        <v>940</v>
      </c>
      <c r="K3584" s="924" t="s">
        <v>1093</v>
      </c>
      <c r="L3584" s="925">
        <v>7.6041501425206697</v>
      </c>
      <c r="M3584" s="925">
        <v>5.3567072045552803E-3</v>
      </c>
    </row>
    <row r="3585" spans="1:13" ht="11.25" customHeight="1" x14ac:dyDescent="0.2">
      <c r="A3585" s="924" t="s">
        <v>853</v>
      </c>
      <c r="B3585" s="924" t="s">
        <v>1194</v>
      </c>
      <c r="C3585" s="924" t="s">
        <v>1195</v>
      </c>
      <c r="D3585" s="924" t="s">
        <v>1190</v>
      </c>
      <c r="E3585" s="924" t="s">
        <v>856</v>
      </c>
      <c r="F3585" s="924" t="s">
        <v>1159</v>
      </c>
      <c r="G3585" s="924" t="s">
        <v>981</v>
      </c>
      <c r="H3585" s="924" t="s">
        <v>835</v>
      </c>
      <c r="I3585" s="924" t="s">
        <v>1040</v>
      </c>
      <c r="J3585" s="924" t="s">
        <v>940</v>
      </c>
      <c r="K3585" s="924" t="s">
        <v>1095</v>
      </c>
      <c r="L3585" s="925">
        <v>2.79656184092164</v>
      </c>
      <c r="M3585" s="925">
        <v>1.95071599591756E-3</v>
      </c>
    </row>
    <row r="3586" spans="1:13" ht="11.25" customHeight="1" x14ac:dyDescent="0.2">
      <c r="A3586" s="924" t="s">
        <v>853</v>
      </c>
      <c r="B3586" s="924" t="s">
        <v>1194</v>
      </c>
      <c r="C3586" s="924" t="s">
        <v>1195</v>
      </c>
      <c r="D3586" s="924" t="s">
        <v>1190</v>
      </c>
      <c r="E3586" s="924" t="s">
        <v>856</v>
      </c>
      <c r="F3586" s="924" t="s">
        <v>1116</v>
      </c>
      <c r="G3586" s="924" t="s">
        <v>981</v>
      </c>
      <c r="H3586" s="924" t="s">
        <v>835</v>
      </c>
      <c r="I3586" s="924" t="s">
        <v>1040</v>
      </c>
      <c r="J3586" s="924" t="s">
        <v>940</v>
      </c>
      <c r="K3586" s="924" t="s">
        <v>1032</v>
      </c>
      <c r="L3586" s="925">
        <v>1829.7868061065701</v>
      </c>
      <c r="M3586" s="925">
        <v>1.1516560101881601</v>
      </c>
    </row>
    <row r="3587" spans="1:13" ht="11.25" customHeight="1" x14ac:dyDescent="0.2">
      <c r="A3587" s="924" t="s">
        <v>853</v>
      </c>
      <c r="B3587" s="924" t="s">
        <v>1194</v>
      </c>
      <c r="C3587" s="924" t="s">
        <v>1195</v>
      </c>
      <c r="D3587" s="924" t="s">
        <v>1190</v>
      </c>
      <c r="E3587" s="924" t="s">
        <v>856</v>
      </c>
      <c r="F3587" s="924" t="s">
        <v>1105</v>
      </c>
      <c r="G3587" s="924" t="s">
        <v>981</v>
      </c>
      <c r="H3587" s="924" t="s">
        <v>835</v>
      </c>
      <c r="I3587" s="924" t="s">
        <v>1040</v>
      </c>
      <c r="J3587" s="924" t="s">
        <v>940</v>
      </c>
      <c r="K3587" s="924" t="s">
        <v>1106</v>
      </c>
      <c r="L3587" s="925">
        <v>25.474364027380901</v>
      </c>
      <c r="M3587" s="925">
        <v>1.86431526930484E-2</v>
      </c>
    </row>
    <row r="3588" spans="1:13" ht="11.25" customHeight="1" x14ac:dyDescent="0.2">
      <c r="A3588" s="924" t="s">
        <v>853</v>
      </c>
      <c r="B3588" s="924" t="s">
        <v>1194</v>
      </c>
      <c r="C3588" s="924" t="s">
        <v>1195</v>
      </c>
      <c r="D3588" s="924" t="s">
        <v>1190</v>
      </c>
      <c r="E3588" s="924" t="s">
        <v>856</v>
      </c>
      <c r="F3588" s="924" t="s">
        <v>1132</v>
      </c>
      <c r="G3588" s="924" t="s">
        <v>981</v>
      </c>
      <c r="H3588" s="924" t="s">
        <v>835</v>
      </c>
      <c r="I3588" s="924" t="s">
        <v>1040</v>
      </c>
      <c r="J3588" s="924" t="s">
        <v>940</v>
      </c>
      <c r="K3588" s="924" t="s">
        <v>941</v>
      </c>
      <c r="L3588" s="925">
        <v>94.586924344301195</v>
      </c>
      <c r="M3588" s="925">
        <v>4.1237242941860999E-2</v>
      </c>
    </row>
    <row r="3589" spans="1:13" ht="11.25" customHeight="1" x14ac:dyDescent="0.2">
      <c r="A3589" s="924" t="s">
        <v>853</v>
      </c>
      <c r="B3589" s="924" t="s">
        <v>1194</v>
      </c>
      <c r="C3589" s="924" t="s">
        <v>1195</v>
      </c>
      <c r="D3589" s="924" t="s">
        <v>1190</v>
      </c>
      <c r="E3589" s="924" t="s">
        <v>856</v>
      </c>
      <c r="F3589" s="924" t="s">
        <v>1145</v>
      </c>
      <c r="G3589" s="924" t="s">
        <v>981</v>
      </c>
      <c r="H3589" s="924" t="s">
        <v>835</v>
      </c>
      <c r="I3589" s="924" t="s">
        <v>1040</v>
      </c>
      <c r="J3589" s="924" t="s">
        <v>940</v>
      </c>
      <c r="K3589" s="924" t="s">
        <v>1029</v>
      </c>
      <c r="L3589" s="925">
        <v>566.85128092765797</v>
      </c>
      <c r="M3589" s="925">
        <v>0.372103367815726</v>
      </c>
    </row>
    <row r="3590" spans="1:13" ht="11.25" customHeight="1" x14ac:dyDescent="0.2">
      <c r="A3590" s="924" t="s">
        <v>853</v>
      </c>
      <c r="B3590" s="924" t="s">
        <v>1194</v>
      </c>
      <c r="C3590" s="924" t="s">
        <v>1195</v>
      </c>
      <c r="D3590" s="924" t="s">
        <v>1190</v>
      </c>
      <c r="E3590" s="924" t="s">
        <v>856</v>
      </c>
      <c r="F3590" s="924" t="s">
        <v>1146</v>
      </c>
      <c r="G3590" s="924" t="s">
        <v>981</v>
      </c>
      <c r="H3590" s="924" t="s">
        <v>835</v>
      </c>
      <c r="I3590" s="924" t="s">
        <v>1040</v>
      </c>
      <c r="J3590" s="924" t="s">
        <v>940</v>
      </c>
      <c r="K3590" s="924" t="s">
        <v>1147</v>
      </c>
      <c r="L3590" s="925">
        <v>716.57593250274704</v>
      </c>
      <c r="M3590" s="925">
        <v>0.460522431414574</v>
      </c>
    </row>
    <row r="3591" spans="1:13" ht="11.25" customHeight="1" x14ac:dyDescent="0.2">
      <c r="A3591" s="924" t="s">
        <v>853</v>
      </c>
      <c r="B3591" s="924" t="s">
        <v>1194</v>
      </c>
      <c r="C3591" s="924" t="s">
        <v>1195</v>
      </c>
      <c r="D3591" s="924" t="s">
        <v>1190</v>
      </c>
      <c r="E3591" s="924" t="s">
        <v>856</v>
      </c>
      <c r="F3591" s="924" t="s">
        <v>1150</v>
      </c>
      <c r="G3591" s="924" t="s">
        <v>981</v>
      </c>
      <c r="H3591" s="924" t="s">
        <v>835</v>
      </c>
      <c r="I3591" s="924" t="s">
        <v>1040</v>
      </c>
      <c r="J3591" s="924" t="s">
        <v>940</v>
      </c>
      <c r="K3591" s="924" t="s">
        <v>1151</v>
      </c>
      <c r="L3591" s="925">
        <v>22.484540954232202</v>
      </c>
      <c r="M3591" s="925">
        <v>1.5805484603333801E-2</v>
      </c>
    </row>
    <row r="3592" spans="1:13" ht="11.25" customHeight="1" x14ac:dyDescent="0.2">
      <c r="A3592" s="924" t="s">
        <v>853</v>
      </c>
      <c r="B3592" s="924" t="s">
        <v>1194</v>
      </c>
      <c r="C3592" s="924" t="s">
        <v>1195</v>
      </c>
      <c r="D3592" s="924" t="s">
        <v>1190</v>
      </c>
      <c r="E3592" s="924" t="s">
        <v>856</v>
      </c>
      <c r="F3592" s="924" t="s">
        <v>1152</v>
      </c>
      <c r="G3592" s="924" t="s">
        <v>981</v>
      </c>
      <c r="H3592" s="924" t="s">
        <v>835</v>
      </c>
      <c r="I3592" s="924" t="s">
        <v>1040</v>
      </c>
      <c r="J3592" s="924" t="s">
        <v>940</v>
      </c>
      <c r="K3592" s="924" t="s">
        <v>1153</v>
      </c>
      <c r="L3592" s="925">
        <v>41.710788518190398</v>
      </c>
      <c r="M3592" s="925">
        <v>2.7386333007598299E-2</v>
      </c>
    </row>
    <row r="3593" spans="1:13" ht="11.25" customHeight="1" x14ac:dyDescent="0.2">
      <c r="A3593" s="924" t="s">
        <v>853</v>
      </c>
      <c r="B3593" s="924" t="s">
        <v>1194</v>
      </c>
      <c r="C3593" s="924" t="s">
        <v>1195</v>
      </c>
      <c r="D3593" s="924" t="s">
        <v>1190</v>
      </c>
      <c r="E3593" s="924" t="s">
        <v>856</v>
      </c>
      <c r="F3593" s="924" t="s">
        <v>1154</v>
      </c>
      <c r="G3593" s="924" t="s">
        <v>981</v>
      </c>
      <c r="H3593" s="924" t="s">
        <v>835</v>
      </c>
      <c r="I3593" s="924" t="s">
        <v>1040</v>
      </c>
      <c r="J3593" s="924" t="s">
        <v>940</v>
      </c>
      <c r="K3593" s="924" t="s">
        <v>1155</v>
      </c>
      <c r="L3593" s="925">
        <v>53.455189257860198</v>
      </c>
      <c r="M3593" s="925">
        <v>3.4413732247315899E-2</v>
      </c>
    </row>
    <row r="3594" spans="1:13" ht="11.25" customHeight="1" x14ac:dyDescent="0.2">
      <c r="A3594" s="924" t="s">
        <v>853</v>
      </c>
      <c r="B3594" s="924" t="s">
        <v>1194</v>
      </c>
      <c r="C3594" s="924" t="s">
        <v>1195</v>
      </c>
      <c r="D3594" s="924" t="s">
        <v>1190</v>
      </c>
      <c r="E3594" s="924" t="s">
        <v>856</v>
      </c>
      <c r="F3594" s="924" t="s">
        <v>1158</v>
      </c>
      <c r="G3594" s="924" t="s">
        <v>981</v>
      </c>
      <c r="H3594" s="924" t="s">
        <v>835</v>
      </c>
      <c r="I3594" s="924" t="s">
        <v>1040</v>
      </c>
      <c r="J3594" s="924" t="s">
        <v>940</v>
      </c>
      <c r="K3594" s="924" t="s">
        <v>1023</v>
      </c>
      <c r="L3594" s="925">
        <v>311.56481349468203</v>
      </c>
      <c r="M3594" s="925">
        <v>0.17880346897072699</v>
      </c>
    </row>
    <row r="3595" spans="1:13" ht="11.25" customHeight="1" x14ac:dyDescent="0.2">
      <c r="A3595" s="924" t="s">
        <v>853</v>
      </c>
      <c r="B3595" s="924" t="s">
        <v>1194</v>
      </c>
      <c r="C3595" s="924" t="s">
        <v>1195</v>
      </c>
      <c r="D3595" s="924" t="s">
        <v>1190</v>
      </c>
      <c r="E3595" s="924" t="s">
        <v>856</v>
      </c>
      <c r="F3595" s="924" t="s">
        <v>1161</v>
      </c>
      <c r="G3595" s="924" t="s">
        <v>981</v>
      </c>
      <c r="H3595" s="924" t="s">
        <v>835</v>
      </c>
      <c r="I3595" s="924" t="s">
        <v>1040</v>
      </c>
      <c r="J3595" s="924" t="s">
        <v>940</v>
      </c>
      <c r="K3595" s="924" t="s">
        <v>1027</v>
      </c>
      <c r="L3595" s="925">
        <v>47.115405797958402</v>
      </c>
      <c r="M3595" s="925">
        <v>3.2517944065375601E-2</v>
      </c>
    </row>
    <row r="3596" spans="1:13" ht="11.25" customHeight="1" x14ac:dyDescent="0.2">
      <c r="A3596" s="924" t="s">
        <v>853</v>
      </c>
      <c r="B3596" s="924" t="s">
        <v>1194</v>
      </c>
      <c r="C3596" s="924" t="s">
        <v>1195</v>
      </c>
      <c r="D3596" s="924" t="s">
        <v>1190</v>
      </c>
      <c r="E3596" s="924" t="s">
        <v>856</v>
      </c>
      <c r="F3596" s="924" t="s">
        <v>1107</v>
      </c>
      <c r="G3596" s="924" t="s">
        <v>981</v>
      </c>
      <c r="H3596" s="924" t="s">
        <v>835</v>
      </c>
      <c r="I3596" s="924" t="s">
        <v>1040</v>
      </c>
      <c r="J3596" s="924" t="s">
        <v>940</v>
      </c>
      <c r="K3596" s="924" t="s">
        <v>1034</v>
      </c>
      <c r="L3596" s="925">
        <v>56.2464742809534</v>
      </c>
      <c r="M3596" s="925">
        <v>4.0840669467812098E-2</v>
      </c>
    </row>
    <row r="3597" spans="1:13" ht="11.25" customHeight="1" x14ac:dyDescent="0.2">
      <c r="A3597" s="924" t="s">
        <v>853</v>
      </c>
      <c r="B3597" s="924" t="s">
        <v>1196</v>
      </c>
      <c r="C3597" s="924" t="s">
        <v>1197</v>
      </c>
      <c r="D3597" s="924" t="s">
        <v>855</v>
      </c>
      <c r="E3597" s="924" t="s">
        <v>856</v>
      </c>
      <c r="F3597" s="924" t="s">
        <v>865</v>
      </c>
      <c r="G3597" s="924" t="s">
        <v>862</v>
      </c>
      <c r="H3597" s="924" t="s">
        <v>665</v>
      </c>
      <c r="I3597" s="924" t="s">
        <v>787</v>
      </c>
      <c r="J3597" s="924" t="s">
        <v>863</v>
      </c>
      <c r="K3597" s="924" t="s">
        <v>866</v>
      </c>
      <c r="L3597" s="925">
        <v>0.694312755018473</v>
      </c>
      <c r="M3597" s="925">
        <v>3.3497677361538098E-3</v>
      </c>
    </row>
    <row r="3598" spans="1:13" ht="11.25" customHeight="1" x14ac:dyDescent="0.2">
      <c r="A3598" s="924" t="s">
        <v>853</v>
      </c>
      <c r="B3598" s="924" t="s">
        <v>1196</v>
      </c>
      <c r="C3598" s="924" t="s">
        <v>1197</v>
      </c>
      <c r="D3598" s="924" t="s">
        <v>855</v>
      </c>
      <c r="E3598" s="924" t="s">
        <v>856</v>
      </c>
      <c r="F3598" s="924" t="s">
        <v>883</v>
      </c>
      <c r="G3598" s="924" t="s">
        <v>858</v>
      </c>
      <c r="H3598" s="924" t="s">
        <v>836</v>
      </c>
      <c r="I3598" s="924" t="s">
        <v>837</v>
      </c>
      <c r="J3598" s="924" t="s">
        <v>884</v>
      </c>
      <c r="K3598" s="924" t="s">
        <v>885</v>
      </c>
      <c r="L3598" s="925">
        <v>78.774263620376601</v>
      </c>
      <c r="M3598" s="925">
        <v>3.02141586627158E-3</v>
      </c>
    </row>
    <row r="3599" spans="1:13" ht="11.25" customHeight="1" x14ac:dyDescent="0.2">
      <c r="A3599" s="924" t="s">
        <v>853</v>
      </c>
      <c r="B3599" s="924" t="s">
        <v>1196</v>
      </c>
      <c r="C3599" s="924" t="s">
        <v>1197</v>
      </c>
      <c r="D3599" s="924" t="s">
        <v>855</v>
      </c>
      <c r="E3599" s="924" t="s">
        <v>856</v>
      </c>
      <c r="F3599" s="924" t="s">
        <v>881</v>
      </c>
      <c r="G3599" s="924" t="s">
        <v>862</v>
      </c>
      <c r="H3599" s="924" t="s">
        <v>665</v>
      </c>
      <c r="I3599" s="924" t="s">
        <v>787</v>
      </c>
      <c r="J3599" s="924" t="s">
        <v>875</v>
      </c>
      <c r="K3599" s="924" t="s">
        <v>882</v>
      </c>
      <c r="L3599" s="925">
        <v>24.475816786289201</v>
      </c>
      <c r="M3599" s="925">
        <v>0.116960381739773</v>
      </c>
    </row>
    <row r="3600" spans="1:13" ht="11.25" customHeight="1" x14ac:dyDescent="0.2">
      <c r="A3600" s="924" t="s">
        <v>853</v>
      </c>
      <c r="B3600" s="924" t="s">
        <v>1196</v>
      </c>
      <c r="C3600" s="924" t="s">
        <v>1197</v>
      </c>
      <c r="D3600" s="924" t="s">
        <v>855</v>
      </c>
      <c r="E3600" s="924" t="s">
        <v>856</v>
      </c>
      <c r="F3600" s="924" t="s">
        <v>879</v>
      </c>
      <c r="G3600" s="924" t="s">
        <v>862</v>
      </c>
      <c r="H3600" s="924" t="s">
        <v>665</v>
      </c>
      <c r="I3600" s="924" t="s">
        <v>787</v>
      </c>
      <c r="J3600" s="924" t="s">
        <v>875</v>
      </c>
      <c r="K3600" s="924" t="s">
        <v>880</v>
      </c>
      <c r="L3600" s="925">
        <v>0.68770484160631895</v>
      </c>
      <c r="M3600" s="925">
        <v>3.8688978390837301E-3</v>
      </c>
    </row>
    <row r="3601" spans="1:13" ht="11.25" customHeight="1" x14ac:dyDescent="0.2">
      <c r="A3601" s="924" t="s">
        <v>853</v>
      </c>
      <c r="B3601" s="924" t="s">
        <v>1196</v>
      </c>
      <c r="C3601" s="924" t="s">
        <v>1197</v>
      </c>
      <c r="D3601" s="924" t="s">
        <v>855</v>
      </c>
      <c r="E3601" s="924" t="s">
        <v>856</v>
      </c>
      <c r="F3601" s="924" t="s">
        <v>877</v>
      </c>
      <c r="G3601" s="924" t="s">
        <v>862</v>
      </c>
      <c r="H3601" s="924" t="s">
        <v>665</v>
      </c>
      <c r="I3601" s="924" t="s">
        <v>787</v>
      </c>
      <c r="J3601" s="924" t="s">
        <v>875</v>
      </c>
      <c r="K3601" s="924" t="s">
        <v>878</v>
      </c>
      <c r="L3601" s="925">
        <v>0.46625407598912699</v>
      </c>
      <c r="M3601" s="925">
        <v>7.6385039865272102E-3</v>
      </c>
    </row>
    <row r="3602" spans="1:13" ht="11.25" customHeight="1" x14ac:dyDescent="0.2">
      <c r="A3602" s="924" t="s">
        <v>853</v>
      </c>
      <c r="B3602" s="924" t="s">
        <v>1196</v>
      </c>
      <c r="C3602" s="924" t="s">
        <v>1197</v>
      </c>
      <c r="D3602" s="924" t="s">
        <v>855</v>
      </c>
      <c r="E3602" s="924" t="s">
        <v>856</v>
      </c>
      <c r="F3602" s="924" t="s">
        <v>874</v>
      </c>
      <c r="G3602" s="924" t="s">
        <v>862</v>
      </c>
      <c r="H3602" s="924" t="s">
        <v>665</v>
      </c>
      <c r="I3602" s="924" t="s">
        <v>787</v>
      </c>
      <c r="J3602" s="924" t="s">
        <v>875</v>
      </c>
      <c r="K3602" s="924" t="s">
        <v>876</v>
      </c>
      <c r="L3602" s="925">
        <v>9.7473186105489695</v>
      </c>
      <c r="M3602" s="925">
        <v>0.29650013672653602</v>
      </c>
    </row>
    <row r="3603" spans="1:13" ht="11.25" customHeight="1" x14ac:dyDescent="0.2">
      <c r="A3603" s="924" t="s">
        <v>853</v>
      </c>
      <c r="B3603" s="924" t="s">
        <v>1196</v>
      </c>
      <c r="C3603" s="924" t="s">
        <v>1197</v>
      </c>
      <c r="D3603" s="924" t="s">
        <v>855</v>
      </c>
      <c r="E3603" s="924" t="s">
        <v>856</v>
      </c>
      <c r="F3603" s="924" t="s">
        <v>872</v>
      </c>
      <c r="G3603" s="924" t="s">
        <v>862</v>
      </c>
      <c r="H3603" s="924" t="s">
        <v>665</v>
      </c>
      <c r="I3603" s="924" t="s">
        <v>787</v>
      </c>
      <c r="J3603" s="924" t="s">
        <v>870</v>
      </c>
      <c r="K3603" s="924" t="s">
        <v>873</v>
      </c>
      <c r="L3603" s="925">
        <v>4.6469512786716196</v>
      </c>
      <c r="M3603" s="925">
        <v>1.8704043526668102E-2</v>
      </c>
    </row>
    <row r="3604" spans="1:13" ht="11.25" customHeight="1" x14ac:dyDescent="0.2">
      <c r="A3604" s="924" t="s">
        <v>853</v>
      </c>
      <c r="B3604" s="924" t="s">
        <v>1196</v>
      </c>
      <c r="C3604" s="924" t="s">
        <v>1197</v>
      </c>
      <c r="D3604" s="924" t="s">
        <v>855</v>
      </c>
      <c r="E3604" s="924" t="s">
        <v>856</v>
      </c>
      <c r="F3604" s="924" t="s">
        <v>867</v>
      </c>
      <c r="G3604" s="924" t="s">
        <v>862</v>
      </c>
      <c r="H3604" s="924" t="s">
        <v>665</v>
      </c>
      <c r="I3604" s="924" t="s">
        <v>787</v>
      </c>
      <c r="J3604" s="924" t="s">
        <v>863</v>
      </c>
      <c r="K3604" s="924" t="s">
        <v>868</v>
      </c>
      <c r="L3604" s="925">
        <v>0.21365998801775299</v>
      </c>
      <c r="M3604" s="925">
        <v>8.7417182112403701E-4</v>
      </c>
    </row>
    <row r="3605" spans="1:13" ht="11.25" customHeight="1" x14ac:dyDescent="0.2">
      <c r="A3605" s="924" t="s">
        <v>853</v>
      </c>
      <c r="B3605" s="924" t="s">
        <v>1196</v>
      </c>
      <c r="C3605" s="924" t="s">
        <v>1197</v>
      </c>
      <c r="D3605" s="924" t="s">
        <v>855</v>
      </c>
      <c r="E3605" s="924" t="s">
        <v>856</v>
      </c>
      <c r="F3605" s="924" t="s">
        <v>912</v>
      </c>
      <c r="G3605" s="924" t="s">
        <v>858</v>
      </c>
      <c r="H3605" s="924" t="s">
        <v>836</v>
      </c>
      <c r="I3605" s="924" t="s">
        <v>837</v>
      </c>
      <c r="J3605" s="924" t="s">
        <v>859</v>
      </c>
      <c r="K3605" s="924" t="s">
        <v>913</v>
      </c>
      <c r="L3605" s="925">
        <v>196.902510643005</v>
      </c>
      <c r="M3605" s="925">
        <v>2.1683773119889299E-3</v>
      </c>
    </row>
    <row r="3606" spans="1:13" ht="11.25" customHeight="1" x14ac:dyDescent="0.2">
      <c r="A3606" s="924" t="s">
        <v>853</v>
      </c>
      <c r="B3606" s="924" t="s">
        <v>1196</v>
      </c>
      <c r="C3606" s="924" t="s">
        <v>1197</v>
      </c>
      <c r="D3606" s="924" t="s">
        <v>855</v>
      </c>
      <c r="E3606" s="924" t="s">
        <v>856</v>
      </c>
      <c r="F3606" s="924" t="s">
        <v>900</v>
      </c>
      <c r="G3606" s="924" t="s">
        <v>858</v>
      </c>
      <c r="H3606" s="924" t="s">
        <v>836</v>
      </c>
      <c r="I3606" s="924" t="s">
        <v>837</v>
      </c>
      <c r="J3606" s="924" t="s">
        <v>859</v>
      </c>
      <c r="K3606" s="924" t="s">
        <v>901</v>
      </c>
      <c r="L3606" s="925">
        <v>54.437576532363899</v>
      </c>
      <c r="M3606" s="925">
        <v>2.3725211987866098E-3</v>
      </c>
    </row>
    <row r="3607" spans="1:13" ht="11.25" customHeight="1" x14ac:dyDescent="0.2">
      <c r="A3607" s="924" t="s">
        <v>853</v>
      </c>
      <c r="B3607" s="924" t="s">
        <v>1196</v>
      </c>
      <c r="C3607" s="924" t="s">
        <v>1197</v>
      </c>
      <c r="D3607" s="924" t="s">
        <v>855</v>
      </c>
      <c r="E3607" s="924" t="s">
        <v>856</v>
      </c>
      <c r="F3607" s="924" t="s">
        <v>861</v>
      </c>
      <c r="G3607" s="924" t="s">
        <v>862</v>
      </c>
      <c r="H3607" s="924" t="s">
        <v>665</v>
      </c>
      <c r="I3607" s="924" t="s">
        <v>787</v>
      </c>
      <c r="J3607" s="924" t="s">
        <v>863</v>
      </c>
      <c r="K3607" s="924" t="s">
        <v>864</v>
      </c>
      <c r="L3607" s="925">
        <v>1.7469950238591998E-2</v>
      </c>
      <c r="M3607" s="925">
        <v>7.1780649477659595E-5</v>
      </c>
    </row>
    <row r="3608" spans="1:13" ht="11.25" customHeight="1" x14ac:dyDescent="0.2">
      <c r="A3608" s="924" t="s">
        <v>853</v>
      </c>
      <c r="B3608" s="924" t="s">
        <v>1196</v>
      </c>
      <c r="C3608" s="924" t="s">
        <v>1197</v>
      </c>
      <c r="D3608" s="924" t="s">
        <v>855</v>
      </c>
      <c r="E3608" s="924" t="s">
        <v>856</v>
      </c>
      <c r="F3608" s="924" t="s">
        <v>869</v>
      </c>
      <c r="G3608" s="924" t="s">
        <v>862</v>
      </c>
      <c r="H3608" s="924" t="s">
        <v>665</v>
      </c>
      <c r="I3608" s="924" t="s">
        <v>787</v>
      </c>
      <c r="J3608" s="924" t="s">
        <v>870</v>
      </c>
      <c r="K3608" s="924" t="s">
        <v>871</v>
      </c>
      <c r="L3608" s="925">
        <v>4.2245093864039497E-2</v>
      </c>
      <c r="M3608" s="925">
        <v>2.4239189867785202E-3</v>
      </c>
    </row>
    <row r="3609" spans="1:13" ht="11.25" customHeight="1" x14ac:dyDescent="0.2">
      <c r="A3609" s="924" t="s">
        <v>853</v>
      </c>
      <c r="B3609" s="924" t="s">
        <v>1196</v>
      </c>
      <c r="C3609" s="924" t="s">
        <v>1197</v>
      </c>
      <c r="D3609" s="924" t="s">
        <v>855</v>
      </c>
      <c r="E3609" s="924" t="s">
        <v>856</v>
      </c>
      <c r="F3609" s="924" t="s">
        <v>888</v>
      </c>
      <c r="G3609" s="924" t="s">
        <v>858</v>
      </c>
      <c r="H3609" s="924" t="s">
        <v>836</v>
      </c>
      <c r="I3609" s="924" t="s">
        <v>837</v>
      </c>
      <c r="J3609" s="924" t="s">
        <v>859</v>
      </c>
      <c r="K3609" s="924" t="s">
        <v>889</v>
      </c>
      <c r="L3609" s="925">
        <v>0.320607020985335</v>
      </c>
      <c r="M3609" s="925">
        <v>3.53751613811348E-5</v>
      </c>
    </row>
    <row r="3610" spans="1:13" ht="11.25" customHeight="1" x14ac:dyDescent="0.2">
      <c r="A3610" s="924" t="s">
        <v>853</v>
      </c>
      <c r="B3610" s="924" t="s">
        <v>1196</v>
      </c>
      <c r="C3610" s="924" t="s">
        <v>1197</v>
      </c>
      <c r="D3610" s="924" t="s">
        <v>855</v>
      </c>
      <c r="E3610" s="924" t="s">
        <v>856</v>
      </c>
      <c r="F3610" s="924" t="s">
        <v>857</v>
      </c>
      <c r="G3610" s="924" t="s">
        <v>858</v>
      </c>
      <c r="H3610" s="924" t="s">
        <v>836</v>
      </c>
      <c r="I3610" s="924" t="s">
        <v>837</v>
      </c>
      <c r="J3610" s="924" t="s">
        <v>859</v>
      </c>
      <c r="K3610" s="924" t="s">
        <v>860</v>
      </c>
      <c r="L3610" s="925">
        <v>5.2819346114993104</v>
      </c>
      <c r="M3610" s="925">
        <v>4.8610379026570199E-4</v>
      </c>
    </row>
    <row r="3611" spans="1:13" ht="11.25" customHeight="1" x14ac:dyDescent="0.2">
      <c r="A3611" s="924" t="s">
        <v>853</v>
      </c>
      <c r="B3611" s="924" t="s">
        <v>1196</v>
      </c>
      <c r="C3611" s="924" t="s">
        <v>1197</v>
      </c>
      <c r="D3611" s="924" t="s">
        <v>855</v>
      </c>
      <c r="E3611" s="924" t="s">
        <v>856</v>
      </c>
      <c r="F3611" s="924" t="s">
        <v>892</v>
      </c>
      <c r="G3611" s="924" t="s">
        <v>858</v>
      </c>
      <c r="H3611" s="924" t="s">
        <v>836</v>
      </c>
      <c r="I3611" s="924" t="s">
        <v>837</v>
      </c>
      <c r="J3611" s="924" t="s">
        <v>859</v>
      </c>
      <c r="K3611" s="924" t="s">
        <v>893</v>
      </c>
      <c r="L3611" s="925">
        <v>492.90764951705899</v>
      </c>
      <c r="M3611" s="925">
        <v>6.2351891504022197E-3</v>
      </c>
    </row>
    <row r="3612" spans="1:13" ht="11.25" customHeight="1" x14ac:dyDescent="0.2">
      <c r="A3612" s="924" t="s">
        <v>853</v>
      </c>
      <c r="B3612" s="924" t="s">
        <v>1196</v>
      </c>
      <c r="C3612" s="924" t="s">
        <v>1197</v>
      </c>
      <c r="D3612" s="924" t="s">
        <v>855</v>
      </c>
      <c r="E3612" s="924" t="s">
        <v>856</v>
      </c>
      <c r="F3612" s="924" t="s">
        <v>894</v>
      </c>
      <c r="G3612" s="924" t="s">
        <v>858</v>
      </c>
      <c r="H3612" s="924" t="s">
        <v>836</v>
      </c>
      <c r="I3612" s="924" t="s">
        <v>837</v>
      </c>
      <c r="J3612" s="924" t="s">
        <v>859</v>
      </c>
      <c r="K3612" s="924" t="s">
        <v>895</v>
      </c>
      <c r="L3612" s="925">
        <v>536.29910850524902</v>
      </c>
      <c r="M3612" s="925">
        <v>3.55241373301851E-3</v>
      </c>
    </row>
    <row r="3613" spans="1:13" ht="11.25" customHeight="1" x14ac:dyDescent="0.2">
      <c r="A3613" s="924" t="s">
        <v>853</v>
      </c>
      <c r="B3613" s="924" t="s">
        <v>1196</v>
      </c>
      <c r="C3613" s="924" t="s">
        <v>1197</v>
      </c>
      <c r="D3613" s="924" t="s">
        <v>855</v>
      </c>
      <c r="E3613" s="924" t="s">
        <v>856</v>
      </c>
      <c r="F3613" s="924" t="s">
        <v>908</v>
      </c>
      <c r="G3613" s="924" t="s">
        <v>858</v>
      </c>
      <c r="H3613" s="924" t="s">
        <v>836</v>
      </c>
      <c r="I3613" s="924" t="s">
        <v>837</v>
      </c>
      <c r="J3613" s="924" t="s">
        <v>859</v>
      </c>
      <c r="K3613" s="924" t="s">
        <v>909</v>
      </c>
      <c r="L3613" s="925">
        <v>16.618319451808901</v>
      </c>
      <c r="M3613" s="925">
        <v>3.4782762134710798E-4</v>
      </c>
    </row>
    <row r="3614" spans="1:13" ht="11.25" customHeight="1" x14ac:dyDescent="0.2">
      <c r="A3614" s="924" t="s">
        <v>853</v>
      </c>
      <c r="B3614" s="924" t="s">
        <v>1196</v>
      </c>
      <c r="C3614" s="924" t="s">
        <v>1197</v>
      </c>
      <c r="D3614" s="924" t="s">
        <v>855</v>
      </c>
      <c r="E3614" s="924" t="s">
        <v>856</v>
      </c>
      <c r="F3614" s="924" t="s">
        <v>898</v>
      </c>
      <c r="G3614" s="924" t="s">
        <v>858</v>
      </c>
      <c r="H3614" s="924" t="s">
        <v>836</v>
      </c>
      <c r="I3614" s="924" t="s">
        <v>837</v>
      </c>
      <c r="J3614" s="924" t="s">
        <v>859</v>
      </c>
      <c r="K3614" s="924" t="s">
        <v>899</v>
      </c>
      <c r="L3614" s="925">
        <v>18.124531164765401</v>
      </c>
      <c r="M3614" s="925">
        <v>3.1525856055480999E-4</v>
      </c>
    </row>
    <row r="3615" spans="1:13" ht="11.25" customHeight="1" x14ac:dyDescent="0.2">
      <c r="A3615" s="924" t="s">
        <v>853</v>
      </c>
      <c r="B3615" s="924" t="s">
        <v>1196</v>
      </c>
      <c r="C3615" s="924" t="s">
        <v>1197</v>
      </c>
      <c r="D3615" s="924" t="s">
        <v>855</v>
      </c>
      <c r="E3615" s="924" t="s">
        <v>856</v>
      </c>
      <c r="F3615" s="924" t="s">
        <v>934</v>
      </c>
      <c r="G3615" s="924" t="s">
        <v>862</v>
      </c>
      <c r="H3615" s="924" t="s">
        <v>665</v>
      </c>
      <c r="I3615" s="924" t="s">
        <v>787</v>
      </c>
      <c r="J3615" s="924" t="s">
        <v>863</v>
      </c>
      <c r="K3615" s="924" t="s">
        <v>935</v>
      </c>
      <c r="L3615" s="925">
        <v>3.2056266005383798E-2</v>
      </c>
      <c r="M3615" s="925">
        <v>1.3475347270741601E-4</v>
      </c>
    </row>
    <row r="3616" spans="1:13" ht="11.25" customHeight="1" x14ac:dyDescent="0.2">
      <c r="A3616" s="924" t="s">
        <v>853</v>
      </c>
      <c r="B3616" s="924" t="s">
        <v>1196</v>
      </c>
      <c r="C3616" s="924" t="s">
        <v>1197</v>
      </c>
      <c r="D3616" s="924" t="s">
        <v>855</v>
      </c>
      <c r="E3616" s="924" t="s">
        <v>856</v>
      </c>
      <c r="F3616" s="924" t="s">
        <v>902</v>
      </c>
      <c r="G3616" s="924" t="s">
        <v>858</v>
      </c>
      <c r="H3616" s="924" t="s">
        <v>836</v>
      </c>
      <c r="I3616" s="924" t="s">
        <v>837</v>
      </c>
      <c r="J3616" s="924" t="s">
        <v>859</v>
      </c>
      <c r="K3616" s="924" t="s">
        <v>903</v>
      </c>
      <c r="L3616" s="925">
        <v>233.762459993362</v>
      </c>
      <c r="M3616" s="925">
        <v>4.0636833869029899E-3</v>
      </c>
    </row>
    <row r="3617" spans="1:13" ht="11.25" customHeight="1" x14ac:dyDescent="0.2">
      <c r="A3617" s="924" t="s">
        <v>853</v>
      </c>
      <c r="B3617" s="924" t="s">
        <v>1196</v>
      </c>
      <c r="C3617" s="924" t="s">
        <v>1197</v>
      </c>
      <c r="D3617" s="924" t="s">
        <v>855</v>
      </c>
      <c r="E3617" s="924" t="s">
        <v>856</v>
      </c>
      <c r="F3617" s="924" t="s">
        <v>904</v>
      </c>
      <c r="G3617" s="924" t="s">
        <v>858</v>
      </c>
      <c r="H3617" s="924" t="s">
        <v>836</v>
      </c>
      <c r="I3617" s="924" t="s">
        <v>837</v>
      </c>
      <c r="J3617" s="924" t="s">
        <v>859</v>
      </c>
      <c r="K3617" s="924" t="s">
        <v>905</v>
      </c>
      <c r="L3617" s="925">
        <v>202.40067696571401</v>
      </c>
      <c r="M3617" s="925">
        <v>3.8343681970332E-3</v>
      </c>
    </row>
    <row r="3618" spans="1:13" ht="11.25" customHeight="1" x14ac:dyDescent="0.2">
      <c r="A3618" s="924" t="s">
        <v>853</v>
      </c>
      <c r="B3618" s="924" t="s">
        <v>1196</v>
      </c>
      <c r="C3618" s="924" t="s">
        <v>1197</v>
      </c>
      <c r="D3618" s="924" t="s">
        <v>855</v>
      </c>
      <c r="E3618" s="924" t="s">
        <v>856</v>
      </c>
      <c r="F3618" s="924" t="s">
        <v>906</v>
      </c>
      <c r="G3618" s="924" t="s">
        <v>858</v>
      </c>
      <c r="H3618" s="924" t="s">
        <v>836</v>
      </c>
      <c r="I3618" s="924" t="s">
        <v>837</v>
      </c>
      <c r="J3618" s="924" t="s">
        <v>859</v>
      </c>
      <c r="K3618" s="924" t="s">
        <v>907</v>
      </c>
      <c r="L3618" s="925">
        <v>1997.48914146423</v>
      </c>
      <c r="M3618" s="925">
        <v>1.32982247041582E-2</v>
      </c>
    </row>
    <row r="3619" spans="1:13" ht="11.25" customHeight="1" x14ac:dyDescent="0.2">
      <c r="A3619" s="924" t="s">
        <v>853</v>
      </c>
      <c r="B3619" s="924" t="s">
        <v>1196</v>
      </c>
      <c r="C3619" s="924" t="s">
        <v>1197</v>
      </c>
      <c r="D3619" s="924" t="s">
        <v>855</v>
      </c>
      <c r="E3619" s="924" t="s">
        <v>856</v>
      </c>
      <c r="F3619" s="924" t="s">
        <v>972</v>
      </c>
      <c r="G3619" s="924" t="s">
        <v>858</v>
      </c>
      <c r="H3619" s="924" t="s">
        <v>836</v>
      </c>
      <c r="I3619" s="924" t="s">
        <v>837</v>
      </c>
      <c r="J3619" s="924" t="s">
        <v>859</v>
      </c>
      <c r="K3619" s="924" t="s">
        <v>973</v>
      </c>
      <c r="L3619" s="925">
        <v>7.90122059732676</v>
      </c>
      <c r="M3619" s="925">
        <v>2.0127854181595199E-4</v>
      </c>
    </row>
    <row r="3620" spans="1:13" ht="11.25" customHeight="1" x14ac:dyDescent="0.2">
      <c r="A3620" s="924" t="s">
        <v>853</v>
      </c>
      <c r="B3620" s="924" t="s">
        <v>1196</v>
      </c>
      <c r="C3620" s="924" t="s">
        <v>1197</v>
      </c>
      <c r="D3620" s="924" t="s">
        <v>855</v>
      </c>
      <c r="E3620" s="924" t="s">
        <v>856</v>
      </c>
      <c r="F3620" s="924" t="s">
        <v>916</v>
      </c>
      <c r="G3620" s="924" t="s">
        <v>911</v>
      </c>
      <c r="H3620" s="924" t="s">
        <v>665</v>
      </c>
      <c r="I3620" s="924" t="s">
        <v>706</v>
      </c>
      <c r="J3620" s="924" t="s">
        <v>859</v>
      </c>
      <c r="K3620" s="924" t="s">
        <v>909</v>
      </c>
      <c r="L3620" s="925">
        <v>4.7094401568174398</v>
      </c>
      <c r="M3620" s="925">
        <v>2.17969661889583E-4</v>
      </c>
    </row>
    <row r="3621" spans="1:13" ht="11.25" customHeight="1" x14ac:dyDescent="0.2">
      <c r="A3621" s="924" t="s">
        <v>853</v>
      </c>
      <c r="B3621" s="924" t="s">
        <v>1196</v>
      </c>
      <c r="C3621" s="924" t="s">
        <v>1197</v>
      </c>
      <c r="D3621" s="924" t="s">
        <v>855</v>
      </c>
      <c r="E3621" s="924" t="s">
        <v>856</v>
      </c>
      <c r="F3621" s="924" t="s">
        <v>896</v>
      </c>
      <c r="G3621" s="924" t="s">
        <v>858</v>
      </c>
      <c r="H3621" s="924" t="s">
        <v>836</v>
      </c>
      <c r="I3621" s="924" t="s">
        <v>837</v>
      </c>
      <c r="J3621" s="924" t="s">
        <v>859</v>
      </c>
      <c r="K3621" s="924" t="s">
        <v>897</v>
      </c>
      <c r="L3621" s="925">
        <v>29.5732452869415</v>
      </c>
      <c r="M3621" s="925">
        <v>4.7890375211068198E-4</v>
      </c>
    </row>
    <row r="3622" spans="1:13" ht="11.25" customHeight="1" x14ac:dyDescent="0.2">
      <c r="A3622" s="924" t="s">
        <v>853</v>
      </c>
      <c r="B3622" s="924" t="s">
        <v>1196</v>
      </c>
      <c r="C3622" s="924" t="s">
        <v>1197</v>
      </c>
      <c r="D3622" s="924" t="s">
        <v>855</v>
      </c>
      <c r="E3622" s="924" t="s">
        <v>856</v>
      </c>
      <c r="F3622" s="924" t="s">
        <v>938</v>
      </c>
      <c r="G3622" s="924" t="s">
        <v>911</v>
      </c>
      <c r="H3622" s="924" t="s">
        <v>665</v>
      </c>
      <c r="I3622" s="924" t="s">
        <v>706</v>
      </c>
      <c r="J3622" s="924" t="s">
        <v>863</v>
      </c>
      <c r="K3622" s="924" t="s">
        <v>868</v>
      </c>
      <c r="L3622" s="925">
        <v>2.5968517363071402</v>
      </c>
      <c r="M3622" s="925">
        <v>1.1999481648672401E-4</v>
      </c>
    </row>
    <row r="3623" spans="1:13" ht="11.25" customHeight="1" x14ac:dyDescent="0.2">
      <c r="A3623" s="924" t="s">
        <v>853</v>
      </c>
      <c r="B3623" s="924" t="s">
        <v>1196</v>
      </c>
      <c r="C3623" s="924" t="s">
        <v>1197</v>
      </c>
      <c r="D3623" s="924" t="s">
        <v>855</v>
      </c>
      <c r="E3623" s="924" t="s">
        <v>856</v>
      </c>
      <c r="F3623" s="924" t="s">
        <v>1037</v>
      </c>
      <c r="G3623" s="924" t="s">
        <v>858</v>
      </c>
      <c r="H3623" s="924" t="s">
        <v>836</v>
      </c>
      <c r="I3623" s="924" t="s">
        <v>837</v>
      </c>
      <c r="J3623" s="924" t="s">
        <v>859</v>
      </c>
      <c r="K3623" s="924" t="s">
        <v>918</v>
      </c>
      <c r="L3623" s="925">
        <v>456.68256807327299</v>
      </c>
      <c r="M3623" s="925">
        <v>4.4197002770261003E-3</v>
      </c>
    </row>
    <row r="3624" spans="1:13" ht="11.25" customHeight="1" x14ac:dyDescent="0.2">
      <c r="A3624" s="924" t="s">
        <v>853</v>
      </c>
      <c r="B3624" s="924" t="s">
        <v>1196</v>
      </c>
      <c r="C3624" s="924" t="s">
        <v>1197</v>
      </c>
      <c r="D3624" s="924" t="s">
        <v>855</v>
      </c>
      <c r="E3624" s="924" t="s">
        <v>856</v>
      </c>
      <c r="F3624" s="924" t="s">
        <v>917</v>
      </c>
      <c r="G3624" s="924" t="s">
        <v>911</v>
      </c>
      <c r="H3624" s="924" t="s">
        <v>665</v>
      </c>
      <c r="I3624" s="924" t="s">
        <v>706</v>
      </c>
      <c r="J3624" s="924" t="s">
        <v>859</v>
      </c>
      <c r="K3624" s="924" t="s">
        <v>918</v>
      </c>
      <c r="L3624" s="925">
        <v>1.8266976792365299</v>
      </c>
      <c r="M3624" s="925">
        <v>5.8981877475616795E-4</v>
      </c>
    </row>
    <row r="3625" spans="1:13" ht="11.25" customHeight="1" x14ac:dyDescent="0.2">
      <c r="A3625" s="924" t="s">
        <v>853</v>
      </c>
      <c r="B3625" s="924" t="s">
        <v>1196</v>
      </c>
      <c r="C3625" s="924" t="s">
        <v>1197</v>
      </c>
      <c r="D3625" s="924" t="s">
        <v>855</v>
      </c>
      <c r="E3625" s="924" t="s">
        <v>856</v>
      </c>
      <c r="F3625" s="924" t="s">
        <v>921</v>
      </c>
      <c r="G3625" s="924" t="s">
        <v>911</v>
      </c>
      <c r="H3625" s="924" t="s">
        <v>665</v>
      </c>
      <c r="I3625" s="924" t="s">
        <v>706</v>
      </c>
      <c r="J3625" s="924" t="s">
        <v>859</v>
      </c>
      <c r="K3625" s="924" t="s">
        <v>922</v>
      </c>
      <c r="L3625" s="925">
        <v>3.2006746046245098</v>
      </c>
      <c r="M3625" s="925">
        <v>4.2749867361635601E-4</v>
      </c>
    </row>
    <row r="3626" spans="1:13" ht="11.25" customHeight="1" x14ac:dyDescent="0.2">
      <c r="A3626" s="924" t="s">
        <v>853</v>
      </c>
      <c r="B3626" s="924" t="s">
        <v>1196</v>
      </c>
      <c r="C3626" s="924" t="s">
        <v>1197</v>
      </c>
      <c r="D3626" s="924" t="s">
        <v>855</v>
      </c>
      <c r="E3626" s="924" t="s">
        <v>856</v>
      </c>
      <c r="F3626" s="924" t="s">
        <v>923</v>
      </c>
      <c r="G3626" s="924" t="s">
        <v>911</v>
      </c>
      <c r="H3626" s="924" t="s">
        <v>665</v>
      </c>
      <c r="I3626" s="924" t="s">
        <v>706</v>
      </c>
      <c r="J3626" s="924" t="s">
        <v>859</v>
      </c>
      <c r="K3626" s="924" t="s">
        <v>924</v>
      </c>
      <c r="L3626" s="925">
        <v>7.8584709092974698</v>
      </c>
      <c r="M3626" s="925">
        <v>4.1662537023512397E-4</v>
      </c>
    </row>
    <row r="3627" spans="1:13" ht="11.25" customHeight="1" x14ac:dyDescent="0.2">
      <c r="A3627" s="924" t="s">
        <v>853</v>
      </c>
      <c r="B3627" s="924" t="s">
        <v>1196</v>
      </c>
      <c r="C3627" s="924" t="s">
        <v>1197</v>
      </c>
      <c r="D3627" s="924" t="s">
        <v>855</v>
      </c>
      <c r="E3627" s="924" t="s">
        <v>856</v>
      </c>
      <c r="F3627" s="924" t="s">
        <v>925</v>
      </c>
      <c r="G3627" s="924" t="s">
        <v>911</v>
      </c>
      <c r="H3627" s="924" t="s">
        <v>665</v>
      </c>
      <c r="I3627" s="924" t="s">
        <v>706</v>
      </c>
      <c r="J3627" s="924" t="s">
        <v>859</v>
      </c>
      <c r="K3627" s="924" t="s">
        <v>926</v>
      </c>
      <c r="L3627" s="925">
        <v>0.83064108062535502</v>
      </c>
      <c r="M3627" s="925">
        <v>3.8293855794790902E-5</v>
      </c>
    </row>
    <row r="3628" spans="1:13" ht="11.25" customHeight="1" x14ac:dyDescent="0.2">
      <c r="A3628" s="924" t="s">
        <v>853</v>
      </c>
      <c r="B3628" s="924" t="s">
        <v>1196</v>
      </c>
      <c r="C3628" s="924" t="s">
        <v>1197</v>
      </c>
      <c r="D3628" s="924" t="s">
        <v>855</v>
      </c>
      <c r="E3628" s="924" t="s">
        <v>856</v>
      </c>
      <c r="F3628" s="924" t="s">
        <v>927</v>
      </c>
      <c r="G3628" s="924" t="s">
        <v>911</v>
      </c>
      <c r="H3628" s="924" t="s">
        <v>665</v>
      </c>
      <c r="I3628" s="924" t="s">
        <v>706</v>
      </c>
      <c r="J3628" s="924" t="s">
        <v>859</v>
      </c>
      <c r="K3628" s="924" t="s">
        <v>928</v>
      </c>
      <c r="L3628" s="925">
        <v>6.7537340000271797</v>
      </c>
      <c r="M3628" s="925">
        <v>2.0030124642289602E-3</v>
      </c>
    </row>
    <row r="3629" spans="1:13" ht="11.25" customHeight="1" x14ac:dyDescent="0.2">
      <c r="A3629" s="924" t="s">
        <v>853</v>
      </c>
      <c r="B3629" s="924" t="s">
        <v>1196</v>
      </c>
      <c r="C3629" s="924" t="s">
        <v>1197</v>
      </c>
      <c r="D3629" s="924" t="s">
        <v>855</v>
      </c>
      <c r="E3629" s="924" t="s">
        <v>856</v>
      </c>
      <c r="F3629" s="924" t="s">
        <v>929</v>
      </c>
      <c r="G3629" s="924" t="s">
        <v>911</v>
      </c>
      <c r="H3629" s="924" t="s">
        <v>665</v>
      </c>
      <c r="I3629" s="924" t="s">
        <v>706</v>
      </c>
      <c r="J3629" s="924" t="s">
        <v>859</v>
      </c>
      <c r="K3629" s="924" t="s">
        <v>891</v>
      </c>
      <c r="L3629" s="925">
        <v>2.7805160656571402</v>
      </c>
      <c r="M3629" s="925">
        <v>1.11406667656411E-3</v>
      </c>
    </row>
    <row r="3630" spans="1:13" ht="11.25" customHeight="1" x14ac:dyDescent="0.2">
      <c r="A3630" s="924" t="s">
        <v>853</v>
      </c>
      <c r="B3630" s="924" t="s">
        <v>1196</v>
      </c>
      <c r="C3630" s="924" t="s">
        <v>1197</v>
      </c>
      <c r="D3630" s="924" t="s">
        <v>855</v>
      </c>
      <c r="E3630" s="924" t="s">
        <v>856</v>
      </c>
      <c r="F3630" s="924" t="s">
        <v>930</v>
      </c>
      <c r="G3630" s="924" t="s">
        <v>911</v>
      </c>
      <c r="H3630" s="924" t="s">
        <v>665</v>
      </c>
      <c r="I3630" s="924" t="s">
        <v>706</v>
      </c>
      <c r="J3630" s="924" t="s">
        <v>863</v>
      </c>
      <c r="K3630" s="924" t="s">
        <v>931</v>
      </c>
      <c r="L3630" s="925">
        <v>6.03267572075129</v>
      </c>
      <c r="M3630" s="925">
        <v>1.22941426525358E-3</v>
      </c>
    </row>
    <row r="3631" spans="1:13" ht="11.25" customHeight="1" x14ac:dyDescent="0.2">
      <c r="A3631" s="924" t="s">
        <v>853</v>
      </c>
      <c r="B3631" s="924" t="s">
        <v>1196</v>
      </c>
      <c r="C3631" s="924" t="s">
        <v>1197</v>
      </c>
      <c r="D3631" s="924" t="s">
        <v>855</v>
      </c>
      <c r="E3631" s="924" t="s">
        <v>856</v>
      </c>
      <c r="F3631" s="924" t="s">
        <v>932</v>
      </c>
      <c r="G3631" s="924" t="s">
        <v>911</v>
      </c>
      <c r="H3631" s="924" t="s">
        <v>665</v>
      </c>
      <c r="I3631" s="924" t="s">
        <v>706</v>
      </c>
      <c r="J3631" s="924" t="s">
        <v>863</v>
      </c>
      <c r="K3631" s="924" t="s">
        <v>933</v>
      </c>
      <c r="L3631" s="925">
        <v>561.23024988174404</v>
      </c>
      <c r="M3631" s="925">
        <v>2.7123550389660502E-2</v>
      </c>
    </row>
    <row r="3632" spans="1:13" ht="11.25" customHeight="1" x14ac:dyDescent="0.2">
      <c r="A3632" s="924" t="s">
        <v>853</v>
      </c>
      <c r="B3632" s="924" t="s">
        <v>1196</v>
      </c>
      <c r="C3632" s="924" t="s">
        <v>1197</v>
      </c>
      <c r="D3632" s="924" t="s">
        <v>855</v>
      </c>
      <c r="E3632" s="924" t="s">
        <v>856</v>
      </c>
      <c r="F3632" s="924" t="s">
        <v>954</v>
      </c>
      <c r="G3632" s="924" t="s">
        <v>911</v>
      </c>
      <c r="H3632" s="924" t="s">
        <v>665</v>
      </c>
      <c r="I3632" s="924" t="s">
        <v>706</v>
      </c>
      <c r="J3632" s="924" t="s">
        <v>863</v>
      </c>
      <c r="K3632" s="924" t="s">
        <v>935</v>
      </c>
      <c r="L3632" s="925">
        <v>4.1875679641962096</v>
      </c>
      <c r="M3632" s="925">
        <v>1.9771797292378299E-4</v>
      </c>
    </row>
    <row r="3633" spans="1:13" ht="11.25" customHeight="1" x14ac:dyDescent="0.2">
      <c r="A3633" s="924" t="s">
        <v>853</v>
      </c>
      <c r="B3633" s="924" t="s">
        <v>1196</v>
      </c>
      <c r="C3633" s="924" t="s">
        <v>1197</v>
      </c>
      <c r="D3633" s="924" t="s">
        <v>855</v>
      </c>
      <c r="E3633" s="924" t="s">
        <v>856</v>
      </c>
      <c r="F3633" s="924" t="s">
        <v>919</v>
      </c>
      <c r="G3633" s="924" t="s">
        <v>911</v>
      </c>
      <c r="H3633" s="924" t="s">
        <v>665</v>
      </c>
      <c r="I3633" s="924" t="s">
        <v>706</v>
      </c>
      <c r="J3633" s="924" t="s">
        <v>859</v>
      </c>
      <c r="K3633" s="924" t="s">
        <v>920</v>
      </c>
      <c r="L3633" s="925">
        <v>0.30140674696303899</v>
      </c>
      <c r="M3633" s="925">
        <v>8.4443081817653406E-5</v>
      </c>
    </row>
    <row r="3634" spans="1:13" ht="11.25" customHeight="1" x14ac:dyDescent="0.2">
      <c r="A3634" s="924" t="s">
        <v>853</v>
      </c>
      <c r="B3634" s="924" t="s">
        <v>1196</v>
      </c>
      <c r="C3634" s="924" t="s">
        <v>1197</v>
      </c>
      <c r="D3634" s="924" t="s">
        <v>855</v>
      </c>
      <c r="E3634" s="924" t="s">
        <v>856</v>
      </c>
      <c r="F3634" s="924" t="s">
        <v>914</v>
      </c>
      <c r="G3634" s="924" t="s">
        <v>911</v>
      </c>
      <c r="H3634" s="924" t="s">
        <v>665</v>
      </c>
      <c r="I3634" s="924" t="s">
        <v>706</v>
      </c>
      <c r="J3634" s="924" t="s">
        <v>863</v>
      </c>
      <c r="K3634" s="924" t="s">
        <v>915</v>
      </c>
      <c r="L3634" s="925">
        <v>0.320381345227361</v>
      </c>
      <c r="M3634" s="925">
        <v>4.5714496664572801E-5</v>
      </c>
    </row>
    <row r="3635" spans="1:13" ht="11.25" customHeight="1" x14ac:dyDescent="0.2">
      <c r="A3635" s="924" t="s">
        <v>853</v>
      </c>
      <c r="B3635" s="924" t="s">
        <v>1196</v>
      </c>
      <c r="C3635" s="924" t="s">
        <v>1197</v>
      </c>
      <c r="D3635" s="924" t="s">
        <v>855</v>
      </c>
      <c r="E3635" s="924" t="s">
        <v>856</v>
      </c>
      <c r="F3635" s="924" t="s">
        <v>937</v>
      </c>
      <c r="G3635" s="924" t="s">
        <v>862</v>
      </c>
      <c r="H3635" s="924" t="s">
        <v>665</v>
      </c>
      <c r="I3635" s="924" t="s">
        <v>787</v>
      </c>
      <c r="J3635" s="924" t="s">
        <v>863</v>
      </c>
      <c r="K3635" s="924" t="s">
        <v>933</v>
      </c>
      <c r="L3635" s="925">
        <v>37.833345115184798</v>
      </c>
      <c r="M3635" s="925">
        <v>0.16114669945091001</v>
      </c>
    </row>
    <row r="3636" spans="1:13" ht="11.25" customHeight="1" x14ac:dyDescent="0.2">
      <c r="A3636" s="924" t="s">
        <v>853</v>
      </c>
      <c r="B3636" s="924" t="s">
        <v>1196</v>
      </c>
      <c r="C3636" s="924" t="s">
        <v>1197</v>
      </c>
      <c r="D3636" s="924" t="s">
        <v>855</v>
      </c>
      <c r="E3636" s="924" t="s">
        <v>856</v>
      </c>
      <c r="F3636" s="924" t="s">
        <v>939</v>
      </c>
      <c r="G3636" s="924" t="s">
        <v>911</v>
      </c>
      <c r="H3636" s="924" t="s">
        <v>665</v>
      </c>
      <c r="I3636" s="924" t="s">
        <v>706</v>
      </c>
      <c r="J3636" s="924" t="s">
        <v>940</v>
      </c>
      <c r="K3636" s="924" t="s">
        <v>941</v>
      </c>
      <c r="L3636" s="925">
        <v>23.9506193771958</v>
      </c>
      <c r="M3636" s="925">
        <v>1.15228731237949E-3</v>
      </c>
    </row>
    <row r="3637" spans="1:13" ht="11.25" customHeight="1" x14ac:dyDescent="0.2">
      <c r="A3637" s="924" t="s">
        <v>853</v>
      </c>
      <c r="B3637" s="924" t="s">
        <v>1196</v>
      </c>
      <c r="C3637" s="924" t="s">
        <v>1197</v>
      </c>
      <c r="D3637" s="924" t="s">
        <v>855</v>
      </c>
      <c r="E3637" s="924" t="s">
        <v>856</v>
      </c>
      <c r="F3637" s="924" t="s">
        <v>942</v>
      </c>
      <c r="G3637" s="924" t="s">
        <v>911</v>
      </c>
      <c r="H3637" s="924" t="s">
        <v>665</v>
      </c>
      <c r="I3637" s="924" t="s">
        <v>706</v>
      </c>
      <c r="J3637" s="924" t="s">
        <v>870</v>
      </c>
      <c r="K3637" s="924" t="s">
        <v>871</v>
      </c>
      <c r="L3637" s="925">
        <v>2.2443683141318602E-2</v>
      </c>
      <c r="M3637" s="925">
        <v>1.40072864036611E-5</v>
      </c>
    </row>
    <row r="3638" spans="1:13" ht="11.25" customHeight="1" x14ac:dyDescent="0.2">
      <c r="A3638" s="924" t="s">
        <v>853</v>
      </c>
      <c r="B3638" s="924" t="s">
        <v>1196</v>
      </c>
      <c r="C3638" s="924" t="s">
        <v>1197</v>
      </c>
      <c r="D3638" s="924" t="s">
        <v>855</v>
      </c>
      <c r="E3638" s="924" t="s">
        <v>856</v>
      </c>
      <c r="F3638" s="924" t="s">
        <v>943</v>
      </c>
      <c r="G3638" s="924" t="s">
        <v>911</v>
      </c>
      <c r="H3638" s="924" t="s">
        <v>665</v>
      </c>
      <c r="I3638" s="924" t="s">
        <v>706</v>
      </c>
      <c r="J3638" s="924" t="s">
        <v>870</v>
      </c>
      <c r="K3638" s="924" t="s">
        <v>873</v>
      </c>
      <c r="L3638" s="925">
        <v>4.56201053311815E-2</v>
      </c>
      <c r="M3638" s="925">
        <v>2.0716457527214499E-6</v>
      </c>
    </row>
    <row r="3639" spans="1:13" ht="11.25" customHeight="1" x14ac:dyDescent="0.2">
      <c r="A3639" s="924" t="s">
        <v>853</v>
      </c>
      <c r="B3639" s="924" t="s">
        <v>1196</v>
      </c>
      <c r="C3639" s="924" t="s">
        <v>1197</v>
      </c>
      <c r="D3639" s="924" t="s">
        <v>855</v>
      </c>
      <c r="E3639" s="924" t="s">
        <v>856</v>
      </c>
      <c r="F3639" s="924" t="s">
        <v>944</v>
      </c>
      <c r="G3639" s="924" t="s">
        <v>911</v>
      </c>
      <c r="H3639" s="924" t="s">
        <v>665</v>
      </c>
      <c r="I3639" s="924" t="s">
        <v>706</v>
      </c>
      <c r="J3639" s="924" t="s">
        <v>875</v>
      </c>
      <c r="K3639" s="924" t="s">
        <v>876</v>
      </c>
      <c r="L3639" s="925">
        <v>31.8860749900341</v>
      </c>
      <c r="M3639" s="925">
        <v>1.00812703167321E-2</v>
      </c>
    </row>
    <row r="3640" spans="1:13" ht="11.25" customHeight="1" x14ac:dyDescent="0.2">
      <c r="A3640" s="924" t="s">
        <v>853</v>
      </c>
      <c r="B3640" s="924" t="s">
        <v>1196</v>
      </c>
      <c r="C3640" s="924" t="s">
        <v>1197</v>
      </c>
      <c r="D3640" s="924" t="s">
        <v>855</v>
      </c>
      <c r="E3640" s="924" t="s">
        <v>856</v>
      </c>
      <c r="F3640" s="924" t="s">
        <v>945</v>
      </c>
      <c r="G3640" s="924" t="s">
        <v>911</v>
      </c>
      <c r="H3640" s="924" t="s">
        <v>665</v>
      </c>
      <c r="I3640" s="924" t="s">
        <v>706</v>
      </c>
      <c r="J3640" s="924" t="s">
        <v>875</v>
      </c>
      <c r="K3640" s="924" t="s">
        <v>878</v>
      </c>
      <c r="L3640" s="925">
        <v>7.0411729440092996</v>
      </c>
      <c r="M3640" s="925">
        <v>1.04167059157589E-3</v>
      </c>
    </row>
    <row r="3641" spans="1:13" ht="11.25" customHeight="1" x14ac:dyDescent="0.2">
      <c r="A3641" s="924" t="s">
        <v>853</v>
      </c>
      <c r="B3641" s="924" t="s">
        <v>1196</v>
      </c>
      <c r="C3641" s="924" t="s">
        <v>1197</v>
      </c>
      <c r="D3641" s="924" t="s">
        <v>855</v>
      </c>
      <c r="E3641" s="924" t="s">
        <v>856</v>
      </c>
      <c r="F3641" s="924" t="s">
        <v>946</v>
      </c>
      <c r="G3641" s="924" t="s">
        <v>911</v>
      </c>
      <c r="H3641" s="924" t="s">
        <v>665</v>
      </c>
      <c r="I3641" s="924" t="s">
        <v>706</v>
      </c>
      <c r="J3641" s="924" t="s">
        <v>875</v>
      </c>
      <c r="K3641" s="924" t="s">
        <v>880</v>
      </c>
      <c r="L3641" s="925">
        <v>8.32369564473629</v>
      </c>
      <c r="M3641" s="925">
        <v>5.2976012500494097E-4</v>
      </c>
    </row>
    <row r="3642" spans="1:13" ht="11.25" customHeight="1" x14ac:dyDescent="0.2">
      <c r="A3642" s="924" t="s">
        <v>853</v>
      </c>
      <c r="B3642" s="924" t="s">
        <v>1196</v>
      </c>
      <c r="C3642" s="924" t="s">
        <v>1197</v>
      </c>
      <c r="D3642" s="924" t="s">
        <v>855</v>
      </c>
      <c r="E3642" s="924" t="s">
        <v>856</v>
      </c>
      <c r="F3642" s="924" t="s">
        <v>947</v>
      </c>
      <c r="G3642" s="924" t="s">
        <v>911</v>
      </c>
      <c r="H3642" s="924" t="s">
        <v>665</v>
      </c>
      <c r="I3642" s="924" t="s">
        <v>706</v>
      </c>
      <c r="J3642" s="924" t="s">
        <v>875</v>
      </c>
      <c r="K3642" s="924" t="s">
        <v>948</v>
      </c>
      <c r="L3642" s="925">
        <v>10.345905691385299</v>
      </c>
      <c r="M3642" s="925">
        <v>7.9062113599093198E-4</v>
      </c>
    </row>
    <row r="3643" spans="1:13" ht="11.25" customHeight="1" x14ac:dyDescent="0.2">
      <c r="A3643" s="924" t="s">
        <v>853</v>
      </c>
      <c r="B3643" s="924" t="s">
        <v>1196</v>
      </c>
      <c r="C3643" s="924" t="s">
        <v>1197</v>
      </c>
      <c r="D3643" s="924" t="s">
        <v>855</v>
      </c>
      <c r="E3643" s="924" t="s">
        <v>856</v>
      </c>
      <c r="F3643" s="924" t="s">
        <v>949</v>
      </c>
      <c r="G3643" s="924" t="s">
        <v>911</v>
      </c>
      <c r="H3643" s="924" t="s">
        <v>665</v>
      </c>
      <c r="I3643" s="924" t="s">
        <v>706</v>
      </c>
      <c r="J3643" s="924" t="s">
        <v>875</v>
      </c>
      <c r="K3643" s="924" t="s">
        <v>950</v>
      </c>
      <c r="L3643" s="925">
        <v>0.138726226752624</v>
      </c>
      <c r="M3643" s="925">
        <v>2.9754335798770599E-5</v>
      </c>
    </row>
    <row r="3644" spans="1:13" ht="11.25" customHeight="1" x14ac:dyDescent="0.2">
      <c r="A3644" s="924" t="s">
        <v>853</v>
      </c>
      <c r="B3644" s="924" t="s">
        <v>1196</v>
      </c>
      <c r="C3644" s="924" t="s">
        <v>1197</v>
      </c>
      <c r="D3644" s="924" t="s">
        <v>855</v>
      </c>
      <c r="E3644" s="924" t="s">
        <v>856</v>
      </c>
      <c r="F3644" s="924" t="s">
        <v>951</v>
      </c>
      <c r="G3644" s="924" t="s">
        <v>911</v>
      </c>
      <c r="H3644" s="924" t="s">
        <v>665</v>
      </c>
      <c r="I3644" s="924" t="s">
        <v>706</v>
      </c>
      <c r="J3644" s="924" t="s">
        <v>875</v>
      </c>
      <c r="K3644" s="924" t="s">
        <v>952</v>
      </c>
      <c r="L3644" s="925">
        <v>0.12804227124434001</v>
      </c>
      <c r="M3644" s="925">
        <v>7.9615090609053107E-6</v>
      </c>
    </row>
    <row r="3645" spans="1:13" ht="11.25" customHeight="1" x14ac:dyDescent="0.2">
      <c r="A3645" s="924" t="s">
        <v>853</v>
      </c>
      <c r="B3645" s="924" t="s">
        <v>1196</v>
      </c>
      <c r="C3645" s="924" t="s">
        <v>1197</v>
      </c>
      <c r="D3645" s="924" t="s">
        <v>855</v>
      </c>
      <c r="E3645" s="924" t="s">
        <v>856</v>
      </c>
      <c r="F3645" s="924" t="s">
        <v>890</v>
      </c>
      <c r="G3645" s="924" t="s">
        <v>862</v>
      </c>
      <c r="H3645" s="924" t="s">
        <v>665</v>
      </c>
      <c r="I3645" s="924" t="s">
        <v>787</v>
      </c>
      <c r="J3645" s="924" t="s">
        <v>859</v>
      </c>
      <c r="K3645" s="924" t="s">
        <v>891</v>
      </c>
      <c r="L3645" s="925">
        <v>9.60687012411654E-2</v>
      </c>
      <c r="M3645" s="925">
        <v>3.4197606146335602E-3</v>
      </c>
    </row>
    <row r="3646" spans="1:13" ht="11.25" customHeight="1" x14ac:dyDescent="0.2">
      <c r="A3646" s="924" t="s">
        <v>853</v>
      </c>
      <c r="B3646" s="924" t="s">
        <v>1196</v>
      </c>
      <c r="C3646" s="924" t="s">
        <v>1197</v>
      </c>
      <c r="D3646" s="924" t="s">
        <v>855</v>
      </c>
      <c r="E3646" s="924" t="s">
        <v>856</v>
      </c>
      <c r="F3646" s="924" t="s">
        <v>936</v>
      </c>
      <c r="G3646" s="924" t="s">
        <v>911</v>
      </c>
      <c r="H3646" s="924" t="s">
        <v>665</v>
      </c>
      <c r="I3646" s="924" t="s">
        <v>706</v>
      </c>
      <c r="J3646" s="924" t="s">
        <v>863</v>
      </c>
      <c r="K3646" s="924" t="s">
        <v>864</v>
      </c>
      <c r="L3646" s="925">
        <v>1.32085001096129</v>
      </c>
      <c r="M3646" s="925">
        <v>6.1478274119508596E-5</v>
      </c>
    </row>
    <row r="3647" spans="1:13" ht="11.25" customHeight="1" x14ac:dyDescent="0.2">
      <c r="A3647" s="924" t="s">
        <v>853</v>
      </c>
      <c r="B3647" s="924" t="s">
        <v>1196</v>
      </c>
      <c r="C3647" s="924" t="s">
        <v>1197</v>
      </c>
      <c r="D3647" s="924" t="s">
        <v>855</v>
      </c>
      <c r="E3647" s="924" t="s">
        <v>856</v>
      </c>
      <c r="F3647" s="924" t="s">
        <v>1000</v>
      </c>
      <c r="G3647" s="924" t="s">
        <v>858</v>
      </c>
      <c r="H3647" s="924" t="s">
        <v>836</v>
      </c>
      <c r="I3647" s="924" t="s">
        <v>837</v>
      </c>
      <c r="J3647" s="924" t="s">
        <v>875</v>
      </c>
      <c r="K3647" s="924" t="s">
        <v>950</v>
      </c>
      <c r="L3647" s="925">
        <v>7.9805722460150701</v>
      </c>
      <c r="M3647" s="925">
        <v>1.8745523036400901E-4</v>
      </c>
    </row>
    <row r="3648" spans="1:13" ht="11.25" customHeight="1" x14ac:dyDescent="0.2">
      <c r="A3648" s="924" t="s">
        <v>853</v>
      </c>
      <c r="B3648" s="924" t="s">
        <v>1196</v>
      </c>
      <c r="C3648" s="924" t="s">
        <v>1197</v>
      </c>
      <c r="D3648" s="924" t="s">
        <v>855</v>
      </c>
      <c r="E3648" s="924" t="s">
        <v>1164</v>
      </c>
      <c r="F3648" s="924" t="s">
        <v>1167</v>
      </c>
      <c r="G3648" s="924" t="s">
        <v>911</v>
      </c>
      <c r="H3648" s="924" t="s">
        <v>665</v>
      </c>
      <c r="I3648" s="924" t="s">
        <v>706</v>
      </c>
      <c r="J3648" s="924" t="s">
        <v>1166</v>
      </c>
      <c r="K3648" s="924" t="s">
        <v>1166</v>
      </c>
      <c r="L3648" s="925">
        <v>2.9809333733283001E-2</v>
      </c>
      <c r="M3648" s="925">
        <v>1.38169118457654E-6</v>
      </c>
    </row>
    <row r="3649" spans="1:13" ht="11.25" customHeight="1" x14ac:dyDescent="0.2">
      <c r="A3649" s="924" t="s">
        <v>853</v>
      </c>
      <c r="B3649" s="924" t="s">
        <v>1196</v>
      </c>
      <c r="C3649" s="924" t="s">
        <v>1197</v>
      </c>
      <c r="D3649" s="924" t="s">
        <v>855</v>
      </c>
      <c r="E3649" s="924" t="s">
        <v>856</v>
      </c>
      <c r="F3649" s="924" t="s">
        <v>1015</v>
      </c>
      <c r="G3649" s="924" t="s">
        <v>858</v>
      </c>
      <c r="H3649" s="924" t="s">
        <v>836</v>
      </c>
      <c r="I3649" s="924" t="s">
        <v>837</v>
      </c>
      <c r="J3649" s="924" t="s">
        <v>870</v>
      </c>
      <c r="K3649" s="924" t="s">
        <v>1016</v>
      </c>
      <c r="L3649" s="925">
        <v>0.94303533318452504</v>
      </c>
      <c r="M3649" s="925">
        <v>1.1457645555712501E-5</v>
      </c>
    </row>
    <row r="3650" spans="1:13" ht="11.25" customHeight="1" x14ac:dyDescent="0.2">
      <c r="A3650" s="924" t="s">
        <v>853</v>
      </c>
      <c r="B3650" s="924" t="s">
        <v>1196</v>
      </c>
      <c r="C3650" s="924" t="s">
        <v>1197</v>
      </c>
      <c r="D3650" s="924" t="s">
        <v>855</v>
      </c>
      <c r="E3650" s="924" t="s">
        <v>856</v>
      </c>
      <c r="F3650" s="924" t="s">
        <v>958</v>
      </c>
      <c r="G3650" s="924" t="s">
        <v>858</v>
      </c>
      <c r="H3650" s="924" t="s">
        <v>836</v>
      </c>
      <c r="I3650" s="924" t="s">
        <v>837</v>
      </c>
      <c r="J3650" s="924" t="s">
        <v>870</v>
      </c>
      <c r="K3650" s="924" t="s">
        <v>959</v>
      </c>
      <c r="L3650" s="925">
        <v>0.19808737706625801</v>
      </c>
      <c r="M3650" s="925">
        <v>1.8460204615142199E-6</v>
      </c>
    </row>
    <row r="3651" spans="1:13" ht="11.25" customHeight="1" x14ac:dyDescent="0.2">
      <c r="A3651" s="924" t="s">
        <v>853</v>
      </c>
      <c r="B3651" s="924" t="s">
        <v>1196</v>
      </c>
      <c r="C3651" s="924" t="s">
        <v>1197</v>
      </c>
      <c r="D3651" s="924" t="s">
        <v>855</v>
      </c>
      <c r="E3651" s="924" t="s">
        <v>856</v>
      </c>
      <c r="F3651" s="924" t="s">
        <v>960</v>
      </c>
      <c r="G3651" s="924" t="s">
        <v>858</v>
      </c>
      <c r="H3651" s="924" t="s">
        <v>836</v>
      </c>
      <c r="I3651" s="924" t="s">
        <v>837</v>
      </c>
      <c r="J3651" s="924" t="s">
        <v>870</v>
      </c>
      <c r="K3651" s="924" t="s">
        <v>961</v>
      </c>
      <c r="L3651" s="925">
        <v>14.446956805884801</v>
      </c>
      <c r="M3651" s="925">
        <v>1.2818192909502799E-4</v>
      </c>
    </row>
    <row r="3652" spans="1:13" ht="11.25" customHeight="1" x14ac:dyDescent="0.2">
      <c r="A3652" s="924" t="s">
        <v>853</v>
      </c>
      <c r="B3652" s="924" t="s">
        <v>1196</v>
      </c>
      <c r="C3652" s="924" t="s">
        <v>1197</v>
      </c>
      <c r="D3652" s="924" t="s">
        <v>855</v>
      </c>
      <c r="E3652" s="924" t="s">
        <v>856</v>
      </c>
      <c r="F3652" s="924" t="s">
        <v>962</v>
      </c>
      <c r="G3652" s="924" t="s">
        <v>858</v>
      </c>
      <c r="H3652" s="924" t="s">
        <v>836</v>
      </c>
      <c r="I3652" s="924" t="s">
        <v>837</v>
      </c>
      <c r="J3652" s="924" t="s">
        <v>870</v>
      </c>
      <c r="K3652" s="924" t="s">
        <v>963</v>
      </c>
      <c r="L3652" s="925">
        <v>3.9957896893611199E-2</v>
      </c>
      <c r="M3652" s="925">
        <v>2.8400380742629701E-7</v>
      </c>
    </row>
    <row r="3653" spans="1:13" ht="11.25" customHeight="1" x14ac:dyDescent="0.2">
      <c r="A3653" s="924" t="s">
        <v>853</v>
      </c>
      <c r="B3653" s="924" t="s">
        <v>1196</v>
      </c>
      <c r="C3653" s="924" t="s">
        <v>1197</v>
      </c>
      <c r="D3653" s="924" t="s">
        <v>855</v>
      </c>
      <c r="E3653" s="924" t="s">
        <v>856</v>
      </c>
      <c r="F3653" s="924" t="s">
        <v>964</v>
      </c>
      <c r="G3653" s="924" t="s">
        <v>858</v>
      </c>
      <c r="H3653" s="924" t="s">
        <v>836</v>
      </c>
      <c r="I3653" s="924" t="s">
        <v>837</v>
      </c>
      <c r="J3653" s="924" t="s">
        <v>870</v>
      </c>
      <c r="K3653" s="924" t="s">
        <v>965</v>
      </c>
      <c r="L3653" s="925">
        <v>13.355696439742999</v>
      </c>
      <c r="M3653" s="925">
        <v>1.2262558976416899E-4</v>
      </c>
    </row>
    <row r="3654" spans="1:13" ht="11.25" customHeight="1" x14ac:dyDescent="0.2">
      <c r="A3654" s="924" t="s">
        <v>853</v>
      </c>
      <c r="B3654" s="924" t="s">
        <v>1196</v>
      </c>
      <c r="C3654" s="924" t="s">
        <v>1197</v>
      </c>
      <c r="D3654" s="924" t="s">
        <v>855</v>
      </c>
      <c r="E3654" s="924" t="s">
        <v>856</v>
      </c>
      <c r="F3654" s="924" t="s">
        <v>966</v>
      </c>
      <c r="G3654" s="924" t="s">
        <v>858</v>
      </c>
      <c r="H3654" s="924" t="s">
        <v>836</v>
      </c>
      <c r="I3654" s="924" t="s">
        <v>837</v>
      </c>
      <c r="J3654" s="924" t="s">
        <v>870</v>
      </c>
      <c r="K3654" s="924" t="s">
        <v>871</v>
      </c>
      <c r="L3654" s="925">
        <v>37.162694796919801</v>
      </c>
      <c r="M3654" s="925">
        <v>3.22913523060464E-4</v>
      </c>
    </row>
    <row r="3655" spans="1:13" ht="11.25" customHeight="1" x14ac:dyDescent="0.2">
      <c r="A3655" s="924" t="s">
        <v>853</v>
      </c>
      <c r="B3655" s="924" t="s">
        <v>1196</v>
      </c>
      <c r="C3655" s="924" t="s">
        <v>1197</v>
      </c>
      <c r="D3655" s="924" t="s">
        <v>855</v>
      </c>
      <c r="E3655" s="924" t="s">
        <v>856</v>
      </c>
      <c r="F3655" s="924" t="s">
        <v>967</v>
      </c>
      <c r="G3655" s="924" t="s">
        <v>858</v>
      </c>
      <c r="H3655" s="924" t="s">
        <v>836</v>
      </c>
      <c r="I3655" s="924" t="s">
        <v>837</v>
      </c>
      <c r="J3655" s="924" t="s">
        <v>870</v>
      </c>
      <c r="K3655" s="924" t="s">
        <v>873</v>
      </c>
      <c r="L3655" s="925">
        <v>27.389975324273099</v>
      </c>
      <c r="M3655" s="925">
        <v>4.62730366640685E-4</v>
      </c>
    </row>
    <row r="3656" spans="1:13" ht="11.25" customHeight="1" x14ac:dyDescent="0.2">
      <c r="A3656" s="924" t="s">
        <v>853</v>
      </c>
      <c r="B3656" s="924" t="s">
        <v>1196</v>
      </c>
      <c r="C3656" s="924" t="s">
        <v>1197</v>
      </c>
      <c r="D3656" s="924" t="s">
        <v>855</v>
      </c>
      <c r="E3656" s="924" t="s">
        <v>856</v>
      </c>
      <c r="F3656" s="924" t="s">
        <v>968</v>
      </c>
      <c r="G3656" s="924" t="s">
        <v>858</v>
      </c>
      <c r="H3656" s="924" t="s">
        <v>836</v>
      </c>
      <c r="I3656" s="924" t="s">
        <v>837</v>
      </c>
      <c r="J3656" s="924" t="s">
        <v>875</v>
      </c>
      <c r="K3656" s="924" t="s">
        <v>876</v>
      </c>
      <c r="L3656" s="925">
        <v>249.57546067237899</v>
      </c>
      <c r="M3656" s="925">
        <v>6.6896244007921303E-3</v>
      </c>
    </row>
    <row r="3657" spans="1:13" ht="11.25" customHeight="1" x14ac:dyDescent="0.2">
      <c r="A3657" s="924" t="s">
        <v>853</v>
      </c>
      <c r="B3657" s="924" t="s">
        <v>1196</v>
      </c>
      <c r="C3657" s="924" t="s">
        <v>1197</v>
      </c>
      <c r="D3657" s="924" t="s">
        <v>855</v>
      </c>
      <c r="E3657" s="924" t="s">
        <v>856</v>
      </c>
      <c r="F3657" s="924" t="s">
        <v>969</v>
      </c>
      <c r="G3657" s="924" t="s">
        <v>858</v>
      </c>
      <c r="H3657" s="924" t="s">
        <v>836</v>
      </c>
      <c r="I3657" s="924" t="s">
        <v>837</v>
      </c>
      <c r="J3657" s="924" t="s">
        <v>875</v>
      </c>
      <c r="K3657" s="924" t="s">
        <v>878</v>
      </c>
      <c r="L3657" s="925">
        <v>58.903218567371397</v>
      </c>
      <c r="M3657" s="925">
        <v>1.56031053293759E-3</v>
      </c>
    </row>
    <row r="3658" spans="1:13" ht="11.25" customHeight="1" x14ac:dyDescent="0.2">
      <c r="A3658" s="924" t="s">
        <v>853</v>
      </c>
      <c r="B3658" s="924" t="s">
        <v>1196</v>
      </c>
      <c r="C3658" s="924" t="s">
        <v>1197</v>
      </c>
      <c r="D3658" s="924" t="s">
        <v>855</v>
      </c>
      <c r="E3658" s="924" t="s">
        <v>856</v>
      </c>
      <c r="F3658" s="924" t="s">
        <v>975</v>
      </c>
      <c r="G3658" s="924" t="s">
        <v>858</v>
      </c>
      <c r="H3658" s="924" t="s">
        <v>836</v>
      </c>
      <c r="I3658" s="924" t="s">
        <v>837</v>
      </c>
      <c r="J3658" s="924" t="s">
        <v>870</v>
      </c>
      <c r="K3658" s="924" t="s">
        <v>976</v>
      </c>
      <c r="L3658" s="925">
        <v>1898.7930622100801</v>
      </c>
      <c r="M3658" s="925">
        <v>2.84181968783059E-2</v>
      </c>
    </row>
    <row r="3659" spans="1:13" ht="11.25" customHeight="1" x14ac:dyDescent="0.2">
      <c r="A3659" s="924" t="s">
        <v>853</v>
      </c>
      <c r="B3659" s="924" t="s">
        <v>1196</v>
      </c>
      <c r="C3659" s="924" t="s">
        <v>1197</v>
      </c>
      <c r="D3659" s="924" t="s">
        <v>855</v>
      </c>
      <c r="E3659" s="924" t="s">
        <v>856</v>
      </c>
      <c r="F3659" s="924" t="s">
        <v>971</v>
      </c>
      <c r="G3659" s="924" t="s">
        <v>858</v>
      </c>
      <c r="H3659" s="924" t="s">
        <v>836</v>
      </c>
      <c r="I3659" s="924" t="s">
        <v>837</v>
      </c>
      <c r="J3659" s="924" t="s">
        <v>875</v>
      </c>
      <c r="K3659" s="924" t="s">
        <v>948</v>
      </c>
      <c r="L3659" s="925">
        <v>83.043603301048293</v>
      </c>
      <c r="M3659" s="925">
        <v>3.5520613410540101E-3</v>
      </c>
    </row>
    <row r="3660" spans="1:13" ht="11.25" customHeight="1" x14ac:dyDescent="0.2">
      <c r="A3660" s="924" t="s">
        <v>853</v>
      </c>
      <c r="B3660" s="924" t="s">
        <v>1196</v>
      </c>
      <c r="C3660" s="924" t="s">
        <v>1197</v>
      </c>
      <c r="D3660" s="924" t="s">
        <v>855</v>
      </c>
      <c r="E3660" s="924" t="s">
        <v>856</v>
      </c>
      <c r="F3660" s="924" t="s">
        <v>1035</v>
      </c>
      <c r="G3660" s="924" t="s">
        <v>858</v>
      </c>
      <c r="H3660" s="924" t="s">
        <v>836</v>
      </c>
      <c r="I3660" s="924" t="s">
        <v>837</v>
      </c>
      <c r="J3660" s="924" t="s">
        <v>870</v>
      </c>
      <c r="K3660" s="924" t="s">
        <v>1036</v>
      </c>
      <c r="L3660" s="925">
        <v>4.5699139867792803E-2</v>
      </c>
      <c r="M3660" s="925">
        <v>5.5968508355895597E-6</v>
      </c>
    </row>
    <row r="3661" spans="1:13" ht="11.25" customHeight="1" x14ac:dyDescent="0.2">
      <c r="A3661" s="924" t="s">
        <v>853</v>
      </c>
      <c r="B3661" s="924" t="s">
        <v>1196</v>
      </c>
      <c r="C3661" s="924" t="s">
        <v>1197</v>
      </c>
      <c r="D3661" s="924" t="s">
        <v>855</v>
      </c>
      <c r="E3661" s="924" t="s">
        <v>856</v>
      </c>
      <c r="F3661" s="924" t="s">
        <v>974</v>
      </c>
      <c r="G3661" s="924" t="s">
        <v>858</v>
      </c>
      <c r="H3661" s="924" t="s">
        <v>836</v>
      </c>
      <c r="I3661" s="924" t="s">
        <v>837</v>
      </c>
      <c r="J3661" s="924" t="s">
        <v>875</v>
      </c>
      <c r="K3661" s="924" t="s">
        <v>952</v>
      </c>
      <c r="L3661" s="925">
        <v>7.0622176229953801</v>
      </c>
      <c r="M3661" s="925">
        <v>1.59559339838466E-4</v>
      </c>
    </row>
    <row r="3662" spans="1:13" ht="11.25" customHeight="1" x14ac:dyDescent="0.2">
      <c r="A3662" s="924" t="s">
        <v>853</v>
      </c>
      <c r="B3662" s="924" t="s">
        <v>1196</v>
      </c>
      <c r="C3662" s="924" t="s">
        <v>1197</v>
      </c>
      <c r="D3662" s="924" t="s">
        <v>855</v>
      </c>
      <c r="E3662" s="924" t="s">
        <v>856</v>
      </c>
      <c r="F3662" s="924" t="s">
        <v>955</v>
      </c>
      <c r="G3662" s="924" t="s">
        <v>858</v>
      </c>
      <c r="H3662" s="924" t="s">
        <v>836</v>
      </c>
      <c r="I3662" s="924" t="s">
        <v>837</v>
      </c>
      <c r="J3662" s="924" t="s">
        <v>956</v>
      </c>
      <c r="K3662" s="924" t="s">
        <v>957</v>
      </c>
      <c r="L3662" s="925">
        <v>499.71469736099198</v>
      </c>
      <c r="M3662" s="925">
        <v>2.8700412362354698E-3</v>
      </c>
    </row>
    <row r="3663" spans="1:13" ht="11.25" customHeight="1" x14ac:dyDescent="0.2">
      <c r="A3663" s="924" t="s">
        <v>853</v>
      </c>
      <c r="B3663" s="924" t="s">
        <v>1196</v>
      </c>
      <c r="C3663" s="924" t="s">
        <v>1197</v>
      </c>
      <c r="D3663" s="924" t="s">
        <v>855</v>
      </c>
      <c r="E3663" s="924" t="s">
        <v>856</v>
      </c>
      <c r="F3663" s="924" t="s">
        <v>980</v>
      </c>
      <c r="G3663" s="924" t="s">
        <v>981</v>
      </c>
      <c r="H3663" s="924" t="s">
        <v>835</v>
      </c>
      <c r="I3663" s="924" t="s">
        <v>839</v>
      </c>
      <c r="J3663" s="924" t="s">
        <v>982</v>
      </c>
      <c r="K3663" s="924" t="s">
        <v>983</v>
      </c>
      <c r="L3663" s="925">
        <v>9631.6587162017804</v>
      </c>
      <c r="M3663" s="925">
        <v>10.9857581183314</v>
      </c>
    </row>
    <row r="3664" spans="1:13" ht="11.25" customHeight="1" x14ac:dyDescent="0.2">
      <c r="A3664" s="924" t="s">
        <v>853</v>
      </c>
      <c r="B3664" s="924" t="s">
        <v>1196</v>
      </c>
      <c r="C3664" s="924" t="s">
        <v>1197</v>
      </c>
      <c r="D3664" s="924" t="s">
        <v>855</v>
      </c>
      <c r="E3664" s="924" t="s">
        <v>856</v>
      </c>
      <c r="F3664" s="924" t="s">
        <v>984</v>
      </c>
      <c r="G3664" s="924" t="s">
        <v>981</v>
      </c>
      <c r="H3664" s="924" t="s">
        <v>835</v>
      </c>
      <c r="I3664" s="924" t="s">
        <v>839</v>
      </c>
      <c r="J3664" s="924" t="s">
        <v>982</v>
      </c>
      <c r="K3664" s="924" t="s">
        <v>985</v>
      </c>
      <c r="L3664" s="925">
        <v>4069.0794849395802</v>
      </c>
      <c r="M3664" s="925">
        <v>4.5390138207003501</v>
      </c>
    </row>
    <row r="3665" spans="1:13" ht="11.25" customHeight="1" x14ac:dyDescent="0.2">
      <c r="A3665" s="924" t="s">
        <v>853</v>
      </c>
      <c r="B3665" s="924" t="s">
        <v>1196</v>
      </c>
      <c r="C3665" s="924" t="s">
        <v>1197</v>
      </c>
      <c r="D3665" s="924" t="s">
        <v>855</v>
      </c>
      <c r="E3665" s="924" t="s">
        <v>856</v>
      </c>
      <c r="F3665" s="924" t="s">
        <v>986</v>
      </c>
      <c r="G3665" s="924" t="s">
        <v>981</v>
      </c>
      <c r="H3665" s="924" t="s">
        <v>835</v>
      </c>
      <c r="I3665" s="924" t="s">
        <v>839</v>
      </c>
      <c r="J3665" s="924" t="s">
        <v>987</v>
      </c>
      <c r="K3665" s="924" t="s">
        <v>988</v>
      </c>
      <c r="L3665" s="925">
        <v>9715.0698490142804</v>
      </c>
      <c r="M3665" s="925">
        <v>4.8985044872388199</v>
      </c>
    </row>
    <row r="3666" spans="1:13" ht="11.25" customHeight="1" x14ac:dyDescent="0.2">
      <c r="A3666" s="924" t="s">
        <v>853</v>
      </c>
      <c r="B3666" s="924" t="s">
        <v>1196</v>
      </c>
      <c r="C3666" s="924" t="s">
        <v>1197</v>
      </c>
      <c r="D3666" s="924" t="s">
        <v>855</v>
      </c>
      <c r="E3666" s="924" t="s">
        <v>856</v>
      </c>
      <c r="F3666" s="924" t="s">
        <v>989</v>
      </c>
      <c r="G3666" s="924" t="s">
        <v>990</v>
      </c>
      <c r="H3666" s="924" t="s">
        <v>836</v>
      </c>
      <c r="I3666" s="924" t="s">
        <v>839</v>
      </c>
      <c r="J3666" s="924" t="s">
        <v>224</v>
      </c>
      <c r="K3666" s="924" t="s">
        <v>988</v>
      </c>
      <c r="L3666" s="925">
        <v>7650.8640956878698</v>
      </c>
      <c r="M3666" s="925">
        <v>0.26049463625588498</v>
      </c>
    </row>
    <row r="3667" spans="1:13" ht="11.25" customHeight="1" x14ac:dyDescent="0.2">
      <c r="A3667" s="924" t="s">
        <v>853</v>
      </c>
      <c r="B3667" s="924" t="s">
        <v>1196</v>
      </c>
      <c r="C3667" s="924" t="s">
        <v>1197</v>
      </c>
      <c r="D3667" s="924" t="s">
        <v>855</v>
      </c>
      <c r="E3667" s="924" t="s">
        <v>856</v>
      </c>
      <c r="F3667" s="924" t="s">
        <v>991</v>
      </c>
      <c r="G3667" s="924" t="s">
        <v>990</v>
      </c>
      <c r="H3667" s="924" t="s">
        <v>836</v>
      </c>
      <c r="I3667" s="924" t="s">
        <v>839</v>
      </c>
      <c r="J3667" s="924" t="s">
        <v>224</v>
      </c>
      <c r="K3667" s="924" t="s">
        <v>983</v>
      </c>
      <c r="L3667" s="925">
        <v>19.489242002368002</v>
      </c>
      <c r="M3667" s="925">
        <v>1.1637668453321501E-3</v>
      </c>
    </row>
    <row r="3668" spans="1:13" ht="11.25" customHeight="1" x14ac:dyDescent="0.2">
      <c r="A3668" s="924" t="s">
        <v>853</v>
      </c>
      <c r="B3668" s="924" t="s">
        <v>1196</v>
      </c>
      <c r="C3668" s="924" t="s">
        <v>1197</v>
      </c>
      <c r="D3668" s="924" t="s">
        <v>855</v>
      </c>
      <c r="E3668" s="924" t="s">
        <v>1164</v>
      </c>
      <c r="F3668" s="924" t="s">
        <v>1165</v>
      </c>
      <c r="G3668" s="924" t="s">
        <v>981</v>
      </c>
      <c r="H3668" s="924" t="s">
        <v>835</v>
      </c>
      <c r="I3668" s="924" t="s">
        <v>1040</v>
      </c>
      <c r="J3668" s="924" t="s">
        <v>1166</v>
      </c>
      <c r="K3668" s="924" t="s">
        <v>1166</v>
      </c>
      <c r="L3668" s="925">
        <v>5.3437120281159899E-2</v>
      </c>
      <c r="M3668" s="925">
        <v>1.5308174027950399E-5</v>
      </c>
    </row>
    <row r="3669" spans="1:13" ht="11.25" customHeight="1" x14ac:dyDescent="0.2">
      <c r="A3669" s="924" t="s">
        <v>853</v>
      </c>
      <c r="B3669" s="924" t="s">
        <v>1196</v>
      </c>
      <c r="C3669" s="924" t="s">
        <v>1197</v>
      </c>
      <c r="D3669" s="924" t="s">
        <v>855</v>
      </c>
      <c r="E3669" s="924" t="s">
        <v>1164</v>
      </c>
      <c r="F3669" s="924" t="s">
        <v>1168</v>
      </c>
      <c r="G3669" s="924" t="s">
        <v>858</v>
      </c>
      <c r="H3669" s="924" t="s">
        <v>836</v>
      </c>
      <c r="I3669" s="924" t="s">
        <v>837</v>
      </c>
      <c r="J3669" s="924" t="s">
        <v>1166</v>
      </c>
      <c r="K3669" s="924" t="s">
        <v>1166</v>
      </c>
      <c r="L3669" s="925">
        <v>1.65119661018252</v>
      </c>
      <c r="M3669" s="925">
        <v>2.1122607027912499E-5</v>
      </c>
    </row>
    <row r="3670" spans="1:13" ht="11.25" customHeight="1" x14ac:dyDescent="0.2">
      <c r="A3670" s="924" t="s">
        <v>853</v>
      </c>
      <c r="B3670" s="924" t="s">
        <v>1196</v>
      </c>
      <c r="C3670" s="924" t="s">
        <v>1197</v>
      </c>
      <c r="D3670" s="924" t="s">
        <v>855</v>
      </c>
      <c r="E3670" s="924" t="s">
        <v>856</v>
      </c>
      <c r="F3670" s="924" t="s">
        <v>910</v>
      </c>
      <c r="G3670" s="924" t="s">
        <v>911</v>
      </c>
      <c r="H3670" s="924" t="s">
        <v>665</v>
      </c>
      <c r="I3670" s="924" t="s">
        <v>706</v>
      </c>
      <c r="J3670" s="924" t="s">
        <v>859</v>
      </c>
      <c r="K3670" s="924" t="s">
        <v>905</v>
      </c>
      <c r="L3670" s="925">
        <v>1.9691713228821801</v>
      </c>
      <c r="M3670" s="925">
        <v>1.6097907023322499E-3</v>
      </c>
    </row>
    <row r="3671" spans="1:13" ht="11.25" customHeight="1" x14ac:dyDescent="0.2">
      <c r="A3671" s="924" t="s">
        <v>853</v>
      </c>
      <c r="B3671" s="924" t="s">
        <v>1196</v>
      </c>
      <c r="C3671" s="924" t="s">
        <v>1197</v>
      </c>
      <c r="D3671" s="924" t="s">
        <v>855</v>
      </c>
      <c r="E3671" s="924" t="s">
        <v>856</v>
      </c>
      <c r="F3671" s="924" t="s">
        <v>1122</v>
      </c>
      <c r="G3671" s="924" t="s">
        <v>981</v>
      </c>
      <c r="H3671" s="924" t="s">
        <v>835</v>
      </c>
      <c r="I3671" s="924" t="s">
        <v>1040</v>
      </c>
      <c r="J3671" s="924" t="s">
        <v>875</v>
      </c>
      <c r="K3671" s="924" t="s">
        <v>950</v>
      </c>
      <c r="L3671" s="925">
        <v>153.510885000229</v>
      </c>
      <c r="M3671" s="925">
        <v>0.10615920444820399</v>
      </c>
    </row>
    <row r="3672" spans="1:13" ht="11.25" customHeight="1" x14ac:dyDescent="0.2">
      <c r="A3672" s="924" t="s">
        <v>853</v>
      </c>
      <c r="B3672" s="924" t="s">
        <v>1196</v>
      </c>
      <c r="C3672" s="924" t="s">
        <v>1197</v>
      </c>
      <c r="D3672" s="924" t="s">
        <v>855</v>
      </c>
      <c r="E3672" s="924" t="s">
        <v>856</v>
      </c>
      <c r="F3672" s="924" t="s">
        <v>970</v>
      </c>
      <c r="G3672" s="924" t="s">
        <v>858</v>
      </c>
      <c r="H3672" s="924" t="s">
        <v>836</v>
      </c>
      <c r="I3672" s="924" t="s">
        <v>837</v>
      </c>
      <c r="J3672" s="924" t="s">
        <v>875</v>
      </c>
      <c r="K3672" s="924" t="s">
        <v>880</v>
      </c>
      <c r="L3672" s="925">
        <v>163.40354681015</v>
      </c>
      <c r="M3672" s="925">
        <v>3.1752154833384299E-3</v>
      </c>
    </row>
    <row r="3673" spans="1:13" ht="11.25" customHeight="1" x14ac:dyDescent="0.2">
      <c r="A3673" s="924" t="s">
        <v>853</v>
      </c>
      <c r="B3673" s="924" t="s">
        <v>1196</v>
      </c>
      <c r="C3673" s="924" t="s">
        <v>1197</v>
      </c>
      <c r="D3673" s="924" t="s">
        <v>855</v>
      </c>
      <c r="E3673" s="924" t="s">
        <v>856</v>
      </c>
      <c r="F3673" s="924" t="s">
        <v>1038</v>
      </c>
      <c r="G3673" s="924" t="s">
        <v>858</v>
      </c>
      <c r="H3673" s="924" t="s">
        <v>836</v>
      </c>
      <c r="I3673" s="924" t="s">
        <v>837</v>
      </c>
      <c r="J3673" s="924" t="s">
        <v>863</v>
      </c>
      <c r="K3673" s="924" t="s">
        <v>935</v>
      </c>
      <c r="L3673" s="925">
        <v>64.094755709171295</v>
      </c>
      <c r="M3673" s="925">
        <v>6.9368847837125702E-4</v>
      </c>
    </row>
    <row r="3674" spans="1:13" ht="11.25" customHeight="1" x14ac:dyDescent="0.2">
      <c r="A3674" s="924" t="s">
        <v>853</v>
      </c>
      <c r="B3674" s="924" t="s">
        <v>1196</v>
      </c>
      <c r="C3674" s="924" t="s">
        <v>1197</v>
      </c>
      <c r="D3674" s="924" t="s">
        <v>855</v>
      </c>
      <c r="E3674" s="924" t="s">
        <v>856</v>
      </c>
      <c r="F3674" s="924" t="s">
        <v>1071</v>
      </c>
      <c r="G3674" s="924" t="s">
        <v>858</v>
      </c>
      <c r="H3674" s="924" t="s">
        <v>836</v>
      </c>
      <c r="I3674" s="924" t="s">
        <v>837</v>
      </c>
      <c r="J3674" s="924" t="s">
        <v>859</v>
      </c>
      <c r="K3674" s="924" t="s">
        <v>1072</v>
      </c>
      <c r="L3674" s="925">
        <v>1709.5227470397899</v>
      </c>
      <c r="M3674" s="925">
        <v>1.52039838676501E-2</v>
      </c>
    </row>
    <row r="3675" spans="1:13" ht="11.25" customHeight="1" x14ac:dyDescent="0.2">
      <c r="A3675" s="924" t="s">
        <v>853</v>
      </c>
      <c r="B3675" s="924" t="s">
        <v>1196</v>
      </c>
      <c r="C3675" s="924" t="s">
        <v>1197</v>
      </c>
      <c r="D3675" s="924" t="s">
        <v>855</v>
      </c>
      <c r="E3675" s="924" t="s">
        <v>856</v>
      </c>
      <c r="F3675" s="924" t="s">
        <v>953</v>
      </c>
      <c r="G3675" s="924" t="s">
        <v>858</v>
      </c>
      <c r="H3675" s="924" t="s">
        <v>836</v>
      </c>
      <c r="I3675" s="924" t="s">
        <v>837</v>
      </c>
      <c r="J3675" s="924" t="s">
        <v>859</v>
      </c>
      <c r="K3675" s="924" t="s">
        <v>920</v>
      </c>
      <c r="L3675" s="925">
        <v>80.415767014026599</v>
      </c>
      <c r="M3675" s="925">
        <v>1.0372632840471899E-3</v>
      </c>
    </row>
    <row r="3676" spans="1:13" ht="11.25" customHeight="1" x14ac:dyDescent="0.2">
      <c r="A3676" s="924" t="s">
        <v>853</v>
      </c>
      <c r="B3676" s="924" t="s">
        <v>1196</v>
      </c>
      <c r="C3676" s="924" t="s">
        <v>1197</v>
      </c>
      <c r="D3676" s="924" t="s">
        <v>855</v>
      </c>
      <c r="E3676" s="924" t="s">
        <v>856</v>
      </c>
      <c r="F3676" s="924" t="s">
        <v>1002</v>
      </c>
      <c r="G3676" s="924" t="s">
        <v>858</v>
      </c>
      <c r="H3676" s="924" t="s">
        <v>836</v>
      </c>
      <c r="I3676" s="924" t="s">
        <v>837</v>
      </c>
      <c r="J3676" s="924" t="s">
        <v>859</v>
      </c>
      <c r="K3676" s="924" t="s">
        <v>922</v>
      </c>
      <c r="L3676" s="925">
        <v>639.541528701782</v>
      </c>
      <c r="M3676" s="925">
        <v>7.3119004593991104E-3</v>
      </c>
    </row>
    <row r="3677" spans="1:13" ht="11.25" customHeight="1" x14ac:dyDescent="0.2">
      <c r="A3677" s="924" t="s">
        <v>853</v>
      </c>
      <c r="B3677" s="924" t="s">
        <v>1196</v>
      </c>
      <c r="C3677" s="924" t="s">
        <v>1197</v>
      </c>
      <c r="D3677" s="924" t="s">
        <v>855</v>
      </c>
      <c r="E3677" s="924" t="s">
        <v>856</v>
      </c>
      <c r="F3677" s="924" t="s">
        <v>1003</v>
      </c>
      <c r="G3677" s="924" t="s">
        <v>858</v>
      </c>
      <c r="H3677" s="924" t="s">
        <v>836</v>
      </c>
      <c r="I3677" s="924" t="s">
        <v>837</v>
      </c>
      <c r="J3677" s="924" t="s">
        <v>859</v>
      </c>
      <c r="K3677" s="924" t="s">
        <v>924</v>
      </c>
      <c r="L3677" s="925">
        <v>2174.44898986816</v>
      </c>
      <c r="M3677" s="925">
        <v>2.0739439895805799E-2</v>
      </c>
    </row>
    <row r="3678" spans="1:13" ht="11.25" customHeight="1" x14ac:dyDescent="0.2">
      <c r="A3678" s="924" t="s">
        <v>853</v>
      </c>
      <c r="B3678" s="924" t="s">
        <v>1196</v>
      </c>
      <c r="C3678" s="924" t="s">
        <v>1197</v>
      </c>
      <c r="D3678" s="924" t="s">
        <v>855</v>
      </c>
      <c r="E3678" s="924" t="s">
        <v>856</v>
      </c>
      <c r="F3678" s="924" t="s">
        <v>1004</v>
      </c>
      <c r="G3678" s="924" t="s">
        <v>858</v>
      </c>
      <c r="H3678" s="924" t="s">
        <v>836</v>
      </c>
      <c r="I3678" s="924" t="s">
        <v>837</v>
      </c>
      <c r="J3678" s="924" t="s">
        <v>859</v>
      </c>
      <c r="K3678" s="924" t="s">
        <v>926</v>
      </c>
      <c r="L3678" s="925">
        <v>1317.79568099976</v>
      </c>
      <c r="M3678" s="925">
        <v>5.3776232081872898E-2</v>
      </c>
    </row>
    <row r="3679" spans="1:13" ht="11.25" customHeight="1" x14ac:dyDescent="0.2">
      <c r="A3679" s="924" t="s">
        <v>853</v>
      </c>
      <c r="B3679" s="924" t="s">
        <v>1196</v>
      </c>
      <c r="C3679" s="924" t="s">
        <v>1197</v>
      </c>
      <c r="D3679" s="924" t="s">
        <v>855</v>
      </c>
      <c r="E3679" s="924" t="s">
        <v>856</v>
      </c>
      <c r="F3679" s="924" t="s">
        <v>1005</v>
      </c>
      <c r="G3679" s="924" t="s">
        <v>858</v>
      </c>
      <c r="H3679" s="924" t="s">
        <v>836</v>
      </c>
      <c r="I3679" s="924" t="s">
        <v>837</v>
      </c>
      <c r="J3679" s="924" t="s">
        <v>859</v>
      </c>
      <c r="K3679" s="924" t="s">
        <v>1006</v>
      </c>
      <c r="L3679" s="925">
        <v>1988.9379539489701</v>
      </c>
      <c r="M3679" s="925">
        <v>1.5405337022230001E-2</v>
      </c>
    </row>
    <row r="3680" spans="1:13" ht="11.25" customHeight="1" x14ac:dyDescent="0.2">
      <c r="A3680" s="924" t="s">
        <v>853</v>
      </c>
      <c r="B3680" s="924" t="s">
        <v>1196</v>
      </c>
      <c r="C3680" s="924" t="s">
        <v>1197</v>
      </c>
      <c r="D3680" s="924" t="s">
        <v>855</v>
      </c>
      <c r="E3680" s="924" t="s">
        <v>856</v>
      </c>
      <c r="F3680" s="924" t="s">
        <v>1007</v>
      </c>
      <c r="G3680" s="924" t="s">
        <v>858</v>
      </c>
      <c r="H3680" s="924" t="s">
        <v>836</v>
      </c>
      <c r="I3680" s="924" t="s">
        <v>837</v>
      </c>
      <c r="J3680" s="924" t="s">
        <v>859</v>
      </c>
      <c r="K3680" s="924" t="s">
        <v>928</v>
      </c>
      <c r="L3680" s="925">
        <v>915.67667198181198</v>
      </c>
      <c r="M3680" s="925">
        <v>3.99285247658554E-2</v>
      </c>
    </row>
    <row r="3681" spans="1:13" ht="11.25" customHeight="1" x14ac:dyDescent="0.2">
      <c r="A3681" s="924" t="s">
        <v>853</v>
      </c>
      <c r="B3681" s="924" t="s">
        <v>1196</v>
      </c>
      <c r="C3681" s="924" t="s">
        <v>1197</v>
      </c>
      <c r="D3681" s="924" t="s">
        <v>855</v>
      </c>
      <c r="E3681" s="924" t="s">
        <v>856</v>
      </c>
      <c r="F3681" s="924" t="s">
        <v>1008</v>
      </c>
      <c r="G3681" s="924" t="s">
        <v>858</v>
      </c>
      <c r="H3681" s="924" t="s">
        <v>836</v>
      </c>
      <c r="I3681" s="924" t="s">
        <v>837</v>
      </c>
      <c r="J3681" s="924" t="s">
        <v>859</v>
      </c>
      <c r="K3681" s="924" t="s">
        <v>1009</v>
      </c>
      <c r="L3681" s="925">
        <v>213.463082313538</v>
      </c>
      <c r="M3681" s="925">
        <v>1.7390179988865399E-3</v>
      </c>
    </row>
    <row r="3682" spans="1:13" ht="11.25" customHeight="1" x14ac:dyDescent="0.2">
      <c r="A3682" s="924" t="s">
        <v>853</v>
      </c>
      <c r="B3682" s="924" t="s">
        <v>1196</v>
      </c>
      <c r="C3682" s="924" t="s">
        <v>1197</v>
      </c>
      <c r="D3682" s="924" t="s">
        <v>855</v>
      </c>
      <c r="E3682" s="924" t="s">
        <v>856</v>
      </c>
      <c r="F3682" s="924" t="s">
        <v>1010</v>
      </c>
      <c r="G3682" s="924" t="s">
        <v>858</v>
      </c>
      <c r="H3682" s="924" t="s">
        <v>836</v>
      </c>
      <c r="I3682" s="924" t="s">
        <v>837</v>
      </c>
      <c r="J3682" s="924" t="s">
        <v>859</v>
      </c>
      <c r="K3682" s="924" t="s">
        <v>1011</v>
      </c>
      <c r="L3682" s="925">
        <v>2.8015385866165201</v>
      </c>
      <c r="M3682" s="925">
        <v>1.2891081621368999E-4</v>
      </c>
    </row>
    <row r="3683" spans="1:13" ht="11.25" customHeight="1" x14ac:dyDescent="0.2">
      <c r="A3683" s="924" t="s">
        <v>853</v>
      </c>
      <c r="B3683" s="924" t="s">
        <v>1196</v>
      </c>
      <c r="C3683" s="924" t="s">
        <v>1197</v>
      </c>
      <c r="D3683" s="924" t="s">
        <v>855</v>
      </c>
      <c r="E3683" s="924" t="s">
        <v>856</v>
      </c>
      <c r="F3683" s="924" t="s">
        <v>1012</v>
      </c>
      <c r="G3683" s="924" t="s">
        <v>858</v>
      </c>
      <c r="H3683" s="924" t="s">
        <v>836</v>
      </c>
      <c r="I3683" s="924" t="s">
        <v>837</v>
      </c>
      <c r="J3683" s="924" t="s">
        <v>859</v>
      </c>
      <c r="K3683" s="924" t="s">
        <v>891</v>
      </c>
      <c r="L3683" s="925">
        <v>205.313474655151</v>
      </c>
      <c r="M3683" s="925">
        <v>2.7212757395318498E-3</v>
      </c>
    </row>
    <row r="3684" spans="1:13" ht="11.25" customHeight="1" x14ac:dyDescent="0.2">
      <c r="A3684" s="924" t="s">
        <v>853</v>
      </c>
      <c r="B3684" s="924" t="s">
        <v>1196</v>
      </c>
      <c r="C3684" s="924" t="s">
        <v>1197</v>
      </c>
      <c r="D3684" s="924" t="s">
        <v>855</v>
      </c>
      <c r="E3684" s="924" t="s">
        <v>856</v>
      </c>
      <c r="F3684" s="924" t="s">
        <v>1018</v>
      </c>
      <c r="G3684" s="924" t="s">
        <v>858</v>
      </c>
      <c r="H3684" s="924" t="s">
        <v>836</v>
      </c>
      <c r="I3684" s="924" t="s">
        <v>837</v>
      </c>
      <c r="J3684" s="924" t="s">
        <v>870</v>
      </c>
      <c r="K3684" s="924" t="s">
        <v>1019</v>
      </c>
      <c r="L3684" s="925">
        <v>170.296188414097</v>
      </c>
      <c r="M3684" s="925">
        <v>1.2798491780543499E-3</v>
      </c>
    </row>
    <row r="3685" spans="1:13" ht="11.25" customHeight="1" x14ac:dyDescent="0.2">
      <c r="A3685" s="924" t="s">
        <v>853</v>
      </c>
      <c r="B3685" s="924" t="s">
        <v>1196</v>
      </c>
      <c r="C3685" s="924" t="s">
        <v>1197</v>
      </c>
      <c r="D3685" s="924" t="s">
        <v>855</v>
      </c>
      <c r="E3685" s="924" t="s">
        <v>856</v>
      </c>
      <c r="F3685" s="924" t="s">
        <v>1014</v>
      </c>
      <c r="G3685" s="924" t="s">
        <v>858</v>
      </c>
      <c r="H3685" s="924" t="s">
        <v>836</v>
      </c>
      <c r="I3685" s="924" t="s">
        <v>837</v>
      </c>
      <c r="J3685" s="924" t="s">
        <v>863</v>
      </c>
      <c r="K3685" s="924" t="s">
        <v>933</v>
      </c>
      <c r="L3685" s="925">
        <v>146.73134279251099</v>
      </c>
      <c r="M3685" s="925">
        <v>1.0387912944764799E-3</v>
      </c>
    </row>
    <row r="3686" spans="1:13" ht="11.25" customHeight="1" x14ac:dyDescent="0.2">
      <c r="A3686" s="924" t="s">
        <v>853</v>
      </c>
      <c r="B3686" s="924" t="s">
        <v>1196</v>
      </c>
      <c r="C3686" s="924" t="s">
        <v>1197</v>
      </c>
      <c r="D3686" s="924" t="s">
        <v>855</v>
      </c>
      <c r="E3686" s="924" t="s">
        <v>856</v>
      </c>
      <c r="F3686" s="924" t="s">
        <v>886</v>
      </c>
      <c r="G3686" s="924" t="s">
        <v>858</v>
      </c>
      <c r="H3686" s="924" t="s">
        <v>836</v>
      </c>
      <c r="I3686" s="924" t="s">
        <v>837</v>
      </c>
      <c r="J3686" s="924" t="s">
        <v>859</v>
      </c>
      <c r="K3686" s="924" t="s">
        <v>887</v>
      </c>
      <c r="L3686" s="925">
        <v>496.990537166595</v>
      </c>
      <c r="M3686" s="925">
        <v>3.6782015278618001E-3</v>
      </c>
    </row>
    <row r="3687" spans="1:13" ht="11.25" customHeight="1" x14ac:dyDescent="0.2">
      <c r="A3687" s="924" t="s">
        <v>853</v>
      </c>
      <c r="B3687" s="924" t="s">
        <v>1196</v>
      </c>
      <c r="C3687" s="924" t="s">
        <v>1197</v>
      </c>
      <c r="D3687" s="924" t="s">
        <v>855</v>
      </c>
      <c r="E3687" s="924" t="s">
        <v>856</v>
      </c>
      <c r="F3687" s="924" t="s">
        <v>1017</v>
      </c>
      <c r="G3687" s="924" t="s">
        <v>858</v>
      </c>
      <c r="H3687" s="924" t="s">
        <v>836</v>
      </c>
      <c r="I3687" s="924" t="s">
        <v>837</v>
      </c>
      <c r="J3687" s="924" t="s">
        <v>863</v>
      </c>
      <c r="K3687" s="924" t="s">
        <v>864</v>
      </c>
      <c r="L3687" s="925">
        <v>65.001340389251695</v>
      </c>
      <c r="M3687" s="925">
        <v>8.8154770006099203E-4</v>
      </c>
    </row>
    <row r="3688" spans="1:13" ht="11.25" customHeight="1" x14ac:dyDescent="0.2">
      <c r="A3688" s="924" t="s">
        <v>853</v>
      </c>
      <c r="B3688" s="924" t="s">
        <v>1196</v>
      </c>
      <c r="C3688" s="924" t="s">
        <v>1197</v>
      </c>
      <c r="D3688" s="924" t="s">
        <v>855</v>
      </c>
      <c r="E3688" s="924" t="s">
        <v>856</v>
      </c>
      <c r="F3688" s="924" t="s">
        <v>1001</v>
      </c>
      <c r="G3688" s="924" t="s">
        <v>858</v>
      </c>
      <c r="H3688" s="924" t="s">
        <v>836</v>
      </c>
      <c r="I3688" s="924" t="s">
        <v>837</v>
      </c>
      <c r="J3688" s="924" t="s">
        <v>863</v>
      </c>
      <c r="K3688" s="924" t="s">
        <v>915</v>
      </c>
      <c r="L3688" s="925">
        <v>2.5087670572102101</v>
      </c>
      <c r="M3688" s="925">
        <v>7.6653519878178104E-5</v>
      </c>
    </row>
    <row r="3689" spans="1:13" ht="11.25" customHeight="1" x14ac:dyDescent="0.2">
      <c r="A3689" s="924" t="s">
        <v>853</v>
      </c>
      <c r="B3689" s="924" t="s">
        <v>1196</v>
      </c>
      <c r="C3689" s="924" t="s">
        <v>1197</v>
      </c>
      <c r="D3689" s="924" t="s">
        <v>855</v>
      </c>
      <c r="E3689" s="924" t="s">
        <v>856</v>
      </c>
      <c r="F3689" s="924" t="s">
        <v>1020</v>
      </c>
      <c r="G3689" s="924" t="s">
        <v>858</v>
      </c>
      <c r="H3689" s="924" t="s">
        <v>836</v>
      </c>
      <c r="I3689" s="924" t="s">
        <v>837</v>
      </c>
      <c r="J3689" s="924" t="s">
        <v>863</v>
      </c>
      <c r="K3689" s="924" t="s">
        <v>866</v>
      </c>
      <c r="L3689" s="925">
        <v>1811.3604316711401</v>
      </c>
      <c r="M3689" s="925">
        <v>4.3966361894035799E-2</v>
      </c>
    </row>
    <row r="3690" spans="1:13" ht="11.25" customHeight="1" x14ac:dyDescent="0.2">
      <c r="A3690" s="924" t="s">
        <v>853</v>
      </c>
      <c r="B3690" s="924" t="s">
        <v>1196</v>
      </c>
      <c r="C3690" s="924" t="s">
        <v>1197</v>
      </c>
      <c r="D3690" s="924" t="s">
        <v>855</v>
      </c>
      <c r="E3690" s="924" t="s">
        <v>856</v>
      </c>
      <c r="F3690" s="924" t="s">
        <v>1021</v>
      </c>
      <c r="G3690" s="924" t="s">
        <v>858</v>
      </c>
      <c r="H3690" s="924" t="s">
        <v>836</v>
      </c>
      <c r="I3690" s="924" t="s">
        <v>837</v>
      </c>
      <c r="J3690" s="924" t="s">
        <v>863</v>
      </c>
      <c r="K3690" s="924" t="s">
        <v>868</v>
      </c>
      <c r="L3690" s="925">
        <v>92.477404832839994</v>
      </c>
      <c r="M3690" s="925">
        <v>4.9708242275414705E-4</v>
      </c>
    </row>
    <row r="3691" spans="1:13" ht="11.25" customHeight="1" x14ac:dyDescent="0.2">
      <c r="A3691" s="924" t="s">
        <v>853</v>
      </c>
      <c r="B3691" s="924" t="s">
        <v>1196</v>
      </c>
      <c r="C3691" s="924" t="s">
        <v>1197</v>
      </c>
      <c r="D3691" s="924" t="s">
        <v>855</v>
      </c>
      <c r="E3691" s="924" t="s">
        <v>856</v>
      </c>
      <c r="F3691" s="924" t="s">
        <v>1022</v>
      </c>
      <c r="G3691" s="924" t="s">
        <v>858</v>
      </c>
      <c r="H3691" s="924" t="s">
        <v>836</v>
      </c>
      <c r="I3691" s="924" t="s">
        <v>837</v>
      </c>
      <c r="J3691" s="924" t="s">
        <v>940</v>
      </c>
      <c r="K3691" s="924" t="s">
        <v>1023</v>
      </c>
      <c r="L3691" s="925">
        <v>2.8174828592455001E-2</v>
      </c>
      <c r="M3691" s="925">
        <v>1.26558703282542E-6</v>
      </c>
    </row>
    <row r="3692" spans="1:13" ht="11.25" customHeight="1" x14ac:dyDescent="0.2">
      <c r="A3692" s="924" t="s">
        <v>853</v>
      </c>
      <c r="B3692" s="924" t="s">
        <v>1196</v>
      </c>
      <c r="C3692" s="924" t="s">
        <v>1197</v>
      </c>
      <c r="D3692" s="924" t="s">
        <v>855</v>
      </c>
      <c r="E3692" s="924" t="s">
        <v>856</v>
      </c>
      <c r="F3692" s="924" t="s">
        <v>1024</v>
      </c>
      <c r="G3692" s="924" t="s">
        <v>858</v>
      </c>
      <c r="H3692" s="924" t="s">
        <v>836</v>
      </c>
      <c r="I3692" s="924" t="s">
        <v>837</v>
      </c>
      <c r="J3692" s="924" t="s">
        <v>940</v>
      </c>
      <c r="K3692" s="924" t="s">
        <v>1025</v>
      </c>
      <c r="L3692" s="925">
        <v>7.4816777110099801</v>
      </c>
      <c r="M3692" s="925">
        <v>1.2307386157317499E-4</v>
      </c>
    </row>
    <row r="3693" spans="1:13" ht="11.25" customHeight="1" x14ac:dyDescent="0.2">
      <c r="A3693" s="924" t="s">
        <v>853</v>
      </c>
      <c r="B3693" s="924" t="s">
        <v>1196</v>
      </c>
      <c r="C3693" s="924" t="s">
        <v>1197</v>
      </c>
      <c r="D3693" s="924" t="s">
        <v>855</v>
      </c>
      <c r="E3693" s="924" t="s">
        <v>856</v>
      </c>
      <c r="F3693" s="924" t="s">
        <v>1026</v>
      </c>
      <c r="G3693" s="924" t="s">
        <v>858</v>
      </c>
      <c r="H3693" s="924" t="s">
        <v>836</v>
      </c>
      <c r="I3693" s="924" t="s">
        <v>837</v>
      </c>
      <c r="J3693" s="924" t="s">
        <v>940</v>
      </c>
      <c r="K3693" s="924" t="s">
        <v>1027</v>
      </c>
      <c r="L3693" s="925">
        <v>197.48197025060699</v>
      </c>
      <c r="M3693" s="925">
        <v>8.3349567364479106E-3</v>
      </c>
    </row>
    <row r="3694" spans="1:13" ht="11.25" customHeight="1" x14ac:dyDescent="0.2">
      <c r="A3694" s="924" t="s">
        <v>853</v>
      </c>
      <c r="B3694" s="924" t="s">
        <v>1196</v>
      </c>
      <c r="C3694" s="924" t="s">
        <v>1197</v>
      </c>
      <c r="D3694" s="924" t="s">
        <v>855</v>
      </c>
      <c r="E3694" s="924" t="s">
        <v>856</v>
      </c>
      <c r="F3694" s="924" t="s">
        <v>1028</v>
      </c>
      <c r="G3694" s="924" t="s">
        <v>858</v>
      </c>
      <c r="H3694" s="924" t="s">
        <v>836</v>
      </c>
      <c r="I3694" s="924" t="s">
        <v>837</v>
      </c>
      <c r="J3694" s="924" t="s">
        <v>940</v>
      </c>
      <c r="K3694" s="924" t="s">
        <v>1029</v>
      </c>
      <c r="L3694" s="925">
        <v>40.7603141516447</v>
      </c>
      <c r="M3694" s="925">
        <v>2.2110073240870802E-3</v>
      </c>
    </row>
    <row r="3695" spans="1:13" ht="11.25" customHeight="1" x14ac:dyDescent="0.2">
      <c r="A3695" s="924" t="s">
        <v>853</v>
      </c>
      <c r="B3695" s="924" t="s">
        <v>1196</v>
      </c>
      <c r="C3695" s="924" t="s">
        <v>1197</v>
      </c>
      <c r="D3695" s="924" t="s">
        <v>855</v>
      </c>
      <c r="E3695" s="924" t="s">
        <v>856</v>
      </c>
      <c r="F3695" s="924" t="s">
        <v>1030</v>
      </c>
      <c r="G3695" s="924" t="s">
        <v>858</v>
      </c>
      <c r="H3695" s="924" t="s">
        <v>836</v>
      </c>
      <c r="I3695" s="924" t="s">
        <v>837</v>
      </c>
      <c r="J3695" s="924" t="s">
        <v>940</v>
      </c>
      <c r="K3695" s="924" t="s">
        <v>941</v>
      </c>
      <c r="L3695" s="925">
        <v>269.211244702339</v>
      </c>
      <c r="M3695" s="925">
        <v>5.0570159774849799E-3</v>
      </c>
    </row>
    <row r="3696" spans="1:13" ht="11.25" customHeight="1" x14ac:dyDescent="0.2">
      <c r="A3696" s="924" t="s">
        <v>853</v>
      </c>
      <c r="B3696" s="924" t="s">
        <v>1196</v>
      </c>
      <c r="C3696" s="924" t="s">
        <v>1197</v>
      </c>
      <c r="D3696" s="924" t="s">
        <v>855</v>
      </c>
      <c r="E3696" s="924" t="s">
        <v>856</v>
      </c>
      <c r="F3696" s="924" t="s">
        <v>1031</v>
      </c>
      <c r="G3696" s="924" t="s">
        <v>858</v>
      </c>
      <c r="H3696" s="924" t="s">
        <v>836</v>
      </c>
      <c r="I3696" s="924" t="s">
        <v>837</v>
      </c>
      <c r="J3696" s="924" t="s">
        <v>940</v>
      </c>
      <c r="K3696" s="924" t="s">
        <v>1032</v>
      </c>
      <c r="L3696" s="925">
        <v>31.715403124690098</v>
      </c>
      <c r="M3696" s="925">
        <v>6.6174476863878296E-4</v>
      </c>
    </row>
    <row r="3697" spans="1:13" ht="11.25" customHeight="1" x14ac:dyDescent="0.2">
      <c r="A3697" s="924" t="s">
        <v>853</v>
      </c>
      <c r="B3697" s="924" t="s">
        <v>1196</v>
      </c>
      <c r="C3697" s="924" t="s">
        <v>1197</v>
      </c>
      <c r="D3697" s="924" t="s">
        <v>855</v>
      </c>
      <c r="E3697" s="924" t="s">
        <v>856</v>
      </c>
      <c r="F3697" s="924" t="s">
        <v>1033</v>
      </c>
      <c r="G3697" s="924" t="s">
        <v>858</v>
      </c>
      <c r="H3697" s="924" t="s">
        <v>836</v>
      </c>
      <c r="I3697" s="924" t="s">
        <v>837</v>
      </c>
      <c r="J3697" s="924" t="s">
        <v>940</v>
      </c>
      <c r="K3697" s="924" t="s">
        <v>1034</v>
      </c>
      <c r="L3697" s="925">
        <v>0.805403096601367</v>
      </c>
      <c r="M3697" s="925">
        <v>2.6411241223378601E-5</v>
      </c>
    </row>
    <row r="3698" spans="1:13" ht="11.25" customHeight="1" x14ac:dyDescent="0.2">
      <c r="A3698" s="924" t="s">
        <v>853</v>
      </c>
      <c r="B3698" s="924" t="s">
        <v>1196</v>
      </c>
      <c r="C3698" s="924" t="s">
        <v>1197</v>
      </c>
      <c r="D3698" s="924" t="s">
        <v>855</v>
      </c>
      <c r="E3698" s="924" t="s">
        <v>856</v>
      </c>
      <c r="F3698" s="924" t="s">
        <v>1013</v>
      </c>
      <c r="G3698" s="924" t="s">
        <v>858</v>
      </c>
      <c r="H3698" s="924" t="s">
        <v>836</v>
      </c>
      <c r="I3698" s="924" t="s">
        <v>837</v>
      </c>
      <c r="J3698" s="924" t="s">
        <v>863</v>
      </c>
      <c r="K3698" s="924" t="s">
        <v>931</v>
      </c>
      <c r="L3698" s="925">
        <v>10.1283736377954</v>
      </c>
      <c r="M3698" s="925">
        <v>3.7022856041346602E-4</v>
      </c>
    </row>
    <row r="3699" spans="1:13" ht="11.25" customHeight="1" x14ac:dyDescent="0.2">
      <c r="A3699" s="924" t="s">
        <v>853</v>
      </c>
      <c r="B3699" s="924" t="s">
        <v>1196</v>
      </c>
      <c r="C3699" s="924" t="s">
        <v>1197</v>
      </c>
      <c r="D3699" s="924" t="s">
        <v>855</v>
      </c>
      <c r="E3699" s="924" t="s">
        <v>856</v>
      </c>
      <c r="F3699" s="924" t="s">
        <v>1057</v>
      </c>
      <c r="G3699" s="924" t="s">
        <v>981</v>
      </c>
      <c r="H3699" s="924" t="s">
        <v>835</v>
      </c>
      <c r="I3699" s="924" t="s">
        <v>1040</v>
      </c>
      <c r="J3699" s="924" t="s">
        <v>859</v>
      </c>
      <c r="K3699" s="924" t="s">
        <v>903</v>
      </c>
      <c r="L3699" s="925">
        <v>34.8008296489716</v>
      </c>
      <c r="M3699" s="925">
        <v>2.14220393063442E-2</v>
      </c>
    </row>
    <row r="3700" spans="1:13" ht="11.25" customHeight="1" x14ac:dyDescent="0.2">
      <c r="A3700" s="924" t="s">
        <v>853</v>
      </c>
      <c r="B3700" s="924" t="s">
        <v>1196</v>
      </c>
      <c r="C3700" s="924" t="s">
        <v>1197</v>
      </c>
      <c r="D3700" s="924" t="s">
        <v>855</v>
      </c>
      <c r="E3700" s="924" t="s">
        <v>856</v>
      </c>
      <c r="F3700" s="924" t="s">
        <v>1042</v>
      </c>
      <c r="G3700" s="924" t="s">
        <v>981</v>
      </c>
      <c r="H3700" s="924" t="s">
        <v>835</v>
      </c>
      <c r="I3700" s="924" t="s">
        <v>998</v>
      </c>
      <c r="J3700" s="924" t="s">
        <v>956</v>
      </c>
      <c r="K3700" s="924" t="s">
        <v>1043</v>
      </c>
      <c r="L3700" s="925">
        <v>9.18877160549164</v>
      </c>
      <c r="M3700" s="925">
        <v>1.5915997952106398E-2</v>
      </c>
    </row>
    <row r="3701" spans="1:13" ht="11.25" customHeight="1" x14ac:dyDescent="0.2">
      <c r="A3701" s="924" t="s">
        <v>853</v>
      </c>
      <c r="B3701" s="924" t="s">
        <v>1196</v>
      </c>
      <c r="C3701" s="924" t="s">
        <v>1197</v>
      </c>
      <c r="D3701" s="924" t="s">
        <v>855</v>
      </c>
      <c r="E3701" s="924" t="s">
        <v>856</v>
      </c>
      <c r="F3701" s="924" t="s">
        <v>1044</v>
      </c>
      <c r="G3701" s="924" t="s">
        <v>981</v>
      </c>
      <c r="H3701" s="924" t="s">
        <v>835</v>
      </c>
      <c r="I3701" s="924" t="s">
        <v>1040</v>
      </c>
      <c r="J3701" s="924" t="s">
        <v>884</v>
      </c>
      <c r="K3701" s="924" t="s">
        <v>999</v>
      </c>
      <c r="L3701" s="925">
        <v>57.3732395172119</v>
      </c>
      <c r="M3701" s="925">
        <v>7.8852123479009606E-2</v>
      </c>
    </row>
    <row r="3702" spans="1:13" ht="11.25" customHeight="1" x14ac:dyDescent="0.2">
      <c r="A3702" s="924" t="s">
        <v>853</v>
      </c>
      <c r="B3702" s="924" t="s">
        <v>1196</v>
      </c>
      <c r="C3702" s="924" t="s">
        <v>1197</v>
      </c>
      <c r="D3702" s="924" t="s">
        <v>855</v>
      </c>
      <c r="E3702" s="924" t="s">
        <v>856</v>
      </c>
      <c r="F3702" s="924" t="s">
        <v>1045</v>
      </c>
      <c r="G3702" s="924" t="s">
        <v>981</v>
      </c>
      <c r="H3702" s="924" t="s">
        <v>835</v>
      </c>
      <c r="I3702" s="924" t="s">
        <v>1040</v>
      </c>
      <c r="J3702" s="924" t="s">
        <v>884</v>
      </c>
      <c r="K3702" s="924" t="s">
        <v>1046</v>
      </c>
      <c r="L3702" s="925">
        <v>545.926413536072</v>
      </c>
      <c r="M3702" s="925">
        <v>0.556283796075149</v>
      </c>
    </row>
    <row r="3703" spans="1:13" ht="11.25" customHeight="1" x14ac:dyDescent="0.2">
      <c r="A3703" s="924" t="s">
        <v>853</v>
      </c>
      <c r="B3703" s="924" t="s">
        <v>1196</v>
      </c>
      <c r="C3703" s="924" t="s">
        <v>1197</v>
      </c>
      <c r="D3703" s="924" t="s">
        <v>855</v>
      </c>
      <c r="E3703" s="924" t="s">
        <v>856</v>
      </c>
      <c r="F3703" s="924" t="s">
        <v>1047</v>
      </c>
      <c r="G3703" s="924" t="s">
        <v>981</v>
      </c>
      <c r="H3703" s="924" t="s">
        <v>835</v>
      </c>
      <c r="I3703" s="924" t="s">
        <v>1040</v>
      </c>
      <c r="J3703" s="924" t="s">
        <v>884</v>
      </c>
      <c r="K3703" s="924" t="s">
        <v>1048</v>
      </c>
      <c r="L3703" s="925">
        <v>93.241555929184003</v>
      </c>
      <c r="M3703" s="925">
        <v>6.9971917080692905E-2</v>
      </c>
    </row>
    <row r="3704" spans="1:13" ht="11.25" customHeight="1" x14ac:dyDescent="0.2">
      <c r="A3704" s="924" t="s">
        <v>853</v>
      </c>
      <c r="B3704" s="924" t="s">
        <v>1196</v>
      </c>
      <c r="C3704" s="924" t="s">
        <v>1197</v>
      </c>
      <c r="D3704" s="924" t="s">
        <v>855</v>
      </c>
      <c r="E3704" s="924" t="s">
        <v>856</v>
      </c>
      <c r="F3704" s="924" t="s">
        <v>1049</v>
      </c>
      <c r="G3704" s="924" t="s">
        <v>981</v>
      </c>
      <c r="H3704" s="924" t="s">
        <v>835</v>
      </c>
      <c r="I3704" s="924" t="s">
        <v>1040</v>
      </c>
      <c r="J3704" s="924" t="s">
        <v>884</v>
      </c>
      <c r="K3704" s="924" t="s">
        <v>885</v>
      </c>
      <c r="L3704" s="925">
        <v>71.882183790206895</v>
      </c>
      <c r="M3704" s="925">
        <v>6.8202628885046607E-2</v>
      </c>
    </row>
    <row r="3705" spans="1:13" ht="11.25" customHeight="1" x14ac:dyDescent="0.2">
      <c r="A3705" s="924" t="s">
        <v>853</v>
      </c>
      <c r="B3705" s="924" t="s">
        <v>1196</v>
      </c>
      <c r="C3705" s="924" t="s">
        <v>1197</v>
      </c>
      <c r="D3705" s="924" t="s">
        <v>855</v>
      </c>
      <c r="E3705" s="924" t="s">
        <v>856</v>
      </c>
      <c r="F3705" s="924" t="s">
        <v>1050</v>
      </c>
      <c r="G3705" s="924" t="s">
        <v>981</v>
      </c>
      <c r="H3705" s="924" t="s">
        <v>835</v>
      </c>
      <c r="I3705" s="924" t="s">
        <v>1040</v>
      </c>
      <c r="J3705" s="924" t="s">
        <v>859</v>
      </c>
      <c r="K3705" s="924" t="s">
        <v>913</v>
      </c>
      <c r="L3705" s="925">
        <v>11.191158801317201</v>
      </c>
      <c r="M3705" s="925">
        <v>6.61305584981164E-3</v>
      </c>
    </row>
    <row r="3706" spans="1:13" ht="11.25" customHeight="1" x14ac:dyDescent="0.2">
      <c r="A3706" s="924" t="s">
        <v>853</v>
      </c>
      <c r="B3706" s="924" t="s">
        <v>1196</v>
      </c>
      <c r="C3706" s="924" t="s">
        <v>1197</v>
      </c>
      <c r="D3706" s="924" t="s">
        <v>855</v>
      </c>
      <c r="E3706" s="924" t="s">
        <v>856</v>
      </c>
      <c r="F3706" s="924" t="s">
        <v>1051</v>
      </c>
      <c r="G3706" s="924" t="s">
        <v>981</v>
      </c>
      <c r="H3706" s="924" t="s">
        <v>835</v>
      </c>
      <c r="I3706" s="924" t="s">
        <v>1040</v>
      </c>
      <c r="J3706" s="924" t="s">
        <v>859</v>
      </c>
      <c r="K3706" s="924" t="s">
        <v>889</v>
      </c>
      <c r="L3706" s="925">
        <v>8.3745567826554193E-2</v>
      </c>
      <c r="M3706" s="925">
        <v>5.4321458264894298E-5</v>
      </c>
    </row>
    <row r="3707" spans="1:13" ht="11.25" customHeight="1" x14ac:dyDescent="0.2">
      <c r="A3707" s="924" t="s">
        <v>853</v>
      </c>
      <c r="B3707" s="924" t="s">
        <v>1196</v>
      </c>
      <c r="C3707" s="924" t="s">
        <v>1197</v>
      </c>
      <c r="D3707" s="924" t="s">
        <v>855</v>
      </c>
      <c r="E3707" s="924" t="s">
        <v>856</v>
      </c>
      <c r="F3707" s="924" t="s">
        <v>1052</v>
      </c>
      <c r="G3707" s="924" t="s">
        <v>981</v>
      </c>
      <c r="H3707" s="924" t="s">
        <v>835</v>
      </c>
      <c r="I3707" s="924" t="s">
        <v>1040</v>
      </c>
      <c r="J3707" s="924" t="s">
        <v>859</v>
      </c>
      <c r="K3707" s="924" t="s">
        <v>860</v>
      </c>
      <c r="L3707" s="925">
        <v>21.078950732946399</v>
      </c>
      <c r="M3707" s="925">
        <v>1.4838952833088099E-2</v>
      </c>
    </row>
    <row r="3708" spans="1:13" ht="11.25" customHeight="1" x14ac:dyDescent="0.2">
      <c r="A3708" s="924" t="s">
        <v>853</v>
      </c>
      <c r="B3708" s="924" t="s">
        <v>1196</v>
      </c>
      <c r="C3708" s="924" t="s">
        <v>1197</v>
      </c>
      <c r="D3708" s="924" t="s">
        <v>855</v>
      </c>
      <c r="E3708" s="924" t="s">
        <v>856</v>
      </c>
      <c r="F3708" s="924" t="s">
        <v>1053</v>
      </c>
      <c r="G3708" s="924" t="s">
        <v>981</v>
      </c>
      <c r="H3708" s="924" t="s">
        <v>835</v>
      </c>
      <c r="I3708" s="924" t="s">
        <v>1040</v>
      </c>
      <c r="J3708" s="924" t="s">
        <v>859</v>
      </c>
      <c r="K3708" s="924" t="s">
        <v>893</v>
      </c>
      <c r="L3708" s="925">
        <v>19.842489853501299</v>
      </c>
      <c r="M3708" s="925">
        <v>1.2049530589138199E-2</v>
      </c>
    </row>
    <row r="3709" spans="1:13" ht="11.25" customHeight="1" x14ac:dyDescent="0.2">
      <c r="A3709" s="924" t="s">
        <v>853</v>
      </c>
      <c r="B3709" s="924" t="s">
        <v>1196</v>
      </c>
      <c r="C3709" s="924" t="s">
        <v>1197</v>
      </c>
      <c r="D3709" s="924" t="s">
        <v>855</v>
      </c>
      <c r="E3709" s="924" t="s">
        <v>856</v>
      </c>
      <c r="F3709" s="924" t="s">
        <v>1068</v>
      </c>
      <c r="G3709" s="924" t="s">
        <v>981</v>
      </c>
      <c r="H3709" s="924" t="s">
        <v>835</v>
      </c>
      <c r="I3709" s="924" t="s">
        <v>1040</v>
      </c>
      <c r="J3709" s="924" t="s">
        <v>859</v>
      </c>
      <c r="K3709" s="924" t="s">
        <v>897</v>
      </c>
      <c r="L3709" s="925">
        <v>39.561959266662598</v>
      </c>
      <c r="M3709" s="925">
        <v>2.6360461820104299E-2</v>
      </c>
    </row>
    <row r="3710" spans="1:13" ht="11.25" customHeight="1" x14ac:dyDescent="0.2">
      <c r="A3710" s="924" t="s">
        <v>853</v>
      </c>
      <c r="B3710" s="924" t="s">
        <v>1196</v>
      </c>
      <c r="C3710" s="924" t="s">
        <v>1197</v>
      </c>
      <c r="D3710" s="924" t="s">
        <v>855</v>
      </c>
      <c r="E3710" s="924" t="s">
        <v>856</v>
      </c>
      <c r="F3710" s="924" t="s">
        <v>1041</v>
      </c>
      <c r="G3710" s="924" t="s">
        <v>981</v>
      </c>
      <c r="H3710" s="924" t="s">
        <v>835</v>
      </c>
      <c r="I3710" s="924" t="s">
        <v>1040</v>
      </c>
      <c r="J3710" s="924" t="s">
        <v>859</v>
      </c>
      <c r="K3710" s="924" t="s">
        <v>891</v>
      </c>
      <c r="L3710" s="925">
        <v>3.7247865162789799</v>
      </c>
      <c r="M3710" s="925">
        <v>1.8627020626809101E-3</v>
      </c>
    </row>
    <row r="3711" spans="1:13" ht="11.25" customHeight="1" x14ac:dyDescent="0.2">
      <c r="A3711" s="924" t="s">
        <v>853</v>
      </c>
      <c r="B3711" s="924" t="s">
        <v>1196</v>
      </c>
      <c r="C3711" s="924" t="s">
        <v>1197</v>
      </c>
      <c r="D3711" s="924" t="s">
        <v>855</v>
      </c>
      <c r="E3711" s="924" t="s">
        <v>856</v>
      </c>
      <c r="F3711" s="924" t="s">
        <v>1039</v>
      </c>
      <c r="G3711" s="924" t="s">
        <v>981</v>
      </c>
      <c r="H3711" s="924" t="s">
        <v>835</v>
      </c>
      <c r="I3711" s="924" t="s">
        <v>1040</v>
      </c>
      <c r="J3711" s="924" t="s">
        <v>859</v>
      </c>
      <c r="K3711" s="924" t="s">
        <v>901</v>
      </c>
      <c r="L3711" s="925">
        <v>0.86925660818815198</v>
      </c>
      <c r="M3711" s="925">
        <v>6.4001763621490703E-4</v>
      </c>
    </row>
    <row r="3712" spans="1:13" ht="11.25" customHeight="1" x14ac:dyDescent="0.2">
      <c r="A3712" s="924" t="s">
        <v>853</v>
      </c>
      <c r="B3712" s="924" t="s">
        <v>1196</v>
      </c>
      <c r="C3712" s="924" t="s">
        <v>1197</v>
      </c>
      <c r="D3712" s="924" t="s">
        <v>855</v>
      </c>
      <c r="E3712" s="924" t="s">
        <v>856</v>
      </c>
      <c r="F3712" s="924" t="s">
        <v>1056</v>
      </c>
      <c r="G3712" s="924" t="s">
        <v>981</v>
      </c>
      <c r="H3712" s="924" t="s">
        <v>835</v>
      </c>
      <c r="I3712" s="924" t="s">
        <v>998</v>
      </c>
      <c r="J3712" s="924" t="s">
        <v>875</v>
      </c>
      <c r="K3712" s="924" t="s">
        <v>878</v>
      </c>
      <c r="L3712" s="925">
        <v>11.075087711215</v>
      </c>
      <c r="M3712" s="925">
        <v>2.1359983860747899E-2</v>
      </c>
    </row>
    <row r="3713" spans="1:13" ht="11.25" customHeight="1" x14ac:dyDescent="0.2">
      <c r="A3713" s="924" t="s">
        <v>853</v>
      </c>
      <c r="B3713" s="924" t="s">
        <v>1196</v>
      </c>
      <c r="C3713" s="924" t="s">
        <v>1197</v>
      </c>
      <c r="D3713" s="924" t="s">
        <v>855</v>
      </c>
      <c r="E3713" s="924" t="s">
        <v>856</v>
      </c>
      <c r="F3713" s="924" t="s">
        <v>1058</v>
      </c>
      <c r="G3713" s="924" t="s">
        <v>981</v>
      </c>
      <c r="H3713" s="924" t="s">
        <v>835</v>
      </c>
      <c r="I3713" s="924" t="s">
        <v>1040</v>
      </c>
      <c r="J3713" s="924" t="s">
        <v>859</v>
      </c>
      <c r="K3713" s="924" t="s">
        <v>905</v>
      </c>
      <c r="L3713" s="925">
        <v>12.2041569501162</v>
      </c>
      <c r="M3713" s="925">
        <v>9.6399639160154003E-3</v>
      </c>
    </row>
    <row r="3714" spans="1:13" ht="11.25" customHeight="1" x14ac:dyDescent="0.2">
      <c r="A3714" s="924" t="s">
        <v>853</v>
      </c>
      <c r="B3714" s="924" t="s">
        <v>1196</v>
      </c>
      <c r="C3714" s="924" t="s">
        <v>1197</v>
      </c>
      <c r="D3714" s="924" t="s">
        <v>855</v>
      </c>
      <c r="E3714" s="924" t="s">
        <v>856</v>
      </c>
      <c r="F3714" s="924" t="s">
        <v>1059</v>
      </c>
      <c r="G3714" s="924" t="s">
        <v>981</v>
      </c>
      <c r="H3714" s="924" t="s">
        <v>835</v>
      </c>
      <c r="I3714" s="924" t="s">
        <v>1040</v>
      </c>
      <c r="J3714" s="924" t="s">
        <v>859</v>
      </c>
      <c r="K3714" s="924" t="s">
        <v>909</v>
      </c>
      <c r="L3714" s="925">
        <v>72.731862187385602</v>
      </c>
      <c r="M3714" s="925">
        <v>5.0162313971668503E-2</v>
      </c>
    </row>
    <row r="3715" spans="1:13" ht="11.25" customHeight="1" x14ac:dyDescent="0.2">
      <c r="A3715" s="924" t="s">
        <v>853</v>
      </c>
      <c r="B3715" s="924" t="s">
        <v>1196</v>
      </c>
      <c r="C3715" s="924" t="s">
        <v>1197</v>
      </c>
      <c r="D3715" s="924" t="s">
        <v>855</v>
      </c>
      <c r="E3715" s="924" t="s">
        <v>856</v>
      </c>
      <c r="F3715" s="924" t="s">
        <v>1060</v>
      </c>
      <c r="G3715" s="924" t="s">
        <v>981</v>
      </c>
      <c r="H3715" s="924" t="s">
        <v>835</v>
      </c>
      <c r="I3715" s="924" t="s">
        <v>1040</v>
      </c>
      <c r="J3715" s="924" t="s">
        <v>859</v>
      </c>
      <c r="K3715" s="924" t="s">
        <v>973</v>
      </c>
      <c r="L3715" s="925">
        <v>34.886301338672602</v>
      </c>
      <c r="M3715" s="925">
        <v>2.3684988248874099E-2</v>
      </c>
    </row>
    <row r="3716" spans="1:13" ht="11.25" customHeight="1" x14ac:dyDescent="0.2">
      <c r="A3716" s="924" t="s">
        <v>853</v>
      </c>
      <c r="B3716" s="924" t="s">
        <v>1196</v>
      </c>
      <c r="C3716" s="924" t="s">
        <v>1197</v>
      </c>
      <c r="D3716" s="924" t="s">
        <v>855</v>
      </c>
      <c r="E3716" s="924" t="s">
        <v>856</v>
      </c>
      <c r="F3716" s="924" t="s">
        <v>1061</v>
      </c>
      <c r="G3716" s="924" t="s">
        <v>981</v>
      </c>
      <c r="H3716" s="924" t="s">
        <v>835</v>
      </c>
      <c r="I3716" s="924" t="s">
        <v>1040</v>
      </c>
      <c r="J3716" s="924" t="s">
        <v>859</v>
      </c>
      <c r="K3716" s="924" t="s">
        <v>918</v>
      </c>
      <c r="L3716" s="925">
        <v>2.7023951672017601</v>
      </c>
      <c r="M3716" s="925">
        <v>1.1880950250997601E-3</v>
      </c>
    </row>
    <row r="3717" spans="1:13" ht="11.25" customHeight="1" x14ac:dyDescent="0.2">
      <c r="A3717" s="924" t="s">
        <v>853</v>
      </c>
      <c r="B3717" s="924" t="s">
        <v>1196</v>
      </c>
      <c r="C3717" s="924" t="s">
        <v>1197</v>
      </c>
      <c r="D3717" s="924" t="s">
        <v>855</v>
      </c>
      <c r="E3717" s="924" t="s">
        <v>856</v>
      </c>
      <c r="F3717" s="924" t="s">
        <v>1062</v>
      </c>
      <c r="G3717" s="924" t="s">
        <v>981</v>
      </c>
      <c r="H3717" s="924" t="s">
        <v>835</v>
      </c>
      <c r="I3717" s="924" t="s">
        <v>1040</v>
      </c>
      <c r="J3717" s="924" t="s">
        <v>859</v>
      </c>
      <c r="K3717" s="924" t="s">
        <v>920</v>
      </c>
      <c r="L3717" s="925">
        <v>4.7084622494876402</v>
      </c>
      <c r="M3717" s="925">
        <v>3.1811491732867099E-3</v>
      </c>
    </row>
    <row r="3718" spans="1:13" ht="11.25" customHeight="1" x14ac:dyDescent="0.2">
      <c r="A3718" s="924" t="s">
        <v>853</v>
      </c>
      <c r="B3718" s="924" t="s">
        <v>1196</v>
      </c>
      <c r="C3718" s="924" t="s">
        <v>1197</v>
      </c>
      <c r="D3718" s="924" t="s">
        <v>855</v>
      </c>
      <c r="E3718" s="924" t="s">
        <v>856</v>
      </c>
      <c r="F3718" s="924" t="s">
        <v>1063</v>
      </c>
      <c r="G3718" s="924" t="s">
        <v>981</v>
      </c>
      <c r="H3718" s="924" t="s">
        <v>835</v>
      </c>
      <c r="I3718" s="924" t="s">
        <v>1040</v>
      </c>
      <c r="J3718" s="924" t="s">
        <v>859</v>
      </c>
      <c r="K3718" s="924" t="s">
        <v>922</v>
      </c>
      <c r="L3718" s="925">
        <v>4.1379041001200703</v>
      </c>
      <c r="M3718" s="925">
        <v>7.4712950879529704E-4</v>
      </c>
    </row>
    <row r="3719" spans="1:13" ht="11.25" customHeight="1" x14ac:dyDescent="0.2">
      <c r="A3719" s="924" t="s">
        <v>853</v>
      </c>
      <c r="B3719" s="924" t="s">
        <v>1196</v>
      </c>
      <c r="C3719" s="924" t="s">
        <v>1197</v>
      </c>
      <c r="D3719" s="924" t="s">
        <v>855</v>
      </c>
      <c r="E3719" s="924" t="s">
        <v>856</v>
      </c>
      <c r="F3719" s="924" t="s">
        <v>1064</v>
      </c>
      <c r="G3719" s="924" t="s">
        <v>981</v>
      </c>
      <c r="H3719" s="924" t="s">
        <v>835</v>
      </c>
      <c r="I3719" s="924" t="s">
        <v>1040</v>
      </c>
      <c r="J3719" s="924" t="s">
        <v>859</v>
      </c>
      <c r="K3719" s="924" t="s">
        <v>924</v>
      </c>
      <c r="L3719" s="925">
        <v>9.9663854837417603</v>
      </c>
      <c r="M3719" s="925">
        <v>7.4350506292830698E-4</v>
      </c>
    </row>
    <row r="3720" spans="1:13" ht="11.25" customHeight="1" x14ac:dyDescent="0.2">
      <c r="A3720" s="924" t="s">
        <v>853</v>
      </c>
      <c r="B3720" s="924" t="s">
        <v>1196</v>
      </c>
      <c r="C3720" s="924" t="s">
        <v>1197</v>
      </c>
      <c r="D3720" s="924" t="s">
        <v>855</v>
      </c>
      <c r="E3720" s="924" t="s">
        <v>856</v>
      </c>
      <c r="F3720" s="924" t="s">
        <v>1065</v>
      </c>
      <c r="G3720" s="924" t="s">
        <v>981</v>
      </c>
      <c r="H3720" s="924" t="s">
        <v>835</v>
      </c>
      <c r="I3720" s="924" t="s">
        <v>1040</v>
      </c>
      <c r="J3720" s="924" t="s">
        <v>859</v>
      </c>
      <c r="K3720" s="924" t="s">
        <v>926</v>
      </c>
      <c r="L3720" s="925">
        <v>23.874420762062101</v>
      </c>
      <c r="M3720" s="925">
        <v>1.58245181955863E-2</v>
      </c>
    </row>
    <row r="3721" spans="1:13" ht="11.25" customHeight="1" x14ac:dyDescent="0.2">
      <c r="A3721" s="924" t="s">
        <v>853</v>
      </c>
      <c r="B3721" s="924" t="s">
        <v>1196</v>
      </c>
      <c r="C3721" s="924" t="s">
        <v>1197</v>
      </c>
      <c r="D3721" s="924" t="s">
        <v>855</v>
      </c>
      <c r="E3721" s="924" t="s">
        <v>856</v>
      </c>
      <c r="F3721" s="924" t="s">
        <v>1066</v>
      </c>
      <c r="G3721" s="924" t="s">
        <v>981</v>
      </c>
      <c r="H3721" s="924" t="s">
        <v>835</v>
      </c>
      <c r="I3721" s="924" t="s">
        <v>1040</v>
      </c>
      <c r="J3721" s="924" t="s">
        <v>859</v>
      </c>
      <c r="K3721" s="924" t="s">
        <v>928</v>
      </c>
      <c r="L3721" s="925">
        <v>16.206031307578101</v>
      </c>
      <c r="M3721" s="925">
        <v>8.1791371776489506E-3</v>
      </c>
    </row>
    <row r="3722" spans="1:13" ht="11.25" customHeight="1" x14ac:dyDescent="0.2">
      <c r="A3722" s="924" t="s">
        <v>853</v>
      </c>
      <c r="B3722" s="924" t="s">
        <v>1196</v>
      </c>
      <c r="C3722" s="924" t="s">
        <v>1197</v>
      </c>
      <c r="D3722" s="924" t="s">
        <v>855</v>
      </c>
      <c r="E3722" s="924" t="s">
        <v>856</v>
      </c>
      <c r="F3722" s="924" t="s">
        <v>1067</v>
      </c>
      <c r="G3722" s="924" t="s">
        <v>981</v>
      </c>
      <c r="H3722" s="924" t="s">
        <v>835</v>
      </c>
      <c r="I3722" s="924" t="s">
        <v>1040</v>
      </c>
      <c r="J3722" s="924" t="s">
        <v>859</v>
      </c>
      <c r="K3722" s="924" t="s">
        <v>1011</v>
      </c>
      <c r="L3722" s="925">
        <v>5.3872158527374303</v>
      </c>
      <c r="M3722" s="925">
        <v>3.81438859938044E-3</v>
      </c>
    </row>
    <row r="3723" spans="1:13" ht="11.25" customHeight="1" x14ac:dyDescent="0.2">
      <c r="A3723" s="924" t="s">
        <v>853</v>
      </c>
      <c r="B3723" s="924" t="s">
        <v>1196</v>
      </c>
      <c r="C3723" s="924" t="s">
        <v>1197</v>
      </c>
      <c r="D3723" s="924" t="s">
        <v>855</v>
      </c>
      <c r="E3723" s="924" t="s">
        <v>856</v>
      </c>
      <c r="F3723" s="924" t="s">
        <v>1055</v>
      </c>
      <c r="G3723" s="924" t="s">
        <v>981</v>
      </c>
      <c r="H3723" s="924" t="s">
        <v>835</v>
      </c>
      <c r="I3723" s="924" t="s">
        <v>1040</v>
      </c>
      <c r="J3723" s="924" t="s">
        <v>859</v>
      </c>
      <c r="K3723" s="924" t="s">
        <v>899</v>
      </c>
      <c r="L3723" s="925">
        <v>16.6749567091465</v>
      </c>
      <c r="M3723" s="925">
        <v>1.17143238925763E-2</v>
      </c>
    </row>
    <row r="3724" spans="1:13" ht="11.25" customHeight="1" x14ac:dyDescent="0.2">
      <c r="A3724" s="924" t="s">
        <v>853</v>
      </c>
      <c r="B3724" s="924" t="s">
        <v>1196</v>
      </c>
      <c r="C3724" s="924" t="s">
        <v>1197</v>
      </c>
      <c r="D3724" s="924" t="s">
        <v>855</v>
      </c>
      <c r="E3724" s="924" t="s">
        <v>856</v>
      </c>
      <c r="F3724" s="924" t="s">
        <v>1086</v>
      </c>
      <c r="G3724" s="924" t="s">
        <v>981</v>
      </c>
      <c r="H3724" s="924" t="s">
        <v>835</v>
      </c>
      <c r="I3724" s="924" t="s">
        <v>998</v>
      </c>
      <c r="J3724" s="924" t="s">
        <v>940</v>
      </c>
      <c r="K3724" s="924" t="s">
        <v>1087</v>
      </c>
      <c r="L3724" s="925">
        <v>42.6474962234497</v>
      </c>
      <c r="M3724" s="925">
        <v>8.2110691582784098E-2</v>
      </c>
    </row>
    <row r="3725" spans="1:13" ht="11.25" customHeight="1" x14ac:dyDescent="0.2">
      <c r="A3725" s="924" t="s">
        <v>853</v>
      </c>
      <c r="B3725" s="924" t="s">
        <v>1196</v>
      </c>
      <c r="C3725" s="924" t="s">
        <v>1197</v>
      </c>
      <c r="D3725" s="924" t="s">
        <v>855</v>
      </c>
      <c r="E3725" s="924" t="s">
        <v>856</v>
      </c>
      <c r="F3725" s="924" t="s">
        <v>1124</v>
      </c>
      <c r="G3725" s="924" t="s">
        <v>981</v>
      </c>
      <c r="H3725" s="924" t="s">
        <v>835</v>
      </c>
      <c r="I3725" s="924" t="s">
        <v>1040</v>
      </c>
      <c r="J3725" s="924" t="s">
        <v>956</v>
      </c>
      <c r="K3725" s="924" t="s">
        <v>1125</v>
      </c>
      <c r="L3725" s="925">
        <v>20.481690078973799</v>
      </c>
      <c r="M3725" s="925">
        <v>1.6344832544632499E-2</v>
      </c>
    </row>
    <row r="3726" spans="1:13" ht="11.25" customHeight="1" x14ac:dyDescent="0.2">
      <c r="A3726" s="924" t="s">
        <v>853</v>
      </c>
      <c r="B3726" s="924" t="s">
        <v>1196</v>
      </c>
      <c r="C3726" s="924" t="s">
        <v>1197</v>
      </c>
      <c r="D3726" s="924" t="s">
        <v>855</v>
      </c>
      <c r="E3726" s="924" t="s">
        <v>856</v>
      </c>
      <c r="F3726" s="924" t="s">
        <v>1074</v>
      </c>
      <c r="G3726" s="924" t="s">
        <v>911</v>
      </c>
      <c r="H3726" s="924" t="s">
        <v>665</v>
      </c>
      <c r="I3726" s="924" t="s">
        <v>706</v>
      </c>
      <c r="J3726" s="924" t="s">
        <v>859</v>
      </c>
      <c r="K3726" s="924" t="s">
        <v>903</v>
      </c>
      <c r="L3726" s="925">
        <v>5.0051433928310898</v>
      </c>
      <c r="M3726" s="925">
        <v>5.58988353816403E-4</v>
      </c>
    </row>
    <row r="3727" spans="1:13" ht="11.25" customHeight="1" x14ac:dyDescent="0.2">
      <c r="A3727" s="924" t="s">
        <v>853</v>
      </c>
      <c r="B3727" s="924" t="s">
        <v>1196</v>
      </c>
      <c r="C3727" s="924" t="s">
        <v>1197</v>
      </c>
      <c r="D3727" s="924" t="s">
        <v>855</v>
      </c>
      <c r="E3727" s="924" t="s">
        <v>856</v>
      </c>
      <c r="F3727" s="924" t="s">
        <v>1073</v>
      </c>
      <c r="G3727" s="924" t="s">
        <v>981</v>
      </c>
      <c r="H3727" s="924" t="s">
        <v>835</v>
      </c>
      <c r="I3727" s="924" t="s">
        <v>998</v>
      </c>
      <c r="J3727" s="924" t="s">
        <v>884</v>
      </c>
      <c r="K3727" s="924" t="s">
        <v>1046</v>
      </c>
      <c r="L3727" s="925">
        <v>57.058739662170403</v>
      </c>
      <c r="M3727" s="925">
        <v>9.6339908428490204E-2</v>
      </c>
    </row>
    <row r="3728" spans="1:13" ht="11.25" customHeight="1" x14ac:dyDescent="0.2">
      <c r="A3728" s="924" t="s">
        <v>853</v>
      </c>
      <c r="B3728" s="924" t="s">
        <v>1196</v>
      </c>
      <c r="C3728" s="924" t="s">
        <v>1197</v>
      </c>
      <c r="D3728" s="924" t="s">
        <v>855</v>
      </c>
      <c r="E3728" s="924" t="s">
        <v>856</v>
      </c>
      <c r="F3728" s="924" t="s">
        <v>1075</v>
      </c>
      <c r="G3728" s="924" t="s">
        <v>981</v>
      </c>
      <c r="H3728" s="924" t="s">
        <v>835</v>
      </c>
      <c r="I3728" s="924" t="s">
        <v>998</v>
      </c>
      <c r="J3728" s="924" t="s">
        <v>859</v>
      </c>
      <c r="K3728" s="924" t="s">
        <v>889</v>
      </c>
      <c r="L3728" s="925">
        <v>12.6482747495174</v>
      </c>
      <c r="M3728" s="925">
        <v>2.0470636663958399E-2</v>
      </c>
    </row>
    <row r="3729" spans="1:13" ht="11.25" customHeight="1" x14ac:dyDescent="0.2">
      <c r="A3729" s="924" t="s">
        <v>853</v>
      </c>
      <c r="B3729" s="924" t="s">
        <v>1196</v>
      </c>
      <c r="C3729" s="924" t="s">
        <v>1197</v>
      </c>
      <c r="D3729" s="924" t="s">
        <v>855</v>
      </c>
      <c r="E3729" s="924" t="s">
        <v>856</v>
      </c>
      <c r="F3729" s="924" t="s">
        <v>1077</v>
      </c>
      <c r="G3729" s="924" t="s">
        <v>981</v>
      </c>
      <c r="H3729" s="924" t="s">
        <v>835</v>
      </c>
      <c r="I3729" s="924" t="s">
        <v>998</v>
      </c>
      <c r="J3729" s="924" t="s">
        <v>859</v>
      </c>
      <c r="K3729" s="924" t="s">
        <v>897</v>
      </c>
      <c r="L3729" s="925">
        <v>0.98011671844869896</v>
      </c>
      <c r="M3729" s="925">
        <v>2.05251109218807E-3</v>
      </c>
    </row>
    <row r="3730" spans="1:13" ht="11.25" customHeight="1" x14ac:dyDescent="0.2">
      <c r="A3730" s="924" t="s">
        <v>853</v>
      </c>
      <c r="B3730" s="924" t="s">
        <v>1196</v>
      </c>
      <c r="C3730" s="924" t="s">
        <v>1197</v>
      </c>
      <c r="D3730" s="924" t="s">
        <v>855</v>
      </c>
      <c r="E3730" s="924" t="s">
        <v>856</v>
      </c>
      <c r="F3730" s="924" t="s">
        <v>1078</v>
      </c>
      <c r="G3730" s="924" t="s">
        <v>981</v>
      </c>
      <c r="H3730" s="924" t="s">
        <v>835</v>
      </c>
      <c r="I3730" s="924" t="s">
        <v>998</v>
      </c>
      <c r="J3730" s="924" t="s">
        <v>859</v>
      </c>
      <c r="K3730" s="924" t="s">
        <v>901</v>
      </c>
      <c r="L3730" s="925">
        <v>6.7914821484009701E-3</v>
      </c>
      <c r="M3730" s="925">
        <v>1.51749135852697E-5</v>
      </c>
    </row>
    <row r="3731" spans="1:13" ht="11.25" customHeight="1" x14ac:dyDescent="0.2">
      <c r="A3731" s="924" t="s">
        <v>853</v>
      </c>
      <c r="B3731" s="924" t="s">
        <v>1196</v>
      </c>
      <c r="C3731" s="924" t="s">
        <v>1197</v>
      </c>
      <c r="D3731" s="924" t="s">
        <v>855</v>
      </c>
      <c r="E3731" s="924" t="s">
        <v>856</v>
      </c>
      <c r="F3731" s="924" t="s">
        <v>1079</v>
      </c>
      <c r="G3731" s="924" t="s">
        <v>981</v>
      </c>
      <c r="H3731" s="924" t="s">
        <v>835</v>
      </c>
      <c r="I3731" s="924" t="s">
        <v>998</v>
      </c>
      <c r="J3731" s="924" t="s">
        <v>859</v>
      </c>
      <c r="K3731" s="924" t="s">
        <v>909</v>
      </c>
      <c r="L3731" s="925">
        <v>32.660985022783301</v>
      </c>
      <c r="M3731" s="925">
        <v>5.84920325200073E-2</v>
      </c>
    </row>
    <row r="3732" spans="1:13" ht="11.25" customHeight="1" x14ac:dyDescent="0.2">
      <c r="A3732" s="924" t="s">
        <v>853</v>
      </c>
      <c r="B3732" s="924" t="s">
        <v>1196</v>
      </c>
      <c r="C3732" s="924" t="s">
        <v>1197</v>
      </c>
      <c r="D3732" s="924" t="s">
        <v>855</v>
      </c>
      <c r="E3732" s="924" t="s">
        <v>856</v>
      </c>
      <c r="F3732" s="924" t="s">
        <v>1080</v>
      </c>
      <c r="G3732" s="924" t="s">
        <v>981</v>
      </c>
      <c r="H3732" s="924" t="s">
        <v>835</v>
      </c>
      <c r="I3732" s="924" t="s">
        <v>998</v>
      </c>
      <c r="J3732" s="924" t="s">
        <v>859</v>
      </c>
      <c r="K3732" s="924" t="s">
        <v>920</v>
      </c>
      <c r="L3732" s="925">
        <v>0.19140411308035299</v>
      </c>
      <c r="M3732" s="925">
        <v>4.2767446393554603E-4</v>
      </c>
    </row>
    <row r="3733" spans="1:13" ht="11.25" customHeight="1" x14ac:dyDescent="0.2">
      <c r="A3733" s="924" t="s">
        <v>853</v>
      </c>
      <c r="B3733" s="924" t="s">
        <v>1196</v>
      </c>
      <c r="C3733" s="924" t="s">
        <v>1197</v>
      </c>
      <c r="D3733" s="924" t="s">
        <v>855</v>
      </c>
      <c r="E3733" s="924" t="s">
        <v>856</v>
      </c>
      <c r="F3733" s="924" t="s">
        <v>1081</v>
      </c>
      <c r="G3733" s="924" t="s">
        <v>981</v>
      </c>
      <c r="H3733" s="924" t="s">
        <v>835</v>
      </c>
      <c r="I3733" s="924" t="s">
        <v>998</v>
      </c>
      <c r="J3733" s="924" t="s">
        <v>863</v>
      </c>
      <c r="K3733" s="924" t="s">
        <v>935</v>
      </c>
      <c r="L3733" s="925">
        <v>0.10307229252066499</v>
      </c>
      <c r="M3733" s="925">
        <v>2.30305446166312E-4</v>
      </c>
    </row>
    <row r="3734" spans="1:13" ht="11.25" customHeight="1" x14ac:dyDescent="0.2">
      <c r="A3734" s="924" t="s">
        <v>853</v>
      </c>
      <c r="B3734" s="924" t="s">
        <v>1196</v>
      </c>
      <c r="C3734" s="924" t="s">
        <v>1197</v>
      </c>
      <c r="D3734" s="924" t="s">
        <v>855</v>
      </c>
      <c r="E3734" s="924" t="s">
        <v>856</v>
      </c>
      <c r="F3734" s="924" t="s">
        <v>1103</v>
      </c>
      <c r="G3734" s="924" t="s">
        <v>981</v>
      </c>
      <c r="H3734" s="924" t="s">
        <v>835</v>
      </c>
      <c r="I3734" s="924" t="s">
        <v>998</v>
      </c>
      <c r="J3734" s="924" t="s">
        <v>863</v>
      </c>
      <c r="K3734" s="924" t="s">
        <v>864</v>
      </c>
      <c r="L3734" s="925">
        <v>7.8872417507227493E-3</v>
      </c>
      <c r="M3734" s="925">
        <v>1.7623303108393901E-5</v>
      </c>
    </row>
    <row r="3735" spans="1:13" ht="11.25" customHeight="1" x14ac:dyDescent="0.2">
      <c r="A3735" s="924" t="s">
        <v>853</v>
      </c>
      <c r="B3735" s="924" t="s">
        <v>1196</v>
      </c>
      <c r="C3735" s="924" t="s">
        <v>1197</v>
      </c>
      <c r="D3735" s="924" t="s">
        <v>855</v>
      </c>
      <c r="E3735" s="924" t="s">
        <v>856</v>
      </c>
      <c r="F3735" s="924" t="s">
        <v>1082</v>
      </c>
      <c r="G3735" s="924" t="s">
        <v>981</v>
      </c>
      <c r="H3735" s="924" t="s">
        <v>835</v>
      </c>
      <c r="I3735" s="924" t="s">
        <v>998</v>
      </c>
      <c r="J3735" s="924" t="s">
        <v>875</v>
      </c>
      <c r="K3735" s="924" t="s">
        <v>952</v>
      </c>
      <c r="L3735" s="925">
        <v>6.7008292651735205E-2</v>
      </c>
      <c r="M3735" s="925">
        <v>1.4972376811783799E-4</v>
      </c>
    </row>
    <row r="3736" spans="1:13" ht="11.25" customHeight="1" x14ac:dyDescent="0.2">
      <c r="A3736" s="924" t="s">
        <v>853</v>
      </c>
      <c r="B3736" s="924" t="s">
        <v>1196</v>
      </c>
      <c r="C3736" s="924" t="s">
        <v>1197</v>
      </c>
      <c r="D3736" s="924" t="s">
        <v>855</v>
      </c>
      <c r="E3736" s="924" t="s">
        <v>856</v>
      </c>
      <c r="F3736" s="924" t="s">
        <v>1069</v>
      </c>
      <c r="G3736" s="924" t="s">
        <v>981</v>
      </c>
      <c r="H3736" s="924" t="s">
        <v>835</v>
      </c>
      <c r="I3736" s="924" t="s">
        <v>998</v>
      </c>
      <c r="J3736" s="924" t="s">
        <v>940</v>
      </c>
      <c r="K3736" s="924" t="s">
        <v>1070</v>
      </c>
      <c r="L3736" s="925">
        <v>10.256864678114701</v>
      </c>
      <c r="M3736" s="925">
        <v>1.9043831976887301E-2</v>
      </c>
    </row>
    <row r="3737" spans="1:13" ht="11.25" customHeight="1" x14ac:dyDescent="0.2">
      <c r="A3737" s="924" t="s">
        <v>853</v>
      </c>
      <c r="B3737" s="924" t="s">
        <v>1196</v>
      </c>
      <c r="C3737" s="924" t="s">
        <v>1197</v>
      </c>
      <c r="D3737" s="924" t="s">
        <v>855</v>
      </c>
      <c r="E3737" s="924" t="s">
        <v>856</v>
      </c>
      <c r="F3737" s="924" t="s">
        <v>1054</v>
      </c>
      <c r="G3737" s="924" t="s">
        <v>981</v>
      </c>
      <c r="H3737" s="924" t="s">
        <v>835</v>
      </c>
      <c r="I3737" s="924" t="s">
        <v>998</v>
      </c>
      <c r="J3737" s="924" t="s">
        <v>875</v>
      </c>
      <c r="K3737" s="924" t="s">
        <v>880</v>
      </c>
      <c r="L3737" s="925">
        <v>3.8415251692640599E-3</v>
      </c>
      <c r="M3737" s="925">
        <v>8.5835315246640692E-6</v>
      </c>
    </row>
    <row r="3738" spans="1:13" ht="11.25" customHeight="1" x14ac:dyDescent="0.2">
      <c r="A3738" s="924" t="s">
        <v>853</v>
      </c>
      <c r="B3738" s="924" t="s">
        <v>1196</v>
      </c>
      <c r="C3738" s="924" t="s">
        <v>1197</v>
      </c>
      <c r="D3738" s="924" t="s">
        <v>855</v>
      </c>
      <c r="E3738" s="924" t="s">
        <v>856</v>
      </c>
      <c r="F3738" s="924" t="s">
        <v>1088</v>
      </c>
      <c r="G3738" s="924" t="s">
        <v>981</v>
      </c>
      <c r="H3738" s="924" t="s">
        <v>835</v>
      </c>
      <c r="I3738" s="924" t="s">
        <v>998</v>
      </c>
      <c r="J3738" s="924" t="s">
        <v>940</v>
      </c>
      <c r="K3738" s="924" t="s">
        <v>1089</v>
      </c>
      <c r="L3738" s="925">
        <v>98.979151606559796</v>
      </c>
      <c r="M3738" s="925">
        <v>0.18081579194404199</v>
      </c>
    </row>
    <row r="3739" spans="1:13" ht="11.25" customHeight="1" x14ac:dyDescent="0.2">
      <c r="A3739" s="924" t="s">
        <v>853</v>
      </c>
      <c r="B3739" s="924" t="s">
        <v>1196</v>
      </c>
      <c r="C3739" s="924" t="s">
        <v>1197</v>
      </c>
      <c r="D3739" s="924" t="s">
        <v>855</v>
      </c>
      <c r="E3739" s="924" t="s">
        <v>856</v>
      </c>
      <c r="F3739" s="924" t="s">
        <v>1090</v>
      </c>
      <c r="G3739" s="924" t="s">
        <v>981</v>
      </c>
      <c r="H3739" s="924" t="s">
        <v>835</v>
      </c>
      <c r="I3739" s="924" t="s">
        <v>998</v>
      </c>
      <c r="J3739" s="924" t="s">
        <v>940</v>
      </c>
      <c r="K3739" s="924" t="s">
        <v>1091</v>
      </c>
      <c r="L3739" s="925">
        <v>59.0946140289307</v>
      </c>
      <c r="M3739" s="925">
        <v>0.100641467084642</v>
      </c>
    </row>
    <row r="3740" spans="1:13" ht="11.25" customHeight="1" x14ac:dyDescent="0.2">
      <c r="A3740" s="924" t="s">
        <v>853</v>
      </c>
      <c r="B3740" s="924" t="s">
        <v>1196</v>
      </c>
      <c r="C3740" s="924" t="s">
        <v>1197</v>
      </c>
      <c r="D3740" s="924" t="s">
        <v>855</v>
      </c>
      <c r="E3740" s="924" t="s">
        <v>856</v>
      </c>
      <c r="F3740" s="924" t="s">
        <v>1092</v>
      </c>
      <c r="G3740" s="924" t="s">
        <v>981</v>
      </c>
      <c r="H3740" s="924" t="s">
        <v>835</v>
      </c>
      <c r="I3740" s="924" t="s">
        <v>998</v>
      </c>
      <c r="J3740" s="924" t="s">
        <v>940</v>
      </c>
      <c r="K3740" s="924" t="s">
        <v>1093</v>
      </c>
      <c r="L3740" s="925">
        <v>86.295020848512607</v>
      </c>
      <c r="M3740" s="925">
        <v>0.17076401697704599</v>
      </c>
    </row>
    <row r="3741" spans="1:13" ht="11.25" customHeight="1" x14ac:dyDescent="0.2">
      <c r="A3741" s="924" t="s">
        <v>853</v>
      </c>
      <c r="B3741" s="924" t="s">
        <v>1196</v>
      </c>
      <c r="C3741" s="924" t="s">
        <v>1197</v>
      </c>
      <c r="D3741" s="924" t="s">
        <v>855</v>
      </c>
      <c r="E3741" s="924" t="s">
        <v>856</v>
      </c>
      <c r="F3741" s="924" t="s">
        <v>1094</v>
      </c>
      <c r="G3741" s="924" t="s">
        <v>981</v>
      </c>
      <c r="H3741" s="924" t="s">
        <v>835</v>
      </c>
      <c r="I3741" s="924" t="s">
        <v>998</v>
      </c>
      <c r="J3741" s="924" t="s">
        <v>940</v>
      </c>
      <c r="K3741" s="924" t="s">
        <v>1095</v>
      </c>
      <c r="L3741" s="925">
        <v>38.033135831355999</v>
      </c>
      <c r="M3741" s="925">
        <v>7.0936760574113605E-2</v>
      </c>
    </row>
    <row r="3742" spans="1:13" ht="11.25" customHeight="1" x14ac:dyDescent="0.2">
      <c r="A3742" s="924" t="s">
        <v>853</v>
      </c>
      <c r="B3742" s="924" t="s">
        <v>1196</v>
      </c>
      <c r="C3742" s="924" t="s">
        <v>1197</v>
      </c>
      <c r="D3742" s="924" t="s">
        <v>855</v>
      </c>
      <c r="E3742" s="924" t="s">
        <v>856</v>
      </c>
      <c r="F3742" s="924" t="s">
        <v>1096</v>
      </c>
      <c r="G3742" s="924" t="s">
        <v>981</v>
      </c>
      <c r="H3742" s="924" t="s">
        <v>835</v>
      </c>
      <c r="I3742" s="924" t="s">
        <v>998</v>
      </c>
      <c r="J3742" s="924" t="s">
        <v>940</v>
      </c>
      <c r="K3742" s="924" t="s">
        <v>1023</v>
      </c>
      <c r="L3742" s="925">
        <v>80.578967481851606</v>
      </c>
      <c r="M3742" s="925">
        <v>0.150709870504215</v>
      </c>
    </row>
    <row r="3743" spans="1:13" ht="11.25" customHeight="1" x14ac:dyDescent="0.2">
      <c r="A3743" s="924" t="s">
        <v>853</v>
      </c>
      <c r="B3743" s="924" t="s">
        <v>1196</v>
      </c>
      <c r="C3743" s="924" t="s">
        <v>1197</v>
      </c>
      <c r="D3743" s="924" t="s">
        <v>855</v>
      </c>
      <c r="E3743" s="924" t="s">
        <v>856</v>
      </c>
      <c r="F3743" s="924" t="s">
        <v>1097</v>
      </c>
      <c r="G3743" s="924" t="s">
        <v>981</v>
      </c>
      <c r="H3743" s="924" t="s">
        <v>835</v>
      </c>
      <c r="I3743" s="924" t="s">
        <v>998</v>
      </c>
      <c r="J3743" s="924" t="s">
        <v>940</v>
      </c>
      <c r="K3743" s="924" t="s">
        <v>1098</v>
      </c>
      <c r="L3743" s="925">
        <v>19.027878999710101</v>
      </c>
      <c r="M3743" s="925">
        <v>0.12998853251338</v>
      </c>
    </row>
    <row r="3744" spans="1:13" ht="11.25" customHeight="1" x14ac:dyDescent="0.2">
      <c r="A3744" s="924" t="s">
        <v>853</v>
      </c>
      <c r="B3744" s="924" t="s">
        <v>1196</v>
      </c>
      <c r="C3744" s="924" t="s">
        <v>1197</v>
      </c>
      <c r="D3744" s="924" t="s">
        <v>855</v>
      </c>
      <c r="E3744" s="924" t="s">
        <v>856</v>
      </c>
      <c r="F3744" s="924" t="s">
        <v>1099</v>
      </c>
      <c r="G3744" s="924" t="s">
        <v>981</v>
      </c>
      <c r="H3744" s="924" t="s">
        <v>835</v>
      </c>
      <c r="I3744" s="924" t="s">
        <v>998</v>
      </c>
      <c r="J3744" s="924" t="s">
        <v>940</v>
      </c>
      <c r="K3744" s="924" t="s">
        <v>1025</v>
      </c>
      <c r="L3744" s="925">
        <v>29.6776652336121</v>
      </c>
      <c r="M3744" s="925">
        <v>0.20247688610106701</v>
      </c>
    </row>
    <row r="3745" spans="1:13" ht="11.25" customHeight="1" x14ac:dyDescent="0.2">
      <c r="A3745" s="924" t="s">
        <v>853</v>
      </c>
      <c r="B3745" s="924" t="s">
        <v>1196</v>
      </c>
      <c r="C3745" s="924" t="s">
        <v>1197</v>
      </c>
      <c r="D3745" s="924" t="s">
        <v>855</v>
      </c>
      <c r="E3745" s="924" t="s">
        <v>856</v>
      </c>
      <c r="F3745" s="924" t="s">
        <v>1100</v>
      </c>
      <c r="G3745" s="924" t="s">
        <v>981</v>
      </c>
      <c r="H3745" s="924" t="s">
        <v>835</v>
      </c>
      <c r="I3745" s="924" t="s">
        <v>998</v>
      </c>
      <c r="J3745" s="924" t="s">
        <v>940</v>
      </c>
      <c r="K3745" s="924" t="s">
        <v>1032</v>
      </c>
      <c r="L3745" s="925">
        <v>4.2997459153411903E-2</v>
      </c>
      <c r="M3745" s="925">
        <v>8.6205608539557902E-5</v>
      </c>
    </row>
    <row r="3746" spans="1:13" ht="11.25" customHeight="1" x14ac:dyDescent="0.2">
      <c r="A3746" s="924" t="s">
        <v>853</v>
      </c>
      <c r="B3746" s="924" t="s">
        <v>1196</v>
      </c>
      <c r="C3746" s="924" t="s">
        <v>1197</v>
      </c>
      <c r="D3746" s="924" t="s">
        <v>855</v>
      </c>
      <c r="E3746" s="924" t="s">
        <v>856</v>
      </c>
      <c r="F3746" s="924" t="s">
        <v>1101</v>
      </c>
      <c r="G3746" s="924" t="s">
        <v>981</v>
      </c>
      <c r="H3746" s="924" t="s">
        <v>835</v>
      </c>
      <c r="I3746" s="924" t="s">
        <v>998</v>
      </c>
      <c r="J3746" s="924" t="s">
        <v>870</v>
      </c>
      <c r="K3746" s="924" t="s">
        <v>961</v>
      </c>
      <c r="L3746" s="925">
        <v>0.242604818951804</v>
      </c>
      <c r="M3746" s="925">
        <v>3.9944285038018301E-4</v>
      </c>
    </row>
    <row r="3747" spans="1:13" ht="11.25" customHeight="1" x14ac:dyDescent="0.2">
      <c r="A3747" s="924" t="s">
        <v>853</v>
      </c>
      <c r="B3747" s="924" t="s">
        <v>1196</v>
      </c>
      <c r="C3747" s="924" t="s">
        <v>1197</v>
      </c>
      <c r="D3747" s="924" t="s">
        <v>855</v>
      </c>
      <c r="E3747" s="924" t="s">
        <v>856</v>
      </c>
      <c r="F3747" s="924" t="s">
        <v>1102</v>
      </c>
      <c r="G3747" s="924" t="s">
        <v>981</v>
      </c>
      <c r="H3747" s="924" t="s">
        <v>835</v>
      </c>
      <c r="I3747" s="924" t="s">
        <v>998</v>
      </c>
      <c r="J3747" s="924" t="s">
        <v>875</v>
      </c>
      <c r="K3747" s="924" t="s">
        <v>876</v>
      </c>
      <c r="L3747" s="925">
        <v>1.65987918525934</v>
      </c>
      <c r="M3747" s="925">
        <v>3.3586932077014401E-3</v>
      </c>
    </row>
    <row r="3748" spans="1:13" ht="11.25" customHeight="1" x14ac:dyDescent="0.2">
      <c r="A3748" s="924" t="s">
        <v>853</v>
      </c>
      <c r="B3748" s="924" t="s">
        <v>1196</v>
      </c>
      <c r="C3748" s="924" t="s">
        <v>1197</v>
      </c>
      <c r="D3748" s="924" t="s">
        <v>855</v>
      </c>
      <c r="E3748" s="924" t="s">
        <v>856</v>
      </c>
      <c r="F3748" s="924" t="s">
        <v>1076</v>
      </c>
      <c r="G3748" s="924" t="s">
        <v>981</v>
      </c>
      <c r="H3748" s="924" t="s">
        <v>835</v>
      </c>
      <c r="I3748" s="924" t="s">
        <v>998</v>
      </c>
      <c r="J3748" s="924" t="s">
        <v>859</v>
      </c>
      <c r="K3748" s="924" t="s">
        <v>860</v>
      </c>
      <c r="L3748" s="925">
        <v>0.81995975133031596</v>
      </c>
      <c r="M3748" s="925">
        <v>1.69402287065168E-3</v>
      </c>
    </row>
    <row r="3749" spans="1:13" ht="11.25" customHeight="1" x14ac:dyDescent="0.2">
      <c r="A3749" s="924" t="s">
        <v>853</v>
      </c>
      <c r="B3749" s="924" t="s">
        <v>1196</v>
      </c>
      <c r="C3749" s="924" t="s">
        <v>1197</v>
      </c>
      <c r="D3749" s="924" t="s">
        <v>855</v>
      </c>
      <c r="E3749" s="924" t="s">
        <v>856</v>
      </c>
      <c r="F3749" s="924" t="s">
        <v>1083</v>
      </c>
      <c r="G3749" s="924" t="s">
        <v>981</v>
      </c>
      <c r="H3749" s="924" t="s">
        <v>835</v>
      </c>
      <c r="I3749" s="924" t="s">
        <v>998</v>
      </c>
      <c r="J3749" s="924" t="s">
        <v>940</v>
      </c>
      <c r="K3749" s="924" t="s">
        <v>1084</v>
      </c>
      <c r="L3749" s="925">
        <v>3.1868496611714399</v>
      </c>
      <c r="M3749" s="925">
        <v>5.8221595900249702E-3</v>
      </c>
    </row>
    <row r="3750" spans="1:13" ht="11.25" customHeight="1" x14ac:dyDescent="0.2">
      <c r="A3750" s="924" t="s">
        <v>853</v>
      </c>
      <c r="B3750" s="924" t="s">
        <v>1196</v>
      </c>
      <c r="C3750" s="924" t="s">
        <v>1197</v>
      </c>
      <c r="D3750" s="924" t="s">
        <v>855</v>
      </c>
      <c r="E3750" s="924" t="s">
        <v>856</v>
      </c>
      <c r="F3750" s="924" t="s">
        <v>1119</v>
      </c>
      <c r="G3750" s="924" t="s">
        <v>981</v>
      </c>
      <c r="H3750" s="924" t="s">
        <v>835</v>
      </c>
      <c r="I3750" s="924" t="s">
        <v>1040</v>
      </c>
      <c r="J3750" s="924" t="s">
        <v>875</v>
      </c>
      <c r="K3750" s="924" t="s">
        <v>878</v>
      </c>
      <c r="L3750" s="925">
        <v>85.283859848976107</v>
      </c>
      <c r="M3750" s="925">
        <v>5.6607658409120597E-2</v>
      </c>
    </row>
    <row r="3751" spans="1:13" ht="11.25" customHeight="1" x14ac:dyDescent="0.2">
      <c r="A3751" s="924" t="s">
        <v>853</v>
      </c>
      <c r="B3751" s="924" t="s">
        <v>1196</v>
      </c>
      <c r="C3751" s="924" t="s">
        <v>1197</v>
      </c>
      <c r="D3751" s="924" t="s">
        <v>855</v>
      </c>
      <c r="E3751" s="924" t="s">
        <v>856</v>
      </c>
      <c r="F3751" s="924" t="s">
        <v>1107</v>
      </c>
      <c r="G3751" s="924" t="s">
        <v>981</v>
      </c>
      <c r="H3751" s="924" t="s">
        <v>835</v>
      </c>
      <c r="I3751" s="924" t="s">
        <v>1040</v>
      </c>
      <c r="J3751" s="924" t="s">
        <v>940</v>
      </c>
      <c r="K3751" s="924" t="s">
        <v>1034</v>
      </c>
      <c r="L3751" s="925">
        <v>43.220980629324899</v>
      </c>
      <c r="M3751" s="925">
        <v>3.1344243267355403E-2</v>
      </c>
    </row>
    <row r="3752" spans="1:13" ht="11.25" customHeight="1" x14ac:dyDescent="0.2">
      <c r="A3752" s="924" t="s">
        <v>853</v>
      </c>
      <c r="B3752" s="924" t="s">
        <v>1196</v>
      </c>
      <c r="C3752" s="924" t="s">
        <v>1197</v>
      </c>
      <c r="D3752" s="924" t="s">
        <v>855</v>
      </c>
      <c r="E3752" s="924" t="s">
        <v>856</v>
      </c>
      <c r="F3752" s="924" t="s">
        <v>1108</v>
      </c>
      <c r="G3752" s="924" t="s">
        <v>981</v>
      </c>
      <c r="H3752" s="924" t="s">
        <v>835</v>
      </c>
      <c r="I3752" s="924" t="s">
        <v>1040</v>
      </c>
      <c r="J3752" s="924" t="s">
        <v>870</v>
      </c>
      <c r="K3752" s="924" t="s">
        <v>1036</v>
      </c>
      <c r="L3752" s="925">
        <v>0.59025080595165502</v>
      </c>
      <c r="M3752" s="925">
        <v>3.9847677794568903E-4</v>
      </c>
    </row>
    <row r="3753" spans="1:13" ht="11.25" customHeight="1" x14ac:dyDescent="0.2">
      <c r="A3753" s="924" t="s">
        <v>853</v>
      </c>
      <c r="B3753" s="924" t="s">
        <v>1196</v>
      </c>
      <c r="C3753" s="924" t="s">
        <v>1197</v>
      </c>
      <c r="D3753" s="924" t="s">
        <v>855</v>
      </c>
      <c r="E3753" s="924" t="s">
        <v>856</v>
      </c>
      <c r="F3753" s="924" t="s">
        <v>1109</v>
      </c>
      <c r="G3753" s="924" t="s">
        <v>981</v>
      </c>
      <c r="H3753" s="924" t="s">
        <v>835</v>
      </c>
      <c r="I3753" s="924" t="s">
        <v>1040</v>
      </c>
      <c r="J3753" s="924" t="s">
        <v>870</v>
      </c>
      <c r="K3753" s="924" t="s">
        <v>976</v>
      </c>
      <c r="L3753" s="925">
        <v>2.2776179220527402</v>
      </c>
      <c r="M3753" s="925">
        <v>4.6506511104782401E-4</v>
      </c>
    </row>
    <row r="3754" spans="1:13" ht="11.25" customHeight="1" x14ac:dyDescent="0.2">
      <c r="A3754" s="924" t="s">
        <v>853</v>
      </c>
      <c r="B3754" s="924" t="s">
        <v>1196</v>
      </c>
      <c r="C3754" s="924" t="s">
        <v>1197</v>
      </c>
      <c r="D3754" s="924" t="s">
        <v>855</v>
      </c>
      <c r="E3754" s="924" t="s">
        <v>856</v>
      </c>
      <c r="F3754" s="924" t="s">
        <v>1110</v>
      </c>
      <c r="G3754" s="924" t="s">
        <v>981</v>
      </c>
      <c r="H3754" s="924" t="s">
        <v>835</v>
      </c>
      <c r="I3754" s="924" t="s">
        <v>1040</v>
      </c>
      <c r="J3754" s="924" t="s">
        <v>870</v>
      </c>
      <c r="K3754" s="924" t="s">
        <v>1019</v>
      </c>
      <c r="L3754" s="925">
        <v>1.7588908274774401E-2</v>
      </c>
      <c r="M3754" s="925">
        <v>1.47121001718986E-5</v>
      </c>
    </row>
    <row r="3755" spans="1:13" ht="11.25" customHeight="1" x14ac:dyDescent="0.2">
      <c r="A3755" s="924" t="s">
        <v>853</v>
      </c>
      <c r="B3755" s="924" t="s">
        <v>1196</v>
      </c>
      <c r="C3755" s="924" t="s">
        <v>1197</v>
      </c>
      <c r="D3755" s="924" t="s">
        <v>855</v>
      </c>
      <c r="E3755" s="924" t="s">
        <v>856</v>
      </c>
      <c r="F3755" s="924" t="s">
        <v>1111</v>
      </c>
      <c r="G3755" s="924" t="s">
        <v>981</v>
      </c>
      <c r="H3755" s="924" t="s">
        <v>835</v>
      </c>
      <c r="I3755" s="924" t="s">
        <v>1040</v>
      </c>
      <c r="J3755" s="924" t="s">
        <v>870</v>
      </c>
      <c r="K3755" s="924" t="s">
        <v>1016</v>
      </c>
      <c r="L3755" s="925">
        <v>1.57468767557293</v>
      </c>
      <c r="M3755" s="925">
        <v>1.3214106419354699E-3</v>
      </c>
    </row>
    <row r="3756" spans="1:13" ht="11.25" customHeight="1" x14ac:dyDescent="0.2">
      <c r="A3756" s="924" t="s">
        <v>853</v>
      </c>
      <c r="B3756" s="924" t="s">
        <v>1196</v>
      </c>
      <c r="C3756" s="924" t="s">
        <v>1197</v>
      </c>
      <c r="D3756" s="924" t="s">
        <v>855</v>
      </c>
      <c r="E3756" s="924" t="s">
        <v>856</v>
      </c>
      <c r="F3756" s="924" t="s">
        <v>1112</v>
      </c>
      <c r="G3756" s="924" t="s">
        <v>981</v>
      </c>
      <c r="H3756" s="924" t="s">
        <v>835</v>
      </c>
      <c r="I3756" s="924" t="s">
        <v>1040</v>
      </c>
      <c r="J3756" s="924" t="s">
        <v>870</v>
      </c>
      <c r="K3756" s="924" t="s">
        <v>959</v>
      </c>
      <c r="L3756" s="925">
        <v>0.48514539212919799</v>
      </c>
      <c r="M3756" s="925">
        <v>3.1909989036193998E-4</v>
      </c>
    </row>
    <row r="3757" spans="1:13" ht="11.25" customHeight="1" x14ac:dyDescent="0.2">
      <c r="A3757" s="924" t="s">
        <v>853</v>
      </c>
      <c r="B3757" s="924" t="s">
        <v>1196</v>
      </c>
      <c r="C3757" s="924" t="s">
        <v>1197</v>
      </c>
      <c r="D3757" s="924" t="s">
        <v>855</v>
      </c>
      <c r="E3757" s="924" t="s">
        <v>856</v>
      </c>
      <c r="F3757" s="924" t="s">
        <v>1113</v>
      </c>
      <c r="G3757" s="924" t="s">
        <v>981</v>
      </c>
      <c r="H3757" s="924" t="s">
        <v>835</v>
      </c>
      <c r="I3757" s="924" t="s">
        <v>1040</v>
      </c>
      <c r="J3757" s="924" t="s">
        <v>870</v>
      </c>
      <c r="K3757" s="924" t="s">
        <v>961</v>
      </c>
      <c r="L3757" s="925">
        <v>5.3015240486711299</v>
      </c>
      <c r="M3757" s="925">
        <v>4.00686081866297E-3</v>
      </c>
    </row>
    <row r="3758" spans="1:13" ht="11.25" customHeight="1" x14ac:dyDescent="0.2">
      <c r="A3758" s="924" t="s">
        <v>853</v>
      </c>
      <c r="B3758" s="924" t="s">
        <v>1196</v>
      </c>
      <c r="C3758" s="924" t="s">
        <v>1197</v>
      </c>
      <c r="D3758" s="924" t="s">
        <v>855</v>
      </c>
      <c r="E3758" s="924" t="s">
        <v>856</v>
      </c>
      <c r="F3758" s="924" t="s">
        <v>1114</v>
      </c>
      <c r="G3758" s="924" t="s">
        <v>981</v>
      </c>
      <c r="H3758" s="924" t="s">
        <v>835</v>
      </c>
      <c r="I3758" s="924" t="s">
        <v>1040</v>
      </c>
      <c r="J3758" s="924" t="s">
        <v>870</v>
      </c>
      <c r="K3758" s="924" t="s">
        <v>963</v>
      </c>
      <c r="L3758" s="925">
        <v>11.56196815148</v>
      </c>
      <c r="M3758" s="925">
        <v>1.91736289198161E-2</v>
      </c>
    </row>
    <row r="3759" spans="1:13" ht="11.25" customHeight="1" x14ac:dyDescent="0.2">
      <c r="A3759" s="924" t="s">
        <v>853</v>
      </c>
      <c r="B3759" s="924" t="s">
        <v>1196</v>
      </c>
      <c r="C3759" s="924" t="s">
        <v>1197</v>
      </c>
      <c r="D3759" s="924" t="s">
        <v>855</v>
      </c>
      <c r="E3759" s="924" t="s">
        <v>856</v>
      </c>
      <c r="F3759" s="924" t="s">
        <v>1115</v>
      </c>
      <c r="G3759" s="924" t="s">
        <v>981</v>
      </c>
      <c r="H3759" s="924" t="s">
        <v>835</v>
      </c>
      <c r="I3759" s="924" t="s">
        <v>1040</v>
      </c>
      <c r="J3759" s="924" t="s">
        <v>870</v>
      </c>
      <c r="K3759" s="924" t="s">
        <v>965</v>
      </c>
      <c r="L3759" s="925">
        <v>2.49382141791284</v>
      </c>
      <c r="M3759" s="925">
        <v>2.0927080499859598E-3</v>
      </c>
    </row>
    <row r="3760" spans="1:13" ht="11.25" customHeight="1" x14ac:dyDescent="0.2">
      <c r="A3760" s="924" t="s">
        <v>853</v>
      </c>
      <c r="B3760" s="924" t="s">
        <v>1196</v>
      </c>
      <c r="C3760" s="924" t="s">
        <v>1197</v>
      </c>
      <c r="D3760" s="924" t="s">
        <v>855</v>
      </c>
      <c r="E3760" s="924" t="s">
        <v>856</v>
      </c>
      <c r="F3760" s="924" t="s">
        <v>1130</v>
      </c>
      <c r="G3760" s="924" t="s">
        <v>981</v>
      </c>
      <c r="H3760" s="924" t="s">
        <v>835</v>
      </c>
      <c r="I3760" s="924" t="s">
        <v>1040</v>
      </c>
      <c r="J3760" s="924" t="s">
        <v>870</v>
      </c>
      <c r="K3760" s="924" t="s">
        <v>871</v>
      </c>
      <c r="L3760" s="925">
        <v>3.5936056841164801</v>
      </c>
      <c r="M3760" s="925">
        <v>2.8564450069552502E-3</v>
      </c>
    </row>
    <row r="3761" spans="1:13" ht="11.25" customHeight="1" x14ac:dyDescent="0.2">
      <c r="A3761" s="924" t="s">
        <v>853</v>
      </c>
      <c r="B3761" s="924" t="s">
        <v>1196</v>
      </c>
      <c r="C3761" s="924" t="s">
        <v>1197</v>
      </c>
      <c r="D3761" s="924" t="s">
        <v>855</v>
      </c>
      <c r="E3761" s="924" t="s">
        <v>856</v>
      </c>
      <c r="F3761" s="924" t="s">
        <v>1105</v>
      </c>
      <c r="G3761" s="924" t="s">
        <v>981</v>
      </c>
      <c r="H3761" s="924" t="s">
        <v>835</v>
      </c>
      <c r="I3761" s="924" t="s">
        <v>1040</v>
      </c>
      <c r="J3761" s="924" t="s">
        <v>940</v>
      </c>
      <c r="K3761" s="924" t="s">
        <v>1106</v>
      </c>
      <c r="L3761" s="925">
        <v>52.043615877628298</v>
      </c>
      <c r="M3761" s="925">
        <v>3.8040718530254501E-2</v>
      </c>
    </row>
    <row r="3762" spans="1:13" ht="11.25" customHeight="1" x14ac:dyDescent="0.2">
      <c r="A3762" s="924" t="s">
        <v>853</v>
      </c>
      <c r="B3762" s="924" t="s">
        <v>1196</v>
      </c>
      <c r="C3762" s="924" t="s">
        <v>1197</v>
      </c>
      <c r="D3762" s="924" t="s">
        <v>855</v>
      </c>
      <c r="E3762" s="924" t="s">
        <v>856</v>
      </c>
      <c r="F3762" s="924" t="s">
        <v>1104</v>
      </c>
      <c r="G3762" s="924" t="s">
        <v>981</v>
      </c>
      <c r="H3762" s="924" t="s">
        <v>835</v>
      </c>
      <c r="I3762" s="924" t="s">
        <v>1040</v>
      </c>
      <c r="J3762" s="924" t="s">
        <v>875</v>
      </c>
      <c r="K3762" s="924" t="s">
        <v>876</v>
      </c>
      <c r="L3762" s="925">
        <v>341.48719739913901</v>
      </c>
      <c r="M3762" s="925">
        <v>0.22914608172140999</v>
      </c>
    </row>
    <row r="3763" spans="1:13" ht="11.25" customHeight="1" x14ac:dyDescent="0.2">
      <c r="A3763" s="924" t="s">
        <v>853</v>
      </c>
      <c r="B3763" s="924" t="s">
        <v>1196</v>
      </c>
      <c r="C3763" s="924" t="s">
        <v>1197</v>
      </c>
      <c r="D3763" s="924" t="s">
        <v>855</v>
      </c>
      <c r="E3763" s="924" t="s">
        <v>856</v>
      </c>
      <c r="F3763" s="924" t="s">
        <v>1128</v>
      </c>
      <c r="G3763" s="924" t="s">
        <v>911</v>
      </c>
      <c r="H3763" s="924" t="s">
        <v>665</v>
      </c>
      <c r="I3763" s="924" t="s">
        <v>706</v>
      </c>
      <c r="J3763" s="924" t="s">
        <v>859</v>
      </c>
      <c r="K3763" s="924" t="s">
        <v>913</v>
      </c>
      <c r="L3763" s="925">
        <v>1.6206503324210599</v>
      </c>
      <c r="M3763" s="925">
        <v>1.7869777744294901E-4</v>
      </c>
    </row>
    <row r="3764" spans="1:13" ht="11.25" customHeight="1" x14ac:dyDescent="0.2">
      <c r="A3764" s="924" t="s">
        <v>853</v>
      </c>
      <c r="B3764" s="924" t="s">
        <v>1196</v>
      </c>
      <c r="C3764" s="924" t="s">
        <v>1197</v>
      </c>
      <c r="D3764" s="924" t="s">
        <v>855</v>
      </c>
      <c r="E3764" s="924" t="s">
        <v>856</v>
      </c>
      <c r="F3764" s="924" t="s">
        <v>1120</v>
      </c>
      <c r="G3764" s="924" t="s">
        <v>981</v>
      </c>
      <c r="H3764" s="924" t="s">
        <v>835</v>
      </c>
      <c r="I3764" s="924" t="s">
        <v>1040</v>
      </c>
      <c r="J3764" s="924" t="s">
        <v>875</v>
      </c>
      <c r="K3764" s="924" t="s">
        <v>880</v>
      </c>
      <c r="L3764" s="925">
        <v>45.104876220226302</v>
      </c>
      <c r="M3764" s="925">
        <v>2.6110938502597499E-2</v>
      </c>
    </row>
    <row r="3765" spans="1:13" ht="11.25" customHeight="1" x14ac:dyDescent="0.2">
      <c r="A3765" s="924" t="s">
        <v>853</v>
      </c>
      <c r="B3765" s="924" t="s">
        <v>1196</v>
      </c>
      <c r="C3765" s="924" t="s">
        <v>1197</v>
      </c>
      <c r="D3765" s="924" t="s">
        <v>855</v>
      </c>
      <c r="E3765" s="924" t="s">
        <v>856</v>
      </c>
      <c r="F3765" s="924" t="s">
        <v>1121</v>
      </c>
      <c r="G3765" s="924" t="s">
        <v>981</v>
      </c>
      <c r="H3765" s="924" t="s">
        <v>835</v>
      </c>
      <c r="I3765" s="924" t="s">
        <v>1040</v>
      </c>
      <c r="J3765" s="924" t="s">
        <v>875</v>
      </c>
      <c r="K3765" s="924" t="s">
        <v>948</v>
      </c>
      <c r="L3765" s="925">
        <v>97.055031538009601</v>
      </c>
      <c r="M3765" s="925">
        <v>6.05365331721259E-2</v>
      </c>
    </row>
    <row r="3766" spans="1:13" ht="11.25" customHeight="1" x14ac:dyDescent="0.2">
      <c r="A3766" s="924" t="s">
        <v>853</v>
      </c>
      <c r="B3766" s="924" t="s">
        <v>1196</v>
      </c>
      <c r="C3766" s="924" t="s">
        <v>1197</v>
      </c>
      <c r="D3766" s="924" t="s">
        <v>855</v>
      </c>
      <c r="E3766" s="924" t="s">
        <v>856</v>
      </c>
      <c r="F3766" s="924" t="s">
        <v>1133</v>
      </c>
      <c r="G3766" s="924" t="s">
        <v>911</v>
      </c>
      <c r="H3766" s="924" t="s">
        <v>665</v>
      </c>
      <c r="I3766" s="924" t="s">
        <v>706</v>
      </c>
      <c r="J3766" s="924" t="s">
        <v>859</v>
      </c>
      <c r="K3766" s="924" t="s">
        <v>899</v>
      </c>
      <c r="L3766" s="925">
        <v>0.27879049465991601</v>
      </c>
      <c r="M3766" s="925">
        <v>2.77748624952778E-5</v>
      </c>
    </row>
    <row r="3767" spans="1:13" ht="11.25" customHeight="1" x14ac:dyDescent="0.2">
      <c r="A3767" s="924" t="s">
        <v>853</v>
      </c>
      <c r="B3767" s="924" t="s">
        <v>1196</v>
      </c>
      <c r="C3767" s="924" t="s">
        <v>1197</v>
      </c>
      <c r="D3767" s="924" t="s">
        <v>855</v>
      </c>
      <c r="E3767" s="924" t="s">
        <v>856</v>
      </c>
      <c r="F3767" s="924" t="s">
        <v>1123</v>
      </c>
      <c r="G3767" s="924" t="s">
        <v>981</v>
      </c>
      <c r="H3767" s="924" t="s">
        <v>835</v>
      </c>
      <c r="I3767" s="924" t="s">
        <v>1040</v>
      </c>
      <c r="J3767" s="924" t="s">
        <v>875</v>
      </c>
      <c r="K3767" s="924" t="s">
        <v>952</v>
      </c>
      <c r="L3767" s="925">
        <v>7.2012499496340796</v>
      </c>
      <c r="M3767" s="925">
        <v>4.9949820124437503E-3</v>
      </c>
    </row>
    <row r="3768" spans="1:13" ht="11.25" customHeight="1" x14ac:dyDescent="0.2">
      <c r="A3768" s="924" t="s">
        <v>853</v>
      </c>
      <c r="B3768" s="924" t="s">
        <v>1196</v>
      </c>
      <c r="C3768" s="924" t="s">
        <v>1197</v>
      </c>
      <c r="D3768" s="924" t="s">
        <v>855</v>
      </c>
      <c r="E3768" s="924" t="s">
        <v>856</v>
      </c>
      <c r="F3768" s="924" t="s">
        <v>997</v>
      </c>
      <c r="G3768" s="924" t="s">
        <v>981</v>
      </c>
      <c r="H3768" s="924" t="s">
        <v>835</v>
      </c>
      <c r="I3768" s="924" t="s">
        <v>998</v>
      </c>
      <c r="J3768" s="924" t="s">
        <v>884</v>
      </c>
      <c r="K3768" s="924" t="s">
        <v>999</v>
      </c>
      <c r="L3768" s="925">
        <v>125.926413297653</v>
      </c>
      <c r="M3768" s="925">
        <v>0.40116013493388902</v>
      </c>
    </row>
    <row r="3769" spans="1:13" ht="11.25" customHeight="1" x14ac:dyDescent="0.2">
      <c r="A3769" s="924" t="s">
        <v>853</v>
      </c>
      <c r="B3769" s="924" t="s">
        <v>1196</v>
      </c>
      <c r="C3769" s="924" t="s">
        <v>1197</v>
      </c>
      <c r="D3769" s="924" t="s">
        <v>855</v>
      </c>
      <c r="E3769" s="924" t="s">
        <v>856</v>
      </c>
      <c r="F3769" s="924" t="s">
        <v>1126</v>
      </c>
      <c r="G3769" s="924" t="s">
        <v>981</v>
      </c>
      <c r="H3769" s="924" t="s">
        <v>835</v>
      </c>
      <c r="I3769" s="924" t="s">
        <v>1040</v>
      </c>
      <c r="J3769" s="924" t="s">
        <v>956</v>
      </c>
      <c r="K3769" s="924" t="s">
        <v>957</v>
      </c>
      <c r="L3769" s="925">
        <v>0.23598636267706799</v>
      </c>
      <c r="M3769" s="925">
        <v>1.8466729875399299E-4</v>
      </c>
    </row>
    <row r="3770" spans="1:13" ht="11.25" customHeight="1" x14ac:dyDescent="0.2">
      <c r="A3770" s="924" t="s">
        <v>853</v>
      </c>
      <c r="B3770" s="924" t="s">
        <v>1196</v>
      </c>
      <c r="C3770" s="924" t="s">
        <v>1197</v>
      </c>
      <c r="D3770" s="924" t="s">
        <v>855</v>
      </c>
      <c r="E3770" s="924" t="s">
        <v>856</v>
      </c>
      <c r="F3770" s="924" t="s">
        <v>1127</v>
      </c>
      <c r="G3770" s="924" t="s">
        <v>911</v>
      </c>
      <c r="H3770" s="924" t="s">
        <v>665</v>
      </c>
      <c r="I3770" s="924" t="s">
        <v>706</v>
      </c>
      <c r="J3770" s="924" t="s">
        <v>884</v>
      </c>
      <c r="K3770" s="924" t="s">
        <v>885</v>
      </c>
      <c r="L3770" s="925">
        <v>4.9168759360909498</v>
      </c>
      <c r="M3770" s="925">
        <v>2.1365537813835501E-3</v>
      </c>
    </row>
    <row r="3771" spans="1:13" ht="11.25" customHeight="1" x14ac:dyDescent="0.2">
      <c r="A3771" s="924" t="s">
        <v>853</v>
      </c>
      <c r="B3771" s="924" t="s">
        <v>1196</v>
      </c>
      <c r="C3771" s="924" t="s">
        <v>1197</v>
      </c>
      <c r="D3771" s="924" t="s">
        <v>855</v>
      </c>
      <c r="E3771" s="924" t="s">
        <v>856</v>
      </c>
      <c r="F3771" s="924" t="s">
        <v>1129</v>
      </c>
      <c r="G3771" s="924" t="s">
        <v>911</v>
      </c>
      <c r="H3771" s="924" t="s">
        <v>665</v>
      </c>
      <c r="I3771" s="924" t="s">
        <v>706</v>
      </c>
      <c r="J3771" s="924" t="s">
        <v>859</v>
      </c>
      <c r="K3771" s="924" t="s">
        <v>897</v>
      </c>
      <c r="L3771" s="925">
        <v>0.44756537768989801</v>
      </c>
      <c r="M3771" s="925">
        <v>1.6267443839978999E-4</v>
      </c>
    </row>
    <row r="3772" spans="1:13" ht="11.25" customHeight="1" x14ac:dyDescent="0.2">
      <c r="A3772" s="924" t="s">
        <v>853</v>
      </c>
      <c r="B3772" s="924" t="s">
        <v>1196</v>
      </c>
      <c r="C3772" s="924" t="s">
        <v>1197</v>
      </c>
      <c r="D3772" s="924" t="s">
        <v>855</v>
      </c>
      <c r="E3772" s="924" t="s">
        <v>856</v>
      </c>
      <c r="F3772" s="924" t="s">
        <v>1138</v>
      </c>
      <c r="G3772" s="924" t="s">
        <v>981</v>
      </c>
      <c r="H3772" s="924" t="s">
        <v>835</v>
      </c>
      <c r="I3772" s="924" t="s">
        <v>1040</v>
      </c>
      <c r="J3772" s="924" t="s">
        <v>863</v>
      </c>
      <c r="K3772" s="924" t="s">
        <v>931</v>
      </c>
      <c r="L3772" s="925">
        <v>11.2407548427582</v>
      </c>
      <c r="M3772" s="925">
        <v>4.3276147866890798E-3</v>
      </c>
    </row>
    <row r="3773" spans="1:13" ht="11.25" customHeight="1" x14ac:dyDescent="0.2">
      <c r="A3773" s="924" t="s">
        <v>853</v>
      </c>
      <c r="B3773" s="924" t="s">
        <v>1196</v>
      </c>
      <c r="C3773" s="924" t="s">
        <v>1197</v>
      </c>
      <c r="D3773" s="924" t="s">
        <v>855</v>
      </c>
      <c r="E3773" s="924" t="s">
        <v>856</v>
      </c>
      <c r="F3773" s="924" t="s">
        <v>1085</v>
      </c>
      <c r="G3773" s="924" t="s">
        <v>981</v>
      </c>
      <c r="H3773" s="924" t="s">
        <v>835</v>
      </c>
      <c r="I3773" s="924" t="s">
        <v>998</v>
      </c>
      <c r="J3773" s="924" t="s">
        <v>884</v>
      </c>
      <c r="K3773" s="924" t="s">
        <v>885</v>
      </c>
      <c r="L3773" s="925">
        <v>76.532515645027203</v>
      </c>
      <c r="M3773" s="925">
        <v>5.6215955526568002E-2</v>
      </c>
    </row>
    <row r="3774" spans="1:13" ht="11.25" customHeight="1" x14ac:dyDescent="0.2">
      <c r="A3774" s="924" t="s">
        <v>853</v>
      </c>
      <c r="B3774" s="924" t="s">
        <v>1196</v>
      </c>
      <c r="C3774" s="924" t="s">
        <v>1197</v>
      </c>
      <c r="D3774" s="924" t="s">
        <v>855</v>
      </c>
      <c r="E3774" s="924" t="s">
        <v>856</v>
      </c>
      <c r="F3774" s="924" t="s">
        <v>1117</v>
      </c>
      <c r="G3774" s="924" t="s">
        <v>981</v>
      </c>
      <c r="H3774" s="924" t="s">
        <v>835</v>
      </c>
      <c r="I3774" s="924" t="s">
        <v>1040</v>
      </c>
      <c r="J3774" s="924" t="s">
        <v>870</v>
      </c>
      <c r="K3774" s="924" t="s">
        <v>873</v>
      </c>
      <c r="L3774" s="925">
        <v>3.9624160798266499</v>
      </c>
      <c r="M3774" s="925">
        <v>3.96598284737593E-4</v>
      </c>
    </row>
    <row r="3775" spans="1:13" ht="11.25" customHeight="1" x14ac:dyDescent="0.2">
      <c r="A3775" s="924" t="s">
        <v>853</v>
      </c>
      <c r="B3775" s="924" t="s">
        <v>1196</v>
      </c>
      <c r="C3775" s="924" t="s">
        <v>1197</v>
      </c>
      <c r="D3775" s="924" t="s">
        <v>855</v>
      </c>
      <c r="E3775" s="924" t="s">
        <v>856</v>
      </c>
      <c r="F3775" s="924" t="s">
        <v>1141</v>
      </c>
      <c r="G3775" s="924" t="s">
        <v>981</v>
      </c>
      <c r="H3775" s="924" t="s">
        <v>835</v>
      </c>
      <c r="I3775" s="924" t="s">
        <v>1040</v>
      </c>
      <c r="J3775" s="924" t="s">
        <v>940</v>
      </c>
      <c r="K3775" s="924" t="s">
        <v>1142</v>
      </c>
      <c r="L3775" s="925">
        <v>252.26238858699799</v>
      </c>
      <c r="M3775" s="925">
        <v>0.185619747615419</v>
      </c>
    </row>
    <row r="3776" spans="1:13" ht="11.25" customHeight="1" x14ac:dyDescent="0.2">
      <c r="A3776" s="924" t="s">
        <v>853</v>
      </c>
      <c r="B3776" s="924" t="s">
        <v>1196</v>
      </c>
      <c r="C3776" s="924" t="s">
        <v>1197</v>
      </c>
      <c r="D3776" s="924" t="s">
        <v>855</v>
      </c>
      <c r="E3776" s="924" t="s">
        <v>856</v>
      </c>
      <c r="F3776" s="924" t="s">
        <v>1118</v>
      </c>
      <c r="G3776" s="924" t="s">
        <v>911</v>
      </c>
      <c r="H3776" s="924" t="s">
        <v>665</v>
      </c>
      <c r="I3776" s="924" t="s">
        <v>706</v>
      </c>
      <c r="J3776" s="924" t="s">
        <v>859</v>
      </c>
      <c r="K3776" s="924" t="s">
        <v>893</v>
      </c>
      <c r="L3776" s="925">
        <v>2.7481192648410802</v>
      </c>
      <c r="M3776" s="925">
        <v>1.3295760948039999E-4</v>
      </c>
    </row>
    <row r="3777" spans="1:13" ht="11.25" customHeight="1" x14ac:dyDescent="0.2">
      <c r="A3777" s="924" t="s">
        <v>853</v>
      </c>
      <c r="B3777" s="924" t="s">
        <v>1196</v>
      </c>
      <c r="C3777" s="924" t="s">
        <v>1197</v>
      </c>
      <c r="D3777" s="924" t="s">
        <v>855</v>
      </c>
      <c r="E3777" s="924" t="s">
        <v>856</v>
      </c>
      <c r="F3777" s="924" t="s">
        <v>1135</v>
      </c>
      <c r="G3777" s="924" t="s">
        <v>981</v>
      </c>
      <c r="H3777" s="924" t="s">
        <v>835</v>
      </c>
      <c r="I3777" s="924" t="s">
        <v>1040</v>
      </c>
      <c r="J3777" s="924" t="s">
        <v>863</v>
      </c>
      <c r="K3777" s="924" t="s">
        <v>935</v>
      </c>
      <c r="L3777" s="925">
        <v>9.2861694097518903</v>
      </c>
      <c r="M3777" s="925">
        <v>3.3407144001103002E-3</v>
      </c>
    </row>
    <row r="3778" spans="1:13" ht="11.25" customHeight="1" x14ac:dyDescent="0.2">
      <c r="A3778" s="924" t="s">
        <v>853</v>
      </c>
      <c r="B3778" s="924" t="s">
        <v>1196</v>
      </c>
      <c r="C3778" s="924" t="s">
        <v>1197</v>
      </c>
      <c r="D3778" s="924" t="s">
        <v>855</v>
      </c>
      <c r="E3778" s="924" t="s">
        <v>856</v>
      </c>
      <c r="F3778" s="924" t="s">
        <v>1134</v>
      </c>
      <c r="G3778" s="924" t="s">
        <v>981</v>
      </c>
      <c r="H3778" s="924" t="s">
        <v>835</v>
      </c>
      <c r="I3778" s="924" t="s">
        <v>1040</v>
      </c>
      <c r="J3778" s="924" t="s">
        <v>863</v>
      </c>
      <c r="K3778" s="924" t="s">
        <v>933</v>
      </c>
      <c r="L3778" s="925">
        <v>43.134195268154102</v>
      </c>
      <c r="M3778" s="925">
        <v>3.04543525271583E-3</v>
      </c>
    </row>
    <row r="3779" spans="1:13" ht="11.25" customHeight="1" x14ac:dyDescent="0.2">
      <c r="A3779" s="924" t="s">
        <v>853</v>
      </c>
      <c r="B3779" s="924" t="s">
        <v>1196</v>
      </c>
      <c r="C3779" s="924" t="s">
        <v>1197</v>
      </c>
      <c r="D3779" s="924" t="s">
        <v>855</v>
      </c>
      <c r="E3779" s="924" t="s">
        <v>856</v>
      </c>
      <c r="F3779" s="924" t="s">
        <v>1148</v>
      </c>
      <c r="G3779" s="924" t="s">
        <v>981</v>
      </c>
      <c r="H3779" s="924" t="s">
        <v>835</v>
      </c>
      <c r="I3779" s="924" t="s">
        <v>1040</v>
      </c>
      <c r="J3779" s="924" t="s">
        <v>863</v>
      </c>
      <c r="K3779" s="924" t="s">
        <v>915</v>
      </c>
      <c r="L3779" s="925">
        <v>0.79211224522441603</v>
      </c>
      <c r="M3779" s="925">
        <v>2.9520763153811902E-4</v>
      </c>
    </row>
    <row r="3780" spans="1:13" ht="11.25" customHeight="1" x14ac:dyDescent="0.2">
      <c r="A3780" s="924" t="s">
        <v>853</v>
      </c>
      <c r="B3780" s="924" t="s">
        <v>1196</v>
      </c>
      <c r="C3780" s="924" t="s">
        <v>1197</v>
      </c>
      <c r="D3780" s="924" t="s">
        <v>855</v>
      </c>
      <c r="E3780" s="924" t="s">
        <v>856</v>
      </c>
      <c r="F3780" s="924" t="s">
        <v>1137</v>
      </c>
      <c r="G3780" s="924" t="s">
        <v>981</v>
      </c>
      <c r="H3780" s="924" t="s">
        <v>835</v>
      </c>
      <c r="I3780" s="924" t="s">
        <v>1040</v>
      </c>
      <c r="J3780" s="924" t="s">
        <v>863</v>
      </c>
      <c r="K3780" s="924" t="s">
        <v>866</v>
      </c>
      <c r="L3780" s="925">
        <v>3.37178661674261</v>
      </c>
      <c r="M3780" s="925">
        <v>2.2582747187698299E-3</v>
      </c>
    </row>
    <row r="3781" spans="1:13" ht="11.25" customHeight="1" x14ac:dyDescent="0.2">
      <c r="A3781" s="924" t="s">
        <v>853</v>
      </c>
      <c r="B3781" s="924" t="s">
        <v>1196</v>
      </c>
      <c r="C3781" s="924" t="s">
        <v>1197</v>
      </c>
      <c r="D3781" s="924" t="s">
        <v>855</v>
      </c>
      <c r="E3781" s="924" t="s">
        <v>856</v>
      </c>
      <c r="F3781" s="924" t="s">
        <v>1116</v>
      </c>
      <c r="G3781" s="924" t="s">
        <v>981</v>
      </c>
      <c r="H3781" s="924" t="s">
        <v>835</v>
      </c>
      <c r="I3781" s="924" t="s">
        <v>1040</v>
      </c>
      <c r="J3781" s="924" t="s">
        <v>940</v>
      </c>
      <c r="K3781" s="924" t="s">
        <v>1032</v>
      </c>
      <c r="L3781" s="925">
        <v>1406.0464181899999</v>
      </c>
      <c r="M3781" s="925">
        <v>0.88386749918572605</v>
      </c>
    </row>
    <row r="3782" spans="1:13" ht="11.25" customHeight="1" x14ac:dyDescent="0.2">
      <c r="A3782" s="924" t="s">
        <v>853</v>
      </c>
      <c r="B3782" s="924" t="s">
        <v>1196</v>
      </c>
      <c r="C3782" s="924" t="s">
        <v>1197</v>
      </c>
      <c r="D3782" s="924" t="s">
        <v>855</v>
      </c>
      <c r="E3782" s="924" t="s">
        <v>856</v>
      </c>
      <c r="F3782" s="924" t="s">
        <v>1139</v>
      </c>
      <c r="G3782" s="924" t="s">
        <v>981</v>
      </c>
      <c r="H3782" s="924" t="s">
        <v>835</v>
      </c>
      <c r="I3782" s="924" t="s">
        <v>1040</v>
      </c>
      <c r="J3782" s="924" t="s">
        <v>940</v>
      </c>
      <c r="K3782" s="924" t="s">
        <v>1140</v>
      </c>
      <c r="L3782" s="925">
        <v>540.06015396118198</v>
      </c>
      <c r="M3782" s="925">
        <v>0.39460477758564499</v>
      </c>
    </row>
    <row r="3783" spans="1:13" ht="11.25" customHeight="1" x14ac:dyDescent="0.2">
      <c r="A3783" s="924" t="s">
        <v>853</v>
      </c>
      <c r="B3783" s="924" t="s">
        <v>1196</v>
      </c>
      <c r="C3783" s="924" t="s">
        <v>1197</v>
      </c>
      <c r="D3783" s="924" t="s">
        <v>855</v>
      </c>
      <c r="E3783" s="924" t="s">
        <v>856</v>
      </c>
      <c r="F3783" s="924" t="s">
        <v>1136</v>
      </c>
      <c r="G3783" s="924" t="s">
        <v>981</v>
      </c>
      <c r="H3783" s="924" t="s">
        <v>835</v>
      </c>
      <c r="I3783" s="924" t="s">
        <v>1040</v>
      </c>
      <c r="J3783" s="924" t="s">
        <v>863</v>
      </c>
      <c r="K3783" s="924" t="s">
        <v>864</v>
      </c>
      <c r="L3783" s="925">
        <v>17.449385061860099</v>
      </c>
      <c r="M3783" s="925">
        <v>1.3020370461163101E-2</v>
      </c>
    </row>
    <row r="3784" spans="1:13" ht="11.25" customHeight="1" x14ac:dyDescent="0.2">
      <c r="A3784" s="924" t="s">
        <v>853</v>
      </c>
      <c r="B3784" s="924" t="s">
        <v>1196</v>
      </c>
      <c r="C3784" s="924" t="s">
        <v>1197</v>
      </c>
      <c r="D3784" s="924" t="s">
        <v>855</v>
      </c>
      <c r="E3784" s="924" t="s">
        <v>856</v>
      </c>
      <c r="F3784" s="924" t="s">
        <v>1143</v>
      </c>
      <c r="G3784" s="924" t="s">
        <v>981</v>
      </c>
      <c r="H3784" s="924" t="s">
        <v>835</v>
      </c>
      <c r="I3784" s="924" t="s">
        <v>1040</v>
      </c>
      <c r="J3784" s="924" t="s">
        <v>940</v>
      </c>
      <c r="K3784" s="924" t="s">
        <v>1084</v>
      </c>
      <c r="L3784" s="925">
        <v>46.473191738128698</v>
      </c>
      <c r="M3784" s="925">
        <v>3.3902308117831098E-2</v>
      </c>
    </row>
    <row r="3785" spans="1:13" ht="11.25" customHeight="1" x14ac:dyDescent="0.2">
      <c r="A3785" s="924" t="s">
        <v>853</v>
      </c>
      <c r="B3785" s="924" t="s">
        <v>1196</v>
      </c>
      <c r="C3785" s="924" t="s">
        <v>1197</v>
      </c>
      <c r="D3785" s="924" t="s">
        <v>855</v>
      </c>
      <c r="E3785" s="924" t="s">
        <v>856</v>
      </c>
      <c r="F3785" s="924" t="s">
        <v>1144</v>
      </c>
      <c r="G3785" s="924" t="s">
        <v>981</v>
      </c>
      <c r="H3785" s="924" t="s">
        <v>835</v>
      </c>
      <c r="I3785" s="924" t="s">
        <v>1040</v>
      </c>
      <c r="J3785" s="924" t="s">
        <v>940</v>
      </c>
      <c r="K3785" s="924" t="s">
        <v>1070</v>
      </c>
      <c r="L3785" s="925">
        <v>149.98473858833299</v>
      </c>
      <c r="M3785" s="925">
        <v>0.104180292371893</v>
      </c>
    </row>
    <row r="3786" spans="1:13" ht="11.25" customHeight="1" x14ac:dyDescent="0.2">
      <c r="A3786" s="924" t="s">
        <v>853</v>
      </c>
      <c r="B3786" s="924" t="s">
        <v>1196</v>
      </c>
      <c r="C3786" s="924" t="s">
        <v>1197</v>
      </c>
      <c r="D3786" s="924" t="s">
        <v>855</v>
      </c>
      <c r="E3786" s="924" t="s">
        <v>856</v>
      </c>
      <c r="F3786" s="924" t="s">
        <v>1149</v>
      </c>
      <c r="G3786" s="924" t="s">
        <v>981</v>
      </c>
      <c r="H3786" s="924" t="s">
        <v>835</v>
      </c>
      <c r="I3786" s="924" t="s">
        <v>1040</v>
      </c>
      <c r="J3786" s="924" t="s">
        <v>940</v>
      </c>
      <c r="K3786" s="924" t="s">
        <v>1091</v>
      </c>
      <c r="L3786" s="925">
        <v>2.9948645308613799</v>
      </c>
      <c r="M3786" s="925">
        <v>2.0861098128079898E-3</v>
      </c>
    </row>
    <row r="3787" spans="1:13" ht="11.25" customHeight="1" x14ac:dyDescent="0.2">
      <c r="A3787" s="924" t="s">
        <v>853</v>
      </c>
      <c r="B3787" s="924" t="s">
        <v>1196</v>
      </c>
      <c r="C3787" s="924" t="s">
        <v>1197</v>
      </c>
      <c r="D3787" s="924" t="s">
        <v>855</v>
      </c>
      <c r="E3787" s="924" t="s">
        <v>856</v>
      </c>
      <c r="F3787" s="924" t="s">
        <v>1161</v>
      </c>
      <c r="G3787" s="924" t="s">
        <v>981</v>
      </c>
      <c r="H3787" s="924" t="s">
        <v>835</v>
      </c>
      <c r="I3787" s="924" t="s">
        <v>1040</v>
      </c>
      <c r="J3787" s="924" t="s">
        <v>940</v>
      </c>
      <c r="K3787" s="924" t="s">
        <v>1027</v>
      </c>
      <c r="L3787" s="925">
        <v>36.204475775361097</v>
      </c>
      <c r="M3787" s="925">
        <v>2.4956770162589199E-2</v>
      </c>
    </row>
    <row r="3788" spans="1:13" ht="11.25" customHeight="1" x14ac:dyDescent="0.2">
      <c r="A3788" s="924" t="s">
        <v>853</v>
      </c>
      <c r="B3788" s="924" t="s">
        <v>1196</v>
      </c>
      <c r="C3788" s="924" t="s">
        <v>1197</v>
      </c>
      <c r="D3788" s="924" t="s">
        <v>855</v>
      </c>
      <c r="E3788" s="924" t="s">
        <v>856</v>
      </c>
      <c r="F3788" s="924" t="s">
        <v>1132</v>
      </c>
      <c r="G3788" s="924" t="s">
        <v>981</v>
      </c>
      <c r="H3788" s="924" t="s">
        <v>835</v>
      </c>
      <c r="I3788" s="924" t="s">
        <v>1040</v>
      </c>
      <c r="J3788" s="924" t="s">
        <v>940</v>
      </c>
      <c r="K3788" s="924" t="s">
        <v>941</v>
      </c>
      <c r="L3788" s="925">
        <v>72.682585895061493</v>
      </c>
      <c r="M3788" s="925">
        <v>3.1648564065108097E-2</v>
      </c>
    </row>
    <row r="3789" spans="1:13" ht="11.25" customHeight="1" x14ac:dyDescent="0.2">
      <c r="A3789" s="924" t="s">
        <v>853</v>
      </c>
      <c r="B3789" s="924" t="s">
        <v>1196</v>
      </c>
      <c r="C3789" s="924" t="s">
        <v>1197</v>
      </c>
      <c r="D3789" s="924" t="s">
        <v>855</v>
      </c>
      <c r="E3789" s="924" t="s">
        <v>856</v>
      </c>
      <c r="F3789" s="924" t="s">
        <v>1131</v>
      </c>
      <c r="G3789" s="924" t="s">
        <v>981</v>
      </c>
      <c r="H3789" s="924" t="s">
        <v>835</v>
      </c>
      <c r="I3789" s="924" t="s">
        <v>1040</v>
      </c>
      <c r="J3789" s="924" t="s">
        <v>863</v>
      </c>
      <c r="K3789" s="924" t="s">
        <v>868</v>
      </c>
      <c r="L3789" s="925">
        <v>3.81855402514338</v>
      </c>
      <c r="M3789" s="925">
        <v>2.6946521029458397E-4</v>
      </c>
    </row>
    <row r="3790" spans="1:13" ht="11.25" customHeight="1" x14ac:dyDescent="0.2">
      <c r="A3790" s="924" t="s">
        <v>853</v>
      </c>
      <c r="B3790" s="924" t="s">
        <v>1196</v>
      </c>
      <c r="C3790" s="924" t="s">
        <v>1197</v>
      </c>
      <c r="D3790" s="924" t="s">
        <v>855</v>
      </c>
      <c r="E3790" s="924" t="s">
        <v>856</v>
      </c>
      <c r="F3790" s="924" t="s">
        <v>1160</v>
      </c>
      <c r="G3790" s="924" t="s">
        <v>981</v>
      </c>
      <c r="H3790" s="924" t="s">
        <v>835</v>
      </c>
      <c r="I3790" s="924" t="s">
        <v>1040</v>
      </c>
      <c r="J3790" s="924" t="s">
        <v>940</v>
      </c>
      <c r="K3790" s="924" t="s">
        <v>1093</v>
      </c>
      <c r="L3790" s="925">
        <v>5.8431891016662103</v>
      </c>
      <c r="M3790" s="925">
        <v>4.1111418540822299E-3</v>
      </c>
    </row>
    <row r="3791" spans="1:13" ht="11.25" customHeight="1" x14ac:dyDescent="0.2">
      <c r="A3791" s="924" t="s">
        <v>853</v>
      </c>
      <c r="B3791" s="924" t="s">
        <v>1196</v>
      </c>
      <c r="C3791" s="924" t="s">
        <v>1197</v>
      </c>
      <c r="D3791" s="924" t="s">
        <v>855</v>
      </c>
      <c r="E3791" s="924" t="s">
        <v>856</v>
      </c>
      <c r="F3791" s="924" t="s">
        <v>1150</v>
      </c>
      <c r="G3791" s="924" t="s">
        <v>981</v>
      </c>
      <c r="H3791" s="924" t="s">
        <v>835</v>
      </c>
      <c r="I3791" s="924" t="s">
        <v>1040</v>
      </c>
      <c r="J3791" s="924" t="s">
        <v>940</v>
      </c>
      <c r="K3791" s="924" t="s">
        <v>1151</v>
      </c>
      <c r="L3791" s="925">
        <v>17.277593486011</v>
      </c>
      <c r="M3791" s="925">
        <v>1.21303180785617E-2</v>
      </c>
    </row>
    <row r="3792" spans="1:13" ht="11.25" customHeight="1" x14ac:dyDescent="0.2">
      <c r="A3792" s="924" t="s">
        <v>853</v>
      </c>
      <c r="B3792" s="924" t="s">
        <v>1196</v>
      </c>
      <c r="C3792" s="924" t="s">
        <v>1197</v>
      </c>
      <c r="D3792" s="924" t="s">
        <v>855</v>
      </c>
      <c r="E3792" s="924" t="s">
        <v>856</v>
      </c>
      <c r="F3792" s="924" t="s">
        <v>1145</v>
      </c>
      <c r="G3792" s="924" t="s">
        <v>981</v>
      </c>
      <c r="H3792" s="924" t="s">
        <v>835</v>
      </c>
      <c r="I3792" s="924" t="s">
        <v>1040</v>
      </c>
      <c r="J3792" s="924" t="s">
        <v>940</v>
      </c>
      <c r="K3792" s="924" t="s">
        <v>1029</v>
      </c>
      <c r="L3792" s="925">
        <v>435.58044362068199</v>
      </c>
      <c r="M3792" s="925">
        <v>0.28558025613892801</v>
      </c>
    </row>
    <row r="3793" spans="1:13" ht="11.25" customHeight="1" x14ac:dyDescent="0.2">
      <c r="A3793" s="924" t="s">
        <v>853</v>
      </c>
      <c r="B3793" s="924" t="s">
        <v>1196</v>
      </c>
      <c r="C3793" s="924" t="s">
        <v>1197</v>
      </c>
      <c r="D3793" s="924" t="s">
        <v>855</v>
      </c>
      <c r="E3793" s="924" t="s">
        <v>856</v>
      </c>
      <c r="F3793" s="924" t="s">
        <v>1152</v>
      </c>
      <c r="G3793" s="924" t="s">
        <v>981</v>
      </c>
      <c r="H3793" s="924" t="s">
        <v>835</v>
      </c>
      <c r="I3793" s="924" t="s">
        <v>1040</v>
      </c>
      <c r="J3793" s="924" t="s">
        <v>940</v>
      </c>
      <c r="K3793" s="924" t="s">
        <v>1153</v>
      </c>
      <c r="L3793" s="925">
        <v>32.051456943154299</v>
      </c>
      <c r="M3793" s="925">
        <v>2.1018336839915702E-2</v>
      </c>
    </row>
    <row r="3794" spans="1:13" ht="11.25" customHeight="1" x14ac:dyDescent="0.2">
      <c r="A3794" s="924" t="s">
        <v>853</v>
      </c>
      <c r="B3794" s="924" t="s">
        <v>1196</v>
      </c>
      <c r="C3794" s="924" t="s">
        <v>1197</v>
      </c>
      <c r="D3794" s="924" t="s">
        <v>855</v>
      </c>
      <c r="E3794" s="924" t="s">
        <v>856</v>
      </c>
      <c r="F3794" s="924" t="s">
        <v>1154</v>
      </c>
      <c r="G3794" s="924" t="s">
        <v>981</v>
      </c>
      <c r="H3794" s="924" t="s">
        <v>835</v>
      </c>
      <c r="I3794" s="924" t="s">
        <v>1040</v>
      </c>
      <c r="J3794" s="924" t="s">
        <v>940</v>
      </c>
      <c r="K3794" s="924" t="s">
        <v>1155</v>
      </c>
      <c r="L3794" s="925">
        <v>109.20789217948899</v>
      </c>
      <c r="M3794" s="925">
        <v>7.0220039085072003E-2</v>
      </c>
    </row>
    <row r="3795" spans="1:13" ht="11.25" customHeight="1" x14ac:dyDescent="0.2">
      <c r="A3795" s="924" t="s">
        <v>853</v>
      </c>
      <c r="B3795" s="924" t="s">
        <v>1196</v>
      </c>
      <c r="C3795" s="924" t="s">
        <v>1197</v>
      </c>
      <c r="D3795" s="924" t="s">
        <v>855</v>
      </c>
      <c r="E3795" s="924" t="s">
        <v>856</v>
      </c>
      <c r="F3795" s="924" t="s">
        <v>1156</v>
      </c>
      <c r="G3795" s="924" t="s">
        <v>981</v>
      </c>
      <c r="H3795" s="924" t="s">
        <v>835</v>
      </c>
      <c r="I3795" s="924" t="s">
        <v>1040</v>
      </c>
      <c r="J3795" s="924" t="s">
        <v>940</v>
      </c>
      <c r="K3795" s="924" t="s">
        <v>1025</v>
      </c>
      <c r="L3795" s="925">
        <v>95.922145843505902</v>
      </c>
      <c r="M3795" s="925">
        <v>0.17911765124881601</v>
      </c>
    </row>
    <row r="3796" spans="1:13" ht="11.25" customHeight="1" x14ac:dyDescent="0.2">
      <c r="A3796" s="924" t="s">
        <v>853</v>
      </c>
      <c r="B3796" s="924" t="s">
        <v>1196</v>
      </c>
      <c r="C3796" s="924" t="s">
        <v>1197</v>
      </c>
      <c r="D3796" s="924" t="s">
        <v>855</v>
      </c>
      <c r="E3796" s="924" t="s">
        <v>856</v>
      </c>
      <c r="F3796" s="924" t="s">
        <v>1157</v>
      </c>
      <c r="G3796" s="924" t="s">
        <v>981</v>
      </c>
      <c r="H3796" s="924" t="s">
        <v>835</v>
      </c>
      <c r="I3796" s="924" t="s">
        <v>1040</v>
      </c>
      <c r="J3796" s="924" t="s">
        <v>940</v>
      </c>
      <c r="K3796" s="924" t="s">
        <v>1098</v>
      </c>
      <c r="L3796" s="925">
        <v>61.519285202026403</v>
      </c>
      <c r="M3796" s="925">
        <v>0.11502653569914401</v>
      </c>
    </row>
    <row r="3797" spans="1:13" ht="11.25" customHeight="1" x14ac:dyDescent="0.2">
      <c r="A3797" s="924" t="s">
        <v>853</v>
      </c>
      <c r="B3797" s="924" t="s">
        <v>1196</v>
      </c>
      <c r="C3797" s="924" t="s">
        <v>1197</v>
      </c>
      <c r="D3797" s="924" t="s">
        <v>855</v>
      </c>
      <c r="E3797" s="924" t="s">
        <v>856</v>
      </c>
      <c r="F3797" s="924" t="s">
        <v>1158</v>
      </c>
      <c r="G3797" s="924" t="s">
        <v>981</v>
      </c>
      <c r="H3797" s="924" t="s">
        <v>835</v>
      </c>
      <c r="I3797" s="924" t="s">
        <v>1040</v>
      </c>
      <c r="J3797" s="924" t="s">
        <v>940</v>
      </c>
      <c r="K3797" s="924" t="s">
        <v>1023</v>
      </c>
      <c r="L3797" s="925">
        <v>239.412984192371</v>
      </c>
      <c r="M3797" s="925">
        <v>0.13722789159169199</v>
      </c>
    </row>
    <row r="3798" spans="1:13" ht="11.25" customHeight="1" x14ac:dyDescent="0.2">
      <c r="A3798" s="924" t="s">
        <v>853</v>
      </c>
      <c r="B3798" s="924" t="s">
        <v>1196</v>
      </c>
      <c r="C3798" s="924" t="s">
        <v>1197</v>
      </c>
      <c r="D3798" s="924" t="s">
        <v>855</v>
      </c>
      <c r="E3798" s="924" t="s">
        <v>856</v>
      </c>
      <c r="F3798" s="924" t="s">
        <v>1159</v>
      </c>
      <c r="G3798" s="924" t="s">
        <v>981</v>
      </c>
      <c r="H3798" s="924" t="s">
        <v>835</v>
      </c>
      <c r="I3798" s="924" t="s">
        <v>1040</v>
      </c>
      <c r="J3798" s="924" t="s">
        <v>940</v>
      </c>
      <c r="K3798" s="924" t="s">
        <v>1095</v>
      </c>
      <c r="L3798" s="925">
        <v>5.7133191786706403</v>
      </c>
      <c r="M3798" s="925">
        <v>3.9803681866033003E-3</v>
      </c>
    </row>
    <row r="3799" spans="1:13" ht="11.25" customHeight="1" x14ac:dyDescent="0.2">
      <c r="A3799" s="924" t="s">
        <v>853</v>
      </c>
      <c r="B3799" s="924" t="s">
        <v>1196</v>
      </c>
      <c r="C3799" s="924" t="s">
        <v>1197</v>
      </c>
      <c r="D3799" s="924" t="s">
        <v>855</v>
      </c>
      <c r="E3799" s="924" t="s">
        <v>856</v>
      </c>
      <c r="F3799" s="924" t="s">
        <v>1146</v>
      </c>
      <c r="G3799" s="924" t="s">
        <v>981</v>
      </c>
      <c r="H3799" s="924" t="s">
        <v>835</v>
      </c>
      <c r="I3799" s="924" t="s">
        <v>1040</v>
      </c>
      <c r="J3799" s="924" t="s">
        <v>940</v>
      </c>
      <c r="K3799" s="924" t="s">
        <v>1147</v>
      </c>
      <c r="L3799" s="925">
        <v>1463.9503993988001</v>
      </c>
      <c r="M3799" s="925">
        <v>0.93968023266643297</v>
      </c>
    </row>
    <row r="3800" spans="1:13" ht="11.25" customHeight="1" x14ac:dyDescent="0.2">
      <c r="A3800" s="924" t="s">
        <v>853</v>
      </c>
      <c r="B3800" s="924" t="s">
        <v>806</v>
      </c>
      <c r="C3800" s="924" t="s">
        <v>1198</v>
      </c>
      <c r="D3800" s="924" t="s">
        <v>855</v>
      </c>
      <c r="E3800" s="924" t="s">
        <v>856</v>
      </c>
      <c r="F3800" s="924" t="s">
        <v>881</v>
      </c>
      <c r="G3800" s="924" t="s">
        <v>862</v>
      </c>
      <c r="H3800" s="924" t="s">
        <v>665</v>
      </c>
      <c r="I3800" s="924" t="s">
        <v>787</v>
      </c>
      <c r="J3800" s="924" t="s">
        <v>875</v>
      </c>
      <c r="K3800" s="924" t="s">
        <v>882</v>
      </c>
      <c r="L3800" s="925">
        <v>10.198250591754899</v>
      </c>
      <c r="M3800" s="925">
        <v>4.8733549134340103E-2</v>
      </c>
    </row>
    <row r="3801" spans="1:13" ht="11.25" customHeight="1" x14ac:dyDescent="0.2">
      <c r="A3801" s="924" t="s">
        <v>853</v>
      </c>
      <c r="B3801" s="924" t="s">
        <v>806</v>
      </c>
      <c r="C3801" s="924" t="s">
        <v>1198</v>
      </c>
      <c r="D3801" s="924" t="s">
        <v>855</v>
      </c>
      <c r="E3801" s="924" t="s">
        <v>856</v>
      </c>
      <c r="F3801" s="924" t="s">
        <v>888</v>
      </c>
      <c r="G3801" s="924" t="s">
        <v>858</v>
      </c>
      <c r="H3801" s="924" t="s">
        <v>836</v>
      </c>
      <c r="I3801" s="924" t="s">
        <v>837</v>
      </c>
      <c r="J3801" s="924" t="s">
        <v>859</v>
      </c>
      <c r="K3801" s="924" t="s">
        <v>889</v>
      </c>
      <c r="L3801" s="925">
        <v>3.5943808034062399E-2</v>
      </c>
      <c r="M3801" s="925">
        <v>3.9659694776803004E-6</v>
      </c>
    </row>
    <row r="3802" spans="1:13" ht="11.25" customHeight="1" x14ac:dyDescent="0.2">
      <c r="A3802" s="924" t="s">
        <v>853</v>
      </c>
      <c r="B3802" s="924" t="s">
        <v>806</v>
      </c>
      <c r="C3802" s="924" t="s">
        <v>1198</v>
      </c>
      <c r="D3802" s="924" t="s">
        <v>855</v>
      </c>
      <c r="E3802" s="924" t="s">
        <v>856</v>
      </c>
      <c r="F3802" s="924" t="s">
        <v>912</v>
      </c>
      <c r="G3802" s="924" t="s">
        <v>858</v>
      </c>
      <c r="H3802" s="924" t="s">
        <v>836</v>
      </c>
      <c r="I3802" s="924" t="s">
        <v>837</v>
      </c>
      <c r="J3802" s="924" t="s">
        <v>859</v>
      </c>
      <c r="K3802" s="924" t="s">
        <v>913</v>
      </c>
      <c r="L3802" s="925">
        <v>22.075075954198802</v>
      </c>
      <c r="M3802" s="925">
        <v>2.4310048840092699E-4</v>
      </c>
    </row>
    <row r="3803" spans="1:13" ht="11.25" customHeight="1" x14ac:dyDescent="0.2">
      <c r="A3803" s="924" t="s">
        <v>853</v>
      </c>
      <c r="B3803" s="924" t="s">
        <v>806</v>
      </c>
      <c r="C3803" s="924" t="s">
        <v>1198</v>
      </c>
      <c r="D3803" s="924" t="s">
        <v>855</v>
      </c>
      <c r="E3803" s="924" t="s">
        <v>856</v>
      </c>
      <c r="F3803" s="924" t="s">
        <v>879</v>
      </c>
      <c r="G3803" s="924" t="s">
        <v>862</v>
      </c>
      <c r="H3803" s="924" t="s">
        <v>665</v>
      </c>
      <c r="I3803" s="924" t="s">
        <v>787</v>
      </c>
      <c r="J3803" s="924" t="s">
        <v>875</v>
      </c>
      <c r="K3803" s="924" t="s">
        <v>880</v>
      </c>
      <c r="L3803" s="925">
        <v>0.28654381632804898</v>
      </c>
      <c r="M3803" s="925">
        <v>1.61204051244113E-3</v>
      </c>
    </row>
    <row r="3804" spans="1:13" ht="11.25" customHeight="1" x14ac:dyDescent="0.2">
      <c r="A3804" s="924" t="s">
        <v>853</v>
      </c>
      <c r="B3804" s="924" t="s">
        <v>806</v>
      </c>
      <c r="C3804" s="924" t="s">
        <v>1198</v>
      </c>
      <c r="D3804" s="924" t="s">
        <v>855</v>
      </c>
      <c r="E3804" s="924" t="s">
        <v>856</v>
      </c>
      <c r="F3804" s="924" t="s">
        <v>877</v>
      </c>
      <c r="G3804" s="924" t="s">
        <v>862</v>
      </c>
      <c r="H3804" s="924" t="s">
        <v>665</v>
      </c>
      <c r="I3804" s="924" t="s">
        <v>787</v>
      </c>
      <c r="J3804" s="924" t="s">
        <v>875</v>
      </c>
      <c r="K3804" s="924" t="s">
        <v>878</v>
      </c>
      <c r="L3804" s="925">
        <v>0.19427255331538601</v>
      </c>
      <c r="M3804" s="925">
        <v>3.1827095981498102E-3</v>
      </c>
    </row>
    <row r="3805" spans="1:13" ht="11.25" customHeight="1" x14ac:dyDescent="0.2">
      <c r="A3805" s="924" t="s">
        <v>853</v>
      </c>
      <c r="B3805" s="924" t="s">
        <v>806</v>
      </c>
      <c r="C3805" s="924" t="s">
        <v>1198</v>
      </c>
      <c r="D3805" s="924" t="s">
        <v>855</v>
      </c>
      <c r="E3805" s="924" t="s">
        <v>856</v>
      </c>
      <c r="F3805" s="924" t="s">
        <v>874</v>
      </c>
      <c r="G3805" s="924" t="s">
        <v>862</v>
      </c>
      <c r="H3805" s="924" t="s">
        <v>665</v>
      </c>
      <c r="I3805" s="924" t="s">
        <v>787</v>
      </c>
      <c r="J3805" s="924" t="s">
        <v>875</v>
      </c>
      <c r="K3805" s="924" t="s">
        <v>876</v>
      </c>
      <c r="L3805" s="925">
        <v>4.0613833069801304</v>
      </c>
      <c r="M3805" s="925">
        <v>0.123541739711072</v>
      </c>
    </row>
    <row r="3806" spans="1:13" ht="11.25" customHeight="1" x14ac:dyDescent="0.2">
      <c r="A3806" s="924" t="s">
        <v>853</v>
      </c>
      <c r="B3806" s="924" t="s">
        <v>806</v>
      </c>
      <c r="C3806" s="924" t="s">
        <v>1198</v>
      </c>
      <c r="D3806" s="924" t="s">
        <v>855</v>
      </c>
      <c r="E3806" s="924" t="s">
        <v>856</v>
      </c>
      <c r="F3806" s="924" t="s">
        <v>872</v>
      </c>
      <c r="G3806" s="924" t="s">
        <v>862</v>
      </c>
      <c r="H3806" s="924" t="s">
        <v>665</v>
      </c>
      <c r="I3806" s="924" t="s">
        <v>787</v>
      </c>
      <c r="J3806" s="924" t="s">
        <v>870</v>
      </c>
      <c r="K3806" s="924" t="s">
        <v>873</v>
      </c>
      <c r="L3806" s="925">
        <v>4.7365290895104399</v>
      </c>
      <c r="M3806" s="925">
        <v>1.9064598534896501E-2</v>
      </c>
    </row>
    <row r="3807" spans="1:13" ht="11.25" customHeight="1" x14ac:dyDescent="0.2">
      <c r="A3807" s="924" t="s">
        <v>853</v>
      </c>
      <c r="B3807" s="924" t="s">
        <v>806</v>
      </c>
      <c r="C3807" s="924" t="s">
        <v>1198</v>
      </c>
      <c r="D3807" s="924" t="s">
        <v>855</v>
      </c>
      <c r="E3807" s="924" t="s">
        <v>856</v>
      </c>
      <c r="F3807" s="924" t="s">
        <v>867</v>
      </c>
      <c r="G3807" s="924" t="s">
        <v>862</v>
      </c>
      <c r="H3807" s="924" t="s">
        <v>665</v>
      </c>
      <c r="I3807" s="924" t="s">
        <v>787</v>
      </c>
      <c r="J3807" s="924" t="s">
        <v>863</v>
      </c>
      <c r="K3807" s="924" t="s">
        <v>868</v>
      </c>
      <c r="L3807" s="925">
        <v>0.14541699085384599</v>
      </c>
      <c r="M3807" s="925">
        <v>5.9496201356523703E-4</v>
      </c>
    </row>
    <row r="3808" spans="1:13" ht="11.25" customHeight="1" x14ac:dyDescent="0.2">
      <c r="A3808" s="924" t="s">
        <v>853</v>
      </c>
      <c r="B3808" s="924" t="s">
        <v>806</v>
      </c>
      <c r="C3808" s="924" t="s">
        <v>1198</v>
      </c>
      <c r="D3808" s="924" t="s">
        <v>855</v>
      </c>
      <c r="E3808" s="924" t="s">
        <v>856</v>
      </c>
      <c r="F3808" s="924" t="s">
        <v>869</v>
      </c>
      <c r="G3808" s="924" t="s">
        <v>862</v>
      </c>
      <c r="H3808" s="924" t="s">
        <v>665</v>
      </c>
      <c r="I3808" s="924" t="s">
        <v>787</v>
      </c>
      <c r="J3808" s="924" t="s">
        <v>870</v>
      </c>
      <c r="K3808" s="924" t="s">
        <v>871</v>
      </c>
      <c r="L3808" s="925">
        <v>4.30594461067813E-2</v>
      </c>
      <c r="M3808" s="925">
        <v>2.4706448718916402E-3</v>
      </c>
    </row>
    <row r="3809" spans="1:13" ht="11.25" customHeight="1" x14ac:dyDescent="0.2">
      <c r="A3809" s="924" t="s">
        <v>853</v>
      </c>
      <c r="B3809" s="924" t="s">
        <v>806</v>
      </c>
      <c r="C3809" s="924" t="s">
        <v>1198</v>
      </c>
      <c r="D3809" s="924" t="s">
        <v>855</v>
      </c>
      <c r="E3809" s="924" t="s">
        <v>856</v>
      </c>
      <c r="F3809" s="924" t="s">
        <v>857</v>
      </c>
      <c r="G3809" s="924" t="s">
        <v>858</v>
      </c>
      <c r="H3809" s="924" t="s">
        <v>836</v>
      </c>
      <c r="I3809" s="924" t="s">
        <v>837</v>
      </c>
      <c r="J3809" s="924" t="s">
        <v>859</v>
      </c>
      <c r="K3809" s="924" t="s">
        <v>860</v>
      </c>
      <c r="L3809" s="925">
        <v>0.59216683590784702</v>
      </c>
      <c r="M3809" s="925">
        <v>5.4497959582011598E-5</v>
      </c>
    </row>
    <row r="3810" spans="1:13" ht="11.25" customHeight="1" x14ac:dyDescent="0.2">
      <c r="A3810" s="924" t="s">
        <v>853</v>
      </c>
      <c r="B3810" s="924" t="s">
        <v>806</v>
      </c>
      <c r="C3810" s="924" t="s">
        <v>1198</v>
      </c>
      <c r="D3810" s="924" t="s">
        <v>855</v>
      </c>
      <c r="E3810" s="924" t="s">
        <v>856</v>
      </c>
      <c r="F3810" s="924" t="s">
        <v>892</v>
      </c>
      <c r="G3810" s="924" t="s">
        <v>858</v>
      </c>
      <c r="H3810" s="924" t="s">
        <v>836</v>
      </c>
      <c r="I3810" s="924" t="s">
        <v>837</v>
      </c>
      <c r="J3810" s="924" t="s">
        <v>859</v>
      </c>
      <c r="K3810" s="924" t="s">
        <v>893</v>
      </c>
      <c r="L3810" s="925">
        <v>55.260724961757703</v>
      </c>
      <c r="M3810" s="925">
        <v>6.9903780582336605E-4</v>
      </c>
    </row>
    <row r="3811" spans="1:13" ht="11.25" customHeight="1" x14ac:dyDescent="0.2">
      <c r="A3811" s="924" t="s">
        <v>853</v>
      </c>
      <c r="B3811" s="924" t="s">
        <v>806</v>
      </c>
      <c r="C3811" s="924" t="s">
        <v>1198</v>
      </c>
      <c r="D3811" s="924" t="s">
        <v>855</v>
      </c>
      <c r="E3811" s="924" t="s">
        <v>856</v>
      </c>
      <c r="F3811" s="924" t="s">
        <v>894</v>
      </c>
      <c r="G3811" s="924" t="s">
        <v>858</v>
      </c>
      <c r="H3811" s="924" t="s">
        <v>836</v>
      </c>
      <c r="I3811" s="924" t="s">
        <v>837</v>
      </c>
      <c r="J3811" s="924" t="s">
        <v>859</v>
      </c>
      <c r="K3811" s="924" t="s">
        <v>895</v>
      </c>
      <c r="L3811" s="925">
        <v>60.125407397746997</v>
      </c>
      <c r="M3811" s="925">
        <v>3.9826715398305602E-4</v>
      </c>
    </row>
    <row r="3812" spans="1:13" ht="11.25" customHeight="1" x14ac:dyDescent="0.2">
      <c r="A3812" s="924" t="s">
        <v>853</v>
      </c>
      <c r="B3812" s="924" t="s">
        <v>806</v>
      </c>
      <c r="C3812" s="924" t="s">
        <v>1198</v>
      </c>
      <c r="D3812" s="924" t="s">
        <v>855</v>
      </c>
      <c r="E3812" s="924" t="s">
        <v>856</v>
      </c>
      <c r="F3812" s="924" t="s">
        <v>896</v>
      </c>
      <c r="G3812" s="924" t="s">
        <v>858</v>
      </c>
      <c r="H3812" s="924" t="s">
        <v>836</v>
      </c>
      <c r="I3812" s="924" t="s">
        <v>837</v>
      </c>
      <c r="J3812" s="924" t="s">
        <v>859</v>
      </c>
      <c r="K3812" s="924" t="s">
        <v>897</v>
      </c>
      <c r="L3812" s="925">
        <v>3.3155073225498199</v>
      </c>
      <c r="M3812" s="925">
        <v>5.3690722284560601E-5</v>
      </c>
    </row>
    <row r="3813" spans="1:13" ht="11.25" customHeight="1" x14ac:dyDescent="0.2">
      <c r="A3813" s="924" t="s">
        <v>853</v>
      </c>
      <c r="B3813" s="924" t="s">
        <v>806</v>
      </c>
      <c r="C3813" s="924" t="s">
        <v>1198</v>
      </c>
      <c r="D3813" s="924" t="s">
        <v>855</v>
      </c>
      <c r="E3813" s="924" t="s">
        <v>856</v>
      </c>
      <c r="F3813" s="924" t="s">
        <v>898</v>
      </c>
      <c r="G3813" s="924" t="s">
        <v>858</v>
      </c>
      <c r="H3813" s="924" t="s">
        <v>836</v>
      </c>
      <c r="I3813" s="924" t="s">
        <v>837</v>
      </c>
      <c r="J3813" s="924" t="s">
        <v>859</v>
      </c>
      <c r="K3813" s="924" t="s">
        <v>899</v>
      </c>
      <c r="L3813" s="925">
        <v>2.0319723300635801</v>
      </c>
      <c r="M3813" s="925">
        <v>3.5344178408003302E-5</v>
      </c>
    </row>
    <row r="3814" spans="1:13" ht="11.25" customHeight="1" x14ac:dyDescent="0.2">
      <c r="A3814" s="924" t="s">
        <v>853</v>
      </c>
      <c r="B3814" s="924" t="s">
        <v>806</v>
      </c>
      <c r="C3814" s="924" t="s">
        <v>1198</v>
      </c>
      <c r="D3814" s="924" t="s">
        <v>855</v>
      </c>
      <c r="E3814" s="924" t="s">
        <v>856</v>
      </c>
      <c r="F3814" s="924" t="s">
        <v>900</v>
      </c>
      <c r="G3814" s="924" t="s">
        <v>858</v>
      </c>
      <c r="H3814" s="924" t="s">
        <v>836</v>
      </c>
      <c r="I3814" s="924" t="s">
        <v>837</v>
      </c>
      <c r="J3814" s="924" t="s">
        <v>859</v>
      </c>
      <c r="K3814" s="924" t="s">
        <v>901</v>
      </c>
      <c r="L3814" s="925">
        <v>6.1030899882316598</v>
      </c>
      <c r="M3814" s="925">
        <v>2.6598741627559302E-4</v>
      </c>
    </row>
    <row r="3815" spans="1:13" ht="11.25" customHeight="1" x14ac:dyDescent="0.2">
      <c r="A3815" s="924" t="s">
        <v>853</v>
      </c>
      <c r="B3815" s="924" t="s">
        <v>806</v>
      </c>
      <c r="C3815" s="924" t="s">
        <v>1198</v>
      </c>
      <c r="D3815" s="924" t="s">
        <v>855</v>
      </c>
      <c r="E3815" s="924" t="s">
        <v>856</v>
      </c>
      <c r="F3815" s="924" t="s">
        <v>902</v>
      </c>
      <c r="G3815" s="924" t="s">
        <v>858</v>
      </c>
      <c r="H3815" s="924" t="s">
        <v>836</v>
      </c>
      <c r="I3815" s="924" t="s">
        <v>837</v>
      </c>
      <c r="J3815" s="924" t="s">
        <v>859</v>
      </c>
      <c r="K3815" s="924" t="s">
        <v>903</v>
      </c>
      <c r="L3815" s="925">
        <v>26.207511276006699</v>
      </c>
      <c r="M3815" s="925">
        <v>4.5558652500687902E-4</v>
      </c>
    </row>
    <row r="3816" spans="1:13" ht="11.25" customHeight="1" x14ac:dyDescent="0.2">
      <c r="A3816" s="924" t="s">
        <v>853</v>
      </c>
      <c r="B3816" s="924" t="s">
        <v>806</v>
      </c>
      <c r="C3816" s="924" t="s">
        <v>1198</v>
      </c>
      <c r="D3816" s="924" t="s">
        <v>855</v>
      </c>
      <c r="E3816" s="924" t="s">
        <v>856</v>
      </c>
      <c r="F3816" s="924" t="s">
        <v>904</v>
      </c>
      <c r="G3816" s="924" t="s">
        <v>858</v>
      </c>
      <c r="H3816" s="924" t="s">
        <v>836</v>
      </c>
      <c r="I3816" s="924" t="s">
        <v>837</v>
      </c>
      <c r="J3816" s="924" t="s">
        <v>859</v>
      </c>
      <c r="K3816" s="924" t="s">
        <v>905</v>
      </c>
      <c r="L3816" s="925">
        <v>22.6914841532707</v>
      </c>
      <c r="M3816" s="925">
        <v>4.29877505247589E-4</v>
      </c>
    </row>
    <row r="3817" spans="1:13" ht="11.25" customHeight="1" x14ac:dyDescent="0.2">
      <c r="A3817" s="924" t="s">
        <v>853</v>
      </c>
      <c r="B3817" s="924" t="s">
        <v>806</v>
      </c>
      <c r="C3817" s="924" t="s">
        <v>1198</v>
      </c>
      <c r="D3817" s="924" t="s">
        <v>855</v>
      </c>
      <c r="E3817" s="924" t="s">
        <v>856</v>
      </c>
      <c r="F3817" s="924" t="s">
        <v>906</v>
      </c>
      <c r="G3817" s="924" t="s">
        <v>858</v>
      </c>
      <c r="H3817" s="924" t="s">
        <v>836</v>
      </c>
      <c r="I3817" s="924" t="s">
        <v>837</v>
      </c>
      <c r="J3817" s="924" t="s">
        <v>859</v>
      </c>
      <c r="K3817" s="924" t="s">
        <v>907</v>
      </c>
      <c r="L3817" s="925">
        <v>223.94192218780501</v>
      </c>
      <c r="M3817" s="925">
        <v>1.49088676914744E-3</v>
      </c>
    </row>
    <row r="3818" spans="1:13" ht="11.25" customHeight="1" x14ac:dyDescent="0.2">
      <c r="A3818" s="924" t="s">
        <v>853</v>
      </c>
      <c r="B3818" s="924" t="s">
        <v>806</v>
      </c>
      <c r="C3818" s="924" t="s">
        <v>1198</v>
      </c>
      <c r="D3818" s="924" t="s">
        <v>855</v>
      </c>
      <c r="E3818" s="924" t="s">
        <v>856</v>
      </c>
      <c r="F3818" s="924" t="s">
        <v>972</v>
      </c>
      <c r="G3818" s="924" t="s">
        <v>858</v>
      </c>
      <c r="H3818" s="924" t="s">
        <v>836</v>
      </c>
      <c r="I3818" s="924" t="s">
        <v>837</v>
      </c>
      <c r="J3818" s="924" t="s">
        <v>859</v>
      </c>
      <c r="K3818" s="924" t="s">
        <v>973</v>
      </c>
      <c r="L3818" s="925">
        <v>0.88581930752843596</v>
      </c>
      <c r="M3818" s="925">
        <v>2.2565682247233099E-5</v>
      </c>
    </row>
    <row r="3819" spans="1:13" ht="11.25" customHeight="1" x14ac:dyDescent="0.2">
      <c r="A3819" s="924" t="s">
        <v>853</v>
      </c>
      <c r="B3819" s="924" t="s">
        <v>806</v>
      </c>
      <c r="C3819" s="924" t="s">
        <v>1198</v>
      </c>
      <c r="D3819" s="924" t="s">
        <v>855</v>
      </c>
      <c r="E3819" s="924" t="s">
        <v>856</v>
      </c>
      <c r="F3819" s="924" t="s">
        <v>942</v>
      </c>
      <c r="G3819" s="924" t="s">
        <v>911</v>
      </c>
      <c r="H3819" s="924" t="s">
        <v>665</v>
      </c>
      <c r="I3819" s="924" t="s">
        <v>706</v>
      </c>
      <c r="J3819" s="924" t="s">
        <v>870</v>
      </c>
      <c r="K3819" s="924" t="s">
        <v>871</v>
      </c>
      <c r="L3819" s="925">
        <v>2.2876328817801599E-2</v>
      </c>
      <c r="M3819" s="925">
        <v>1.42773030491483E-5</v>
      </c>
    </row>
    <row r="3820" spans="1:13" ht="11.25" customHeight="1" x14ac:dyDescent="0.2">
      <c r="A3820" s="924" t="s">
        <v>853</v>
      </c>
      <c r="B3820" s="924" t="s">
        <v>806</v>
      </c>
      <c r="C3820" s="924" t="s">
        <v>1198</v>
      </c>
      <c r="D3820" s="924" t="s">
        <v>855</v>
      </c>
      <c r="E3820" s="924" t="s">
        <v>856</v>
      </c>
      <c r="F3820" s="924" t="s">
        <v>1037</v>
      </c>
      <c r="G3820" s="924" t="s">
        <v>858</v>
      </c>
      <c r="H3820" s="924" t="s">
        <v>836</v>
      </c>
      <c r="I3820" s="924" t="s">
        <v>837</v>
      </c>
      <c r="J3820" s="924" t="s">
        <v>859</v>
      </c>
      <c r="K3820" s="924" t="s">
        <v>918</v>
      </c>
      <c r="L3820" s="925">
        <v>51.199463665485403</v>
      </c>
      <c r="M3820" s="925">
        <v>4.9550021707034397E-4</v>
      </c>
    </row>
    <row r="3821" spans="1:13" ht="11.25" customHeight="1" x14ac:dyDescent="0.2">
      <c r="A3821" s="924" t="s">
        <v>853</v>
      </c>
      <c r="B3821" s="924" t="s">
        <v>806</v>
      </c>
      <c r="C3821" s="924" t="s">
        <v>1198</v>
      </c>
      <c r="D3821" s="924" t="s">
        <v>855</v>
      </c>
      <c r="E3821" s="924" t="s">
        <v>856</v>
      </c>
      <c r="F3821" s="924" t="s">
        <v>908</v>
      </c>
      <c r="G3821" s="924" t="s">
        <v>858</v>
      </c>
      <c r="H3821" s="924" t="s">
        <v>836</v>
      </c>
      <c r="I3821" s="924" t="s">
        <v>837</v>
      </c>
      <c r="J3821" s="924" t="s">
        <v>859</v>
      </c>
      <c r="K3821" s="924" t="s">
        <v>909</v>
      </c>
      <c r="L3821" s="925">
        <v>1.86310782842338</v>
      </c>
      <c r="M3821" s="925">
        <v>3.8995545797337903E-5</v>
      </c>
    </row>
    <row r="3822" spans="1:13" ht="11.25" customHeight="1" x14ac:dyDescent="0.2">
      <c r="A3822" s="924" t="s">
        <v>853</v>
      </c>
      <c r="B3822" s="924" t="s">
        <v>806</v>
      </c>
      <c r="C3822" s="924" t="s">
        <v>1198</v>
      </c>
      <c r="D3822" s="924" t="s">
        <v>855</v>
      </c>
      <c r="E3822" s="924" t="s">
        <v>856</v>
      </c>
      <c r="F3822" s="924" t="s">
        <v>939</v>
      </c>
      <c r="G3822" s="924" t="s">
        <v>911</v>
      </c>
      <c r="H3822" s="924" t="s">
        <v>665</v>
      </c>
      <c r="I3822" s="924" t="s">
        <v>706</v>
      </c>
      <c r="J3822" s="924" t="s">
        <v>940</v>
      </c>
      <c r="K3822" s="924" t="s">
        <v>941</v>
      </c>
      <c r="L3822" s="925">
        <v>52.8226100802422</v>
      </c>
      <c r="M3822" s="925">
        <v>2.5413464800294601E-3</v>
      </c>
    </row>
    <row r="3823" spans="1:13" ht="11.25" customHeight="1" x14ac:dyDescent="0.2">
      <c r="A3823" s="924" t="s">
        <v>853</v>
      </c>
      <c r="B3823" s="924" t="s">
        <v>806</v>
      </c>
      <c r="C3823" s="924" t="s">
        <v>1198</v>
      </c>
      <c r="D3823" s="924" t="s">
        <v>855</v>
      </c>
      <c r="E3823" s="924" t="s">
        <v>856</v>
      </c>
      <c r="F3823" s="924" t="s">
        <v>925</v>
      </c>
      <c r="G3823" s="924" t="s">
        <v>911</v>
      </c>
      <c r="H3823" s="924" t="s">
        <v>665</v>
      </c>
      <c r="I3823" s="924" t="s">
        <v>706</v>
      </c>
      <c r="J3823" s="924" t="s">
        <v>859</v>
      </c>
      <c r="K3823" s="924" t="s">
        <v>926</v>
      </c>
      <c r="L3823" s="925">
        <v>9.3124602921307101E-2</v>
      </c>
      <c r="M3823" s="925">
        <v>4.2931890327224698E-6</v>
      </c>
    </row>
    <row r="3824" spans="1:13" ht="11.25" customHeight="1" x14ac:dyDescent="0.2">
      <c r="A3824" s="924" t="s">
        <v>853</v>
      </c>
      <c r="B3824" s="924" t="s">
        <v>806</v>
      </c>
      <c r="C3824" s="924" t="s">
        <v>1198</v>
      </c>
      <c r="D3824" s="924" t="s">
        <v>855</v>
      </c>
      <c r="E3824" s="924" t="s">
        <v>856</v>
      </c>
      <c r="F3824" s="924" t="s">
        <v>1018</v>
      </c>
      <c r="G3824" s="924" t="s">
        <v>858</v>
      </c>
      <c r="H3824" s="924" t="s">
        <v>836</v>
      </c>
      <c r="I3824" s="924" t="s">
        <v>837</v>
      </c>
      <c r="J3824" s="924" t="s">
        <v>870</v>
      </c>
      <c r="K3824" s="924" t="s">
        <v>1019</v>
      </c>
      <c r="L3824" s="925">
        <v>173.578968822956</v>
      </c>
      <c r="M3824" s="925">
        <v>1.3045208351982801E-3</v>
      </c>
    </row>
    <row r="3825" spans="1:13" ht="11.25" customHeight="1" x14ac:dyDescent="0.2">
      <c r="A3825" s="924" t="s">
        <v>853</v>
      </c>
      <c r="B3825" s="924" t="s">
        <v>806</v>
      </c>
      <c r="C3825" s="924" t="s">
        <v>1198</v>
      </c>
      <c r="D3825" s="924" t="s">
        <v>855</v>
      </c>
      <c r="E3825" s="924" t="s">
        <v>856</v>
      </c>
      <c r="F3825" s="924" t="s">
        <v>886</v>
      </c>
      <c r="G3825" s="924" t="s">
        <v>858</v>
      </c>
      <c r="H3825" s="924" t="s">
        <v>836</v>
      </c>
      <c r="I3825" s="924" t="s">
        <v>837</v>
      </c>
      <c r="J3825" s="924" t="s">
        <v>859</v>
      </c>
      <c r="K3825" s="924" t="s">
        <v>887</v>
      </c>
      <c r="L3825" s="925">
        <v>55.718459308147402</v>
      </c>
      <c r="M3825" s="925">
        <v>4.12369524212863E-4</v>
      </c>
    </row>
    <row r="3826" spans="1:13" ht="11.25" customHeight="1" x14ac:dyDescent="0.2">
      <c r="A3826" s="924" t="s">
        <v>853</v>
      </c>
      <c r="B3826" s="924" t="s">
        <v>806</v>
      </c>
      <c r="C3826" s="924" t="s">
        <v>1198</v>
      </c>
      <c r="D3826" s="924" t="s">
        <v>855</v>
      </c>
      <c r="E3826" s="924" t="s">
        <v>856</v>
      </c>
      <c r="F3826" s="924" t="s">
        <v>927</v>
      </c>
      <c r="G3826" s="924" t="s">
        <v>911</v>
      </c>
      <c r="H3826" s="924" t="s">
        <v>665</v>
      </c>
      <c r="I3826" s="924" t="s">
        <v>706</v>
      </c>
      <c r="J3826" s="924" t="s">
        <v>859</v>
      </c>
      <c r="K3826" s="924" t="s">
        <v>928</v>
      </c>
      <c r="L3826" s="925">
        <v>0.75717276614159301</v>
      </c>
      <c r="M3826" s="925">
        <v>2.24561188986172E-4</v>
      </c>
    </row>
    <row r="3827" spans="1:13" ht="11.25" customHeight="1" x14ac:dyDescent="0.2">
      <c r="A3827" s="924" t="s">
        <v>853</v>
      </c>
      <c r="B3827" s="924" t="s">
        <v>806</v>
      </c>
      <c r="C3827" s="924" t="s">
        <v>1198</v>
      </c>
      <c r="D3827" s="924" t="s">
        <v>855</v>
      </c>
      <c r="E3827" s="924" t="s">
        <v>856</v>
      </c>
      <c r="F3827" s="924" t="s">
        <v>929</v>
      </c>
      <c r="G3827" s="924" t="s">
        <v>911</v>
      </c>
      <c r="H3827" s="924" t="s">
        <v>665</v>
      </c>
      <c r="I3827" s="924" t="s">
        <v>706</v>
      </c>
      <c r="J3827" s="924" t="s">
        <v>859</v>
      </c>
      <c r="K3827" s="924" t="s">
        <v>891</v>
      </c>
      <c r="L3827" s="925">
        <v>0.311728486558422</v>
      </c>
      <c r="M3827" s="925">
        <v>1.2489988688457699E-4</v>
      </c>
    </row>
    <row r="3828" spans="1:13" ht="11.25" customHeight="1" x14ac:dyDescent="0.2">
      <c r="A3828" s="924" t="s">
        <v>853</v>
      </c>
      <c r="B3828" s="924" t="s">
        <v>806</v>
      </c>
      <c r="C3828" s="924" t="s">
        <v>1198</v>
      </c>
      <c r="D3828" s="924" t="s">
        <v>855</v>
      </c>
      <c r="E3828" s="924" t="s">
        <v>856</v>
      </c>
      <c r="F3828" s="924" t="s">
        <v>930</v>
      </c>
      <c r="G3828" s="924" t="s">
        <v>911</v>
      </c>
      <c r="H3828" s="924" t="s">
        <v>665</v>
      </c>
      <c r="I3828" s="924" t="s">
        <v>706</v>
      </c>
      <c r="J3828" s="924" t="s">
        <v>863</v>
      </c>
      <c r="K3828" s="924" t="s">
        <v>931</v>
      </c>
      <c r="L3828" s="925">
        <v>4.1058412119746199</v>
      </c>
      <c r="M3828" s="925">
        <v>8.3673940912376598E-4</v>
      </c>
    </row>
    <row r="3829" spans="1:13" ht="11.25" customHeight="1" x14ac:dyDescent="0.2">
      <c r="A3829" s="924" t="s">
        <v>853</v>
      </c>
      <c r="B3829" s="924" t="s">
        <v>806</v>
      </c>
      <c r="C3829" s="924" t="s">
        <v>1198</v>
      </c>
      <c r="D3829" s="924" t="s">
        <v>855</v>
      </c>
      <c r="E3829" s="924" t="s">
        <v>856</v>
      </c>
      <c r="F3829" s="924" t="s">
        <v>932</v>
      </c>
      <c r="G3829" s="924" t="s">
        <v>911</v>
      </c>
      <c r="H3829" s="924" t="s">
        <v>665</v>
      </c>
      <c r="I3829" s="924" t="s">
        <v>706</v>
      </c>
      <c r="J3829" s="924" t="s">
        <v>863</v>
      </c>
      <c r="K3829" s="924" t="s">
        <v>933</v>
      </c>
      <c r="L3829" s="925">
        <v>381.973425865173</v>
      </c>
      <c r="M3829" s="925">
        <v>1.8460293009411499E-2</v>
      </c>
    </row>
    <row r="3830" spans="1:13" ht="11.25" customHeight="1" x14ac:dyDescent="0.2">
      <c r="A3830" s="924" t="s">
        <v>853</v>
      </c>
      <c r="B3830" s="924" t="s">
        <v>806</v>
      </c>
      <c r="C3830" s="924" t="s">
        <v>1198</v>
      </c>
      <c r="D3830" s="924" t="s">
        <v>855</v>
      </c>
      <c r="E3830" s="924" t="s">
        <v>856</v>
      </c>
      <c r="F3830" s="924" t="s">
        <v>954</v>
      </c>
      <c r="G3830" s="924" t="s">
        <v>911</v>
      </c>
      <c r="H3830" s="924" t="s">
        <v>665</v>
      </c>
      <c r="I3830" s="924" t="s">
        <v>706</v>
      </c>
      <c r="J3830" s="924" t="s">
        <v>863</v>
      </c>
      <c r="K3830" s="924" t="s">
        <v>935</v>
      </c>
      <c r="L3830" s="925">
        <v>2.85005930438638</v>
      </c>
      <c r="M3830" s="925">
        <v>1.3456683529966499E-4</v>
      </c>
    </row>
    <row r="3831" spans="1:13" ht="11.25" customHeight="1" x14ac:dyDescent="0.2">
      <c r="A3831" s="924" t="s">
        <v>853</v>
      </c>
      <c r="B3831" s="924" t="s">
        <v>806</v>
      </c>
      <c r="C3831" s="924" t="s">
        <v>1198</v>
      </c>
      <c r="D3831" s="924" t="s">
        <v>855</v>
      </c>
      <c r="E3831" s="924" t="s">
        <v>856</v>
      </c>
      <c r="F3831" s="924" t="s">
        <v>936</v>
      </c>
      <c r="G3831" s="924" t="s">
        <v>911</v>
      </c>
      <c r="H3831" s="924" t="s">
        <v>665</v>
      </c>
      <c r="I3831" s="924" t="s">
        <v>706</v>
      </c>
      <c r="J3831" s="924" t="s">
        <v>863</v>
      </c>
      <c r="K3831" s="924" t="s">
        <v>864</v>
      </c>
      <c r="L3831" s="925">
        <v>0.89897138159722101</v>
      </c>
      <c r="M3831" s="925">
        <v>4.1842124005597698E-5</v>
      </c>
    </row>
    <row r="3832" spans="1:13" ht="11.25" customHeight="1" x14ac:dyDescent="0.2">
      <c r="A3832" s="924" t="s">
        <v>853</v>
      </c>
      <c r="B3832" s="924" t="s">
        <v>806</v>
      </c>
      <c r="C3832" s="924" t="s">
        <v>1198</v>
      </c>
      <c r="D3832" s="924" t="s">
        <v>855</v>
      </c>
      <c r="E3832" s="924" t="s">
        <v>856</v>
      </c>
      <c r="F3832" s="924" t="s">
        <v>944</v>
      </c>
      <c r="G3832" s="924" t="s">
        <v>911</v>
      </c>
      <c r="H3832" s="924" t="s">
        <v>665</v>
      </c>
      <c r="I3832" s="924" t="s">
        <v>706</v>
      </c>
      <c r="J3832" s="924" t="s">
        <v>875</v>
      </c>
      <c r="K3832" s="924" t="s">
        <v>876</v>
      </c>
      <c r="L3832" s="925">
        <v>13.2858639955521</v>
      </c>
      <c r="M3832" s="925">
        <v>4.2005281939054796E-3</v>
      </c>
    </row>
    <row r="3833" spans="1:13" ht="11.25" customHeight="1" x14ac:dyDescent="0.2">
      <c r="A3833" s="924" t="s">
        <v>853</v>
      </c>
      <c r="B3833" s="924" t="s">
        <v>806</v>
      </c>
      <c r="C3833" s="924" t="s">
        <v>1198</v>
      </c>
      <c r="D3833" s="924" t="s">
        <v>855</v>
      </c>
      <c r="E3833" s="924" t="s">
        <v>856</v>
      </c>
      <c r="F3833" s="924" t="s">
        <v>938</v>
      </c>
      <c r="G3833" s="924" t="s">
        <v>911</v>
      </c>
      <c r="H3833" s="924" t="s">
        <v>665</v>
      </c>
      <c r="I3833" s="924" t="s">
        <v>706</v>
      </c>
      <c r="J3833" s="924" t="s">
        <v>863</v>
      </c>
      <c r="K3833" s="924" t="s">
        <v>868</v>
      </c>
      <c r="L3833" s="925">
        <v>1.76741758361459</v>
      </c>
      <c r="M3833" s="925">
        <v>8.1668491247910397E-5</v>
      </c>
    </row>
    <row r="3834" spans="1:13" ht="11.25" customHeight="1" x14ac:dyDescent="0.2">
      <c r="A3834" s="924" t="s">
        <v>853</v>
      </c>
      <c r="B3834" s="924" t="s">
        <v>806</v>
      </c>
      <c r="C3834" s="924" t="s">
        <v>1198</v>
      </c>
      <c r="D3834" s="924" t="s">
        <v>855</v>
      </c>
      <c r="E3834" s="924" t="s">
        <v>856</v>
      </c>
      <c r="F3834" s="924" t="s">
        <v>865</v>
      </c>
      <c r="G3834" s="924" t="s">
        <v>862</v>
      </c>
      <c r="H3834" s="924" t="s">
        <v>665</v>
      </c>
      <c r="I3834" s="924" t="s">
        <v>787</v>
      </c>
      <c r="J3834" s="924" t="s">
        <v>863</v>
      </c>
      <c r="K3834" s="924" t="s">
        <v>866</v>
      </c>
      <c r="L3834" s="925">
        <v>0.196558910422027</v>
      </c>
      <c r="M3834" s="925">
        <v>9.4831490298474797E-4</v>
      </c>
    </row>
    <row r="3835" spans="1:13" ht="11.25" customHeight="1" x14ac:dyDescent="0.2">
      <c r="A3835" s="924" t="s">
        <v>853</v>
      </c>
      <c r="B3835" s="924" t="s">
        <v>806</v>
      </c>
      <c r="C3835" s="924" t="s">
        <v>1198</v>
      </c>
      <c r="D3835" s="924" t="s">
        <v>855</v>
      </c>
      <c r="E3835" s="924" t="s">
        <v>856</v>
      </c>
      <c r="F3835" s="924" t="s">
        <v>943</v>
      </c>
      <c r="G3835" s="924" t="s">
        <v>911</v>
      </c>
      <c r="H3835" s="924" t="s">
        <v>665</v>
      </c>
      <c r="I3835" s="924" t="s">
        <v>706</v>
      </c>
      <c r="J3835" s="924" t="s">
        <v>870</v>
      </c>
      <c r="K3835" s="924" t="s">
        <v>873</v>
      </c>
      <c r="L3835" s="925">
        <v>4.6499523581587703E-2</v>
      </c>
      <c r="M3835" s="925">
        <v>2.1115803385818302E-6</v>
      </c>
    </row>
    <row r="3836" spans="1:13" ht="11.25" customHeight="1" x14ac:dyDescent="0.2">
      <c r="A3836" s="924" t="s">
        <v>853</v>
      </c>
      <c r="B3836" s="924" t="s">
        <v>806</v>
      </c>
      <c r="C3836" s="924" t="s">
        <v>1198</v>
      </c>
      <c r="D3836" s="924" t="s">
        <v>855</v>
      </c>
      <c r="E3836" s="924" t="s">
        <v>856</v>
      </c>
      <c r="F3836" s="924" t="s">
        <v>945</v>
      </c>
      <c r="G3836" s="924" t="s">
        <v>911</v>
      </c>
      <c r="H3836" s="924" t="s">
        <v>665</v>
      </c>
      <c r="I3836" s="924" t="s">
        <v>706</v>
      </c>
      <c r="J3836" s="924" t="s">
        <v>875</v>
      </c>
      <c r="K3836" s="924" t="s">
        <v>878</v>
      </c>
      <c r="L3836" s="925">
        <v>2.9338219910860102</v>
      </c>
      <c r="M3836" s="925">
        <v>4.3402958840488298E-4</v>
      </c>
    </row>
    <row r="3837" spans="1:13" ht="11.25" customHeight="1" x14ac:dyDescent="0.2">
      <c r="A3837" s="924" t="s">
        <v>853</v>
      </c>
      <c r="B3837" s="924" t="s">
        <v>806</v>
      </c>
      <c r="C3837" s="924" t="s">
        <v>1198</v>
      </c>
      <c r="D3837" s="924" t="s">
        <v>855</v>
      </c>
      <c r="E3837" s="924" t="s">
        <v>856</v>
      </c>
      <c r="F3837" s="924" t="s">
        <v>946</v>
      </c>
      <c r="G3837" s="924" t="s">
        <v>911</v>
      </c>
      <c r="H3837" s="924" t="s">
        <v>665</v>
      </c>
      <c r="I3837" s="924" t="s">
        <v>706</v>
      </c>
      <c r="J3837" s="924" t="s">
        <v>875</v>
      </c>
      <c r="K3837" s="924" t="s">
        <v>880</v>
      </c>
      <c r="L3837" s="925">
        <v>3.46820586174726</v>
      </c>
      <c r="M3837" s="925">
        <v>2.207332932187E-4</v>
      </c>
    </row>
    <row r="3838" spans="1:13" ht="11.25" customHeight="1" x14ac:dyDescent="0.2">
      <c r="A3838" s="924" t="s">
        <v>853</v>
      </c>
      <c r="B3838" s="924" t="s">
        <v>806</v>
      </c>
      <c r="C3838" s="924" t="s">
        <v>1198</v>
      </c>
      <c r="D3838" s="924" t="s">
        <v>855</v>
      </c>
      <c r="E3838" s="924" t="s">
        <v>856</v>
      </c>
      <c r="F3838" s="924" t="s">
        <v>947</v>
      </c>
      <c r="G3838" s="924" t="s">
        <v>911</v>
      </c>
      <c r="H3838" s="924" t="s">
        <v>665</v>
      </c>
      <c r="I3838" s="924" t="s">
        <v>706</v>
      </c>
      <c r="J3838" s="924" t="s">
        <v>875</v>
      </c>
      <c r="K3838" s="924" t="s">
        <v>948</v>
      </c>
      <c r="L3838" s="925">
        <v>4.3107951618731004</v>
      </c>
      <c r="M3838" s="925">
        <v>3.2942542915748201E-4</v>
      </c>
    </row>
    <row r="3839" spans="1:13" ht="11.25" customHeight="1" x14ac:dyDescent="0.2">
      <c r="A3839" s="924" t="s">
        <v>853</v>
      </c>
      <c r="B3839" s="924" t="s">
        <v>806</v>
      </c>
      <c r="C3839" s="924" t="s">
        <v>1198</v>
      </c>
      <c r="D3839" s="924" t="s">
        <v>855</v>
      </c>
      <c r="E3839" s="924" t="s">
        <v>856</v>
      </c>
      <c r="F3839" s="924" t="s">
        <v>949</v>
      </c>
      <c r="G3839" s="924" t="s">
        <v>911</v>
      </c>
      <c r="H3839" s="924" t="s">
        <v>665</v>
      </c>
      <c r="I3839" s="924" t="s">
        <v>706</v>
      </c>
      <c r="J3839" s="924" t="s">
        <v>875</v>
      </c>
      <c r="K3839" s="924" t="s">
        <v>950</v>
      </c>
      <c r="L3839" s="925">
        <v>5.7802601892035503E-2</v>
      </c>
      <c r="M3839" s="925">
        <v>1.2397636684369201E-5</v>
      </c>
    </row>
    <row r="3840" spans="1:13" ht="11.25" customHeight="1" x14ac:dyDescent="0.2">
      <c r="A3840" s="924" t="s">
        <v>853</v>
      </c>
      <c r="B3840" s="924" t="s">
        <v>806</v>
      </c>
      <c r="C3840" s="924" t="s">
        <v>1198</v>
      </c>
      <c r="D3840" s="924" t="s">
        <v>855</v>
      </c>
      <c r="E3840" s="924" t="s">
        <v>856</v>
      </c>
      <c r="F3840" s="924" t="s">
        <v>951</v>
      </c>
      <c r="G3840" s="924" t="s">
        <v>911</v>
      </c>
      <c r="H3840" s="924" t="s">
        <v>665</v>
      </c>
      <c r="I3840" s="924" t="s">
        <v>706</v>
      </c>
      <c r="J3840" s="924" t="s">
        <v>875</v>
      </c>
      <c r="K3840" s="924" t="s">
        <v>952</v>
      </c>
      <c r="L3840" s="925">
        <v>5.33509436645545E-2</v>
      </c>
      <c r="M3840" s="925">
        <v>3.3172959874594501E-6</v>
      </c>
    </row>
    <row r="3841" spans="1:13" ht="11.25" customHeight="1" x14ac:dyDescent="0.2">
      <c r="A3841" s="924" t="s">
        <v>853</v>
      </c>
      <c r="B3841" s="924" t="s">
        <v>806</v>
      </c>
      <c r="C3841" s="924" t="s">
        <v>1198</v>
      </c>
      <c r="D3841" s="924" t="s">
        <v>855</v>
      </c>
      <c r="E3841" s="924" t="s">
        <v>856</v>
      </c>
      <c r="F3841" s="924" t="s">
        <v>890</v>
      </c>
      <c r="G3841" s="924" t="s">
        <v>862</v>
      </c>
      <c r="H3841" s="924" t="s">
        <v>665</v>
      </c>
      <c r="I3841" s="924" t="s">
        <v>787</v>
      </c>
      <c r="J3841" s="924" t="s">
        <v>859</v>
      </c>
      <c r="K3841" s="924" t="s">
        <v>891</v>
      </c>
      <c r="L3841" s="925">
        <v>1.0770430657430601E-2</v>
      </c>
      <c r="M3841" s="925">
        <v>3.8339522353680899E-4</v>
      </c>
    </row>
    <row r="3842" spans="1:13" ht="11.25" customHeight="1" x14ac:dyDescent="0.2">
      <c r="A3842" s="924" t="s">
        <v>853</v>
      </c>
      <c r="B3842" s="924" t="s">
        <v>806</v>
      </c>
      <c r="C3842" s="924" t="s">
        <v>1198</v>
      </c>
      <c r="D3842" s="924" t="s">
        <v>855</v>
      </c>
      <c r="E3842" s="924" t="s">
        <v>856</v>
      </c>
      <c r="F3842" s="924" t="s">
        <v>937</v>
      </c>
      <c r="G3842" s="924" t="s">
        <v>862</v>
      </c>
      <c r="H3842" s="924" t="s">
        <v>665</v>
      </c>
      <c r="I3842" s="924" t="s">
        <v>787</v>
      </c>
      <c r="J3842" s="924" t="s">
        <v>863</v>
      </c>
      <c r="K3842" s="924" t="s">
        <v>933</v>
      </c>
      <c r="L3842" s="925">
        <v>25.749377250671401</v>
      </c>
      <c r="M3842" s="925">
        <v>0.10967646620702</v>
      </c>
    </row>
    <row r="3843" spans="1:13" ht="11.25" customHeight="1" x14ac:dyDescent="0.2">
      <c r="A3843" s="924" t="s">
        <v>853</v>
      </c>
      <c r="B3843" s="924" t="s">
        <v>806</v>
      </c>
      <c r="C3843" s="924" t="s">
        <v>1198</v>
      </c>
      <c r="D3843" s="924" t="s">
        <v>855</v>
      </c>
      <c r="E3843" s="924" t="s">
        <v>856</v>
      </c>
      <c r="F3843" s="924" t="s">
        <v>934</v>
      </c>
      <c r="G3843" s="924" t="s">
        <v>862</v>
      </c>
      <c r="H3843" s="924" t="s">
        <v>665</v>
      </c>
      <c r="I3843" s="924" t="s">
        <v>787</v>
      </c>
      <c r="J3843" s="924" t="s">
        <v>863</v>
      </c>
      <c r="K3843" s="924" t="s">
        <v>935</v>
      </c>
      <c r="L3843" s="925">
        <v>2.18175002955832E-2</v>
      </c>
      <c r="M3843" s="925">
        <v>9.1713202664322994E-5</v>
      </c>
    </row>
    <row r="3844" spans="1:13" ht="11.25" customHeight="1" x14ac:dyDescent="0.2">
      <c r="A3844" s="924" t="s">
        <v>853</v>
      </c>
      <c r="B3844" s="924" t="s">
        <v>806</v>
      </c>
      <c r="C3844" s="924" t="s">
        <v>1198</v>
      </c>
      <c r="D3844" s="924" t="s">
        <v>855</v>
      </c>
      <c r="E3844" s="924" t="s">
        <v>856</v>
      </c>
      <c r="F3844" s="924" t="s">
        <v>861</v>
      </c>
      <c r="G3844" s="924" t="s">
        <v>862</v>
      </c>
      <c r="H3844" s="924" t="s">
        <v>665</v>
      </c>
      <c r="I3844" s="924" t="s">
        <v>787</v>
      </c>
      <c r="J3844" s="924" t="s">
        <v>863</v>
      </c>
      <c r="K3844" s="924" t="s">
        <v>864</v>
      </c>
      <c r="L3844" s="925">
        <v>1.1890050678630399E-2</v>
      </c>
      <c r="M3844" s="925">
        <v>4.88539004663835E-5</v>
      </c>
    </row>
    <row r="3845" spans="1:13" ht="11.25" customHeight="1" x14ac:dyDescent="0.2">
      <c r="A3845" s="924" t="s">
        <v>853</v>
      </c>
      <c r="B3845" s="924" t="s">
        <v>806</v>
      </c>
      <c r="C3845" s="924" t="s">
        <v>1198</v>
      </c>
      <c r="D3845" s="924" t="s">
        <v>855</v>
      </c>
      <c r="E3845" s="924" t="s">
        <v>856</v>
      </c>
      <c r="F3845" s="924" t="s">
        <v>914</v>
      </c>
      <c r="G3845" s="924" t="s">
        <v>911</v>
      </c>
      <c r="H3845" s="924" t="s">
        <v>665</v>
      </c>
      <c r="I3845" s="924" t="s">
        <v>706</v>
      </c>
      <c r="J3845" s="924" t="s">
        <v>863</v>
      </c>
      <c r="K3845" s="924" t="s">
        <v>915</v>
      </c>
      <c r="L3845" s="925">
        <v>0.218051567906514</v>
      </c>
      <c r="M3845" s="925">
        <v>3.1113292095597003E-5</v>
      </c>
    </row>
    <row r="3846" spans="1:13" ht="11.25" customHeight="1" x14ac:dyDescent="0.2">
      <c r="A3846" s="924" t="s">
        <v>853</v>
      </c>
      <c r="B3846" s="924" t="s">
        <v>806</v>
      </c>
      <c r="C3846" s="924" t="s">
        <v>1198</v>
      </c>
      <c r="D3846" s="924" t="s">
        <v>855</v>
      </c>
      <c r="E3846" s="924" t="s">
        <v>856</v>
      </c>
      <c r="F3846" s="924" t="s">
        <v>955</v>
      </c>
      <c r="G3846" s="924" t="s">
        <v>858</v>
      </c>
      <c r="H3846" s="924" t="s">
        <v>836</v>
      </c>
      <c r="I3846" s="924" t="s">
        <v>837</v>
      </c>
      <c r="J3846" s="924" t="s">
        <v>956</v>
      </c>
      <c r="K3846" s="924" t="s">
        <v>957</v>
      </c>
      <c r="L3846" s="925">
        <v>441.31572484970098</v>
      </c>
      <c r="M3846" s="925">
        <v>2.5346335433482602E-3</v>
      </c>
    </row>
    <row r="3847" spans="1:13" ht="11.25" customHeight="1" x14ac:dyDescent="0.2">
      <c r="A3847" s="924" t="s">
        <v>853</v>
      </c>
      <c r="B3847" s="924" t="s">
        <v>806</v>
      </c>
      <c r="C3847" s="924" t="s">
        <v>1198</v>
      </c>
      <c r="D3847" s="924" t="s">
        <v>855</v>
      </c>
      <c r="E3847" s="924" t="s">
        <v>856</v>
      </c>
      <c r="F3847" s="924" t="s">
        <v>960</v>
      </c>
      <c r="G3847" s="924" t="s">
        <v>858</v>
      </c>
      <c r="H3847" s="924" t="s">
        <v>836</v>
      </c>
      <c r="I3847" s="924" t="s">
        <v>837</v>
      </c>
      <c r="J3847" s="924" t="s">
        <v>870</v>
      </c>
      <c r="K3847" s="924" t="s">
        <v>961</v>
      </c>
      <c r="L3847" s="925">
        <v>14.725451733917</v>
      </c>
      <c r="M3847" s="925">
        <v>1.30652899918537E-4</v>
      </c>
    </row>
    <row r="3848" spans="1:13" ht="11.25" customHeight="1" x14ac:dyDescent="0.2">
      <c r="A3848" s="924" t="s">
        <v>853</v>
      </c>
      <c r="B3848" s="924" t="s">
        <v>806</v>
      </c>
      <c r="C3848" s="924" t="s">
        <v>1198</v>
      </c>
      <c r="D3848" s="924" t="s">
        <v>855</v>
      </c>
      <c r="E3848" s="924" t="s">
        <v>856</v>
      </c>
      <c r="F3848" s="924" t="s">
        <v>962</v>
      </c>
      <c r="G3848" s="924" t="s">
        <v>858</v>
      </c>
      <c r="H3848" s="924" t="s">
        <v>836</v>
      </c>
      <c r="I3848" s="924" t="s">
        <v>837</v>
      </c>
      <c r="J3848" s="924" t="s">
        <v>870</v>
      </c>
      <c r="K3848" s="924" t="s">
        <v>963</v>
      </c>
      <c r="L3848" s="925">
        <v>4.0728154737735202E-2</v>
      </c>
      <c r="M3848" s="925">
        <v>2.8947848176169598E-7</v>
      </c>
    </row>
    <row r="3849" spans="1:13" ht="11.25" customHeight="1" x14ac:dyDescent="0.2">
      <c r="A3849" s="924" t="s">
        <v>853</v>
      </c>
      <c r="B3849" s="924" t="s">
        <v>806</v>
      </c>
      <c r="C3849" s="924" t="s">
        <v>1198</v>
      </c>
      <c r="D3849" s="924" t="s">
        <v>855</v>
      </c>
      <c r="E3849" s="924" t="s">
        <v>856</v>
      </c>
      <c r="F3849" s="924" t="s">
        <v>964</v>
      </c>
      <c r="G3849" s="924" t="s">
        <v>858</v>
      </c>
      <c r="H3849" s="924" t="s">
        <v>836</v>
      </c>
      <c r="I3849" s="924" t="s">
        <v>837</v>
      </c>
      <c r="J3849" s="924" t="s">
        <v>870</v>
      </c>
      <c r="K3849" s="924" t="s">
        <v>965</v>
      </c>
      <c r="L3849" s="925">
        <v>13.613154999911799</v>
      </c>
      <c r="M3849" s="925">
        <v>1.2498945494599E-4</v>
      </c>
    </row>
    <row r="3850" spans="1:13" ht="11.25" customHeight="1" x14ac:dyDescent="0.2">
      <c r="A3850" s="924" t="s">
        <v>853</v>
      </c>
      <c r="B3850" s="924" t="s">
        <v>806</v>
      </c>
      <c r="C3850" s="924" t="s">
        <v>1198</v>
      </c>
      <c r="D3850" s="924" t="s">
        <v>855</v>
      </c>
      <c r="E3850" s="924" t="s">
        <v>856</v>
      </c>
      <c r="F3850" s="924" t="s">
        <v>966</v>
      </c>
      <c r="G3850" s="924" t="s">
        <v>858</v>
      </c>
      <c r="H3850" s="924" t="s">
        <v>836</v>
      </c>
      <c r="I3850" s="924" t="s">
        <v>837</v>
      </c>
      <c r="J3850" s="924" t="s">
        <v>870</v>
      </c>
      <c r="K3850" s="924" t="s">
        <v>871</v>
      </c>
      <c r="L3850" s="925">
        <v>37.879080042242997</v>
      </c>
      <c r="M3850" s="925">
        <v>3.29138348352132E-4</v>
      </c>
    </row>
    <row r="3851" spans="1:13" ht="11.25" customHeight="1" x14ac:dyDescent="0.2">
      <c r="A3851" s="924" t="s">
        <v>853</v>
      </c>
      <c r="B3851" s="924" t="s">
        <v>806</v>
      </c>
      <c r="C3851" s="924" t="s">
        <v>1198</v>
      </c>
      <c r="D3851" s="924" t="s">
        <v>855</v>
      </c>
      <c r="E3851" s="924" t="s">
        <v>856</v>
      </c>
      <c r="F3851" s="924" t="s">
        <v>967</v>
      </c>
      <c r="G3851" s="924" t="s">
        <v>858</v>
      </c>
      <c r="H3851" s="924" t="s">
        <v>836</v>
      </c>
      <c r="I3851" s="924" t="s">
        <v>837</v>
      </c>
      <c r="J3851" s="924" t="s">
        <v>870</v>
      </c>
      <c r="K3851" s="924" t="s">
        <v>873</v>
      </c>
      <c r="L3851" s="925">
        <v>27.917962186038501</v>
      </c>
      <c r="M3851" s="925">
        <v>4.71650339509466E-4</v>
      </c>
    </row>
    <row r="3852" spans="1:13" ht="11.25" customHeight="1" x14ac:dyDescent="0.2">
      <c r="A3852" s="924" t="s">
        <v>853</v>
      </c>
      <c r="B3852" s="924" t="s">
        <v>806</v>
      </c>
      <c r="C3852" s="924" t="s">
        <v>1198</v>
      </c>
      <c r="D3852" s="924" t="s">
        <v>855</v>
      </c>
      <c r="E3852" s="924" t="s">
        <v>856</v>
      </c>
      <c r="F3852" s="924" t="s">
        <v>968</v>
      </c>
      <c r="G3852" s="924" t="s">
        <v>858</v>
      </c>
      <c r="H3852" s="924" t="s">
        <v>836</v>
      </c>
      <c r="I3852" s="924" t="s">
        <v>837</v>
      </c>
      <c r="J3852" s="924" t="s">
        <v>875</v>
      </c>
      <c r="K3852" s="924" t="s">
        <v>876</v>
      </c>
      <c r="L3852" s="925">
        <v>103.989778876305</v>
      </c>
      <c r="M3852" s="925">
        <v>2.7873434047762701E-3</v>
      </c>
    </row>
    <row r="3853" spans="1:13" ht="11.25" customHeight="1" x14ac:dyDescent="0.2">
      <c r="A3853" s="924" t="s">
        <v>853</v>
      </c>
      <c r="B3853" s="924" t="s">
        <v>806</v>
      </c>
      <c r="C3853" s="924" t="s">
        <v>1198</v>
      </c>
      <c r="D3853" s="924" t="s">
        <v>855</v>
      </c>
      <c r="E3853" s="924" t="s">
        <v>856</v>
      </c>
      <c r="F3853" s="924" t="s">
        <v>969</v>
      </c>
      <c r="G3853" s="924" t="s">
        <v>858</v>
      </c>
      <c r="H3853" s="924" t="s">
        <v>836</v>
      </c>
      <c r="I3853" s="924" t="s">
        <v>837</v>
      </c>
      <c r="J3853" s="924" t="s">
        <v>875</v>
      </c>
      <c r="K3853" s="924" t="s">
        <v>878</v>
      </c>
      <c r="L3853" s="925">
        <v>24.543010860681498</v>
      </c>
      <c r="M3853" s="925">
        <v>6.5012945305653602E-4</v>
      </c>
    </row>
    <row r="3854" spans="1:13" ht="11.25" customHeight="1" x14ac:dyDescent="0.2">
      <c r="A3854" s="924" t="s">
        <v>853</v>
      </c>
      <c r="B3854" s="924" t="s">
        <v>806</v>
      </c>
      <c r="C3854" s="924" t="s">
        <v>1198</v>
      </c>
      <c r="D3854" s="924" t="s">
        <v>855</v>
      </c>
      <c r="E3854" s="924" t="s">
        <v>856</v>
      </c>
      <c r="F3854" s="924" t="s">
        <v>970</v>
      </c>
      <c r="G3854" s="924" t="s">
        <v>858</v>
      </c>
      <c r="H3854" s="924" t="s">
        <v>836</v>
      </c>
      <c r="I3854" s="924" t="s">
        <v>837</v>
      </c>
      <c r="J3854" s="924" t="s">
        <v>875</v>
      </c>
      <c r="K3854" s="924" t="s">
        <v>880</v>
      </c>
      <c r="L3854" s="925">
        <v>68.084820568561597</v>
      </c>
      <c r="M3854" s="925">
        <v>1.32300584390066E-3</v>
      </c>
    </row>
    <row r="3855" spans="1:13" ht="11.25" customHeight="1" x14ac:dyDescent="0.2">
      <c r="A3855" s="924" t="s">
        <v>853</v>
      </c>
      <c r="B3855" s="924" t="s">
        <v>806</v>
      </c>
      <c r="C3855" s="924" t="s">
        <v>1198</v>
      </c>
      <c r="D3855" s="924" t="s">
        <v>855</v>
      </c>
      <c r="E3855" s="924" t="s">
        <v>856</v>
      </c>
      <c r="F3855" s="924" t="s">
        <v>971</v>
      </c>
      <c r="G3855" s="924" t="s">
        <v>858</v>
      </c>
      <c r="H3855" s="924" t="s">
        <v>836</v>
      </c>
      <c r="I3855" s="924" t="s">
        <v>837</v>
      </c>
      <c r="J3855" s="924" t="s">
        <v>875</v>
      </c>
      <c r="K3855" s="924" t="s">
        <v>948</v>
      </c>
      <c r="L3855" s="925">
        <v>34.6014988124371</v>
      </c>
      <c r="M3855" s="925">
        <v>1.4800250373241399E-3</v>
      </c>
    </row>
    <row r="3856" spans="1:13" ht="11.25" customHeight="1" x14ac:dyDescent="0.2">
      <c r="A3856" s="924" t="s">
        <v>853</v>
      </c>
      <c r="B3856" s="924" t="s">
        <v>806</v>
      </c>
      <c r="C3856" s="924" t="s">
        <v>1198</v>
      </c>
      <c r="D3856" s="924" t="s">
        <v>855</v>
      </c>
      <c r="E3856" s="924" t="s">
        <v>856</v>
      </c>
      <c r="F3856" s="924" t="s">
        <v>1035</v>
      </c>
      <c r="G3856" s="924" t="s">
        <v>858</v>
      </c>
      <c r="H3856" s="924" t="s">
        <v>836</v>
      </c>
      <c r="I3856" s="924" t="s">
        <v>837</v>
      </c>
      <c r="J3856" s="924" t="s">
        <v>870</v>
      </c>
      <c r="K3856" s="924" t="s">
        <v>1036</v>
      </c>
      <c r="L3856" s="925">
        <v>4.6580061462009298E-2</v>
      </c>
      <c r="M3856" s="925">
        <v>5.7047397172306502E-6</v>
      </c>
    </row>
    <row r="3857" spans="1:13" ht="11.25" customHeight="1" x14ac:dyDescent="0.2">
      <c r="A3857" s="924" t="s">
        <v>853</v>
      </c>
      <c r="B3857" s="924" t="s">
        <v>806</v>
      </c>
      <c r="C3857" s="924" t="s">
        <v>1198</v>
      </c>
      <c r="D3857" s="924" t="s">
        <v>855</v>
      </c>
      <c r="E3857" s="924" t="s">
        <v>856</v>
      </c>
      <c r="F3857" s="924" t="s">
        <v>974</v>
      </c>
      <c r="G3857" s="924" t="s">
        <v>858</v>
      </c>
      <c r="H3857" s="924" t="s">
        <v>836</v>
      </c>
      <c r="I3857" s="924" t="s">
        <v>837</v>
      </c>
      <c r="J3857" s="924" t="s">
        <v>875</v>
      </c>
      <c r="K3857" s="924" t="s">
        <v>952</v>
      </c>
      <c r="L3857" s="925">
        <v>2.9425903670489801</v>
      </c>
      <c r="M3857" s="925">
        <v>6.6483059798727595E-5</v>
      </c>
    </row>
    <row r="3858" spans="1:13" ht="11.25" customHeight="1" x14ac:dyDescent="0.2">
      <c r="A3858" s="924" t="s">
        <v>853</v>
      </c>
      <c r="B3858" s="924" t="s">
        <v>806</v>
      </c>
      <c r="C3858" s="924" t="s">
        <v>1198</v>
      </c>
      <c r="D3858" s="924" t="s">
        <v>855</v>
      </c>
      <c r="E3858" s="924" t="s">
        <v>856</v>
      </c>
      <c r="F3858" s="924" t="s">
        <v>975</v>
      </c>
      <c r="G3858" s="924" t="s">
        <v>858</v>
      </c>
      <c r="H3858" s="924" t="s">
        <v>836</v>
      </c>
      <c r="I3858" s="924" t="s">
        <v>837</v>
      </c>
      <c r="J3858" s="924" t="s">
        <v>870</v>
      </c>
      <c r="K3858" s="924" t="s">
        <v>976</v>
      </c>
      <c r="L3858" s="925">
        <v>1935.3961338996901</v>
      </c>
      <c r="M3858" s="925">
        <v>2.8966017204538699E-2</v>
      </c>
    </row>
    <row r="3859" spans="1:13" ht="11.25" customHeight="1" x14ac:dyDescent="0.2">
      <c r="A3859" s="924" t="s">
        <v>853</v>
      </c>
      <c r="B3859" s="924" t="s">
        <v>806</v>
      </c>
      <c r="C3859" s="924" t="s">
        <v>1198</v>
      </c>
      <c r="D3859" s="924" t="s">
        <v>855</v>
      </c>
      <c r="E3859" s="924" t="s">
        <v>856</v>
      </c>
      <c r="F3859" s="924" t="s">
        <v>980</v>
      </c>
      <c r="G3859" s="924" t="s">
        <v>981</v>
      </c>
      <c r="H3859" s="924" t="s">
        <v>835</v>
      </c>
      <c r="I3859" s="924" t="s">
        <v>839</v>
      </c>
      <c r="J3859" s="924" t="s">
        <v>982</v>
      </c>
      <c r="K3859" s="924" t="s">
        <v>983</v>
      </c>
      <c r="L3859" s="925">
        <v>7792.4475975036603</v>
      </c>
      <c r="M3859" s="925">
        <v>8.8879761118441802</v>
      </c>
    </row>
    <row r="3860" spans="1:13" ht="11.25" customHeight="1" x14ac:dyDescent="0.2">
      <c r="A3860" s="924" t="s">
        <v>853</v>
      </c>
      <c r="B3860" s="924" t="s">
        <v>806</v>
      </c>
      <c r="C3860" s="924" t="s">
        <v>1198</v>
      </c>
      <c r="D3860" s="924" t="s">
        <v>855</v>
      </c>
      <c r="E3860" s="924" t="s">
        <v>856</v>
      </c>
      <c r="F3860" s="924" t="s">
        <v>984</v>
      </c>
      <c r="G3860" s="924" t="s">
        <v>981</v>
      </c>
      <c r="H3860" s="924" t="s">
        <v>835</v>
      </c>
      <c r="I3860" s="924" t="s">
        <v>839</v>
      </c>
      <c r="J3860" s="924" t="s">
        <v>982</v>
      </c>
      <c r="K3860" s="924" t="s">
        <v>985</v>
      </c>
      <c r="L3860" s="925">
        <v>3292.0694451332101</v>
      </c>
      <c r="M3860" s="925">
        <v>3.6722663994878499</v>
      </c>
    </row>
    <row r="3861" spans="1:13" ht="11.25" customHeight="1" x14ac:dyDescent="0.2">
      <c r="A3861" s="924" t="s">
        <v>853</v>
      </c>
      <c r="B3861" s="924" t="s">
        <v>806</v>
      </c>
      <c r="C3861" s="924" t="s">
        <v>1198</v>
      </c>
      <c r="D3861" s="924" t="s">
        <v>855</v>
      </c>
      <c r="E3861" s="924" t="s">
        <v>856</v>
      </c>
      <c r="F3861" s="924" t="s">
        <v>986</v>
      </c>
      <c r="G3861" s="924" t="s">
        <v>981</v>
      </c>
      <c r="H3861" s="924" t="s">
        <v>835</v>
      </c>
      <c r="I3861" s="924" t="s">
        <v>839</v>
      </c>
      <c r="J3861" s="924" t="s">
        <v>987</v>
      </c>
      <c r="K3861" s="924" t="s">
        <v>988</v>
      </c>
      <c r="L3861" s="925">
        <v>7275.1429080963098</v>
      </c>
      <c r="M3861" s="925">
        <v>3.66634405311197</v>
      </c>
    </row>
    <row r="3862" spans="1:13" ht="11.25" customHeight="1" x14ac:dyDescent="0.2">
      <c r="A3862" s="924" t="s">
        <v>853</v>
      </c>
      <c r="B3862" s="924" t="s">
        <v>806</v>
      </c>
      <c r="C3862" s="924" t="s">
        <v>1198</v>
      </c>
      <c r="D3862" s="924" t="s">
        <v>855</v>
      </c>
      <c r="E3862" s="924" t="s">
        <v>856</v>
      </c>
      <c r="F3862" s="924" t="s">
        <v>989</v>
      </c>
      <c r="G3862" s="924" t="s">
        <v>990</v>
      </c>
      <c r="H3862" s="924" t="s">
        <v>836</v>
      </c>
      <c r="I3862" s="924" t="s">
        <v>839</v>
      </c>
      <c r="J3862" s="924" t="s">
        <v>224</v>
      </c>
      <c r="K3862" s="924" t="s">
        <v>988</v>
      </c>
      <c r="L3862" s="925">
        <v>5729.3618431091299</v>
      </c>
      <c r="M3862" s="925">
        <v>0.19507181097797899</v>
      </c>
    </row>
    <row r="3863" spans="1:13" ht="11.25" customHeight="1" x14ac:dyDescent="0.2">
      <c r="A3863" s="924" t="s">
        <v>853</v>
      </c>
      <c r="B3863" s="924" t="s">
        <v>806</v>
      </c>
      <c r="C3863" s="924" t="s">
        <v>1198</v>
      </c>
      <c r="D3863" s="924" t="s">
        <v>855</v>
      </c>
      <c r="E3863" s="924" t="s">
        <v>856</v>
      </c>
      <c r="F3863" s="924" t="s">
        <v>991</v>
      </c>
      <c r="G3863" s="924" t="s">
        <v>990</v>
      </c>
      <c r="H3863" s="924" t="s">
        <v>836</v>
      </c>
      <c r="I3863" s="924" t="s">
        <v>839</v>
      </c>
      <c r="J3863" s="924" t="s">
        <v>224</v>
      </c>
      <c r="K3863" s="924" t="s">
        <v>983</v>
      </c>
      <c r="L3863" s="925">
        <v>15.767678141593899</v>
      </c>
      <c r="M3863" s="925">
        <v>9.4154015954206504E-4</v>
      </c>
    </row>
    <row r="3864" spans="1:13" ht="11.25" customHeight="1" x14ac:dyDescent="0.2">
      <c r="A3864" s="924" t="s">
        <v>853</v>
      </c>
      <c r="B3864" s="924" t="s">
        <v>806</v>
      </c>
      <c r="C3864" s="924" t="s">
        <v>1198</v>
      </c>
      <c r="D3864" s="924" t="s">
        <v>855</v>
      </c>
      <c r="E3864" s="924" t="s">
        <v>856</v>
      </c>
      <c r="F3864" s="924" t="s">
        <v>992</v>
      </c>
      <c r="G3864" s="924" t="s">
        <v>858</v>
      </c>
      <c r="H3864" s="924" t="s">
        <v>836</v>
      </c>
      <c r="I3864" s="924" t="s">
        <v>834</v>
      </c>
      <c r="J3864" s="924" t="s">
        <v>224</v>
      </c>
      <c r="K3864" s="924" t="s">
        <v>993</v>
      </c>
      <c r="L3864" s="925">
        <v>1.59166116826236</v>
      </c>
      <c r="M3864" s="925">
        <v>6.1944210431263996E-5</v>
      </c>
    </row>
    <row r="3865" spans="1:13" ht="11.25" customHeight="1" x14ac:dyDescent="0.2">
      <c r="A3865" s="924" t="s">
        <v>853</v>
      </c>
      <c r="B3865" s="924" t="s">
        <v>806</v>
      </c>
      <c r="C3865" s="924" t="s">
        <v>1198</v>
      </c>
      <c r="D3865" s="924" t="s">
        <v>855</v>
      </c>
      <c r="E3865" s="924" t="s">
        <v>856</v>
      </c>
      <c r="F3865" s="924" t="s">
        <v>994</v>
      </c>
      <c r="G3865" s="924" t="s">
        <v>981</v>
      </c>
      <c r="H3865" s="924" t="s">
        <v>835</v>
      </c>
      <c r="I3865" s="924" t="s">
        <v>834</v>
      </c>
      <c r="J3865" s="924" t="s">
        <v>995</v>
      </c>
      <c r="K3865" s="924" t="s">
        <v>993</v>
      </c>
      <c r="L3865" s="925">
        <v>9.3915843463037205E-2</v>
      </c>
      <c r="M3865" s="925">
        <v>6.0662145132339702E-5</v>
      </c>
    </row>
    <row r="3866" spans="1:13" ht="11.25" customHeight="1" x14ac:dyDescent="0.2">
      <c r="A3866" s="924" t="s">
        <v>853</v>
      </c>
      <c r="B3866" s="924" t="s">
        <v>806</v>
      </c>
      <c r="C3866" s="924" t="s">
        <v>1198</v>
      </c>
      <c r="D3866" s="924" t="s">
        <v>855</v>
      </c>
      <c r="E3866" s="924" t="s">
        <v>856</v>
      </c>
      <c r="F3866" s="924" t="s">
        <v>923</v>
      </c>
      <c r="G3866" s="924" t="s">
        <v>911</v>
      </c>
      <c r="H3866" s="924" t="s">
        <v>665</v>
      </c>
      <c r="I3866" s="924" t="s">
        <v>706</v>
      </c>
      <c r="J3866" s="924" t="s">
        <v>859</v>
      </c>
      <c r="K3866" s="924" t="s">
        <v>924</v>
      </c>
      <c r="L3866" s="925">
        <v>0.88102647755295005</v>
      </c>
      <c r="M3866" s="925">
        <v>4.6708604770628901E-5</v>
      </c>
    </row>
    <row r="3867" spans="1:13" ht="11.25" customHeight="1" x14ac:dyDescent="0.2">
      <c r="A3867" s="924" t="s">
        <v>853</v>
      </c>
      <c r="B3867" s="924" t="s">
        <v>806</v>
      </c>
      <c r="C3867" s="924" t="s">
        <v>1198</v>
      </c>
      <c r="D3867" s="924" t="s">
        <v>855</v>
      </c>
      <c r="E3867" s="924" t="s">
        <v>856</v>
      </c>
      <c r="F3867" s="924" t="s">
        <v>910</v>
      </c>
      <c r="G3867" s="924" t="s">
        <v>911</v>
      </c>
      <c r="H3867" s="924" t="s">
        <v>665</v>
      </c>
      <c r="I3867" s="924" t="s">
        <v>706</v>
      </c>
      <c r="J3867" s="924" t="s">
        <v>859</v>
      </c>
      <c r="K3867" s="924" t="s">
        <v>905</v>
      </c>
      <c r="L3867" s="925">
        <v>0.220767177641392</v>
      </c>
      <c r="M3867" s="925">
        <v>1.8047635836637699E-4</v>
      </c>
    </row>
    <row r="3868" spans="1:13" ht="11.25" customHeight="1" x14ac:dyDescent="0.2">
      <c r="A3868" s="924" t="s">
        <v>853</v>
      </c>
      <c r="B3868" s="924" t="s">
        <v>806</v>
      </c>
      <c r="C3868" s="924" t="s">
        <v>1198</v>
      </c>
      <c r="D3868" s="924" t="s">
        <v>855</v>
      </c>
      <c r="E3868" s="924" t="s">
        <v>856</v>
      </c>
      <c r="F3868" s="924" t="s">
        <v>996</v>
      </c>
      <c r="G3868" s="924" t="s">
        <v>911</v>
      </c>
      <c r="H3868" s="924" t="s">
        <v>665</v>
      </c>
      <c r="I3868" s="924" t="s">
        <v>834</v>
      </c>
      <c r="J3868" s="924" t="s">
        <v>706</v>
      </c>
      <c r="K3868" s="924" t="s">
        <v>993</v>
      </c>
      <c r="L3868" s="925">
        <v>2.8158385848655598E-3</v>
      </c>
      <c r="M3868" s="925">
        <v>3.4910926496878299E-7</v>
      </c>
    </row>
    <row r="3869" spans="1:13" ht="11.25" customHeight="1" x14ac:dyDescent="0.2">
      <c r="A3869" s="924" t="s">
        <v>853</v>
      </c>
      <c r="B3869" s="924" t="s">
        <v>806</v>
      </c>
      <c r="C3869" s="924" t="s">
        <v>1198</v>
      </c>
      <c r="D3869" s="924" t="s">
        <v>855</v>
      </c>
      <c r="E3869" s="924" t="s">
        <v>856</v>
      </c>
      <c r="F3869" s="924" t="s">
        <v>1000</v>
      </c>
      <c r="G3869" s="924" t="s">
        <v>858</v>
      </c>
      <c r="H3869" s="924" t="s">
        <v>836</v>
      </c>
      <c r="I3869" s="924" t="s">
        <v>837</v>
      </c>
      <c r="J3869" s="924" t="s">
        <v>875</v>
      </c>
      <c r="K3869" s="924" t="s">
        <v>950</v>
      </c>
      <c r="L3869" s="925">
        <v>3.3252386189997201</v>
      </c>
      <c r="M3869" s="925">
        <v>7.8106361807606106E-5</v>
      </c>
    </row>
    <row r="3870" spans="1:13" ht="11.25" customHeight="1" x14ac:dyDescent="0.2">
      <c r="A3870" s="924" t="s">
        <v>853</v>
      </c>
      <c r="B3870" s="924" t="s">
        <v>806</v>
      </c>
      <c r="C3870" s="924" t="s">
        <v>1198</v>
      </c>
      <c r="D3870" s="924" t="s">
        <v>855</v>
      </c>
      <c r="E3870" s="924" t="s">
        <v>856</v>
      </c>
      <c r="F3870" s="924" t="s">
        <v>1017</v>
      </c>
      <c r="G3870" s="924" t="s">
        <v>858</v>
      </c>
      <c r="H3870" s="924" t="s">
        <v>836</v>
      </c>
      <c r="I3870" s="924" t="s">
        <v>837</v>
      </c>
      <c r="J3870" s="924" t="s">
        <v>863</v>
      </c>
      <c r="K3870" s="924" t="s">
        <v>864</v>
      </c>
      <c r="L3870" s="925">
        <v>44.239925265312202</v>
      </c>
      <c r="M3870" s="925">
        <v>5.9998159018448405E-4</v>
      </c>
    </row>
    <row r="3871" spans="1:13" ht="11.25" customHeight="1" x14ac:dyDescent="0.2">
      <c r="A3871" s="924" t="s">
        <v>853</v>
      </c>
      <c r="B3871" s="924" t="s">
        <v>806</v>
      </c>
      <c r="C3871" s="924" t="s">
        <v>1198</v>
      </c>
      <c r="D3871" s="924" t="s">
        <v>855</v>
      </c>
      <c r="E3871" s="924" t="s">
        <v>856</v>
      </c>
      <c r="F3871" s="924" t="s">
        <v>953</v>
      </c>
      <c r="G3871" s="924" t="s">
        <v>858</v>
      </c>
      <c r="H3871" s="924" t="s">
        <v>836</v>
      </c>
      <c r="I3871" s="924" t="s">
        <v>837</v>
      </c>
      <c r="J3871" s="924" t="s">
        <v>859</v>
      </c>
      <c r="K3871" s="924" t="s">
        <v>920</v>
      </c>
      <c r="L3871" s="925">
        <v>9.0155488103628194</v>
      </c>
      <c r="M3871" s="925">
        <v>1.16289365200473E-4</v>
      </c>
    </row>
    <row r="3872" spans="1:13" ht="11.25" customHeight="1" x14ac:dyDescent="0.2">
      <c r="A3872" s="924" t="s">
        <v>853</v>
      </c>
      <c r="B3872" s="924" t="s">
        <v>806</v>
      </c>
      <c r="C3872" s="924" t="s">
        <v>1198</v>
      </c>
      <c r="D3872" s="924" t="s">
        <v>855</v>
      </c>
      <c r="E3872" s="924" t="s">
        <v>856</v>
      </c>
      <c r="F3872" s="924" t="s">
        <v>1002</v>
      </c>
      <c r="G3872" s="924" t="s">
        <v>858</v>
      </c>
      <c r="H3872" s="924" t="s">
        <v>836</v>
      </c>
      <c r="I3872" s="924" t="s">
        <v>837</v>
      </c>
      <c r="J3872" s="924" t="s">
        <v>859</v>
      </c>
      <c r="K3872" s="924" t="s">
        <v>922</v>
      </c>
      <c r="L3872" s="925">
        <v>71.700098931789398</v>
      </c>
      <c r="M3872" s="925">
        <v>8.1974991306310596E-4</v>
      </c>
    </row>
    <row r="3873" spans="1:13" ht="11.25" customHeight="1" x14ac:dyDescent="0.2">
      <c r="A3873" s="924" t="s">
        <v>853</v>
      </c>
      <c r="B3873" s="924" t="s">
        <v>806</v>
      </c>
      <c r="C3873" s="924" t="s">
        <v>1198</v>
      </c>
      <c r="D3873" s="924" t="s">
        <v>855</v>
      </c>
      <c r="E3873" s="924" t="s">
        <v>856</v>
      </c>
      <c r="F3873" s="924" t="s">
        <v>1003</v>
      </c>
      <c r="G3873" s="924" t="s">
        <v>858</v>
      </c>
      <c r="H3873" s="924" t="s">
        <v>836</v>
      </c>
      <c r="I3873" s="924" t="s">
        <v>837</v>
      </c>
      <c r="J3873" s="924" t="s">
        <v>859</v>
      </c>
      <c r="K3873" s="924" t="s">
        <v>924</v>
      </c>
      <c r="L3873" s="925">
        <v>243.781207323074</v>
      </c>
      <c r="M3873" s="925">
        <v>2.3251337680108E-3</v>
      </c>
    </row>
    <row r="3874" spans="1:13" ht="11.25" customHeight="1" x14ac:dyDescent="0.2">
      <c r="A3874" s="924" t="s">
        <v>853</v>
      </c>
      <c r="B3874" s="924" t="s">
        <v>806</v>
      </c>
      <c r="C3874" s="924" t="s">
        <v>1198</v>
      </c>
      <c r="D3874" s="924" t="s">
        <v>855</v>
      </c>
      <c r="E3874" s="924" t="s">
        <v>856</v>
      </c>
      <c r="F3874" s="924" t="s">
        <v>1004</v>
      </c>
      <c r="G3874" s="924" t="s">
        <v>858</v>
      </c>
      <c r="H3874" s="924" t="s">
        <v>836</v>
      </c>
      <c r="I3874" s="924" t="s">
        <v>837</v>
      </c>
      <c r="J3874" s="924" t="s">
        <v>859</v>
      </c>
      <c r="K3874" s="924" t="s">
        <v>926</v>
      </c>
      <c r="L3874" s="925">
        <v>147.740333795547</v>
      </c>
      <c r="M3874" s="925">
        <v>6.0289451430435301E-3</v>
      </c>
    </row>
    <row r="3875" spans="1:13" ht="11.25" customHeight="1" x14ac:dyDescent="0.2">
      <c r="A3875" s="924" t="s">
        <v>853</v>
      </c>
      <c r="B3875" s="924" t="s">
        <v>806</v>
      </c>
      <c r="C3875" s="924" t="s">
        <v>1198</v>
      </c>
      <c r="D3875" s="924" t="s">
        <v>855</v>
      </c>
      <c r="E3875" s="924" t="s">
        <v>856</v>
      </c>
      <c r="F3875" s="924" t="s">
        <v>1005</v>
      </c>
      <c r="G3875" s="924" t="s">
        <v>858</v>
      </c>
      <c r="H3875" s="924" t="s">
        <v>836</v>
      </c>
      <c r="I3875" s="924" t="s">
        <v>837</v>
      </c>
      <c r="J3875" s="924" t="s">
        <v>859</v>
      </c>
      <c r="K3875" s="924" t="s">
        <v>1006</v>
      </c>
      <c r="L3875" s="925">
        <v>222.98322868347199</v>
      </c>
      <c r="M3875" s="925">
        <v>1.72711880048837E-3</v>
      </c>
    </row>
    <row r="3876" spans="1:13" ht="11.25" customHeight="1" x14ac:dyDescent="0.2">
      <c r="A3876" s="924" t="s">
        <v>853</v>
      </c>
      <c r="B3876" s="924" t="s">
        <v>806</v>
      </c>
      <c r="C3876" s="924" t="s">
        <v>1198</v>
      </c>
      <c r="D3876" s="924" t="s">
        <v>855</v>
      </c>
      <c r="E3876" s="924" t="s">
        <v>856</v>
      </c>
      <c r="F3876" s="924" t="s">
        <v>1007</v>
      </c>
      <c r="G3876" s="924" t="s">
        <v>858</v>
      </c>
      <c r="H3876" s="924" t="s">
        <v>836</v>
      </c>
      <c r="I3876" s="924" t="s">
        <v>837</v>
      </c>
      <c r="J3876" s="924" t="s">
        <v>859</v>
      </c>
      <c r="K3876" s="924" t="s">
        <v>928</v>
      </c>
      <c r="L3876" s="925">
        <v>102.658076643944</v>
      </c>
      <c r="M3876" s="925">
        <v>4.4764543365545303E-3</v>
      </c>
    </row>
    <row r="3877" spans="1:13" ht="11.25" customHeight="1" x14ac:dyDescent="0.2">
      <c r="A3877" s="924" t="s">
        <v>853</v>
      </c>
      <c r="B3877" s="924" t="s">
        <v>806</v>
      </c>
      <c r="C3877" s="924" t="s">
        <v>1198</v>
      </c>
      <c r="D3877" s="924" t="s">
        <v>855</v>
      </c>
      <c r="E3877" s="924" t="s">
        <v>856</v>
      </c>
      <c r="F3877" s="924" t="s">
        <v>1008</v>
      </c>
      <c r="G3877" s="924" t="s">
        <v>858</v>
      </c>
      <c r="H3877" s="924" t="s">
        <v>836</v>
      </c>
      <c r="I3877" s="924" t="s">
        <v>837</v>
      </c>
      <c r="J3877" s="924" t="s">
        <v>859</v>
      </c>
      <c r="K3877" s="924" t="s">
        <v>1009</v>
      </c>
      <c r="L3877" s="925">
        <v>23.931712180376099</v>
      </c>
      <c r="M3877" s="925">
        <v>1.9496428812360001E-4</v>
      </c>
    </row>
    <row r="3878" spans="1:13" ht="11.25" customHeight="1" x14ac:dyDescent="0.2">
      <c r="A3878" s="924" t="s">
        <v>853</v>
      </c>
      <c r="B3878" s="924" t="s">
        <v>806</v>
      </c>
      <c r="C3878" s="924" t="s">
        <v>1198</v>
      </c>
      <c r="D3878" s="924" t="s">
        <v>855</v>
      </c>
      <c r="E3878" s="924" t="s">
        <v>856</v>
      </c>
      <c r="F3878" s="924" t="s">
        <v>1010</v>
      </c>
      <c r="G3878" s="924" t="s">
        <v>858</v>
      </c>
      <c r="H3878" s="924" t="s">
        <v>836</v>
      </c>
      <c r="I3878" s="924" t="s">
        <v>837</v>
      </c>
      <c r="J3878" s="924" t="s">
        <v>859</v>
      </c>
      <c r="K3878" s="924" t="s">
        <v>1011</v>
      </c>
      <c r="L3878" s="925">
        <v>0.31408527749590598</v>
      </c>
      <c r="M3878" s="925">
        <v>1.44524108669497E-5</v>
      </c>
    </row>
    <row r="3879" spans="1:13" ht="11.25" customHeight="1" x14ac:dyDescent="0.2">
      <c r="A3879" s="924" t="s">
        <v>853</v>
      </c>
      <c r="B3879" s="924" t="s">
        <v>806</v>
      </c>
      <c r="C3879" s="924" t="s">
        <v>1198</v>
      </c>
      <c r="D3879" s="924" t="s">
        <v>855</v>
      </c>
      <c r="E3879" s="924" t="s">
        <v>856</v>
      </c>
      <c r="F3879" s="924" t="s">
        <v>1012</v>
      </c>
      <c r="G3879" s="924" t="s">
        <v>858</v>
      </c>
      <c r="H3879" s="924" t="s">
        <v>836</v>
      </c>
      <c r="I3879" s="924" t="s">
        <v>837</v>
      </c>
      <c r="J3879" s="924" t="s">
        <v>859</v>
      </c>
      <c r="K3879" s="924" t="s">
        <v>891</v>
      </c>
      <c r="L3879" s="925">
        <v>23.0180453062057</v>
      </c>
      <c r="M3879" s="925">
        <v>3.05086790874043E-4</v>
      </c>
    </row>
    <row r="3880" spans="1:13" ht="11.25" customHeight="1" x14ac:dyDescent="0.2">
      <c r="A3880" s="924" t="s">
        <v>853</v>
      </c>
      <c r="B3880" s="924" t="s">
        <v>806</v>
      </c>
      <c r="C3880" s="924" t="s">
        <v>1198</v>
      </c>
      <c r="D3880" s="924" t="s">
        <v>855</v>
      </c>
      <c r="E3880" s="924" t="s">
        <v>856</v>
      </c>
      <c r="F3880" s="924" t="s">
        <v>1013</v>
      </c>
      <c r="G3880" s="924" t="s">
        <v>858</v>
      </c>
      <c r="H3880" s="924" t="s">
        <v>836</v>
      </c>
      <c r="I3880" s="924" t="s">
        <v>837</v>
      </c>
      <c r="J3880" s="924" t="s">
        <v>863</v>
      </c>
      <c r="K3880" s="924" t="s">
        <v>931</v>
      </c>
      <c r="L3880" s="925">
        <v>6.8933735415339497</v>
      </c>
      <c r="M3880" s="925">
        <v>2.5197767140738798E-4</v>
      </c>
    </row>
    <row r="3881" spans="1:13" ht="11.25" customHeight="1" x14ac:dyDescent="0.2">
      <c r="A3881" s="924" t="s">
        <v>853</v>
      </c>
      <c r="B3881" s="924" t="s">
        <v>806</v>
      </c>
      <c r="C3881" s="924" t="s">
        <v>1198</v>
      </c>
      <c r="D3881" s="924" t="s">
        <v>855</v>
      </c>
      <c r="E3881" s="924" t="s">
        <v>856</v>
      </c>
      <c r="F3881" s="924" t="s">
        <v>958</v>
      </c>
      <c r="G3881" s="924" t="s">
        <v>858</v>
      </c>
      <c r="H3881" s="924" t="s">
        <v>836</v>
      </c>
      <c r="I3881" s="924" t="s">
        <v>837</v>
      </c>
      <c r="J3881" s="924" t="s">
        <v>870</v>
      </c>
      <c r="K3881" s="924" t="s">
        <v>959</v>
      </c>
      <c r="L3881" s="925">
        <v>0.20190589671256001</v>
      </c>
      <c r="M3881" s="925">
        <v>1.88160619678246E-6</v>
      </c>
    </row>
    <row r="3882" spans="1:13" ht="11.25" customHeight="1" x14ac:dyDescent="0.2">
      <c r="A3882" s="924" t="s">
        <v>853</v>
      </c>
      <c r="B3882" s="924" t="s">
        <v>806</v>
      </c>
      <c r="C3882" s="924" t="s">
        <v>1198</v>
      </c>
      <c r="D3882" s="924" t="s">
        <v>855</v>
      </c>
      <c r="E3882" s="924" t="s">
        <v>856</v>
      </c>
      <c r="F3882" s="924" t="s">
        <v>1038</v>
      </c>
      <c r="G3882" s="924" t="s">
        <v>858</v>
      </c>
      <c r="H3882" s="924" t="s">
        <v>836</v>
      </c>
      <c r="I3882" s="924" t="s">
        <v>837</v>
      </c>
      <c r="J3882" s="924" t="s">
        <v>863</v>
      </c>
      <c r="K3882" s="924" t="s">
        <v>935</v>
      </c>
      <c r="L3882" s="925">
        <v>43.6229094862938</v>
      </c>
      <c r="M3882" s="925">
        <v>4.7212454804679299E-4</v>
      </c>
    </row>
    <row r="3883" spans="1:13" ht="11.25" customHeight="1" x14ac:dyDescent="0.2">
      <c r="A3883" s="924" t="s">
        <v>853</v>
      </c>
      <c r="B3883" s="924" t="s">
        <v>806</v>
      </c>
      <c r="C3883" s="924" t="s">
        <v>1198</v>
      </c>
      <c r="D3883" s="924" t="s">
        <v>855</v>
      </c>
      <c r="E3883" s="924" t="s">
        <v>856</v>
      </c>
      <c r="F3883" s="924" t="s">
        <v>1015</v>
      </c>
      <c r="G3883" s="924" t="s">
        <v>858</v>
      </c>
      <c r="H3883" s="924" t="s">
        <v>836</v>
      </c>
      <c r="I3883" s="924" t="s">
        <v>837</v>
      </c>
      <c r="J3883" s="924" t="s">
        <v>870</v>
      </c>
      <c r="K3883" s="924" t="s">
        <v>1016</v>
      </c>
      <c r="L3883" s="925">
        <v>0.96121419221162796</v>
      </c>
      <c r="M3883" s="925">
        <v>1.1678516248114801E-5</v>
      </c>
    </row>
    <row r="3884" spans="1:13" ht="11.25" customHeight="1" x14ac:dyDescent="0.2">
      <c r="A3884" s="924" t="s">
        <v>853</v>
      </c>
      <c r="B3884" s="924" t="s">
        <v>806</v>
      </c>
      <c r="C3884" s="924" t="s">
        <v>1198</v>
      </c>
      <c r="D3884" s="924" t="s">
        <v>855</v>
      </c>
      <c r="E3884" s="924" t="s">
        <v>856</v>
      </c>
      <c r="F3884" s="924" t="s">
        <v>1001</v>
      </c>
      <c r="G3884" s="924" t="s">
        <v>858</v>
      </c>
      <c r="H3884" s="924" t="s">
        <v>836</v>
      </c>
      <c r="I3884" s="924" t="s">
        <v>837</v>
      </c>
      <c r="J3884" s="924" t="s">
        <v>863</v>
      </c>
      <c r="K3884" s="924" t="s">
        <v>915</v>
      </c>
      <c r="L3884" s="925">
        <v>1.70746758580208</v>
      </c>
      <c r="M3884" s="925">
        <v>5.2170403968432297E-5</v>
      </c>
    </row>
    <row r="3885" spans="1:13" ht="11.25" customHeight="1" x14ac:dyDescent="0.2">
      <c r="A3885" s="924" t="s">
        <v>853</v>
      </c>
      <c r="B3885" s="924" t="s">
        <v>806</v>
      </c>
      <c r="C3885" s="924" t="s">
        <v>1198</v>
      </c>
      <c r="D3885" s="924" t="s">
        <v>855</v>
      </c>
      <c r="E3885" s="924" t="s">
        <v>856</v>
      </c>
      <c r="F3885" s="924" t="s">
        <v>1020</v>
      </c>
      <c r="G3885" s="924" t="s">
        <v>858</v>
      </c>
      <c r="H3885" s="924" t="s">
        <v>836</v>
      </c>
      <c r="I3885" s="924" t="s">
        <v>837</v>
      </c>
      <c r="J3885" s="924" t="s">
        <v>863</v>
      </c>
      <c r="K3885" s="924" t="s">
        <v>866</v>
      </c>
      <c r="L3885" s="925">
        <v>512.79364395141602</v>
      </c>
      <c r="M3885" s="925">
        <v>1.2446813653127701E-2</v>
      </c>
    </row>
    <row r="3886" spans="1:13" ht="11.25" customHeight="1" x14ac:dyDescent="0.2">
      <c r="A3886" s="924" t="s">
        <v>853</v>
      </c>
      <c r="B3886" s="924" t="s">
        <v>806</v>
      </c>
      <c r="C3886" s="924" t="s">
        <v>1198</v>
      </c>
      <c r="D3886" s="924" t="s">
        <v>855</v>
      </c>
      <c r="E3886" s="924" t="s">
        <v>856</v>
      </c>
      <c r="F3886" s="924" t="s">
        <v>1021</v>
      </c>
      <c r="G3886" s="924" t="s">
        <v>858</v>
      </c>
      <c r="H3886" s="924" t="s">
        <v>836</v>
      </c>
      <c r="I3886" s="924" t="s">
        <v>837</v>
      </c>
      <c r="J3886" s="924" t="s">
        <v>863</v>
      </c>
      <c r="K3886" s="924" t="s">
        <v>868</v>
      </c>
      <c r="L3886" s="925">
        <v>62.940138220786999</v>
      </c>
      <c r="M3886" s="925">
        <v>3.3831440023845998E-4</v>
      </c>
    </row>
    <row r="3887" spans="1:13" ht="11.25" customHeight="1" x14ac:dyDescent="0.2">
      <c r="A3887" s="924" t="s">
        <v>853</v>
      </c>
      <c r="B3887" s="924" t="s">
        <v>806</v>
      </c>
      <c r="C3887" s="924" t="s">
        <v>1198</v>
      </c>
      <c r="D3887" s="924" t="s">
        <v>855</v>
      </c>
      <c r="E3887" s="924" t="s">
        <v>856</v>
      </c>
      <c r="F3887" s="924" t="s">
        <v>1022</v>
      </c>
      <c r="G3887" s="924" t="s">
        <v>858</v>
      </c>
      <c r="H3887" s="924" t="s">
        <v>836</v>
      </c>
      <c r="I3887" s="924" t="s">
        <v>837</v>
      </c>
      <c r="J3887" s="924" t="s">
        <v>940</v>
      </c>
      <c r="K3887" s="924" t="s">
        <v>1023</v>
      </c>
      <c r="L3887" s="925">
        <v>6.2139003362972303E-2</v>
      </c>
      <c r="M3887" s="925">
        <v>2.7912254320777699E-6</v>
      </c>
    </row>
    <row r="3888" spans="1:13" ht="11.25" customHeight="1" x14ac:dyDescent="0.2">
      <c r="A3888" s="924" t="s">
        <v>853</v>
      </c>
      <c r="B3888" s="924" t="s">
        <v>806</v>
      </c>
      <c r="C3888" s="924" t="s">
        <v>1198</v>
      </c>
      <c r="D3888" s="924" t="s">
        <v>855</v>
      </c>
      <c r="E3888" s="924" t="s">
        <v>856</v>
      </c>
      <c r="F3888" s="924" t="s">
        <v>1026</v>
      </c>
      <c r="G3888" s="924" t="s">
        <v>858</v>
      </c>
      <c r="H3888" s="924" t="s">
        <v>836</v>
      </c>
      <c r="I3888" s="924" t="s">
        <v>837</v>
      </c>
      <c r="J3888" s="924" t="s">
        <v>940</v>
      </c>
      <c r="K3888" s="924" t="s">
        <v>1027</v>
      </c>
      <c r="L3888" s="925">
        <v>435.54242408275599</v>
      </c>
      <c r="M3888" s="925">
        <v>1.8382580578446599E-2</v>
      </c>
    </row>
    <row r="3889" spans="1:13" ht="11.25" customHeight="1" x14ac:dyDescent="0.2">
      <c r="A3889" s="924" t="s">
        <v>853</v>
      </c>
      <c r="B3889" s="924" t="s">
        <v>806</v>
      </c>
      <c r="C3889" s="924" t="s">
        <v>1198</v>
      </c>
      <c r="D3889" s="924" t="s">
        <v>855</v>
      </c>
      <c r="E3889" s="924" t="s">
        <v>856</v>
      </c>
      <c r="F3889" s="924" t="s">
        <v>1028</v>
      </c>
      <c r="G3889" s="924" t="s">
        <v>858</v>
      </c>
      <c r="H3889" s="924" t="s">
        <v>836</v>
      </c>
      <c r="I3889" s="924" t="s">
        <v>837</v>
      </c>
      <c r="J3889" s="924" t="s">
        <v>940</v>
      </c>
      <c r="K3889" s="924" t="s">
        <v>1029</v>
      </c>
      <c r="L3889" s="925">
        <v>89.895987510681195</v>
      </c>
      <c r="M3889" s="925">
        <v>4.8763333893227E-3</v>
      </c>
    </row>
    <row r="3890" spans="1:13" ht="11.25" customHeight="1" x14ac:dyDescent="0.2">
      <c r="A3890" s="924" t="s">
        <v>853</v>
      </c>
      <c r="B3890" s="924" t="s">
        <v>806</v>
      </c>
      <c r="C3890" s="924" t="s">
        <v>1198</v>
      </c>
      <c r="D3890" s="924" t="s">
        <v>855</v>
      </c>
      <c r="E3890" s="924" t="s">
        <v>856</v>
      </c>
      <c r="F3890" s="924" t="s">
        <v>1030</v>
      </c>
      <c r="G3890" s="924" t="s">
        <v>858</v>
      </c>
      <c r="H3890" s="924" t="s">
        <v>836</v>
      </c>
      <c r="I3890" s="924" t="s">
        <v>837</v>
      </c>
      <c r="J3890" s="924" t="s">
        <v>940</v>
      </c>
      <c r="K3890" s="924" t="s">
        <v>941</v>
      </c>
      <c r="L3890" s="925">
        <v>593.739945173264</v>
      </c>
      <c r="M3890" s="925">
        <v>1.11531435225061E-2</v>
      </c>
    </row>
    <row r="3891" spans="1:13" ht="11.25" customHeight="1" x14ac:dyDescent="0.2">
      <c r="A3891" s="924" t="s">
        <v>853</v>
      </c>
      <c r="B3891" s="924" t="s">
        <v>806</v>
      </c>
      <c r="C3891" s="924" t="s">
        <v>1198</v>
      </c>
      <c r="D3891" s="924" t="s">
        <v>855</v>
      </c>
      <c r="E3891" s="924" t="s">
        <v>856</v>
      </c>
      <c r="F3891" s="924" t="s">
        <v>1031</v>
      </c>
      <c r="G3891" s="924" t="s">
        <v>858</v>
      </c>
      <c r="H3891" s="924" t="s">
        <v>836</v>
      </c>
      <c r="I3891" s="924" t="s">
        <v>837</v>
      </c>
      <c r="J3891" s="924" t="s">
        <v>940</v>
      </c>
      <c r="K3891" s="924" t="s">
        <v>1032</v>
      </c>
      <c r="L3891" s="925">
        <v>69.947662919759793</v>
      </c>
      <c r="M3891" s="925">
        <v>1.4594642487075801E-3</v>
      </c>
    </row>
    <row r="3892" spans="1:13" ht="11.25" customHeight="1" x14ac:dyDescent="0.2">
      <c r="A3892" s="924" t="s">
        <v>853</v>
      </c>
      <c r="B3892" s="924" t="s">
        <v>806</v>
      </c>
      <c r="C3892" s="924" t="s">
        <v>1198</v>
      </c>
      <c r="D3892" s="924" t="s">
        <v>855</v>
      </c>
      <c r="E3892" s="924" t="s">
        <v>856</v>
      </c>
      <c r="F3892" s="924" t="s">
        <v>1033</v>
      </c>
      <c r="G3892" s="924" t="s">
        <v>858</v>
      </c>
      <c r="H3892" s="924" t="s">
        <v>836</v>
      </c>
      <c r="I3892" s="924" t="s">
        <v>837</v>
      </c>
      <c r="J3892" s="924" t="s">
        <v>940</v>
      </c>
      <c r="K3892" s="924" t="s">
        <v>1034</v>
      </c>
      <c r="L3892" s="925">
        <v>1.7763001779094301</v>
      </c>
      <c r="M3892" s="925">
        <v>5.8249461064585597E-5</v>
      </c>
    </row>
    <row r="3893" spans="1:13" ht="11.25" customHeight="1" x14ac:dyDescent="0.2">
      <c r="A3893" s="924" t="s">
        <v>853</v>
      </c>
      <c r="B3893" s="924" t="s">
        <v>806</v>
      </c>
      <c r="C3893" s="924" t="s">
        <v>1198</v>
      </c>
      <c r="D3893" s="924" t="s">
        <v>855</v>
      </c>
      <c r="E3893" s="924" t="s">
        <v>856</v>
      </c>
      <c r="F3893" s="924" t="s">
        <v>1071</v>
      </c>
      <c r="G3893" s="924" t="s">
        <v>858</v>
      </c>
      <c r="H3893" s="924" t="s">
        <v>836</v>
      </c>
      <c r="I3893" s="924" t="s">
        <v>837</v>
      </c>
      <c r="J3893" s="924" t="s">
        <v>859</v>
      </c>
      <c r="K3893" s="924" t="s">
        <v>1072</v>
      </c>
      <c r="L3893" s="925">
        <v>191.65753483772301</v>
      </c>
      <c r="M3893" s="925">
        <v>1.70454470578818E-3</v>
      </c>
    </row>
    <row r="3894" spans="1:13" ht="11.25" customHeight="1" x14ac:dyDescent="0.2">
      <c r="A3894" s="924" t="s">
        <v>853</v>
      </c>
      <c r="B3894" s="924" t="s">
        <v>806</v>
      </c>
      <c r="C3894" s="924" t="s">
        <v>1198</v>
      </c>
      <c r="D3894" s="924" t="s">
        <v>855</v>
      </c>
      <c r="E3894" s="924" t="s">
        <v>856</v>
      </c>
      <c r="F3894" s="924" t="s">
        <v>1014</v>
      </c>
      <c r="G3894" s="924" t="s">
        <v>858</v>
      </c>
      <c r="H3894" s="924" t="s">
        <v>836</v>
      </c>
      <c r="I3894" s="924" t="s">
        <v>837</v>
      </c>
      <c r="J3894" s="924" t="s">
        <v>863</v>
      </c>
      <c r="K3894" s="924" t="s">
        <v>933</v>
      </c>
      <c r="L3894" s="925">
        <v>99.865386128425598</v>
      </c>
      <c r="M3894" s="925">
        <v>7.0700136934576097E-4</v>
      </c>
    </row>
    <row r="3895" spans="1:13" ht="11.25" customHeight="1" x14ac:dyDescent="0.2">
      <c r="A3895" s="924" t="s">
        <v>853</v>
      </c>
      <c r="B3895" s="924" t="s">
        <v>806</v>
      </c>
      <c r="C3895" s="924" t="s">
        <v>1198</v>
      </c>
      <c r="D3895" s="924" t="s">
        <v>855</v>
      </c>
      <c r="E3895" s="924" t="s">
        <v>856</v>
      </c>
      <c r="F3895" s="924" t="s">
        <v>1061</v>
      </c>
      <c r="G3895" s="924" t="s">
        <v>981</v>
      </c>
      <c r="H3895" s="924" t="s">
        <v>835</v>
      </c>
      <c r="I3895" s="924" t="s">
        <v>1040</v>
      </c>
      <c r="J3895" s="924" t="s">
        <v>859</v>
      </c>
      <c r="K3895" s="924" t="s">
        <v>918</v>
      </c>
      <c r="L3895" s="925">
        <v>0.30297016166150598</v>
      </c>
      <c r="M3895" s="925">
        <v>1.3301790968967E-4</v>
      </c>
    </row>
    <row r="3896" spans="1:13" ht="11.25" customHeight="1" x14ac:dyDescent="0.2">
      <c r="A3896" s="924" t="s">
        <v>853</v>
      </c>
      <c r="B3896" s="924" t="s">
        <v>806</v>
      </c>
      <c r="C3896" s="924" t="s">
        <v>1198</v>
      </c>
      <c r="D3896" s="924" t="s">
        <v>855</v>
      </c>
      <c r="E3896" s="924" t="s">
        <v>856</v>
      </c>
      <c r="F3896" s="924" t="s">
        <v>1050</v>
      </c>
      <c r="G3896" s="924" t="s">
        <v>981</v>
      </c>
      <c r="H3896" s="924" t="s">
        <v>835</v>
      </c>
      <c r="I3896" s="924" t="s">
        <v>1040</v>
      </c>
      <c r="J3896" s="924" t="s">
        <v>859</v>
      </c>
      <c r="K3896" s="924" t="s">
        <v>913</v>
      </c>
      <c r="L3896" s="925">
        <v>1.2546598566695999</v>
      </c>
      <c r="M3896" s="925">
        <v>7.4019590482521402E-4</v>
      </c>
    </row>
    <row r="3897" spans="1:13" ht="11.25" customHeight="1" x14ac:dyDescent="0.2">
      <c r="A3897" s="924" t="s">
        <v>853</v>
      </c>
      <c r="B3897" s="924" t="s">
        <v>806</v>
      </c>
      <c r="C3897" s="924" t="s">
        <v>1198</v>
      </c>
      <c r="D3897" s="924" t="s">
        <v>855</v>
      </c>
      <c r="E3897" s="924" t="s">
        <v>856</v>
      </c>
      <c r="F3897" s="924" t="s">
        <v>1051</v>
      </c>
      <c r="G3897" s="924" t="s">
        <v>981</v>
      </c>
      <c r="H3897" s="924" t="s">
        <v>835</v>
      </c>
      <c r="I3897" s="924" t="s">
        <v>1040</v>
      </c>
      <c r="J3897" s="924" t="s">
        <v>859</v>
      </c>
      <c r="K3897" s="924" t="s">
        <v>889</v>
      </c>
      <c r="L3897" s="925">
        <v>9.3888596966280602E-3</v>
      </c>
      <c r="M3897" s="925">
        <v>6.0801111345654101E-6</v>
      </c>
    </row>
    <row r="3898" spans="1:13" ht="11.25" customHeight="1" x14ac:dyDescent="0.2">
      <c r="A3898" s="924" t="s">
        <v>853</v>
      </c>
      <c r="B3898" s="924" t="s">
        <v>806</v>
      </c>
      <c r="C3898" s="924" t="s">
        <v>1198</v>
      </c>
      <c r="D3898" s="924" t="s">
        <v>855</v>
      </c>
      <c r="E3898" s="924" t="s">
        <v>856</v>
      </c>
      <c r="F3898" s="924" t="s">
        <v>1052</v>
      </c>
      <c r="G3898" s="924" t="s">
        <v>981</v>
      </c>
      <c r="H3898" s="924" t="s">
        <v>835</v>
      </c>
      <c r="I3898" s="924" t="s">
        <v>1040</v>
      </c>
      <c r="J3898" s="924" t="s">
        <v>859</v>
      </c>
      <c r="K3898" s="924" t="s">
        <v>860</v>
      </c>
      <c r="L3898" s="925">
        <v>2.3631970863789298</v>
      </c>
      <c r="M3898" s="925">
        <v>1.66089967933658E-3</v>
      </c>
    </row>
    <row r="3899" spans="1:13" ht="11.25" customHeight="1" x14ac:dyDescent="0.2">
      <c r="A3899" s="924" t="s">
        <v>853</v>
      </c>
      <c r="B3899" s="924" t="s">
        <v>806</v>
      </c>
      <c r="C3899" s="924" t="s">
        <v>1198</v>
      </c>
      <c r="D3899" s="924" t="s">
        <v>855</v>
      </c>
      <c r="E3899" s="924" t="s">
        <v>856</v>
      </c>
      <c r="F3899" s="924" t="s">
        <v>1053</v>
      </c>
      <c r="G3899" s="924" t="s">
        <v>981</v>
      </c>
      <c r="H3899" s="924" t="s">
        <v>835</v>
      </c>
      <c r="I3899" s="924" t="s">
        <v>1040</v>
      </c>
      <c r="J3899" s="924" t="s">
        <v>859</v>
      </c>
      <c r="K3899" s="924" t="s">
        <v>893</v>
      </c>
      <c r="L3899" s="925">
        <v>2.2245757952332501</v>
      </c>
      <c r="M3899" s="925">
        <v>1.34868415625533E-3</v>
      </c>
    </row>
    <row r="3900" spans="1:13" ht="11.25" customHeight="1" x14ac:dyDescent="0.2">
      <c r="A3900" s="924" t="s">
        <v>853</v>
      </c>
      <c r="B3900" s="924" t="s">
        <v>806</v>
      </c>
      <c r="C3900" s="924" t="s">
        <v>1198</v>
      </c>
      <c r="D3900" s="924" t="s">
        <v>855</v>
      </c>
      <c r="E3900" s="924" t="s">
        <v>856</v>
      </c>
      <c r="F3900" s="924" t="s">
        <v>1068</v>
      </c>
      <c r="G3900" s="924" t="s">
        <v>981</v>
      </c>
      <c r="H3900" s="924" t="s">
        <v>835</v>
      </c>
      <c r="I3900" s="924" t="s">
        <v>1040</v>
      </c>
      <c r="J3900" s="924" t="s">
        <v>859</v>
      </c>
      <c r="K3900" s="924" t="s">
        <v>897</v>
      </c>
      <c r="L3900" s="925">
        <v>4.4353590868413404</v>
      </c>
      <c r="M3900" s="925">
        <v>2.9504939987035099E-3</v>
      </c>
    </row>
    <row r="3901" spans="1:13" ht="11.25" customHeight="1" x14ac:dyDescent="0.2">
      <c r="A3901" s="924" t="s">
        <v>853</v>
      </c>
      <c r="B3901" s="924" t="s">
        <v>806</v>
      </c>
      <c r="C3901" s="924" t="s">
        <v>1198</v>
      </c>
      <c r="D3901" s="924" t="s">
        <v>855</v>
      </c>
      <c r="E3901" s="924" t="s">
        <v>856</v>
      </c>
      <c r="F3901" s="924" t="s">
        <v>1055</v>
      </c>
      <c r="G3901" s="924" t="s">
        <v>981</v>
      </c>
      <c r="H3901" s="924" t="s">
        <v>835</v>
      </c>
      <c r="I3901" s="924" t="s">
        <v>1040</v>
      </c>
      <c r="J3901" s="924" t="s">
        <v>859</v>
      </c>
      <c r="K3901" s="924" t="s">
        <v>899</v>
      </c>
      <c r="L3901" s="925">
        <v>1.8694569543004</v>
      </c>
      <c r="M3901" s="925">
        <v>1.31116623768879E-3</v>
      </c>
    </row>
    <row r="3902" spans="1:13" ht="11.25" customHeight="1" x14ac:dyDescent="0.2">
      <c r="A3902" s="924" t="s">
        <v>853</v>
      </c>
      <c r="B3902" s="924" t="s">
        <v>806</v>
      </c>
      <c r="C3902" s="924" t="s">
        <v>1198</v>
      </c>
      <c r="D3902" s="924" t="s">
        <v>855</v>
      </c>
      <c r="E3902" s="924" t="s">
        <v>856</v>
      </c>
      <c r="F3902" s="924" t="s">
        <v>1039</v>
      </c>
      <c r="G3902" s="924" t="s">
        <v>981</v>
      </c>
      <c r="H3902" s="924" t="s">
        <v>835</v>
      </c>
      <c r="I3902" s="924" t="s">
        <v>1040</v>
      </c>
      <c r="J3902" s="924" t="s">
        <v>859</v>
      </c>
      <c r="K3902" s="924" t="s">
        <v>901</v>
      </c>
      <c r="L3902" s="925">
        <v>9.7453814931213897E-2</v>
      </c>
      <c r="M3902" s="925">
        <v>7.1636117809248403E-5</v>
      </c>
    </row>
    <row r="3903" spans="1:13" ht="11.25" customHeight="1" x14ac:dyDescent="0.2">
      <c r="A3903" s="924" t="s">
        <v>853</v>
      </c>
      <c r="B3903" s="924" t="s">
        <v>806</v>
      </c>
      <c r="C3903" s="924" t="s">
        <v>1198</v>
      </c>
      <c r="D3903" s="924" t="s">
        <v>855</v>
      </c>
      <c r="E3903" s="924" t="s">
        <v>856</v>
      </c>
      <c r="F3903" s="924" t="s">
        <v>1057</v>
      </c>
      <c r="G3903" s="924" t="s">
        <v>981</v>
      </c>
      <c r="H3903" s="924" t="s">
        <v>835</v>
      </c>
      <c r="I3903" s="924" t="s">
        <v>1040</v>
      </c>
      <c r="J3903" s="924" t="s">
        <v>859</v>
      </c>
      <c r="K3903" s="924" t="s">
        <v>903</v>
      </c>
      <c r="L3903" s="925">
        <v>3.9015808477997802</v>
      </c>
      <c r="M3903" s="925">
        <v>2.3977562017023502E-3</v>
      </c>
    </row>
    <row r="3904" spans="1:13" ht="11.25" customHeight="1" x14ac:dyDescent="0.2">
      <c r="A3904" s="924" t="s">
        <v>853</v>
      </c>
      <c r="B3904" s="924" t="s">
        <v>806</v>
      </c>
      <c r="C3904" s="924" t="s">
        <v>1198</v>
      </c>
      <c r="D3904" s="924" t="s">
        <v>855</v>
      </c>
      <c r="E3904" s="924" t="s">
        <v>856</v>
      </c>
      <c r="F3904" s="924" t="s">
        <v>1058</v>
      </c>
      <c r="G3904" s="924" t="s">
        <v>981</v>
      </c>
      <c r="H3904" s="924" t="s">
        <v>835</v>
      </c>
      <c r="I3904" s="924" t="s">
        <v>1040</v>
      </c>
      <c r="J3904" s="924" t="s">
        <v>859</v>
      </c>
      <c r="K3904" s="924" t="s">
        <v>905</v>
      </c>
      <c r="L3904" s="925">
        <v>1.3682290203869301</v>
      </c>
      <c r="M3904" s="925">
        <v>1.0791149248916599E-3</v>
      </c>
    </row>
    <row r="3905" spans="1:13" ht="11.25" customHeight="1" x14ac:dyDescent="0.2">
      <c r="A3905" s="924" t="s">
        <v>853</v>
      </c>
      <c r="B3905" s="924" t="s">
        <v>806</v>
      </c>
      <c r="C3905" s="924" t="s">
        <v>1198</v>
      </c>
      <c r="D3905" s="924" t="s">
        <v>855</v>
      </c>
      <c r="E3905" s="924" t="s">
        <v>856</v>
      </c>
      <c r="F3905" s="924" t="s">
        <v>1135</v>
      </c>
      <c r="G3905" s="924" t="s">
        <v>981</v>
      </c>
      <c r="H3905" s="924" t="s">
        <v>835</v>
      </c>
      <c r="I3905" s="924" t="s">
        <v>1040</v>
      </c>
      <c r="J3905" s="924" t="s">
        <v>863</v>
      </c>
      <c r="K3905" s="924" t="s">
        <v>935</v>
      </c>
      <c r="L3905" s="925">
        <v>6.3201678022742298</v>
      </c>
      <c r="M3905" s="925">
        <v>2.2696084015478798E-3</v>
      </c>
    </row>
    <row r="3906" spans="1:13" ht="11.25" customHeight="1" x14ac:dyDescent="0.2">
      <c r="A3906" s="924" t="s">
        <v>853</v>
      </c>
      <c r="B3906" s="924" t="s">
        <v>806</v>
      </c>
      <c r="C3906" s="924" t="s">
        <v>1198</v>
      </c>
      <c r="D3906" s="924" t="s">
        <v>855</v>
      </c>
      <c r="E3906" s="924" t="s">
        <v>856</v>
      </c>
      <c r="F3906" s="924" t="s">
        <v>1060</v>
      </c>
      <c r="G3906" s="924" t="s">
        <v>981</v>
      </c>
      <c r="H3906" s="924" t="s">
        <v>835</v>
      </c>
      <c r="I3906" s="924" t="s">
        <v>1040</v>
      </c>
      <c r="J3906" s="924" t="s">
        <v>859</v>
      </c>
      <c r="K3906" s="924" t="s">
        <v>973</v>
      </c>
      <c r="L3906" s="925">
        <v>3.9111636169254802</v>
      </c>
      <c r="M3906" s="925">
        <v>2.65102836342734E-3</v>
      </c>
    </row>
    <row r="3907" spans="1:13" ht="11.25" customHeight="1" x14ac:dyDescent="0.2">
      <c r="A3907" s="924" t="s">
        <v>853</v>
      </c>
      <c r="B3907" s="924" t="s">
        <v>806</v>
      </c>
      <c r="C3907" s="924" t="s">
        <v>1198</v>
      </c>
      <c r="D3907" s="924" t="s">
        <v>855</v>
      </c>
      <c r="E3907" s="924" t="s">
        <v>856</v>
      </c>
      <c r="F3907" s="924" t="s">
        <v>1056</v>
      </c>
      <c r="G3907" s="924" t="s">
        <v>981</v>
      </c>
      <c r="H3907" s="924" t="s">
        <v>835</v>
      </c>
      <c r="I3907" s="924" t="s">
        <v>998</v>
      </c>
      <c r="J3907" s="924" t="s">
        <v>875</v>
      </c>
      <c r="K3907" s="924" t="s">
        <v>878</v>
      </c>
      <c r="L3907" s="925">
        <v>4.6146210581064198</v>
      </c>
      <c r="M3907" s="925">
        <v>8.8999839063035307E-3</v>
      </c>
    </row>
    <row r="3908" spans="1:13" ht="11.25" customHeight="1" x14ac:dyDescent="0.2">
      <c r="A3908" s="924" t="s">
        <v>853</v>
      </c>
      <c r="B3908" s="924" t="s">
        <v>806</v>
      </c>
      <c r="C3908" s="924" t="s">
        <v>1198</v>
      </c>
      <c r="D3908" s="924" t="s">
        <v>855</v>
      </c>
      <c r="E3908" s="924" t="s">
        <v>856</v>
      </c>
      <c r="F3908" s="924" t="s">
        <v>1062</v>
      </c>
      <c r="G3908" s="924" t="s">
        <v>981</v>
      </c>
      <c r="H3908" s="924" t="s">
        <v>835</v>
      </c>
      <c r="I3908" s="924" t="s">
        <v>1040</v>
      </c>
      <c r="J3908" s="924" t="s">
        <v>859</v>
      </c>
      <c r="K3908" s="924" t="s">
        <v>920</v>
      </c>
      <c r="L3908" s="925">
        <v>0.52787380199879397</v>
      </c>
      <c r="M3908" s="925">
        <v>3.5606578553171202E-4</v>
      </c>
    </row>
    <row r="3909" spans="1:13" ht="11.25" customHeight="1" x14ac:dyDescent="0.2">
      <c r="A3909" s="924" t="s">
        <v>853</v>
      </c>
      <c r="B3909" s="924" t="s">
        <v>806</v>
      </c>
      <c r="C3909" s="924" t="s">
        <v>1198</v>
      </c>
      <c r="D3909" s="924" t="s">
        <v>855</v>
      </c>
      <c r="E3909" s="924" t="s">
        <v>856</v>
      </c>
      <c r="F3909" s="924" t="s">
        <v>1063</v>
      </c>
      <c r="G3909" s="924" t="s">
        <v>981</v>
      </c>
      <c r="H3909" s="924" t="s">
        <v>835</v>
      </c>
      <c r="I3909" s="924" t="s">
        <v>1040</v>
      </c>
      <c r="J3909" s="924" t="s">
        <v>859</v>
      </c>
      <c r="K3909" s="924" t="s">
        <v>922</v>
      </c>
      <c r="L3909" s="925">
        <v>0.46390763018280301</v>
      </c>
      <c r="M3909" s="925">
        <v>8.3644884981026694E-5</v>
      </c>
    </row>
    <row r="3910" spans="1:13" ht="11.25" customHeight="1" x14ac:dyDescent="0.2">
      <c r="A3910" s="924" t="s">
        <v>853</v>
      </c>
      <c r="B3910" s="924" t="s">
        <v>806</v>
      </c>
      <c r="C3910" s="924" t="s">
        <v>1198</v>
      </c>
      <c r="D3910" s="924" t="s">
        <v>855</v>
      </c>
      <c r="E3910" s="924" t="s">
        <v>856</v>
      </c>
      <c r="F3910" s="924" t="s">
        <v>1064</v>
      </c>
      <c r="G3910" s="924" t="s">
        <v>981</v>
      </c>
      <c r="H3910" s="924" t="s">
        <v>835</v>
      </c>
      <c r="I3910" s="924" t="s">
        <v>1040</v>
      </c>
      <c r="J3910" s="924" t="s">
        <v>859</v>
      </c>
      <c r="K3910" s="924" t="s">
        <v>924</v>
      </c>
      <c r="L3910" s="925">
        <v>1.1173483105376401</v>
      </c>
      <c r="M3910" s="925">
        <v>8.3219313864901805E-5</v>
      </c>
    </row>
    <row r="3911" spans="1:13" ht="11.25" customHeight="1" x14ac:dyDescent="0.2">
      <c r="A3911" s="924" t="s">
        <v>853</v>
      </c>
      <c r="B3911" s="924" t="s">
        <v>806</v>
      </c>
      <c r="C3911" s="924" t="s">
        <v>1198</v>
      </c>
      <c r="D3911" s="924" t="s">
        <v>855</v>
      </c>
      <c r="E3911" s="924" t="s">
        <v>856</v>
      </c>
      <c r="F3911" s="924" t="s">
        <v>1065</v>
      </c>
      <c r="G3911" s="924" t="s">
        <v>981</v>
      </c>
      <c r="H3911" s="924" t="s">
        <v>835</v>
      </c>
      <c r="I3911" s="924" t="s">
        <v>1040</v>
      </c>
      <c r="J3911" s="924" t="s">
        <v>859</v>
      </c>
      <c r="K3911" s="924" t="s">
        <v>926</v>
      </c>
      <c r="L3911" s="925">
        <v>2.6766036562621598</v>
      </c>
      <c r="M3911" s="925">
        <v>1.7712131320877201E-3</v>
      </c>
    </row>
    <row r="3912" spans="1:13" ht="11.25" customHeight="1" x14ac:dyDescent="0.2">
      <c r="A3912" s="924" t="s">
        <v>853</v>
      </c>
      <c r="B3912" s="924" t="s">
        <v>806</v>
      </c>
      <c r="C3912" s="924" t="s">
        <v>1198</v>
      </c>
      <c r="D3912" s="924" t="s">
        <v>855</v>
      </c>
      <c r="E3912" s="924" t="s">
        <v>856</v>
      </c>
      <c r="F3912" s="924" t="s">
        <v>1066</v>
      </c>
      <c r="G3912" s="924" t="s">
        <v>981</v>
      </c>
      <c r="H3912" s="924" t="s">
        <v>835</v>
      </c>
      <c r="I3912" s="924" t="s">
        <v>1040</v>
      </c>
      <c r="J3912" s="924" t="s">
        <v>859</v>
      </c>
      <c r="K3912" s="924" t="s">
        <v>928</v>
      </c>
      <c r="L3912" s="925">
        <v>1.81688579916954</v>
      </c>
      <c r="M3912" s="925">
        <v>9.1560056324624405E-4</v>
      </c>
    </row>
    <row r="3913" spans="1:13" ht="11.25" customHeight="1" x14ac:dyDescent="0.2">
      <c r="A3913" s="924" t="s">
        <v>853</v>
      </c>
      <c r="B3913" s="924" t="s">
        <v>806</v>
      </c>
      <c r="C3913" s="924" t="s">
        <v>1198</v>
      </c>
      <c r="D3913" s="924" t="s">
        <v>855</v>
      </c>
      <c r="E3913" s="924" t="s">
        <v>856</v>
      </c>
      <c r="F3913" s="924" t="s">
        <v>1067</v>
      </c>
      <c r="G3913" s="924" t="s">
        <v>981</v>
      </c>
      <c r="H3913" s="924" t="s">
        <v>835</v>
      </c>
      <c r="I3913" s="924" t="s">
        <v>1040</v>
      </c>
      <c r="J3913" s="924" t="s">
        <v>859</v>
      </c>
      <c r="K3913" s="924" t="s">
        <v>1011</v>
      </c>
      <c r="L3913" s="925">
        <v>0.60397009365260601</v>
      </c>
      <c r="M3913" s="925">
        <v>4.2694886149519101E-4</v>
      </c>
    </row>
    <row r="3914" spans="1:13" ht="11.25" customHeight="1" x14ac:dyDescent="0.2">
      <c r="A3914" s="924" t="s">
        <v>853</v>
      </c>
      <c r="B3914" s="924" t="s">
        <v>806</v>
      </c>
      <c r="C3914" s="924" t="s">
        <v>1198</v>
      </c>
      <c r="D3914" s="924" t="s">
        <v>855</v>
      </c>
      <c r="E3914" s="924" t="s">
        <v>856</v>
      </c>
      <c r="F3914" s="924" t="s">
        <v>1041</v>
      </c>
      <c r="G3914" s="924" t="s">
        <v>981</v>
      </c>
      <c r="H3914" s="924" t="s">
        <v>835</v>
      </c>
      <c r="I3914" s="924" t="s">
        <v>1040</v>
      </c>
      <c r="J3914" s="924" t="s">
        <v>859</v>
      </c>
      <c r="K3914" s="924" t="s">
        <v>891</v>
      </c>
      <c r="L3914" s="925">
        <v>0.41759214643388998</v>
      </c>
      <c r="M3914" s="925">
        <v>2.0856585393858E-4</v>
      </c>
    </row>
    <row r="3915" spans="1:13" ht="11.25" customHeight="1" x14ac:dyDescent="0.2">
      <c r="A3915" s="924" t="s">
        <v>853</v>
      </c>
      <c r="B3915" s="924" t="s">
        <v>806</v>
      </c>
      <c r="C3915" s="924" t="s">
        <v>1198</v>
      </c>
      <c r="D3915" s="924" t="s">
        <v>855</v>
      </c>
      <c r="E3915" s="924" t="s">
        <v>856</v>
      </c>
      <c r="F3915" s="924" t="s">
        <v>1138</v>
      </c>
      <c r="G3915" s="924" t="s">
        <v>981</v>
      </c>
      <c r="H3915" s="924" t="s">
        <v>835</v>
      </c>
      <c r="I3915" s="924" t="s">
        <v>1040</v>
      </c>
      <c r="J3915" s="924" t="s">
        <v>863</v>
      </c>
      <c r="K3915" s="924" t="s">
        <v>931</v>
      </c>
      <c r="L3915" s="925">
        <v>7.6504584029316902</v>
      </c>
      <c r="M3915" s="925">
        <v>2.9405603352188302E-3</v>
      </c>
    </row>
    <row r="3916" spans="1:13" ht="11.25" customHeight="1" x14ac:dyDescent="0.2">
      <c r="A3916" s="924" t="s">
        <v>853</v>
      </c>
      <c r="B3916" s="924" t="s">
        <v>806</v>
      </c>
      <c r="C3916" s="924" t="s">
        <v>1198</v>
      </c>
      <c r="D3916" s="924" t="s">
        <v>855</v>
      </c>
      <c r="E3916" s="924" t="s">
        <v>856</v>
      </c>
      <c r="F3916" s="924" t="s">
        <v>1134</v>
      </c>
      <c r="G3916" s="924" t="s">
        <v>981</v>
      </c>
      <c r="H3916" s="924" t="s">
        <v>835</v>
      </c>
      <c r="I3916" s="924" t="s">
        <v>1040</v>
      </c>
      <c r="J3916" s="924" t="s">
        <v>863</v>
      </c>
      <c r="K3916" s="924" t="s">
        <v>933</v>
      </c>
      <c r="L3916" s="925">
        <v>29.357140511274299</v>
      </c>
      <c r="M3916" s="925">
        <v>2.06900281045819E-3</v>
      </c>
    </row>
    <row r="3917" spans="1:13" ht="11.25" customHeight="1" x14ac:dyDescent="0.2">
      <c r="A3917" s="924" t="s">
        <v>853</v>
      </c>
      <c r="B3917" s="924" t="s">
        <v>806</v>
      </c>
      <c r="C3917" s="924" t="s">
        <v>1198</v>
      </c>
      <c r="D3917" s="924" t="s">
        <v>855</v>
      </c>
      <c r="E3917" s="924" t="s">
        <v>856</v>
      </c>
      <c r="F3917" s="924" t="s">
        <v>1059</v>
      </c>
      <c r="G3917" s="924" t="s">
        <v>981</v>
      </c>
      <c r="H3917" s="924" t="s">
        <v>835</v>
      </c>
      <c r="I3917" s="924" t="s">
        <v>1040</v>
      </c>
      <c r="J3917" s="924" t="s">
        <v>859</v>
      </c>
      <c r="K3917" s="924" t="s">
        <v>909</v>
      </c>
      <c r="L3917" s="925">
        <v>8.1540994122624397</v>
      </c>
      <c r="M3917" s="925">
        <v>5.6145862399716896E-3</v>
      </c>
    </row>
    <row r="3918" spans="1:13" ht="11.25" customHeight="1" x14ac:dyDescent="0.2">
      <c r="A3918" s="924" t="s">
        <v>853</v>
      </c>
      <c r="B3918" s="924" t="s">
        <v>806</v>
      </c>
      <c r="C3918" s="924" t="s">
        <v>1198</v>
      </c>
      <c r="D3918" s="924" t="s">
        <v>855</v>
      </c>
      <c r="E3918" s="924" t="s">
        <v>856</v>
      </c>
      <c r="F3918" s="924" t="s">
        <v>1069</v>
      </c>
      <c r="G3918" s="924" t="s">
        <v>981</v>
      </c>
      <c r="H3918" s="924" t="s">
        <v>835</v>
      </c>
      <c r="I3918" s="924" t="s">
        <v>998</v>
      </c>
      <c r="J3918" s="924" t="s">
        <v>940</v>
      </c>
      <c r="K3918" s="924" t="s">
        <v>1070</v>
      </c>
      <c r="L3918" s="925">
        <v>22.621296346187599</v>
      </c>
      <c r="M3918" s="925">
        <v>4.2000763729447499E-2</v>
      </c>
    </row>
    <row r="3919" spans="1:13" ht="11.25" customHeight="1" x14ac:dyDescent="0.2">
      <c r="A3919" s="924" t="s">
        <v>853</v>
      </c>
      <c r="B3919" s="924" t="s">
        <v>806</v>
      </c>
      <c r="C3919" s="924" t="s">
        <v>1198</v>
      </c>
      <c r="D3919" s="924" t="s">
        <v>855</v>
      </c>
      <c r="E3919" s="924" t="s">
        <v>856</v>
      </c>
      <c r="F3919" s="924" t="s">
        <v>917</v>
      </c>
      <c r="G3919" s="924" t="s">
        <v>911</v>
      </c>
      <c r="H3919" s="924" t="s">
        <v>665</v>
      </c>
      <c r="I3919" s="924" t="s">
        <v>706</v>
      </c>
      <c r="J3919" s="924" t="s">
        <v>859</v>
      </c>
      <c r="K3919" s="924" t="s">
        <v>918</v>
      </c>
      <c r="L3919" s="925">
        <v>0.20479420828632999</v>
      </c>
      <c r="M3919" s="925">
        <v>6.6125605343358998E-5</v>
      </c>
    </row>
    <row r="3920" spans="1:13" ht="11.25" customHeight="1" x14ac:dyDescent="0.2">
      <c r="A3920" s="924" t="s">
        <v>853</v>
      </c>
      <c r="B3920" s="924" t="s">
        <v>806</v>
      </c>
      <c r="C3920" s="924" t="s">
        <v>1198</v>
      </c>
      <c r="D3920" s="924" t="s">
        <v>855</v>
      </c>
      <c r="E3920" s="924" t="s">
        <v>856</v>
      </c>
      <c r="F3920" s="924" t="s">
        <v>921</v>
      </c>
      <c r="G3920" s="924" t="s">
        <v>911</v>
      </c>
      <c r="H3920" s="924" t="s">
        <v>665</v>
      </c>
      <c r="I3920" s="924" t="s">
        <v>706</v>
      </c>
      <c r="J3920" s="924" t="s">
        <v>859</v>
      </c>
      <c r="K3920" s="924" t="s">
        <v>922</v>
      </c>
      <c r="L3920" s="925">
        <v>0.35883311415091201</v>
      </c>
      <c r="M3920" s="925">
        <v>4.7927604221342797E-5</v>
      </c>
    </row>
    <row r="3921" spans="1:13" ht="11.25" customHeight="1" x14ac:dyDescent="0.2">
      <c r="A3921" s="924" t="s">
        <v>853</v>
      </c>
      <c r="B3921" s="924" t="s">
        <v>806</v>
      </c>
      <c r="C3921" s="924" t="s">
        <v>1198</v>
      </c>
      <c r="D3921" s="924" t="s">
        <v>855</v>
      </c>
      <c r="E3921" s="924" t="s">
        <v>856</v>
      </c>
      <c r="F3921" s="924" t="s">
        <v>1075</v>
      </c>
      <c r="G3921" s="924" t="s">
        <v>981</v>
      </c>
      <c r="H3921" s="924" t="s">
        <v>835</v>
      </c>
      <c r="I3921" s="924" t="s">
        <v>998</v>
      </c>
      <c r="J3921" s="924" t="s">
        <v>859</v>
      </c>
      <c r="K3921" s="924" t="s">
        <v>889</v>
      </c>
      <c r="L3921" s="925">
        <v>1.41801909171045</v>
      </c>
      <c r="M3921" s="925">
        <v>2.2950010625209E-3</v>
      </c>
    </row>
    <row r="3922" spans="1:13" ht="11.25" customHeight="1" x14ac:dyDescent="0.2">
      <c r="A3922" s="924" t="s">
        <v>853</v>
      </c>
      <c r="B3922" s="924" t="s">
        <v>806</v>
      </c>
      <c r="C3922" s="924" t="s">
        <v>1198</v>
      </c>
      <c r="D3922" s="924" t="s">
        <v>855</v>
      </c>
      <c r="E3922" s="924" t="s">
        <v>856</v>
      </c>
      <c r="F3922" s="924" t="s">
        <v>1076</v>
      </c>
      <c r="G3922" s="924" t="s">
        <v>981</v>
      </c>
      <c r="H3922" s="924" t="s">
        <v>835</v>
      </c>
      <c r="I3922" s="924" t="s">
        <v>998</v>
      </c>
      <c r="J3922" s="924" t="s">
        <v>859</v>
      </c>
      <c r="K3922" s="924" t="s">
        <v>860</v>
      </c>
      <c r="L3922" s="925">
        <v>9.1927136527374401E-2</v>
      </c>
      <c r="M3922" s="925">
        <v>1.8991970068782399E-4</v>
      </c>
    </row>
    <row r="3923" spans="1:13" ht="11.25" customHeight="1" x14ac:dyDescent="0.2">
      <c r="A3923" s="924" t="s">
        <v>853</v>
      </c>
      <c r="B3923" s="924" t="s">
        <v>806</v>
      </c>
      <c r="C3923" s="924" t="s">
        <v>1198</v>
      </c>
      <c r="D3923" s="924" t="s">
        <v>855</v>
      </c>
      <c r="E3923" s="924" t="s">
        <v>856</v>
      </c>
      <c r="F3923" s="924" t="s">
        <v>1077</v>
      </c>
      <c r="G3923" s="924" t="s">
        <v>981</v>
      </c>
      <c r="H3923" s="924" t="s">
        <v>835</v>
      </c>
      <c r="I3923" s="924" t="s">
        <v>998</v>
      </c>
      <c r="J3923" s="924" t="s">
        <v>859</v>
      </c>
      <c r="K3923" s="924" t="s">
        <v>897</v>
      </c>
      <c r="L3923" s="925">
        <v>0.109882609336637</v>
      </c>
      <c r="M3923" s="925">
        <v>2.30110620805135E-4</v>
      </c>
    </row>
    <row r="3924" spans="1:13" ht="11.25" customHeight="1" x14ac:dyDescent="0.2">
      <c r="A3924" s="924" t="s">
        <v>853</v>
      </c>
      <c r="B3924" s="924" t="s">
        <v>806</v>
      </c>
      <c r="C3924" s="924" t="s">
        <v>1198</v>
      </c>
      <c r="D3924" s="924" t="s">
        <v>855</v>
      </c>
      <c r="E3924" s="924" t="s">
        <v>856</v>
      </c>
      <c r="F3924" s="924" t="s">
        <v>1078</v>
      </c>
      <c r="G3924" s="924" t="s">
        <v>981</v>
      </c>
      <c r="H3924" s="924" t="s">
        <v>835</v>
      </c>
      <c r="I3924" s="924" t="s">
        <v>998</v>
      </c>
      <c r="J3924" s="924" t="s">
        <v>859</v>
      </c>
      <c r="K3924" s="924" t="s">
        <v>901</v>
      </c>
      <c r="L3924" s="925">
        <v>7.6140501460031395E-4</v>
      </c>
      <c r="M3924" s="925">
        <v>1.70128608445452E-6</v>
      </c>
    </row>
    <row r="3925" spans="1:13" ht="11.25" customHeight="1" x14ac:dyDescent="0.2">
      <c r="A3925" s="924" t="s">
        <v>853</v>
      </c>
      <c r="B3925" s="924" t="s">
        <v>806</v>
      </c>
      <c r="C3925" s="924" t="s">
        <v>1198</v>
      </c>
      <c r="D3925" s="924" t="s">
        <v>855</v>
      </c>
      <c r="E3925" s="924" t="s">
        <v>856</v>
      </c>
      <c r="F3925" s="924" t="s">
        <v>1079</v>
      </c>
      <c r="G3925" s="924" t="s">
        <v>981</v>
      </c>
      <c r="H3925" s="924" t="s">
        <v>835</v>
      </c>
      <c r="I3925" s="924" t="s">
        <v>998</v>
      </c>
      <c r="J3925" s="924" t="s">
        <v>859</v>
      </c>
      <c r="K3925" s="924" t="s">
        <v>909</v>
      </c>
      <c r="L3925" s="925">
        <v>3.6616788804531102</v>
      </c>
      <c r="M3925" s="925">
        <v>6.5576312990742701E-3</v>
      </c>
    </row>
    <row r="3926" spans="1:13" ht="11.25" customHeight="1" x14ac:dyDescent="0.2">
      <c r="A3926" s="924" t="s">
        <v>853</v>
      </c>
      <c r="B3926" s="924" t="s">
        <v>806</v>
      </c>
      <c r="C3926" s="924" t="s">
        <v>1198</v>
      </c>
      <c r="D3926" s="924" t="s">
        <v>855</v>
      </c>
      <c r="E3926" s="924" t="s">
        <v>856</v>
      </c>
      <c r="F3926" s="924" t="s">
        <v>1080</v>
      </c>
      <c r="G3926" s="924" t="s">
        <v>981</v>
      </c>
      <c r="H3926" s="924" t="s">
        <v>835</v>
      </c>
      <c r="I3926" s="924" t="s">
        <v>998</v>
      </c>
      <c r="J3926" s="924" t="s">
        <v>859</v>
      </c>
      <c r="K3926" s="924" t="s">
        <v>920</v>
      </c>
      <c r="L3926" s="925">
        <v>2.1458639763295699E-2</v>
      </c>
      <c r="M3926" s="925">
        <v>4.7947307677986801E-5</v>
      </c>
    </row>
    <row r="3927" spans="1:13" ht="11.25" customHeight="1" x14ac:dyDescent="0.2">
      <c r="A3927" s="924" t="s">
        <v>853</v>
      </c>
      <c r="B3927" s="924" t="s">
        <v>806</v>
      </c>
      <c r="C3927" s="924" t="s">
        <v>1198</v>
      </c>
      <c r="D3927" s="924" t="s">
        <v>855</v>
      </c>
      <c r="E3927" s="924" t="s">
        <v>856</v>
      </c>
      <c r="F3927" s="924" t="s">
        <v>1081</v>
      </c>
      <c r="G3927" s="924" t="s">
        <v>981</v>
      </c>
      <c r="H3927" s="924" t="s">
        <v>835</v>
      </c>
      <c r="I3927" s="924" t="s">
        <v>998</v>
      </c>
      <c r="J3927" s="924" t="s">
        <v>863</v>
      </c>
      <c r="K3927" s="924" t="s">
        <v>935</v>
      </c>
      <c r="L3927" s="925">
        <v>7.0151113206520704E-2</v>
      </c>
      <c r="M3927" s="925">
        <v>1.56745978756589E-4</v>
      </c>
    </row>
    <row r="3928" spans="1:13" ht="11.25" customHeight="1" x14ac:dyDescent="0.2">
      <c r="A3928" s="924" t="s">
        <v>853</v>
      </c>
      <c r="B3928" s="924" t="s">
        <v>806</v>
      </c>
      <c r="C3928" s="924" t="s">
        <v>1198</v>
      </c>
      <c r="D3928" s="924" t="s">
        <v>855</v>
      </c>
      <c r="E3928" s="924" t="s">
        <v>856</v>
      </c>
      <c r="F3928" s="924" t="s">
        <v>1042</v>
      </c>
      <c r="G3928" s="924" t="s">
        <v>981</v>
      </c>
      <c r="H3928" s="924" t="s">
        <v>835</v>
      </c>
      <c r="I3928" s="924" t="s">
        <v>998</v>
      </c>
      <c r="J3928" s="924" t="s">
        <v>956</v>
      </c>
      <c r="K3928" s="924" t="s">
        <v>1043</v>
      </c>
      <c r="L3928" s="925">
        <v>8.1149230450391805</v>
      </c>
      <c r="M3928" s="925">
        <v>1.4055986466701101E-2</v>
      </c>
    </row>
    <row r="3929" spans="1:13" ht="11.25" customHeight="1" x14ac:dyDescent="0.2">
      <c r="A3929" s="924" t="s">
        <v>853</v>
      </c>
      <c r="B3929" s="924" t="s">
        <v>806</v>
      </c>
      <c r="C3929" s="924" t="s">
        <v>1198</v>
      </c>
      <c r="D3929" s="924" t="s">
        <v>855</v>
      </c>
      <c r="E3929" s="924" t="s">
        <v>856</v>
      </c>
      <c r="F3929" s="924" t="s">
        <v>1083</v>
      </c>
      <c r="G3929" s="924" t="s">
        <v>981</v>
      </c>
      <c r="H3929" s="924" t="s">
        <v>835</v>
      </c>
      <c r="I3929" s="924" t="s">
        <v>998</v>
      </c>
      <c r="J3929" s="924" t="s">
        <v>940</v>
      </c>
      <c r="K3929" s="924" t="s">
        <v>1084</v>
      </c>
      <c r="L3929" s="925">
        <v>0.89407860953360796</v>
      </c>
      <c r="M3929" s="925">
        <v>1.63342114501575E-3</v>
      </c>
    </row>
    <row r="3930" spans="1:13" ht="11.25" customHeight="1" x14ac:dyDescent="0.2">
      <c r="A3930" s="924" t="s">
        <v>853</v>
      </c>
      <c r="B3930" s="924" t="s">
        <v>806</v>
      </c>
      <c r="C3930" s="924" t="s">
        <v>1198</v>
      </c>
      <c r="D3930" s="924" t="s">
        <v>855</v>
      </c>
      <c r="E3930" s="924" t="s">
        <v>856</v>
      </c>
      <c r="F3930" s="924" t="s">
        <v>1054</v>
      </c>
      <c r="G3930" s="924" t="s">
        <v>981</v>
      </c>
      <c r="H3930" s="924" t="s">
        <v>835</v>
      </c>
      <c r="I3930" s="924" t="s">
        <v>998</v>
      </c>
      <c r="J3930" s="924" t="s">
        <v>875</v>
      </c>
      <c r="K3930" s="924" t="s">
        <v>880</v>
      </c>
      <c r="L3930" s="925">
        <v>1.6006353671400601E-3</v>
      </c>
      <c r="M3930" s="925">
        <v>3.57646856841143E-6</v>
      </c>
    </row>
    <row r="3931" spans="1:13" ht="11.25" customHeight="1" x14ac:dyDescent="0.2">
      <c r="A3931" s="924" t="s">
        <v>853</v>
      </c>
      <c r="B3931" s="924" t="s">
        <v>806</v>
      </c>
      <c r="C3931" s="924" t="s">
        <v>1198</v>
      </c>
      <c r="D3931" s="924" t="s">
        <v>855</v>
      </c>
      <c r="E3931" s="924" t="s">
        <v>856</v>
      </c>
      <c r="F3931" s="924" t="s">
        <v>1086</v>
      </c>
      <c r="G3931" s="924" t="s">
        <v>981</v>
      </c>
      <c r="H3931" s="924" t="s">
        <v>835</v>
      </c>
      <c r="I3931" s="924" t="s">
        <v>998</v>
      </c>
      <c r="J3931" s="924" t="s">
        <v>940</v>
      </c>
      <c r="K3931" s="924" t="s">
        <v>1087</v>
      </c>
      <c r="L3931" s="925">
        <v>11.9648648798466</v>
      </c>
      <c r="M3931" s="925">
        <v>2.30363480513915E-2</v>
      </c>
    </row>
    <row r="3932" spans="1:13" ht="11.25" customHeight="1" x14ac:dyDescent="0.2">
      <c r="A3932" s="924" t="s">
        <v>853</v>
      </c>
      <c r="B3932" s="924" t="s">
        <v>806</v>
      </c>
      <c r="C3932" s="924" t="s">
        <v>1198</v>
      </c>
      <c r="D3932" s="924" t="s">
        <v>855</v>
      </c>
      <c r="E3932" s="924" t="s">
        <v>856</v>
      </c>
      <c r="F3932" s="924" t="s">
        <v>1088</v>
      </c>
      <c r="G3932" s="924" t="s">
        <v>981</v>
      </c>
      <c r="H3932" s="924" t="s">
        <v>835</v>
      </c>
      <c r="I3932" s="924" t="s">
        <v>998</v>
      </c>
      <c r="J3932" s="924" t="s">
        <v>940</v>
      </c>
      <c r="K3932" s="924" t="s">
        <v>1089</v>
      </c>
      <c r="L3932" s="925">
        <v>218.296491384506</v>
      </c>
      <c r="M3932" s="925">
        <v>0.39878531219437702</v>
      </c>
    </row>
    <row r="3933" spans="1:13" ht="11.25" customHeight="1" x14ac:dyDescent="0.2">
      <c r="A3933" s="924" t="s">
        <v>853</v>
      </c>
      <c r="B3933" s="924" t="s">
        <v>806</v>
      </c>
      <c r="C3933" s="924" t="s">
        <v>1198</v>
      </c>
      <c r="D3933" s="924" t="s">
        <v>855</v>
      </c>
      <c r="E3933" s="924" t="s">
        <v>856</v>
      </c>
      <c r="F3933" s="924" t="s">
        <v>1090</v>
      </c>
      <c r="G3933" s="924" t="s">
        <v>981</v>
      </c>
      <c r="H3933" s="924" t="s">
        <v>835</v>
      </c>
      <c r="I3933" s="924" t="s">
        <v>998</v>
      </c>
      <c r="J3933" s="924" t="s">
        <v>940</v>
      </c>
      <c r="K3933" s="924" t="s">
        <v>1091</v>
      </c>
      <c r="L3933" s="925">
        <v>16.579143688082699</v>
      </c>
      <c r="M3933" s="925">
        <v>2.8235212957952199E-2</v>
      </c>
    </row>
    <row r="3934" spans="1:13" ht="11.25" customHeight="1" x14ac:dyDescent="0.2">
      <c r="A3934" s="924" t="s">
        <v>853</v>
      </c>
      <c r="B3934" s="924" t="s">
        <v>806</v>
      </c>
      <c r="C3934" s="924" t="s">
        <v>1198</v>
      </c>
      <c r="D3934" s="924" t="s">
        <v>855</v>
      </c>
      <c r="E3934" s="924" t="s">
        <v>856</v>
      </c>
      <c r="F3934" s="924" t="s">
        <v>1092</v>
      </c>
      <c r="G3934" s="924" t="s">
        <v>981</v>
      </c>
      <c r="H3934" s="924" t="s">
        <v>835</v>
      </c>
      <c r="I3934" s="924" t="s">
        <v>998</v>
      </c>
      <c r="J3934" s="924" t="s">
        <v>940</v>
      </c>
      <c r="K3934" s="924" t="s">
        <v>1093</v>
      </c>
      <c r="L3934" s="925">
        <v>190.32190579175901</v>
      </c>
      <c r="M3934" s="925">
        <v>0.37661655433475999</v>
      </c>
    </row>
    <row r="3935" spans="1:13" ht="11.25" customHeight="1" x14ac:dyDescent="0.2">
      <c r="A3935" s="924" t="s">
        <v>853</v>
      </c>
      <c r="B3935" s="924" t="s">
        <v>806</v>
      </c>
      <c r="C3935" s="924" t="s">
        <v>1198</v>
      </c>
      <c r="D3935" s="924" t="s">
        <v>855</v>
      </c>
      <c r="E3935" s="924" t="s">
        <v>856</v>
      </c>
      <c r="F3935" s="924" t="s">
        <v>1094</v>
      </c>
      <c r="G3935" s="924" t="s">
        <v>981</v>
      </c>
      <c r="H3935" s="924" t="s">
        <v>835</v>
      </c>
      <c r="I3935" s="924" t="s">
        <v>998</v>
      </c>
      <c r="J3935" s="924" t="s">
        <v>940</v>
      </c>
      <c r="K3935" s="924" t="s">
        <v>1095</v>
      </c>
      <c r="L3935" s="925">
        <v>10.6702912077308</v>
      </c>
      <c r="M3935" s="925">
        <v>1.9901482344721399E-2</v>
      </c>
    </row>
    <row r="3936" spans="1:13" ht="11.25" customHeight="1" x14ac:dyDescent="0.2">
      <c r="A3936" s="924" t="s">
        <v>853</v>
      </c>
      <c r="B3936" s="924" t="s">
        <v>806</v>
      </c>
      <c r="C3936" s="924" t="s">
        <v>1198</v>
      </c>
      <c r="D3936" s="924" t="s">
        <v>855</v>
      </c>
      <c r="E3936" s="924" t="s">
        <v>856</v>
      </c>
      <c r="F3936" s="924" t="s">
        <v>1096</v>
      </c>
      <c r="G3936" s="924" t="s">
        <v>981</v>
      </c>
      <c r="H3936" s="924" t="s">
        <v>835</v>
      </c>
      <c r="I3936" s="924" t="s">
        <v>998</v>
      </c>
      <c r="J3936" s="924" t="s">
        <v>940</v>
      </c>
      <c r="K3936" s="924" t="s">
        <v>1023</v>
      </c>
      <c r="L3936" s="925">
        <v>177.71523022651701</v>
      </c>
      <c r="M3936" s="925">
        <v>0.33238748915027799</v>
      </c>
    </row>
    <row r="3937" spans="1:13" ht="11.25" customHeight="1" x14ac:dyDescent="0.2">
      <c r="A3937" s="924" t="s">
        <v>853</v>
      </c>
      <c r="B3937" s="924" t="s">
        <v>806</v>
      </c>
      <c r="C3937" s="924" t="s">
        <v>1198</v>
      </c>
      <c r="D3937" s="924" t="s">
        <v>855</v>
      </c>
      <c r="E3937" s="924" t="s">
        <v>856</v>
      </c>
      <c r="F3937" s="924" t="s">
        <v>1100</v>
      </c>
      <c r="G3937" s="924" t="s">
        <v>981</v>
      </c>
      <c r="H3937" s="924" t="s">
        <v>835</v>
      </c>
      <c r="I3937" s="924" t="s">
        <v>998</v>
      </c>
      <c r="J3937" s="924" t="s">
        <v>940</v>
      </c>
      <c r="K3937" s="924" t="s">
        <v>1032</v>
      </c>
      <c r="L3937" s="925">
        <v>9.48299871233758E-2</v>
      </c>
      <c r="M3937" s="925">
        <v>1.9012468186474499E-4</v>
      </c>
    </row>
    <row r="3938" spans="1:13" ht="11.25" customHeight="1" x14ac:dyDescent="0.2">
      <c r="A3938" s="924" t="s">
        <v>853</v>
      </c>
      <c r="B3938" s="924" t="s">
        <v>806</v>
      </c>
      <c r="C3938" s="924" t="s">
        <v>1198</v>
      </c>
      <c r="D3938" s="924" t="s">
        <v>855</v>
      </c>
      <c r="E3938" s="924" t="s">
        <v>856</v>
      </c>
      <c r="F3938" s="924" t="s">
        <v>1101</v>
      </c>
      <c r="G3938" s="924" t="s">
        <v>981</v>
      </c>
      <c r="H3938" s="924" t="s">
        <v>835</v>
      </c>
      <c r="I3938" s="924" t="s">
        <v>998</v>
      </c>
      <c r="J3938" s="924" t="s">
        <v>870</v>
      </c>
      <c r="K3938" s="924" t="s">
        <v>961</v>
      </c>
      <c r="L3938" s="925">
        <v>0.24728141090599801</v>
      </c>
      <c r="M3938" s="925">
        <v>4.0714299575483898E-4</v>
      </c>
    </row>
    <row r="3939" spans="1:13" ht="11.25" customHeight="1" x14ac:dyDescent="0.2">
      <c r="A3939" s="924" t="s">
        <v>853</v>
      </c>
      <c r="B3939" s="924" t="s">
        <v>806</v>
      </c>
      <c r="C3939" s="924" t="s">
        <v>1198</v>
      </c>
      <c r="D3939" s="924" t="s">
        <v>855</v>
      </c>
      <c r="E3939" s="924" t="s">
        <v>856</v>
      </c>
      <c r="F3939" s="924" t="s">
        <v>1102</v>
      </c>
      <c r="G3939" s="924" t="s">
        <v>981</v>
      </c>
      <c r="H3939" s="924" t="s">
        <v>835</v>
      </c>
      <c r="I3939" s="924" t="s">
        <v>998</v>
      </c>
      <c r="J3939" s="924" t="s">
        <v>875</v>
      </c>
      <c r="K3939" s="924" t="s">
        <v>876</v>
      </c>
      <c r="L3939" s="925">
        <v>0.69161671027541205</v>
      </c>
      <c r="M3939" s="925">
        <v>1.39945534101571E-3</v>
      </c>
    </row>
    <row r="3940" spans="1:13" ht="11.25" customHeight="1" x14ac:dyDescent="0.2">
      <c r="A3940" s="924" t="s">
        <v>853</v>
      </c>
      <c r="B3940" s="924" t="s">
        <v>806</v>
      </c>
      <c r="C3940" s="924" t="s">
        <v>1198</v>
      </c>
      <c r="D3940" s="924" t="s">
        <v>855</v>
      </c>
      <c r="E3940" s="924" t="s">
        <v>856</v>
      </c>
      <c r="F3940" s="924" t="s">
        <v>1047</v>
      </c>
      <c r="G3940" s="924" t="s">
        <v>981</v>
      </c>
      <c r="H3940" s="924" t="s">
        <v>835</v>
      </c>
      <c r="I3940" s="924" t="s">
        <v>1040</v>
      </c>
      <c r="J3940" s="924" t="s">
        <v>884</v>
      </c>
      <c r="K3940" s="924" t="s">
        <v>1048</v>
      </c>
      <c r="L3940" s="925">
        <v>93.241555929184003</v>
      </c>
      <c r="M3940" s="925">
        <v>6.9892401690594894E-2</v>
      </c>
    </row>
    <row r="3941" spans="1:13" ht="11.25" customHeight="1" x14ac:dyDescent="0.2">
      <c r="A3941" s="924" t="s">
        <v>853</v>
      </c>
      <c r="B3941" s="924" t="s">
        <v>806</v>
      </c>
      <c r="C3941" s="924" t="s">
        <v>1198</v>
      </c>
      <c r="D3941" s="924" t="s">
        <v>855</v>
      </c>
      <c r="E3941" s="924" t="s">
        <v>856</v>
      </c>
      <c r="F3941" s="924" t="s">
        <v>1103</v>
      </c>
      <c r="G3941" s="924" t="s">
        <v>981</v>
      </c>
      <c r="H3941" s="924" t="s">
        <v>835</v>
      </c>
      <c r="I3941" s="924" t="s">
        <v>998</v>
      </c>
      <c r="J3941" s="924" t="s">
        <v>863</v>
      </c>
      <c r="K3941" s="924" t="s">
        <v>864</v>
      </c>
      <c r="L3941" s="925">
        <v>5.3680555865867098E-3</v>
      </c>
      <c r="M3941" s="925">
        <v>1.19944307499509E-5</v>
      </c>
    </row>
    <row r="3942" spans="1:13" ht="11.25" customHeight="1" x14ac:dyDescent="0.2">
      <c r="A3942" s="924" t="s">
        <v>853</v>
      </c>
      <c r="B3942" s="924" t="s">
        <v>806</v>
      </c>
      <c r="C3942" s="924" t="s">
        <v>1198</v>
      </c>
      <c r="D3942" s="924" t="s">
        <v>855</v>
      </c>
      <c r="E3942" s="924" t="s">
        <v>856</v>
      </c>
      <c r="F3942" s="924" t="s">
        <v>1123</v>
      </c>
      <c r="G3942" s="924" t="s">
        <v>981</v>
      </c>
      <c r="H3942" s="924" t="s">
        <v>835</v>
      </c>
      <c r="I3942" s="924" t="s">
        <v>1040</v>
      </c>
      <c r="J3942" s="924" t="s">
        <v>875</v>
      </c>
      <c r="K3942" s="924" t="s">
        <v>952</v>
      </c>
      <c r="L3942" s="925">
        <v>3.0005207769572699</v>
      </c>
      <c r="M3942" s="925">
        <v>2.0775068892477898E-3</v>
      </c>
    </row>
    <row r="3943" spans="1:13" ht="11.25" customHeight="1" x14ac:dyDescent="0.2">
      <c r="A3943" s="924" t="s">
        <v>853</v>
      </c>
      <c r="B3943" s="924" t="s">
        <v>806</v>
      </c>
      <c r="C3943" s="924" t="s">
        <v>1198</v>
      </c>
      <c r="D3943" s="924" t="s">
        <v>855</v>
      </c>
      <c r="E3943" s="924" t="s">
        <v>856</v>
      </c>
      <c r="F3943" s="924" t="s">
        <v>1111</v>
      </c>
      <c r="G3943" s="924" t="s">
        <v>981</v>
      </c>
      <c r="H3943" s="924" t="s">
        <v>835</v>
      </c>
      <c r="I3943" s="924" t="s">
        <v>1040</v>
      </c>
      <c r="J3943" s="924" t="s">
        <v>870</v>
      </c>
      <c r="K3943" s="924" t="s">
        <v>1016</v>
      </c>
      <c r="L3943" s="925">
        <v>1.60504301451147</v>
      </c>
      <c r="M3943" s="925">
        <v>1.34583482986272E-3</v>
      </c>
    </row>
    <row r="3944" spans="1:13" ht="11.25" customHeight="1" x14ac:dyDescent="0.2">
      <c r="A3944" s="924" t="s">
        <v>853</v>
      </c>
      <c r="B3944" s="924" t="s">
        <v>806</v>
      </c>
      <c r="C3944" s="924" t="s">
        <v>1198</v>
      </c>
      <c r="D3944" s="924" t="s">
        <v>855</v>
      </c>
      <c r="E3944" s="924" t="s">
        <v>856</v>
      </c>
      <c r="F3944" s="924" t="s">
        <v>1112</v>
      </c>
      <c r="G3944" s="924" t="s">
        <v>981</v>
      </c>
      <c r="H3944" s="924" t="s">
        <v>835</v>
      </c>
      <c r="I3944" s="924" t="s">
        <v>1040</v>
      </c>
      <c r="J3944" s="924" t="s">
        <v>870</v>
      </c>
      <c r="K3944" s="924" t="s">
        <v>959</v>
      </c>
      <c r="L3944" s="925">
        <v>0.49449754296802001</v>
      </c>
      <c r="M3944" s="925">
        <v>3.2490370540472202E-4</v>
      </c>
    </row>
    <row r="3945" spans="1:13" ht="11.25" customHeight="1" x14ac:dyDescent="0.2">
      <c r="A3945" s="924" t="s">
        <v>853</v>
      </c>
      <c r="B3945" s="924" t="s">
        <v>806</v>
      </c>
      <c r="C3945" s="924" t="s">
        <v>1198</v>
      </c>
      <c r="D3945" s="924" t="s">
        <v>855</v>
      </c>
      <c r="E3945" s="924" t="s">
        <v>856</v>
      </c>
      <c r="F3945" s="924" t="s">
        <v>1113</v>
      </c>
      <c r="G3945" s="924" t="s">
        <v>981</v>
      </c>
      <c r="H3945" s="924" t="s">
        <v>835</v>
      </c>
      <c r="I3945" s="924" t="s">
        <v>1040</v>
      </c>
      <c r="J3945" s="924" t="s">
        <v>870</v>
      </c>
      <c r="K3945" s="924" t="s">
        <v>961</v>
      </c>
      <c r="L3945" s="925">
        <v>5.4037217106670097</v>
      </c>
      <c r="M3945" s="925">
        <v>4.0801351937034304E-3</v>
      </c>
    </row>
    <row r="3946" spans="1:13" ht="11.25" customHeight="1" x14ac:dyDescent="0.2">
      <c r="A3946" s="924" t="s">
        <v>853</v>
      </c>
      <c r="B3946" s="924" t="s">
        <v>806</v>
      </c>
      <c r="C3946" s="924" t="s">
        <v>1198</v>
      </c>
      <c r="D3946" s="924" t="s">
        <v>855</v>
      </c>
      <c r="E3946" s="924" t="s">
        <v>856</v>
      </c>
      <c r="F3946" s="924" t="s">
        <v>1114</v>
      </c>
      <c r="G3946" s="924" t="s">
        <v>981</v>
      </c>
      <c r="H3946" s="924" t="s">
        <v>835</v>
      </c>
      <c r="I3946" s="924" t="s">
        <v>1040</v>
      </c>
      <c r="J3946" s="924" t="s">
        <v>870</v>
      </c>
      <c r="K3946" s="924" t="s">
        <v>963</v>
      </c>
      <c r="L3946" s="925">
        <v>11.784847438335399</v>
      </c>
      <c r="M3946" s="925">
        <v>1.95260134951241E-2</v>
      </c>
    </row>
    <row r="3947" spans="1:13" ht="11.25" customHeight="1" x14ac:dyDescent="0.2">
      <c r="A3947" s="924" t="s">
        <v>853</v>
      </c>
      <c r="B3947" s="924" t="s">
        <v>806</v>
      </c>
      <c r="C3947" s="924" t="s">
        <v>1198</v>
      </c>
      <c r="D3947" s="924" t="s">
        <v>855</v>
      </c>
      <c r="E3947" s="924" t="s">
        <v>856</v>
      </c>
      <c r="F3947" s="924" t="s">
        <v>1115</v>
      </c>
      <c r="G3947" s="924" t="s">
        <v>981</v>
      </c>
      <c r="H3947" s="924" t="s">
        <v>835</v>
      </c>
      <c r="I3947" s="924" t="s">
        <v>1040</v>
      </c>
      <c r="J3947" s="924" t="s">
        <v>870</v>
      </c>
      <c r="K3947" s="924" t="s">
        <v>965</v>
      </c>
      <c r="L3947" s="925">
        <v>2.5418945280835001</v>
      </c>
      <c r="M3947" s="925">
        <v>2.13138805020208E-3</v>
      </c>
    </row>
    <row r="3948" spans="1:13" ht="11.25" customHeight="1" x14ac:dyDescent="0.2">
      <c r="A3948" s="924" t="s">
        <v>853</v>
      </c>
      <c r="B3948" s="924" t="s">
        <v>806</v>
      </c>
      <c r="C3948" s="924" t="s">
        <v>1198</v>
      </c>
      <c r="D3948" s="924" t="s">
        <v>855</v>
      </c>
      <c r="E3948" s="924" t="s">
        <v>856</v>
      </c>
      <c r="F3948" s="924" t="s">
        <v>1130</v>
      </c>
      <c r="G3948" s="924" t="s">
        <v>981</v>
      </c>
      <c r="H3948" s="924" t="s">
        <v>835</v>
      </c>
      <c r="I3948" s="924" t="s">
        <v>1040</v>
      </c>
      <c r="J3948" s="924" t="s">
        <v>870</v>
      </c>
      <c r="K3948" s="924" t="s">
        <v>871</v>
      </c>
      <c r="L3948" s="925">
        <v>3.6628792937845001</v>
      </c>
      <c r="M3948" s="925">
        <v>2.9090604709836E-3</v>
      </c>
    </row>
    <row r="3949" spans="1:13" ht="11.25" customHeight="1" x14ac:dyDescent="0.2">
      <c r="A3949" s="924" t="s">
        <v>853</v>
      </c>
      <c r="B3949" s="924" t="s">
        <v>806</v>
      </c>
      <c r="C3949" s="924" t="s">
        <v>1198</v>
      </c>
      <c r="D3949" s="924" t="s">
        <v>855</v>
      </c>
      <c r="E3949" s="924" t="s">
        <v>856</v>
      </c>
      <c r="F3949" s="924" t="s">
        <v>1117</v>
      </c>
      <c r="G3949" s="924" t="s">
        <v>981</v>
      </c>
      <c r="H3949" s="924" t="s">
        <v>835</v>
      </c>
      <c r="I3949" s="924" t="s">
        <v>1040</v>
      </c>
      <c r="J3949" s="924" t="s">
        <v>870</v>
      </c>
      <c r="K3949" s="924" t="s">
        <v>873</v>
      </c>
      <c r="L3949" s="925">
        <v>4.0387991368770599</v>
      </c>
      <c r="M3949" s="925">
        <v>4.03811687306188E-4</v>
      </c>
    </row>
    <row r="3950" spans="1:13" ht="11.25" customHeight="1" x14ac:dyDescent="0.2">
      <c r="A3950" s="924" t="s">
        <v>853</v>
      </c>
      <c r="B3950" s="924" t="s">
        <v>806</v>
      </c>
      <c r="C3950" s="924" t="s">
        <v>1198</v>
      </c>
      <c r="D3950" s="924" t="s">
        <v>855</v>
      </c>
      <c r="E3950" s="924" t="s">
        <v>856</v>
      </c>
      <c r="F3950" s="924" t="s">
        <v>1104</v>
      </c>
      <c r="G3950" s="924" t="s">
        <v>981</v>
      </c>
      <c r="H3950" s="924" t="s">
        <v>835</v>
      </c>
      <c r="I3950" s="924" t="s">
        <v>1040</v>
      </c>
      <c r="J3950" s="924" t="s">
        <v>875</v>
      </c>
      <c r="K3950" s="924" t="s">
        <v>876</v>
      </c>
      <c r="L3950" s="925">
        <v>142.286335349083</v>
      </c>
      <c r="M3950" s="925">
        <v>9.5306135830469402E-2</v>
      </c>
    </row>
    <row r="3951" spans="1:13" ht="11.25" customHeight="1" x14ac:dyDescent="0.2">
      <c r="A3951" s="924" t="s">
        <v>853</v>
      </c>
      <c r="B3951" s="924" t="s">
        <v>806</v>
      </c>
      <c r="C3951" s="924" t="s">
        <v>1198</v>
      </c>
      <c r="D3951" s="924" t="s">
        <v>855</v>
      </c>
      <c r="E3951" s="924" t="s">
        <v>856</v>
      </c>
      <c r="F3951" s="924" t="s">
        <v>1119</v>
      </c>
      <c r="G3951" s="924" t="s">
        <v>981</v>
      </c>
      <c r="H3951" s="924" t="s">
        <v>835</v>
      </c>
      <c r="I3951" s="924" t="s">
        <v>1040</v>
      </c>
      <c r="J3951" s="924" t="s">
        <v>875</v>
      </c>
      <c r="K3951" s="924" t="s">
        <v>878</v>
      </c>
      <c r="L3951" s="925">
        <v>35.534943908453002</v>
      </c>
      <c r="M3951" s="925">
        <v>2.3544458518699699E-2</v>
      </c>
    </row>
    <row r="3952" spans="1:13" ht="11.25" customHeight="1" x14ac:dyDescent="0.2">
      <c r="A3952" s="924" t="s">
        <v>853</v>
      </c>
      <c r="B3952" s="924" t="s">
        <v>806</v>
      </c>
      <c r="C3952" s="924" t="s">
        <v>1198</v>
      </c>
      <c r="D3952" s="924" t="s">
        <v>855</v>
      </c>
      <c r="E3952" s="924" t="s">
        <v>856</v>
      </c>
      <c r="F3952" s="924" t="s">
        <v>1120</v>
      </c>
      <c r="G3952" s="924" t="s">
        <v>981</v>
      </c>
      <c r="H3952" s="924" t="s">
        <v>835</v>
      </c>
      <c r="I3952" s="924" t="s">
        <v>1040</v>
      </c>
      <c r="J3952" s="924" t="s">
        <v>875</v>
      </c>
      <c r="K3952" s="924" t="s">
        <v>880</v>
      </c>
      <c r="L3952" s="925">
        <v>18.7937031686306</v>
      </c>
      <c r="M3952" s="925">
        <v>1.08600843069269E-2</v>
      </c>
    </row>
    <row r="3953" spans="1:13" ht="11.25" customHeight="1" x14ac:dyDescent="0.2">
      <c r="A3953" s="924" t="s">
        <v>853</v>
      </c>
      <c r="B3953" s="924" t="s">
        <v>806</v>
      </c>
      <c r="C3953" s="924" t="s">
        <v>1198</v>
      </c>
      <c r="D3953" s="924" t="s">
        <v>855</v>
      </c>
      <c r="E3953" s="924" t="s">
        <v>856</v>
      </c>
      <c r="F3953" s="924" t="s">
        <v>1110</v>
      </c>
      <c r="G3953" s="924" t="s">
        <v>981</v>
      </c>
      <c r="H3953" s="924" t="s">
        <v>835</v>
      </c>
      <c r="I3953" s="924" t="s">
        <v>1040</v>
      </c>
      <c r="J3953" s="924" t="s">
        <v>870</v>
      </c>
      <c r="K3953" s="924" t="s">
        <v>1019</v>
      </c>
      <c r="L3953" s="925">
        <v>1.7927970155142199E-2</v>
      </c>
      <c r="M3953" s="925">
        <v>1.4984029054865301E-5</v>
      </c>
    </row>
    <row r="3954" spans="1:13" ht="11.25" customHeight="1" x14ac:dyDescent="0.2">
      <c r="A3954" s="924" t="s">
        <v>853</v>
      </c>
      <c r="B3954" s="924" t="s">
        <v>806</v>
      </c>
      <c r="C3954" s="924" t="s">
        <v>1198</v>
      </c>
      <c r="D3954" s="924" t="s">
        <v>855</v>
      </c>
      <c r="E3954" s="924" t="s">
        <v>856</v>
      </c>
      <c r="F3954" s="924" t="s">
        <v>1122</v>
      </c>
      <c r="G3954" s="924" t="s">
        <v>981</v>
      </c>
      <c r="H3954" s="924" t="s">
        <v>835</v>
      </c>
      <c r="I3954" s="924" t="s">
        <v>1040</v>
      </c>
      <c r="J3954" s="924" t="s">
        <v>875</v>
      </c>
      <c r="K3954" s="924" t="s">
        <v>950</v>
      </c>
      <c r="L3954" s="925">
        <v>63.962860941886902</v>
      </c>
      <c r="M3954" s="925">
        <v>4.4153594041755902E-2</v>
      </c>
    </row>
    <row r="3955" spans="1:13" ht="11.25" customHeight="1" x14ac:dyDescent="0.2">
      <c r="A3955" s="924" t="s">
        <v>853</v>
      </c>
      <c r="B3955" s="924" t="s">
        <v>806</v>
      </c>
      <c r="C3955" s="924" t="s">
        <v>1198</v>
      </c>
      <c r="D3955" s="924" t="s">
        <v>855</v>
      </c>
      <c r="E3955" s="924" t="s">
        <v>856</v>
      </c>
      <c r="F3955" s="924" t="s">
        <v>1074</v>
      </c>
      <c r="G3955" s="924" t="s">
        <v>911</v>
      </c>
      <c r="H3955" s="924" t="s">
        <v>665</v>
      </c>
      <c r="I3955" s="924" t="s">
        <v>706</v>
      </c>
      <c r="J3955" s="924" t="s">
        <v>859</v>
      </c>
      <c r="K3955" s="924" t="s">
        <v>903</v>
      </c>
      <c r="L3955" s="925">
        <v>0.56113522732630405</v>
      </c>
      <c r="M3955" s="925">
        <v>6.26691482281672E-5</v>
      </c>
    </row>
    <row r="3956" spans="1:13" ht="11.25" customHeight="1" x14ac:dyDescent="0.2">
      <c r="A3956" s="924" t="s">
        <v>853</v>
      </c>
      <c r="B3956" s="924" t="s">
        <v>806</v>
      </c>
      <c r="C3956" s="924" t="s">
        <v>1198</v>
      </c>
      <c r="D3956" s="924" t="s">
        <v>855</v>
      </c>
      <c r="E3956" s="924" t="s">
        <v>856</v>
      </c>
      <c r="F3956" s="924" t="s">
        <v>1124</v>
      </c>
      <c r="G3956" s="924" t="s">
        <v>981</v>
      </c>
      <c r="H3956" s="924" t="s">
        <v>835</v>
      </c>
      <c r="I3956" s="924" t="s">
        <v>1040</v>
      </c>
      <c r="J3956" s="924" t="s">
        <v>956</v>
      </c>
      <c r="K3956" s="924" t="s">
        <v>1125</v>
      </c>
      <c r="L3956" s="925">
        <v>18.088095456361799</v>
      </c>
      <c r="M3956" s="925">
        <v>1.44089022319918E-2</v>
      </c>
    </row>
    <row r="3957" spans="1:13" ht="11.25" customHeight="1" x14ac:dyDescent="0.2">
      <c r="A3957" s="924" t="s">
        <v>853</v>
      </c>
      <c r="B3957" s="924" t="s">
        <v>806</v>
      </c>
      <c r="C3957" s="924" t="s">
        <v>1198</v>
      </c>
      <c r="D3957" s="924" t="s">
        <v>855</v>
      </c>
      <c r="E3957" s="924" t="s">
        <v>856</v>
      </c>
      <c r="F3957" s="924" t="s">
        <v>1126</v>
      </c>
      <c r="G3957" s="924" t="s">
        <v>981</v>
      </c>
      <c r="H3957" s="924" t="s">
        <v>835</v>
      </c>
      <c r="I3957" s="924" t="s">
        <v>1040</v>
      </c>
      <c r="J3957" s="924" t="s">
        <v>956</v>
      </c>
      <c r="K3957" s="924" t="s">
        <v>957</v>
      </c>
      <c r="L3957" s="925">
        <v>0.20840789726935299</v>
      </c>
      <c r="M3957" s="925">
        <v>1.6279334158752999E-4</v>
      </c>
    </row>
    <row r="3958" spans="1:13" ht="11.25" customHeight="1" x14ac:dyDescent="0.2">
      <c r="A3958" s="924" t="s">
        <v>853</v>
      </c>
      <c r="B3958" s="924" t="s">
        <v>806</v>
      </c>
      <c r="C3958" s="924" t="s">
        <v>1198</v>
      </c>
      <c r="D3958" s="924" t="s">
        <v>855</v>
      </c>
      <c r="E3958" s="924" t="s">
        <v>856</v>
      </c>
      <c r="F3958" s="924" t="s">
        <v>1128</v>
      </c>
      <c r="G3958" s="924" t="s">
        <v>911</v>
      </c>
      <c r="H3958" s="924" t="s">
        <v>665</v>
      </c>
      <c r="I3958" s="924" t="s">
        <v>706</v>
      </c>
      <c r="J3958" s="924" t="s">
        <v>859</v>
      </c>
      <c r="K3958" s="924" t="s">
        <v>913</v>
      </c>
      <c r="L3958" s="925">
        <v>0.18169391644187299</v>
      </c>
      <c r="M3958" s="925">
        <v>2.0034116406719701E-5</v>
      </c>
    </row>
    <row r="3959" spans="1:13" ht="11.25" customHeight="1" x14ac:dyDescent="0.2">
      <c r="A3959" s="924" t="s">
        <v>853</v>
      </c>
      <c r="B3959" s="924" t="s">
        <v>806</v>
      </c>
      <c r="C3959" s="924" t="s">
        <v>1198</v>
      </c>
      <c r="D3959" s="924" t="s">
        <v>855</v>
      </c>
      <c r="E3959" s="924" t="s">
        <v>856</v>
      </c>
      <c r="F3959" s="924" t="s">
        <v>1118</v>
      </c>
      <c r="G3959" s="924" t="s">
        <v>911</v>
      </c>
      <c r="H3959" s="924" t="s">
        <v>665</v>
      </c>
      <c r="I3959" s="924" t="s">
        <v>706</v>
      </c>
      <c r="J3959" s="924" t="s">
        <v>859</v>
      </c>
      <c r="K3959" s="924" t="s">
        <v>893</v>
      </c>
      <c r="L3959" s="925">
        <v>0.30809634388424501</v>
      </c>
      <c r="M3959" s="925">
        <v>1.4906104766509999E-5</v>
      </c>
    </row>
    <row r="3960" spans="1:13" ht="11.25" customHeight="1" x14ac:dyDescent="0.2">
      <c r="A3960" s="924" t="s">
        <v>853</v>
      </c>
      <c r="B3960" s="924" t="s">
        <v>806</v>
      </c>
      <c r="C3960" s="924" t="s">
        <v>1198</v>
      </c>
      <c r="D3960" s="924" t="s">
        <v>855</v>
      </c>
      <c r="E3960" s="924" t="s">
        <v>856</v>
      </c>
      <c r="F3960" s="924" t="s">
        <v>1129</v>
      </c>
      <c r="G3960" s="924" t="s">
        <v>911</v>
      </c>
      <c r="H3960" s="924" t="s">
        <v>665</v>
      </c>
      <c r="I3960" s="924" t="s">
        <v>706</v>
      </c>
      <c r="J3960" s="924" t="s">
        <v>859</v>
      </c>
      <c r="K3960" s="924" t="s">
        <v>897</v>
      </c>
      <c r="L3960" s="925">
        <v>5.0177318393252797E-2</v>
      </c>
      <c r="M3960" s="925">
        <v>1.8237711294943899E-5</v>
      </c>
    </row>
    <row r="3961" spans="1:13" ht="11.25" customHeight="1" x14ac:dyDescent="0.2">
      <c r="A3961" s="924" t="s">
        <v>853</v>
      </c>
      <c r="B3961" s="924" t="s">
        <v>806</v>
      </c>
      <c r="C3961" s="924" t="s">
        <v>1198</v>
      </c>
      <c r="D3961" s="924" t="s">
        <v>855</v>
      </c>
      <c r="E3961" s="924" t="s">
        <v>856</v>
      </c>
      <c r="F3961" s="924" t="s">
        <v>1133</v>
      </c>
      <c r="G3961" s="924" t="s">
        <v>911</v>
      </c>
      <c r="H3961" s="924" t="s">
        <v>665</v>
      </c>
      <c r="I3961" s="924" t="s">
        <v>706</v>
      </c>
      <c r="J3961" s="924" t="s">
        <v>859</v>
      </c>
      <c r="K3961" s="924" t="s">
        <v>899</v>
      </c>
      <c r="L3961" s="925">
        <v>3.1255675101419897E-2</v>
      </c>
      <c r="M3961" s="925">
        <v>3.1138878959780001E-6</v>
      </c>
    </row>
    <row r="3962" spans="1:13" ht="11.25" customHeight="1" x14ac:dyDescent="0.2">
      <c r="A3962" s="924" t="s">
        <v>853</v>
      </c>
      <c r="B3962" s="924" t="s">
        <v>806</v>
      </c>
      <c r="C3962" s="924" t="s">
        <v>1198</v>
      </c>
      <c r="D3962" s="924" t="s">
        <v>855</v>
      </c>
      <c r="E3962" s="924" t="s">
        <v>856</v>
      </c>
      <c r="F3962" s="924" t="s">
        <v>1136</v>
      </c>
      <c r="G3962" s="924" t="s">
        <v>981</v>
      </c>
      <c r="H3962" s="924" t="s">
        <v>835</v>
      </c>
      <c r="I3962" s="924" t="s">
        <v>1040</v>
      </c>
      <c r="J3962" s="924" t="s">
        <v>863</v>
      </c>
      <c r="K3962" s="924" t="s">
        <v>864</v>
      </c>
      <c r="L3962" s="925">
        <v>11.8760554045439</v>
      </c>
      <c r="M3962" s="925">
        <v>8.8457558231311902E-3</v>
      </c>
    </row>
    <row r="3963" spans="1:13" ht="11.25" customHeight="1" x14ac:dyDescent="0.2">
      <c r="A3963" s="924" t="s">
        <v>853</v>
      </c>
      <c r="B3963" s="924" t="s">
        <v>806</v>
      </c>
      <c r="C3963" s="924" t="s">
        <v>1198</v>
      </c>
      <c r="D3963" s="924" t="s">
        <v>855</v>
      </c>
      <c r="E3963" s="924" t="s">
        <v>856</v>
      </c>
      <c r="F3963" s="924" t="s">
        <v>916</v>
      </c>
      <c r="G3963" s="924" t="s">
        <v>911</v>
      </c>
      <c r="H3963" s="924" t="s">
        <v>665</v>
      </c>
      <c r="I3963" s="924" t="s">
        <v>706</v>
      </c>
      <c r="J3963" s="924" t="s">
        <v>859</v>
      </c>
      <c r="K3963" s="924" t="s">
        <v>909</v>
      </c>
      <c r="L3963" s="925">
        <v>0.52798317931592498</v>
      </c>
      <c r="M3963" s="925">
        <v>2.4436950639028499E-5</v>
      </c>
    </row>
    <row r="3964" spans="1:13" ht="11.25" customHeight="1" x14ac:dyDescent="0.2">
      <c r="A3964" s="924" t="s">
        <v>853</v>
      </c>
      <c r="B3964" s="924" t="s">
        <v>806</v>
      </c>
      <c r="C3964" s="924" t="s">
        <v>1198</v>
      </c>
      <c r="D3964" s="924" t="s">
        <v>855</v>
      </c>
      <c r="E3964" s="924" t="s">
        <v>856</v>
      </c>
      <c r="F3964" s="924" t="s">
        <v>1082</v>
      </c>
      <c r="G3964" s="924" t="s">
        <v>981</v>
      </c>
      <c r="H3964" s="924" t="s">
        <v>835</v>
      </c>
      <c r="I3964" s="924" t="s">
        <v>998</v>
      </c>
      <c r="J3964" s="924" t="s">
        <v>875</v>
      </c>
      <c r="K3964" s="924" t="s">
        <v>952</v>
      </c>
      <c r="L3964" s="925">
        <v>2.7920153021113898E-2</v>
      </c>
      <c r="M3964" s="925">
        <v>6.2384970249240696E-5</v>
      </c>
    </row>
    <row r="3965" spans="1:13" ht="11.25" customHeight="1" x14ac:dyDescent="0.2">
      <c r="A3965" s="924" t="s">
        <v>853</v>
      </c>
      <c r="B3965" s="924" t="s">
        <v>806</v>
      </c>
      <c r="C3965" s="924" t="s">
        <v>1198</v>
      </c>
      <c r="D3965" s="924" t="s">
        <v>855</v>
      </c>
      <c r="E3965" s="924" t="s">
        <v>856</v>
      </c>
      <c r="F3965" s="924" t="s">
        <v>919</v>
      </c>
      <c r="G3965" s="924" t="s">
        <v>911</v>
      </c>
      <c r="H3965" s="924" t="s">
        <v>665</v>
      </c>
      <c r="I3965" s="924" t="s">
        <v>706</v>
      </c>
      <c r="J3965" s="924" t="s">
        <v>859</v>
      </c>
      <c r="K3965" s="924" t="s">
        <v>920</v>
      </c>
      <c r="L3965" s="925">
        <v>3.37912247341592E-2</v>
      </c>
      <c r="M3965" s="925">
        <v>9.4670593036028095E-6</v>
      </c>
    </row>
    <row r="3966" spans="1:13" ht="11.25" customHeight="1" x14ac:dyDescent="0.2">
      <c r="A3966" s="924" t="s">
        <v>853</v>
      </c>
      <c r="B3966" s="924" t="s">
        <v>806</v>
      </c>
      <c r="C3966" s="924" t="s">
        <v>1198</v>
      </c>
      <c r="D3966" s="924" t="s">
        <v>855</v>
      </c>
      <c r="E3966" s="924" t="s">
        <v>856</v>
      </c>
      <c r="F3966" s="924" t="s">
        <v>1121</v>
      </c>
      <c r="G3966" s="924" t="s">
        <v>981</v>
      </c>
      <c r="H3966" s="924" t="s">
        <v>835</v>
      </c>
      <c r="I3966" s="924" t="s">
        <v>1040</v>
      </c>
      <c r="J3966" s="924" t="s">
        <v>875</v>
      </c>
      <c r="K3966" s="924" t="s">
        <v>948</v>
      </c>
      <c r="L3966" s="925">
        <v>40.439599454402902</v>
      </c>
      <c r="M3966" s="925">
        <v>2.5178341454250099E-2</v>
      </c>
    </row>
    <row r="3967" spans="1:13" ht="11.25" customHeight="1" x14ac:dyDescent="0.2">
      <c r="A3967" s="924" t="s">
        <v>853</v>
      </c>
      <c r="B3967" s="924" t="s">
        <v>806</v>
      </c>
      <c r="C3967" s="924" t="s">
        <v>1198</v>
      </c>
      <c r="D3967" s="924" t="s">
        <v>855</v>
      </c>
      <c r="E3967" s="924" t="s">
        <v>856</v>
      </c>
      <c r="F3967" s="924" t="s">
        <v>1131</v>
      </c>
      <c r="G3967" s="924" t="s">
        <v>981</v>
      </c>
      <c r="H3967" s="924" t="s">
        <v>835</v>
      </c>
      <c r="I3967" s="924" t="s">
        <v>1040</v>
      </c>
      <c r="J3967" s="924" t="s">
        <v>863</v>
      </c>
      <c r="K3967" s="924" t="s">
        <v>868</v>
      </c>
      <c r="L3967" s="925">
        <v>2.5989081449806699</v>
      </c>
      <c r="M3967" s="925">
        <v>1.8306879110241401E-4</v>
      </c>
    </row>
    <row r="3968" spans="1:13" ht="11.25" customHeight="1" x14ac:dyDescent="0.2">
      <c r="A3968" s="924" t="s">
        <v>853</v>
      </c>
      <c r="B3968" s="924" t="s">
        <v>806</v>
      </c>
      <c r="C3968" s="924" t="s">
        <v>1198</v>
      </c>
      <c r="D3968" s="924" t="s">
        <v>855</v>
      </c>
      <c r="E3968" s="924" t="s">
        <v>856</v>
      </c>
      <c r="F3968" s="924" t="s">
        <v>1137</v>
      </c>
      <c r="G3968" s="924" t="s">
        <v>981</v>
      </c>
      <c r="H3968" s="924" t="s">
        <v>835</v>
      </c>
      <c r="I3968" s="924" t="s">
        <v>1040</v>
      </c>
      <c r="J3968" s="924" t="s">
        <v>863</v>
      </c>
      <c r="K3968" s="924" t="s">
        <v>866</v>
      </c>
      <c r="L3968" s="925">
        <v>0.95454790070652995</v>
      </c>
      <c r="M3968" s="925">
        <v>6.3816670262895102E-4</v>
      </c>
    </row>
    <row r="3969" spans="1:13" ht="11.25" customHeight="1" x14ac:dyDescent="0.2">
      <c r="A3969" s="924" t="s">
        <v>853</v>
      </c>
      <c r="B3969" s="924" t="s">
        <v>806</v>
      </c>
      <c r="C3969" s="924" t="s">
        <v>1198</v>
      </c>
      <c r="D3969" s="924" t="s">
        <v>855</v>
      </c>
      <c r="E3969" s="924" t="s">
        <v>856</v>
      </c>
      <c r="F3969" s="924" t="s">
        <v>1139</v>
      </c>
      <c r="G3969" s="924" t="s">
        <v>981</v>
      </c>
      <c r="H3969" s="924" t="s">
        <v>835</v>
      </c>
      <c r="I3969" s="924" t="s">
        <v>1040</v>
      </c>
      <c r="J3969" s="924" t="s">
        <v>940</v>
      </c>
      <c r="K3969" s="924" t="s">
        <v>1140</v>
      </c>
      <c r="L3969" s="925">
        <v>151.515155434608</v>
      </c>
      <c r="M3969" s="925">
        <v>0.110589116005802</v>
      </c>
    </row>
    <row r="3970" spans="1:13" ht="11.25" customHeight="1" x14ac:dyDescent="0.2">
      <c r="A3970" s="924" t="s">
        <v>853</v>
      </c>
      <c r="B3970" s="924" t="s">
        <v>806</v>
      </c>
      <c r="C3970" s="924" t="s">
        <v>1198</v>
      </c>
      <c r="D3970" s="924" t="s">
        <v>855</v>
      </c>
      <c r="E3970" s="924" t="s">
        <v>856</v>
      </c>
      <c r="F3970" s="924" t="s">
        <v>1141</v>
      </c>
      <c r="G3970" s="924" t="s">
        <v>981</v>
      </c>
      <c r="H3970" s="924" t="s">
        <v>835</v>
      </c>
      <c r="I3970" s="924" t="s">
        <v>1040</v>
      </c>
      <c r="J3970" s="924" t="s">
        <v>940</v>
      </c>
      <c r="K3970" s="924" t="s">
        <v>1142</v>
      </c>
      <c r="L3970" s="925">
        <v>556.35985612869297</v>
      </c>
      <c r="M3970" s="925">
        <v>0.40894339734222701</v>
      </c>
    </row>
    <row r="3971" spans="1:13" ht="11.25" customHeight="1" x14ac:dyDescent="0.2">
      <c r="A3971" s="924" t="s">
        <v>853</v>
      </c>
      <c r="B3971" s="924" t="s">
        <v>806</v>
      </c>
      <c r="C3971" s="924" t="s">
        <v>1198</v>
      </c>
      <c r="D3971" s="924" t="s">
        <v>855</v>
      </c>
      <c r="E3971" s="924" t="s">
        <v>856</v>
      </c>
      <c r="F3971" s="924" t="s">
        <v>1143</v>
      </c>
      <c r="G3971" s="924" t="s">
        <v>981</v>
      </c>
      <c r="H3971" s="924" t="s">
        <v>835</v>
      </c>
      <c r="I3971" s="924" t="s">
        <v>1040</v>
      </c>
      <c r="J3971" s="924" t="s">
        <v>940</v>
      </c>
      <c r="K3971" s="924" t="s">
        <v>1084</v>
      </c>
      <c r="L3971" s="925">
        <v>13.0381668582559</v>
      </c>
      <c r="M3971" s="925">
        <v>9.50121451751329E-3</v>
      </c>
    </row>
    <row r="3972" spans="1:13" ht="11.25" customHeight="1" x14ac:dyDescent="0.2">
      <c r="A3972" s="924" t="s">
        <v>853</v>
      </c>
      <c r="B3972" s="924" t="s">
        <v>806</v>
      </c>
      <c r="C3972" s="924" t="s">
        <v>1198</v>
      </c>
      <c r="D3972" s="924" t="s">
        <v>855</v>
      </c>
      <c r="E3972" s="924" t="s">
        <v>856</v>
      </c>
      <c r="F3972" s="924" t="s">
        <v>1144</v>
      </c>
      <c r="G3972" s="924" t="s">
        <v>981</v>
      </c>
      <c r="H3972" s="924" t="s">
        <v>835</v>
      </c>
      <c r="I3972" s="924" t="s">
        <v>1040</v>
      </c>
      <c r="J3972" s="924" t="s">
        <v>940</v>
      </c>
      <c r="K3972" s="924" t="s">
        <v>1070</v>
      </c>
      <c r="L3972" s="925">
        <v>330.78830862045299</v>
      </c>
      <c r="M3972" s="925">
        <v>0.229522062873002</v>
      </c>
    </row>
    <row r="3973" spans="1:13" ht="11.25" customHeight="1" x14ac:dyDescent="0.2">
      <c r="A3973" s="924" t="s">
        <v>853</v>
      </c>
      <c r="B3973" s="924" t="s">
        <v>806</v>
      </c>
      <c r="C3973" s="924" t="s">
        <v>1198</v>
      </c>
      <c r="D3973" s="924" t="s">
        <v>855</v>
      </c>
      <c r="E3973" s="924" t="s">
        <v>856</v>
      </c>
      <c r="F3973" s="924" t="s">
        <v>1149</v>
      </c>
      <c r="G3973" s="924" t="s">
        <v>981</v>
      </c>
      <c r="H3973" s="924" t="s">
        <v>835</v>
      </c>
      <c r="I3973" s="924" t="s">
        <v>1040</v>
      </c>
      <c r="J3973" s="924" t="s">
        <v>940</v>
      </c>
      <c r="K3973" s="924" t="s">
        <v>1091</v>
      </c>
      <c r="L3973" s="925">
        <v>0.84021651558578003</v>
      </c>
      <c r="M3973" s="925">
        <v>5.8463812092668399E-4</v>
      </c>
    </row>
    <row r="3974" spans="1:13" ht="11.25" customHeight="1" x14ac:dyDescent="0.2">
      <c r="A3974" s="924" t="s">
        <v>853</v>
      </c>
      <c r="B3974" s="924" t="s">
        <v>806</v>
      </c>
      <c r="C3974" s="924" t="s">
        <v>1198</v>
      </c>
      <c r="D3974" s="924" t="s">
        <v>855</v>
      </c>
      <c r="E3974" s="924" t="s">
        <v>856</v>
      </c>
      <c r="F3974" s="924" t="s">
        <v>1160</v>
      </c>
      <c r="G3974" s="924" t="s">
        <v>981</v>
      </c>
      <c r="H3974" s="924" t="s">
        <v>835</v>
      </c>
      <c r="I3974" s="924" t="s">
        <v>1040</v>
      </c>
      <c r="J3974" s="924" t="s">
        <v>940</v>
      </c>
      <c r="K3974" s="924" t="s">
        <v>1093</v>
      </c>
      <c r="L3974" s="925">
        <v>12.887033261358701</v>
      </c>
      <c r="M3974" s="925">
        <v>9.0573523739294597E-3</v>
      </c>
    </row>
    <row r="3975" spans="1:13" ht="11.25" customHeight="1" x14ac:dyDescent="0.2">
      <c r="A3975" s="924" t="s">
        <v>853</v>
      </c>
      <c r="B3975" s="924" t="s">
        <v>806</v>
      </c>
      <c r="C3975" s="924" t="s">
        <v>1198</v>
      </c>
      <c r="D3975" s="924" t="s">
        <v>855</v>
      </c>
      <c r="E3975" s="924" t="s">
        <v>856</v>
      </c>
      <c r="F3975" s="924" t="s">
        <v>1159</v>
      </c>
      <c r="G3975" s="924" t="s">
        <v>981</v>
      </c>
      <c r="H3975" s="924" t="s">
        <v>835</v>
      </c>
      <c r="I3975" s="924" t="s">
        <v>1040</v>
      </c>
      <c r="J3975" s="924" t="s">
        <v>940</v>
      </c>
      <c r="K3975" s="924" t="s">
        <v>1095</v>
      </c>
      <c r="L3975" s="925">
        <v>1.60288598947227</v>
      </c>
      <c r="M3975" s="925">
        <v>1.11550950896344E-3</v>
      </c>
    </row>
    <row r="3976" spans="1:13" ht="11.25" customHeight="1" x14ac:dyDescent="0.2">
      <c r="A3976" s="924" t="s">
        <v>853</v>
      </c>
      <c r="B3976" s="924" t="s">
        <v>806</v>
      </c>
      <c r="C3976" s="924" t="s">
        <v>1198</v>
      </c>
      <c r="D3976" s="924" t="s">
        <v>855</v>
      </c>
      <c r="E3976" s="924" t="s">
        <v>856</v>
      </c>
      <c r="F3976" s="924" t="s">
        <v>1158</v>
      </c>
      <c r="G3976" s="924" t="s">
        <v>981</v>
      </c>
      <c r="H3976" s="924" t="s">
        <v>835</v>
      </c>
      <c r="I3976" s="924" t="s">
        <v>1040</v>
      </c>
      <c r="J3976" s="924" t="s">
        <v>940</v>
      </c>
      <c r="K3976" s="924" t="s">
        <v>1023</v>
      </c>
      <c r="L3976" s="925">
        <v>528.02033710479702</v>
      </c>
      <c r="M3976" s="925">
        <v>0.30233130837586902</v>
      </c>
    </row>
    <row r="3977" spans="1:13" ht="11.25" customHeight="1" x14ac:dyDescent="0.2">
      <c r="A3977" s="924" t="s">
        <v>853</v>
      </c>
      <c r="B3977" s="924" t="s">
        <v>806</v>
      </c>
      <c r="C3977" s="924" t="s">
        <v>1198</v>
      </c>
      <c r="D3977" s="924" t="s">
        <v>855</v>
      </c>
      <c r="E3977" s="924" t="s">
        <v>856</v>
      </c>
      <c r="F3977" s="924" t="s">
        <v>1154</v>
      </c>
      <c r="G3977" s="924" t="s">
        <v>981</v>
      </c>
      <c r="H3977" s="924" t="s">
        <v>835</v>
      </c>
      <c r="I3977" s="924" t="s">
        <v>1040</v>
      </c>
      <c r="J3977" s="924" t="s">
        <v>940</v>
      </c>
      <c r="K3977" s="924" t="s">
        <v>1155</v>
      </c>
      <c r="L3977" s="925">
        <v>30.6385372579098</v>
      </c>
      <c r="M3977" s="925">
        <v>1.9679368718479799E-2</v>
      </c>
    </row>
    <row r="3978" spans="1:13" ht="11.25" customHeight="1" x14ac:dyDescent="0.2">
      <c r="A3978" s="924" t="s">
        <v>853</v>
      </c>
      <c r="B3978" s="924" t="s">
        <v>806</v>
      </c>
      <c r="C3978" s="924" t="s">
        <v>1198</v>
      </c>
      <c r="D3978" s="924" t="s">
        <v>855</v>
      </c>
      <c r="E3978" s="924" t="s">
        <v>856</v>
      </c>
      <c r="F3978" s="924" t="s">
        <v>1152</v>
      </c>
      <c r="G3978" s="924" t="s">
        <v>981</v>
      </c>
      <c r="H3978" s="924" t="s">
        <v>835</v>
      </c>
      <c r="I3978" s="924" t="s">
        <v>1040</v>
      </c>
      <c r="J3978" s="924" t="s">
        <v>940</v>
      </c>
      <c r="K3978" s="924" t="s">
        <v>1153</v>
      </c>
      <c r="L3978" s="925">
        <v>70.688816100359006</v>
      </c>
      <c r="M3978" s="925">
        <v>4.63059814064763E-2</v>
      </c>
    </row>
    <row r="3979" spans="1:13" ht="11.25" customHeight="1" x14ac:dyDescent="0.2">
      <c r="A3979" s="924" t="s">
        <v>853</v>
      </c>
      <c r="B3979" s="924" t="s">
        <v>806</v>
      </c>
      <c r="C3979" s="924" t="s">
        <v>1198</v>
      </c>
      <c r="D3979" s="924" t="s">
        <v>855</v>
      </c>
      <c r="E3979" s="924" t="s">
        <v>856</v>
      </c>
      <c r="F3979" s="924" t="s">
        <v>1109</v>
      </c>
      <c r="G3979" s="924" t="s">
        <v>981</v>
      </c>
      <c r="H3979" s="924" t="s">
        <v>835</v>
      </c>
      <c r="I3979" s="924" t="s">
        <v>1040</v>
      </c>
      <c r="J3979" s="924" t="s">
        <v>870</v>
      </c>
      <c r="K3979" s="924" t="s">
        <v>976</v>
      </c>
      <c r="L3979" s="925">
        <v>2.3215236710384501</v>
      </c>
      <c r="M3979" s="925">
        <v>4.7352612626871997E-4</v>
      </c>
    </row>
    <row r="3980" spans="1:13" ht="11.25" customHeight="1" x14ac:dyDescent="0.2">
      <c r="A3980" s="924" t="s">
        <v>853</v>
      </c>
      <c r="B3980" s="924" t="s">
        <v>806</v>
      </c>
      <c r="C3980" s="924" t="s">
        <v>1198</v>
      </c>
      <c r="D3980" s="924" t="s">
        <v>855</v>
      </c>
      <c r="E3980" s="924" t="s">
        <v>856</v>
      </c>
      <c r="F3980" s="924" t="s">
        <v>1150</v>
      </c>
      <c r="G3980" s="924" t="s">
        <v>981</v>
      </c>
      <c r="H3980" s="924" t="s">
        <v>835</v>
      </c>
      <c r="I3980" s="924" t="s">
        <v>1040</v>
      </c>
      <c r="J3980" s="924" t="s">
        <v>940</v>
      </c>
      <c r="K3980" s="924" t="s">
        <v>1151</v>
      </c>
      <c r="L3980" s="925">
        <v>38.105378165841103</v>
      </c>
      <c r="M3980" s="925">
        <v>2.6724595969426401E-2</v>
      </c>
    </row>
    <row r="3981" spans="1:13" ht="11.25" customHeight="1" x14ac:dyDescent="0.2">
      <c r="A3981" s="924" t="s">
        <v>853</v>
      </c>
      <c r="B3981" s="924" t="s">
        <v>806</v>
      </c>
      <c r="C3981" s="924" t="s">
        <v>1198</v>
      </c>
      <c r="D3981" s="924" t="s">
        <v>855</v>
      </c>
      <c r="E3981" s="924" t="s">
        <v>856</v>
      </c>
      <c r="F3981" s="924" t="s">
        <v>1146</v>
      </c>
      <c r="G3981" s="924" t="s">
        <v>981</v>
      </c>
      <c r="H3981" s="924" t="s">
        <v>835</v>
      </c>
      <c r="I3981" s="924" t="s">
        <v>1040</v>
      </c>
      <c r="J3981" s="924" t="s">
        <v>940</v>
      </c>
      <c r="K3981" s="924" t="s">
        <v>1147</v>
      </c>
      <c r="L3981" s="925">
        <v>410.71484088897699</v>
      </c>
      <c r="M3981" s="925">
        <v>0.26334800710901601</v>
      </c>
    </row>
    <row r="3982" spans="1:13" ht="11.25" customHeight="1" x14ac:dyDescent="0.2">
      <c r="A3982" s="924" t="s">
        <v>853</v>
      </c>
      <c r="B3982" s="924" t="s">
        <v>806</v>
      </c>
      <c r="C3982" s="924" t="s">
        <v>1198</v>
      </c>
      <c r="D3982" s="924" t="s">
        <v>855</v>
      </c>
      <c r="E3982" s="924" t="s">
        <v>856</v>
      </c>
      <c r="F3982" s="924" t="s">
        <v>1145</v>
      </c>
      <c r="G3982" s="924" t="s">
        <v>981</v>
      </c>
      <c r="H3982" s="924" t="s">
        <v>835</v>
      </c>
      <c r="I3982" s="924" t="s">
        <v>1040</v>
      </c>
      <c r="J3982" s="924" t="s">
        <v>940</v>
      </c>
      <c r="K3982" s="924" t="s">
        <v>1029</v>
      </c>
      <c r="L3982" s="925">
        <v>960.66379547119095</v>
      </c>
      <c r="M3982" s="925">
        <v>0.62916872277855895</v>
      </c>
    </row>
    <row r="3983" spans="1:13" ht="11.25" customHeight="1" x14ac:dyDescent="0.2">
      <c r="A3983" s="924" t="s">
        <v>853</v>
      </c>
      <c r="B3983" s="924" t="s">
        <v>806</v>
      </c>
      <c r="C3983" s="924" t="s">
        <v>1198</v>
      </c>
      <c r="D3983" s="924" t="s">
        <v>855</v>
      </c>
      <c r="E3983" s="924" t="s">
        <v>856</v>
      </c>
      <c r="F3983" s="924" t="s">
        <v>1132</v>
      </c>
      <c r="G3983" s="924" t="s">
        <v>981</v>
      </c>
      <c r="H3983" s="924" t="s">
        <v>835</v>
      </c>
      <c r="I3983" s="924" t="s">
        <v>1040</v>
      </c>
      <c r="J3983" s="924" t="s">
        <v>940</v>
      </c>
      <c r="K3983" s="924" t="s">
        <v>941</v>
      </c>
      <c r="L3983" s="925">
        <v>160.29996329546</v>
      </c>
      <c r="M3983" s="925">
        <v>6.9725680252304301E-2</v>
      </c>
    </row>
    <row r="3984" spans="1:13" ht="11.25" customHeight="1" x14ac:dyDescent="0.2">
      <c r="A3984" s="924" t="s">
        <v>853</v>
      </c>
      <c r="B3984" s="924" t="s">
        <v>806</v>
      </c>
      <c r="C3984" s="924" t="s">
        <v>1198</v>
      </c>
      <c r="D3984" s="924" t="s">
        <v>855</v>
      </c>
      <c r="E3984" s="924" t="s">
        <v>856</v>
      </c>
      <c r="F3984" s="924" t="s">
        <v>1116</v>
      </c>
      <c r="G3984" s="924" t="s">
        <v>981</v>
      </c>
      <c r="H3984" s="924" t="s">
        <v>835</v>
      </c>
      <c r="I3984" s="924" t="s">
        <v>1040</v>
      </c>
      <c r="J3984" s="924" t="s">
        <v>940</v>
      </c>
      <c r="K3984" s="924" t="s">
        <v>1032</v>
      </c>
      <c r="L3984" s="925">
        <v>3101.0078153610202</v>
      </c>
      <c r="M3984" s="925">
        <v>1.9472694937139701</v>
      </c>
    </row>
    <row r="3985" spans="1:13" ht="11.25" customHeight="1" x14ac:dyDescent="0.2">
      <c r="A3985" s="924" t="s">
        <v>853</v>
      </c>
      <c r="B3985" s="924" t="s">
        <v>806</v>
      </c>
      <c r="C3985" s="924" t="s">
        <v>1198</v>
      </c>
      <c r="D3985" s="924" t="s">
        <v>855</v>
      </c>
      <c r="E3985" s="924" t="s">
        <v>856</v>
      </c>
      <c r="F3985" s="924" t="s">
        <v>1105</v>
      </c>
      <c r="G3985" s="924" t="s">
        <v>981</v>
      </c>
      <c r="H3985" s="924" t="s">
        <v>835</v>
      </c>
      <c r="I3985" s="924" t="s">
        <v>1040</v>
      </c>
      <c r="J3985" s="924" t="s">
        <v>940</v>
      </c>
      <c r="K3985" s="924" t="s">
        <v>1106</v>
      </c>
      <c r="L3985" s="925">
        <v>14.600961565971399</v>
      </c>
      <c r="M3985" s="925">
        <v>1.0661020812342799E-2</v>
      </c>
    </row>
    <row r="3986" spans="1:13" ht="11.25" customHeight="1" x14ac:dyDescent="0.2">
      <c r="A3986" s="924" t="s">
        <v>853</v>
      </c>
      <c r="B3986" s="924" t="s">
        <v>806</v>
      </c>
      <c r="C3986" s="924" t="s">
        <v>1198</v>
      </c>
      <c r="D3986" s="924" t="s">
        <v>855</v>
      </c>
      <c r="E3986" s="924" t="s">
        <v>856</v>
      </c>
      <c r="F3986" s="924" t="s">
        <v>1107</v>
      </c>
      <c r="G3986" s="924" t="s">
        <v>981</v>
      </c>
      <c r="H3986" s="924" t="s">
        <v>835</v>
      </c>
      <c r="I3986" s="924" t="s">
        <v>1040</v>
      </c>
      <c r="J3986" s="924" t="s">
        <v>940</v>
      </c>
      <c r="K3986" s="924" t="s">
        <v>1034</v>
      </c>
      <c r="L3986" s="925">
        <v>95.322985470294995</v>
      </c>
      <c r="M3986" s="925">
        <v>6.90553162066294E-2</v>
      </c>
    </row>
    <row r="3987" spans="1:13" ht="11.25" customHeight="1" x14ac:dyDescent="0.2">
      <c r="A3987" s="924" t="s">
        <v>853</v>
      </c>
      <c r="B3987" s="924" t="s">
        <v>806</v>
      </c>
      <c r="C3987" s="924" t="s">
        <v>1198</v>
      </c>
      <c r="D3987" s="924" t="s">
        <v>855</v>
      </c>
      <c r="E3987" s="924" t="s">
        <v>856</v>
      </c>
      <c r="F3987" s="924" t="s">
        <v>1108</v>
      </c>
      <c r="G3987" s="924" t="s">
        <v>981</v>
      </c>
      <c r="H3987" s="924" t="s">
        <v>835</v>
      </c>
      <c r="I3987" s="924" t="s">
        <v>1040</v>
      </c>
      <c r="J3987" s="924" t="s">
        <v>870</v>
      </c>
      <c r="K3987" s="924" t="s">
        <v>1036</v>
      </c>
      <c r="L3987" s="925">
        <v>0.60162893845699705</v>
      </c>
      <c r="M3987" s="925">
        <v>4.0572453417553301E-4</v>
      </c>
    </row>
    <row r="3988" spans="1:13" ht="11.25" customHeight="1" x14ac:dyDescent="0.2">
      <c r="A3988" s="924" t="s">
        <v>853</v>
      </c>
      <c r="B3988" s="924" t="s">
        <v>806</v>
      </c>
      <c r="C3988" s="924" t="s">
        <v>1198</v>
      </c>
      <c r="D3988" s="924" t="s">
        <v>855</v>
      </c>
      <c r="E3988" s="924" t="s">
        <v>856</v>
      </c>
      <c r="F3988" s="924" t="s">
        <v>1148</v>
      </c>
      <c r="G3988" s="924" t="s">
        <v>981</v>
      </c>
      <c r="H3988" s="924" t="s">
        <v>835</v>
      </c>
      <c r="I3988" s="924" t="s">
        <v>1040</v>
      </c>
      <c r="J3988" s="924" t="s">
        <v>863</v>
      </c>
      <c r="K3988" s="924" t="s">
        <v>915</v>
      </c>
      <c r="L3988" s="925">
        <v>0.53911180468276099</v>
      </c>
      <c r="M3988" s="925">
        <v>2.0057448753618701E-4</v>
      </c>
    </row>
    <row r="3989" spans="1:13" ht="11.25" customHeight="1" x14ac:dyDescent="0.2">
      <c r="A3989" s="924" t="s">
        <v>853</v>
      </c>
      <c r="B3989" s="924" t="s">
        <v>806</v>
      </c>
      <c r="C3989" s="924" t="s">
        <v>1198</v>
      </c>
      <c r="D3989" s="924" t="s">
        <v>855</v>
      </c>
      <c r="E3989" s="924" t="s">
        <v>856</v>
      </c>
      <c r="F3989" s="924" t="s">
        <v>1161</v>
      </c>
      <c r="G3989" s="924" t="s">
        <v>981</v>
      </c>
      <c r="H3989" s="924" t="s">
        <v>835</v>
      </c>
      <c r="I3989" s="924" t="s">
        <v>1040</v>
      </c>
      <c r="J3989" s="924" t="s">
        <v>940</v>
      </c>
      <c r="K3989" s="924" t="s">
        <v>1027</v>
      </c>
      <c r="L3989" s="925">
        <v>79.848226279020295</v>
      </c>
      <c r="M3989" s="925">
        <v>5.4982953731183698E-2</v>
      </c>
    </row>
    <row r="3990" spans="1:13" ht="11.25" customHeight="1" x14ac:dyDescent="0.2">
      <c r="A3990" s="924" t="s">
        <v>853</v>
      </c>
      <c r="B3990" s="924" t="s">
        <v>807</v>
      </c>
      <c r="C3990" s="924" t="s">
        <v>1199</v>
      </c>
      <c r="D3990" s="924" t="s">
        <v>855</v>
      </c>
      <c r="E3990" s="924" t="s">
        <v>856</v>
      </c>
      <c r="F3990" s="924" t="s">
        <v>857</v>
      </c>
      <c r="G3990" s="924" t="s">
        <v>858</v>
      </c>
      <c r="H3990" s="924" t="s">
        <v>836</v>
      </c>
      <c r="I3990" s="924" t="s">
        <v>837</v>
      </c>
      <c r="J3990" s="924" t="s">
        <v>859</v>
      </c>
      <c r="K3990" s="924" t="s">
        <v>860</v>
      </c>
      <c r="L3990" s="925">
        <v>2.8088263422250699</v>
      </c>
      <c r="M3990" s="925">
        <v>2.5850025386420201E-4</v>
      </c>
    </row>
    <row r="3991" spans="1:13" ht="11.25" customHeight="1" x14ac:dyDescent="0.2">
      <c r="A3991" s="924" t="s">
        <v>853</v>
      </c>
      <c r="B3991" s="924" t="s">
        <v>807</v>
      </c>
      <c r="C3991" s="924" t="s">
        <v>1199</v>
      </c>
      <c r="D3991" s="924" t="s">
        <v>855</v>
      </c>
      <c r="E3991" s="924" t="s">
        <v>856</v>
      </c>
      <c r="F3991" s="924" t="s">
        <v>888</v>
      </c>
      <c r="G3991" s="924" t="s">
        <v>858</v>
      </c>
      <c r="H3991" s="924" t="s">
        <v>836</v>
      </c>
      <c r="I3991" s="924" t="s">
        <v>837</v>
      </c>
      <c r="J3991" s="924" t="s">
        <v>859</v>
      </c>
      <c r="K3991" s="924" t="s">
        <v>889</v>
      </c>
      <c r="L3991" s="925">
        <v>0.17049233498983099</v>
      </c>
      <c r="M3991" s="925">
        <v>1.8811802811824499E-5</v>
      </c>
    </row>
    <row r="3992" spans="1:13" ht="11.25" customHeight="1" x14ac:dyDescent="0.2">
      <c r="A3992" s="924" t="s">
        <v>853</v>
      </c>
      <c r="B3992" s="924" t="s">
        <v>807</v>
      </c>
      <c r="C3992" s="924" t="s">
        <v>1199</v>
      </c>
      <c r="D3992" s="924" t="s">
        <v>855</v>
      </c>
      <c r="E3992" s="924" t="s">
        <v>856</v>
      </c>
      <c r="F3992" s="924" t="s">
        <v>912</v>
      </c>
      <c r="G3992" s="924" t="s">
        <v>858</v>
      </c>
      <c r="H3992" s="924" t="s">
        <v>836</v>
      </c>
      <c r="I3992" s="924" t="s">
        <v>837</v>
      </c>
      <c r="J3992" s="924" t="s">
        <v>859</v>
      </c>
      <c r="K3992" s="924" t="s">
        <v>913</v>
      </c>
      <c r="L3992" s="925">
        <v>104.708779215813</v>
      </c>
      <c r="M3992" s="925">
        <v>1.1530991263413201E-3</v>
      </c>
    </row>
    <row r="3993" spans="1:13" ht="11.25" customHeight="1" x14ac:dyDescent="0.2">
      <c r="A3993" s="924" t="s">
        <v>853</v>
      </c>
      <c r="B3993" s="924" t="s">
        <v>807</v>
      </c>
      <c r="C3993" s="924" t="s">
        <v>1199</v>
      </c>
      <c r="D3993" s="924" t="s">
        <v>855</v>
      </c>
      <c r="E3993" s="924" t="s">
        <v>856</v>
      </c>
      <c r="F3993" s="924" t="s">
        <v>881</v>
      </c>
      <c r="G3993" s="924" t="s">
        <v>862</v>
      </c>
      <c r="H3993" s="924" t="s">
        <v>665</v>
      </c>
      <c r="I3993" s="924" t="s">
        <v>787</v>
      </c>
      <c r="J3993" s="924" t="s">
        <v>875</v>
      </c>
      <c r="K3993" s="924" t="s">
        <v>882</v>
      </c>
      <c r="L3993" s="925">
        <v>45.5521914958954</v>
      </c>
      <c r="M3993" s="925">
        <v>0.21767644910141801</v>
      </c>
    </row>
    <row r="3994" spans="1:13" ht="11.25" customHeight="1" x14ac:dyDescent="0.2">
      <c r="A3994" s="924" t="s">
        <v>853</v>
      </c>
      <c r="B3994" s="924" t="s">
        <v>807</v>
      </c>
      <c r="C3994" s="924" t="s">
        <v>1199</v>
      </c>
      <c r="D3994" s="924" t="s">
        <v>855</v>
      </c>
      <c r="E3994" s="924" t="s">
        <v>856</v>
      </c>
      <c r="F3994" s="924" t="s">
        <v>879</v>
      </c>
      <c r="G3994" s="924" t="s">
        <v>862</v>
      </c>
      <c r="H3994" s="924" t="s">
        <v>665</v>
      </c>
      <c r="I3994" s="924" t="s">
        <v>787</v>
      </c>
      <c r="J3994" s="924" t="s">
        <v>875</v>
      </c>
      <c r="K3994" s="924" t="s">
        <v>880</v>
      </c>
      <c r="L3994" s="925">
        <v>1.2798958066850901</v>
      </c>
      <c r="M3994" s="925">
        <v>7.2004456474132903E-3</v>
      </c>
    </row>
    <row r="3995" spans="1:13" ht="11.25" customHeight="1" x14ac:dyDescent="0.2">
      <c r="A3995" s="924" t="s">
        <v>853</v>
      </c>
      <c r="B3995" s="924" t="s">
        <v>807</v>
      </c>
      <c r="C3995" s="924" t="s">
        <v>1199</v>
      </c>
      <c r="D3995" s="924" t="s">
        <v>855</v>
      </c>
      <c r="E3995" s="924" t="s">
        <v>856</v>
      </c>
      <c r="F3995" s="924" t="s">
        <v>877</v>
      </c>
      <c r="G3995" s="924" t="s">
        <v>862</v>
      </c>
      <c r="H3995" s="924" t="s">
        <v>665</v>
      </c>
      <c r="I3995" s="924" t="s">
        <v>787</v>
      </c>
      <c r="J3995" s="924" t="s">
        <v>875</v>
      </c>
      <c r="K3995" s="924" t="s">
        <v>878</v>
      </c>
      <c r="L3995" s="925">
        <v>0.867750807665288</v>
      </c>
      <c r="M3995" s="925">
        <v>1.4216104249499E-2</v>
      </c>
    </row>
    <row r="3996" spans="1:13" ht="11.25" customHeight="1" x14ac:dyDescent="0.2">
      <c r="A3996" s="924" t="s">
        <v>853</v>
      </c>
      <c r="B3996" s="924" t="s">
        <v>807</v>
      </c>
      <c r="C3996" s="924" t="s">
        <v>1199</v>
      </c>
      <c r="D3996" s="924" t="s">
        <v>855</v>
      </c>
      <c r="E3996" s="924" t="s">
        <v>856</v>
      </c>
      <c r="F3996" s="924" t="s">
        <v>892</v>
      </c>
      <c r="G3996" s="924" t="s">
        <v>858</v>
      </c>
      <c r="H3996" s="924" t="s">
        <v>836</v>
      </c>
      <c r="I3996" s="924" t="s">
        <v>837</v>
      </c>
      <c r="J3996" s="924" t="s">
        <v>859</v>
      </c>
      <c r="K3996" s="924" t="s">
        <v>893</v>
      </c>
      <c r="L3996" s="925">
        <v>262.11833238601702</v>
      </c>
      <c r="M3996" s="925">
        <v>3.3157477594727399E-3</v>
      </c>
    </row>
    <row r="3997" spans="1:13" ht="11.25" customHeight="1" x14ac:dyDescent="0.2">
      <c r="A3997" s="924" t="s">
        <v>853</v>
      </c>
      <c r="B3997" s="924" t="s">
        <v>807</v>
      </c>
      <c r="C3997" s="924" t="s">
        <v>1199</v>
      </c>
      <c r="D3997" s="924" t="s">
        <v>855</v>
      </c>
      <c r="E3997" s="924" t="s">
        <v>856</v>
      </c>
      <c r="F3997" s="924" t="s">
        <v>872</v>
      </c>
      <c r="G3997" s="924" t="s">
        <v>862</v>
      </c>
      <c r="H3997" s="924" t="s">
        <v>665</v>
      </c>
      <c r="I3997" s="924" t="s">
        <v>787</v>
      </c>
      <c r="J3997" s="924" t="s">
        <v>870</v>
      </c>
      <c r="K3997" s="924" t="s">
        <v>873</v>
      </c>
      <c r="L3997" s="925">
        <v>10.9208900108933</v>
      </c>
      <c r="M3997" s="925">
        <v>4.3956751949735903E-2</v>
      </c>
    </row>
    <row r="3998" spans="1:13" ht="11.25" customHeight="1" x14ac:dyDescent="0.2">
      <c r="A3998" s="924" t="s">
        <v>853</v>
      </c>
      <c r="B3998" s="924" t="s">
        <v>807</v>
      </c>
      <c r="C3998" s="924" t="s">
        <v>1199</v>
      </c>
      <c r="D3998" s="924" t="s">
        <v>855</v>
      </c>
      <c r="E3998" s="924" t="s">
        <v>856</v>
      </c>
      <c r="F3998" s="924" t="s">
        <v>906</v>
      </c>
      <c r="G3998" s="924" t="s">
        <v>858</v>
      </c>
      <c r="H3998" s="924" t="s">
        <v>836</v>
      </c>
      <c r="I3998" s="924" t="s">
        <v>837</v>
      </c>
      <c r="J3998" s="924" t="s">
        <v>859</v>
      </c>
      <c r="K3998" s="924" t="s">
        <v>907</v>
      </c>
      <c r="L3998" s="925">
        <v>1062.2245788574201</v>
      </c>
      <c r="M3998" s="925">
        <v>7.0717254819783202E-3</v>
      </c>
    </row>
    <row r="3999" spans="1:13" ht="11.25" customHeight="1" x14ac:dyDescent="0.2">
      <c r="A3999" s="924" t="s">
        <v>853</v>
      </c>
      <c r="B3999" s="924" t="s">
        <v>807</v>
      </c>
      <c r="C3999" s="924" t="s">
        <v>1199</v>
      </c>
      <c r="D3999" s="924" t="s">
        <v>855</v>
      </c>
      <c r="E3999" s="924" t="s">
        <v>856</v>
      </c>
      <c r="F3999" s="924" t="s">
        <v>869</v>
      </c>
      <c r="G3999" s="924" t="s">
        <v>862</v>
      </c>
      <c r="H3999" s="924" t="s">
        <v>665</v>
      </c>
      <c r="I3999" s="924" t="s">
        <v>787</v>
      </c>
      <c r="J3999" s="924" t="s">
        <v>870</v>
      </c>
      <c r="K3999" s="924" t="s">
        <v>871</v>
      </c>
      <c r="L3999" s="925">
        <v>9.9281028087716494E-2</v>
      </c>
      <c r="M3999" s="925">
        <v>5.6965000017044102E-3</v>
      </c>
    </row>
    <row r="4000" spans="1:13" ht="11.25" customHeight="1" x14ac:dyDescent="0.2">
      <c r="A4000" s="924" t="s">
        <v>853</v>
      </c>
      <c r="B4000" s="924" t="s">
        <v>807</v>
      </c>
      <c r="C4000" s="924" t="s">
        <v>1199</v>
      </c>
      <c r="D4000" s="924" t="s">
        <v>855</v>
      </c>
      <c r="E4000" s="924" t="s">
        <v>856</v>
      </c>
      <c r="F4000" s="924" t="s">
        <v>874</v>
      </c>
      <c r="G4000" s="924" t="s">
        <v>862</v>
      </c>
      <c r="H4000" s="924" t="s">
        <v>665</v>
      </c>
      <c r="I4000" s="924" t="s">
        <v>787</v>
      </c>
      <c r="J4000" s="924" t="s">
        <v>875</v>
      </c>
      <c r="K4000" s="924" t="s">
        <v>876</v>
      </c>
      <c r="L4000" s="925">
        <v>18.140841990709301</v>
      </c>
      <c r="M4000" s="925">
        <v>0.55181966756936196</v>
      </c>
    </row>
    <row r="4001" spans="1:13" ht="11.25" customHeight="1" x14ac:dyDescent="0.2">
      <c r="A4001" s="924" t="s">
        <v>853</v>
      </c>
      <c r="B4001" s="924" t="s">
        <v>807</v>
      </c>
      <c r="C4001" s="924" t="s">
        <v>1199</v>
      </c>
      <c r="D4001" s="924" t="s">
        <v>855</v>
      </c>
      <c r="E4001" s="924" t="s">
        <v>856</v>
      </c>
      <c r="F4001" s="924" t="s">
        <v>894</v>
      </c>
      <c r="G4001" s="924" t="s">
        <v>858</v>
      </c>
      <c r="H4001" s="924" t="s">
        <v>836</v>
      </c>
      <c r="I4001" s="924" t="s">
        <v>837</v>
      </c>
      <c r="J4001" s="924" t="s">
        <v>859</v>
      </c>
      <c r="K4001" s="924" t="s">
        <v>895</v>
      </c>
      <c r="L4001" s="925">
        <v>285.19303035736101</v>
      </c>
      <c r="M4001" s="925">
        <v>1.88910202243164E-3</v>
      </c>
    </row>
    <row r="4002" spans="1:13" ht="11.25" customHeight="1" x14ac:dyDescent="0.2">
      <c r="A4002" s="924" t="s">
        <v>853</v>
      </c>
      <c r="B4002" s="924" t="s">
        <v>807</v>
      </c>
      <c r="C4002" s="924" t="s">
        <v>1199</v>
      </c>
      <c r="D4002" s="924" t="s">
        <v>855</v>
      </c>
      <c r="E4002" s="924" t="s">
        <v>856</v>
      </c>
      <c r="F4002" s="924" t="s">
        <v>896</v>
      </c>
      <c r="G4002" s="924" t="s">
        <v>858</v>
      </c>
      <c r="H4002" s="924" t="s">
        <v>836</v>
      </c>
      <c r="I4002" s="924" t="s">
        <v>837</v>
      </c>
      <c r="J4002" s="924" t="s">
        <v>859</v>
      </c>
      <c r="K4002" s="924" t="s">
        <v>897</v>
      </c>
      <c r="L4002" s="925">
        <v>15.7264537364244</v>
      </c>
      <c r="M4002" s="925">
        <v>2.5467136639889499E-4</v>
      </c>
    </row>
    <row r="4003" spans="1:13" ht="11.25" customHeight="1" x14ac:dyDescent="0.2">
      <c r="A4003" s="924" t="s">
        <v>853</v>
      </c>
      <c r="B4003" s="924" t="s">
        <v>807</v>
      </c>
      <c r="C4003" s="924" t="s">
        <v>1199</v>
      </c>
      <c r="D4003" s="924" t="s">
        <v>855</v>
      </c>
      <c r="E4003" s="924" t="s">
        <v>856</v>
      </c>
      <c r="F4003" s="924" t="s">
        <v>898</v>
      </c>
      <c r="G4003" s="924" t="s">
        <v>858</v>
      </c>
      <c r="H4003" s="924" t="s">
        <v>836</v>
      </c>
      <c r="I4003" s="924" t="s">
        <v>837</v>
      </c>
      <c r="J4003" s="924" t="s">
        <v>859</v>
      </c>
      <c r="K4003" s="924" t="s">
        <v>899</v>
      </c>
      <c r="L4003" s="925">
        <v>9.6382587254047394</v>
      </c>
      <c r="M4003" s="925">
        <v>1.6764811792135999E-4</v>
      </c>
    </row>
    <row r="4004" spans="1:13" ht="11.25" customHeight="1" x14ac:dyDescent="0.2">
      <c r="A4004" s="924" t="s">
        <v>853</v>
      </c>
      <c r="B4004" s="924" t="s">
        <v>807</v>
      </c>
      <c r="C4004" s="924" t="s">
        <v>1199</v>
      </c>
      <c r="D4004" s="924" t="s">
        <v>855</v>
      </c>
      <c r="E4004" s="924" t="s">
        <v>856</v>
      </c>
      <c r="F4004" s="924" t="s">
        <v>900</v>
      </c>
      <c r="G4004" s="924" t="s">
        <v>858</v>
      </c>
      <c r="H4004" s="924" t="s">
        <v>836</v>
      </c>
      <c r="I4004" s="924" t="s">
        <v>837</v>
      </c>
      <c r="J4004" s="924" t="s">
        <v>859</v>
      </c>
      <c r="K4004" s="924" t="s">
        <v>901</v>
      </c>
      <c r="L4004" s="925">
        <v>28.948799192905401</v>
      </c>
      <c r="M4004" s="925">
        <v>1.2616587607396899E-3</v>
      </c>
    </row>
    <row r="4005" spans="1:13" ht="11.25" customHeight="1" x14ac:dyDescent="0.2">
      <c r="A4005" s="924" t="s">
        <v>853</v>
      </c>
      <c r="B4005" s="924" t="s">
        <v>807</v>
      </c>
      <c r="C4005" s="924" t="s">
        <v>1199</v>
      </c>
      <c r="D4005" s="924" t="s">
        <v>855</v>
      </c>
      <c r="E4005" s="924" t="s">
        <v>856</v>
      </c>
      <c r="F4005" s="924" t="s">
        <v>904</v>
      </c>
      <c r="G4005" s="924" t="s">
        <v>858</v>
      </c>
      <c r="H4005" s="924" t="s">
        <v>836</v>
      </c>
      <c r="I4005" s="924" t="s">
        <v>837</v>
      </c>
      <c r="J4005" s="924" t="s">
        <v>859</v>
      </c>
      <c r="K4005" s="924" t="s">
        <v>905</v>
      </c>
      <c r="L4005" s="925">
        <v>107.632588624954</v>
      </c>
      <c r="M4005" s="925">
        <v>2.0390392829483499E-3</v>
      </c>
    </row>
    <row r="4006" spans="1:13" ht="11.25" customHeight="1" x14ac:dyDescent="0.2">
      <c r="A4006" s="924" t="s">
        <v>853</v>
      </c>
      <c r="B4006" s="924" t="s">
        <v>807</v>
      </c>
      <c r="C4006" s="924" t="s">
        <v>1199</v>
      </c>
      <c r="D4006" s="924" t="s">
        <v>855</v>
      </c>
      <c r="E4006" s="924" t="s">
        <v>1164</v>
      </c>
      <c r="F4006" s="924" t="s">
        <v>1168</v>
      </c>
      <c r="G4006" s="924" t="s">
        <v>858</v>
      </c>
      <c r="H4006" s="924" t="s">
        <v>836</v>
      </c>
      <c r="I4006" s="924" t="s">
        <v>837</v>
      </c>
      <c r="J4006" s="924" t="s">
        <v>1166</v>
      </c>
      <c r="K4006" s="924" t="s">
        <v>1166</v>
      </c>
      <c r="L4006" s="925">
        <v>10.2558790594339</v>
      </c>
      <c r="M4006" s="925">
        <v>1.31196352942453E-4</v>
      </c>
    </row>
    <row r="4007" spans="1:13" ht="11.25" customHeight="1" x14ac:dyDescent="0.2">
      <c r="A4007" s="924" t="s">
        <v>853</v>
      </c>
      <c r="B4007" s="924" t="s">
        <v>807</v>
      </c>
      <c r="C4007" s="924" t="s">
        <v>1199</v>
      </c>
      <c r="D4007" s="924" t="s">
        <v>855</v>
      </c>
      <c r="E4007" s="924" t="s">
        <v>856</v>
      </c>
      <c r="F4007" s="924" t="s">
        <v>908</v>
      </c>
      <c r="G4007" s="924" t="s">
        <v>858</v>
      </c>
      <c r="H4007" s="924" t="s">
        <v>836</v>
      </c>
      <c r="I4007" s="924" t="s">
        <v>837</v>
      </c>
      <c r="J4007" s="924" t="s">
        <v>859</v>
      </c>
      <c r="K4007" s="924" t="s">
        <v>909</v>
      </c>
      <c r="L4007" s="925">
        <v>8.8372848927974701</v>
      </c>
      <c r="M4007" s="925">
        <v>1.84967684113246E-4</v>
      </c>
    </row>
    <row r="4008" spans="1:13" ht="11.25" customHeight="1" x14ac:dyDescent="0.2">
      <c r="A4008" s="924" t="s">
        <v>853</v>
      </c>
      <c r="B4008" s="924" t="s">
        <v>807</v>
      </c>
      <c r="C4008" s="924" t="s">
        <v>1199</v>
      </c>
      <c r="D4008" s="924" t="s">
        <v>855</v>
      </c>
      <c r="E4008" s="924" t="s">
        <v>856</v>
      </c>
      <c r="F4008" s="924" t="s">
        <v>923</v>
      </c>
      <c r="G4008" s="924" t="s">
        <v>911</v>
      </c>
      <c r="H4008" s="924" t="s">
        <v>665</v>
      </c>
      <c r="I4008" s="924" t="s">
        <v>706</v>
      </c>
      <c r="J4008" s="924" t="s">
        <v>859</v>
      </c>
      <c r="K4008" s="924" t="s">
        <v>924</v>
      </c>
      <c r="L4008" s="925">
        <v>4.1789750456809998</v>
      </c>
      <c r="M4008" s="925">
        <v>2.2155291935632701E-4</v>
      </c>
    </row>
    <row r="4009" spans="1:13" ht="11.25" customHeight="1" x14ac:dyDescent="0.2">
      <c r="A4009" s="924" t="s">
        <v>853</v>
      </c>
      <c r="B4009" s="924" t="s">
        <v>807</v>
      </c>
      <c r="C4009" s="924" t="s">
        <v>1199</v>
      </c>
      <c r="D4009" s="924" t="s">
        <v>855</v>
      </c>
      <c r="E4009" s="924" t="s">
        <v>856</v>
      </c>
      <c r="F4009" s="924" t="s">
        <v>867</v>
      </c>
      <c r="G4009" s="924" t="s">
        <v>862</v>
      </c>
      <c r="H4009" s="924" t="s">
        <v>665</v>
      </c>
      <c r="I4009" s="924" t="s">
        <v>787</v>
      </c>
      <c r="J4009" s="924" t="s">
        <v>863</v>
      </c>
      <c r="K4009" s="924" t="s">
        <v>868</v>
      </c>
      <c r="L4009" s="925">
        <v>1.0218117116019101</v>
      </c>
      <c r="M4009" s="925">
        <v>4.1806591252679902E-3</v>
      </c>
    </row>
    <row r="4010" spans="1:13" ht="11.25" customHeight="1" x14ac:dyDescent="0.2">
      <c r="A4010" s="924" t="s">
        <v>853</v>
      </c>
      <c r="B4010" s="924" t="s">
        <v>807</v>
      </c>
      <c r="C4010" s="924" t="s">
        <v>1199</v>
      </c>
      <c r="D4010" s="924" t="s">
        <v>855</v>
      </c>
      <c r="E4010" s="924" t="s">
        <v>856</v>
      </c>
      <c r="F4010" s="924" t="s">
        <v>942</v>
      </c>
      <c r="G4010" s="924" t="s">
        <v>911</v>
      </c>
      <c r="H4010" s="924" t="s">
        <v>665</v>
      </c>
      <c r="I4010" s="924" t="s">
        <v>706</v>
      </c>
      <c r="J4010" s="924" t="s">
        <v>870</v>
      </c>
      <c r="K4010" s="924" t="s">
        <v>871</v>
      </c>
      <c r="L4010" s="925">
        <v>5.2745357403182397E-2</v>
      </c>
      <c r="M4010" s="925">
        <v>3.2918795115577402E-5</v>
      </c>
    </row>
    <row r="4011" spans="1:13" ht="11.25" customHeight="1" x14ac:dyDescent="0.2">
      <c r="A4011" s="924" t="s">
        <v>853</v>
      </c>
      <c r="B4011" s="924" t="s">
        <v>807</v>
      </c>
      <c r="C4011" s="924" t="s">
        <v>1199</v>
      </c>
      <c r="D4011" s="924" t="s">
        <v>855</v>
      </c>
      <c r="E4011" s="924" t="s">
        <v>856</v>
      </c>
      <c r="F4011" s="924" t="s">
        <v>972</v>
      </c>
      <c r="G4011" s="924" t="s">
        <v>858</v>
      </c>
      <c r="H4011" s="924" t="s">
        <v>836</v>
      </c>
      <c r="I4011" s="924" t="s">
        <v>837</v>
      </c>
      <c r="J4011" s="924" t="s">
        <v>859</v>
      </c>
      <c r="K4011" s="924" t="s">
        <v>973</v>
      </c>
      <c r="L4011" s="925">
        <v>4.2017094828188402</v>
      </c>
      <c r="M4011" s="925">
        <v>1.0703583570403901E-4</v>
      </c>
    </row>
    <row r="4012" spans="1:13" ht="11.25" customHeight="1" x14ac:dyDescent="0.2">
      <c r="A4012" s="924" t="s">
        <v>853</v>
      </c>
      <c r="B4012" s="924" t="s">
        <v>807</v>
      </c>
      <c r="C4012" s="924" t="s">
        <v>1199</v>
      </c>
      <c r="D4012" s="924" t="s">
        <v>855</v>
      </c>
      <c r="E4012" s="924" t="s">
        <v>856</v>
      </c>
      <c r="F4012" s="924" t="s">
        <v>902</v>
      </c>
      <c r="G4012" s="924" t="s">
        <v>858</v>
      </c>
      <c r="H4012" s="924" t="s">
        <v>836</v>
      </c>
      <c r="I4012" s="924" t="s">
        <v>837</v>
      </c>
      <c r="J4012" s="924" t="s">
        <v>859</v>
      </c>
      <c r="K4012" s="924" t="s">
        <v>903</v>
      </c>
      <c r="L4012" s="925">
        <v>124.310154557228</v>
      </c>
      <c r="M4012" s="925">
        <v>2.1609846247372401E-3</v>
      </c>
    </row>
    <row r="4013" spans="1:13" ht="11.25" customHeight="1" x14ac:dyDescent="0.2">
      <c r="A4013" s="924" t="s">
        <v>853</v>
      </c>
      <c r="B4013" s="924" t="s">
        <v>807</v>
      </c>
      <c r="C4013" s="924" t="s">
        <v>1199</v>
      </c>
      <c r="D4013" s="924" t="s">
        <v>855</v>
      </c>
      <c r="E4013" s="924" t="s">
        <v>856</v>
      </c>
      <c r="F4013" s="924" t="s">
        <v>943</v>
      </c>
      <c r="G4013" s="924" t="s">
        <v>911</v>
      </c>
      <c r="H4013" s="924" t="s">
        <v>665</v>
      </c>
      <c r="I4013" s="924" t="s">
        <v>706</v>
      </c>
      <c r="J4013" s="924" t="s">
        <v>870</v>
      </c>
      <c r="K4013" s="924" t="s">
        <v>873</v>
      </c>
      <c r="L4013" s="925">
        <v>0.107212700444506</v>
      </c>
      <c r="M4013" s="925">
        <v>4.8686170952549901E-6</v>
      </c>
    </row>
    <row r="4014" spans="1:13" ht="11.25" customHeight="1" x14ac:dyDescent="0.2">
      <c r="A4014" s="924" t="s">
        <v>853</v>
      </c>
      <c r="B4014" s="924" t="s">
        <v>807</v>
      </c>
      <c r="C4014" s="924" t="s">
        <v>1199</v>
      </c>
      <c r="D4014" s="924" t="s">
        <v>855</v>
      </c>
      <c r="E4014" s="924" t="s">
        <v>856</v>
      </c>
      <c r="F4014" s="924" t="s">
        <v>1139</v>
      </c>
      <c r="G4014" s="924" t="s">
        <v>981</v>
      </c>
      <c r="H4014" s="924" t="s">
        <v>835</v>
      </c>
      <c r="I4014" s="924" t="s">
        <v>1040</v>
      </c>
      <c r="J4014" s="924" t="s">
        <v>940</v>
      </c>
      <c r="K4014" s="924" t="s">
        <v>1140</v>
      </c>
      <c r="L4014" s="925">
        <v>257.32713699340798</v>
      </c>
      <c r="M4014" s="925">
        <v>0.18804014321290599</v>
      </c>
    </row>
    <row r="4015" spans="1:13" ht="11.25" customHeight="1" x14ac:dyDescent="0.2">
      <c r="A4015" s="924" t="s">
        <v>853</v>
      </c>
      <c r="B4015" s="924" t="s">
        <v>807</v>
      </c>
      <c r="C4015" s="924" t="s">
        <v>1199</v>
      </c>
      <c r="D4015" s="924" t="s">
        <v>855</v>
      </c>
      <c r="E4015" s="924" t="s">
        <v>856</v>
      </c>
      <c r="F4015" s="924" t="s">
        <v>927</v>
      </c>
      <c r="G4015" s="924" t="s">
        <v>911</v>
      </c>
      <c r="H4015" s="924" t="s">
        <v>665</v>
      </c>
      <c r="I4015" s="924" t="s">
        <v>706</v>
      </c>
      <c r="J4015" s="924" t="s">
        <v>859</v>
      </c>
      <c r="K4015" s="924" t="s">
        <v>928</v>
      </c>
      <c r="L4015" s="925">
        <v>3.5914994999766301</v>
      </c>
      <c r="M4015" s="925">
        <v>1.0651616960331001E-3</v>
      </c>
    </row>
    <row r="4016" spans="1:13" ht="11.25" customHeight="1" x14ac:dyDescent="0.2">
      <c r="A4016" s="924" t="s">
        <v>853</v>
      </c>
      <c r="B4016" s="924" t="s">
        <v>807</v>
      </c>
      <c r="C4016" s="924" t="s">
        <v>1199</v>
      </c>
      <c r="D4016" s="924" t="s">
        <v>855</v>
      </c>
      <c r="E4016" s="924" t="s">
        <v>856</v>
      </c>
      <c r="F4016" s="924" t="s">
        <v>929</v>
      </c>
      <c r="G4016" s="924" t="s">
        <v>911</v>
      </c>
      <c r="H4016" s="924" t="s">
        <v>665</v>
      </c>
      <c r="I4016" s="924" t="s">
        <v>706</v>
      </c>
      <c r="J4016" s="924" t="s">
        <v>859</v>
      </c>
      <c r="K4016" s="924" t="s">
        <v>891</v>
      </c>
      <c r="L4016" s="925">
        <v>1.4786227494478199</v>
      </c>
      <c r="M4016" s="925">
        <v>5.9243806788344998E-4</v>
      </c>
    </row>
    <row r="4017" spans="1:13" ht="11.25" customHeight="1" x14ac:dyDescent="0.2">
      <c r="A4017" s="924" t="s">
        <v>853</v>
      </c>
      <c r="B4017" s="924" t="s">
        <v>807</v>
      </c>
      <c r="C4017" s="924" t="s">
        <v>1199</v>
      </c>
      <c r="D4017" s="924" t="s">
        <v>855</v>
      </c>
      <c r="E4017" s="924" t="s">
        <v>856</v>
      </c>
      <c r="F4017" s="924" t="s">
        <v>930</v>
      </c>
      <c r="G4017" s="924" t="s">
        <v>911</v>
      </c>
      <c r="H4017" s="924" t="s">
        <v>665</v>
      </c>
      <c r="I4017" s="924" t="s">
        <v>706</v>
      </c>
      <c r="J4017" s="924" t="s">
        <v>863</v>
      </c>
      <c r="K4017" s="924" t="s">
        <v>931</v>
      </c>
      <c r="L4017" s="925">
        <v>28.8508057594299</v>
      </c>
      <c r="M4017" s="925">
        <v>5.8795776812985397E-3</v>
      </c>
    </row>
    <row r="4018" spans="1:13" ht="11.25" customHeight="1" x14ac:dyDescent="0.2">
      <c r="A4018" s="924" t="s">
        <v>853</v>
      </c>
      <c r="B4018" s="924" t="s">
        <v>807</v>
      </c>
      <c r="C4018" s="924" t="s">
        <v>1199</v>
      </c>
      <c r="D4018" s="924" t="s">
        <v>855</v>
      </c>
      <c r="E4018" s="924" t="s">
        <v>856</v>
      </c>
      <c r="F4018" s="924" t="s">
        <v>932</v>
      </c>
      <c r="G4018" s="924" t="s">
        <v>911</v>
      </c>
      <c r="H4018" s="924" t="s">
        <v>665</v>
      </c>
      <c r="I4018" s="924" t="s">
        <v>706</v>
      </c>
      <c r="J4018" s="924" t="s">
        <v>863</v>
      </c>
      <c r="K4018" s="924" t="s">
        <v>933</v>
      </c>
      <c r="L4018" s="925">
        <v>2684.0403366088899</v>
      </c>
      <c r="M4018" s="925">
        <v>0.12971625698264699</v>
      </c>
    </row>
    <row r="4019" spans="1:13" ht="11.25" customHeight="1" x14ac:dyDescent="0.2">
      <c r="A4019" s="924" t="s">
        <v>853</v>
      </c>
      <c r="B4019" s="924" t="s">
        <v>807</v>
      </c>
      <c r="C4019" s="924" t="s">
        <v>1199</v>
      </c>
      <c r="D4019" s="924" t="s">
        <v>855</v>
      </c>
      <c r="E4019" s="924" t="s">
        <v>856</v>
      </c>
      <c r="F4019" s="924" t="s">
        <v>954</v>
      </c>
      <c r="G4019" s="924" t="s">
        <v>911</v>
      </c>
      <c r="H4019" s="924" t="s">
        <v>665</v>
      </c>
      <c r="I4019" s="924" t="s">
        <v>706</v>
      </c>
      <c r="J4019" s="924" t="s">
        <v>863</v>
      </c>
      <c r="K4019" s="924" t="s">
        <v>935</v>
      </c>
      <c r="L4019" s="925">
        <v>20.026717543602</v>
      </c>
      <c r="M4019" s="925">
        <v>9.4557033844466798E-4</v>
      </c>
    </row>
    <row r="4020" spans="1:13" ht="11.25" customHeight="1" x14ac:dyDescent="0.2">
      <c r="A4020" s="924" t="s">
        <v>853</v>
      </c>
      <c r="B4020" s="924" t="s">
        <v>807</v>
      </c>
      <c r="C4020" s="924" t="s">
        <v>1199</v>
      </c>
      <c r="D4020" s="924" t="s">
        <v>855</v>
      </c>
      <c r="E4020" s="924" t="s">
        <v>856</v>
      </c>
      <c r="F4020" s="924" t="s">
        <v>936</v>
      </c>
      <c r="G4020" s="924" t="s">
        <v>911</v>
      </c>
      <c r="H4020" s="924" t="s">
        <v>665</v>
      </c>
      <c r="I4020" s="924" t="s">
        <v>706</v>
      </c>
      <c r="J4020" s="924" t="s">
        <v>863</v>
      </c>
      <c r="K4020" s="924" t="s">
        <v>864</v>
      </c>
      <c r="L4020" s="925">
        <v>6.3168641328811601</v>
      </c>
      <c r="M4020" s="925">
        <v>2.9401511892501698E-4</v>
      </c>
    </row>
    <row r="4021" spans="1:13" ht="11.25" customHeight="1" x14ac:dyDescent="0.2">
      <c r="A4021" s="924" t="s">
        <v>853</v>
      </c>
      <c r="B4021" s="924" t="s">
        <v>807</v>
      </c>
      <c r="C4021" s="924" t="s">
        <v>1199</v>
      </c>
      <c r="D4021" s="924" t="s">
        <v>855</v>
      </c>
      <c r="E4021" s="924" t="s">
        <v>856</v>
      </c>
      <c r="F4021" s="924" t="s">
        <v>914</v>
      </c>
      <c r="G4021" s="924" t="s">
        <v>911</v>
      </c>
      <c r="H4021" s="924" t="s">
        <v>665</v>
      </c>
      <c r="I4021" s="924" t="s">
        <v>706</v>
      </c>
      <c r="J4021" s="924" t="s">
        <v>863</v>
      </c>
      <c r="K4021" s="924" t="s">
        <v>915</v>
      </c>
      <c r="L4021" s="925">
        <v>1.5321990512311501</v>
      </c>
      <c r="M4021" s="925">
        <v>2.1862601244038201E-4</v>
      </c>
    </row>
    <row r="4022" spans="1:13" ht="11.25" customHeight="1" x14ac:dyDescent="0.2">
      <c r="A4022" s="924" t="s">
        <v>853</v>
      </c>
      <c r="B4022" s="924" t="s">
        <v>807</v>
      </c>
      <c r="C4022" s="924" t="s">
        <v>1199</v>
      </c>
      <c r="D4022" s="924" t="s">
        <v>855</v>
      </c>
      <c r="E4022" s="924" t="s">
        <v>856</v>
      </c>
      <c r="F4022" s="924" t="s">
        <v>938</v>
      </c>
      <c r="G4022" s="924" t="s">
        <v>911</v>
      </c>
      <c r="H4022" s="924" t="s">
        <v>665</v>
      </c>
      <c r="I4022" s="924" t="s">
        <v>706</v>
      </c>
      <c r="J4022" s="924" t="s">
        <v>863</v>
      </c>
      <c r="K4022" s="924" t="s">
        <v>868</v>
      </c>
      <c r="L4022" s="925">
        <v>12.4192375540733</v>
      </c>
      <c r="M4022" s="925">
        <v>5.7386546723137101E-4</v>
      </c>
    </row>
    <row r="4023" spans="1:13" ht="11.25" customHeight="1" x14ac:dyDescent="0.2">
      <c r="A4023" s="924" t="s">
        <v>853</v>
      </c>
      <c r="B4023" s="924" t="s">
        <v>807</v>
      </c>
      <c r="C4023" s="924" t="s">
        <v>1199</v>
      </c>
      <c r="D4023" s="924" t="s">
        <v>855</v>
      </c>
      <c r="E4023" s="924" t="s">
        <v>856</v>
      </c>
      <c r="F4023" s="924" t="s">
        <v>944</v>
      </c>
      <c r="G4023" s="924" t="s">
        <v>911</v>
      </c>
      <c r="H4023" s="924" t="s">
        <v>665</v>
      </c>
      <c r="I4023" s="924" t="s">
        <v>706</v>
      </c>
      <c r="J4023" s="924" t="s">
        <v>875</v>
      </c>
      <c r="K4023" s="924" t="s">
        <v>876</v>
      </c>
      <c r="L4023" s="925">
        <v>59.343534052372</v>
      </c>
      <c r="M4023" s="925">
        <v>1.87623616147903E-2</v>
      </c>
    </row>
    <row r="4024" spans="1:13" ht="11.25" customHeight="1" x14ac:dyDescent="0.2">
      <c r="A4024" s="924" t="s">
        <v>853</v>
      </c>
      <c r="B4024" s="924" t="s">
        <v>807</v>
      </c>
      <c r="C4024" s="924" t="s">
        <v>1199</v>
      </c>
      <c r="D4024" s="924" t="s">
        <v>855</v>
      </c>
      <c r="E4024" s="924" t="s">
        <v>856</v>
      </c>
      <c r="F4024" s="924" t="s">
        <v>1037</v>
      </c>
      <c r="G4024" s="924" t="s">
        <v>858</v>
      </c>
      <c r="H4024" s="924" t="s">
        <v>836</v>
      </c>
      <c r="I4024" s="924" t="s">
        <v>837</v>
      </c>
      <c r="J4024" s="924" t="s">
        <v>859</v>
      </c>
      <c r="K4024" s="924" t="s">
        <v>918</v>
      </c>
      <c r="L4024" s="925">
        <v>242.854526996613</v>
      </c>
      <c r="M4024" s="925">
        <v>2.3503074361315201E-3</v>
      </c>
    </row>
    <row r="4025" spans="1:13" ht="11.25" customHeight="1" x14ac:dyDescent="0.2">
      <c r="A4025" s="924" t="s">
        <v>853</v>
      </c>
      <c r="B4025" s="924" t="s">
        <v>807</v>
      </c>
      <c r="C4025" s="924" t="s">
        <v>1199</v>
      </c>
      <c r="D4025" s="924" t="s">
        <v>855</v>
      </c>
      <c r="E4025" s="924" t="s">
        <v>856</v>
      </c>
      <c r="F4025" s="924" t="s">
        <v>865</v>
      </c>
      <c r="G4025" s="924" t="s">
        <v>862</v>
      </c>
      <c r="H4025" s="924" t="s">
        <v>665</v>
      </c>
      <c r="I4025" s="924" t="s">
        <v>787</v>
      </c>
      <c r="J4025" s="924" t="s">
        <v>863</v>
      </c>
      <c r="K4025" s="924" t="s">
        <v>866</v>
      </c>
      <c r="L4025" s="925">
        <v>0.265271615702659</v>
      </c>
      <c r="M4025" s="925">
        <v>1.2798242646567799E-3</v>
      </c>
    </row>
    <row r="4026" spans="1:13" ht="11.25" customHeight="1" x14ac:dyDescent="0.2">
      <c r="A4026" s="924" t="s">
        <v>853</v>
      </c>
      <c r="B4026" s="924" t="s">
        <v>807</v>
      </c>
      <c r="C4026" s="924" t="s">
        <v>1199</v>
      </c>
      <c r="D4026" s="924" t="s">
        <v>855</v>
      </c>
      <c r="E4026" s="924" t="s">
        <v>856</v>
      </c>
      <c r="F4026" s="924" t="s">
        <v>925</v>
      </c>
      <c r="G4026" s="924" t="s">
        <v>911</v>
      </c>
      <c r="H4026" s="924" t="s">
        <v>665</v>
      </c>
      <c r="I4026" s="924" t="s">
        <v>706</v>
      </c>
      <c r="J4026" s="924" t="s">
        <v>859</v>
      </c>
      <c r="K4026" s="924" t="s">
        <v>926</v>
      </c>
      <c r="L4026" s="925">
        <v>0.441718149930239</v>
      </c>
      <c r="M4026" s="925">
        <v>2.0363897277775299E-5</v>
      </c>
    </row>
    <row r="4027" spans="1:13" ht="11.25" customHeight="1" x14ac:dyDescent="0.2">
      <c r="A4027" s="924" t="s">
        <v>853</v>
      </c>
      <c r="B4027" s="924" t="s">
        <v>807</v>
      </c>
      <c r="C4027" s="924" t="s">
        <v>1199</v>
      </c>
      <c r="D4027" s="924" t="s">
        <v>855</v>
      </c>
      <c r="E4027" s="924" t="s">
        <v>856</v>
      </c>
      <c r="F4027" s="924" t="s">
        <v>945</v>
      </c>
      <c r="G4027" s="924" t="s">
        <v>911</v>
      </c>
      <c r="H4027" s="924" t="s">
        <v>665</v>
      </c>
      <c r="I4027" s="924" t="s">
        <v>706</v>
      </c>
      <c r="J4027" s="924" t="s">
        <v>875</v>
      </c>
      <c r="K4027" s="924" t="s">
        <v>878</v>
      </c>
      <c r="L4027" s="925">
        <v>13.1044071167707</v>
      </c>
      <c r="M4027" s="925">
        <v>1.93866480685756E-3</v>
      </c>
    </row>
    <row r="4028" spans="1:13" ht="11.25" customHeight="1" x14ac:dyDescent="0.2">
      <c r="A4028" s="924" t="s">
        <v>853</v>
      </c>
      <c r="B4028" s="924" t="s">
        <v>807</v>
      </c>
      <c r="C4028" s="924" t="s">
        <v>1199</v>
      </c>
      <c r="D4028" s="924" t="s">
        <v>855</v>
      </c>
      <c r="E4028" s="924" t="s">
        <v>856</v>
      </c>
      <c r="F4028" s="924" t="s">
        <v>946</v>
      </c>
      <c r="G4028" s="924" t="s">
        <v>911</v>
      </c>
      <c r="H4028" s="924" t="s">
        <v>665</v>
      </c>
      <c r="I4028" s="924" t="s">
        <v>706</v>
      </c>
      <c r="J4028" s="924" t="s">
        <v>875</v>
      </c>
      <c r="K4028" s="924" t="s">
        <v>880</v>
      </c>
      <c r="L4028" s="925">
        <v>15.491322591900801</v>
      </c>
      <c r="M4028" s="925">
        <v>9.85942163993059E-4</v>
      </c>
    </row>
    <row r="4029" spans="1:13" ht="11.25" customHeight="1" x14ac:dyDescent="0.2">
      <c r="A4029" s="924" t="s">
        <v>853</v>
      </c>
      <c r="B4029" s="924" t="s">
        <v>807</v>
      </c>
      <c r="C4029" s="924" t="s">
        <v>1199</v>
      </c>
      <c r="D4029" s="924" t="s">
        <v>855</v>
      </c>
      <c r="E4029" s="924" t="s">
        <v>856</v>
      </c>
      <c r="F4029" s="924" t="s">
        <v>947</v>
      </c>
      <c r="G4029" s="924" t="s">
        <v>911</v>
      </c>
      <c r="H4029" s="924" t="s">
        <v>665</v>
      </c>
      <c r="I4029" s="924" t="s">
        <v>706</v>
      </c>
      <c r="J4029" s="924" t="s">
        <v>875</v>
      </c>
      <c r="K4029" s="924" t="s">
        <v>948</v>
      </c>
      <c r="L4029" s="925">
        <v>19.254878222942398</v>
      </c>
      <c r="M4029" s="925">
        <v>1.4714337659142999E-3</v>
      </c>
    </row>
    <row r="4030" spans="1:13" ht="11.25" customHeight="1" x14ac:dyDescent="0.2">
      <c r="A4030" s="924" t="s">
        <v>853</v>
      </c>
      <c r="B4030" s="924" t="s">
        <v>807</v>
      </c>
      <c r="C4030" s="924" t="s">
        <v>1199</v>
      </c>
      <c r="D4030" s="924" t="s">
        <v>855</v>
      </c>
      <c r="E4030" s="924" t="s">
        <v>856</v>
      </c>
      <c r="F4030" s="924" t="s">
        <v>949</v>
      </c>
      <c r="G4030" s="924" t="s">
        <v>911</v>
      </c>
      <c r="H4030" s="924" t="s">
        <v>665</v>
      </c>
      <c r="I4030" s="924" t="s">
        <v>706</v>
      </c>
      <c r="J4030" s="924" t="s">
        <v>875</v>
      </c>
      <c r="K4030" s="924" t="s">
        <v>950</v>
      </c>
      <c r="L4030" s="925">
        <v>0.25818494078703202</v>
      </c>
      <c r="M4030" s="925">
        <v>5.5376105351001597E-5</v>
      </c>
    </row>
    <row r="4031" spans="1:13" ht="11.25" customHeight="1" x14ac:dyDescent="0.2">
      <c r="A4031" s="924" t="s">
        <v>853</v>
      </c>
      <c r="B4031" s="924" t="s">
        <v>807</v>
      </c>
      <c r="C4031" s="924" t="s">
        <v>1199</v>
      </c>
      <c r="D4031" s="924" t="s">
        <v>855</v>
      </c>
      <c r="E4031" s="924" t="s">
        <v>856</v>
      </c>
      <c r="F4031" s="924" t="s">
        <v>951</v>
      </c>
      <c r="G4031" s="924" t="s">
        <v>911</v>
      </c>
      <c r="H4031" s="924" t="s">
        <v>665</v>
      </c>
      <c r="I4031" s="924" t="s">
        <v>706</v>
      </c>
      <c r="J4031" s="924" t="s">
        <v>875</v>
      </c>
      <c r="K4031" s="924" t="s">
        <v>952</v>
      </c>
      <c r="L4031" s="925">
        <v>0.238300906261429</v>
      </c>
      <c r="M4031" s="925">
        <v>1.48172519871537E-5</v>
      </c>
    </row>
    <row r="4032" spans="1:13" ht="11.25" customHeight="1" x14ac:dyDescent="0.2">
      <c r="A4032" s="924" t="s">
        <v>853</v>
      </c>
      <c r="B4032" s="924" t="s">
        <v>807</v>
      </c>
      <c r="C4032" s="924" t="s">
        <v>1199</v>
      </c>
      <c r="D4032" s="924" t="s">
        <v>855</v>
      </c>
      <c r="E4032" s="924" t="s">
        <v>856</v>
      </c>
      <c r="F4032" s="924" t="s">
        <v>890</v>
      </c>
      <c r="G4032" s="924" t="s">
        <v>862</v>
      </c>
      <c r="H4032" s="924" t="s">
        <v>665</v>
      </c>
      <c r="I4032" s="924" t="s">
        <v>787</v>
      </c>
      <c r="J4032" s="924" t="s">
        <v>859</v>
      </c>
      <c r="K4032" s="924" t="s">
        <v>891</v>
      </c>
      <c r="L4032" s="925">
        <v>5.1087400759570301E-2</v>
      </c>
      <c r="M4032" s="925">
        <v>1.8185594058195401E-3</v>
      </c>
    </row>
    <row r="4033" spans="1:13" ht="11.25" customHeight="1" x14ac:dyDescent="0.2">
      <c r="A4033" s="924" t="s">
        <v>853</v>
      </c>
      <c r="B4033" s="924" t="s">
        <v>807</v>
      </c>
      <c r="C4033" s="924" t="s">
        <v>1199</v>
      </c>
      <c r="D4033" s="924" t="s">
        <v>855</v>
      </c>
      <c r="E4033" s="924" t="s">
        <v>856</v>
      </c>
      <c r="F4033" s="924" t="s">
        <v>937</v>
      </c>
      <c r="G4033" s="924" t="s">
        <v>862</v>
      </c>
      <c r="H4033" s="924" t="s">
        <v>665</v>
      </c>
      <c r="I4033" s="924" t="s">
        <v>787</v>
      </c>
      <c r="J4033" s="924" t="s">
        <v>863</v>
      </c>
      <c r="K4033" s="924" t="s">
        <v>933</v>
      </c>
      <c r="L4033" s="925">
        <v>180.935015916824</v>
      </c>
      <c r="M4033" s="925">
        <v>0.77067163307219699</v>
      </c>
    </row>
    <row r="4034" spans="1:13" ht="11.25" customHeight="1" x14ac:dyDescent="0.2">
      <c r="A4034" s="924" t="s">
        <v>853</v>
      </c>
      <c r="B4034" s="924" t="s">
        <v>807</v>
      </c>
      <c r="C4034" s="924" t="s">
        <v>1199</v>
      </c>
      <c r="D4034" s="924" t="s">
        <v>855</v>
      </c>
      <c r="E4034" s="924" t="s">
        <v>856</v>
      </c>
      <c r="F4034" s="924" t="s">
        <v>934</v>
      </c>
      <c r="G4034" s="924" t="s">
        <v>862</v>
      </c>
      <c r="H4034" s="924" t="s">
        <v>665</v>
      </c>
      <c r="I4034" s="924" t="s">
        <v>787</v>
      </c>
      <c r="J4034" s="924" t="s">
        <v>863</v>
      </c>
      <c r="K4034" s="924" t="s">
        <v>935</v>
      </c>
      <c r="L4034" s="925">
        <v>0.15330662764608899</v>
      </c>
      <c r="M4034" s="925">
        <v>6.4444786858075499E-4</v>
      </c>
    </row>
    <row r="4035" spans="1:13" ht="11.25" customHeight="1" x14ac:dyDescent="0.2">
      <c r="A4035" s="924" t="s">
        <v>853</v>
      </c>
      <c r="B4035" s="924" t="s">
        <v>807</v>
      </c>
      <c r="C4035" s="924" t="s">
        <v>1199</v>
      </c>
      <c r="D4035" s="924" t="s">
        <v>855</v>
      </c>
      <c r="E4035" s="924" t="s">
        <v>856</v>
      </c>
      <c r="F4035" s="924" t="s">
        <v>861</v>
      </c>
      <c r="G4035" s="924" t="s">
        <v>862</v>
      </c>
      <c r="H4035" s="924" t="s">
        <v>665</v>
      </c>
      <c r="I4035" s="924" t="s">
        <v>787</v>
      </c>
      <c r="J4035" s="924" t="s">
        <v>863</v>
      </c>
      <c r="K4035" s="924" t="s">
        <v>864</v>
      </c>
      <c r="L4035" s="925">
        <v>8.3548695663921493E-2</v>
      </c>
      <c r="M4035" s="925">
        <v>3.4328536821703898E-4</v>
      </c>
    </row>
    <row r="4036" spans="1:13" ht="11.25" customHeight="1" x14ac:dyDescent="0.2">
      <c r="A4036" s="924" t="s">
        <v>853</v>
      </c>
      <c r="B4036" s="924" t="s">
        <v>807</v>
      </c>
      <c r="C4036" s="924" t="s">
        <v>1199</v>
      </c>
      <c r="D4036" s="924" t="s">
        <v>855</v>
      </c>
      <c r="E4036" s="924" t="s">
        <v>856</v>
      </c>
      <c r="F4036" s="924" t="s">
        <v>939</v>
      </c>
      <c r="G4036" s="924" t="s">
        <v>911</v>
      </c>
      <c r="H4036" s="924" t="s">
        <v>665</v>
      </c>
      <c r="I4036" s="924" t="s">
        <v>706</v>
      </c>
      <c r="J4036" s="924" t="s">
        <v>940</v>
      </c>
      <c r="K4036" s="924" t="s">
        <v>941</v>
      </c>
      <c r="L4036" s="925">
        <v>51.838334530592</v>
      </c>
      <c r="M4036" s="925">
        <v>2.4939917730080201E-3</v>
      </c>
    </row>
    <row r="4037" spans="1:13" ht="11.25" customHeight="1" x14ac:dyDescent="0.2">
      <c r="A4037" s="924" t="s">
        <v>853</v>
      </c>
      <c r="B4037" s="924" t="s">
        <v>807</v>
      </c>
      <c r="C4037" s="924" t="s">
        <v>1199</v>
      </c>
      <c r="D4037" s="924" t="s">
        <v>855</v>
      </c>
      <c r="E4037" s="924" t="s">
        <v>856</v>
      </c>
      <c r="F4037" s="924" t="s">
        <v>970</v>
      </c>
      <c r="G4037" s="924" t="s">
        <v>858</v>
      </c>
      <c r="H4037" s="924" t="s">
        <v>836</v>
      </c>
      <c r="I4037" s="924" t="s">
        <v>837</v>
      </c>
      <c r="J4037" s="924" t="s">
        <v>875</v>
      </c>
      <c r="K4037" s="924" t="s">
        <v>880</v>
      </c>
      <c r="L4037" s="925">
        <v>304.11212873458902</v>
      </c>
      <c r="M4037" s="925">
        <v>5.9094280679801202E-3</v>
      </c>
    </row>
    <row r="4038" spans="1:13" ht="11.25" customHeight="1" x14ac:dyDescent="0.2">
      <c r="A4038" s="924" t="s">
        <v>853</v>
      </c>
      <c r="B4038" s="924" t="s">
        <v>807</v>
      </c>
      <c r="C4038" s="924" t="s">
        <v>1199</v>
      </c>
      <c r="D4038" s="924" t="s">
        <v>855</v>
      </c>
      <c r="E4038" s="924" t="s">
        <v>1164</v>
      </c>
      <c r="F4038" s="924" t="s">
        <v>1165</v>
      </c>
      <c r="G4038" s="924" t="s">
        <v>981</v>
      </c>
      <c r="H4038" s="924" t="s">
        <v>835</v>
      </c>
      <c r="I4038" s="924" t="s">
        <v>1040</v>
      </c>
      <c r="J4038" s="924" t="s">
        <v>1166</v>
      </c>
      <c r="K4038" s="924" t="s">
        <v>1166</v>
      </c>
      <c r="L4038" s="925">
        <v>0.331907708197832</v>
      </c>
      <c r="M4038" s="925">
        <v>9.5084304803094697E-5</v>
      </c>
    </row>
    <row r="4039" spans="1:13" ht="11.25" customHeight="1" x14ac:dyDescent="0.2">
      <c r="A4039" s="924" t="s">
        <v>853</v>
      </c>
      <c r="B4039" s="924" t="s">
        <v>807</v>
      </c>
      <c r="C4039" s="924" t="s">
        <v>1199</v>
      </c>
      <c r="D4039" s="924" t="s">
        <v>855</v>
      </c>
      <c r="E4039" s="924" t="s">
        <v>856</v>
      </c>
      <c r="F4039" s="924" t="s">
        <v>1018</v>
      </c>
      <c r="G4039" s="924" t="s">
        <v>858</v>
      </c>
      <c r="H4039" s="924" t="s">
        <v>836</v>
      </c>
      <c r="I4039" s="924" t="s">
        <v>837</v>
      </c>
      <c r="J4039" s="924" t="s">
        <v>870</v>
      </c>
      <c r="K4039" s="924" t="s">
        <v>1019</v>
      </c>
      <c r="L4039" s="925">
        <v>400.216480731964</v>
      </c>
      <c r="M4039" s="925">
        <v>3.0077988970589301E-3</v>
      </c>
    </row>
    <row r="4040" spans="1:13" ht="11.25" customHeight="1" x14ac:dyDescent="0.2">
      <c r="A4040" s="924" t="s">
        <v>853</v>
      </c>
      <c r="B4040" s="924" t="s">
        <v>807</v>
      </c>
      <c r="C4040" s="924" t="s">
        <v>1199</v>
      </c>
      <c r="D4040" s="924" t="s">
        <v>855</v>
      </c>
      <c r="E4040" s="924" t="s">
        <v>856</v>
      </c>
      <c r="F4040" s="924" t="s">
        <v>1015</v>
      </c>
      <c r="G4040" s="924" t="s">
        <v>858</v>
      </c>
      <c r="H4040" s="924" t="s">
        <v>836</v>
      </c>
      <c r="I4040" s="924" t="s">
        <v>837</v>
      </c>
      <c r="J4040" s="924" t="s">
        <v>870</v>
      </c>
      <c r="K4040" s="924" t="s">
        <v>1016</v>
      </c>
      <c r="L4040" s="925">
        <v>2.21624633576721</v>
      </c>
      <c r="M4040" s="925">
        <v>2.6926847054742401E-5</v>
      </c>
    </row>
    <row r="4041" spans="1:13" ht="11.25" customHeight="1" x14ac:dyDescent="0.2">
      <c r="A4041" s="924" t="s">
        <v>853</v>
      </c>
      <c r="B4041" s="924" t="s">
        <v>807</v>
      </c>
      <c r="C4041" s="924" t="s">
        <v>1199</v>
      </c>
      <c r="D4041" s="924" t="s">
        <v>855</v>
      </c>
      <c r="E4041" s="924" t="s">
        <v>856</v>
      </c>
      <c r="F4041" s="924" t="s">
        <v>958</v>
      </c>
      <c r="G4041" s="924" t="s">
        <v>858</v>
      </c>
      <c r="H4041" s="924" t="s">
        <v>836</v>
      </c>
      <c r="I4041" s="924" t="s">
        <v>837</v>
      </c>
      <c r="J4041" s="924" t="s">
        <v>870</v>
      </c>
      <c r="K4041" s="924" t="s">
        <v>959</v>
      </c>
      <c r="L4041" s="925">
        <v>0.46552913391496997</v>
      </c>
      <c r="M4041" s="925">
        <v>4.3383693331400199E-6</v>
      </c>
    </row>
    <row r="4042" spans="1:13" ht="11.25" customHeight="1" x14ac:dyDescent="0.2">
      <c r="A4042" s="924" t="s">
        <v>853</v>
      </c>
      <c r="B4042" s="924" t="s">
        <v>807</v>
      </c>
      <c r="C4042" s="924" t="s">
        <v>1199</v>
      </c>
      <c r="D4042" s="924" t="s">
        <v>855</v>
      </c>
      <c r="E4042" s="924" t="s">
        <v>856</v>
      </c>
      <c r="F4042" s="924" t="s">
        <v>960</v>
      </c>
      <c r="G4042" s="924" t="s">
        <v>858</v>
      </c>
      <c r="H4042" s="924" t="s">
        <v>836</v>
      </c>
      <c r="I4042" s="924" t="s">
        <v>837</v>
      </c>
      <c r="J4042" s="924" t="s">
        <v>870</v>
      </c>
      <c r="K4042" s="924" t="s">
        <v>961</v>
      </c>
      <c r="L4042" s="925">
        <v>33.9520856142044</v>
      </c>
      <c r="M4042" s="925">
        <v>3.0124292842437201E-4</v>
      </c>
    </row>
    <row r="4043" spans="1:13" ht="11.25" customHeight="1" x14ac:dyDescent="0.2">
      <c r="A4043" s="924" t="s">
        <v>853</v>
      </c>
      <c r="B4043" s="924" t="s">
        <v>807</v>
      </c>
      <c r="C4043" s="924" t="s">
        <v>1199</v>
      </c>
      <c r="D4043" s="924" t="s">
        <v>855</v>
      </c>
      <c r="E4043" s="924" t="s">
        <v>856</v>
      </c>
      <c r="F4043" s="924" t="s">
        <v>962</v>
      </c>
      <c r="G4043" s="924" t="s">
        <v>858</v>
      </c>
      <c r="H4043" s="924" t="s">
        <v>836</v>
      </c>
      <c r="I4043" s="924" t="s">
        <v>837</v>
      </c>
      <c r="J4043" s="924" t="s">
        <v>870</v>
      </c>
      <c r="K4043" s="924" t="s">
        <v>963</v>
      </c>
      <c r="L4043" s="925">
        <v>9.3905856134369997E-2</v>
      </c>
      <c r="M4043" s="925">
        <v>6.6744293766504703E-7</v>
      </c>
    </row>
    <row r="4044" spans="1:13" ht="11.25" customHeight="1" x14ac:dyDescent="0.2">
      <c r="A4044" s="924" t="s">
        <v>853</v>
      </c>
      <c r="B4044" s="924" t="s">
        <v>807</v>
      </c>
      <c r="C4044" s="924" t="s">
        <v>1199</v>
      </c>
      <c r="D4044" s="924" t="s">
        <v>855</v>
      </c>
      <c r="E4044" s="924" t="s">
        <v>856</v>
      </c>
      <c r="F4044" s="924" t="s">
        <v>964</v>
      </c>
      <c r="G4044" s="924" t="s">
        <v>858</v>
      </c>
      <c r="H4044" s="924" t="s">
        <v>836</v>
      </c>
      <c r="I4044" s="924" t="s">
        <v>837</v>
      </c>
      <c r="J4044" s="924" t="s">
        <v>870</v>
      </c>
      <c r="K4044" s="924" t="s">
        <v>965</v>
      </c>
      <c r="L4044" s="925">
        <v>31.387489981949301</v>
      </c>
      <c r="M4044" s="925">
        <v>2.8818484545212203E-4</v>
      </c>
    </row>
    <row r="4045" spans="1:13" ht="11.25" customHeight="1" x14ac:dyDescent="0.2">
      <c r="A4045" s="924" t="s">
        <v>853</v>
      </c>
      <c r="B4045" s="924" t="s">
        <v>807</v>
      </c>
      <c r="C4045" s="924" t="s">
        <v>1199</v>
      </c>
      <c r="D4045" s="924" t="s">
        <v>855</v>
      </c>
      <c r="E4045" s="924" t="s">
        <v>856</v>
      </c>
      <c r="F4045" s="924" t="s">
        <v>966</v>
      </c>
      <c r="G4045" s="924" t="s">
        <v>858</v>
      </c>
      <c r="H4045" s="924" t="s">
        <v>836</v>
      </c>
      <c r="I4045" s="924" t="s">
        <v>837</v>
      </c>
      <c r="J4045" s="924" t="s">
        <v>870</v>
      </c>
      <c r="K4045" s="924" t="s">
        <v>871</v>
      </c>
      <c r="L4045" s="925">
        <v>87.336794286966295</v>
      </c>
      <c r="M4045" s="925">
        <v>7.5888559601011696E-4</v>
      </c>
    </row>
    <row r="4046" spans="1:13" ht="11.25" customHeight="1" x14ac:dyDescent="0.2">
      <c r="A4046" s="924" t="s">
        <v>853</v>
      </c>
      <c r="B4046" s="924" t="s">
        <v>807</v>
      </c>
      <c r="C4046" s="924" t="s">
        <v>1199</v>
      </c>
      <c r="D4046" s="924" t="s">
        <v>855</v>
      </c>
      <c r="E4046" s="924" t="s">
        <v>856</v>
      </c>
      <c r="F4046" s="924" t="s">
        <v>967</v>
      </c>
      <c r="G4046" s="924" t="s">
        <v>858</v>
      </c>
      <c r="H4046" s="924" t="s">
        <v>836</v>
      </c>
      <c r="I4046" s="924" t="s">
        <v>837</v>
      </c>
      <c r="J4046" s="924" t="s">
        <v>870</v>
      </c>
      <c r="K4046" s="924" t="s">
        <v>873</v>
      </c>
      <c r="L4046" s="925">
        <v>64.369720667600603</v>
      </c>
      <c r="M4046" s="925">
        <v>1.08747187505998E-3</v>
      </c>
    </row>
    <row r="4047" spans="1:13" ht="11.25" customHeight="1" x14ac:dyDescent="0.2">
      <c r="A4047" s="924" t="s">
        <v>853</v>
      </c>
      <c r="B4047" s="924" t="s">
        <v>807</v>
      </c>
      <c r="C4047" s="924" t="s">
        <v>1199</v>
      </c>
      <c r="D4047" s="924" t="s">
        <v>855</v>
      </c>
      <c r="E4047" s="924" t="s">
        <v>856</v>
      </c>
      <c r="F4047" s="924" t="s">
        <v>1035</v>
      </c>
      <c r="G4047" s="924" t="s">
        <v>858</v>
      </c>
      <c r="H4047" s="924" t="s">
        <v>836</v>
      </c>
      <c r="I4047" s="924" t="s">
        <v>837</v>
      </c>
      <c r="J4047" s="924" t="s">
        <v>870</v>
      </c>
      <c r="K4047" s="924" t="s">
        <v>1036</v>
      </c>
      <c r="L4047" s="925">
        <v>0.107398443244165</v>
      </c>
      <c r="M4047" s="925">
        <v>1.31532669215804E-5</v>
      </c>
    </row>
    <row r="4048" spans="1:13" ht="11.25" customHeight="1" x14ac:dyDescent="0.2">
      <c r="A4048" s="924" t="s">
        <v>853</v>
      </c>
      <c r="B4048" s="924" t="s">
        <v>807</v>
      </c>
      <c r="C4048" s="924" t="s">
        <v>1199</v>
      </c>
      <c r="D4048" s="924" t="s">
        <v>855</v>
      </c>
      <c r="E4048" s="924" t="s">
        <v>856</v>
      </c>
      <c r="F4048" s="924" t="s">
        <v>969</v>
      </c>
      <c r="G4048" s="924" t="s">
        <v>858</v>
      </c>
      <c r="H4048" s="924" t="s">
        <v>836</v>
      </c>
      <c r="I4048" s="924" t="s">
        <v>837</v>
      </c>
      <c r="J4048" s="924" t="s">
        <v>875</v>
      </c>
      <c r="K4048" s="924" t="s">
        <v>878</v>
      </c>
      <c r="L4048" s="925">
        <v>109.625444531441</v>
      </c>
      <c r="M4048" s="925">
        <v>2.9039119426670398E-3</v>
      </c>
    </row>
    <row r="4049" spans="1:13" ht="11.25" customHeight="1" x14ac:dyDescent="0.2">
      <c r="A4049" s="924" t="s">
        <v>853</v>
      </c>
      <c r="B4049" s="924" t="s">
        <v>807</v>
      </c>
      <c r="C4049" s="924" t="s">
        <v>1199</v>
      </c>
      <c r="D4049" s="924" t="s">
        <v>855</v>
      </c>
      <c r="E4049" s="924" t="s">
        <v>856</v>
      </c>
      <c r="F4049" s="924" t="s">
        <v>1033</v>
      </c>
      <c r="G4049" s="924" t="s">
        <v>858</v>
      </c>
      <c r="H4049" s="924" t="s">
        <v>836</v>
      </c>
      <c r="I4049" s="924" t="s">
        <v>837</v>
      </c>
      <c r="J4049" s="924" t="s">
        <v>940</v>
      </c>
      <c r="K4049" s="924" t="s">
        <v>1034</v>
      </c>
      <c r="L4049" s="925">
        <v>1.74320124089718</v>
      </c>
      <c r="M4049" s="925">
        <v>5.7164069932724701E-5</v>
      </c>
    </row>
    <row r="4050" spans="1:13" ht="11.25" customHeight="1" x14ac:dyDescent="0.2">
      <c r="A4050" s="924" t="s">
        <v>853</v>
      </c>
      <c r="B4050" s="924" t="s">
        <v>807</v>
      </c>
      <c r="C4050" s="924" t="s">
        <v>1199</v>
      </c>
      <c r="D4050" s="924" t="s">
        <v>855</v>
      </c>
      <c r="E4050" s="924" t="s">
        <v>856</v>
      </c>
      <c r="F4050" s="924" t="s">
        <v>971</v>
      </c>
      <c r="G4050" s="924" t="s">
        <v>858</v>
      </c>
      <c r="H4050" s="924" t="s">
        <v>836</v>
      </c>
      <c r="I4050" s="924" t="s">
        <v>837</v>
      </c>
      <c r="J4050" s="924" t="s">
        <v>875</v>
      </c>
      <c r="K4050" s="924" t="s">
        <v>948</v>
      </c>
      <c r="L4050" s="925">
        <v>154.553361177444</v>
      </c>
      <c r="M4050" s="925">
        <v>6.6107799279961901E-3</v>
      </c>
    </row>
    <row r="4051" spans="1:13" ht="11.25" customHeight="1" x14ac:dyDescent="0.2">
      <c r="A4051" s="924" t="s">
        <v>853</v>
      </c>
      <c r="B4051" s="924" t="s">
        <v>807</v>
      </c>
      <c r="C4051" s="924" t="s">
        <v>1199</v>
      </c>
      <c r="D4051" s="924" t="s">
        <v>855</v>
      </c>
      <c r="E4051" s="924" t="s">
        <v>856</v>
      </c>
      <c r="F4051" s="924" t="s">
        <v>1000</v>
      </c>
      <c r="G4051" s="924" t="s">
        <v>858</v>
      </c>
      <c r="H4051" s="924" t="s">
        <v>836</v>
      </c>
      <c r="I4051" s="924" t="s">
        <v>837</v>
      </c>
      <c r="J4051" s="924" t="s">
        <v>875</v>
      </c>
      <c r="K4051" s="924" t="s">
        <v>950</v>
      </c>
      <c r="L4051" s="925">
        <v>14.852731123566601</v>
      </c>
      <c r="M4051" s="925">
        <v>3.48875078927335E-4</v>
      </c>
    </row>
    <row r="4052" spans="1:13" ht="11.25" customHeight="1" x14ac:dyDescent="0.2">
      <c r="A4052" s="924" t="s">
        <v>853</v>
      </c>
      <c r="B4052" s="924" t="s">
        <v>807</v>
      </c>
      <c r="C4052" s="924" t="s">
        <v>1199</v>
      </c>
      <c r="D4052" s="924" t="s">
        <v>855</v>
      </c>
      <c r="E4052" s="924" t="s">
        <v>856</v>
      </c>
      <c r="F4052" s="924" t="s">
        <v>974</v>
      </c>
      <c r="G4052" s="924" t="s">
        <v>858</v>
      </c>
      <c r="H4052" s="924" t="s">
        <v>836</v>
      </c>
      <c r="I4052" s="924" t="s">
        <v>837</v>
      </c>
      <c r="J4052" s="924" t="s">
        <v>875</v>
      </c>
      <c r="K4052" s="924" t="s">
        <v>952</v>
      </c>
      <c r="L4052" s="925">
        <v>13.143572464585301</v>
      </c>
      <c r="M4052" s="925">
        <v>2.9695768531112798E-4</v>
      </c>
    </row>
    <row r="4053" spans="1:13" ht="11.25" customHeight="1" x14ac:dyDescent="0.2">
      <c r="A4053" s="924" t="s">
        <v>853</v>
      </c>
      <c r="B4053" s="924" t="s">
        <v>807</v>
      </c>
      <c r="C4053" s="924" t="s">
        <v>1199</v>
      </c>
      <c r="D4053" s="924" t="s">
        <v>855</v>
      </c>
      <c r="E4053" s="924" t="s">
        <v>856</v>
      </c>
      <c r="F4053" s="924" t="s">
        <v>955</v>
      </c>
      <c r="G4053" s="924" t="s">
        <v>858</v>
      </c>
      <c r="H4053" s="924" t="s">
        <v>836</v>
      </c>
      <c r="I4053" s="924" t="s">
        <v>837</v>
      </c>
      <c r="J4053" s="924" t="s">
        <v>956</v>
      </c>
      <c r="K4053" s="924" t="s">
        <v>957</v>
      </c>
      <c r="L4053" s="925">
        <v>268.57265233993502</v>
      </c>
      <c r="M4053" s="925">
        <v>1.5425086428138E-3</v>
      </c>
    </row>
    <row r="4054" spans="1:13" ht="11.25" customHeight="1" x14ac:dyDescent="0.2">
      <c r="A4054" s="924" t="s">
        <v>853</v>
      </c>
      <c r="B4054" s="924" t="s">
        <v>807</v>
      </c>
      <c r="C4054" s="924" t="s">
        <v>1199</v>
      </c>
      <c r="D4054" s="924" t="s">
        <v>855</v>
      </c>
      <c r="E4054" s="924" t="s">
        <v>856</v>
      </c>
      <c r="F4054" s="924" t="s">
        <v>980</v>
      </c>
      <c r="G4054" s="924" t="s">
        <v>981</v>
      </c>
      <c r="H4054" s="924" t="s">
        <v>835</v>
      </c>
      <c r="I4054" s="924" t="s">
        <v>839</v>
      </c>
      <c r="J4054" s="924" t="s">
        <v>982</v>
      </c>
      <c r="K4054" s="924" t="s">
        <v>983</v>
      </c>
      <c r="L4054" s="925">
        <v>8808.8544540405292</v>
      </c>
      <c r="M4054" s="925">
        <v>10.047277372330401</v>
      </c>
    </row>
    <row r="4055" spans="1:13" ht="11.25" customHeight="1" x14ac:dyDescent="0.2">
      <c r="A4055" s="924" t="s">
        <v>853</v>
      </c>
      <c r="B4055" s="924" t="s">
        <v>807</v>
      </c>
      <c r="C4055" s="924" t="s">
        <v>1199</v>
      </c>
      <c r="D4055" s="924" t="s">
        <v>855</v>
      </c>
      <c r="E4055" s="924" t="s">
        <v>856</v>
      </c>
      <c r="F4055" s="924" t="s">
        <v>984</v>
      </c>
      <c r="G4055" s="924" t="s">
        <v>981</v>
      </c>
      <c r="H4055" s="924" t="s">
        <v>835</v>
      </c>
      <c r="I4055" s="924" t="s">
        <v>839</v>
      </c>
      <c r="J4055" s="924" t="s">
        <v>982</v>
      </c>
      <c r="K4055" s="924" t="s">
        <v>985</v>
      </c>
      <c r="L4055" s="925">
        <v>3721.4698829650902</v>
      </c>
      <c r="M4055" s="925">
        <v>4.1512600230053103</v>
      </c>
    </row>
    <row r="4056" spans="1:13" ht="11.25" customHeight="1" x14ac:dyDescent="0.2">
      <c r="A4056" s="924" t="s">
        <v>853</v>
      </c>
      <c r="B4056" s="924" t="s">
        <v>807</v>
      </c>
      <c r="C4056" s="924" t="s">
        <v>1199</v>
      </c>
      <c r="D4056" s="924" t="s">
        <v>855</v>
      </c>
      <c r="E4056" s="924" t="s">
        <v>856</v>
      </c>
      <c r="F4056" s="924" t="s">
        <v>986</v>
      </c>
      <c r="G4056" s="924" t="s">
        <v>981</v>
      </c>
      <c r="H4056" s="924" t="s">
        <v>835</v>
      </c>
      <c r="I4056" s="924" t="s">
        <v>839</v>
      </c>
      <c r="J4056" s="924" t="s">
        <v>987</v>
      </c>
      <c r="K4056" s="924" t="s">
        <v>988</v>
      </c>
      <c r="L4056" s="925">
        <v>6263.4667654037503</v>
      </c>
      <c r="M4056" s="925">
        <v>3.1589394682087</v>
      </c>
    </row>
    <row r="4057" spans="1:13" ht="11.25" customHeight="1" x14ac:dyDescent="0.2">
      <c r="A4057" s="924" t="s">
        <v>853</v>
      </c>
      <c r="B4057" s="924" t="s">
        <v>807</v>
      </c>
      <c r="C4057" s="924" t="s">
        <v>1199</v>
      </c>
      <c r="D4057" s="924" t="s">
        <v>855</v>
      </c>
      <c r="E4057" s="924" t="s">
        <v>856</v>
      </c>
      <c r="F4057" s="924" t="s">
        <v>989</v>
      </c>
      <c r="G4057" s="924" t="s">
        <v>990</v>
      </c>
      <c r="H4057" s="924" t="s">
        <v>836</v>
      </c>
      <c r="I4057" s="924" t="s">
        <v>839</v>
      </c>
      <c r="J4057" s="924" t="s">
        <v>224</v>
      </c>
      <c r="K4057" s="924" t="s">
        <v>988</v>
      </c>
      <c r="L4057" s="925">
        <v>4932.6408309936496</v>
      </c>
      <c r="M4057" s="925">
        <v>0.16794526191654299</v>
      </c>
    </row>
    <row r="4058" spans="1:13" ht="11.25" customHeight="1" x14ac:dyDescent="0.2">
      <c r="A4058" s="924" t="s">
        <v>853</v>
      </c>
      <c r="B4058" s="924" t="s">
        <v>807</v>
      </c>
      <c r="C4058" s="924" t="s">
        <v>1199</v>
      </c>
      <c r="D4058" s="924" t="s">
        <v>855</v>
      </c>
      <c r="E4058" s="924" t="s">
        <v>856</v>
      </c>
      <c r="F4058" s="924" t="s">
        <v>991</v>
      </c>
      <c r="G4058" s="924" t="s">
        <v>990</v>
      </c>
      <c r="H4058" s="924" t="s">
        <v>836</v>
      </c>
      <c r="I4058" s="924" t="s">
        <v>839</v>
      </c>
      <c r="J4058" s="924" t="s">
        <v>224</v>
      </c>
      <c r="K4058" s="924" t="s">
        <v>983</v>
      </c>
      <c r="L4058" s="925">
        <v>17.824330098927</v>
      </c>
      <c r="M4058" s="925">
        <v>1.0643491784465601E-3</v>
      </c>
    </row>
    <row r="4059" spans="1:13" ht="11.25" customHeight="1" x14ac:dyDescent="0.2">
      <c r="A4059" s="924" t="s">
        <v>853</v>
      </c>
      <c r="B4059" s="924" t="s">
        <v>807</v>
      </c>
      <c r="C4059" s="924" t="s">
        <v>1199</v>
      </c>
      <c r="D4059" s="924" t="s">
        <v>855</v>
      </c>
      <c r="E4059" s="924" t="s">
        <v>1164</v>
      </c>
      <c r="F4059" s="924" t="s">
        <v>1167</v>
      </c>
      <c r="G4059" s="924" t="s">
        <v>911</v>
      </c>
      <c r="H4059" s="924" t="s">
        <v>665</v>
      </c>
      <c r="I4059" s="924" t="s">
        <v>706</v>
      </c>
      <c r="J4059" s="924" t="s">
        <v>1166</v>
      </c>
      <c r="K4059" s="924" t="s">
        <v>1166</v>
      </c>
      <c r="L4059" s="925">
        <v>0.185151153709739</v>
      </c>
      <c r="M4059" s="925">
        <v>8.5819278012877493E-6</v>
      </c>
    </row>
    <row r="4060" spans="1:13" ht="11.25" customHeight="1" x14ac:dyDescent="0.2">
      <c r="A4060" s="924" t="s">
        <v>853</v>
      </c>
      <c r="B4060" s="924" t="s">
        <v>807</v>
      </c>
      <c r="C4060" s="924" t="s">
        <v>1199</v>
      </c>
      <c r="D4060" s="924" t="s">
        <v>855</v>
      </c>
      <c r="E4060" s="924" t="s">
        <v>856</v>
      </c>
      <c r="F4060" s="924" t="s">
        <v>968</v>
      </c>
      <c r="G4060" s="924" t="s">
        <v>858</v>
      </c>
      <c r="H4060" s="924" t="s">
        <v>836</v>
      </c>
      <c r="I4060" s="924" t="s">
        <v>837</v>
      </c>
      <c r="J4060" s="924" t="s">
        <v>875</v>
      </c>
      <c r="K4060" s="924" t="s">
        <v>876</v>
      </c>
      <c r="L4060" s="925">
        <v>464.48764085769699</v>
      </c>
      <c r="M4060" s="925">
        <v>1.24501317363865E-2</v>
      </c>
    </row>
    <row r="4061" spans="1:13" ht="11.25" customHeight="1" x14ac:dyDescent="0.2">
      <c r="A4061" s="924" t="s">
        <v>853</v>
      </c>
      <c r="B4061" s="924" t="s">
        <v>807</v>
      </c>
      <c r="C4061" s="924" t="s">
        <v>1199</v>
      </c>
      <c r="D4061" s="924" t="s">
        <v>855</v>
      </c>
      <c r="E4061" s="924" t="s">
        <v>856</v>
      </c>
      <c r="F4061" s="924" t="s">
        <v>1014</v>
      </c>
      <c r="G4061" s="924" t="s">
        <v>858</v>
      </c>
      <c r="H4061" s="924" t="s">
        <v>836</v>
      </c>
      <c r="I4061" s="924" t="s">
        <v>837</v>
      </c>
      <c r="J4061" s="924" t="s">
        <v>863</v>
      </c>
      <c r="K4061" s="924" t="s">
        <v>933</v>
      </c>
      <c r="L4061" s="925">
        <v>701.73120689392101</v>
      </c>
      <c r="M4061" s="925">
        <v>4.9679391046311104E-3</v>
      </c>
    </row>
    <row r="4062" spans="1:13" ht="11.25" customHeight="1" x14ac:dyDescent="0.2">
      <c r="A4062" s="924" t="s">
        <v>853</v>
      </c>
      <c r="B4062" s="924" t="s">
        <v>807</v>
      </c>
      <c r="C4062" s="924" t="s">
        <v>1199</v>
      </c>
      <c r="D4062" s="924" t="s">
        <v>855</v>
      </c>
      <c r="E4062" s="924" t="s">
        <v>856</v>
      </c>
      <c r="F4062" s="924" t="s">
        <v>1071</v>
      </c>
      <c r="G4062" s="924" t="s">
        <v>858</v>
      </c>
      <c r="H4062" s="924" t="s">
        <v>836</v>
      </c>
      <c r="I4062" s="924" t="s">
        <v>837</v>
      </c>
      <c r="J4062" s="924" t="s">
        <v>859</v>
      </c>
      <c r="K4062" s="924" t="s">
        <v>1072</v>
      </c>
      <c r="L4062" s="925">
        <v>909.08965492248501</v>
      </c>
      <c r="M4062" s="925">
        <v>8.0851721608041806E-3</v>
      </c>
    </row>
    <row r="4063" spans="1:13" ht="11.25" customHeight="1" x14ac:dyDescent="0.2">
      <c r="A4063" s="924" t="s">
        <v>853</v>
      </c>
      <c r="B4063" s="924" t="s">
        <v>807</v>
      </c>
      <c r="C4063" s="924" t="s">
        <v>1199</v>
      </c>
      <c r="D4063" s="924" t="s">
        <v>855</v>
      </c>
      <c r="E4063" s="924" t="s">
        <v>856</v>
      </c>
      <c r="F4063" s="924" t="s">
        <v>953</v>
      </c>
      <c r="G4063" s="924" t="s">
        <v>858</v>
      </c>
      <c r="H4063" s="924" t="s">
        <v>836</v>
      </c>
      <c r="I4063" s="924" t="s">
        <v>837</v>
      </c>
      <c r="J4063" s="924" t="s">
        <v>859</v>
      </c>
      <c r="K4063" s="924" t="s">
        <v>920</v>
      </c>
      <c r="L4063" s="925">
        <v>42.763480901718097</v>
      </c>
      <c r="M4063" s="925">
        <v>5.5159564801954297E-4</v>
      </c>
    </row>
    <row r="4064" spans="1:13" ht="11.25" customHeight="1" x14ac:dyDescent="0.2">
      <c r="A4064" s="924" t="s">
        <v>853</v>
      </c>
      <c r="B4064" s="924" t="s">
        <v>807</v>
      </c>
      <c r="C4064" s="924" t="s">
        <v>1199</v>
      </c>
      <c r="D4064" s="924" t="s">
        <v>855</v>
      </c>
      <c r="E4064" s="924" t="s">
        <v>856</v>
      </c>
      <c r="F4064" s="924" t="s">
        <v>1002</v>
      </c>
      <c r="G4064" s="924" t="s">
        <v>858</v>
      </c>
      <c r="H4064" s="924" t="s">
        <v>836</v>
      </c>
      <c r="I4064" s="924" t="s">
        <v>837</v>
      </c>
      <c r="J4064" s="924" t="s">
        <v>859</v>
      </c>
      <c r="K4064" s="924" t="s">
        <v>922</v>
      </c>
      <c r="L4064" s="925">
        <v>340.09528017044101</v>
      </c>
      <c r="M4064" s="925">
        <v>3.8883214467091399E-3</v>
      </c>
    </row>
    <row r="4065" spans="1:13" ht="11.25" customHeight="1" x14ac:dyDescent="0.2">
      <c r="A4065" s="924" t="s">
        <v>853</v>
      </c>
      <c r="B4065" s="924" t="s">
        <v>807</v>
      </c>
      <c r="C4065" s="924" t="s">
        <v>1199</v>
      </c>
      <c r="D4065" s="924" t="s">
        <v>855</v>
      </c>
      <c r="E4065" s="924" t="s">
        <v>856</v>
      </c>
      <c r="F4065" s="924" t="s">
        <v>1003</v>
      </c>
      <c r="G4065" s="924" t="s">
        <v>858</v>
      </c>
      <c r="H4065" s="924" t="s">
        <v>836</v>
      </c>
      <c r="I4065" s="924" t="s">
        <v>837</v>
      </c>
      <c r="J4065" s="924" t="s">
        <v>859</v>
      </c>
      <c r="K4065" s="924" t="s">
        <v>924</v>
      </c>
      <c r="L4065" s="925">
        <v>1156.3280172348</v>
      </c>
      <c r="M4065" s="925">
        <v>1.10288130194931E-2</v>
      </c>
    </row>
    <row r="4066" spans="1:13" ht="11.25" customHeight="1" x14ac:dyDescent="0.2">
      <c r="A4066" s="924" t="s">
        <v>853</v>
      </c>
      <c r="B4066" s="924" t="s">
        <v>807</v>
      </c>
      <c r="C4066" s="924" t="s">
        <v>1199</v>
      </c>
      <c r="D4066" s="924" t="s">
        <v>855</v>
      </c>
      <c r="E4066" s="924" t="s">
        <v>856</v>
      </c>
      <c r="F4066" s="924" t="s">
        <v>1004</v>
      </c>
      <c r="G4066" s="924" t="s">
        <v>858</v>
      </c>
      <c r="H4066" s="924" t="s">
        <v>836</v>
      </c>
      <c r="I4066" s="924" t="s">
        <v>837</v>
      </c>
      <c r="J4066" s="924" t="s">
        <v>859</v>
      </c>
      <c r="K4066" s="924" t="s">
        <v>926</v>
      </c>
      <c r="L4066" s="925">
        <v>700.77715969085705</v>
      </c>
      <c r="M4066" s="925">
        <v>2.85971163839349E-2</v>
      </c>
    </row>
    <row r="4067" spans="1:13" ht="11.25" customHeight="1" x14ac:dyDescent="0.2">
      <c r="A4067" s="924" t="s">
        <v>853</v>
      </c>
      <c r="B4067" s="924" t="s">
        <v>807</v>
      </c>
      <c r="C4067" s="924" t="s">
        <v>1199</v>
      </c>
      <c r="D4067" s="924" t="s">
        <v>855</v>
      </c>
      <c r="E4067" s="924" t="s">
        <v>856</v>
      </c>
      <c r="F4067" s="924" t="s">
        <v>1005</v>
      </c>
      <c r="G4067" s="924" t="s">
        <v>858</v>
      </c>
      <c r="H4067" s="924" t="s">
        <v>836</v>
      </c>
      <c r="I4067" s="924" t="s">
        <v>837</v>
      </c>
      <c r="J4067" s="924" t="s">
        <v>859</v>
      </c>
      <c r="K4067" s="924" t="s">
        <v>1006</v>
      </c>
      <c r="L4067" s="925">
        <v>1057.67702579498</v>
      </c>
      <c r="M4067" s="925">
        <v>8.1922473847271197E-3</v>
      </c>
    </row>
    <row r="4068" spans="1:13" ht="11.25" customHeight="1" x14ac:dyDescent="0.2">
      <c r="A4068" s="924" t="s">
        <v>853</v>
      </c>
      <c r="B4068" s="924" t="s">
        <v>807</v>
      </c>
      <c r="C4068" s="924" t="s">
        <v>1199</v>
      </c>
      <c r="D4068" s="924" t="s">
        <v>855</v>
      </c>
      <c r="E4068" s="924" t="s">
        <v>856</v>
      </c>
      <c r="F4068" s="924" t="s">
        <v>1007</v>
      </c>
      <c r="G4068" s="924" t="s">
        <v>858</v>
      </c>
      <c r="H4068" s="924" t="s">
        <v>836</v>
      </c>
      <c r="I4068" s="924" t="s">
        <v>837</v>
      </c>
      <c r="J4068" s="924" t="s">
        <v>859</v>
      </c>
      <c r="K4068" s="924" t="s">
        <v>928</v>
      </c>
      <c r="L4068" s="925">
        <v>486.93828010559099</v>
      </c>
      <c r="M4068" s="925">
        <v>2.1233176371424599E-2</v>
      </c>
    </row>
    <row r="4069" spans="1:13" ht="11.25" customHeight="1" x14ac:dyDescent="0.2">
      <c r="A4069" s="924" t="s">
        <v>853</v>
      </c>
      <c r="B4069" s="924" t="s">
        <v>807</v>
      </c>
      <c r="C4069" s="924" t="s">
        <v>1199</v>
      </c>
      <c r="D4069" s="924" t="s">
        <v>855</v>
      </c>
      <c r="E4069" s="924" t="s">
        <v>856</v>
      </c>
      <c r="F4069" s="924" t="s">
        <v>1008</v>
      </c>
      <c r="G4069" s="924" t="s">
        <v>858</v>
      </c>
      <c r="H4069" s="924" t="s">
        <v>836</v>
      </c>
      <c r="I4069" s="924" t="s">
        <v>837</v>
      </c>
      <c r="J4069" s="924" t="s">
        <v>859</v>
      </c>
      <c r="K4069" s="924" t="s">
        <v>1009</v>
      </c>
      <c r="L4069" s="925">
        <v>113.515350341797</v>
      </c>
      <c r="M4069" s="925">
        <v>9.2477447509509104E-4</v>
      </c>
    </row>
    <row r="4070" spans="1:13" ht="11.25" customHeight="1" x14ac:dyDescent="0.2">
      <c r="A4070" s="924" t="s">
        <v>853</v>
      </c>
      <c r="B4070" s="924" t="s">
        <v>807</v>
      </c>
      <c r="C4070" s="924" t="s">
        <v>1199</v>
      </c>
      <c r="D4070" s="924" t="s">
        <v>855</v>
      </c>
      <c r="E4070" s="924" t="s">
        <v>856</v>
      </c>
      <c r="F4070" s="924" t="s">
        <v>1010</v>
      </c>
      <c r="G4070" s="924" t="s">
        <v>858</v>
      </c>
      <c r="H4070" s="924" t="s">
        <v>836</v>
      </c>
      <c r="I4070" s="924" t="s">
        <v>837</v>
      </c>
      <c r="J4070" s="924" t="s">
        <v>859</v>
      </c>
      <c r="K4070" s="924" t="s">
        <v>1011</v>
      </c>
      <c r="L4070" s="925">
        <v>1.48980165831745</v>
      </c>
      <c r="M4070" s="925">
        <v>6.8552163307700198E-5</v>
      </c>
    </row>
    <row r="4071" spans="1:13" ht="11.25" customHeight="1" x14ac:dyDescent="0.2">
      <c r="A4071" s="924" t="s">
        <v>853</v>
      </c>
      <c r="B4071" s="924" t="s">
        <v>807</v>
      </c>
      <c r="C4071" s="924" t="s">
        <v>1199</v>
      </c>
      <c r="D4071" s="924" t="s">
        <v>855</v>
      </c>
      <c r="E4071" s="924" t="s">
        <v>856</v>
      </c>
      <c r="F4071" s="924" t="s">
        <v>975</v>
      </c>
      <c r="G4071" s="924" t="s">
        <v>858</v>
      </c>
      <c r="H4071" s="924" t="s">
        <v>836</v>
      </c>
      <c r="I4071" s="924" t="s">
        <v>837</v>
      </c>
      <c r="J4071" s="924" t="s">
        <v>870</v>
      </c>
      <c r="K4071" s="924" t="s">
        <v>976</v>
      </c>
      <c r="L4071" s="925">
        <v>4462.3922023773202</v>
      </c>
      <c r="M4071" s="925">
        <v>6.6786183816020597E-2</v>
      </c>
    </row>
    <row r="4072" spans="1:13" ht="11.25" customHeight="1" x14ac:dyDescent="0.2">
      <c r="A4072" s="924" t="s">
        <v>853</v>
      </c>
      <c r="B4072" s="924" t="s">
        <v>807</v>
      </c>
      <c r="C4072" s="924" t="s">
        <v>1199</v>
      </c>
      <c r="D4072" s="924" t="s">
        <v>855</v>
      </c>
      <c r="E4072" s="924" t="s">
        <v>856</v>
      </c>
      <c r="F4072" s="924" t="s">
        <v>1013</v>
      </c>
      <c r="G4072" s="924" t="s">
        <v>858</v>
      </c>
      <c r="H4072" s="924" t="s">
        <v>836</v>
      </c>
      <c r="I4072" s="924" t="s">
        <v>837</v>
      </c>
      <c r="J4072" s="924" t="s">
        <v>863</v>
      </c>
      <c r="K4072" s="924" t="s">
        <v>931</v>
      </c>
      <c r="L4072" s="925">
        <v>48.438164174556697</v>
      </c>
      <c r="M4072" s="925">
        <v>1.77058929105556E-3</v>
      </c>
    </row>
    <row r="4073" spans="1:13" ht="11.25" customHeight="1" x14ac:dyDescent="0.2">
      <c r="A4073" s="924" t="s">
        <v>853</v>
      </c>
      <c r="B4073" s="924" t="s">
        <v>807</v>
      </c>
      <c r="C4073" s="924" t="s">
        <v>1199</v>
      </c>
      <c r="D4073" s="924" t="s">
        <v>855</v>
      </c>
      <c r="E4073" s="924" t="s">
        <v>856</v>
      </c>
      <c r="F4073" s="924" t="s">
        <v>886</v>
      </c>
      <c r="G4073" s="924" t="s">
        <v>858</v>
      </c>
      <c r="H4073" s="924" t="s">
        <v>836</v>
      </c>
      <c r="I4073" s="924" t="s">
        <v>837</v>
      </c>
      <c r="J4073" s="924" t="s">
        <v>859</v>
      </c>
      <c r="K4073" s="924" t="s">
        <v>887</v>
      </c>
      <c r="L4073" s="925">
        <v>264.28952908515902</v>
      </c>
      <c r="M4073" s="925">
        <v>1.9559935416282302E-3</v>
      </c>
    </row>
    <row r="4074" spans="1:13" ht="11.25" customHeight="1" x14ac:dyDescent="0.2">
      <c r="A4074" s="924" t="s">
        <v>853</v>
      </c>
      <c r="B4074" s="924" t="s">
        <v>807</v>
      </c>
      <c r="C4074" s="924" t="s">
        <v>1199</v>
      </c>
      <c r="D4074" s="924" t="s">
        <v>855</v>
      </c>
      <c r="E4074" s="924" t="s">
        <v>856</v>
      </c>
      <c r="F4074" s="924" t="s">
        <v>1038</v>
      </c>
      <c r="G4074" s="924" t="s">
        <v>858</v>
      </c>
      <c r="H4074" s="924" t="s">
        <v>836</v>
      </c>
      <c r="I4074" s="924" t="s">
        <v>837</v>
      </c>
      <c r="J4074" s="924" t="s">
        <v>863</v>
      </c>
      <c r="K4074" s="924" t="s">
        <v>935</v>
      </c>
      <c r="L4074" s="925">
        <v>306.52817392349198</v>
      </c>
      <c r="M4074" s="925">
        <v>3.3175119369275299E-3</v>
      </c>
    </row>
    <row r="4075" spans="1:13" ht="11.25" customHeight="1" x14ac:dyDescent="0.2">
      <c r="A4075" s="924" t="s">
        <v>853</v>
      </c>
      <c r="B4075" s="924" t="s">
        <v>807</v>
      </c>
      <c r="C4075" s="924" t="s">
        <v>1199</v>
      </c>
      <c r="D4075" s="924" t="s">
        <v>855</v>
      </c>
      <c r="E4075" s="924" t="s">
        <v>856</v>
      </c>
      <c r="F4075" s="924" t="s">
        <v>1017</v>
      </c>
      <c r="G4075" s="924" t="s">
        <v>858</v>
      </c>
      <c r="H4075" s="924" t="s">
        <v>836</v>
      </c>
      <c r="I4075" s="924" t="s">
        <v>837</v>
      </c>
      <c r="J4075" s="924" t="s">
        <v>863</v>
      </c>
      <c r="K4075" s="924" t="s">
        <v>864</v>
      </c>
      <c r="L4075" s="925">
        <v>310.86393117904697</v>
      </c>
      <c r="M4075" s="925">
        <v>4.2159327520039404E-3</v>
      </c>
    </row>
    <row r="4076" spans="1:13" ht="11.25" customHeight="1" x14ac:dyDescent="0.2">
      <c r="A4076" s="924" t="s">
        <v>853</v>
      </c>
      <c r="B4076" s="924" t="s">
        <v>807</v>
      </c>
      <c r="C4076" s="924" t="s">
        <v>1199</v>
      </c>
      <c r="D4076" s="924" t="s">
        <v>855</v>
      </c>
      <c r="E4076" s="924" t="s">
        <v>856</v>
      </c>
      <c r="F4076" s="924" t="s">
        <v>1001</v>
      </c>
      <c r="G4076" s="924" t="s">
        <v>858</v>
      </c>
      <c r="H4076" s="924" t="s">
        <v>836</v>
      </c>
      <c r="I4076" s="924" t="s">
        <v>837</v>
      </c>
      <c r="J4076" s="924" t="s">
        <v>863</v>
      </c>
      <c r="K4076" s="924" t="s">
        <v>915</v>
      </c>
      <c r="L4076" s="925">
        <v>11.9979845285416</v>
      </c>
      <c r="M4076" s="925">
        <v>3.6658948995693701E-4</v>
      </c>
    </row>
    <row r="4077" spans="1:13" ht="11.25" customHeight="1" x14ac:dyDescent="0.2">
      <c r="A4077" s="924" t="s">
        <v>853</v>
      </c>
      <c r="B4077" s="924" t="s">
        <v>807</v>
      </c>
      <c r="C4077" s="924" t="s">
        <v>1199</v>
      </c>
      <c r="D4077" s="924" t="s">
        <v>855</v>
      </c>
      <c r="E4077" s="924" t="s">
        <v>856</v>
      </c>
      <c r="F4077" s="924" t="s">
        <v>1020</v>
      </c>
      <c r="G4077" s="924" t="s">
        <v>858</v>
      </c>
      <c r="H4077" s="924" t="s">
        <v>836</v>
      </c>
      <c r="I4077" s="924" t="s">
        <v>837</v>
      </c>
      <c r="J4077" s="924" t="s">
        <v>863</v>
      </c>
      <c r="K4077" s="924" t="s">
        <v>866</v>
      </c>
      <c r="L4077" s="925">
        <v>692.054931640625</v>
      </c>
      <c r="M4077" s="925">
        <v>1.6797952574620498E-2</v>
      </c>
    </row>
    <row r="4078" spans="1:13" ht="11.25" customHeight="1" x14ac:dyDescent="0.2">
      <c r="A4078" s="924" t="s">
        <v>853</v>
      </c>
      <c r="B4078" s="924" t="s">
        <v>807</v>
      </c>
      <c r="C4078" s="924" t="s">
        <v>1199</v>
      </c>
      <c r="D4078" s="924" t="s">
        <v>855</v>
      </c>
      <c r="E4078" s="924" t="s">
        <v>856</v>
      </c>
      <c r="F4078" s="924" t="s">
        <v>1021</v>
      </c>
      <c r="G4078" s="924" t="s">
        <v>858</v>
      </c>
      <c r="H4078" s="924" t="s">
        <v>836</v>
      </c>
      <c r="I4078" s="924" t="s">
        <v>837</v>
      </c>
      <c r="J4078" s="924" t="s">
        <v>863</v>
      </c>
      <c r="K4078" s="924" t="s">
        <v>868</v>
      </c>
      <c r="L4078" s="925">
        <v>442.26593685150101</v>
      </c>
      <c r="M4078" s="925">
        <v>2.3772577850707001E-3</v>
      </c>
    </row>
    <row r="4079" spans="1:13" ht="11.25" customHeight="1" x14ac:dyDescent="0.2">
      <c r="A4079" s="924" t="s">
        <v>853</v>
      </c>
      <c r="B4079" s="924" t="s">
        <v>807</v>
      </c>
      <c r="C4079" s="924" t="s">
        <v>1199</v>
      </c>
      <c r="D4079" s="924" t="s">
        <v>855</v>
      </c>
      <c r="E4079" s="924" t="s">
        <v>856</v>
      </c>
      <c r="F4079" s="924" t="s">
        <v>1022</v>
      </c>
      <c r="G4079" s="924" t="s">
        <v>858</v>
      </c>
      <c r="H4079" s="924" t="s">
        <v>836</v>
      </c>
      <c r="I4079" s="924" t="s">
        <v>837</v>
      </c>
      <c r="J4079" s="924" t="s">
        <v>940</v>
      </c>
      <c r="K4079" s="924" t="s">
        <v>1023</v>
      </c>
      <c r="L4079" s="925">
        <v>6.0981139627983801E-2</v>
      </c>
      <c r="M4079" s="925">
        <v>2.7392151317334699E-6</v>
      </c>
    </row>
    <row r="4080" spans="1:13" ht="11.25" customHeight="1" x14ac:dyDescent="0.2">
      <c r="A4080" s="924" t="s">
        <v>853</v>
      </c>
      <c r="B4080" s="924" t="s">
        <v>807</v>
      </c>
      <c r="C4080" s="924" t="s">
        <v>1199</v>
      </c>
      <c r="D4080" s="924" t="s">
        <v>855</v>
      </c>
      <c r="E4080" s="924" t="s">
        <v>856</v>
      </c>
      <c r="F4080" s="924" t="s">
        <v>1026</v>
      </c>
      <c r="G4080" s="924" t="s">
        <v>858</v>
      </c>
      <c r="H4080" s="924" t="s">
        <v>836</v>
      </c>
      <c r="I4080" s="924" t="s">
        <v>837</v>
      </c>
      <c r="J4080" s="924" t="s">
        <v>940</v>
      </c>
      <c r="K4080" s="924" t="s">
        <v>1027</v>
      </c>
      <c r="L4080" s="925">
        <v>427.42675805091898</v>
      </c>
      <c r="M4080" s="925">
        <v>1.8040044091605999E-2</v>
      </c>
    </row>
    <row r="4081" spans="1:13" ht="11.25" customHeight="1" x14ac:dyDescent="0.2">
      <c r="A4081" s="924" t="s">
        <v>853</v>
      </c>
      <c r="B4081" s="924" t="s">
        <v>807</v>
      </c>
      <c r="C4081" s="924" t="s">
        <v>1199</v>
      </c>
      <c r="D4081" s="924" t="s">
        <v>855</v>
      </c>
      <c r="E4081" s="924" t="s">
        <v>856</v>
      </c>
      <c r="F4081" s="924" t="s">
        <v>1028</v>
      </c>
      <c r="G4081" s="924" t="s">
        <v>858</v>
      </c>
      <c r="H4081" s="924" t="s">
        <v>836</v>
      </c>
      <c r="I4081" s="924" t="s">
        <v>837</v>
      </c>
      <c r="J4081" s="924" t="s">
        <v>940</v>
      </c>
      <c r="K4081" s="924" t="s">
        <v>1029</v>
      </c>
      <c r="L4081" s="925">
        <v>88.220904588699298</v>
      </c>
      <c r="M4081" s="925">
        <v>4.7854658129793401E-3</v>
      </c>
    </row>
    <row r="4082" spans="1:13" ht="11.25" customHeight="1" x14ac:dyDescent="0.2">
      <c r="A4082" s="924" t="s">
        <v>853</v>
      </c>
      <c r="B4082" s="924" t="s">
        <v>807</v>
      </c>
      <c r="C4082" s="924" t="s">
        <v>1199</v>
      </c>
      <c r="D4082" s="924" t="s">
        <v>855</v>
      </c>
      <c r="E4082" s="924" t="s">
        <v>856</v>
      </c>
      <c r="F4082" s="924" t="s">
        <v>1030</v>
      </c>
      <c r="G4082" s="924" t="s">
        <v>858</v>
      </c>
      <c r="H4082" s="924" t="s">
        <v>836</v>
      </c>
      <c r="I4082" s="924" t="s">
        <v>837</v>
      </c>
      <c r="J4082" s="924" t="s">
        <v>940</v>
      </c>
      <c r="K4082" s="924" t="s">
        <v>941</v>
      </c>
      <c r="L4082" s="925">
        <v>582.67638278007496</v>
      </c>
      <c r="M4082" s="925">
        <v>1.0945322272618799E-2</v>
      </c>
    </row>
    <row r="4083" spans="1:13" ht="11.25" customHeight="1" x14ac:dyDescent="0.2">
      <c r="A4083" s="924" t="s">
        <v>853</v>
      </c>
      <c r="B4083" s="924" t="s">
        <v>807</v>
      </c>
      <c r="C4083" s="924" t="s">
        <v>1199</v>
      </c>
      <c r="D4083" s="924" t="s">
        <v>855</v>
      </c>
      <c r="E4083" s="924" t="s">
        <v>856</v>
      </c>
      <c r="F4083" s="924" t="s">
        <v>1031</v>
      </c>
      <c r="G4083" s="924" t="s">
        <v>858</v>
      </c>
      <c r="H4083" s="924" t="s">
        <v>836</v>
      </c>
      <c r="I4083" s="924" t="s">
        <v>837</v>
      </c>
      <c r="J4083" s="924" t="s">
        <v>940</v>
      </c>
      <c r="K4083" s="924" t="s">
        <v>1032</v>
      </c>
      <c r="L4083" s="925">
        <v>68.644291311502499</v>
      </c>
      <c r="M4083" s="925">
        <v>1.4322694864930001E-3</v>
      </c>
    </row>
    <row r="4084" spans="1:13" ht="11.25" customHeight="1" x14ac:dyDescent="0.2">
      <c r="A4084" s="924" t="s">
        <v>853</v>
      </c>
      <c r="B4084" s="924" t="s">
        <v>807</v>
      </c>
      <c r="C4084" s="924" t="s">
        <v>1199</v>
      </c>
      <c r="D4084" s="924" t="s">
        <v>855</v>
      </c>
      <c r="E4084" s="924" t="s">
        <v>856</v>
      </c>
      <c r="F4084" s="924" t="s">
        <v>1012</v>
      </c>
      <c r="G4084" s="924" t="s">
        <v>858</v>
      </c>
      <c r="H4084" s="924" t="s">
        <v>836</v>
      </c>
      <c r="I4084" s="924" t="s">
        <v>837</v>
      </c>
      <c r="J4084" s="924" t="s">
        <v>859</v>
      </c>
      <c r="K4084" s="924" t="s">
        <v>891</v>
      </c>
      <c r="L4084" s="925">
        <v>109.181548833847</v>
      </c>
      <c r="M4084" s="925">
        <v>1.44711923709906E-3</v>
      </c>
    </row>
    <row r="4085" spans="1:13" ht="11.25" customHeight="1" x14ac:dyDescent="0.2">
      <c r="A4085" s="924" t="s">
        <v>853</v>
      </c>
      <c r="B4085" s="924" t="s">
        <v>807</v>
      </c>
      <c r="C4085" s="924" t="s">
        <v>1199</v>
      </c>
      <c r="D4085" s="924" t="s">
        <v>855</v>
      </c>
      <c r="E4085" s="924" t="s">
        <v>856</v>
      </c>
      <c r="F4085" s="924" t="s">
        <v>1061</v>
      </c>
      <c r="G4085" s="924" t="s">
        <v>981</v>
      </c>
      <c r="H4085" s="924" t="s">
        <v>835</v>
      </c>
      <c r="I4085" s="924" t="s">
        <v>1040</v>
      </c>
      <c r="J4085" s="924" t="s">
        <v>859</v>
      </c>
      <c r="K4085" s="924" t="s">
        <v>918</v>
      </c>
      <c r="L4085" s="925">
        <v>1.4370791092515001</v>
      </c>
      <c r="M4085" s="925">
        <v>6.3182915607740099E-4</v>
      </c>
    </row>
    <row r="4086" spans="1:13" ht="11.25" customHeight="1" x14ac:dyDescent="0.2">
      <c r="A4086" s="924" t="s">
        <v>853</v>
      </c>
      <c r="B4086" s="924" t="s">
        <v>807</v>
      </c>
      <c r="C4086" s="924" t="s">
        <v>1199</v>
      </c>
      <c r="D4086" s="924" t="s">
        <v>855</v>
      </c>
      <c r="E4086" s="924" t="s">
        <v>856</v>
      </c>
      <c r="F4086" s="924" t="s">
        <v>1050</v>
      </c>
      <c r="G4086" s="924" t="s">
        <v>981</v>
      </c>
      <c r="H4086" s="924" t="s">
        <v>835</v>
      </c>
      <c r="I4086" s="924" t="s">
        <v>1040</v>
      </c>
      <c r="J4086" s="924" t="s">
        <v>859</v>
      </c>
      <c r="K4086" s="924" t="s">
        <v>913</v>
      </c>
      <c r="L4086" s="925">
        <v>5.9512338265776599</v>
      </c>
      <c r="M4086" s="925">
        <v>3.51685112272548E-3</v>
      </c>
    </row>
    <row r="4087" spans="1:13" ht="11.25" customHeight="1" x14ac:dyDescent="0.2">
      <c r="A4087" s="924" t="s">
        <v>853</v>
      </c>
      <c r="B4087" s="924" t="s">
        <v>807</v>
      </c>
      <c r="C4087" s="924" t="s">
        <v>1199</v>
      </c>
      <c r="D4087" s="924" t="s">
        <v>855</v>
      </c>
      <c r="E4087" s="924" t="s">
        <v>856</v>
      </c>
      <c r="F4087" s="924" t="s">
        <v>1051</v>
      </c>
      <c r="G4087" s="924" t="s">
        <v>981</v>
      </c>
      <c r="H4087" s="924" t="s">
        <v>835</v>
      </c>
      <c r="I4087" s="924" t="s">
        <v>1040</v>
      </c>
      <c r="J4087" s="924" t="s">
        <v>859</v>
      </c>
      <c r="K4087" s="924" t="s">
        <v>889</v>
      </c>
      <c r="L4087" s="925">
        <v>4.4534207845572403E-2</v>
      </c>
      <c r="M4087" s="925">
        <v>2.8888385173786399E-5</v>
      </c>
    </row>
    <row r="4088" spans="1:13" ht="11.25" customHeight="1" x14ac:dyDescent="0.2">
      <c r="A4088" s="924" t="s">
        <v>853</v>
      </c>
      <c r="B4088" s="924" t="s">
        <v>807</v>
      </c>
      <c r="C4088" s="924" t="s">
        <v>1199</v>
      </c>
      <c r="D4088" s="924" t="s">
        <v>855</v>
      </c>
      <c r="E4088" s="924" t="s">
        <v>856</v>
      </c>
      <c r="F4088" s="924" t="s">
        <v>1052</v>
      </c>
      <c r="G4088" s="924" t="s">
        <v>981</v>
      </c>
      <c r="H4088" s="924" t="s">
        <v>835</v>
      </c>
      <c r="I4088" s="924" t="s">
        <v>1040</v>
      </c>
      <c r="J4088" s="924" t="s">
        <v>859</v>
      </c>
      <c r="K4088" s="924" t="s">
        <v>860</v>
      </c>
      <c r="L4088" s="925">
        <v>11.2093573063612</v>
      </c>
      <c r="M4088" s="925">
        <v>7.8914196274126897E-3</v>
      </c>
    </row>
    <row r="4089" spans="1:13" ht="11.25" customHeight="1" x14ac:dyDescent="0.2">
      <c r="A4089" s="924" t="s">
        <v>853</v>
      </c>
      <c r="B4089" s="924" t="s">
        <v>807</v>
      </c>
      <c r="C4089" s="924" t="s">
        <v>1199</v>
      </c>
      <c r="D4089" s="924" t="s">
        <v>855</v>
      </c>
      <c r="E4089" s="924" t="s">
        <v>856</v>
      </c>
      <c r="F4089" s="924" t="s">
        <v>1053</v>
      </c>
      <c r="G4089" s="924" t="s">
        <v>981</v>
      </c>
      <c r="H4089" s="924" t="s">
        <v>835</v>
      </c>
      <c r="I4089" s="924" t="s">
        <v>1040</v>
      </c>
      <c r="J4089" s="924" t="s">
        <v>859</v>
      </c>
      <c r="K4089" s="924" t="s">
        <v>893</v>
      </c>
      <c r="L4089" s="925">
        <v>10.551833078265201</v>
      </c>
      <c r="M4089" s="925">
        <v>6.4079923613462597E-3</v>
      </c>
    </row>
    <row r="4090" spans="1:13" ht="11.25" customHeight="1" x14ac:dyDescent="0.2">
      <c r="A4090" s="924" t="s">
        <v>853</v>
      </c>
      <c r="B4090" s="924" t="s">
        <v>807</v>
      </c>
      <c r="C4090" s="924" t="s">
        <v>1199</v>
      </c>
      <c r="D4090" s="924" t="s">
        <v>855</v>
      </c>
      <c r="E4090" s="924" t="s">
        <v>856</v>
      </c>
      <c r="F4090" s="924" t="s">
        <v>1068</v>
      </c>
      <c r="G4090" s="924" t="s">
        <v>981</v>
      </c>
      <c r="H4090" s="924" t="s">
        <v>835</v>
      </c>
      <c r="I4090" s="924" t="s">
        <v>1040</v>
      </c>
      <c r="J4090" s="924" t="s">
        <v>859</v>
      </c>
      <c r="K4090" s="924" t="s">
        <v>897</v>
      </c>
      <c r="L4090" s="925">
        <v>21.038252115249598</v>
      </c>
      <c r="M4090" s="925">
        <v>1.4018606387253401E-2</v>
      </c>
    </row>
    <row r="4091" spans="1:13" ht="11.25" customHeight="1" x14ac:dyDescent="0.2">
      <c r="A4091" s="924" t="s">
        <v>853</v>
      </c>
      <c r="B4091" s="924" t="s">
        <v>807</v>
      </c>
      <c r="C4091" s="924" t="s">
        <v>1199</v>
      </c>
      <c r="D4091" s="924" t="s">
        <v>855</v>
      </c>
      <c r="E4091" s="924" t="s">
        <v>856</v>
      </c>
      <c r="F4091" s="924" t="s">
        <v>1055</v>
      </c>
      <c r="G4091" s="924" t="s">
        <v>981</v>
      </c>
      <c r="H4091" s="924" t="s">
        <v>835</v>
      </c>
      <c r="I4091" s="924" t="s">
        <v>1040</v>
      </c>
      <c r="J4091" s="924" t="s">
        <v>859</v>
      </c>
      <c r="K4091" s="924" t="s">
        <v>899</v>
      </c>
      <c r="L4091" s="925">
        <v>8.8674037307500804</v>
      </c>
      <c r="M4091" s="925">
        <v>6.22972692656987E-3</v>
      </c>
    </row>
    <row r="4092" spans="1:13" ht="11.25" customHeight="1" x14ac:dyDescent="0.2">
      <c r="A4092" s="924" t="s">
        <v>853</v>
      </c>
      <c r="B4092" s="924" t="s">
        <v>807</v>
      </c>
      <c r="C4092" s="924" t="s">
        <v>1199</v>
      </c>
      <c r="D4092" s="924" t="s">
        <v>855</v>
      </c>
      <c r="E4092" s="924" t="s">
        <v>856</v>
      </c>
      <c r="F4092" s="924" t="s">
        <v>1039</v>
      </c>
      <c r="G4092" s="924" t="s">
        <v>981</v>
      </c>
      <c r="H4092" s="924" t="s">
        <v>835</v>
      </c>
      <c r="I4092" s="924" t="s">
        <v>1040</v>
      </c>
      <c r="J4092" s="924" t="s">
        <v>859</v>
      </c>
      <c r="K4092" s="924" t="s">
        <v>901</v>
      </c>
      <c r="L4092" s="925">
        <v>0.46225306112319198</v>
      </c>
      <c r="M4092" s="925">
        <v>3.40364206294907E-4</v>
      </c>
    </row>
    <row r="4093" spans="1:13" ht="11.25" customHeight="1" x14ac:dyDescent="0.2">
      <c r="A4093" s="924" t="s">
        <v>853</v>
      </c>
      <c r="B4093" s="924" t="s">
        <v>807</v>
      </c>
      <c r="C4093" s="924" t="s">
        <v>1199</v>
      </c>
      <c r="D4093" s="924" t="s">
        <v>855</v>
      </c>
      <c r="E4093" s="924" t="s">
        <v>856</v>
      </c>
      <c r="F4093" s="924" t="s">
        <v>1057</v>
      </c>
      <c r="G4093" s="924" t="s">
        <v>981</v>
      </c>
      <c r="H4093" s="924" t="s">
        <v>835</v>
      </c>
      <c r="I4093" s="924" t="s">
        <v>1040</v>
      </c>
      <c r="J4093" s="924" t="s">
        <v>859</v>
      </c>
      <c r="K4093" s="924" t="s">
        <v>903</v>
      </c>
      <c r="L4093" s="925">
        <v>18.506379410624501</v>
      </c>
      <c r="M4093" s="925">
        <v>1.13923291659717E-2</v>
      </c>
    </row>
    <row r="4094" spans="1:13" ht="11.25" customHeight="1" x14ac:dyDescent="0.2">
      <c r="A4094" s="924" t="s">
        <v>853</v>
      </c>
      <c r="B4094" s="924" t="s">
        <v>807</v>
      </c>
      <c r="C4094" s="924" t="s">
        <v>1199</v>
      </c>
      <c r="D4094" s="924" t="s">
        <v>855</v>
      </c>
      <c r="E4094" s="924" t="s">
        <v>856</v>
      </c>
      <c r="F4094" s="924" t="s">
        <v>1058</v>
      </c>
      <c r="G4094" s="924" t="s">
        <v>981</v>
      </c>
      <c r="H4094" s="924" t="s">
        <v>835</v>
      </c>
      <c r="I4094" s="924" t="s">
        <v>1040</v>
      </c>
      <c r="J4094" s="924" t="s">
        <v>859</v>
      </c>
      <c r="K4094" s="924" t="s">
        <v>905</v>
      </c>
      <c r="L4094" s="925">
        <v>6.4899239316582698</v>
      </c>
      <c r="M4094" s="925">
        <v>5.1265592064737601E-3</v>
      </c>
    </row>
    <row r="4095" spans="1:13" ht="11.25" customHeight="1" x14ac:dyDescent="0.2">
      <c r="A4095" s="924" t="s">
        <v>853</v>
      </c>
      <c r="B4095" s="924" t="s">
        <v>807</v>
      </c>
      <c r="C4095" s="924" t="s">
        <v>1199</v>
      </c>
      <c r="D4095" s="924" t="s">
        <v>855</v>
      </c>
      <c r="E4095" s="924" t="s">
        <v>856</v>
      </c>
      <c r="F4095" s="924" t="s">
        <v>1135</v>
      </c>
      <c r="G4095" s="924" t="s">
        <v>981</v>
      </c>
      <c r="H4095" s="924" t="s">
        <v>835</v>
      </c>
      <c r="I4095" s="924" t="s">
        <v>1040</v>
      </c>
      <c r="J4095" s="924" t="s">
        <v>863</v>
      </c>
      <c r="K4095" s="924" t="s">
        <v>935</v>
      </c>
      <c r="L4095" s="925">
        <v>44.410375177860303</v>
      </c>
      <c r="M4095" s="925">
        <v>1.59771216422087E-2</v>
      </c>
    </row>
    <row r="4096" spans="1:13" ht="11.25" customHeight="1" x14ac:dyDescent="0.2">
      <c r="A4096" s="924" t="s">
        <v>853</v>
      </c>
      <c r="B4096" s="924" t="s">
        <v>807</v>
      </c>
      <c r="C4096" s="924" t="s">
        <v>1199</v>
      </c>
      <c r="D4096" s="924" t="s">
        <v>855</v>
      </c>
      <c r="E4096" s="924" t="s">
        <v>856</v>
      </c>
      <c r="F4096" s="924" t="s">
        <v>1060</v>
      </c>
      <c r="G4096" s="924" t="s">
        <v>981</v>
      </c>
      <c r="H4096" s="924" t="s">
        <v>835</v>
      </c>
      <c r="I4096" s="924" t="s">
        <v>1040</v>
      </c>
      <c r="J4096" s="924" t="s">
        <v>859</v>
      </c>
      <c r="K4096" s="924" t="s">
        <v>973</v>
      </c>
      <c r="L4096" s="925">
        <v>18.5518335998058</v>
      </c>
      <c r="M4096" s="925">
        <v>1.2595783698998299E-2</v>
      </c>
    </row>
    <row r="4097" spans="1:13" ht="11.25" customHeight="1" x14ac:dyDescent="0.2">
      <c r="A4097" s="924" t="s">
        <v>853</v>
      </c>
      <c r="B4097" s="924" t="s">
        <v>807</v>
      </c>
      <c r="C4097" s="924" t="s">
        <v>1199</v>
      </c>
      <c r="D4097" s="924" t="s">
        <v>855</v>
      </c>
      <c r="E4097" s="924" t="s">
        <v>856</v>
      </c>
      <c r="F4097" s="924" t="s">
        <v>1054</v>
      </c>
      <c r="G4097" s="924" t="s">
        <v>981</v>
      </c>
      <c r="H4097" s="924" t="s">
        <v>835</v>
      </c>
      <c r="I4097" s="924" t="s">
        <v>998</v>
      </c>
      <c r="J4097" s="924" t="s">
        <v>875</v>
      </c>
      <c r="K4097" s="924" t="s">
        <v>880</v>
      </c>
      <c r="L4097" s="925">
        <v>7.14951106056105E-3</v>
      </c>
      <c r="M4097" s="925">
        <v>1.5974904485460701E-5</v>
      </c>
    </row>
    <row r="4098" spans="1:13" ht="11.25" customHeight="1" x14ac:dyDescent="0.2">
      <c r="A4098" s="924" t="s">
        <v>853</v>
      </c>
      <c r="B4098" s="924" t="s">
        <v>807</v>
      </c>
      <c r="C4098" s="924" t="s">
        <v>1199</v>
      </c>
      <c r="D4098" s="924" t="s">
        <v>855</v>
      </c>
      <c r="E4098" s="924" t="s">
        <v>856</v>
      </c>
      <c r="F4098" s="924" t="s">
        <v>1062</v>
      </c>
      <c r="G4098" s="924" t="s">
        <v>981</v>
      </c>
      <c r="H4098" s="924" t="s">
        <v>835</v>
      </c>
      <c r="I4098" s="924" t="s">
        <v>1040</v>
      </c>
      <c r="J4098" s="924" t="s">
        <v>859</v>
      </c>
      <c r="K4098" s="924" t="s">
        <v>920</v>
      </c>
      <c r="L4098" s="925">
        <v>2.5038646981120101</v>
      </c>
      <c r="M4098" s="925">
        <v>1.6917477857845099E-3</v>
      </c>
    </row>
    <row r="4099" spans="1:13" ht="11.25" customHeight="1" x14ac:dyDescent="0.2">
      <c r="A4099" s="924" t="s">
        <v>853</v>
      </c>
      <c r="B4099" s="924" t="s">
        <v>807</v>
      </c>
      <c r="C4099" s="924" t="s">
        <v>1199</v>
      </c>
      <c r="D4099" s="924" t="s">
        <v>855</v>
      </c>
      <c r="E4099" s="924" t="s">
        <v>856</v>
      </c>
      <c r="F4099" s="924" t="s">
        <v>1063</v>
      </c>
      <c r="G4099" s="924" t="s">
        <v>981</v>
      </c>
      <c r="H4099" s="924" t="s">
        <v>835</v>
      </c>
      <c r="I4099" s="924" t="s">
        <v>1040</v>
      </c>
      <c r="J4099" s="924" t="s">
        <v>859</v>
      </c>
      <c r="K4099" s="924" t="s">
        <v>922</v>
      </c>
      <c r="L4099" s="925">
        <v>2.2004539556801301</v>
      </c>
      <c r="M4099" s="925">
        <v>3.9732407077508502E-4</v>
      </c>
    </row>
    <row r="4100" spans="1:13" ht="11.25" customHeight="1" x14ac:dyDescent="0.2">
      <c r="A4100" s="924" t="s">
        <v>853</v>
      </c>
      <c r="B4100" s="924" t="s">
        <v>807</v>
      </c>
      <c r="C4100" s="924" t="s">
        <v>1199</v>
      </c>
      <c r="D4100" s="924" t="s">
        <v>855</v>
      </c>
      <c r="E4100" s="924" t="s">
        <v>856</v>
      </c>
      <c r="F4100" s="924" t="s">
        <v>1064</v>
      </c>
      <c r="G4100" s="924" t="s">
        <v>981</v>
      </c>
      <c r="H4100" s="924" t="s">
        <v>835</v>
      </c>
      <c r="I4100" s="924" t="s">
        <v>1040</v>
      </c>
      <c r="J4100" s="924" t="s">
        <v>859</v>
      </c>
      <c r="K4100" s="924" t="s">
        <v>924</v>
      </c>
      <c r="L4100" s="925">
        <v>5.2999213784933099</v>
      </c>
      <c r="M4100" s="925">
        <v>3.9539941235489101E-4</v>
      </c>
    </row>
    <row r="4101" spans="1:13" ht="11.25" customHeight="1" x14ac:dyDescent="0.2">
      <c r="A4101" s="924" t="s">
        <v>853</v>
      </c>
      <c r="B4101" s="924" t="s">
        <v>807</v>
      </c>
      <c r="C4101" s="924" t="s">
        <v>1199</v>
      </c>
      <c r="D4101" s="924" t="s">
        <v>855</v>
      </c>
      <c r="E4101" s="924" t="s">
        <v>856</v>
      </c>
      <c r="F4101" s="924" t="s">
        <v>1065</v>
      </c>
      <c r="G4101" s="924" t="s">
        <v>981</v>
      </c>
      <c r="H4101" s="924" t="s">
        <v>835</v>
      </c>
      <c r="I4101" s="924" t="s">
        <v>1040</v>
      </c>
      <c r="J4101" s="924" t="s">
        <v>859</v>
      </c>
      <c r="K4101" s="924" t="s">
        <v>926</v>
      </c>
      <c r="L4101" s="925">
        <v>12.6959400475025</v>
      </c>
      <c r="M4101" s="925">
        <v>8.4155509248375893E-3</v>
      </c>
    </row>
    <row r="4102" spans="1:13" ht="11.25" customHeight="1" x14ac:dyDescent="0.2">
      <c r="A4102" s="924" t="s">
        <v>853</v>
      </c>
      <c r="B4102" s="924" t="s">
        <v>807</v>
      </c>
      <c r="C4102" s="924" t="s">
        <v>1199</v>
      </c>
      <c r="D4102" s="924" t="s">
        <v>855</v>
      </c>
      <c r="E4102" s="924" t="s">
        <v>856</v>
      </c>
      <c r="F4102" s="924" t="s">
        <v>1066</v>
      </c>
      <c r="G4102" s="924" t="s">
        <v>981</v>
      </c>
      <c r="H4102" s="924" t="s">
        <v>835</v>
      </c>
      <c r="I4102" s="924" t="s">
        <v>1040</v>
      </c>
      <c r="J4102" s="924" t="s">
        <v>859</v>
      </c>
      <c r="K4102" s="924" t="s">
        <v>928</v>
      </c>
      <c r="L4102" s="925">
        <v>8.6180410236120206</v>
      </c>
      <c r="M4102" s="925">
        <v>4.3496846656125897E-3</v>
      </c>
    </row>
    <row r="4103" spans="1:13" ht="11.25" customHeight="1" x14ac:dyDescent="0.2">
      <c r="A4103" s="924" t="s">
        <v>853</v>
      </c>
      <c r="B4103" s="924" t="s">
        <v>807</v>
      </c>
      <c r="C4103" s="924" t="s">
        <v>1199</v>
      </c>
      <c r="D4103" s="924" t="s">
        <v>855</v>
      </c>
      <c r="E4103" s="924" t="s">
        <v>856</v>
      </c>
      <c r="F4103" s="924" t="s">
        <v>1067</v>
      </c>
      <c r="G4103" s="924" t="s">
        <v>981</v>
      </c>
      <c r="H4103" s="924" t="s">
        <v>835</v>
      </c>
      <c r="I4103" s="924" t="s">
        <v>1040</v>
      </c>
      <c r="J4103" s="924" t="s">
        <v>859</v>
      </c>
      <c r="K4103" s="924" t="s">
        <v>1011</v>
      </c>
      <c r="L4103" s="925">
        <v>2.8648125380277598</v>
      </c>
      <c r="M4103" s="925">
        <v>2.02850717977299E-3</v>
      </c>
    </row>
    <row r="4104" spans="1:13" ht="11.25" customHeight="1" x14ac:dyDescent="0.2">
      <c r="A4104" s="924" t="s">
        <v>853</v>
      </c>
      <c r="B4104" s="924" t="s">
        <v>807</v>
      </c>
      <c r="C4104" s="924" t="s">
        <v>1199</v>
      </c>
      <c r="D4104" s="924" t="s">
        <v>855</v>
      </c>
      <c r="E4104" s="924" t="s">
        <v>856</v>
      </c>
      <c r="F4104" s="924" t="s">
        <v>1041</v>
      </c>
      <c r="G4104" s="924" t="s">
        <v>981</v>
      </c>
      <c r="H4104" s="924" t="s">
        <v>835</v>
      </c>
      <c r="I4104" s="924" t="s">
        <v>1040</v>
      </c>
      <c r="J4104" s="924" t="s">
        <v>859</v>
      </c>
      <c r="K4104" s="924" t="s">
        <v>891</v>
      </c>
      <c r="L4104" s="925">
        <v>1.98076612874866</v>
      </c>
      <c r="M4104" s="925">
        <v>9.9058291584697101E-4</v>
      </c>
    </row>
    <row r="4105" spans="1:13" ht="11.25" customHeight="1" x14ac:dyDescent="0.2">
      <c r="A4105" s="924" t="s">
        <v>853</v>
      </c>
      <c r="B4105" s="924" t="s">
        <v>807</v>
      </c>
      <c r="C4105" s="924" t="s">
        <v>1199</v>
      </c>
      <c r="D4105" s="924" t="s">
        <v>855</v>
      </c>
      <c r="E4105" s="924" t="s">
        <v>856</v>
      </c>
      <c r="F4105" s="924" t="s">
        <v>1138</v>
      </c>
      <c r="G4105" s="924" t="s">
        <v>981</v>
      </c>
      <c r="H4105" s="924" t="s">
        <v>835</v>
      </c>
      <c r="I4105" s="924" t="s">
        <v>1040</v>
      </c>
      <c r="J4105" s="924" t="s">
        <v>863</v>
      </c>
      <c r="K4105" s="924" t="s">
        <v>931</v>
      </c>
      <c r="L4105" s="925">
        <v>53.758041024208097</v>
      </c>
      <c r="M4105" s="925">
        <v>2.0696970759672698E-2</v>
      </c>
    </row>
    <row r="4106" spans="1:13" ht="11.25" customHeight="1" x14ac:dyDescent="0.2">
      <c r="A4106" s="924" t="s">
        <v>853</v>
      </c>
      <c r="B4106" s="924" t="s">
        <v>807</v>
      </c>
      <c r="C4106" s="924" t="s">
        <v>1199</v>
      </c>
      <c r="D4106" s="924" t="s">
        <v>855</v>
      </c>
      <c r="E4106" s="924" t="s">
        <v>856</v>
      </c>
      <c r="F4106" s="924" t="s">
        <v>1134</v>
      </c>
      <c r="G4106" s="924" t="s">
        <v>981</v>
      </c>
      <c r="H4106" s="924" t="s">
        <v>835</v>
      </c>
      <c r="I4106" s="924" t="s">
        <v>1040</v>
      </c>
      <c r="J4106" s="924" t="s">
        <v>863</v>
      </c>
      <c r="K4106" s="924" t="s">
        <v>933</v>
      </c>
      <c r="L4106" s="925">
        <v>206.28599762916599</v>
      </c>
      <c r="M4106" s="925">
        <v>1.45649350452004E-2</v>
      </c>
    </row>
    <row r="4107" spans="1:13" ht="11.25" customHeight="1" x14ac:dyDescent="0.2">
      <c r="A4107" s="924" t="s">
        <v>853</v>
      </c>
      <c r="B4107" s="924" t="s">
        <v>807</v>
      </c>
      <c r="C4107" s="924" t="s">
        <v>1199</v>
      </c>
      <c r="D4107" s="924" t="s">
        <v>855</v>
      </c>
      <c r="E4107" s="924" t="s">
        <v>856</v>
      </c>
      <c r="F4107" s="924" t="s">
        <v>1059</v>
      </c>
      <c r="G4107" s="924" t="s">
        <v>981</v>
      </c>
      <c r="H4107" s="924" t="s">
        <v>835</v>
      </c>
      <c r="I4107" s="924" t="s">
        <v>1040</v>
      </c>
      <c r="J4107" s="924" t="s">
        <v>859</v>
      </c>
      <c r="K4107" s="924" t="s">
        <v>909</v>
      </c>
      <c r="L4107" s="925">
        <v>38.677346557378797</v>
      </c>
      <c r="M4107" s="925">
        <v>2.66765368869528E-2</v>
      </c>
    </row>
    <row r="4108" spans="1:13" ht="11.25" customHeight="1" x14ac:dyDescent="0.2">
      <c r="A4108" s="924" t="s">
        <v>853</v>
      </c>
      <c r="B4108" s="924" t="s">
        <v>807</v>
      </c>
      <c r="C4108" s="924" t="s">
        <v>1199</v>
      </c>
      <c r="D4108" s="924" t="s">
        <v>855</v>
      </c>
      <c r="E4108" s="924" t="s">
        <v>856</v>
      </c>
      <c r="F4108" s="924" t="s">
        <v>1069</v>
      </c>
      <c r="G4108" s="924" t="s">
        <v>981</v>
      </c>
      <c r="H4108" s="924" t="s">
        <v>835</v>
      </c>
      <c r="I4108" s="924" t="s">
        <v>998</v>
      </c>
      <c r="J4108" s="924" t="s">
        <v>940</v>
      </c>
      <c r="K4108" s="924" t="s">
        <v>1070</v>
      </c>
      <c r="L4108" s="925">
        <v>22.199781000614198</v>
      </c>
      <c r="M4108" s="925">
        <v>4.1218140439013999E-2</v>
      </c>
    </row>
    <row r="4109" spans="1:13" ht="11.25" customHeight="1" x14ac:dyDescent="0.2">
      <c r="A4109" s="924" t="s">
        <v>853</v>
      </c>
      <c r="B4109" s="924" t="s">
        <v>807</v>
      </c>
      <c r="C4109" s="924" t="s">
        <v>1199</v>
      </c>
      <c r="D4109" s="924" t="s">
        <v>855</v>
      </c>
      <c r="E4109" s="924" t="s">
        <v>856</v>
      </c>
      <c r="F4109" s="924" t="s">
        <v>921</v>
      </c>
      <c r="G4109" s="924" t="s">
        <v>911</v>
      </c>
      <c r="H4109" s="924" t="s">
        <v>665</v>
      </c>
      <c r="I4109" s="924" t="s">
        <v>706</v>
      </c>
      <c r="J4109" s="924" t="s">
        <v>859</v>
      </c>
      <c r="K4109" s="924" t="s">
        <v>922</v>
      </c>
      <c r="L4109" s="925">
        <v>1.70205430686474</v>
      </c>
      <c r="M4109" s="925">
        <v>2.2733516760808901E-4</v>
      </c>
    </row>
    <row r="4110" spans="1:13" ht="11.25" customHeight="1" x14ac:dyDescent="0.2">
      <c r="A4110" s="924" t="s">
        <v>853</v>
      </c>
      <c r="B4110" s="924" t="s">
        <v>807</v>
      </c>
      <c r="C4110" s="924" t="s">
        <v>1199</v>
      </c>
      <c r="D4110" s="924" t="s">
        <v>855</v>
      </c>
      <c r="E4110" s="924" t="s">
        <v>856</v>
      </c>
      <c r="F4110" s="924" t="s">
        <v>1143</v>
      </c>
      <c r="G4110" s="924" t="s">
        <v>981</v>
      </c>
      <c r="H4110" s="924" t="s">
        <v>835</v>
      </c>
      <c r="I4110" s="924" t="s">
        <v>1040</v>
      </c>
      <c r="J4110" s="924" t="s">
        <v>940</v>
      </c>
      <c r="K4110" s="924" t="s">
        <v>1084</v>
      </c>
      <c r="L4110" s="925">
        <v>22.143490135669701</v>
      </c>
      <c r="M4110" s="925">
        <v>1.6155392222572101E-2</v>
      </c>
    </row>
    <row r="4111" spans="1:13" ht="11.25" customHeight="1" x14ac:dyDescent="0.2">
      <c r="A4111" s="924" t="s">
        <v>853</v>
      </c>
      <c r="B4111" s="924" t="s">
        <v>807</v>
      </c>
      <c r="C4111" s="924" t="s">
        <v>1199</v>
      </c>
      <c r="D4111" s="924" t="s">
        <v>855</v>
      </c>
      <c r="E4111" s="924" t="s">
        <v>856</v>
      </c>
      <c r="F4111" s="924" t="s">
        <v>1075</v>
      </c>
      <c r="G4111" s="924" t="s">
        <v>981</v>
      </c>
      <c r="H4111" s="924" t="s">
        <v>835</v>
      </c>
      <c r="I4111" s="924" t="s">
        <v>998</v>
      </c>
      <c r="J4111" s="924" t="s">
        <v>859</v>
      </c>
      <c r="K4111" s="924" t="s">
        <v>889</v>
      </c>
      <c r="L4111" s="925">
        <v>6.7260957360267604</v>
      </c>
      <c r="M4111" s="925">
        <v>1.0885889903875101E-2</v>
      </c>
    </row>
    <row r="4112" spans="1:13" ht="11.25" customHeight="1" x14ac:dyDescent="0.2">
      <c r="A4112" s="924" t="s">
        <v>853</v>
      </c>
      <c r="B4112" s="924" t="s">
        <v>807</v>
      </c>
      <c r="C4112" s="924" t="s">
        <v>1199</v>
      </c>
      <c r="D4112" s="924" t="s">
        <v>855</v>
      </c>
      <c r="E4112" s="924" t="s">
        <v>856</v>
      </c>
      <c r="F4112" s="924" t="s">
        <v>1076</v>
      </c>
      <c r="G4112" s="924" t="s">
        <v>981</v>
      </c>
      <c r="H4112" s="924" t="s">
        <v>835</v>
      </c>
      <c r="I4112" s="924" t="s">
        <v>998</v>
      </c>
      <c r="J4112" s="924" t="s">
        <v>859</v>
      </c>
      <c r="K4112" s="924" t="s">
        <v>860</v>
      </c>
      <c r="L4112" s="925">
        <v>0.43603805219754599</v>
      </c>
      <c r="M4112" s="925">
        <v>9.0084676594415203E-4</v>
      </c>
    </row>
    <row r="4113" spans="1:13" ht="11.25" customHeight="1" x14ac:dyDescent="0.2">
      <c r="A4113" s="924" t="s">
        <v>853</v>
      </c>
      <c r="B4113" s="924" t="s">
        <v>807</v>
      </c>
      <c r="C4113" s="924" t="s">
        <v>1199</v>
      </c>
      <c r="D4113" s="924" t="s">
        <v>855</v>
      </c>
      <c r="E4113" s="924" t="s">
        <v>856</v>
      </c>
      <c r="F4113" s="924" t="s">
        <v>1077</v>
      </c>
      <c r="G4113" s="924" t="s">
        <v>981</v>
      </c>
      <c r="H4113" s="924" t="s">
        <v>835</v>
      </c>
      <c r="I4113" s="924" t="s">
        <v>998</v>
      </c>
      <c r="J4113" s="924" t="s">
        <v>859</v>
      </c>
      <c r="K4113" s="924" t="s">
        <v>897</v>
      </c>
      <c r="L4113" s="925">
        <v>0.52120627835392996</v>
      </c>
      <c r="M4113" s="925">
        <v>1.0914840386249099E-3</v>
      </c>
    </row>
    <row r="4114" spans="1:13" ht="11.25" customHeight="1" x14ac:dyDescent="0.2">
      <c r="A4114" s="924" t="s">
        <v>853</v>
      </c>
      <c r="B4114" s="924" t="s">
        <v>807</v>
      </c>
      <c r="C4114" s="924" t="s">
        <v>1199</v>
      </c>
      <c r="D4114" s="924" t="s">
        <v>855</v>
      </c>
      <c r="E4114" s="924" t="s">
        <v>856</v>
      </c>
      <c r="F4114" s="924" t="s">
        <v>1078</v>
      </c>
      <c r="G4114" s="924" t="s">
        <v>981</v>
      </c>
      <c r="H4114" s="924" t="s">
        <v>835</v>
      </c>
      <c r="I4114" s="924" t="s">
        <v>998</v>
      </c>
      <c r="J4114" s="924" t="s">
        <v>859</v>
      </c>
      <c r="K4114" s="924" t="s">
        <v>901</v>
      </c>
      <c r="L4114" s="925">
        <v>3.6115724178671402E-3</v>
      </c>
      <c r="M4114" s="925">
        <v>8.0697251974015705E-6</v>
      </c>
    </row>
    <row r="4115" spans="1:13" ht="11.25" customHeight="1" x14ac:dyDescent="0.2">
      <c r="A4115" s="924" t="s">
        <v>853</v>
      </c>
      <c r="B4115" s="924" t="s">
        <v>807</v>
      </c>
      <c r="C4115" s="924" t="s">
        <v>1199</v>
      </c>
      <c r="D4115" s="924" t="s">
        <v>855</v>
      </c>
      <c r="E4115" s="924" t="s">
        <v>856</v>
      </c>
      <c r="F4115" s="924" t="s">
        <v>1079</v>
      </c>
      <c r="G4115" s="924" t="s">
        <v>981</v>
      </c>
      <c r="H4115" s="924" t="s">
        <v>835</v>
      </c>
      <c r="I4115" s="924" t="s">
        <v>998</v>
      </c>
      <c r="J4115" s="924" t="s">
        <v>859</v>
      </c>
      <c r="K4115" s="924" t="s">
        <v>909</v>
      </c>
      <c r="L4115" s="925">
        <v>17.368450447916999</v>
      </c>
      <c r="M4115" s="925">
        <v>3.1104843772482099E-2</v>
      </c>
    </row>
    <row r="4116" spans="1:13" ht="11.25" customHeight="1" x14ac:dyDescent="0.2">
      <c r="A4116" s="924" t="s">
        <v>853</v>
      </c>
      <c r="B4116" s="924" t="s">
        <v>807</v>
      </c>
      <c r="C4116" s="924" t="s">
        <v>1199</v>
      </c>
      <c r="D4116" s="924" t="s">
        <v>855</v>
      </c>
      <c r="E4116" s="924" t="s">
        <v>856</v>
      </c>
      <c r="F4116" s="924" t="s">
        <v>1080</v>
      </c>
      <c r="G4116" s="924" t="s">
        <v>981</v>
      </c>
      <c r="H4116" s="924" t="s">
        <v>835</v>
      </c>
      <c r="I4116" s="924" t="s">
        <v>998</v>
      </c>
      <c r="J4116" s="924" t="s">
        <v>859</v>
      </c>
      <c r="K4116" s="924" t="s">
        <v>920</v>
      </c>
      <c r="L4116" s="925">
        <v>0.101784831960686</v>
      </c>
      <c r="M4116" s="925">
        <v>2.27428672360475E-4</v>
      </c>
    </row>
    <row r="4117" spans="1:13" ht="11.25" customHeight="1" x14ac:dyDescent="0.2">
      <c r="A4117" s="924" t="s">
        <v>853</v>
      </c>
      <c r="B4117" s="924" t="s">
        <v>807</v>
      </c>
      <c r="C4117" s="924" t="s">
        <v>1199</v>
      </c>
      <c r="D4117" s="924" t="s">
        <v>855</v>
      </c>
      <c r="E4117" s="924" t="s">
        <v>856</v>
      </c>
      <c r="F4117" s="924" t="s">
        <v>1081</v>
      </c>
      <c r="G4117" s="924" t="s">
        <v>981</v>
      </c>
      <c r="H4117" s="924" t="s">
        <v>835</v>
      </c>
      <c r="I4117" s="924" t="s">
        <v>998</v>
      </c>
      <c r="J4117" s="924" t="s">
        <v>863</v>
      </c>
      <c r="K4117" s="924" t="s">
        <v>935</v>
      </c>
      <c r="L4117" s="925">
        <v>0.49293561372905997</v>
      </c>
      <c r="M4117" s="925">
        <v>1.10141871755332E-3</v>
      </c>
    </row>
    <row r="4118" spans="1:13" ht="11.25" customHeight="1" x14ac:dyDescent="0.2">
      <c r="A4118" s="924" t="s">
        <v>853</v>
      </c>
      <c r="B4118" s="924" t="s">
        <v>807</v>
      </c>
      <c r="C4118" s="924" t="s">
        <v>1199</v>
      </c>
      <c r="D4118" s="924" t="s">
        <v>855</v>
      </c>
      <c r="E4118" s="924" t="s">
        <v>856</v>
      </c>
      <c r="F4118" s="924" t="s">
        <v>1047</v>
      </c>
      <c r="G4118" s="924" t="s">
        <v>981</v>
      </c>
      <c r="H4118" s="924" t="s">
        <v>835</v>
      </c>
      <c r="I4118" s="924" t="s">
        <v>1040</v>
      </c>
      <c r="J4118" s="924" t="s">
        <v>884</v>
      </c>
      <c r="K4118" s="924" t="s">
        <v>1048</v>
      </c>
      <c r="L4118" s="925">
        <v>93.241555929184003</v>
      </c>
      <c r="M4118" s="925">
        <v>6.9981215638108593E-2</v>
      </c>
    </row>
    <row r="4119" spans="1:13" ht="11.25" customHeight="1" x14ac:dyDescent="0.2">
      <c r="A4119" s="924" t="s">
        <v>853</v>
      </c>
      <c r="B4119" s="924" t="s">
        <v>807</v>
      </c>
      <c r="C4119" s="924" t="s">
        <v>1199</v>
      </c>
      <c r="D4119" s="924" t="s">
        <v>855</v>
      </c>
      <c r="E4119" s="924" t="s">
        <v>856</v>
      </c>
      <c r="F4119" s="924" t="s">
        <v>1083</v>
      </c>
      <c r="G4119" s="924" t="s">
        <v>981</v>
      </c>
      <c r="H4119" s="924" t="s">
        <v>835</v>
      </c>
      <c r="I4119" s="924" t="s">
        <v>998</v>
      </c>
      <c r="J4119" s="924" t="s">
        <v>940</v>
      </c>
      <c r="K4119" s="924" t="s">
        <v>1084</v>
      </c>
      <c r="L4119" s="925">
        <v>1.51846627239138</v>
      </c>
      <c r="M4119" s="925">
        <v>2.7741356316255401E-3</v>
      </c>
    </row>
    <row r="4120" spans="1:13" ht="11.25" customHeight="1" x14ac:dyDescent="0.2">
      <c r="A4120" s="924" t="s">
        <v>853</v>
      </c>
      <c r="B4120" s="924" t="s">
        <v>807</v>
      </c>
      <c r="C4120" s="924" t="s">
        <v>1199</v>
      </c>
      <c r="D4120" s="924" t="s">
        <v>855</v>
      </c>
      <c r="E4120" s="924" t="s">
        <v>856</v>
      </c>
      <c r="F4120" s="924" t="s">
        <v>1042</v>
      </c>
      <c r="G4120" s="924" t="s">
        <v>981</v>
      </c>
      <c r="H4120" s="924" t="s">
        <v>835</v>
      </c>
      <c r="I4120" s="924" t="s">
        <v>998</v>
      </c>
      <c r="J4120" s="924" t="s">
        <v>956</v>
      </c>
      <c r="K4120" s="924" t="s">
        <v>1043</v>
      </c>
      <c r="L4120" s="925">
        <v>4.9385155290365201</v>
      </c>
      <c r="M4120" s="925">
        <v>8.5540873042191396E-3</v>
      </c>
    </row>
    <row r="4121" spans="1:13" ht="11.25" customHeight="1" x14ac:dyDescent="0.2">
      <c r="A4121" s="924" t="s">
        <v>853</v>
      </c>
      <c r="B4121" s="924" t="s">
        <v>807</v>
      </c>
      <c r="C4121" s="924" t="s">
        <v>1199</v>
      </c>
      <c r="D4121" s="924" t="s">
        <v>855</v>
      </c>
      <c r="E4121" s="924" t="s">
        <v>856</v>
      </c>
      <c r="F4121" s="924" t="s">
        <v>1086</v>
      </c>
      <c r="G4121" s="924" t="s">
        <v>981</v>
      </c>
      <c r="H4121" s="924" t="s">
        <v>835</v>
      </c>
      <c r="I4121" s="924" t="s">
        <v>998</v>
      </c>
      <c r="J4121" s="924" t="s">
        <v>940</v>
      </c>
      <c r="K4121" s="924" t="s">
        <v>1087</v>
      </c>
      <c r="L4121" s="925">
        <v>20.3206394314766</v>
      </c>
      <c r="M4121" s="925">
        <v>3.9123987196944703E-2</v>
      </c>
    </row>
    <row r="4122" spans="1:13" ht="11.25" customHeight="1" x14ac:dyDescent="0.2">
      <c r="A4122" s="924" t="s">
        <v>853</v>
      </c>
      <c r="B4122" s="924" t="s">
        <v>807</v>
      </c>
      <c r="C4122" s="924" t="s">
        <v>1199</v>
      </c>
      <c r="D4122" s="924" t="s">
        <v>855</v>
      </c>
      <c r="E4122" s="924" t="s">
        <v>856</v>
      </c>
      <c r="F4122" s="924" t="s">
        <v>1088</v>
      </c>
      <c r="G4122" s="924" t="s">
        <v>981</v>
      </c>
      <c r="H4122" s="924" t="s">
        <v>835</v>
      </c>
      <c r="I4122" s="924" t="s">
        <v>998</v>
      </c>
      <c r="J4122" s="924" t="s">
        <v>940</v>
      </c>
      <c r="K4122" s="924" t="s">
        <v>1089</v>
      </c>
      <c r="L4122" s="925">
        <v>214.228937387466</v>
      </c>
      <c r="M4122" s="925">
        <v>0.39135478995740403</v>
      </c>
    </row>
    <row r="4123" spans="1:13" ht="11.25" customHeight="1" x14ac:dyDescent="0.2">
      <c r="A4123" s="924" t="s">
        <v>853</v>
      </c>
      <c r="B4123" s="924" t="s">
        <v>807</v>
      </c>
      <c r="C4123" s="924" t="s">
        <v>1199</v>
      </c>
      <c r="D4123" s="924" t="s">
        <v>855</v>
      </c>
      <c r="E4123" s="924" t="s">
        <v>856</v>
      </c>
      <c r="F4123" s="924" t="s">
        <v>1090</v>
      </c>
      <c r="G4123" s="924" t="s">
        <v>981</v>
      </c>
      <c r="H4123" s="924" t="s">
        <v>835</v>
      </c>
      <c r="I4123" s="924" t="s">
        <v>998</v>
      </c>
      <c r="J4123" s="924" t="s">
        <v>940</v>
      </c>
      <c r="K4123" s="924" t="s">
        <v>1091</v>
      </c>
      <c r="L4123" s="925">
        <v>28.157336443662601</v>
      </c>
      <c r="M4123" s="925">
        <v>4.7953534958651303E-2</v>
      </c>
    </row>
    <row r="4124" spans="1:13" ht="11.25" customHeight="1" x14ac:dyDescent="0.2">
      <c r="A4124" s="924" t="s">
        <v>853</v>
      </c>
      <c r="B4124" s="924" t="s">
        <v>807</v>
      </c>
      <c r="C4124" s="924" t="s">
        <v>1199</v>
      </c>
      <c r="D4124" s="924" t="s">
        <v>855</v>
      </c>
      <c r="E4124" s="924" t="s">
        <v>856</v>
      </c>
      <c r="F4124" s="924" t="s">
        <v>1092</v>
      </c>
      <c r="G4124" s="924" t="s">
        <v>981</v>
      </c>
      <c r="H4124" s="924" t="s">
        <v>835</v>
      </c>
      <c r="I4124" s="924" t="s">
        <v>998</v>
      </c>
      <c r="J4124" s="924" t="s">
        <v>940</v>
      </c>
      <c r="K4124" s="924" t="s">
        <v>1093</v>
      </c>
      <c r="L4124" s="925">
        <v>186.77561759948699</v>
      </c>
      <c r="M4124" s="925">
        <v>0.36959906050469699</v>
      </c>
    </row>
    <row r="4125" spans="1:13" ht="11.25" customHeight="1" x14ac:dyDescent="0.2">
      <c r="A4125" s="924" t="s">
        <v>853</v>
      </c>
      <c r="B4125" s="924" t="s">
        <v>807</v>
      </c>
      <c r="C4125" s="924" t="s">
        <v>1199</v>
      </c>
      <c r="D4125" s="924" t="s">
        <v>855</v>
      </c>
      <c r="E4125" s="924" t="s">
        <v>856</v>
      </c>
      <c r="F4125" s="924" t="s">
        <v>1094</v>
      </c>
      <c r="G4125" s="924" t="s">
        <v>981</v>
      </c>
      <c r="H4125" s="924" t="s">
        <v>835</v>
      </c>
      <c r="I4125" s="924" t="s">
        <v>998</v>
      </c>
      <c r="J4125" s="924" t="s">
        <v>940</v>
      </c>
      <c r="K4125" s="924" t="s">
        <v>1095</v>
      </c>
      <c r="L4125" s="925">
        <v>18.121981561183901</v>
      </c>
      <c r="M4125" s="925">
        <v>3.3799857221311E-2</v>
      </c>
    </row>
    <row r="4126" spans="1:13" ht="11.25" customHeight="1" x14ac:dyDescent="0.2">
      <c r="A4126" s="924" t="s">
        <v>853</v>
      </c>
      <c r="B4126" s="924" t="s">
        <v>807</v>
      </c>
      <c r="C4126" s="924" t="s">
        <v>1199</v>
      </c>
      <c r="D4126" s="924" t="s">
        <v>855</v>
      </c>
      <c r="E4126" s="924" t="s">
        <v>856</v>
      </c>
      <c r="F4126" s="924" t="s">
        <v>1096</v>
      </c>
      <c r="G4126" s="924" t="s">
        <v>981</v>
      </c>
      <c r="H4126" s="924" t="s">
        <v>835</v>
      </c>
      <c r="I4126" s="924" t="s">
        <v>998</v>
      </c>
      <c r="J4126" s="924" t="s">
        <v>940</v>
      </c>
      <c r="K4126" s="924" t="s">
        <v>1023</v>
      </c>
      <c r="L4126" s="925">
        <v>174.40373748540901</v>
      </c>
      <c r="M4126" s="925">
        <v>0.326194107532501</v>
      </c>
    </row>
    <row r="4127" spans="1:13" ht="11.25" customHeight="1" x14ac:dyDescent="0.2">
      <c r="A4127" s="924" t="s">
        <v>853</v>
      </c>
      <c r="B4127" s="924" t="s">
        <v>807</v>
      </c>
      <c r="C4127" s="924" t="s">
        <v>1199</v>
      </c>
      <c r="D4127" s="924" t="s">
        <v>855</v>
      </c>
      <c r="E4127" s="924" t="s">
        <v>856</v>
      </c>
      <c r="F4127" s="924" t="s">
        <v>1100</v>
      </c>
      <c r="G4127" s="924" t="s">
        <v>981</v>
      </c>
      <c r="H4127" s="924" t="s">
        <v>835</v>
      </c>
      <c r="I4127" s="924" t="s">
        <v>998</v>
      </c>
      <c r="J4127" s="924" t="s">
        <v>940</v>
      </c>
      <c r="K4127" s="924" t="s">
        <v>1032</v>
      </c>
      <c r="L4127" s="925">
        <v>9.3063066393369795E-2</v>
      </c>
      <c r="M4127" s="925">
        <v>1.86581890318394E-4</v>
      </c>
    </row>
    <row r="4128" spans="1:13" ht="11.25" customHeight="1" x14ac:dyDescent="0.2">
      <c r="A4128" s="924" t="s">
        <v>853</v>
      </c>
      <c r="B4128" s="924" t="s">
        <v>807</v>
      </c>
      <c r="C4128" s="924" t="s">
        <v>1199</v>
      </c>
      <c r="D4128" s="924" t="s">
        <v>855</v>
      </c>
      <c r="E4128" s="924" t="s">
        <v>856</v>
      </c>
      <c r="F4128" s="924" t="s">
        <v>1101</v>
      </c>
      <c r="G4128" s="924" t="s">
        <v>981</v>
      </c>
      <c r="H4128" s="924" t="s">
        <v>835</v>
      </c>
      <c r="I4128" s="924" t="s">
        <v>998</v>
      </c>
      <c r="J4128" s="924" t="s">
        <v>870</v>
      </c>
      <c r="K4128" s="924" t="s">
        <v>961</v>
      </c>
      <c r="L4128" s="925">
        <v>0.57015034207142901</v>
      </c>
      <c r="M4128" s="925">
        <v>9.3873880564387903E-4</v>
      </c>
    </row>
    <row r="4129" spans="1:13" ht="11.25" customHeight="1" x14ac:dyDescent="0.2">
      <c r="A4129" s="924" t="s">
        <v>853</v>
      </c>
      <c r="B4129" s="924" t="s">
        <v>807</v>
      </c>
      <c r="C4129" s="924" t="s">
        <v>1199</v>
      </c>
      <c r="D4129" s="924" t="s">
        <v>855</v>
      </c>
      <c r="E4129" s="924" t="s">
        <v>856</v>
      </c>
      <c r="F4129" s="924" t="s">
        <v>1102</v>
      </c>
      <c r="G4129" s="924" t="s">
        <v>981</v>
      </c>
      <c r="H4129" s="924" t="s">
        <v>835</v>
      </c>
      <c r="I4129" s="924" t="s">
        <v>998</v>
      </c>
      <c r="J4129" s="924" t="s">
        <v>875</v>
      </c>
      <c r="K4129" s="924" t="s">
        <v>876</v>
      </c>
      <c r="L4129" s="925">
        <v>3.0892210491001602</v>
      </c>
      <c r="M4129" s="925">
        <v>6.2509073177352504E-3</v>
      </c>
    </row>
    <row r="4130" spans="1:13" ht="11.25" customHeight="1" x14ac:dyDescent="0.2">
      <c r="A4130" s="924" t="s">
        <v>853</v>
      </c>
      <c r="B4130" s="924" t="s">
        <v>807</v>
      </c>
      <c r="C4130" s="924" t="s">
        <v>1199</v>
      </c>
      <c r="D4130" s="924" t="s">
        <v>855</v>
      </c>
      <c r="E4130" s="924" t="s">
        <v>856</v>
      </c>
      <c r="F4130" s="924" t="s">
        <v>1082</v>
      </c>
      <c r="G4130" s="924" t="s">
        <v>981</v>
      </c>
      <c r="H4130" s="924" t="s">
        <v>835</v>
      </c>
      <c r="I4130" s="924" t="s">
        <v>998</v>
      </c>
      <c r="J4130" s="924" t="s">
        <v>875</v>
      </c>
      <c r="K4130" s="924" t="s">
        <v>952</v>
      </c>
      <c r="L4130" s="925">
        <v>0.124709918047301</v>
      </c>
      <c r="M4130" s="925">
        <v>2.7865263973581001E-4</v>
      </c>
    </row>
    <row r="4131" spans="1:13" ht="11.25" customHeight="1" x14ac:dyDescent="0.2">
      <c r="A4131" s="924" t="s">
        <v>853</v>
      </c>
      <c r="B4131" s="924" t="s">
        <v>807</v>
      </c>
      <c r="C4131" s="924" t="s">
        <v>1199</v>
      </c>
      <c r="D4131" s="924" t="s">
        <v>855</v>
      </c>
      <c r="E4131" s="924" t="s">
        <v>856</v>
      </c>
      <c r="F4131" s="924" t="s">
        <v>1103</v>
      </c>
      <c r="G4131" s="924" t="s">
        <v>981</v>
      </c>
      <c r="H4131" s="924" t="s">
        <v>835</v>
      </c>
      <c r="I4131" s="924" t="s">
        <v>998</v>
      </c>
      <c r="J4131" s="924" t="s">
        <v>863</v>
      </c>
      <c r="K4131" s="924" t="s">
        <v>864</v>
      </c>
      <c r="L4131" s="925">
        <v>3.7720091466326301E-2</v>
      </c>
      <c r="M4131" s="925">
        <v>8.4282051147965804E-5</v>
      </c>
    </row>
    <row r="4132" spans="1:13" ht="11.25" customHeight="1" x14ac:dyDescent="0.2">
      <c r="A4132" s="924" t="s">
        <v>853</v>
      </c>
      <c r="B4132" s="924" t="s">
        <v>807</v>
      </c>
      <c r="C4132" s="924" t="s">
        <v>1199</v>
      </c>
      <c r="D4132" s="924" t="s">
        <v>855</v>
      </c>
      <c r="E4132" s="924" t="s">
        <v>856</v>
      </c>
      <c r="F4132" s="924" t="s">
        <v>1128</v>
      </c>
      <c r="G4132" s="924" t="s">
        <v>911</v>
      </c>
      <c r="H4132" s="924" t="s">
        <v>665</v>
      </c>
      <c r="I4132" s="924" t="s">
        <v>706</v>
      </c>
      <c r="J4132" s="924" t="s">
        <v>859</v>
      </c>
      <c r="K4132" s="924" t="s">
        <v>913</v>
      </c>
      <c r="L4132" s="925">
        <v>0.86182934232056096</v>
      </c>
      <c r="M4132" s="925">
        <v>9.5027890409937795E-5</v>
      </c>
    </row>
    <row r="4133" spans="1:13" ht="11.25" customHeight="1" x14ac:dyDescent="0.2">
      <c r="A4133" s="924" t="s">
        <v>853</v>
      </c>
      <c r="B4133" s="924" t="s">
        <v>807</v>
      </c>
      <c r="C4133" s="924" t="s">
        <v>1199</v>
      </c>
      <c r="D4133" s="924" t="s">
        <v>855</v>
      </c>
      <c r="E4133" s="924" t="s">
        <v>856</v>
      </c>
      <c r="F4133" s="924" t="s">
        <v>1113</v>
      </c>
      <c r="G4133" s="924" t="s">
        <v>981</v>
      </c>
      <c r="H4133" s="924" t="s">
        <v>835</v>
      </c>
      <c r="I4133" s="924" t="s">
        <v>1040</v>
      </c>
      <c r="J4133" s="924" t="s">
        <v>870</v>
      </c>
      <c r="K4133" s="924" t="s">
        <v>961</v>
      </c>
      <c r="L4133" s="925">
        <v>12.4592196419835</v>
      </c>
      <c r="M4133" s="925">
        <v>9.4174863234002294E-3</v>
      </c>
    </row>
    <row r="4134" spans="1:13" ht="11.25" customHeight="1" x14ac:dyDescent="0.2">
      <c r="A4134" s="924" t="s">
        <v>853</v>
      </c>
      <c r="B4134" s="924" t="s">
        <v>807</v>
      </c>
      <c r="C4134" s="924" t="s">
        <v>1199</v>
      </c>
      <c r="D4134" s="924" t="s">
        <v>855</v>
      </c>
      <c r="E4134" s="924" t="s">
        <v>856</v>
      </c>
      <c r="F4134" s="924" t="s">
        <v>1114</v>
      </c>
      <c r="G4134" s="924" t="s">
        <v>981</v>
      </c>
      <c r="H4134" s="924" t="s">
        <v>835</v>
      </c>
      <c r="I4134" s="924" t="s">
        <v>1040</v>
      </c>
      <c r="J4134" s="924" t="s">
        <v>870</v>
      </c>
      <c r="K4134" s="924" t="s">
        <v>963</v>
      </c>
      <c r="L4134" s="925">
        <v>27.172011934220802</v>
      </c>
      <c r="M4134" s="925">
        <v>4.5064150714097202E-2</v>
      </c>
    </row>
    <row r="4135" spans="1:13" ht="11.25" customHeight="1" x14ac:dyDescent="0.2">
      <c r="A4135" s="924" t="s">
        <v>853</v>
      </c>
      <c r="B4135" s="924" t="s">
        <v>807</v>
      </c>
      <c r="C4135" s="924" t="s">
        <v>1199</v>
      </c>
      <c r="D4135" s="924" t="s">
        <v>855</v>
      </c>
      <c r="E4135" s="924" t="s">
        <v>856</v>
      </c>
      <c r="F4135" s="924" t="s">
        <v>1115</v>
      </c>
      <c r="G4135" s="924" t="s">
        <v>981</v>
      </c>
      <c r="H4135" s="924" t="s">
        <v>835</v>
      </c>
      <c r="I4135" s="924" t="s">
        <v>1040</v>
      </c>
      <c r="J4135" s="924" t="s">
        <v>870</v>
      </c>
      <c r="K4135" s="924" t="s">
        <v>965</v>
      </c>
      <c r="L4135" s="925">
        <v>5.8607792109250996</v>
      </c>
      <c r="M4135" s="925">
        <v>4.9184838376277202E-3</v>
      </c>
    </row>
    <row r="4136" spans="1:13" ht="11.25" customHeight="1" x14ac:dyDescent="0.2">
      <c r="A4136" s="924" t="s">
        <v>853</v>
      </c>
      <c r="B4136" s="924" t="s">
        <v>807</v>
      </c>
      <c r="C4136" s="924" t="s">
        <v>1199</v>
      </c>
      <c r="D4136" s="924" t="s">
        <v>855</v>
      </c>
      <c r="E4136" s="924" t="s">
        <v>856</v>
      </c>
      <c r="F4136" s="924" t="s">
        <v>1130</v>
      </c>
      <c r="G4136" s="924" t="s">
        <v>981</v>
      </c>
      <c r="H4136" s="924" t="s">
        <v>835</v>
      </c>
      <c r="I4136" s="924" t="s">
        <v>1040</v>
      </c>
      <c r="J4136" s="924" t="s">
        <v>870</v>
      </c>
      <c r="K4136" s="924" t="s">
        <v>871</v>
      </c>
      <c r="L4136" s="925">
        <v>8.4454046208411508</v>
      </c>
      <c r="M4136" s="925">
        <v>6.7135329054508501E-3</v>
      </c>
    </row>
    <row r="4137" spans="1:13" ht="11.25" customHeight="1" x14ac:dyDescent="0.2">
      <c r="A4137" s="924" t="s">
        <v>853</v>
      </c>
      <c r="B4137" s="924" t="s">
        <v>807</v>
      </c>
      <c r="C4137" s="924" t="s">
        <v>1199</v>
      </c>
      <c r="D4137" s="924" t="s">
        <v>855</v>
      </c>
      <c r="E4137" s="924" t="s">
        <v>856</v>
      </c>
      <c r="F4137" s="924" t="s">
        <v>1117</v>
      </c>
      <c r="G4137" s="924" t="s">
        <v>981</v>
      </c>
      <c r="H4137" s="924" t="s">
        <v>835</v>
      </c>
      <c r="I4137" s="924" t="s">
        <v>1040</v>
      </c>
      <c r="J4137" s="924" t="s">
        <v>870</v>
      </c>
      <c r="K4137" s="924" t="s">
        <v>873</v>
      </c>
      <c r="L4137" s="925">
        <v>9.3121538870036602</v>
      </c>
      <c r="M4137" s="925">
        <v>9.3214934304342001E-4</v>
      </c>
    </row>
    <row r="4138" spans="1:13" ht="11.25" customHeight="1" x14ac:dyDescent="0.2">
      <c r="A4138" s="924" t="s">
        <v>853</v>
      </c>
      <c r="B4138" s="924" t="s">
        <v>807</v>
      </c>
      <c r="C4138" s="924" t="s">
        <v>1199</v>
      </c>
      <c r="D4138" s="924" t="s">
        <v>855</v>
      </c>
      <c r="E4138" s="924" t="s">
        <v>856</v>
      </c>
      <c r="F4138" s="924" t="s">
        <v>1104</v>
      </c>
      <c r="G4138" s="924" t="s">
        <v>981</v>
      </c>
      <c r="H4138" s="924" t="s">
        <v>835</v>
      </c>
      <c r="I4138" s="924" t="s">
        <v>1040</v>
      </c>
      <c r="J4138" s="924" t="s">
        <v>875</v>
      </c>
      <c r="K4138" s="924" t="s">
        <v>876</v>
      </c>
      <c r="L4138" s="925">
        <v>635.54536819457996</v>
      </c>
      <c r="M4138" s="925">
        <v>0.42647742480039602</v>
      </c>
    </row>
    <row r="4139" spans="1:13" ht="11.25" customHeight="1" x14ac:dyDescent="0.2">
      <c r="A4139" s="924" t="s">
        <v>853</v>
      </c>
      <c r="B4139" s="924" t="s">
        <v>807</v>
      </c>
      <c r="C4139" s="924" t="s">
        <v>1199</v>
      </c>
      <c r="D4139" s="924" t="s">
        <v>855</v>
      </c>
      <c r="E4139" s="924" t="s">
        <v>856</v>
      </c>
      <c r="F4139" s="924" t="s">
        <v>1119</v>
      </c>
      <c r="G4139" s="924" t="s">
        <v>981</v>
      </c>
      <c r="H4139" s="924" t="s">
        <v>835</v>
      </c>
      <c r="I4139" s="924" t="s">
        <v>1040</v>
      </c>
      <c r="J4139" s="924" t="s">
        <v>875</v>
      </c>
      <c r="K4139" s="924" t="s">
        <v>878</v>
      </c>
      <c r="L4139" s="925">
        <v>158.722738027573</v>
      </c>
      <c r="M4139" s="925">
        <v>0.105355865799538</v>
      </c>
    </row>
    <row r="4140" spans="1:13" ht="11.25" customHeight="1" x14ac:dyDescent="0.2">
      <c r="A4140" s="924" t="s">
        <v>853</v>
      </c>
      <c r="B4140" s="924" t="s">
        <v>807</v>
      </c>
      <c r="C4140" s="924" t="s">
        <v>1199</v>
      </c>
      <c r="D4140" s="924" t="s">
        <v>855</v>
      </c>
      <c r="E4140" s="924" t="s">
        <v>856</v>
      </c>
      <c r="F4140" s="924" t="s">
        <v>1120</v>
      </c>
      <c r="G4140" s="924" t="s">
        <v>981</v>
      </c>
      <c r="H4140" s="924" t="s">
        <v>835</v>
      </c>
      <c r="I4140" s="924" t="s">
        <v>1040</v>
      </c>
      <c r="J4140" s="924" t="s">
        <v>875</v>
      </c>
      <c r="K4140" s="924" t="s">
        <v>880</v>
      </c>
      <c r="L4140" s="925">
        <v>83.945219039917006</v>
      </c>
      <c r="M4140" s="925">
        <v>4.8596641359608797E-2</v>
      </c>
    </row>
    <row r="4141" spans="1:13" ht="11.25" customHeight="1" x14ac:dyDescent="0.2">
      <c r="A4141" s="924" t="s">
        <v>853</v>
      </c>
      <c r="B4141" s="924" t="s">
        <v>807</v>
      </c>
      <c r="C4141" s="924" t="s">
        <v>1199</v>
      </c>
      <c r="D4141" s="924" t="s">
        <v>855</v>
      </c>
      <c r="E4141" s="924" t="s">
        <v>856</v>
      </c>
      <c r="F4141" s="924" t="s">
        <v>1121</v>
      </c>
      <c r="G4141" s="924" t="s">
        <v>981</v>
      </c>
      <c r="H4141" s="924" t="s">
        <v>835</v>
      </c>
      <c r="I4141" s="924" t="s">
        <v>1040</v>
      </c>
      <c r="J4141" s="924" t="s">
        <v>875</v>
      </c>
      <c r="K4141" s="924" t="s">
        <v>948</v>
      </c>
      <c r="L4141" s="925">
        <v>180.63024449348401</v>
      </c>
      <c r="M4141" s="925">
        <v>0.112668122013474</v>
      </c>
    </row>
    <row r="4142" spans="1:13" ht="11.25" customHeight="1" x14ac:dyDescent="0.2">
      <c r="A4142" s="924" t="s">
        <v>853</v>
      </c>
      <c r="B4142" s="924" t="s">
        <v>807</v>
      </c>
      <c r="C4142" s="924" t="s">
        <v>1199</v>
      </c>
      <c r="D4142" s="924" t="s">
        <v>855</v>
      </c>
      <c r="E4142" s="924" t="s">
        <v>856</v>
      </c>
      <c r="F4142" s="924" t="s">
        <v>1112</v>
      </c>
      <c r="G4142" s="924" t="s">
        <v>981</v>
      </c>
      <c r="H4142" s="924" t="s">
        <v>835</v>
      </c>
      <c r="I4142" s="924" t="s">
        <v>1040</v>
      </c>
      <c r="J4142" s="924" t="s">
        <v>870</v>
      </c>
      <c r="K4142" s="924" t="s">
        <v>959</v>
      </c>
      <c r="L4142" s="925">
        <v>1.1401497558690601</v>
      </c>
      <c r="M4142" s="925">
        <v>7.50000184325472E-4</v>
      </c>
    </row>
    <row r="4143" spans="1:13" ht="11.25" customHeight="1" x14ac:dyDescent="0.2">
      <c r="A4143" s="924" t="s">
        <v>853</v>
      </c>
      <c r="B4143" s="924" t="s">
        <v>807</v>
      </c>
      <c r="C4143" s="924" t="s">
        <v>1199</v>
      </c>
      <c r="D4143" s="924" t="s">
        <v>855</v>
      </c>
      <c r="E4143" s="924" t="s">
        <v>856</v>
      </c>
      <c r="F4143" s="924" t="s">
        <v>1126</v>
      </c>
      <c r="G4143" s="924" t="s">
        <v>981</v>
      </c>
      <c r="H4143" s="924" t="s">
        <v>835</v>
      </c>
      <c r="I4143" s="924" t="s">
        <v>1040</v>
      </c>
      <c r="J4143" s="924" t="s">
        <v>956</v>
      </c>
      <c r="K4143" s="924" t="s">
        <v>957</v>
      </c>
      <c r="L4143" s="925">
        <v>0.126831268309616</v>
      </c>
      <c r="M4143" s="925">
        <v>9.9252349855305497E-5</v>
      </c>
    </row>
    <row r="4144" spans="1:13" ht="11.25" customHeight="1" x14ac:dyDescent="0.2">
      <c r="A4144" s="924" t="s">
        <v>853</v>
      </c>
      <c r="B4144" s="924" t="s">
        <v>807</v>
      </c>
      <c r="C4144" s="924" t="s">
        <v>1199</v>
      </c>
      <c r="D4144" s="924" t="s">
        <v>855</v>
      </c>
      <c r="E4144" s="924" t="s">
        <v>856</v>
      </c>
      <c r="F4144" s="924" t="s">
        <v>1122</v>
      </c>
      <c r="G4144" s="924" t="s">
        <v>981</v>
      </c>
      <c r="H4144" s="924" t="s">
        <v>835</v>
      </c>
      <c r="I4144" s="924" t="s">
        <v>1040</v>
      </c>
      <c r="J4144" s="924" t="s">
        <v>875</v>
      </c>
      <c r="K4144" s="924" t="s">
        <v>950</v>
      </c>
      <c r="L4144" s="925">
        <v>285.70075845718401</v>
      </c>
      <c r="M4144" s="925">
        <v>0.19757921022142</v>
      </c>
    </row>
    <row r="4145" spans="1:13" ht="11.25" customHeight="1" x14ac:dyDescent="0.2">
      <c r="A4145" s="924" t="s">
        <v>853</v>
      </c>
      <c r="B4145" s="924" t="s">
        <v>807</v>
      </c>
      <c r="C4145" s="924" t="s">
        <v>1199</v>
      </c>
      <c r="D4145" s="924" t="s">
        <v>855</v>
      </c>
      <c r="E4145" s="924" t="s">
        <v>856</v>
      </c>
      <c r="F4145" s="924" t="s">
        <v>1118</v>
      </c>
      <c r="G4145" s="924" t="s">
        <v>911</v>
      </c>
      <c r="H4145" s="924" t="s">
        <v>665</v>
      </c>
      <c r="I4145" s="924" t="s">
        <v>706</v>
      </c>
      <c r="J4145" s="924" t="s">
        <v>859</v>
      </c>
      <c r="K4145" s="924" t="s">
        <v>893</v>
      </c>
      <c r="L4145" s="925">
        <v>1.46139430440962</v>
      </c>
      <c r="M4145" s="925">
        <v>7.0704164045309894E-5</v>
      </c>
    </row>
    <row r="4146" spans="1:13" ht="11.25" customHeight="1" x14ac:dyDescent="0.2">
      <c r="A4146" s="924" t="s">
        <v>853</v>
      </c>
      <c r="B4146" s="924" t="s">
        <v>807</v>
      </c>
      <c r="C4146" s="924" t="s">
        <v>1199</v>
      </c>
      <c r="D4146" s="924" t="s">
        <v>855</v>
      </c>
      <c r="E4146" s="924" t="s">
        <v>856</v>
      </c>
      <c r="F4146" s="924" t="s">
        <v>1129</v>
      </c>
      <c r="G4146" s="924" t="s">
        <v>911</v>
      </c>
      <c r="H4146" s="924" t="s">
        <v>665</v>
      </c>
      <c r="I4146" s="924" t="s">
        <v>706</v>
      </c>
      <c r="J4146" s="924" t="s">
        <v>859</v>
      </c>
      <c r="K4146" s="924" t="s">
        <v>897</v>
      </c>
      <c r="L4146" s="925">
        <v>0.23800619901157899</v>
      </c>
      <c r="M4146" s="925">
        <v>8.6506979073419602E-5</v>
      </c>
    </row>
    <row r="4147" spans="1:13" ht="11.25" customHeight="1" x14ac:dyDescent="0.2">
      <c r="A4147" s="924" t="s">
        <v>853</v>
      </c>
      <c r="B4147" s="924" t="s">
        <v>807</v>
      </c>
      <c r="C4147" s="924" t="s">
        <v>1199</v>
      </c>
      <c r="D4147" s="924" t="s">
        <v>855</v>
      </c>
      <c r="E4147" s="924" t="s">
        <v>856</v>
      </c>
      <c r="F4147" s="924" t="s">
        <v>1133</v>
      </c>
      <c r="G4147" s="924" t="s">
        <v>911</v>
      </c>
      <c r="H4147" s="924" t="s">
        <v>665</v>
      </c>
      <c r="I4147" s="924" t="s">
        <v>706</v>
      </c>
      <c r="J4147" s="924" t="s">
        <v>859</v>
      </c>
      <c r="K4147" s="924" t="s">
        <v>899</v>
      </c>
      <c r="L4147" s="925">
        <v>0.14825517265126101</v>
      </c>
      <c r="M4147" s="925">
        <v>1.47701135784217E-5</v>
      </c>
    </row>
    <row r="4148" spans="1:13" ht="11.25" customHeight="1" x14ac:dyDescent="0.2">
      <c r="A4148" s="924" t="s">
        <v>853</v>
      </c>
      <c r="B4148" s="924" t="s">
        <v>807</v>
      </c>
      <c r="C4148" s="924" t="s">
        <v>1199</v>
      </c>
      <c r="D4148" s="924" t="s">
        <v>855</v>
      </c>
      <c r="E4148" s="924" t="s">
        <v>856</v>
      </c>
      <c r="F4148" s="924" t="s">
        <v>1074</v>
      </c>
      <c r="G4148" s="924" t="s">
        <v>911</v>
      </c>
      <c r="H4148" s="924" t="s">
        <v>665</v>
      </c>
      <c r="I4148" s="924" t="s">
        <v>706</v>
      </c>
      <c r="J4148" s="924" t="s">
        <v>859</v>
      </c>
      <c r="K4148" s="924" t="s">
        <v>903</v>
      </c>
      <c r="L4148" s="925">
        <v>2.6616341955959801</v>
      </c>
      <c r="M4148" s="925">
        <v>2.97258710190818E-4</v>
      </c>
    </row>
    <row r="4149" spans="1:13" ht="11.25" customHeight="1" x14ac:dyDescent="0.2">
      <c r="A4149" s="924" t="s">
        <v>853</v>
      </c>
      <c r="B4149" s="924" t="s">
        <v>807</v>
      </c>
      <c r="C4149" s="924" t="s">
        <v>1199</v>
      </c>
      <c r="D4149" s="924" t="s">
        <v>855</v>
      </c>
      <c r="E4149" s="924" t="s">
        <v>856</v>
      </c>
      <c r="F4149" s="924" t="s">
        <v>910</v>
      </c>
      <c r="G4149" s="924" t="s">
        <v>911</v>
      </c>
      <c r="H4149" s="924" t="s">
        <v>665</v>
      </c>
      <c r="I4149" s="924" t="s">
        <v>706</v>
      </c>
      <c r="J4149" s="924" t="s">
        <v>859</v>
      </c>
      <c r="K4149" s="924" t="s">
        <v>905</v>
      </c>
      <c r="L4149" s="925">
        <v>1.0471654906868899</v>
      </c>
      <c r="M4149" s="925">
        <v>8.5605393405785402E-4</v>
      </c>
    </row>
    <row r="4150" spans="1:13" ht="11.25" customHeight="1" x14ac:dyDescent="0.2">
      <c r="A4150" s="924" t="s">
        <v>853</v>
      </c>
      <c r="B4150" s="924" t="s">
        <v>807</v>
      </c>
      <c r="C4150" s="924" t="s">
        <v>1199</v>
      </c>
      <c r="D4150" s="924" t="s">
        <v>855</v>
      </c>
      <c r="E4150" s="924" t="s">
        <v>856</v>
      </c>
      <c r="F4150" s="924" t="s">
        <v>916</v>
      </c>
      <c r="G4150" s="924" t="s">
        <v>911</v>
      </c>
      <c r="H4150" s="924" t="s">
        <v>665</v>
      </c>
      <c r="I4150" s="924" t="s">
        <v>706</v>
      </c>
      <c r="J4150" s="924" t="s">
        <v>859</v>
      </c>
      <c r="K4150" s="924" t="s">
        <v>909</v>
      </c>
      <c r="L4150" s="925">
        <v>2.5043840352445801</v>
      </c>
      <c r="M4150" s="925">
        <v>1.15911822604176E-4</v>
      </c>
    </row>
    <row r="4151" spans="1:13" ht="11.25" customHeight="1" x14ac:dyDescent="0.2">
      <c r="A4151" s="924" t="s">
        <v>853</v>
      </c>
      <c r="B4151" s="924" t="s">
        <v>807</v>
      </c>
      <c r="C4151" s="924" t="s">
        <v>1199</v>
      </c>
      <c r="D4151" s="924" t="s">
        <v>855</v>
      </c>
      <c r="E4151" s="924" t="s">
        <v>856</v>
      </c>
      <c r="F4151" s="924" t="s">
        <v>917</v>
      </c>
      <c r="G4151" s="924" t="s">
        <v>911</v>
      </c>
      <c r="H4151" s="924" t="s">
        <v>665</v>
      </c>
      <c r="I4151" s="924" t="s">
        <v>706</v>
      </c>
      <c r="J4151" s="924" t="s">
        <v>859</v>
      </c>
      <c r="K4151" s="924" t="s">
        <v>918</v>
      </c>
      <c r="L4151" s="925">
        <v>0.97140096127986897</v>
      </c>
      <c r="M4151" s="925">
        <v>3.13653728483132E-4</v>
      </c>
    </row>
    <row r="4152" spans="1:13" ht="11.25" customHeight="1" x14ac:dyDescent="0.2">
      <c r="A4152" s="924" t="s">
        <v>853</v>
      </c>
      <c r="B4152" s="924" t="s">
        <v>807</v>
      </c>
      <c r="C4152" s="924" t="s">
        <v>1199</v>
      </c>
      <c r="D4152" s="924" t="s">
        <v>855</v>
      </c>
      <c r="E4152" s="924" t="s">
        <v>856</v>
      </c>
      <c r="F4152" s="924" t="s">
        <v>919</v>
      </c>
      <c r="G4152" s="924" t="s">
        <v>911</v>
      </c>
      <c r="H4152" s="924" t="s">
        <v>665</v>
      </c>
      <c r="I4152" s="924" t="s">
        <v>706</v>
      </c>
      <c r="J4152" s="924" t="s">
        <v>859</v>
      </c>
      <c r="K4152" s="924" t="s">
        <v>920</v>
      </c>
      <c r="L4152" s="925">
        <v>0.16028200462460501</v>
      </c>
      <c r="M4152" s="925">
        <v>4.4905130948791298E-5</v>
      </c>
    </row>
    <row r="4153" spans="1:13" ht="11.25" customHeight="1" x14ac:dyDescent="0.2">
      <c r="A4153" s="924" t="s">
        <v>853</v>
      </c>
      <c r="B4153" s="924" t="s">
        <v>807</v>
      </c>
      <c r="C4153" s="924" t="s">
        <v>1199</v>
      </c>
      <c r="D4153" s="924" t="s">
        <v>855</v>
      </c>
      <c r="E4153" s="924" t="s">
        <v>856</v>
      </c>
      <c r="F4153" s="924" t="s">
        <v>1136</v>
      </c>
      <c r="G4153" s="924" t="s">
        <v>981</v>
      </c>
      <c r="H4153" s="924" t="s">
        <v>835</v>
      </c>
      <c r="I4153" s="924" t="s">
        <v>1040</v>
      </c>
      <c r="J4153" s="924" t="s">
        <v>863</v>
      </c>
      <c r="K4153" s="924" t="s">
        <v>864</v>
      </c>
      <c r="L4153" s="925">
        <v>83.4502934217453</v>
      </c>
      <c r="M4153" s="925">
        <v>6.2270506867207601E-2</v>
      </c>
    </row>
    <row r="4154" spans="1:13" ht="11.25" customHeight="1" x14ac:dyDescent="0.2">
      <c r="A4154" s="924" t="s">
        <v>853</v>
      </c>
      <c r="B4154" s="924" t="s">
        <v>807</v>
      </c>
      <c r="C4154" s="924" t="s">
        <v>1199</v>
      </c>
      <c r="D4154" s="924" t="s">
        <v>855</v>
      </c>
      <c r="E4154" s="924" t="s">
        <v>856</v>
      </c>
      <c r="F4154" s="924" t="s">
        <v>1056</v>
      </c>
      <c r="G4154" s="924" t="s">
        <v>981</v>
      </c>
      <c r="H4154" s="924" t="s">
        <v>835</v>
      </c>
      <c r="I4154" s="924" t="s">
        <v>998</v>
      </c>
      <c r="J4154" s="924" t="s">
        <v>875</v>
      </c>
      <c r="K4154" s="924" t="s">
        <v>878</v>
      </c>
      <c r="L4154" s="925">
        <v>20.611974358558701</v>
      </c>
      <c r="M4154" s="925">
        <v>3.9753292046953E-2</v>
      </c>
    </row>
    <row r="4155" spans="1:13" ht="11.25" customHeight="1" x14ac:dyDescent="0.2">
      <c r="A4155" s="924" t="s">
        <v>853</v>
      </c>
      <c r="B4155" s="924" t="s">
        <v>807</v>
      </c>
      <c r="C4155" s="924" t="s">
        <v>1199</v>
      </c>
      <c r="D4155" s="924" t="s">
        <v>855</v>
      </c>
      <c r="E4155" s="924" t="s">
        <v>856</v>
      </c>
      <c r="F4155" s="924" t="s">
        <v>1123</v>
      </c>
      <c r="G4155" s="924" t="s">
        <v>981</v>
      </c>
      <c r="H4155" s="924" t="s">
        <v>835</v>
      </c>
      <c r="I4155" s="924" t="s">
        <v>1040</v>
      </c>
      <c r="J4155" s="924" t="s">
        <v>875</v>
      </c>
      <c r="K4155" s="924" t="s">
        <v>952</v>
      </c>
      <c r="L4155" s="925">
        <v>13.4023213386536</v>
      </c>
      <c r="M4155" s="925">
        <v>9.2964594554612E-3</v>
      </c>
    </row>
    <row r="4156" spans="1:13" ht="11.25" customHeight="1" x14ac:dyDescent="0.2">
      <c r="A4156" s="924" t="s">
        <v>853</v>
      </c>
      <c r="B4156" s="924" t="s">
        <v>807</v>
      </c>
      <c r="C4156" s="924" t="s">
        <v>1199</v>
      </c>
      <c r="D4156" s="924" t="s">
        <v>855</v>
      </c>
      <c r="E4156" s="924" t="s">
        <v>856</v>
      </c>
      <c r="F4156" s="924" t="s">
        <v>1131</v>
      </c>
      <c r="G4156" s="924" t="s">
        <v>981</v>
      </c>
      <c r="H4156" s="924" t="s">
        <v>835</v>
      </c>
      <c r="I4156" s="924" t="s">
        <v>1040</v>
      </c>
      <c r="J4156" s="924" t="s">
        <v>863</v>
      </c>
      <c r="K4156" s="924" t="s">
        <v>868</v>
      </c>
      <c r="L4156" s="925">
        <v>18.261935532092998</v>
      </c>
      <c r="M4156" s="925">
        <v>1.28872978712025E-3</v>
      </c>
    </row>
    <row r="4157" spans="1:13" ht="11.25" customHeight="1" x14ac:dyDescent="0.2">
      <c r="A4157" s="924" t="s">
        <v>853</v>
      </c>
      <c r="B4157" s="924" t="s">
        <v>807</v>
      </c>
      <c r="C4157" s="924" t="s">
        <v>1199</v>
      </c>
      <c r="D4157" s="924" t="s">
        <v>855</v>
      </c>
      <c r="E4157" s="924" t="s">
        <v>856</v>
      </c>
      <c r="F4157" s="924" t="s">
        <v>1148</v>
      </c>
      <c r="G4157" s="924" t="s">
        <v>981</v>
      </c>
      <c r="H4157" s="924" t="s">
        <v>835</v>
      </c>
      <c r="I4157" s="924" t="s">
        <v>1040</v>
      </c>
      <c r="J4157" s="924" t="s">
        <v>863</v>
      </c>
      <c r="K4157" s="924" t="s">
        <v>915</v>
      </c>
      <c r="L4157" s="925">
        <v>3.7882165722549002</v>
      </c>
      <c r="M4157" s="925">
        <v>1.4118426101958901E-3</v>
      </c>
    </row>
    <row r="4158" spans="1:13" ht="11.25" customHeight="1" x14ac:dyDescent="0.2">
      <c r="A4158" s="924" t="s">
        <v>853</v>
      </c>
      <c r="B4158" s="924" t="s">
        <v>807</v>
      </c>
      <c r="C4158" s="924" t="s">
        <v>1199</v>
      </c>
      <c r="D4158" s="924" t="s">
        <v>855</v>
      </c>
      <c r="E4158" s="924" t="s">
        <v>856</v>
      </c>
      <c r="F4158" s="924" t="s">
        <v>1124</v>
      </c>
      <c r="G4158" s="924" t="s">
        <v>981</v>
      </c>
      <c r="H4158" s="924" t="s">
        <v>835</v>
      </c>
      <c r="I4158" s="924" t="s">
        <v>1040</v>
      </c>
      <c r="J4158" s="924" t="s">
        <v>956</v>
      </c>
      <c r="K4158" s="924" t="s">
        <v>1125</v>
      </c>
      <c r="L4158" s="925">
        <v>11.0079229325056</v>
      </c>
      <c r="M4158" s="925">
        <v>8.7847887715497598E-3</v>
      </c>
    </row>
    <row r="4159" spans="1:13" ht="11.25" customHeight="1" x14ac:dyDescent="0.2">
      <c r="A4159" s="924" t="s">
        <v>853</v>
      </c>
      <c r="B4159" s="924" t="s">
        <v>807</v>
      </c>
      <c r="C4159" s="924" t="s">
        <v>1199</v>
      </c>
      <c r="D4159" s="924" t="s">
        <v>855</v>
      </c>
      <c r="E4159" s="924" t="s">
        <v>856</v>
      </c>
      <c r="F4159" s="924" t="s">
        <v>1137</v>
      </c>
      <c r="G4159" s="924" t="s">
        <v>981</v>
      </c>
      <c r="H4159" s="924" t="s">
        <v>835</v>
      </c>
      <c r="I4159" s="924" t="s">
        <v>1040</v>
      </c>
      <c r="J4159" s="924" t="s">
        <v>863</v>
      </c>
      <c r="K4159" s="924" t="s">
        <v>866</v>
      </c>
      <c r="L4159" s="925">
        <v>1.2882369197905099</v>
      </c>
      <c r="M4159" s="925">
        <v>8.6282692063832699E-4</v>
      </c>
    </row>
    <row r="4160" spans="1:13" ht="11.25" customHeight="1" x14ac:dyDescent="0.2">
      <c r="A4160" s="924" t="s">
        <v>853</v>
      </c>
      <c r="B4160" s="924" t="s">
        <v>807</v>
      </c>
      <c r="C4160" s="924" t="s">
        <v>1199</v>
      </c>
      <c r="D4160" s="924" t="s">
        <v>855</v>
      </c>
      <c r="E4160" s="924" t="s">
        <v>856</v>
      </c>
      <c r="F4160" s="924" t="s">
        <v>1111</v>
      </c>
      <c r="G4160" s="924" t="s">
        <v>981</v>
      </c>
      <c r="H4160" s="924" t="s">
        <v>835</v>
      </c>
      <c r="I4160" s="924" t="s">
        <v>1040</v>
      </c>
      <c r="J4160" s="924" t="s">
        <v>870</v>
      </c>
      <c r="K4160" s="924" t="s">
        <v>1016</v>
      </c>
      <c r="L4160" s="925">
        <v>3.7007054174318901</v>
      </c>
      <c r="M4160" s="925">
        <v>3.1057064798005701E-3</v>
      </c>
    </row>
    <row r="4161" spans="1:13" ht="11.25" customHeight="1" x14ac:dyDescent="0.2">
      <c r="A4161" s="924" t="s">
        <v>853</v>
      </c>
      <c r="B4161" s="924" t="s">
        <v>807</v>
      </c>
      <c r="C4161" s="924" t="s">
        <v>1199</v>
      </c>
      <c r="D4161" s="924" t="s">
        <v>855</v>
      </c>
      <c r="E4161" s="924" t="s">
        <v>856</v>
      </c>
      <c r="F4161" s="924" t="s">
        <v>1141</v>
      </c>
      <c r="G4161" s="924" t="s">
        <v>981</v>
      </c>
      <c r="H4161" s="924" t="s">
        <v>835</v>
      </c>
      <c r="I4161" s="924" t="s">
        <v>1040</v>
      </c>
      <c r="J4161" s="924" t="s">
        <v>940</v>
      </c>
      <c r="K4161" s="924" t="s">
        <v>1142</v>
      </c>
      <c r="L4161" s="925">
        <v>545.99289321899403</v>
      </c>
      <c r="M4161" s="925">
        <v>0.40179375954903701</v>
      </c>
    </row>
    <row r="4162" spans="1:13" ht="11.25" customHeight="1" x14ac:dyDescent="0.2">
      <c r="A4162" s="924" t="s">
        <v>853</v>
      </c>
      <c r="B4162" s="924" t="s">
        <v>807</v>
      </c>
      <c r="C4162" s="924" t="s">
        <v>1199</v>
      </c>
      <c r="D4162" s="924" t="s">
        <v>855</v>
      </c>
      <c r="E4162" s="924" t="s">
        <v>856</v>
      </c>
      <c r="F4162" s="924" t="s">
        <v>1144</v>
      </c>
      <c r="G4162" s="924" t="s">
        <v>981</v>
      </c>
      <c r="H4162" s="924" t="s">
        <v>835</v>
      </c>
      <c r="I4162" s="924" t="s">
        <v>1040</v>
      </c>
      <c r="J4162" s="924" t="s">
        <v>940</v>
      </c>
      <c r="K4162" s="924" t="s">
        <v>1070</v>
      </c>
      <c r="L4162" s="925">
        <v>324.62455666065199</v>
      </c>
      <c r="M4162" s="925">
        <v>0.22550932836020399</v>
      </c>
    </row>
    <row r="4163" spans="1:13" ht="11.25" customHeight="1" x14ac:dyDescent="0.2">
      <c r="A4163" s="924" t="s">
        <v>853</v>
      </c>
      <c r="B4163" s="924" t="s">
        <v>807</v>
      </c>
      <c r="C4163" s="924" t="s">
        <v>1199</v>
      </c>
      <c r="D4163" s="924" t="s">
        <v>855</v>
      </c>
      <c r="E4163" s="924" t="s">
        <v>856</v>
      </c>
      <c r="F4163" s="924" t="s">
        <v>1149</v>
      </c>
      <c r="G4163" s="924" t="s">
        <v>981</v>
      </c>
      <c r="H4163" s="924" t="s">
        <v>835</v>
      </c>
      <c r="I4163" s="924" t="s">
        <v>1040</v>
      </c>
      <c r="J4163" s="924" t="s">
        <v>940</v>
      </c>
      <c r="K4163" s="924" t="s">
        <v>1091</v>
      </c>
      <c r="L4163" s="925">
        <v>1.42698923032731</v>
      </c>
      <c r="M4163" s="925">
        <v>9.9408933147060495E-4</v>
      </c>
    </row>
    <row r="4164" spans="1:13" ht="11.25" customHeight="1" x14ac:dyDescent="0.2">
      <c r="A4164" s="924" t="s">
        <v>853</v>
      </c>
      <c r="B4164" s="924" t="s">
        <v>807</v>
      </c>
      <c r="C4164" s="924" t="s">
        <v>1199</v>
      </c>
      <c r="D4164" s="924" t="s">
        <v>855</v>
      </c>
      <c r="E4164" s="924" t="s">
        <v>856</v>
      </c>
      <c r="F4164" s="924" t="s">
        <v>1160</v>
      </c>
      <c r="G4164" s="924" t="s">
        <v>981</v>
      </c>
      <c r="H4164" s="924" t="s">
        <v>835</v>
      </c>
      <c r="I4164" s="924" t="s">
        <v>1040</v>
      </c>
      <c r="J4164" s="924" t="s">
        <v>940</v>
      </c>
      <c r="K4164" s="924" t="s">
        <v>1093</v>
      </c>
      <c r="L4164" s="925">
        <v>12.646902367472601</v>
      </c>
      <c r="M4164" s="925">
        <v>8.8990015829040203E-3</v>
      </c>
    </row>
    <row r="4165" spans="1:13" ht="11.25" customHeight="1" x14ac:dyDescent="0.2">
      <c r="A4165" s="924" t="s">
        <v>853</v>
      </c>
      <c r="B4165" s="924" t="s">
        <v>807</v>
      </c>
      <c r="C4165" s="924" t="s">
        <v>1199</v>
      </c>
      <c r="D4165" s="924" t="s">
        <v>855</v>
      </c>
      <c r="E4165" s="924" t="s">
        <v>856</v>
      </c>
      <c r="F4165" s="924" t="s">
        <v>1159</v>
      </c>
      <c r="G4165" s="924" t="s">
        <v>981</v>
      </c>
      <c r="H4165" s="924" t="s">
        <v>835</v>
      </c>
      <c r="I4165" s="924" t="s">
        <v>1040</v>
      </c>
      <c r="J4165" s="924" t="s">
        <v>940</v>
      </c>
      <c r="K4165" s="924" t="s">
        <v>1095</v>
      </c>
      <c r="L4165" s="925">
        <v>2.7222768738865901</v>
      </c>
      <c r="M4165" s="925">
        <v>1.89675689580326E-3</v>
      </c>
    </row>
    <row r="4166" spans="1:13" ht="11.25" customHeight="1" x14ac:dyDescent="0.2">
      <c r="A4166" s="924" t="s">
        <v>853</v>
      </c>
      <c r="B4166" s="924" t="s">
        <v>807</v>
      </c>
      <c r="C4166" s="924" t="s">
        <v>1199</v>
      </c>
      <c r="D4166" s="924" t="s">
        <v>855</v>
      </c>
      <c r="E4166" s="924" t="s">
        <v>856</v>
      </c>
      <c r="F4166" s="924" t="s">
        <v>1158</v>
      </c>
      <c r="G4166" s="924" t="s">
        <v>981</v>
      </c>
      <c r="H4166" s="924" t="s">
        <v>835</v>
      </c>
      <c r="I4166" s="924" t="s">
        <v>1040</v>
      </c>
      <c r="J4166" s="924" t="s">
        <v>940</v>
      </c>
      <c r="K4166" s="924" t="s">
        <v>1023</v>
      </c>
      <c r="L4166" s="925">
        <v>518.18146944045998</v>
      </c>
      <c r="M4166" s="925">
        <v>0.29704413873923802</v>
      </c>
    </row>
    <row r="4167" spans="1:13" ht="11.25" customHeight="1" x14ac:dyDescent="0.2">
      <c r="A4167" s="924" t="s">
        <v>853</v>
      </c>
      <c r="B4167" s="924" t="s">
        <v>807</v>
      </c>
      <c r="C4167" s="924" t="s">
        <v>1199</v>
      </c>
      <c r="D4167" s="924" t="s">
        <v>855</v>
      </c>
      <c r="E4167" s="924" t="s">
        <v>856</v>
      </c>
      <c r="F4167" s="924" t="s">
        <v>1154</v>
      </c>
      <c r="G4167" s="924" t="s">
        <v>981</v>
      </c>
      <c r="H4167" s="924" t="s">
        <v>835</v>
      </c>
      <c r="I4167" s="924" t="s">
        <v>1040</v>
      </c>
      <c r="J4167" s="924" t="s">
        <v>940</v>
      </c>
      <c r="K4167" s="924" t="s">
        <v>1155</v>
      </c>
      <c r="L4167" s="925">
        <v>52.035233765840502</v>
      </c>
      <c r="M4167" s="925">
        <v>3.3461810231688802E-2</v>
      </c>
    </row>
    <row r="4168" spans="1:13" ht="11.25" customHeight="1" x14ac:dyDescent="0.2">
      <c r="A4168" s="924" t="s">
        <v>853</v>
      </c>
      <c r="B4168" s="924" t="s">
        <v>807</v>
      </c>
      <c r="C4168" s="924" t="s">
        <v>1199</v>
      </c>
      <c r="D4168" s="924" t="s">
        <v>855</v>
      </c>
      <c r="E4168" s="924" t="s">
        <v>856</v>
      </c>
      <c r="F4168" s="924" t="s">
        <v>1152</v>
      </c>
      <c r="G4168" s="924" t="s">
        <v>981</v>
      </c>
      <c r="H4168" s="924" t="s">
        <v>835</v>
      </c>
      <c r="I4168" s="924" t="s">
        <v>1040</v>
      </c>
      <c r="J4168" s="924" t="s">
        <v>940</v>
      </c>
      <c r="K4168" s="924" t="s">
        <v>1153</v>
      </c>
      <c r="L4168" s="925">
        <v>69.371630400419207</v>
      </c>
      <c r="M4168" s="925">
        <v>4.5496423248550903E-2</v>
      </c>
    </row>
    <row r="4169" spans="1:13" ht="11.25" customHeight="1" x14ac:dyDescent="0.2">
      <c r="A4169" s="924" t="s">
        <v>853</v>
      </c>
      <c r="B4169" s="924" t="s">
        <v>807</v>
      </c>
      <c r="C4169" s="924" t="s">
        <v>1199</v>
      </c>
      <c r="D4169" s="924" t="s">
        <v>855</v>
      </c>
      <c r="E4169" s="924" t="s">
        <v>856</v>
      </c>
      <c r="F4169" s="924" t="s">
        <v>1161</v>
      </c>
      <c r="G4169" s="924" t="s">
        <v>981</v>
      </c>
      <c r="H4169" s="924" t="s">
        <v>835</v>
      </c>
      <c r="I4169" s="924" t="s">
        <v>1040</v>
      </c>
      <c r="J4169" s="924" t="s">
        <v>940</v>
      </c>
      <c r="K4169" s="924" t="s">
        <v>1027</v>
      </c>
      <c r="L4169" s="925">
        <v>78.360365003347397</v>
      </c>
      <c r="M4169" s="925">
        <v>5.4021570650718297E-2</v>
      </c>
    </row>
    <row r="4170" spans="1:13" ht="11.25" customHeight="1" x14ac:dyDescent="0.2">
      <c r="A4170" s="924" t="s">
        <v>853</v>
      </c>
      <c r="B4170" s="924" t="s">
        <v>807</v>
      </c>
      <c r="C4170" s="924" t="s">
        <v>1199</v>
      </c>
      <c r="D4170" s="924" t="s">
        <v>855</v>
      </c>
      <c r="E4170" s="924" t="s">
        <v>856</v>
      </c>
      <c r="F4170" s="924" t="s">
        <v>1109</v>
      </c>
      <c r="G4170" s="924" t="s">
        <v>981</v>
      </c>
      <c r="H4170" s="924" t="s">
        <v>835</v>
      </c>
      <c r="I4170" s="924" t="s">
        <v>1040</v>
      </c>
      <c r="J4170" s="924" t="s">
        <v>870</v>
      </c>
      <c r="K4170" s="924" t="s">
        <v>976</v>
      </c>
      <c r="L4170" s="925">
        <v>5.3526761382818204</v>
      </c>
      <c r="M4170" s="925">
        <v>1.0930704497838001E-3</v>
      </c>
    </row>
    <row r="4171" spans="1:13" ht="11.25" customHeight="1" x14ac:dyDescent="0.2">
      <c r="A4171" s="924" t="s">
        <v>853</v>
      </c>
      <c r="B4171" s="924" t="s">
        <v>807</v>
      </c>
      <c r="C4171" s="924" t="s">
        <v>1199</v>
      </c>
      <c r="D4171" s="924" t="s">
        <v>855</v>
      </c>
      <c r="E4171" s="924" t="s">
        <v>856</v>
      </c>
      <c r="F4171" s="924" t="s">
        <v>1110</v>
      </c>
      <c r="G4171" s="924" t="s">
        <v>981</v>
      </c>
      <c r="H4171" s="924" t="s">
        <v>835</v>
      </c>
      <c r="I4171" s="924" t="s">
        <v>1040</v>
      </c>
      <c r="J4171" s="924" t="s">
        <v>870</v>
      </c>
      <c r="K4171" s="924" t="s">
        <v>1019</v>
      </c>
      <c r="L4171" s="925">
        <v>4.1336040798341897E-2</v>
      </c>
      <c r="M4171" s="925">
        <v>3.4577799535639997E-5</v>
      </c>
    </row>
    <row r="4172" spans="1:13" ht="11.25" customHeight="1" x14ac:dyDescent="0.2">
      <c r="A4172" s="924" t="s">
        <v>853</v>
      </c>
      <c r="B4172" s="924" t="s">
        <v>807</v>
      </c>
      <c r="C4172" s="924" t="s">
        <v>1199</v>
      </c>
      <c r="D4172" s="924" t="s">
        <v>855</v>
      </c>
      <c r="E4172" s="924" t="s">
        <v>856</v>
      </c>
      <c r="F4172" s="924" t="s">
        <v>1108</v>
      </c>
      <c r="G4172" s="924" t="s">
        <v>981</v>
      </c>
      <c r="H4172" s="924" t="s">
        <v>835</v>
      </c>
      <c r="I4172" s="924" t="s">
        <v>1040</v>
      </c>
      <c r="J4172" s="924" t="s">
        <v>870</v>
      </c>
      <c r="K4172" s="924" t="s">
        <v>1036</v>
      </c>
      <c r="L4172" s="925">
        <v>1.3871597521938399</v>
      </c>
      <c r="M4172" s="925">
        <v>9.3656494618699104E-4</v>
      </c>
    </row>
    <row r="4173" spans="1:13" ht="11.25" customHeight="1" x14ac:dyDescent="0.2">
      <c r="A4173" s="924" t="s">
        <v>853</v>
      </c>
      <c r="B4173" s="924" t="s">
        <v>807</v>
      </c>
      <c r="C4173" s="924" t="s">
        <v>1199</v>
      </c>
      <c r="D4173" s="924" t="s">
        <v>855</v>
      </c>
      <c r="E4173" s="924" t="s">
        <v>856</v>
      </c>
      <c r="F4173" s="924" t="s">
        <v>1107</v>
      </c>
      <c r="G4173" s="924" t="s">
        <v>981</v>
      </c>
      <c r="H4173" s="924" t="s">
        <v>835</v>
      </c>
      <c r="I4173" s="924" t="s">
        <v>1040</v>
      </c>
      <c r="J4173" s="924" t="s">
        <v>940</v>
      </c>
      <c r="K4173" s="924" t="s">
        <v>1034</v>
      </c>
      <c r="L4173" s="925">
        <v>93.546759784221607</v>
      </c>
      <c r="M4173" s="925">
        <v>6.7847936458321101E-2</v>
      </c>
    </row>
    <row r="4174" spans="1:13" ht="11.25" customHeight="1" x14ac:dyDescent="0.2">
      <c r="A4174" s="924" t="s">
        <v>853</v>
      </c>
      <c r="B4174" s="924" t="s">
        <v>807</v>
      </c>
      <c r="C4174" s="924" t="s">
        <v>1199</v>
      </c>
      <c r="D4174" s="924" t="s">
        <v>855</v>
      </c>
      <c r="E4174" s="924" t="s">
        <v>856</v>
      </c>
      <c r="F4174" s="924" t="s">
        <v>1105</v>
      </c>
      <c r="G4174" s="924" t="s">
        <v>981</v>
      </c>
      <c r="H4174" s="924" t="s">
        <v>835</v>
      </c>
      <c r="I4174" s="924" t="s">
        <v>1040</v>
      </c>
      <c r="J4174" s="924" t="s">
        <v>940</v>
      </c>
      <c r="K4174" s="924" t="s">
        <v>1106</v>
      </c>
      <c r="L4174" s="925">
        <v>24.7976792156696</v>
      </c>
      <c r="M4174" s="925">
        <v>1.8127461321668599E-2</v>
      </c>
    </row>
    <row r="4175" spans="1:13" ht="11.25" customHeight="1" x14ac:dyDescent="0.2">
      <c r="A4175" s="924" t="s">
        <v>853</v>
      </c>
      <c r="B4175" s="924" t="s">
        <v>807</v>
      </c>
      <c r="C4175" s="924" t="s">
        <v>1199</v>
      </c>
      <c r="D4175" s="924" t="s">
        <v>855</v>
      </c>
      <c r="E4175" s="924" t="s">
        <v>856</v>
      </c>
      <c r="F4175" s="924" t="s">
        <v>1116</v>
      </c>
      <c r="G4175" s="924" t="s">
        <v>981</v>
      </c>
      <c r="H4175" s="924" t="s">
        <v>835</v>
      </c>
      <c r="I4175" s="924" t="s">
        <v>1040</v>
      </c>
      <c r="J4175" s="924" t="s">
        <v>940</v>
      </c>
      <c r="K4175" s="924" t="s">
        <v>1032</v>
      </c>
      <c r="L4175" s="925">
        <v>3043.2240810394301</v>
      </c>
      <c r="M4175" s="925">
        <v>1.91322520747781</v>
      </c>
    </row>
    <row r="4176" spans="1:13" ht="11.25" customHeight="1" x14ac:dyDescent="0.2">
      <c r="A4176" s="924" t="s">
        <v>853</v>
      </c>
      <c r="B4176" s="924" t="s">
        <v>807</v>
      </c>
      <c r="C4176" s="924" t="s">
        <v>1199</v>
      </c>
      <c r="D4176" s="924" t="s">
        <v>855</v>
      </c>
      <c r="E4176" s="924" t="s">
        <v>856</v>
      </c>
      <c r="F4176" s="924" t="s">
        <v>1145</v>
      </c>
      <c r="G4176" s="924" t="s">
        <v>981</v>
      </c>
      <c r="H4176" s="924" t="s">
        <v>835</v>
      </c>
      <c r="I4176" s="924" t="s">
        <v>1040</v>
      </c>
      <c r="J4176" s="924" t="s">
        <v>940</v>
      </c>
      <c r="K4176" s="924" t="s">
        <v>1029</v>
      </c>
      <c r="L4176" s="925">
        <v>942.76329469680798</v>
      </c>
      <c r="M4176" s="925">
        <v>0.61816869257018003</v>
      </c>
    </row>
    <row r="4177" spans="1:13" ht="11.25" customHeight="1" x14ac:dyDescent="0.2">
      <c r="A4177" s="924" t="s">
        <v>853</v>
      </c>
      <c r="B4177" s="924" t="s">
        <v>807</v>
      </c>
      <c r="C4177" s="924" t="s">
        <v>1199</v>
      </c>
      <c r="D4177" s="924" t="s">
        <v>855</v>
      </c>
      <c r="E4177" s="924" t="s">
        <v>856</v>
      </c>
      <c r="F4177" s="924" t="s">
        <v>1146</v>
      </c>
      <c r="G4177" s="924" t="s">
        <v>981</v>
      </c>
      <c r="H4177" s="924" t="s">
        <v>835</v>
      </c>
      <c r="I4177" s="924" t="s">
        <v>1040</v>
      </c>
      <c r="J4177" s="924" t="s">
        <v>940</v>
      </c>
      <c r="K4177" s="924" t="s">
        <v>1147</v>
      </c>
      <c r="L4177" s="925">
        <v>697.54136228561401</v>
      </c>
      <c r="M4177" s="925">
        <v>0.44778381427750003</v>
      </c>
    </row>
    <row r="4178" spans="1:13" ht="11.25" customHeight="1" x14ac:dyDescent="0.2">
      <c r="A4178" s="924" t="s">
        <v>853</v>
      </c>
      <c r="B4178" s="924" t="s">
        <v>807</v>
      </c>
      <c r="C4178" s="924" t="s">
        <v>1199</v>
      </c>
      <c r="D4178" s="924" t="s">
        <v>855</v>
      </c>
      <c r="E4178" s="924" t="s">
        <v>856</v>
      </c>
      <c r="F4178" s="924" t="s">
        <v>1150</v>
      </c>
      <c r="G4178" s="924" t="s">
        <v>981</v>
      </c>
      <c r="H4178" s="924" t="s">
        <v>835</v>
      </c>
      <c r="I4178" s="924" t="s">
        <v>1040</v>
      </c>
      <c r="J4178" s="924" t="s">
        <v>940</v>
      </c>
      <c r="K4178" s="924" t="s">
        <v>1151</v>
      </c>
      <c r="L4178" s="925">
        <v>37.395343691110597</v>
      </c>
      <c r="M4178" s="925">
        <v>2.6257368728693099E-2</v>
      </c>
    </row>
    <row r="4179" spans="1:13" ht="11.25" customHeight="1" x14ac:dyDescent="0.2">
      <c r="A4179" s="924" t="s">
        <v>853</v>
      </c>
      <c r="B4179" s="924" t="s">
        <v>807</v>
      </c>
      <c r="C4179" s="924" t="s">
        <v>1199</v>
      </c>
      <c r="D4179" s="924" t="s">
        <v>855</v>
      </c>
      <c r="E4179" s="924" t="s">
        <v>856</v>
      </c>
      <c r="F4179" s="924" t="s">
        <v>1132</v>
      </c>
      <c r="G4179" s="924" t="s">
        <v>981</v>
      </c>
      <c r="H4179" s="924" t="s">
        <v>835</v>
      </c>
      <c r="I4179" s="924" t="s">
        <v>1040</v>
      </c>
      <c r="J4179" s="924" t="s">
        <v>940</v>
      </c>
      <c r="K4179" s="924" t="s">
        <v>941</v>
      </c>
      <c r="L4179" s="925">
        <v>157.312917768955</v>
      </c>
      <c r="M4179" s="925">
        <v>6.8506697192788096E-2</v>
      </c>
    </row>
    <row r="4180" spans="1:13" ht="11.25" customHeight="1" x14ac:dyDescent="0.2">
      <c r="A4180" s="924" t="s">
        <v>853</v>
      </c>
      <c r="B4180" s="924" t="s">
        <v>808</v>
      </c>
      <c r="C4180" s="924" t="s">
        <v>1200</v>
      </c>
      <c r="D4180" s="924" t="s">
        <v>855</v>
      </c>
      <c r="E4180" s="924" t="s">
        <v>856</v>
      </c>
      <c r="F4180" s="924" t="s">
        <v>874</v>
      </c>
      <c r="G4180" s="924" t="s">
        <v>862</v>
      </c>
      <c r="H4180" s="924" t="s">
        <v>665</v>
      </c>
      <c r="I4180" s="924" t="s">
        <v>787</v>
      </c>
      <c r="J4180" s="924" t="s">
        <v>875</v>
      </c>
      <c r="K4180" s="924" t="s">
        <v>876</v>
      </c>
      <c r="L4180" s="925">
        <v>40.884590625762897</v>
      </c>
      <c r="M4180" s="925">
        <v>1.2436532417777899</v>
      </c>
    </row>
    <row r="4181" spans="1:13" ht="11.25" customHeight="1" x14ac:dyDescent="0.2">
      <c r="A4181" s="924" t="s">
        <v>853</v>
      </c>
      <c r="B4181" s="924" t="s">
        <v>808</v>
      </c>
      <c r="C4181" s="924" t="s">
        <v>1200</v>
      </c>
      <c r="D4181" s="924" t="s">
        <v>855</v>
      </c>
      <c r="E4181" s="924" t="s">
        <v>856</v>
      </c>
      <c r="F4181" s="924" t="s">
        <v>857</v>
      </c>
      <c r="G4181" s="924" t="s">
        <v>858</v>
      </c>
      <c r="H4181" s="924" t="s">
        <v>836</v>
      </c>
      <c r="I4181" s="924" t="s">
        <v>837</v>
      </c>
      <c r="J4181" s="924" t="s">
        <v>859</v>
      </c>
      <c r="K4181" s="924" t="s">
        <v>860</v>
      </c>
      <c r="L4181" s="925">
        <v>7.0179701969027501</v>
      </c>
      <c r="M4181" s="925">
        <v>6.4587360470991196E-4</v>
      </c>
    </row>
    <row r="4182" spans="1:13" ht="11.25" customHeight="1" x14ac:dyDescent="0.2">
      <c r="A4182" s="924" t="s">
        <v>853</v>
      </c>
      <c r="B4182" s="924" t="s">
        <v>808</v>
      </c>
      <c r="C4182" s="924" t="s">
        <v>1200</v>
      </c>
      <c r="D4182" s="924" t="s">
        <v>855</v>
      </c>
      <c r="E4182" s="924" t="s">
        <v>856</v>
      </c>
      <c r="F4182" s="924" t="s">
        <v>888</v>
      </c>
      <c r="G4182" s="924" t="s">
        <v>858</v>
      </c>
      <c r="H4182" s="924" t="s">
        <v>836</v>
      </c>
      <c r="I4182" s="924" t="s">
        <v>837</v>
      </c>
      <c r="J4182" s="924" t="s">
        <v>859</v>
      </c>
      <c r="K4182" s="924" t="s">
        <v>889</v>
      </c>
      <c r="L4182" s="925">
        <v>0.42598225362598902</v>
      </c>
      <c r="M4182" s="925">
        <v>4.7002058786493897E-5</v>
      </c>
    </row>
    <row r="4183" spans="1:13" ht="11.25" customHeight="1" x14ac:dyDescent="0.2">
      <c r="A4183" s="924" t="s">
        <v>853</v>
      </c>
      <c r="B4183" s="924" t="s">
        <v>808</v>
      </c>
      <c r="C4183" s="924" t="s">
        <v>1200</v>
      </c>
      <c r="D4183" s="924" t="s">
        <v>855</v>
      </c>
      <c r="E4183" s="924" t="s">
        <v>856</v>
      </c>
      <c r="F4183" s="924" t="s">
        <v>912</v>
      </c>
      <c r="G4183" s="924" t="s">
        <v>858</v>
      </c>
      <c r="H4183" s="924" t="s">
        <v>836</v>
      </c>
      <c r="I4183" s="924" t="s">
        <v>837</v>
      </c>
      <c r="J4183" s="924" t="s">
        <v>859</v>
      </c>
      <c r="K4183" s="924" t="s">
        <v>913</v>
      </c>
      <c r="L4183" s="925">
        <v>261.61926102638199</v>
      </c>
      <c r="M4183" s="925">
        <v>2.88106648795861E-3</v>
      </c>
    </row>
    <row r="4184" spans="1:13" ht="11.25" customHeight="1" x14ac:dyDescent="0.2">
      <c r="A4184" s="924" t="s">
        <v>853</v>
      </c>
      <c r="B4184" s="924" t="s">
        <v>808</v>
      </c>
      <c r="C4184" s="924" t="s">
        <v>1200</v>
      </c>
      <c r="D4184" s="924" t="s">
        <v>855</v>
      </c>
      <c r="E4184" s="924" t="s">
        <v>856</v>
      </c>
      <c r="F4184" s="924" t="s">
        <v>883</v>
      </c>
      <c r="G4184" s="924" t="s">
        <v>858</v>
      </c>
      <c r="H4184" s="924" t="s">
        <v>836</v>
      </c>
      <c r="I4184" s="924" t="s">
        <v>837</v>
      </c>
      <c r="J4184" s="924" t="s">
        <v>884</v>
      </c>
      <c r="K4184" s="924" t="s">
        <v>885</v>
      </c>
      <c r="L4184" s="925">
        <v>118.161397457123</v>
      </c>
      <c r="M4184" s="925">
        <v>4.5321243297848897E-3</v>
      </c>
    </row>
    <row r="4185" spans="1:13" ht="11.25" customHeight="1" x14ac:dyDescent="0.2">
      <c r="A4185" s="924" t="s">
        <v>853</v>
      </c>
      <c r="B4185" s="924" t="s">
        <v>808</v>
      </c>
      <c r="C4185" s="924" t="s">
        <v>1200</v>
      </c>
      <c r="D4185" s="924" t="s">
        <v>855</v>
      </c>
      <c r="E4185" s="924" t="s">
        <v>856</v>
      </c>
      <c r="F4185" s="924" t="s">
        <v>1170</v>
      </c>
      <c r="G4185" s="924" t="s">
        <v>862</v>
      </c>
      <c r="H4185" s="924" t="s">
        <v>665</v>
      </c>
      <c r="I4185" s="924" t="s">
        <v>787</v>
      </c>
      <c r="J4185" s="924" t="s">
        <v>863</v>
      </c>
      <c r="K4185" s="924" t="s">
        <v>1171</v>
      </c>
      <c r="L4185" s="925">
        <v>2.90238475054502</v>
      </c>
      <c r="M4185" s="925">
        <v>1.26718944229651E-2</v>
      </c>
    </row>
    <row r="4186" spans="1:13" ht="11.25" customHeight="1" x14ac:dyDescent="0.2">
      <c r="A4186" s="924" t="s">
        <v>853</v>
      </c>
      <c r="B4186" s="924" t="s">
        <v>808</v>
      </c>
      <c r="C4186" s="924" t="s">
        <v>1200</v>
      </c>
      <c r="D4186" s="924" t="s">
        <v>855</v>
      </c>
      <c r="E4186" s="924" t="s">
        <v>856</v>
      </c>
      <c r="F4186" s="924" t="s">
        <v>881</v>
      </c>
      <c r="G4186" s="924" t="s">
        <v>862</v>
      </c>
      <c r="H4186" s="924" t="s">
        <v>665</v>
      </c>
      <c r="I4186" s="924" t="s">
        <v>787</v>
      </c>
      <c r="J4186" s="924" t="s">
        <v>875</v>
      </c>
      <c r="K4186" s="924" t="s">
        <v>882</v>
      </c>
      <c r="L4186" s="925">
        <v>102.662401795387</v>
      </c>
      <c r="M4186" s="925">
        <v>0.49058452993631402</v>
      </c>
    </row>
    <row r="4187" spans="1:13" ht="11.25" customHeight="1" x14ac:dyDescent="0.2">
      <c r="A4187" s="924" t="s">
        <v>853</v>
      </c>
      <c r="B4187" s="924" t="s">
        <v>808</v>
      </c>
      <c r="C4187" s="924" t="s">
        <v>1200</v>
      </c>
      <c r="D4187" s="924" t="s">
        <v>855</v>
      </c>
      <c r="E4187" s="924" t="s">
        <v>856</v>
      </c>
      <c r="F4187" s="924" t="s">
        <v>872</v>
      </c>
      <c r="G4187" s="924" t="s">
        <v>862</v>
      </c>
      <c r="H4187" s="924" t="s">
        <v>665</v>
      </c>
      <c r="I4187" s="924" t="s">
        <v>787</v>
      </c>
      <c r="J4187" s="924" t="s">
        <v>870</v>
      </c>
      <c r="K4187" s="924" t="s">
        <v>873</v>
      </c>
      <c r="L4187" s="925">
        <v>9.98031387478113</v>
      </c>
      <c r="M4187" s="925">
        <v>4.0170892374589998E-2</v>
      </c>
    </row>
    <row r="4188" spans="1:13" ht="11.25" customHeight="1" x14ac:dyDescent="0.2">
      <c r="A4188" s="924" t="s">
        <v>853</v>
      </c>
      <c r="B4188" s="924" t="s">
        <v>808</v>
      </c>
      <c r="C4188" s="924" t="s">
        <v>1200</v>
      </c>
      <c r="D4188" s="924" t="s">
        <v>855</v>
      </c>
      <c r="E4188" s="924" t="s">
        <v>856</v>
      </c>
      <c r="F4188" s="924" t="s">
        <v>877</v>
      </c>
      <c r="G4188" s="924" t="s">
        <v>862</v>
      </c>
      <c r="H4188" s="924" t="s">
        <v>665</v>
      </c>
      <c r="I4188" s="924" t="s">
        <v>787</v>
      </c>
      <c r="J4188" s="924" t="s">
        <v>875</v>
      </c>
      <c r="K4188" s="924" t="s">
        <v>878</v>
      </c>
      <c r="L4188" s="925">
        <v>1.9556772895157299</v>
      </c>
      <c r="M4188" s="925">
        <v>3.2039279918535599E-2</v>
      </c>
    </row>
    <row r="4189" spans="1:13" ht="11.25" customHeight="1" x14ac:dyDescent="0.2">
      <c r="A4189" s="924" t="s">
        <v>853</v>
      </c>
      <c r="B4189" s="924" t="s">
        <v>808</v>
      </c>
      <c r="C4189" s="924" t="s">
        <v>1200</v>
      </c>
      <c r="D4189" s="924" t="s">
        <v>855</v>
      </c>
      <c r="E4189" s="924" t="s">
        <v>856</v>
      </c>
      <c r="F4189" s="924" t="s">
        <v>892</v>
      </c>
      <c r="G4189" s="924" t="s">
        <v>858</v>
      </c>
      <c r="H4189" s="924" t="s">
        <v>836</v>
      </c>
      <c r="I4189" s="924" t="s">
        <v>837</v>
      </c>
      <c r="J4189" s="924" t="s">
        <v>859</v>
      </c>
      <c r="K4189" s="924" t="s">
        <v>893</v>
      </c>
      <c r="L4189" s="925">
        <v>654.91363143920898</v>
      </c>
      <c r="M4189" s="925">
        <v>8.2845339413779601E-3</v>
      </c>
    </row>
    <row r="4190" spans="1:13" ht="11.25" customHeight="1" x14ac:dyDescent="0.2">
      <c r="A4190" s="924" t="s">
        <v>853</v>
      </c>
      <c r="B4190" s="924" t="s">
        <v>808</v>
      </c>
      <c r="C4190" s="924" t="s">
        <v>1200</v>
      </c>
      <c r="D4190" s="924" t="s">
        <v>855</v>
      </c>
      <c r="E4190" s="924" t="s">
        <v>856</v>
      </c>
      <c r="F4190" s="924" t="s">
        <v>904</v>
      </c>
      <c r="G4190" s="924" t="s">
        <v>858</v>
      </c>
      <c r="H4190" s="924" t="s">
        <v>836</v>
      </c>
      <c r="I4190" s="924" t="s">
        <v>837</v>
      </c>
      <c r="J4190" s="924" t="s">
        <v>859</v>
      </c>
      <c r="K4190" s="924" t="s">
        <v>905</v>
      </c>
      <c r="L4190" s="925">
        <v>268.92449021339399</v>
      </c>
      <c r="M4190" s="925">
        <v>5.0946234762250199E-3</v>
      </c>
    </row>
    <row r="4191" spans="1:13" ht="11.25" customHeight="1" x14ac:dyDescent="0.2">
      <c r="A4191" s="924" t="s">
        <v>853</v>
      </c>
      <c r="B4191" s="924" t="s">
        <v>808</v>
      </c>
      <c r="C4191" s="924" t="s">
        <v>1200</v>
      </c>
      <c r="D4191" s="924" t="s">
        <v>855</v>
      </c>
      <c r="E4191" s="924" t="s">
        <v>856</v>
      </c>
      <c r="F4191" s="924" t="s">
        <v>869</v>
      </c>
      <c r="G4191" s="924" t="s">
        <v>862</v>
      </c>
      <c r="H4191" s="924" t="s">
        <v>665</v>
      </c>
      <c r="I4191" s="924" t="s">
        <v>787</v>
      </c>
      <c r="J4191" s="924" t="s">
        <v>870</v>
      </c>
      <c r="K4191" s="924" t="s">
        <v>871</v>
      </c>
      <c r="L4191" s="925">
        <v>9.0730288095073802E-2</v>
      </c>
      <c r="M4191" s="925">
        <v>5.2058803435102198E-3</v>
      </c>
    </row>
    <row r="4192" spans="1:13" ht="11.25" customHeight="1" x14ac:dyDescent="0.2">
      <c r="A4192" s="924" t="s">
        <v>853</v>
      </c>
      <c r="B4192" s="924" t="s">
        <v>808</v>
      </c>
      <c r="C4192" s="924" t="s">
        <v>1200</v>
      </c>
      <c r="D4192" s="924" t="s">
        <v>855</v>
      </c>
      <c r="E4192" s="924" t="s">
        <v>856</v>
      </c>
      <c r="F4192" s="924" t="s">
        <v>879</v>
      </c>
      <c r="G4192" s="924" t="s">
        <v>862</v>
      </c>
      <c r="H4192" s="924" t="s">
        <v>665</v>
      </c>
      <c r="I4192" s="924" t="s">
        <v>787</v>
      </c>
      <c r="J4192" s="924" t="s">
        <v>875</v>
      </c>
      <c r="K4192" s="924" t="s">
        <v>880</v>
      </c>
      <c r="L4192" s="925">
        <v>2.8845409639179702</v>
      </c>
      <c r="M4192" s="925">
        <v>1.6227876204538898E-2</v>
      </c>
    </row>
    <row r="4193" spans="1:13" ht="11.25" customHeight="1" x14ac:dyDescent="0.2">
      <c r="A4193" s="924" t="s">
        <v>853</v>
      </c>
      <c r="B4193" s="924" t="s">
        <v>808</v>
      </c>
      <c r="C4193" s="924" t="s">
        <v>1200</v>
      </c>
      <c r="D4193" s="924" t="s">
        <v>855</v>
      </c>
      <c r="E4193" s="924" t="s">
        <v>856</v>
      </c>
      <c r="F4193" s="924" t="s">
        <v>894</v>
      </c>
      <c r="G4193" s="924" t="s">
        <v>858</v>
      </c>
      <c r="H4193" s="924" t="s">
        <v>836</v>
      </c>
      <c r="I4193" s="924" t="s">
        <v>837</v>
      </c>
      <c r="J4193" s="924" t="s">
        <v>859</v>
      </c>
      <c r="K4193" s="924" t="s">
        <v>895</v>
      </c>
      <c r="L4193" s="925">
        <v>712.56665611267101</v>
      </c>
      <c r="M4193" s="925">
        <v>4.7199992204696199E-3</v>
      </c>
    </row>
    <row r="4194" spans="1:13" ht="11.25" customHeight="1" x14ac:dyDescent="0.2">
      <c r="A4194" s="924" t="s">
        <v>853</v>
      </c>
      <c r="B4194" s="924" t="s">
        <v>808</v>
      </c>
      <c r="C4194" s="924" t="s">
        <v>1200</v>
      </c>
      <c r="D4194" s="924" t="s">
        <v>855</v>
      </c>
      <c r="E4194" s="924" t="s">
        <v>856</v>
      </c>
      <c r="F4194" s="924" t="s">
        <v>896</v>
      </c>
      <c r="G4194" s="924" t="s">
        <v>858</v>
      </c>
      <c r="H4194" s="924" t="s">
        <v>836</v>
      </c>
      <c r="I4194" s="924" t="s">
        <v>837</v>
      </c>
      <c r="J4194" s="924" t="s">
        <v>859</v>
      </c>
      <c r="K4194" s="924" t="s">
        <v>897</v>
      </c>
      <c r="L4194" s="925">
        <v>39.2931997776031</v>
      </c>
      <c r="M4194" s="925">
        <v>6.3630703316164305E-4</v>
      </c>
    </row>
    <row r="4195" spans="1:13" ht="11.25" customHeight="1" x14ac:dyDescent="0.2">
      <c r="A4195" s="924" t="s">
        <v>853</v>
      </c>
      <c r="B4195" s="924" t="s">
        <v>808</v>
      </c>
      <c r="C4195" s="924" t="s">
        <v>1200</v>
      </c>
      <c r="D4195" s="924" t="s">
        <v>855</v>
      </c>
      <c r="E4195" s="924" t="s">
        <v>856</v>
      </c>
      <c r="F4195" s="924" t="s">
        <v>898</v>
      </c>
      <c r="G4195" s="924" t="s">
        <v>858</v>
      </c>
      <c r="H4195" s="924" t="s">
        <v>836</v>
      </c>
      <c r="I4195" s="924" t="s">
        <v>837</v>
      </c>
      <c r="J4195" s="924" t="s">
        <v>859</v>
      </c>
      <c r="K4195" s="924" t="s">
        <v>899</v>
      </c>
      <c r="L4195" s="925">
        <v>24.0815915763378</v>
      </c>
      <c r="M4195" s="925">
        <v>4.1887585158661999E-4</v>
      </c>
    </row>
    <row r="4196" spans="1:13" ht="11.25" customHeight="1" x14ac:dyDescent="0.2">
      <c r="A4196" s="924" t="s">
        <v>853</v>
      </c>
      <c r="B4196" s="924" t="s">
        <v>808</v>
      </c>
      <c r="C4196" s="924" t="s">
        <v>1200</v>
      </c>
      <c r="D4196" s="924" t="s">
        <v>855</v>
      </c>
      <c r="E4196" s="924" t="s">
        <v>856</v>
      </c>
      <c r="F4196" s="924" t="s">
        <v>1037</v>
      </c>
      <c r="G4196" s="924" t="s">
        <v>858</v>
      </c>
      <c r="H4196" s="924" t="s">
        <v>836</v>
      </c>
      <c r="I4196" s="924" t="s">
        <v>837</v>
      </c>
      <c r="J4196" s="924" t="s">
        <v>859</v>
      </c>
      <c r="K4196" s="924" t="s">
        <v>918</v>
      </c>
      <c r="L4196" s="925">
        <v>606.78223848342896</v>
      </c>
      <c r="M4196" s="925">
        <v>5.8723405149976298E-3</v>
      </c>
    </row>
    <row r="4197" spans="1:13" ht="11.25" customHeight="1" x14ac:dyDescent="0.2">
      <c r="A4197" s="924" t="s">
        <v>853</v>
      </c>
      <c r="B4197" s="924" t="s">
        <v>808</v>
      </c>
      <c r="C4197" s="924" t="s">
        <v>1200</v>
      </c>
      <c r="D4197" s="924" t="s">
        <v>855</v>
      </c>
      <c r="E4197" s="924" t="s">
        <v>856</v>
      </c>
      <c r="F4197" s="924" t="s">
        <v>902</v>
      </c>
      <c r="G4197" s="924" t="s">
        <v>858</v>
      </c>
      <c r="H4197" s="924" t="s">
        <v>836</v>
      </c>
      <c r="I4197" s="924" t="s">
        <v>837</v>
      </c>
      <c r="J4197" s="924" t="s">
        <v>859</v>
      </c>
      <c r="K4197" s="924" t="s">
        <v>903</v>
      </c>
      <c r="L4197" s="925">
        <v>310.59410452842701</v>
      </c>
      <c r="M4197" s="925">
        <v>5.3993101948321999E-3</v>
      </c>
    </row>
    <row r="4198" spans="1:13" ht="11.25" customHeight="1" x14ac:dyDescent="0.2">
      <c r="A4198" s="924" t="s">
        <v>853</v>
      </c>
      <c r="B4198" s="924" t="s">
        <v>808</v>
      </c>
      <c r="C4198" s="924" t="s">
        <v>1200</v>
      </c>
      <c r="D4198" s="924" t="s">
        <v>855</v>
      </c>
      <c r="E4198" s="924" t="s">
        <v>856</v>
      </c>
      <c r="F4198" s="924" t="s">
        <v>867</v>
      </c>
      <c r="G4198" s="924" t="s">
        <v>862</v>
      </c>
      <c r="H4198" s="924" t="s">
        <v>665</v>
      </c>
      <c r="I4198" s="924" t="s">
        <v>787</v>
      </c>
      <c r="J4198" s="924" t="s">
        <v>863</v>
      </c>
      <c r="K4198" s="924" t="s">
        <v>868</v>
      </c>
      <c r="L4198" s="925">
        <v>3.66863065585494</v>
      </c>
      <c r="M4198" s="925">
        <v>1.5009895651019199E-2</v>
      </c>
    </row>
    <row r="4199" spans="1:13" ht="11.25" customHeight="1" x14ac:dyDescent="0.2">
      <c r="A4199" s="924" t="s">
        <v>853</v>
      </c>
      <c r="B4199" s="924" t="s">
        <v>808</v>
      </c>
      <c r="C4199" s="924" t="s">
        <v>1200</v>
      </c>
      <c r="D4199" s="924" t="s">
        <v>855</v>
      </c>
      <c r="E4199" s="924" t="s">
        <v>856</v>
      </c>
      <c r="F4199" s="924" t="s">
        <v>906</v>
      </c>
      <c r="G4199" s="924" t="s">
        <v>858</v>
      </c>
      <c r="H4199" s="924" t="s">
        <v>836</v>
      </c>
      <c r="I4199" s="924" t="s">
        <v>837</v>
      </c>
      <c r="J4199" s="924" t="s">
        <v>859</v>
      </c>
      <c r="K4199" s="924" t="s">
        <v>907</v>
      </c>
      <c r="L4199" s="925">
        <v>2654.01195526123</v>
      </c>
      <c r="M4199" s="925">
        <v>1.7669003000719399E-2</v>
      </c>
    </row>
    <row r="4200" spans="1:13" ht="11.25" customHeight="1" x14ac:dyDescent="0.2">
      <c r="A4200" s="924" t="s">
        <v>853</v>
      </c>
      <c r="B4200" s="924" t="s">
        <v>808</v>
      </c>
      <c r="C4200" s="924" t="s">
        <v>1200</v>
      </c>
      <c r="D4200" s="924" t="s">
        <v>855</v>
      </c>
      <c r="E4200" s="924" t="s">
        <v>856</v>
      </c>
      <c r="F4200" s="924" t="s">
        <v>908</v>
      </c>
      <c r="G4200" s="924" t="s">
        <v>858</v>
      </c>
      <c r="H4200" s="924" t="s">
        <v>836</v>
      </c>
      <c r="I4200" s="924" t="s">
        <v>837</v>
      </c>
      <c r="J4200" s="924" t="s">
        <v>859</v>
      </c>
      <c r="K4200" s="924" t="s">
        <v>909</v>
      </c>
      <c r="L4200" s="925">
        <v>22.080324888229399</v>
      </c>
      <c r="M4200" s="925">
        <v>4.6214949611211902E-4</v>
      </c>
    </row>
    <row r="4201" spans="1:13" ht="11.25" customHeight="1" x14ac:dyDescent="0.2">
      <c r="A4201" s="924" t="s">
        <v>853</v>
      </c>
      <c r="B4201" s="924" t="s">
        <v>808</v>
      </c>
      <c r="C4201" s="924" t="s">
        <v>1200</v>
      </c>
      <c r="D4201" s="924" t="s">
        <v>855</v>
      </c>
      <c r="E4201" s="924" t="s">
        <v>856</v>
      </c>
      <c r="F4201" s="924" t="s">
        <v>972</v>
      </c>
      <c r="G4201" s="924" t="s">
        <v>858</v>
      </c>
      <c r="H4201" s="924" t="s">
        <v>836</v>
      </c>
      <c r="I4201" s="924" t="s">
        <v>837</v>
      </c>
      <c r="J4201" s="924" t="s">
        <v>859</v>
      </c>
      <c r="K4201" s="924" t="s">
        <v>973</v>
      </c>
      <c r="L4201" s="925">
        <v>10.4981462359428</v>
      </c>
      <c r="M4201" s="925">
        <v>2.6743354529301698E-4</v>
      </c>
    </row>
    <row r="4202" spans="1:13" ht="11.25" customHeight="1" x14ac:dyDescent="0.2">
      <c r="A4202" s="924" t="s">
        <v>853</v>
      </c>
      <c r="B4202" s="924" t="s">
        <v>808</v>
      </c>
      <c r="C4202" s="924" t="s">
        <v>1200</v>
      </c>
      <c r="D4202" s="924" t="s">
        <v>855</v>
      </c>
      <c r="E4202" s="924" t="s">
        <v>856</v>
      </c>
      <c r="F4202" s="924" t="s">
        <v>1071</v>
      </c>
      <c r="G4202" s="924" t="s">
        <v>858</v>
      </c>
      <c r="H4202" s="924" t="s">
        <v>836</v>
      </c>
      <c r="I4202" s="924" t="s">
        <v>837</v>
      </c>
      <c r="J4202" s="924" t="s">
        <v>859</v>
      </c>
      <c r="K4202" s="924" t="s">
        <v>1072</v>
      </c>
      <c r="L4202" s="925">
        <v>2271.3982372283899</v>
      </c>
      <c r="M4202" s="925">
        <v>2.0201141554935E-2</v>
      </c>
    </row>
    <row r="4203" spans="1:13" ht="11.25" customHeight="1" x14ac:dyDescent="0.2">
      <c r="A4203" s="924" t="s">
        <v>853</v>
      </c>
      <c r="B4203" s="924" t="s">
        <v>808</v>
      </c>
      <c r="C4203" s="924" t="s">
        <v>1200</v>
      </c>
      <c r="D4203" s="924" t="s">
        <v>855</v>
      </c>
      <c r="E4203" s="924" t="s">
        <v>856</v>
      </c>
      <c r="F4203" s="924" t="s">
        <v>886</v>
      </c>
      <c r="G4203" s="924" t="s">
        <v>858</v>
      </c>
      <c r="H4203" s="924" t="s">
        <v>836</v>
      </c>
      <c r="I4203" s="924" t="s">
        <v>837</v>
      </c>
      <c r="J4203" s="924" t="s">
        <v>859</v>
      </c>
      <c r="K4203" s="924" t="s">
        <v>887</v>
      </c>
      <c r="L4203" s="925">
        <v>660.33827686309803</v>
      </c>
      <c r="M4203" s="925">
        <v>4.8871300480186602E-3</v>
      </c>
    </row>
    <row r="4204" spans="1:13" ht="11.25" customHeight="1" x14ac:dyDescent="0.2">
      <c r="A4204" s="924" t="s">
        <v>853</v>
      </c>
      <c r="B4204" s="924" t="s">
        <v>808</v>
      </c>
      <c r="C4204" s="924" t="s">
        <v>1200</v>
      </c>
      <c r="D4204" s="924" t="s">
        <v>855</v>
      </c>
      <c r="E4204" s="924" t="s">
        <v>856</v>
      </c>
      <c r="F4204" s="924" t="s">
        <v>917</v>
      </c>
      <c r="G4204" s="924" t="s">
        <v>911</v>
      </c>
      <c r="H4204" s="924" t="s">
        <v>665</v>
      </c>
      <c r="I4204" s="924" t="s">
        <v>706</v>
      </c>
      <c r="J4204" s="924" t="s">
        <v>859</v>
      </c>
      <c r="K4204" s="924" t="s">
        <v>918</v>
      </c>
      <c r="L4204" s="925">
        <v>2.4270856250077499</v>
      </c>
      <c r="M4204" s="925">
        <v>7.8367672199419801E-4</v>
      </c>
    </row>
    <row r="4205" spans="1:13" ht="11.25" customHeight="1" x14ac:dyDescent="0.2">
      <c r="A4205" s="924" t="s">
        <v>853</v>
      </c>
      <c r="B4205" s="924" t="s">
        <v>808</v>
      </c>
      <c r="C4205" s="924" t="s">
        <v>1200</v>
      </c>
      <c r="D4205" s="924" t="s">
        <v>855</v>
      </c>
      <c r="E4205" s="924" t="s">
        <v>856</v>
      </c>
      <c r="F4205" s="924" t="s">
        <v>900</v>
      </c>
      <c r="G4205" s="924" t="s">
        <v>858</v>
      </c>
      <c r="H4205" s="924" t="s">
        <v>836</v>
      </c>
      <c r="I4205" s="924" t="s">
        <v>837</v>
      </c>
      <c r="J4205" s="924" t="s">
        <v>859</v>
      </c>
      <c r="K4205" s="924" t="s">
        <v>901</v>
      </c>
      <c r="L4205" s="925">
        <v>72.329793870449095</v>
      </c>
      <c r="M4205" s="925">
        <v>3.1523063138649801E-3</v>
      </c>
    </row>
    <row r="4206" spans="1:13" ht="11.25" customHeight="1" x14ac:dyDescent="0.2">
      <c r="A4206" s="924" t="s">
        <v>853</v>
      </c>
      <c r="B4206" s="924" t="s">
        <v>808</v>
      </c>
      <c r="C4206" s="924" t="s">
        <v>1200</v>
      </c>
      <c r="D4206" s="924" t="s">
        <v>855</v>
      </c>
      <c r="E4206" s="924" t="s">
        <v>856</v>
      </c>
      <c r="F4206" s="924" t="s">
        <v>942</v>
      </c>
      <c r="G4206" s="924" t="s">
        <v>911</v>
      </c>
      <c r="H4206" s="924" t="s">
        <v>665</v>
      </c>
      <c r="I4206" s="924" t="s">
        <v>706</v>
      </c>
      <c r="J4206" s="924" t="s">
        <v>870</v>
      </c>
      <c r="K4206" s="924" t="s">
        <v>871</v>
      </c>
      <c r="L4206" s="925">
        <v>4.82025596429594E-2</v>
      </c>
      <c r="M4206" s="925">
        <v>3.0083614737108599E-5</v>
      </c>
    </row>
    <row r="4207" spans="1:13" ht="11.25" customHeight="1" x14ac:dyDescent="0.2">
      <c r="A4207" s="924" t="s">
        <v>853</v>
      </c>
      <c r="B4207" s="924" t="s">
        <v>808</v>
      </c>
      <c r="C4207" s="924" t="s">
        <v>1200</v>
      </c>
      <c r="D4207" s="924" t="s">
        <v>855</v>
      </c>
      <c r="E4207" s="924" t="s">
        <v>1164</v>
      </c>
      <c r="F4207" s="924" t="s">
        <v>1165</v>
      </c>
      <c r="G4207" s="924" t="s">
        <v>981</v>
      </c>
      <c r="H4207" s="924" t="s">
        <v>835</v>
      </c>
      <c r="I4207" s="924" t="s">
        <v>1040</v>
      </c>
      <c r="J4207" s="924" t="s">
        <v>1166</v>
      </c>
      <c r="K4207" s="924" t="s">
        <v>1166</v>
      </c>
      <c r="L4207" s="925">
        <v>1.9383412413299099</v>
      </c>
      <c r="M4207" s="925">
        <v>5.5975656050577505E-4</v>
      </c>
    </row>
    <row r="4208" spans="1:13" ht="11.25" customHeight="1" x14ac:dyDescent="0.2">
      <c r="A4208" s="924" t="s">
        <v>853</v>
      </c>
      <c r="B4208" s="924" t="s">
        <v>808</v>
      </c>
      <c r="C4208" s="924" t="s">
        <v>1200</v>
      </c>
      <c r="D4208" s="924" t="s">
        <v>855</v>
      </c>
      <c r="E4208" s="924" t="s">
        <v>856</v>
      </c>
      <c r="F4208" s="924" t="s">
        <v>953</v>
      </c>
      <c r="G4208" s="924" t="s">
        <v>858</v>
      </c>
      <c r="H4208" s="924" t="s">
        <v>836</v>
      </c>
      <c r="I4208" s="924" t="s">
        <v>837</v>
      </c>
      <c r="J4208" s="924" t="s">
        <v>859</v>
      </c>
      <c r="K4208" s="924" t="s">
        <v>920</v>
      </c>
      <c r="L4208" s="925">
        <v>106.84634613990799</v>
      </c>
      <c r="M4208" s="925">
        <v>1.37818467530337E-3</v>
      </c>
    </row>
    <row r="4209" spans="1:13" ht="11.25" customHeight="1" x14ac:dyDescent="0.2">
      <c r="A4209" s="924" t="s">
        <v>853</v>
      </c>
      <c r="B4209" s="924" t="s">
        <v>808</v>
      </c>
      <c r="C4209" s="924" t="s">
        <v>1200</v>
      </c>
      <c r="D4209" s="924" t="s">
        <v>855</v>
      </c>
      <c r="E4209" s="924" t="s">
        <v>856</v>
      </c>
      <c r="F4209" s="924" t="s">
        <v>921</v>
      </c>
      <c r="G4209" s="924" t="s">
        <v>911</v>
      </c>
      <c r="H4209" s="924" t="s">
        <v>665</v>
      </c>
      <c r="I4209" s="924" t="s">
        <v>706</v>
      </c>
      <c r="J4209" s="924" t="s">
        <v>859</v>
      </c>
      <c r="K4209" s="924" t="s">
        <v>922</v>
      </c>
      <c r="L4209" s="925">
        <v>4.2526543587446204</v>
      </c>
      <c r="M4209" s="925">
        <v>5.6800641380050398E-4</v>
      </c>
    </row>
    <row r="4210" spans="1:13" ht="11.25" customHeight="1" x14ac:dyDescent="0.2">
      <c r="A4210" s="924" t="s">
        <v>853</v>
      </c>
      <c r="B4210" s="924" t="s">
        <v>808</v>
      </c>
      <c r="C4210" s="924" t="s">
        <v>1200</v>
      </c>
      <c r="D4210" s="924" t="s">
        <v>855</v>
      </c>
      <c r="E4210" s="924" t="s">
        <v>856</v>
      </c>
      <c r="F4210" s="924" t="s">
        <v>927</v>
      </c>
      <c r="G4210" s="924" t="s">
        <v>911</v>
      </c>
      <c r="H4210" s="924" t="s">
        <v>665</v>
      </c>
      <c r="I4210" s="924" t="s">
        <v>706</v>
      </c>
      <c r="J4210" s="924" t="s">
        <v>859</v>
      </c>
      <c r="K4210" s="924" t="s">
        <v>928</v>
      </c>
      <c r="L4210" s="925">
        <v>8.9735109880566597</v>
      </c>
      <c r="M4210" s="925">
        <v>2.6613509035087199E-3</v>
      </c>
    </row>
    <row r="4211" spans="1:13" ht="11.25" customHeight="1" x14ac:dyDescent="0.2">
      <c r="A4211" s="924" t="s">
        <v>853</v>
      </c>
      <c r="B4211" s="924" t="s">
        <v>808</v>
      </c>
      <c r="C4211" s="924" t="s">
        <v>1200</v>
      </c>
      <c r="D4211" s="924" t="s">
        <v>855</v>
      </c>
      <c r="E4211" s="924" t="s">
        <v>856</v>
      </c>
      <c r="F4211" s="924" t="s">
        <v>929</v>
      </c>
      <c r="G4211" s="924" t="s">
        <v>911</v>
      </c>
      <c r="H4211" s="924" t="s">
        <v>665</v>
      </c>
      <c r="I4211" s="924" t="s">
        <v>706</v>
      </c>
      <c r="J4211" s="924" t="s">
        <v>859</v>
      </c>
      <c r="K4211" s="924" t="s">
        <v>891</v>
      </c>
      <c r="L4211" s="925">
        <v>3.6944015435874502</v>
      </c>
      <c r="M4211" s="925">
        <v>1.48023130145702E-3</v>
      </c>
    </row>
    <row r="4212" spans="1:13" ht="11.25" customHeight="1" x14ac:dyDescent="0.2">
      <c r="A4212" s="924" t="s">
        <v>853</v>
      </c>
      <c r="B4212" s="924" t="s">
        <v>808</v>
      </c>
      <c r="C4212" s="924" t="s">
        <v>1200</v>
      </c>
      <c r="D4212" s="924" t="s">
        <v>855</v>
      </c>
      <c r="E4212" s="924" t="s">
        <v>856</v>
      </c>
      <c r="F4212" s="924" t="s">
        <v>930</v>
      </c>
      <c r="G4212" s="924" t="s">
        <v>911</v>
      </c>
      <c r="H4212" s="924" t="s">
        <v>665</v>
      </c>
      <c r="I4212" s="924" t="s">
        <v>706</v>
      </c>
      <c r="J4212" s="924" t="s">
        <v>863</v>
      </c>
      <c r="K4212" s="924" t="s">
        <v>931</v>
      </c>
      <c r="L4212" s="925">
        <v>103.583577036858</v>
      </c>
      <c r="M4212" s="925">
        <v>2.1109556470037202E-2</v>
      </c>
    </row>
    <row r="4213" spans="1:13" ht="11.25" customHeight="1" x14ac:dyDescent="0.2">
      <c r="A4213" s="924" t="s">
        <v>853</v>
      </c>
      <c r="B4213" s="924" t="s">
        <v>808</v>
      </c>
      <c r="C4213" s="924" t="s">
        <v>1200</v>
      </c>
      <c r="D4213" s="924" t="s">
        <v>855</v>
      </c>
      <c r="E4213" s="924" t="s">
        <v>856</v>
      </c>
      <c r="F4213" s="924" t="s">
        <v>932</v>
      </c>
      <c r="G4213" s="924" t="s">
        <v>911</v>
      </c>
      <c r="H4213" s="924" t="s">
        <v>665</v>
      </c>
      <c r="I4213" s="924" t="s">
        <v>706</v>
      </c>
      <c r="J4213" s="924" t="s">
        <v>863</v>
      </c>
      <c r="K4213" s="924" t="s">
        <v>933</v>
      </c>
      <c r="L4213" s="925">
        <v>9636.5608825683594</v>
      </c>
      <c r="M4213" s="925">
        <v>0.46572278253734101</v>
      </c>
    </row>
    <row r="4214" spans="1:13" ht="11.25" customHeight="1" x14ac:dyDescent="0.2">
      <c r="A4214" s="924" t="s">
        <v>853</v>
      </c>
      <c r="B4214" s="924" t="s">
        <v>808</v>
      </c>
      <c r="C4214" s="924" t="s">
        <v>1200</v>
      </c>
      <c r="D4214" s="924" t="s">
        <v>855</v>
      </c>
      <c r="E4214" s="924" t="s">
        <v>856</v>
      </c>
      <c r="F4214" s="924" t="s">
        <v>954</v>
      </c>
      <c r="G4214" s="924" t="s">
        <v>911</v>
      </c>
      <c r="H4214" s="924" t="s">
        <v>665</v>
      </c>
      <c r="I4214" s="924" t="s">
        <v>706</v>
      </c>
      <c r="J4214" s="924" t="s">
        <v>863</v>
      </c>
      <c r="K4214" s="924" t="s">
        <v>935</v>
      </c>
      <c r="L4214" s="925">
        <v>71.902292907238007</v>
      </c>
      <c r="M4214" s="925">
        <v>3.3948985583265299E-3</v>
      </c>
    </row>
    <row r="4215" spans="1:13" ht="11.25" customHeight="1" x14ac:dyDescent="0.2">
      <c r="A4215" s="924" t="s">
        <v>853</v>
      </c>
      <c r="B4215" s="924" t="s">
        <v>808</v>
      </c>
      <c r="C4215" s="924" t="s">
        <v>1200</v>
      </c>
      <c r="D4215" s="924" t="s">
        <v>855</v>
      </c>
      <c r="E4215" s="924" t="s">
        <v>856</v>
      </c>
      <c r="F4215" s="924" t="s">
        <v>936</v>
      </c>
      <c r="G4215" s="924" t="s">
        <v>911</v>
      </c>
      <c r="H4215" s="924" t="s">
        <v>665</v>
      </c>
      <c r="I4215" s="924" t="s">
        <v>706</v>
      </c>
      <c r="J4215" s="924" t="s">
        <v>863</v>
      </c>
      <c r="K4215" s="924" t="s">
        <v>864</v>
      </c>
      <c r="L4215" s="925">
        <v>22.679548978805499</v>
      </c>
      <c r="M4215" s="925">
        <v>1.05560760130174E-3</v>
      </c>
    </row>
    <row r="4216" spans="1:13" ht="11.25" customHeight="1" x14ac:dyDescent="0.2">
      <c r="A4216" s="924" t="s">
        <v>853</v>
      </c>
      <c r="B4216" s="924" t="s">
        <v>808</v>
      </c>
      <c r="C4216" s="924" t="s">
        <v>1200</v>
      </c>
      <c r="D4216" s="924" t="s">
        <v>855</v>
      </c>
      <c r="E4216" s="924" t="s">
        <v>856</v>
      </c>
      <c r="F4216" s="924" t="s">
        <v>914</v>
      </c>
      <c r="G4216" s="924" t="s">
        <v>911</v>
      </c>
      <c r="H4216" s="924" t="s">
        <v>665</v>
      </c>
      <c r="I4216" s="924" t="s">
        <v>706</v>
      </c>
      <c r="J4216" s="924" t="s">
        <v>863</v>
      </c>
      <c r="K4216" s="924" t="s">
        <v>915</v>
      </c>
      <c r="L4216" s="925">
        <v>5.5010819733142897</v>
      </c>
      <c r="M4216" s="925">
        <v>7.8493694695680504E-4</v>
      </c>
    </row>
    <row r="4217" spans="1:13" ht="11.25" customHeight="1" x14ac:dyDescent="0.2">
      <c r="A4217" s="924" t="s">
        <v>853</v>
      </c>
      <c r="B4217" s="924" t="s">
        <v>808</v>
      </c>
      <c r="C4217" s="924" t="s">
        <v>1200</v>
      </c>
      <c r="D4217" s="924" t="s">
        <v>855</v>
      </c>
      <c r="E4217" s="924" t="s">
        <v>856</v>
      </c>
      <c r="F4217" s="924" t="s">
        <v>925</v>
      </c>
      <c r="G4217" s="924" t="s">
        <v>911</v>
      </c>
      <c r="H4217" s="924" t="s">
        <v>665</v>
      </c>
      <c r="I4217" s="924" t="s">
        <v>706</v>
      </c>
      <c r="J4217" s="924" t="s">
        <v>859</v>
      </c>
      <c r="K4217" s="924" t="s">
        <v>926</v>
      </c>
      <c r="L4217" s="925">
        <v>1.1036511352285701</v>
      </c>
      <c r="M4217" s="925">
        <v>5.0880054175195303E-5</v>
      </c>
    </row>
    <row r="4218" spans="1:13" ht="11.25" customHeight="1" x14ac:dyDescent="0.2">
      <c r="A4218" s="924" t="s">
        <v>853</v>
      </c>
      <c r="B4218" s="924" t="s">
        <v>808</v>
      </c>
      <c r="C4218" s="924" t="s">
        <v>1200</v>
      </c>
      <c r="D4218" s="924" t="s">
        <v>855</v>
      </c>
      <c r="E4218" s="924" t="s">
        <v>856</v>
      </c>
      <c r="F4218" s="924" t="s">
        <v>939</v>
      </c>
      <c r="G4218" s="924" t="s">
        <v>911</v>
      </c>
      <c r="H4218" s="924" t="s">
        <v>665</v>
      </c>
      <c r="I4218" s="924" t="s">
        <v>706</v>
      </c>
      <c r="J4218" s="924" t="s">
        <v>940</v>
      </c>
      <c r="K4218" s="924" t="s">
        <v>941</v>
      </c>
      <c r="L4218" s="925">
        <v>74.148488849401502</v>
      </c>
      <c r="M4218" s="925">
        <v>3.5673555839821299E-3</v>
      </c>
    </row>
    <row r="4219" spans="1:13" ht="11.25" customHeight="1" x14ac:dyDescent="0.2">
      <c r="A4219" s="924" t="s">
        <v>853</v>
      </c>
      <c r="B4219" s="924" t="s">
        <v>808</v>
      </c>
      <c r="C4219" s="924" t="s">
        <v>1200</v>
      </c>
      <c r="D4219" s="924" t="s">
        <v>855</v>
      </c>
      <c r="E4219" s="924" t="s">
        <v>856</v>
      </c>
      <c r="F4219" s="924" t="s">
        <v>865</v>
      </c>
      <c r="G4219" s="924" t="s">
        <v>862</v>
      </c>
      <c r="H4219" s="924" t="s">
        <v>665</v>
      </c>
      <c r="I4219" s="924" t="s">
        <v>787</v>
      </c>
      <c r="J4219" s="924" t="s">
        <v>863</v>
      </c>
      <c r="K4219" s="924" t="s">
        <v>866</v>
      </c>
      <c r="L4219" s="925">
        <v>1.04039222002029</v>
      </c>
      <c r="M4219" s="925">
        <v>5.0194584239306997E-3</v>
      </c>
    </row>
    <row r="4220" spans="1:13" ht="11.25" customHeight="1" x14ac:dyDescent="0.2">
      <c r="A4220" s="924" t="s">
        <v>853</v>
      </c>
      <c r="B4220" s="924" t="s">
        <v>808</v>
      </c>
      <c r="C4220" s="924" t="s">
        <v>1200</v>
      </c>
      <c r="D4220" s="924" t="s">
        <v>855</v>
      </c>
      <c r="E4220" s="924" t="s">
        <v>856</v>
      </c>
      <c r="F4220" s="924" t="s">
        <v>943</v>
      </c>
      <c r="G4220" s="924" t="s">
        <v>911</v>
      </c>
      <c r="H4220" s="924" t="s">
        <v>665</v>
      </c>
      <c r="I4220" s="924" t="s">
        <v>706</v>
      </c>
      <c r="J4220" s="924" t="s">
        <v>870</v>
      </c>
      <c r="K4220" s="924" t="s">
        <v>873</v>
      </c>
      <c r="L4220" s="925">
        <v>9.7978824953315793E-2</v>
      </c>
      <c r="M4220" s="925">
        <v>4.4492987569810802E-6</v>
      </c>
    </row>
    <row r="4221" spans="1:13" ht="11.25" customHeight="1" x14ac:dyDescent="0.2">
      <c r="A4221" s="924" t="s">
        <v>853</v>
      </c>
      <c r="B4221" s="924" t="s">
        <v>808</v>
      </c>
      <c r="C4221" s="924" t="s">
        <v>1200</v>
      </c>
      <c r="D4221" s="924" t="s">
        <v>855</v>
      </c>
      <c r="E4221" s="924" t="s">
        <v>856</v>
      </c>
      <c r="F4221" s="924" t="s">
        <v>944</v>
      </c>
      <c r="G4221" s="924" t="s">
        <v>911</v>
      </c>
      <c r="H4221" s="924" t="s">
        <v>665</v>
      </c>
      <c r="I4221" s="924" t="s">
        <v>706</v>
      </c>
      <c r="J4221" s="924" t="s">
        <v>875</v>
      </c>
      <c r="K4221" s="924" t="s">
        <v>876</v>
      </c>
      <c r="L4221" s="925">
        <v>133.74436628818501</v>
      </c>
      <c r="M4221" s="925">
        <v>4.2285323797841598E-2</v>
      </c>
    </row>
    <row r="4222" spans="1:13" ht="11.25" customHeight="1" x14ac:dyDescent="0.2">
      <c r="A4222" s="924" t="s">
        <v>853</v>
      </c>
      <c r="B4222" s="924" t="s">
        <v>808</v>
      </c>
      <c r="C4222" s="924" t="s">
        <v>1200</v>
      </c>
      <c r="D4222" s="924" t="s">
        <v>855</v>
      </c>
      <c r="E4222" s="924" t="s">
        <v>856</v>
      </c>
      <c r="F4222" s="924" t="s">
        <v>945</v>
      </c>
      <c r="G4222" s="924" t="s">
        <v>911</v>
      </c>
      <c r="H4222" s="924" t="s">
        <v>665</v>
      </c>
      <c r="I4222" s="924" t="s">
        <v>706</v>
      </c>
      <c r="J4222" s="924" t="s">
        <v>875</v>
      </c>
      <c r="K4222" s="924" t="s">
        <v>878</v>
      </c>
      <c r="L4222" s="925">
        <v>29.533806592226</v>
      </c>
      <c r="M4222" s="925">
        <v>4.3692303152056402E-3</v>
      </c>
    </row>
    <row r="4223" spans="1:13" ht="11.25" customHeight="1" x14ac:dyDescent="0.2">
      <c r="A4223" s="924" t="s">
        <v>853</v>
      </c>
      <c r="B4223" s="924" t="s">
        <v>808</v>
      </c>
      <c r="C4223" s="924" t="s">
        <v>1200</v>
      </c>
      <c r="D4223" s="924" t="s">
        <v>855</v>
      </c>
      <c r="E4223" s="924" t="s">
        <v>856</v>
      </c>
      <c r="F4223" s="924" t="s">
        <v>946</v>
      </c>
      <c r="G4223" s="924" t="s">
        <v>911</v>
      </c>
      <c r="H4223" s="924" t="s">
        <v>665</v>
      </c>
      <c r="I4223" s="924" t="s">
        <v>706</v>
      </c>
      <c r="J4223" s="924" t="s">
        <v>875</v>
      </c>
      <c r="K4223" s="924" t="s">
        <v>880</v>
      </c>
      <c r="L4223" s="925">
        <v>34.913268476724603</v>
      </c>
      <c r="M4223" s="925">
        <v>2.2220501070933101E-3</v>
      </c>
    </row>
    <row r="4224" spans="1:13" ht="11.25" customHeight="1" x14ac:dyDescent="0.2">
      <c r="A4224" s="924" t="s">
        <v>853</v>
      </c>
      <c r="B4224" s="924" t="s">
        <v>808</v>
      </c>
      <c r="C4224" s="924" t="s">
        <v>1200</v>
      </c>
      <c r="D4224" s="924" t="s">
        <v>855</v>
      </c>
      <c r="E4224" s="924" t="s">
        <v>856</v>
      </c>
      <c r="F4224" s="924" t="s">
        <v>947</v>
      </c>
      <c r="G4224" s="924" t="s">
        <v>911</v>
      </c>
      <c r="H4224" s="924" t="s">
        <v>665</v>
      </c>
      <c r="I4224" s="924" t="s">
        <v>706</v>
      </c>
      <c r="J4224" s="924" t="s">
        <v>875</v>
      </c>
      <c r="K4224" s="924" t="s">
        <v>948</v>
      </c>
      <c r="L4224" s="925">
        <v>43.395319998264299</v>
      </c>
      <c r="M4224" s="925">
        <v>3.31621623195133E-3</v>
      </c>
    </row>
    <row r="4225" spans="1:13" ht="11.25" customHeight="1" x14ac:dyDescent="0.2">
      <c r="A4225" s="924" t="s">
        <v>853</v>
      </c>
      <c r="B4225" s="924" t="s">
        <v>808</v>
      </c>
      <c r="C4225" s="924" t="s">
        <v>1200</v>
      </c>
      <c r="D4225" s="924" t="s">
        <v>855</v>
      </c>
      <c r="E4225" s="924" t="s">
        <v>856</v>
      </c>
      <c r="F4225" s="924" t="s">
        <v>949</v>
      </c>
      <c r="G4225" s="924" t="s">
        <v>911</v>
      </c>
      <c r="H4225" s="924" t="s">
        <v>665</v>
      </c>
      <c r="I4225" s="924" t="s">
        <v>706</v>
      </c>
      <c r="J4225" s="924" t="s">
        <v>875</v>
      </c>
      <c r="K4225" s="924" t="s">
        <v>950</v>
      </c>
      <c r="L4225" s="925">
        <v>0.58187952078878902</v>
      </c>
      <c r="M4225" s="925">
        <v>1.2480287361427099E-4</v>
      </c>
    </row>
    <row r="4226" spans="1:13" ht="11.25" customHeight="1" x14ac:dyDescent="0.2">
      <c r="A4226" s="924" t="s">
        <v>853</v>
      </c>
      <c r="B4226" s="924" t="s">
        <v>808</v>
      </c>
      <c r="C4226" s="924" t="s">
        <v>1200</v>
      </c>
      <c r="D4226" s="924" t="s">
        <v>855</v>
      </c>
      <c r="E4226" s="924" t="s">
        <v>856</v>
      </c>
      <c r="F4226" s="924" t="s">
        <v>951</v>
      </c>
      <c r="G4226" s="924" t="s">
        <v>911</v>
      </c>
      <c r="H4226" s="924" t="s">
        <v>665</v>
      </c>
      <c r="I4226" s="924" t="s">
        <v>706</v>
      </c>
      <c r="J4226" s="924" t="s">
        <v>875</v>
      </c>
      <c r="K4226" s="924" t="s">
        <v>952</v>
      </c>
      <c r="L4226" s="925">
        <v>0.53706616442650601</v>
      </c>
      <c r="M4226" s="925">
        <v>3.3394105955153497E-5</v>
      </c>
    </row>
    <row r="4227" spans="1:13" ht="11.25" customHeight="1" x14ac:dyDescent="0.2">
      <c r="A4227" s="924" t="s">
        <v>853</v>
      </c>
      <c r="B4227" s="924" t="s">
        <v>808</v>
      </c>
      <c r="C4227" s="924" t="s">
        <v>1200</v>
      </c>
      <c r="D4227" s="924" t="s">
        <v>855</v>
      </c>
      <c r="E4227" s="924" t="s">
        <v>856</v>
      </c>
      <c r="F4227" s="924" t="s">
        <v>890</v>
      </c>
      <c r="G4227" s="924" t="s">
        <v>862</v>
      </c>
      <c r="H4227" s="924" t="s">
        <v>665</v>
      </c>
      <c r="I4227" s="924" t="s">
        <v>787</v>
      </c>
      <c r="J4227" s="924" t="s">
        <v>859</v>
      </c>
      <c r="K4227" s="924" t="s">
        <v>891</v>
      </c>
      <c r="L4227" s="925">
        <v>0.12764400348532901</v>
      </c>
      <c r="M4227" s="925">
        <v>4.5437463486450698E-3</v>
      </c>
    </row>
    <row r="4228" spans="1:13" ht="11.25" customHeight="1" x14ac:dyDescent="0.2">
      <c r="A4228" s="924" t="s">
        <v>853</v>
      </c>
      <c r="B4228" s="924" t="s">
        <v>808</v>
      </c>
      <c r="C4228" s="924" t="s">
        <v>1200</v>
      </c>
      <c r="D4228" s="924" t="s">
        <v>855</v>
      </c>
      <c r="E4228" s="924" t="s">
        <v>856</v>
      </c>
      <c r="F4228" s="924" t="s">
        <v>937</v>
      </c>
      <c r="G4228" s="924" t="s">
        <v>862</v>
      </c>
      <c r="H4228" s="924" t="s">
        <v>665</v>
      </c>
      <c r="I4228" s="924" t="s">
        <v>787</v>
      </c>
      <c r="J4228" s="924" t="s">
        <v>863</v>
      </c>
      <c r="K4228" s="924" t="s">
        <v>933</v>
      </c>
      <c r="L4228" s="925">
        <v>649.61423015594505</v>
      </c>
      <c r="M4228" s="925">
        <v>2.7669572569429901</v>
      </c>
    </row>
    <row r="4229" spans="1:13" ht="11.25" customHeight="1" x14ac:dyDescent="0.2">
      <c r="A4229" s="924" t="s">
        <v>853</v>
      </c>
      <c r="B4229" s="924" t="s">
        <v>808</v>
      </c>
      <c r="C4229" s="924" t="s">
        <v>1200</v>
      </c>
      <c r="D4229" s="924" t="s">
        <v>855</v>
      </c>
      <c r="E4229" s="924" t="s">
        <v>856</v>
      </c>
      <c r="F4229" s="924" t="s">
        <v>934</v>
      </c>
      <c r="G4229" s="924" t="s">
        <v>862</v>
      </c>
      <c r="H4229" s="924" t="s">
        <v>665</v>
      </c>
      <c r="I4229" s="924" t="s">
        <v>787</v>
      </c>
      <c r="J4229" s="924" t="s">
        <v>863</v>
      </c>
      <c r="K4229" s="924" t="s">
        <v>935</v>
      </c>
      <c r="L4229" s="925">
        <v>0.55041959322988998</v>
      </c>
      <c r="M4229" s="925">
        <v>2.3137728239817101E-3</v>
      </c>
    </row>
    <row r="4230" spans="1:13" ht="11.25" customHeight="1" x14ac:dyDescent="0.2">
      <c r="A4230" s="924" t="s">
        <v>853</v>
      </c>
      <c r="B4230" s="924" t="s">
        <v>808</v>
      </c>
      <c r="C4230" s="924" t="s">
        <v>1200</v>
      </c>
      <c r="D4230" s="924" t="s">
        <v>855</v>
      </c>
      <c r="E4230" s="924" t="s">
        <v>856</v>
      </c>
      <c r="F4230" s="924" t="s">
        <v>861</v>
      </c>
      <c r="G4230" s="924" t="s">
        <v>862</v>
      </c>
      <c r="H4230" s="924" t="s">
        <v>665</v>
      </c>
      <c r="I4230" s="924" t="s">
        <v>787</v>
      </c>
      <c r="J4230" s="924" t="s">
        <v>863</v>
      </c>
      <c r="K4230" s="924" t="s">
        <v>864</v>
      </c>
      <c r="L4230" s="925">
        <v>0.29996618116274498</v>
      </c>
      <c r="M4230" s="925">
        <v>1.23250429169275E-3</v>
      </c>
    </row>
    <row r="4231" spans="1:13" ht="11.25" customHeight="1" x14ac:dyDescent="0.2">
      <c r="A4231" s="924" t="s">
        <v>853</v>
      </c>
      <c r="B4231" s="924" t="s">
        <v>808</v>
      </c>
      <c r="C4231" s="924" t="s">
        <v>1200</v>
      </c>
      <c r="D4231" s="924" t="s">
        <v>855</v>
      </c>
      <c r="E4231" s="924" t="s">
        <v>856</v>
      </c>
      <c r="F4231" s="924" t="s">
        <v>938</v>
      </c>
      <c r="G4231" s="924" t="s">
        <v>911</v>
      </c>
      <c r="H4231" s="924" t="s">
        <v>665</v>
      </c>
      <c r="I4231" s="924" t="s">
        <v>706</v>
      </c>
      <c r="J4231" s="924" t="s">
        <v>863</v>
      </c>
      <c r="K4231" s="924" t="s">
        <v>868</v>
      </c>
      <c r="L4231" s="925">
        <v>44.589011847972898</v>
      </c>
      <c r="M4231" s="925">
        <v>2.0603606681106599E-3</v>
      </c>
    </row>
    <row r="4232" spans="1:13" ht="11.25" customHeight="1" x14ac:dyDescent="0.2">
      <c r="A4232" s="924" t="s">
        <v>853</v>
      </c>
      <c r="B4232" s="924" t="s">
        <v>808</v>
      </c>
      <c r="C4232" s="924" t="s">
        <v>1200</v>
      </c>
      <c r="D4232" s="924" t="s">
        <v>855</v>
      </c>
      <c r="E4232" s="924" t="s">
        <v>856</v>
      </c>
      <c r="F4232" s="924" t="s">
        <v>1172</v>
      </c>
      <c r="G4232" s="924" t="s">
        <v>858</v>
      </c>
      <c r="H4232" s="924" t="s">
        <v>836</v>
      </c>
      <c r="I4232" s="924" t="s">
        <v>837</v>
      </c>
      <c r="J4232" s="924" t="s">
        <v>863</v>
      </c>
      <c r="K4232" s="924" t="s">
        <v>1171</v>
      </c>
      <c r="L4232" s="925">
        <v>46.7001689076424</v>
      </c>
      <c r="M4232" s="925">
        <v>1.35756672534626E-3</v>
      </c>
    </row>
    <row r="4233" spans="1:13" ht="11.25" customHeight="1" x14ac:dyDescent="0.2">
      <c r="A4233" s="924" t="s">
        <v>853</v>
      </c>
      <c r="B4233" s="924" t="s">
        <v>808</v>
      </c>
      <c r="C4233" s="924" t="s">
        <v>1200</v>
      </c>
      <c r="D4233" s="924" t="s">
        <v>855</v>
      </c>
      <c r="E4233" s="924" t="s">
        <v>856</v>
      </c>
      <c r="F4233" s="924" t="s">
        <v>994</v>
      </c>
      <c r="G4233" s="924" t="s">
        <v>981</v>
      </c>
      <c r="H4233" s="924" t="s">
        <v>835</v>
      </c>
      <c r="I4233" s="924" t="s">
        <v>834</v>
      </c>
      <c r="J4233" s="924" t="s">
        <v>995</v>
      </c>
      <c r="K4233" s="924" t="s">
        <v>993</v>
      </c>
      <c r="L4233" s="925">
        <v>9.44088366627693</v>
      </c>
      <c r="M4233" s="925">
        <v>6.1582211451138803E-3</v>
      </c>
    </row>
    <row r="4234" spans="1:13" ht="11.25" customHeight="1" x14ac:dyDescent="0.2">
      <c r="A4234" s="924" t="s">
        <v>853</v>
      </c>
      <c r="B4234" s="924" t="s">
        <v>808</v>
      </c>
      <c r="C4234" s="924" t="s">
        <v>1200</v>
      </c>
      <c r="D4234" s="924" t="s">
        <v>855</v>
      </c>
      <c r="E4234" s="924" t="s">
        <v>856</v>
      </c>
      <c r="F4234" s="924" t="s">
        <v>962</v>
      </c>
      <c r="G4234" s="924" t="s">
        <v>858</v>
      </c>
      <c r="H4234" s="924" t="s">
        <v>836</v>
      </c>
      <c r="I4234" s="924" t="s">
        <v>837</v>
      </c>
      <c r="J4234" s="924" t="s">
        <v>870</v>
      </c>
      <c r="K4234" s="924" t="s">
        <v>963</v>
      </c>
      <c r="L4234" s="925">
        <v>8.58180566574447E-2</v>
      </c>
      <c r="M4234" s="925">
        <v>6.0995832871016398E-7</v>
      </c>
    </row>
    <row r="4235" spans="1:13" ht="11.25" customHeight="1" x14ac:dyDescent="0.2">
      <c r="A4235" s="924" t="s">
        <v>853</v>
      </c>
      <c r="B4235" s="924" t="s">
        <v>808</v>
      </c>
      <c r="C4235" s="924" t="s">
        <v>1200</v>
      </c>
      <c r="D4235" s="924" t="s">
        <v>855</v>
      </c>
      <c r="E4235" s="924" t="s">
        <v>856</v>
      </c>
      <c r="F4235" s="924" t="s">
        <v>964</v>
      </c>
      <c r="G4235" s="924" t="s">
        <v>858</v>
      </c>
      <c r="H4235" s="924" t="s">
        <v>836</v>
      </c>
      <c r="I4235" s="924" t="s">
        <v>837</v>
      </c>
      <c r="J4235" s="924" t="s">
        <v>870</v>
      </c>
      <c r="K4235" s="924" t="s">
        <v>965</v>
      </c>
      <c r="L4235" s="925">
        <v>28.6841893345118</v>
      </c>
      <c r="M4235" s="925">
        <v>2.63364426812629E-4</v>
      </c>
    </row>
    <row r="4236" spans="1:13" ht="11.25" customHeight="1" x14ac:dyDescent="0.2">
      <c r="A4236" s="924" t="s">
        <v>853</v>
      </c>
      <c r="B4236" s="924" t="s">
        <v>808</v>
      </c>
      <c r="C4236" s="924" t="s">
        <v>1200</v>
      </c>
      <c r="D4236" s="924" t="s">
        <v>855</v>
      </c>
      <c r="E4236" s="924" t="s">
        <v>856</v>
      </c>
      <c r="F4236" s="924" t="s">
        <v>966</v>
      </c>
      <c r="G4236" s="924" t="s">
        <v>858</v>
      </c>
      <c r="H4236" s="924" t="s">
        <v>836</v>
      </c>
      <c r="I4236" s="924" t="s">
        <v>837</v>
      </c>
      <c r="J4236" s="924" t="s">
        <v>870</v>
      </c>
      <c r="K4236" s="924" t="s">
        <v>871</v>
      </c>
      <c r="L4236" s="925">
        <v>79.8147589564323</v>
      </c>
      <c r="M4236" s="925">
        <v>6.9352519847498705E-4</v>
      </c>
    </row>
    <row r="4237" spans="1:13" ht="11.25" customHeight="1" x14ac:dyDescent="0.2">
      <c r="A4237" s="924" t="s">
        <v>853</v>
      </c>
      <c r="B4237" s="924" t="s">
        <v>808</v>
      </c>
      <c r="C4237" s="924" t="s">
        <v>1200</v>
      </c>
      <c r="D4237" s="924" t="s">
        <v>855</v>
      </c>
      <c r="E4237" s="924" t="s">
        <v>856</v>
      </c>
      <c r="F4237" s="924" t="s">
        <v>967</v>
      </c>
      <c r="G4237" s="924" t="s">
        <v>858</v>
      </c>
      <c r="H4237" s="924" t="s">
        <v>836</v>
      </c>
      <c r="I4237" s="924" t="s">
        <v>837</v>
      </c>
      <c r="J4237" s="924" t="s">
        <v>870</v>
      </c>
      <c r="K4237" s="924" t="s">
        <v>873</v>
      </c>
      <c r="L4237" s="925">
        <v>58.825764745473897</v>
      </c>
      <c r="M4237" s="925">
        <v>9.9381138816667701E-4</v>
      </c>
    </row>
    <row r="4238" spans="1:13" ht="11.25" customHeight="1" x14ac:dyDescent="0.2">
      <c r="A4238" s="924" t="s">
        <v>853</v>
      </c>
      <c r="B4238" s="924" t="s">
        <v>808</v>
      </c>
      <c r="C4238" s="924" t="s">
        <v>1200</v>
      </c>
      <c r="D4238" s="924" t="s">
        <v>855</v>
      </c>
      <c r="E4238" s="924" t="s">
        <v>856</v>
      </c>
      <c r="F4238" s="924" t="s">
        <v>968</v>
      </c>
      <c r="G4238" s="924" t="s">
        <v>858</v>
      </c>
      <c r="H4238" s="924" t="s">
        <v>836</v>
      </c>
      <c r="I4238" s="924" t="s">
        <v>837</v>
      </c>
      <c r="J4238" s="924" t="s">
        <v>875</v>
      </c>
      <c r="K4238" s="924" t="s">
        <v>876</v>
      </c>
      <c r="L4238" s="925">
        <v>1046.8303890228301</v>
      </c>
      <c r="M4238" s="925">
        <v>2.8059251761533201E-2</v>
      </c>
    </row>
    <row r="4239" spans="1:13" ht="11.25" customHeight="1" x14ac:dyDescent="0.2">
      <c r="A4239" s="924" t="s">
        <v>853</v>
      </c>
      <c r="B4239" s="924" t="s">
        <v>808</v>
      </c>
      <c r="C4239" s="924" t="s">
        <v>1200</v>
      </c>
      <c r="D4239" s="924" t="s">
        <v>855</v>
      </c>
      <c r="E4239" s="924" t="s">
        <v>856</v>
      </c>
      <c r="F4239" s="924" t="s">
        <v>969</v>
      </c>
      <c r="G4239" s="924" t="s">
        <v>858</v>
      </c>
      <c r="H4239" s="924" t="s">
        <v>836</v>
      </c>
      <c r="I4239" s="924" t="s">
        <v>837</v>
      </c>
      <c r="J4239" s="924" t="s">
        <v>875</v>
      </c>
      <c r="K4239" s="924" t="s">
        <v>878</v>
      </c>
      <c r="L4239" s="925">
        <v>247.06627368926999</v>
      </c>
      <c r="M4239" s="925">
        <v>6.5446368006405499E-3</v>
      </c>
    </row>
    <row r="4240" spans="1:13" ht="11.25" customHeight="1" x14ac:dyDescent="0.2">
      <c r="A4240" s="924" t="s">
        <v>853</v>
      </c>
      <c r="B4240" s="924" t="s">
        <v>808</v>
      </c>
      <c r="C4240" s="924" t="s">
        <v>1200</v>
      </c>
      <c r="D4240" s="924" t="s">
        <v>855</v>
      </c>
      <c r="E4240" s="924" t="s">
        <v>856</v>
      </c>
      <c r="F4240" s="924" t="s">
        <v>970</v>
      </c>
      <c r="G4240" s="924" t="s">
        <v>858</v>
      </c>
      <c r="H4240" s="924" t="s">
        <v>836</v>
      </c>
      <c r="I4240" s="924" t="s">
        <v>837</v>
      </c>
      <c r="J4240" s="924" t="s">
        <v>875</v>
      </c>
      <c r="K4240" s="924" t="s">
        <v>880</v>
      </c>
      <c r="L4240" s="925">
        <v>685.38714981079102</v>
      </c>
      <c r="M4240" s="925">
        <v>1.3318262511802501E-2</v>
      </c>
    </row>
    <row r="4241" spans="1:13" ht="11.25" customHeight="1" x14ac:dyDescent="0.2">
      <c r="A4241" s="924" t="s">
        <v>853</v>
      </c>
      <c r="B4241" s="924" t="s">
        <v>808</v>
      </c>
      <c r="C4241" s="924" t="s">
        <v>1200</v>
      </c>
      <c r="D4241" s="924" t="s">
        <v>855</v>
      </c>
      <c r="E4241" s="924" t="s">
        <v>856</v>
      </c>
      <c r="F4241" s="924" t="s">
        <v>971</v>
      </c>
      <c r="G4241" s="924" t="s">
        <v>858</v>
      </c>
      <c r="H4241" s="924" t="s">
        <v>836</v>
      </c>
      <c r="I4241" s="924" t="s">
        <v>837</v>
      </c>
      <c r="J4241" s="924" t="s">
        <v>875</v>
      </c>
      <c r="K4241" s="924" t="s">
        <v>948</v>
      </c>
      <c r="L4241" s="925">
        <v>348.32179403305099</v>
      </c>
      <c r="M4241" s="925">
        <v>1.48989268757305E-2</v>
      </c>
    </row>
    <row r="4242" spans="1:13" ht="11.25" customHeight="1" x14ac:dyDescent="0.2">
      <c r="A4242" s="924" t="s">
        <v>853</v>
      </c>
      <c r="B4242" s="924" t="s">
        <v>808</v>
      </c>
      <c r="C4242" s="924" t="s">
        <v>1200</v>
      </c>
      <c r="D4242" s="924" t="s">
        <v>855</v>
      </c>
      <c r="E4242" s="924" t="s">
        <v>856</v>
      </c>
      <c r="F4242" s="924" t="s">
        <v>1000</v>
      </c>
      <c r="G4242" s="924" t="s">
        <v>858</v>
      </c>
      <c r="H4242" s="924" t="s">
        <v>836</v>
      </c>
      <c r="I4242" s="924" t="s">
        <v>837</v>
      </c>
      <c r="J4242" s="924" t="s">
        <v>875</v>
      </c>
      <c r="K4242" s="924" t="s">
        <v>950</v>
      </c>
      <c r="L4242" s="925">
        <v>33.474069297313697</v>
      </c>
      <c r="M4242" s="925">
        <v>7.8627065333591905E-4</v>
      </c>
    </row>
    <row r="4243" spans="1:13" ht="11.25" customHeight="1" x14ac:dyDescent="0.2">
      <c r="A4243" s="924" t="s">
        <v>853</v>
      </c>
      <c r="B4243" s="924" t="s">
        <v>808</v>
      </c>
      <c r="C4243" s="924" t="s">
        <v>1200</v>
      </c>
      <c r="D4243" s="924" t="s">
        <v>855</v>
      </c>
      <c r="E4243" s="924" t="s">
        <v>856</v>
      </c>
      <c r="F4243" s="924" t="s">
        <v>958</v>
      </c>
      <c r="G4243" s="924" t="s">
        <v>858</v>
      </c>
      <c r="H4243" s="924" t="s">
        <v>836</v>
      </c>
      <c r="I4243" s="924" t="s">
        <v>837</v>
      </c>
      <c r="J4243" s="924" t="s">
        <v>870</v>
      </c>
      <c r="K4243" s="924" t="s">
        <v>959</v>
      </c>
      <c r="L4243" s="925">
        <v>0.42543466296047</v>
      </c>
      <c r="M4243" s="925">
        <v>3.9647212815574501E-6</v>
      </c>
    </row>
    <row r="4244" spans="1:13" ht="11.25" customHeight="1" x14ac:dyDescent="0.2">
      <c r="A4244" s="924" t="s">
        <v>853</v>
      </c>
      <c r="B4244" s="924" t="s">
        <v>808</v>
      </c>
      <c r="C4244" s="924" t="s">
        <v>1200</v>
      </c>
      <c r="D4244" s="924" t="s">
        <v>855</v>
      </c>
      <c r="E4244" s="924" t="s">
        <v>856</v>
      </c>
      <c r="F4244" s="924" t="s">
        <v>955</v>
      </c>
      <c r="G4244" s="924" t="s">
        <v>858</v>
      </c>
      <c r="H4244" s="924" t="s">
        <v>836</v>
      </c>
      <c r="I4244" s="924" t="s">
        <v>837</v>
      </c>
      <c r="J4244" s="924" t="s">
        <v>956</v>
      </c>
      <c r="K4244" s="924" t="s">
        <v>957</v>
      </c>
      <c r="L4244" s="925">
        <v>112.984045267105</v>
      </c>
      <c r="M4244" s="925">
        <v>6.4890743895773496E-4</v>
      </c>
    </row>
    <row r="4245" spans="1:13" ht="11.25" customHeight="1" x14ac:dyDescent="0.2">
      <c r="A4245" s="924" t="s">
        <v>853</v>
      </c>
      <c r="B4245" s="924" t="s">
        <v>808</v>
      </c>
      <c r="C4245" s="924" t="s">
        <v>1200</v>
      </c>
      <c r="D4245" s="924" t="s">
        <v>855</v>
      </c>
      <c r="E4245" s="924" t="s">
        <v>856</v>
      </c>
      <c r="F4245" s="924" t="s">
        <v>1015</v>
      </c>
      <c r="G4245" s="924" t="s">
        <v>858</v>
      </c>
      <c r="H4245" s="924" t="s">
        <v>836</v>
      </c>
      <c r="I4245" s="924" t="s">
        <v>837</v>
      </c>
      <c r="J4245" s="924" t="s">
        <v>870</v>
      </c>
      <c r="K4245" s="924" t="s">
        <v>1016</v>
      </c>
      <c r="L4245" s="925">
        <v>2.0253685321658801</v>
      </c>
      <c r="M4245" s="925">
        <v>2.4607724744441002E-5</v>
      </c>
    </row>
    <row r="4246" spans="1:13" ht="11.25" customHeight="1" x14ac:dyDescent="0.2">
      <c r="A4246" s="924" t="s">
        <v>853</v>
      </c>
      <c r="B4246" s="924" t="s">
        <v>808</v>
      </c>
      <c r="C4246" s="924" t="s">
        <v>1200</v>
      </c>
      <c r="D4246" s="924" t="s">
        <v>855</v>
      </c>
      <c r="E4246" s="924" t="s">
        <v>856</v>
      </c>
      <c r="F4246" s="924" t="s">
        <v>980</v>
      </c>
      <c r="G4246" s="924" t="s">
        <v>981</v>
      </c>
      <c r="H4246" s="924" t="s">
        <v>835</v>
      </c>
      <c r="I4246" s="924" t="s">
        <v>839</v>
      </c>
      <c r="J4246" s="924" t="s">
        <v>982</v>
      </c>
      <c r="K4246" s="924" t="s">
        <v>983</v>
      </c>
      <c r="L4246" s="925">
        <v>1161.6072075366999</v>
      </c>
      <c r="M4246" s="925">
        <v>1.3249157166574199</v>
      </c>
    </row>
    <row r="4247" spans="1:13" ht="11.25" customHeight="1" x14ac:dyDescent="0.2">
      <c r="A4247" s="924" t="s">
        <v>853</v>
      </c>
      <c r="B4247" s="924" t="s">
        <v>808</v>
      </c>
      <c r="C4247" s="924" t="s">
        <v>1200</v>
      </c>
      <c r="D4247" s="924" t="s">
        <v>855</v>
      </c>
      <c r="E4247" s="924" t="s">
        <v>856</v>
      </c>
      <c r="F4247" s="924" t="s">
        <v>984</v>
      </c>
      <c r="G4247" s="924" t="s">
        <v>981</v>
      </c>
      <c r="H4247" s="924" t="s">
        <v>835</v>
      </c>
      <c r="I4247" s="924" t="s">
        <v>839</v>
      </c>
      <c r="J4247" s="924" t="s">
        <v>982</v>
      </c>
      <c r="K4247" s="924" t="s">
        <v>985</v>
      </c>
      <c r="L4247" s="925">
        <v>490.74331915378599</v>
      </c>
      <c r="M4247" s="925">
        <v>0.54741882358212002</v>
      </c>
    </row>
    <row r="4248" spans="1:13" ht="11.25" customHeight="1" x14ac:dyDescent="0.2">
      <c r="A4248" s="924" t="s">
        <v>853</v>
      </c>
      <c r="B4248" s="924" t="s">
        <v>808</v>
      </c>
      <c r="C4248" s="924" t="s">
        <v>1200</v>
      </c>
      <c r="D4248" s="924" t="s">
        <v>855</v>
      </c>
      <c r="E4248" s="924" t="s">
        <v>856</v>
      </c>
      <c r="F4248" s="924" t="s">
        <v>986</v>
      </c>
      <c r="G4248" s="924" t="s">
        <v>981</v>
      </c>
      <c r="H4248" s="924" t="s">
        <v>835</v>
      </c>
      <c r="I4248" s="924" t="s">
        <v>839</v>
      </c>
      <c r="J4248" s="924" t="s">
        <v>987</v>
      </c>
      <c r="K4248" s="924" t="s">
        <v>988</v>
      </c>
      <c r="L4248" s="925">
        <v>357.06220686435699</v>
      </c>
      <c r="M4248" s="925">
        <v>0.18058446765644501</v>
      </c>
    </row>
    <row r="4249" spans="1:13" ht="11.25" customHeight="1" x14ac:dyDescent="0.2">
      <c r="A4249" s="924" t="s">
        <v>853</v>
      </c>
      <c r="B4249" s="924" t="s">
        <v>808</v>
      </c>
      <c r="C4249" s="924" t="s">
        <v>1200</v>
      </c>
      <c r="D4249" s="924" t="s">
        <v>855</v>
      </c>
      <c r="E4249" s="924" t="s">
        <v>856</v>
      </c>
      <c r="F4249" s="924" t="s">
        <v>989</v>
      </c>
      <c r="G4249" s="924" t="s">
        <v>990</v>
      </c>
      <c r="H4249" s="924" t="s">
        <v>836</v>
      </c>
      <c r="I4249" s="924" t="s">
        <v>839</v>
      </c>
      <c r="J4249" s="924" t="s">
        <v>224</v>
      </c>
      <c r="K4249" s="924" t="s">
        <v>988</v>
      </c>
      <c r="L4249" s="925">
        <v>281.195651948452</v>
      </c>
      <c r="M4249" s="925">
        <v>9.5740740729501894E-3</v>
      </c>
    </row>
    <row r="4250" spans="1:13" ht="11.25" customHeight="1" x14ac:dyDescent="0.2">
      <c r="A4250" s="924" t="s">
        <v>853</v>
      </c>
      <c r="B4250" s="924" t="s">
        <v>808</v>
      </c>
      <c r="C4250" s="924" t="s">
        <v>1200</v>
      </c>
      <c r="D4250" s="924" t="s">
        <v>855</v>
      </c>
      <c r="E4250" s="924" t="s">
        <v>856</v>
      </c>
      <c r="F4250" s="924" t="s">
        <v>991</v>
      </c>
      <c r="G4250" s="924" t="s">
        <v>990</v>
      </c>
      <c r="H4250" s="924" t="s">
        <v>836</v>
      </c>
      <c r="I4250" s="924" t="s">
        <v>839</v>
      </c>
      <c r="J4250" s="924" t="s">
        <v>224</v>
      </c>
      <c r="K4250" s="924" t="s">
        <v>983</v>
      </c>
      <c r="L4250" s="925">
        <v>2.35046064807102</v>
      </c>
      <c r="M4250" s="925">
        <v>1.40353820390127E-4</v>
      </c>
    </row>
    <row r="4251" spans="1:13" ht="11.25" customHeight="1" x14ac:dyDescent="0.2">
      <c r="A4251" s="924" t="s">
        <v>853</v>
      </c>
      <c r="B4251" s="924" t="s">
        <v>808</v>
      </c>
      <c r="C4251" s="924" t="s">
        <v>1200</v>
      </c>
      <c r="D4251" s="924" t="s">
        <v>855</v>
      </c>
      <c r="E4251" s="924" t="s">
        <v>856</v>
      </c>
      <c r="F4251" s="924" t="s">
        <v>992</v>
      </c>
      <c r="G4251" s="924" t="s">
        <v>858</v>
      </c>
      <c r="H4251" s="924" t="s">
        <v>836</v>
      </c>
      <c r="I4251" s="924" t="s">
        <v>834</v>
      </c>
      <c r="J4251" s="924" t="s">
        <v>224</v>
      </c>
      <c r="K4251" s="924" t="s">
        <v>993</v>
      </c>
      <c r="L4251" s="925">
        <v>160.00164794921901</v>
      </c>
      <c r="M4251" s="925">
        <v>6.2269381937767303E-3</v>
      </c>
    </row>
    <row r="4252" spans="1:13" ht="11.25" customHeight="1" x14ac:dyDescent="0.2">
      <c r="A4252" s="924" t="s">
        <v>853</v>
      </c>
      <c r="B4252" s="924" t="s">
        <v>808</v>
      </c>
      <c r="C4252" s="924" t="s">
        <v>1200</v>
      </c>
      <c r="D4252" s="924" t="s">
        <v>855</v>
      </c>
      <c r="E4252" s="924" t="s">
        <v>856</v>
      </c>
      <c r="F4252" s="924" t="s">
        <v>916</v>
      </c>
      <c r="G4252" s="924" t="s">
        <v>911</v>
      </c>
      <c r="H4252" s="924" t="s">
        <v>665</v>
      </c>
      <c r="I4252" s="924" t="s">
        <v>706</v>
      </c>
      <c r="J4252" s="924" t="s">
        <v>859</v>
      </c>
      <c r="K4252" s="924" t="s">
        <v>909</v>
      </c>
      <c r="L4252" s="925">
        <v>6.2573099061846698</v>
      </c>
      <c r="M4252" s="925">
        <v>2.8961053476450599E-4</v>
      </c>
    </row>
    <row r="4253" spans="1:13" ht="11.25" customHeight="1" x14ac:dyDescent="0.2">
      <c r="A4253" s="924" t="s">
        <v>853</v>
      </c>
      <c r="B4253" s="924" t="s">
        <v>808</v>
      </c>
      <c r="C4253" s="924" t="s">
        <v>1200</v>
      </c>
      <c r="D4253" s="924" t="s">
        <v>855</v>
      </c>
      <c r="E4253" s="924" t="s">
        <v>856</v>
      </c>
      <c r="F4253" s="924" t="s">
        <v>996</v>
      </c>
      <c r="G4253" s="924" t="s">
        <v>911</v>
      </c>
      <c r="H4253" s="924" t="s">
        <v>665</v>
      </c>
      <c r="I4253" s="924" t="s">
        <v>834</v>
      </c>
      <c r="J4253" s="924" t="s">
        <v>706</v>
      </c>
      <c r="K4253" s="924" t="s">
        <v>993</v>
      </c>
      <c r="L4253" s="925">
        <v>0.28306206292472802</v>
      </c>
      <c r="M4253" s="925">
        <v>3.5094201230378999E-5</v>
      </c>
    </row>
    <row r="4254" spans="1:13" ht="11.25" customHeight="1" x14ac:dyDescent="0.2">
      <c r="A4254" s="924" t="s">
        <v>853</v>
      </c>
      <c r="B4254" s="924" t="s">
        <v>808</v>
      </c>
      <c r="C4254" s="924" t="s">
        <v>1200</v>
      </c>
      <c r="D4254" s="924" t="s">
        <v>855</v>
      </c>
      <c r="E4254" s="924" t="s">
        <v>856</v>
      </c>
      <c r="F4254" s="924" t="s">
        <v>919</v>
      </c>
      <c r="G4254" s="924" t="s">
        <v>911</v>
      </c>
      <c r="H4254" s="924" t="s">
        <v>665</v>
      </c>
      <c r="I4254" s="924" t="s">
        <v>706</v>
      </c>
      <c r="J4254" s="924" t="s">
        <v>859</v>
      </c>
      <c r="K4254" s="924" t="s">
        <v>920</v>
      </c>
      <c r="L4254" s="925">
        <v>0.400471218861639</v>
      </c>
      <c r="M4254" s="925">
        <v>1.1219731703704399E-4</v>
      </c>
    </row>
    <row r="4255" spans="1:13" ht="11.25" customHeight="1" x14ac:dyDescent="0.2">
      <c r="A4255" s="924" t="s">
        <v>853</v>
      </c>
      <c r="B4255" s="924" t="s">
        <v>808</v>
      </c>
      <c r="C4255" s="924" t="s">
        <v>1200</v>
      </c>
      <c r="D4255" s="924" t="s">
        <v>855</v>
      </c>
      <c r="E4255" s="924" t="s">
        <v>1164</v>
      </c>
      <c r="F4255" s="924" t="s">
        <v>1167</v>
      </c>
      <c r="G4255" s="924" t="s">
        <v>911</v>
      </c>
      <c r="H4255" s="924" t="s">
        <v>665</v>
      </c>
      <c r="I4255" s="924" t="s">
        <v>706</v>
      </c>
      <c r="J4255" s="924" t="s">
        <v>1166</v>
      </c>
      <c r="K4255" s="924" t="s">
        <v>1166</v>
      </c>
      <c r="L4255" s="925">
        <v>1.0812827181071001</v>
      </c>
      <c r="M4255" s="925">
        <v>5.0118458261749799E-5</v>
      </c>
    </row>
    <row r="4256" spans="1:13" ht="11.25" customHeight="1" x14ac:dyDescent="0.2">
      <c r="A4256" s="924" t="s">
        <v>853</v>
      </c>
      <c r="B4256" s="924" t="s">
        <v>808</v>
      </c>
      <c r="C4256" s="924" t="s">
        <v>1200</v>
      </c>
      <c r="D4256" s="924" t="s">
        <v>855</v>
      </c>
      <c r="E4256" s="924" t="s">
        <v>1164</v>
      </c>
      <c r="F4256" s="924" t="s">
        <v>1168</v>
      </c>
      <c r="G4256" s="924" t="s">
        <v>858</v>
      </c>
      <c r="H4256" s="924" t="s">
        <v>836</v>
      </c>
      <c r="I4256" s="924" t="s">
        <v>837</v>
      </c>
      <c r="J4256" s="924" t="s">
        <v>1166</v>
      </c>
      <c r="K4256" s="924" t="s">
        <v>1166</v>
      </c>
      <c r="L4256" s="925">
        <v>59.894342422485401</v>
      </c>
      <c r="M4256" s="925">
        <v>7.6618662737359998E-4</v>
      </c>
    </row>
    <row r="4257" spans="1:13" ht="11.25" customHeight="1" x14ac:dyDescent="0.2">
      <c r="A4257" s="924" t="s">
        <v>853</v>
      </c>
      <c r="B4257" s="924" t="s">
        <v>808</v>
      </c>
      <c r="C4257" s="924" t="s">
        <v>1200</v>
      </c>
      <c r="D4257" s="924" t="s">
        <v>855</v>
      </c>
      <c r="E4257" s="924" t="s">
        <v>856</v>
      </c>
      <c r="F4257" s="924" t="s">
        <v>974</v>
      </c>
      <c r="G4257" s="924" t="s">
        <v>858</v>
      </c>
      <c r="H4257" s="924" t="s">
        <v>836</v>
      </c>
      <c r="I4257" s="924" t="s">
        <v>837</v>
      </c>
      <c r="J4257" s="924" t="s">
        <v>875</v>
      </c>
      <c r="K4257" s="924" t="s">
        <v>952</v>
      </c>
      <c r="L4257" s="925">
        <v>29.6220808625221</v>
      </c>
      <c r="M4257" s="925">
        <v>6.69262814874116E-4</v>
      </c>
    </row>
    <row r="4258" spans="1:13" ht="11.25" customHeight="1" x14ac:dyDescent="0.2">
      <c r="A4258" s="924" t="s">
        <v>853</v>
      </c>
      <c r="B4258" s="924" t="s">
        <v>808</v>
      </c>
      <c r="C4258" s="924" t="s">
        <v>1200</v>
      </c>
      <c r="D4258" s="924" t="s">
        <v>855</v>
      </c>
      <c r="E4258" s="924" t="s">
        <v>856</v>
      </c>
      <c r="F4258" s="924" t="s">
        <v>1020</v>
      </c>
      <c r="G4258" s="924" t="s">
        <v>858</v>
      </c>
      <c r="H4258" s="924" t="s">
        <v>836</v>
      </c>
      <c r="I4258" s="924" t="s">
        <v>837</v>
      </c>
      <c r="J4258" s="924" t="s">
        <v>863</v>
      </c>
      <c r="K4258" s="924" t="s">
        <v>866</v>
      </c>
      <c r="L4258" s="925">
        <v>2714.2319717407199</v>
      </c>
      <c r="M4258" s="925">
        <v>6.58813763111539E-2</v>
      </c>
    </row>
    <row r="4259" spans="1:13" ht="11.25" customHeight="1" x14ac:dyDescent="0.2">
      <c r="A4259" s="924" t="s">
        <v>853</v>
      </c>
      <c r="B4259" s="924" t="s">
        <v>808</v>
      </c>
      <c r="C4259" s="924" t="s">
        <v>1200</v>
      </c>
      <c r="D4259" s="924" t="s">
        <v>855</v>
      </c>
      <c r="E4259" s="924" t="s">
        <v>856</v>
      </c>
      <c r="F4259" s="924" t="s">
        <v>1003</v>
      </c>
      <c r="G4259" s="924" t="s">
        <v>858</v>
      </c>
      <c r="H4259" s="924" t="s">
        <v>836</v>
      </c>
      <c r="I4259" s="924" t="s">
        <v>837</v>
      </c>
      <c r="J4259" s="924" t="s">
        <v>859</v>
      </c>
      <c r="K4259" s="924" t="s">
        <v>924</v>
      </c>
      <c r="L4259" s="925">
        <v>2889.1336669921898</v>
      </c>
      <c r="M4259" s="925">
        <v>2.75559579104083E-2</v>
      </c>
    </row>
    <row r="4260" spans="1:13" ht="11.25" customHeight="1" x14ac:dyDescent="0.2">
      <c r="A4260" s="924" t="s">
        <v>853</v>
      </c>
      <c r="B4260" s="924" t="s">
        <v>808</v>
      </c>
      <c r="C4260" s="924" t="s">
        <v>1200</v>
      </c>
      <c r="D4260" s="924" t="s">
        <v>855</v>
      </c>
      <c r="E4260" s="924" t="s">
        <v>856</v>
      </c>
      <c r="F4260" s="924" t="s">
        <v>1004</v>
      </c>
      <c r="G4260" s="924" t="s">
        <v>858</v>
      </c>
      <c r="H4260" s="924" t="s">
        <v>836</v>
      </c>
      <c r="I4260" s="924" t="s">
        <v>837</v>
      </c>
      <c r="J4260" s="924" t="s">
        <v>859</v>
      </c>
      <c r="K4260" s="924" t="s">
        <v>926</v>
      </c>
      <c r="L4260" s="925">
        <v>1750.9209327697799</v>
      </c>
      <c r="M4260" s="925">
        <v>7.1451073335993001E-2</v>
      </c>
    </row>
    <row r="4261" spans="1:13" ht="11.25" customHeight="1" x14ac:dyDescent="0.2">
      <c r="A4261" s="924" t="s">
        <v>853</v>
      </c>
      <c r="B4261" s="924" t="s">
        <v>808</v>
      </c>
      <c r="C4261" s="924" t="s">
        <v>1200</v>
      </c>
      <c r="D4261" s="924" t="s">
        <v>855</v>
      </c>
      <c r="E4261" s="924" t="s">
        <v>856</v>
      </c>
      <c r="F4261" s="924" t="s">
        <v>1005</v>
      </c>
      <c r="G4261" s="924" t="s">
        <v>858</v>
      </c>
      <c r="H4261" s="924" t="s">
        <v>836</v>
      </c>
      <c r="I4261" s="924" t="s">
        <v>837</v>
      </c>
      <c r="J4261" s="924" t="s">
        <v>859</v>
      </c>
      <c r="K4261" s="924" t="s">
        <v>1006</v>
      </c>
      <c r="L4261" s="925">
        <v>2642.6504554748499</v>
      </c>
      <c r="M4261" s="925">
        <v>2.0468671348908202E-2</v>
      </c>
    </row>
    <row r="4262" spans="1:13" ht="11.25" customHeight="1" x14ac:dyDescent="0.2">
      <c r="A4262" s="924" t="s">
        <v>853</v>
      </c>
      <c r="B4262" s="924" t="s">
        <v>808</v>
      </c>
      <c r="C4262" s="924" t="s">
        <v>1200</v>
      </c>
      <c r="D4262" s="924" t="s">
        <v>855</v>
      </c>
      <c r="E4262" s="924" t="s">
        <v>856</v>
      </c>
      <c r="F4262" s="924" t="s">
        <v>1007</v>
      </c>
      <c r="G4262" s="924" t="s">
        <v>858</v>
      </c>
      <c r="H4262" s="924" t="s">
        <v>836</v>
      </c>
      <c r="I4262" s="924" t="s">
        <v>837</v>
      </c>
      <c r="J4262" s="924" t="s">
        <v>859</v>
      </c>
      <c r="K4262" s="924" t="s">
        <v>928</v>
      </c>
      <c r="L4262" s="925">
        <v>1216.63584136963</v>
      </c>
      <c r="M4262" s="925">
        <v>5.30519630838171E-2</v>
      </c>
    </row>
    <row r="4263" spans="1:13" ht="11.25" customHeight="1" x14ac:dyDescent="0.2">
      <c r="A4263" s="924" t="s">
        <v>853</v>
      </c>
      <c r="B4263" s="924" t="s">
        <v>808</v>
      </c>
      <c r="C4263" s="924" t="s">
        <v>1200</v>
      </c>
      <c r="D4263" s="924" t="s">
        <v>855</v>
      </c>
      <c r="E4263" s="924" t="s">
        <v>856</v>
      </c>
      <c r="F4263" s="924" t="s">
        <v>1008</v>
      </c>
      <c r="G4263" s="924" t="s">
        <v>858</v>
      </c>
      <c r="H4263" s="924" t="s">
        <v>836</v>
      </c>
      <c r="I4263" s="924" t="s">
        <v>837</v>
      </c>
      <c r="J4263" s="924" t="s">
        <v>859</v>
      </c>
      <c r="K4263" s="924" t="s">
        <v>1009</v>
      </c>
      <c r="L4263" s="925">
        <v>283.62282562255899</v>
      </c>
      <c r="M4263" s="925">
        <v>2.3105877209275102E-3</v>
      </c>
    </row>
    <row r="4264" spans="1:13" ht="11.25" customHeight="1" x14ac:dyDescent="0.2">
      <c r="A4264" s="924" t="s">
        <v>853</v>
      </c>
      <c r="B4264" s="924" t="s">
        <v>808</v>
      </c>
      <c r="C4264" s="924" t="s">
        <v>1200</v>
      </c>
      <c r="D4264" s="924" t="s">
        <v>855</v>
      </c>
      <c r="E4264" s="924" t="s">
        <v>856</v>
      </c>
      <c r="F4264" s="924" t="s">
        <v>1010</v>
      </c>
      <c r="G4264" s="924" t="s">
        <v>858</v>
      </c>
      <c r="H4264" s="924" t="s">
        <v>836</v>
      </c>
      <c r="I4264" s="924" t="s">
        <v>837</v>
      </c>
      <c r="J4264" s="924" t="s">
        <v>859</v>
      </c>
      <c r="K4264" s="924" t="s">
        <v>1011</v>
      </c>
      <c r="L4264" s="925">
        <v>3.7223314903676501</v>
      </c>
      <c r="M4264" s="925">
        <v>1.7128041713121401E-4</v>
      </c>
    </row>
    <row r="4265" spans="1:13" ht="11.25" customHeight="1" x14ac:dyDescent="0.2">
      <c r="A4265" s="924" t="s">
        <v>853</v>
      </c>
      <c r="B4265" s="924" t="s">
        <v>808</v>
      </c>
      <c r="C4265" s="924" t="s">
        <v>1200</v>
      </c>
      <c r="D4265" s="924" t="s">
        <v>855</v>
      </c>
      <c r="E4265" s="924" t="s">
        <v>856</v>
      </c>
      <c r="F4265" s="924" t="s">
        <v>1012</v>
      </c>
      <c r="G4265" s="924" t="s">
        <v>858</v>
      </c>
      <c r="H4265" s="924" t="s">
        <v>836</v>
      </c>
      <c r="I4265" s="924" t="s">
        <v>837</v>
      </c>
      <c r="J4265" s="924" t="s">
        <v>859</v>
      </c>
      <c r="K4265" s="924" t="s">
        <v>891</v>
      </c>
      <c r="L4265" s="925">
        <v>272.79463863372803</v>
      </c>
      <c r="M4265" s="925">
        <v>3.6156865447196699E-3</v>
      </c>
    </row>
    <row r="4266" spans="1:13" ht="11.25" customHeight="1" x14ac:dyDescent="0.2">
      <c r="A4266" s="924" t="s">
        <v>853</v>
      </c>
      <c r="B4266" s="924" t="s">
        <v>808</v>
      </c>
      <c r="C4266" s="924" t="s">
        <v>1200</v>
      </c>
      <c r="D4266" s="924" t="s">
        <v>855</v>
      </c>
      <c r="E4266" s="924" t="s">
        <v>856</v>
      </c>
      <c r="F4266" s="924" t="s">
        <v>1013</v>
      </c>
      <c r="G4266" s="924" t="s">
        <v>858</v>
      </c>
      <c r="H4266" s="924" t="s">
        <v>836</v>
      </c>
      <c r="I4266" s="924" t="s">
        <v>837</v>
      </c>
      <c r="J4266" s="924" t="s">
        <v>863</v>
      </c>
      <c r="K4266" s="924" t="s">
        <v>931</v>
      </c>
      <c r="L4266" s="925">
        <v>173.908405542374</v>
      </c>
      <c r="M4266" s="925">
        <v>6.3569799256129001E-3</v>
      </c>
    </row>
    <row r="4267" spans="1:13" ht="11.25" customHeight="1" x14ac:dyDescent="0.2">
      <c r="A4267" s="924" t="s">
        <v>853</v>
      </c>
      <c r="B4267" s="924" t="s">
        <v>808</v>
      </c>
      <c r="C4267" s="924" t="s">
        <v>1200</v>
      </c>
      <c r="D4267" s="924" t="s">
        <v>855</v>
      </c>
      <c r="E4267" s="924" t="s">
        <v>856</v>
      </c>
      <c r="F4267" s="924" t="s">
        <v>1014</v>
      </c>
      <c r="G4267" s="924" t="s">
        <v>858</v>
      </c>
      <c r="H4267" s="924" t="s">
        <v>836</v>
      </c>
      <c r="I4267" s="924" t="s">
        <v>837</v>
      </c>
      <c r="J4267" s="924" t="s">
        <v>863</v>
      </c>
      <c r="K4267" s="924" t="s">
        <v>933</v>
      </c>
      <c r="L4267" s="925">
        <v>2519.4383659362802</v>
      </c>
      <c r="M4267" s="925">
        <v>1.7836481614267499E-2</v>
      </c>
    </row>
    <row r="4268" spans="1:13" ht="11.25" customHeight="1" x14ac:dyDescent="0.2">
      <c r="A4268" s="924" t="s">
        <v>853</v>
      </c>
      <c r="B4268" s="924" t="s">
        <v>808</v>
      </c>
      <c r="C4268" s="924" t="s">
        <v>1200</v>
      </c>
      <c r="D4268" s="924" t="s">
        <v>855</v>
      </c>
      <c r="E4268" s="924" t="s">
        <v>856</v>
      </c>
      <c r="F4268" s="924" t="s">
        <v>1038</v>
      </c>
      <c r="G4268" s="924" t="s">
        <v>858</v>
      </c>
      <c r="H4268" s="924" t="s">
        <v>836</v>
      </c>
      <c r="I4268" s="924" t="s">
        <v>837</v>
      </c>
      <c r="J4268" s="924" t="s">
        <v>863</v>
      </c>
      <c r="K4268" s="924" t="s">
        <v>935</v>
      </c>
      <c r="L4268" s="925">
        <v>1100.5338573455799</v>
      </c>
      <c r="M4268" s="925">
        <v>1.19109221192275E-2</v>
      </c>
    </row>
    <row r="4269" spans="1:13" ht="11.25" customHeight="1" x14ac:dyDescent="0.2">
      <c r="A4269" s="924" t="s">
        <v>853</v>
      </c>
      <c r="B4269" s="924" t="s">
        <v>808</v>
      </c>
      <c r="C4269" s="924" t="s">
        <v>1200</v>
      </c>
      <c r="D4269" s="924" t="s">
        <v>855</v>
      </c>
      <c r="E4269" s="924" t="s">
        <v>856</v>
      </c>
      <c r="F4269" s="924" t="s">
        <v>960</v>
      </c>
      <c r="G4269" s="924" t="s">
        <v>858</v>
      </c>
      <c r="H4269" s="924" t="s">
        <v>836</v>
      </c>
      <c r="I4269" s="924" t="s">
        <v>837</v>
      </c>
      <c r="J4269" s="924" t="s">
        <v>870</v>
      </c>
      <c r="K4269" s="924" t="s">
        <v>961</v>
      </c>
      <c r="L4269" s="925">
        <v>31.027905754744999</v>
      </c>
      <c r="M4269" s="925">
        <v>2.7529784508217902E-4</v>
      </c>
    </row>
    <row r="4270" spans="1:13" ht="11.25" customHeight="1" x14ac:dyDescent="0.2">
      <c r="A4270" s="924" t="s">
        <v>853</v>
      </c>
      <c r="B4270" s="924" t="s">
        <v>808</v>
      </c>
      <c r="C4270" s="924" t="s">
        <v>1200</v>
      </c>
      <c r="D4270" s="924" t="s">
        <v>855</v>
      </c>
      <c r="E4270" s="924" t="s">
        <v>856</v>
      </c>
      <c r="F4270" s="924" t="s">
        <v>1001</v>
      </c>
      <c r="G4270" s="924" t="s">
        <v>858</v>
      </c>
      <c r="H4270" s="924" t="s">
        <v>836</v>
      </c>
      <c r="I4270" s="924" t="s">
        <v>837</v>
      </c>
      <c r="J4270" s="924" t="s">
        <v>863</v>
      </c>
      <c r="K4270" s="924" t="s">
        <v>915</v>
      </c>
      <c r="L4270" s="925">
        <v>43.076577842235601</v>
      </c>
      <c r="M4270" s="925">
        <v>1.3161730395836501E-3</v>
      </c>
    </row>
    <row r="4271" spans="1:13" ht="11.25" customHeight="1" x14ac:dyDescent="0.2">
      <c r="A4271" s="924" t="s">
        <v>853</v>
      </c>
      <c r="B4271" s="924" t="s">
        <v>808</v>
      </c>
      <c r="C4271" s="924" t="s">
        <v>1200</v>
      </c>
      <c r="D4271" s="924" t="s">
        <v>855</v>
      </c>
      <c r="E4271" s="924" t="s">
        <v>856</v>
      </c>
      <c r="F4271" s="924" t="s">
        <v>1002</v>
      </c>
      <c r="G4271" s="924" t="s">
        <v>858</v>
      </c>
      <c r="H4271" s="924" t="s">
        <v>836</v>
      </c>
      <c r="I4271" s="924" t="s">
        <v>837</v>
      </c>
      <c r="J4271" s="924" t="s">
        <v>859</v>
      </c>
      <c r="K4271" s="924" t="s">
        <v>922</v>
      </c>
      <c r="L4271" s="925">
        <v>849.7421875</v>
      </c>
      <c r="M4271" s="925">
        <v>9.7151343567247698E-3</v>
      </c>
    </row>
    <row r="4272" spans="1:13" ht="11.25" customHeight="1" x14ac:dyDescent="0.2">
      <c r="A4272" s="924" t="s">
        <v>853</v>
      </c>
      <c r="B4272" s="924" t="s">
        <v>808</v>
      </c>
      <c r="C4272" s="924" t="s">
        <v>1200</v>
      </c>
      <c r="D4272" s="924" t="s">
        <v>855</v>
      </c>
      <c r="E4272" s="924" t="s">
        <v>856</v>
      </c>
      <c r="F4272" s="924" t="s">
        <v>1021</v>
      </c>
      <c r="G4272" s="924" t="s">
        <v>858</v>
      </c>
      <c r="H4272" s="924" t="s">
        <v>836</v>
      </c>
      <c r="I4272" s="924" t="s">
        <v>837</v>
      </c>
      <c r="J4272" s="924" t="s">
        <v>863</v>
      </c>
      <c r="K4272" s="924" t="s">
        <v>868</v>
      </c>
      <c r="L4272" s="925">
        <v>1587.8757972717301</v>
      </c>
      <c r="M4272" s="925">
        <v>8.5351160762456892E-3</v>
      </c>
    </row>
    <row r="4273" spans="1:13" ht="11.25" customHeight="1" x14ac:dyDescent="0.2">
      <c r="A4273" s="924" t="s">
        <v>853</v>
      </c>
      <c r="B4273" s="924" t="s">
        <v>808</v>
      </c>
      <c r="C4273" s="924" t="s">
        <v>1200</v>
      </c>
      <c r="D4273" s="924" t="s">
        <v>855</v>
      </c>
      <c r="E4273" s="924" t="s">
        <v>856</v>
      </c>
      <c r="F4273" s="924" t="s">
        <v>1022</v>
      </c>
      <c r="G4273" s="924" t="s">
        <v>858</v>
      </c>
      <c r="H4273" s="924" t="s">
        <v>836</v>
      </c>
      <c r="I4273" s="924" t="s">
        <v>837</v>
      </c>
      <c r="J4273" s="924" t="s">
        <v>940</v>
      </c>
      <c r="K4273" s="924" t="s">
        <v>1023</v>
      </c>
      <c r="L4273" s="925">
        <v>8.7226181727601201E-2</v>
      </c>
      <c r="M4273" s="925">
        <v>3.91811774451412E-6</v>
      </c>
    </row>
    <row r="4274" spans="1:13" ht="11.25" customHeight="1" x14ac:dyDescent="0.2">
      <c r="A4274" s="924" t="s">
        <v>853</v>
      </c>
      <c r="B4274" s="924" t="s">
        <v>808</v>
      </c>
      <c r="C4274" s="924" t="s">
        <v>1200</v>
      </c>
      <c r="D4274" s="924" t="s">
        <v>855</v>
      </c>
      <c r="E4274" s="924" t="s">
        <v>856</v>
      </c>
      <c r="F4274" s="924" t="s">
        <v>1024</v>
      </c>
      <c r="G4274" s="924" t="s">
        <v>858</v>
      </c>
      <c r="H4274" s="924" t="s">
        <v>836</v>
      </c>
      <c r="I4274" s="924" t="s">
        <v>837</v>
      </c>
      <c r="J4274" s="924" t="s">
        <v>940</v>
      </c>
      <c r="K4274" s="924" t="s">
        <v>1025</v>
      </c>
      <c r="L4274" s="925">
        <v>23.162457466125499</v>
      </c>
      <c r="M4274" s="925">
        <v>3.8102307263443398E-4</v>
      </c>
    </row>
    <row r="4275" spans="1:13" ht="11.25" customHeight="1" x14ac:dyDescent="0.2">
      <c r="A4275" s="924" t="s">
        <v>853</v>
      </c>
      <c r="B4275" s="924" t="s">
        <v>808</v>
      </c>
      <c r="C4275" s="924" t="s">
        <v>1200</v>
      </c>
      <c r="D4275" s="924" t="s">
        <v>855</v>
      </c>
      <c r="E4275" s="924" t="s">
        <v>856</v>
      </c>
      <c r="F4275" s="924" t="s">
        <v>1026</v>
      </c>
      <c r="G4275" s="924" t="s">
        <v>858</v>
      </c>
      <c r="H4275" s="924" t="s">
        <v>836</v>
      </c>
      <c r="I4275" s="924" t="s">
        <v>837</v>
      </c>
      <c r="J4275" s="924" t="s">
        <v>940</v>
      </c>
      <c r="K4275" s="924" t="s">
        <v>1027</v>
      </c>
      <c r="L4275" s="925">
        <v>611.38261198997498</v>
      </c>
      <c r="M4275" s="925">
        <v>2.5804116532356099E-2</v>
      </c>
    </row>
    <row r="4276" spans="1:13" ht="11.25" customHeight="1" x14ac:dyDescent="0.2">
      <c r="A4276" s="924" t="s">
        <v>853</v>
      </c>
      <c r="B4276" s="924" t="s">
        <v>808</v>
      </c>
      <c r="C4276" s="924" t="s">
        <v>1200</v>
      </c>
      <c r="D4276" s="924" t="s">
        <v>855</v>
      </c>
      <c r="E4276" s="924" t="s">
        <v>856</v>
      </c>
      <c r="F4276" s="924" t="s">
        <v>1028</v>
      </c>
      <c r="G4276" s="924" t="s">
        <v>858</v>
      </c>
      <c r="H4276" s="924" t="s">
        <v>836</v>
      </c>
      <c r="I4276" s="924" t="s">
        <v>837</v>
      </c>
      <c r="J4276" s="924" t="s">
        <v>940</v>
      </c>
      <c r="K4276" s="924" t="s">
        <v>1029</v>
      </c>
      <c r="L4276" s="925">
        <v>126.189417123795</v>
      </c>
      <c r="M4276" s="925">
        <v>6.8450365945338402E-3</v>
      </c>
    </row>
    <row r="4277" spans="1:13" ht="11.25" customHeight="1" x14ac:dyDescent="0.2">
      <c r="A4277" s="924" t="s">
        <v>853</v>
      </c>
      <c r="B4277" s="924" t="s">
        <v>808</v>
      </c>
      <c r="C4277" s="924" t="s">
        <v>1200</v>
      </c>
      <c r="D4277" s="924" t="s">
        <v>855</v>
      </c>
      <c r="E4277" s="924" t="s">
        <v>856</v>
      </c>
      <c r="F4277" s="924" t="s">
        <v>1030</v>
      </c>
      <c r="G4277" s="924" t="s">
        <v>858</v>
      </c>
      <c r="H4277" s="924" t="s">
        <v>836</v>
      </c>
      <c r="I4277" s="924" t="s">
        <v>837</v>
      </c>
      <c r="J4277" s="924" t="s">
        <v>940</v>
      </c>
      <c r="K4277" s="924" t="s">
        <v>941</v>
      </c>
      <c r="L4277" s="925">
        <v>833.44849562645004</v>
      </c>
      <c r="M4277" s="925">
        <v>1.5655966774374998E-2</v>
      </c>
    </row>
    <row r="4278" spans="1:13" ht="11.25" customHeight="1" x14ac:dyDescent="0.2">
      <c r="A4278" s="924" t="s">
        <v>853</v>
      </c>
      <c r="B4278" s="924" t="s">
        <v>808</v>
      </c>
      <c r="C4278" s="924" t="s">
        <v>1200</v>
      </c>
      <c r="D4278" s="924" t="s">
        <v>855</v>
      </c>
      <c r="E4278" s="924" t="s">
        <v>856</v>
      </c>
      <c r="F4278" s="924" t="s">
        <v>1031</v>
      </c>
      <c r="G4278" s="924" t="s">
        <v>858</v>
      </c>
      <c r="H4278" s="924" t="s">
        <v>836</v>
      </c>
      <c r="I4278" s="924" t="s">
        <v>837</v>
      </c>
      <c r="J4278" s="924" t="s">
        <v>940</v>
      </c>
      <c r="K4278" s="924" t="s">
        <v>1032</v>
      </c>
      <c r="L4278" s="925">
        <v>98.187399864196806</v>
      </c>
      <c r="M4278" s="925">
        <v>2.0486892153250801E-3</v>
      </c>
    </row>
    <row r="4279" spans="1:13" ht="11.25" customHeight="1" x14ac:dyDescent="0.2">
      <c r="A4279" s="924" t="s">
        <v>853</v>
      </c>
      <c r="B4279" s="924" t="s">
        <v>808</v>
      </c>
      <c r="C4279" s="924" t="s">
        <v>1200</v>
      </c>
      <c r="D4279" s="924" t="s">
        <v>855</v>
      </c>
      <c r="E4279" s="924" t="s">
        <v>856</v>
      </c>
      <c r="F4279" s="924" t="s">
        <v>1033</v>
      </c>
      <c r="G4279" s="924" t="s">
        <v>858</v>
      </c>
      <c r="H4279" s="924" t="s">
        <v>836</v>
      </c>
      <c r="I4279" s="924" t="s">
        <v>837</v>
      </c>
      <c r="J4279" s="924" t="s">
        <v>940</v>
      </c>
      <c r="K4279" s="924" t="s">
        <v>1034</v>
      </c>
      <c r="L4279" s="925">
        <v>2.4934399649500798</v>
      </c>
      <c r="M4279" s="925">
        <v>8.1766313138498194E-5</v>
      </c>
    </row>
    <row r="4280" spans="1:13" ht="11.25" customHeight="1" x14ac:dyDescent="0.2">
      <c r="A4280" s="924" t="s">
        <v>853</v>
      </c>
      <c r="B4280" s="924" t="s">
        <v>808</v>
      </c>
      <c r="C4280" s="924" t="s">
        <v>1200</v>
      </c>
      <c r="D4280" s="924" t="s">
        <v>855</v>
      </c>
      <c r="E4280" s="924" t="s">
        <v>856</v>
      </c>
      <c r="F4280" s="924" t="s">
        <v>1035</v>
      </c>
      <c r="G4280" s="924" t="s">
        <v>858</v>
      </c>
      <c r="H4280" s="924" t="s">
        <v>836</v>
      </c>
      <c r="I4280" s="924" t="s">
        <v>837</v>
      </c>
      <c r="J4280" s="924" t="s">
        <v>870</v>
      </c>
      <c r="K4280" s="924" t="s">
        <v>1036</v>
      </c>
      <c r="L4280" s="925">
        <v>9.8148560442496105E-2</v>
      </c>
      <c r="M4280" s="925">
        <v>1.20204236147628E-5</v>
      </c>
    </row>
    <row r="4281" spans="1:13" ht="11.25" customHeight="1" x14ac:dyDescent="0.2">
      <c r="A4281" s="924" t="s">
        <v>853</v>
      </c>
      <c r="B4281" s="924" t="s">
        <v>808</v>
      </c>
      <c r="C4281" s="924" t="s">
        <v>1200</v>
      </c>
      <c r="D4281" s="924" t="s">
        <v>855</v>
      </c>
      <c r="E4281" s="924" t="s">
        <v>856</v>
      </c>
      <c r="F4281" s="924" t="s">
        <v>975</v>
      </c>
      <c r="G4281" s="924" t="s">
        <v>858</v>
      </c>
      <c r="H4281" s="924" t="s">
        <v>836</v>
      </c>
      <c r="I4281" s="924" t="s">
        <v>837</v>
      </c>
      <c r="J4281" s="924" t="s">
        <v>870</v>
      </c>
      <c r="K4281" s="924" t="s">
        <v>976</v>
      </c>
      <c r="L4281" s="925">
        <v>4078.0611276626601</v>
      </c>
      <c r="M4281" s="925">
        <v>6.1034117880808501E-2</v>
      </c>
    </row>
    <row r="4282" spans="1:13" ht="11.25" customHeight="1" x14ac:dyDescent="0.2">
      <c r="A4282" s="924" t="s">
        <v>853</v>
      </c>
      <c r="B4282" s="924" t="s">
        <v>808</v>
      </c>
      <c r="C4282" s="924" t="s">
        <v>1200</v>
      </c>
      <c r="D4282" s="924" t="s">
        <v>855</v>
      </c>
      <c r="E4282" s="924" t="s">
        <v>856</v>
      </c>
      <c r="F4282" s="924" t="s">
        <v>1018</v>
      </c>
      <c r="G4282" s="924" t="s">
        <v>858</v>
      </c>
      <c r="H4282" s="924" t="s">
        <v>836</v>
      </c>
      <c r="I4282" s="924" t="s">
        <v>837</v>
      </c>
      <c r="J4282" s="924" t="s">
        <v>870</v>
      </c>
      <c r="K4282" s="924" t="s">
        <v>1019</v>
      </c>
      <c r="L4282" s="925">
        <v>365.74714136123703</v>
      </c>
      <c r="M4282" s="925">
        <v>2.7487479774777101E-3</v>
      </c>
    </row>
    <row r="4283" spans="1:13" ht="11.25" customHeight="1" x14ac:dyDescent="0.2">
      <c r="A4283" s="924" t="s">
        <v>853</v>
      </c>
      <c r="B4283" s="924" t="s">
        <v>808</v>
      </c>
      <c r="C4283" s="924" t="s">
        <v>1200</v>
      </c>
      <c r="D4283" s="924" t="s">
        <v>855</v>
      </c>
      <c r="E4283" s="924" t="s">
        <v>856</v>
      </c>
      <c r="F4283" s="924" t="s">
        <v>1017</v>
      </c>
      <c r="G4283" s="924" t="s">
        <v>858</v>
      </c>
      <c r="H4283" s="924" t="s">
        <v>836</v>
      </c>
      <c r="I4283" s="924" t="s">
        <v>837</v>
      </c>
      <c r="J4283" s="924" t="s">
        <v>863</v>
      </c>
      <c r="K4283" s="924" t="s">
        <v>864</v>
      </c>
      <c r="L4283" s="925">
        <v>1116.1003828048699</v>
      </c>
      <c r="M4283" s="925">
        <v>1.51365422736944E-2</v>
      </c>
    </row>
    <row r="4284" spans="1:13" ht="11.25" customHeight="1" x14ac:dyDescent="0.2">
      <c r="A4284" s="924" t="s">
        <v>853</v>
      </c>
      <c r="B4284" s="924" t="s">
        <v>808</v>
      </c>
      <c r="C4284" s="924" t="s">
        <v>1200</v>
      </c>
      <c r="D4284" s="924" t="s">
        <v>855</v>
      </c>
      <c r="E4284" s="924" t="s">
        <v>856</v>
      </c>
      <c r="F4284" s="924" t="s">
        <v>1057</v>
      </c>
      <c r="G4284" s="924" t="s">
        <v>981</v>
      </c>
      <c r="H4284" s="924" t="s">
        <v>835</v>
      </c>
      <c r="I4284" s="924" t="s">
        <v>1040</v>
      </c>
      <c r="J4284" s="924" t="s">
        <v>859</v>
      </c>
      <c r="K4284" s="924" t="s">
        <v>903</v>
      </c>
      <c r="L4284" s="925">
        <v>46.238955855369603</v>
      </c>
      <c r="M4284" s="925">
        <v>2.8672311804030001E-2</v>
      </c>
    </row>
    <row r="4285" spans="1:13" ht="11.25" customHeight="1" x14ac:dyDescent="0.2">
      <c r="A4285" s="924" t="s">
        <v>853</v>
      </c>
      <c r="B4285" s="924" t="s">
        <v>808</v>
      </c>
      <c r="C4285" s="924" t="s">
        <v>1200</v>
      </c>
      <c r="D4285" s="924" t="s">
        <v>855</v>
      </c>
      <c r="E4285" s="924" t="s">
        <v>856</v>
      </c>
      <c r="F4285" s="924" t="s">
        <v>1042</v>
      </c>
      <c r="G4285" s="924" t="s">
        <v>981</v>
      </c>
      <c r="H4285" s="924" t="s">
        <v>835</v>
      </c>
      <c r="I4285" s="924" t="s">
        <v>998</v>
      </c>
      <c r="J4285" s="924" t="s">
        <v>956</v>
      </c>
      <c r="K4285" s="924" t="s">
        <v>1043</v>
      </c>
      <c r="L4285" s="925">
        <v>2.0775516461581001</v>
      </c>
      <c r="M4285" s="925">
        <v>3.5985588947369299E-3</v>
      </c>
    </row>
    <row r="4286" spans="1:13" ht="11.25" customHeight="1" x14ac:dyDescent="0.2">
      <c r="A4286" s="924" t="s">
        <v>853</v>
      </c>
      <c r="B4286" s="924" t="s">
        <v>808</v>
      </c>
      <c r="C4286" s="924" t="s">
        <v>1200</v>
      </c>
      <c r="D4286" s="924" t="s">
        <v>855</v>
      </c>
      <c r="E4286" s="924" t="s">
        <v>856</v>
      </c>
      <c r="F4286" s="924" t="s">
        <v>1044</v>
      </c>
      <c r="G4286" s="924" t="s">
        <v>981</v>
      </c>
      <c r="H4286" s="924" t="s">
        <v>835</v>
      </c>
      <c r="I4286" s="924" t="s">
        <v>1040</v>
      </c>
      <c r="J4286" s="924" t="s">
        <v>884</v>
      </c>
      <c r="K4286" s="924" t="s">
        <v>999</v>
      </c>
      <c r="L4286" s="925">
        <v>86.059841752052293</v>
      </c>
      <c r="M4286" s="925">
        <v>0.118927042080941</v>
      </c>
    </row>
    <row r="4287" spans="1:13" ht="11.25" customHeight="1" x14ac:dyDescent="0.2">
      <c r="A4287" s="924" t="s">
        <v>853</v>
      </c>
      <c r="B4287" s="924" t="s">
        <v>808</v>
      </c>
      <c r="C4287" s="924" t="s">
        <v>1200</v>
      </c>
      <c r="D4287" s="924" t="s">
        <v>855</v>
      </c>
      <c r="E4287" s="924" t="s">
        <v>856</v>
      </c>
      <c r="F4287" s="924" t="s">
        <v>1045</v>
      </c>
      <c r="G4287" s="924" t="s">
        <v>981</v>
      </c>
      <c r="H4287" s="924" t="s">
        <v>835</v>
      </c>
      <c r="I4287" s="924" t="s">
        <v>1040</v>
      </c>
      <c r="J4287" s="924" t="s">
        <v>884</v>
      </c>
      <c r="K4287" s="924" t="s">
        <v>1046</v>
      </c>
      <c r="L4287" s="925">
        <v>818.88962554931595</v>
      </c>
      <c r="M4287" s="925">
        <v>0.83897770465409804</v>
      </c>
    </row>
    <row r="4288" spans="1:13" ht="11.25" customHeight="1" x14ac:dyDescent="0.2">
      <c r="A4288" s="924" t="s">
        <v>853</v>
      </c>
      <c r="B4288" s="924" t="s">
        <v>808</v>
      </c>
      <c r="C4288" s="924" t="s">
        <v>1200</v>
      </c>
      <c r="D4288" s="924" t="s">
        <v>855</v>
      </c>
      <c r="E4288" s="924" t="s">
        <v>856</v>
      </c>
      <c r="F4288" s="924" t="s">
        <v>1047</v>
      </c>
      <c r="G4288" s="924" t="s">
        <v>981</v>
      </c>
      <c r="H4288" s="924" t="s">
        <v>835</v>
      </c>
      <c r="I4288" s="924" t="s">
        <v>1040</v>
      </c>
      <c r="J4288" s="924" t="s">
        <v>884</v>
      </c>
      <c r="K4288" s="924" t="s">
        <v>1048</v>
      </c>
      <c r="L4288" s="925">
        <v>279.72468614578202</v>
      </c>
      <c r="M4288" s="925">
        <v>0.21107423817738899</v>
      </c>
    </row>
    <row r="4289" spans="1:13" ht="11.25" customHeight="1" x14ac:dyDescent="0.2">
      <c r="A4289" s="924" t="s">
        <v>853</v>
      </c>
      <c r="B4289" s="924" t="s">
        <v>808</v>
      </c>
      <c r="C4289" s="924" t="s">
        <v>1200</v>
      </c>
      <c r="D4289" s="924" t="s">
        <v>855</v>
      </c>
      <c r="E4289" s="924" t="s">
        <v>856</v>
      </c>
      <c r="F4289" s="924" t="s">
        <v>1049</v>
      </c>
      <c r="G4289" s="924" t="s">
        <v>981</v>
      </c>
      <c r="H4289" s="924" t="s">
        <v>835</v>
      </c>
      <c r="I4289" s="924" t="s">
        <v>1040</v>
      </c>
      <c r="J4289" s="924" t="s">
        <v>884</v>
      </c>
      <c r="K4289" s="924" t="s">
        <v>885</v>
      </c>
      <c r="L4289" s="925">
        <v>107.823253512383</v>
      </c>
      <c r="M4289" s="925">
        <v>0.102832120392122</v>
      </c>
    </row>
    <row r="4290" spans="1:13" ht="11.25" customHeight="1" x14ac:dyDescent="0.2">
      <c r="A4290" s="924" t="s">
        <v>853</v>
      </c>
      <c r="B4290" s="924" t="s">
        <v>808</v>
      </c>
      <c r="C4290" s="924" t="s">
        <v>1200</v>
      </c>
      <c r="D4290" s="924" t="s">
        <v>855</v>
      </c>
      <c r="E4290" s="924" t="s">
        <v>856</v>
      </c>
      <c r="F4290" s="924" t="s">
        <v>1050</v>
      </c>
      <c r="G4290" s="924" t="s">
        <v>981</v>
      </c>
      <c r="H4290" s="924" t="s">
        <v>835</v>
      </c>
      <c r="I4290" s="924" t="s">
        <v>1040</v>
      </c>
      <c r="J4290" s="924" t="s">
        <v>859</v>
      </c>
      <c r="K4290" s="924" t="s">
        <v>913</v>
      </c>
      <c r="L4290" s="925">
        <v>14.869401171803499</v>
      </c>
      <c r="M4290" s="925">
        <v>8.8512221207110997E-3</v>
      </c>
    </row>
    <row r="4291" spans="1:13" ht="11.25" customHeight="1" x14ac:dyDescent="0.2">
      <c r="A4291" s="924" t="s">
        <v>853</v>
      </c>
      <c r="B4291" s="924" t="s">
        <v>808</v>
      </c>
      <c r="C4291" s="924" t="s">
        <v>1200</v>
      </c>
      <c r="D4291" s="924" t="s">
        <v>855</v>
      </c>
      <c r="E4291" s="924" t="s">
        <v>856</v>
      </c>
      <c r="F4291" s="924" t="s">
        <v>1051</v>
      </c>
      <c r="G4291" s="924" t="s">
        <v>981</v>
      </c>
      <c r="H4291" s="924" t="s">
        <v>835</v>
      </c>
      <c r="I4291" s="924" t="s">
        <v>1040</v>
      </c>
      <c r="J4291" s="924" t="s">
        <v>859</v>
      </c>
      <c r="K4291" s="924" t="s">
        <v>889</v>
      </c>
      <c r="L4291" s="925">
        <v>0.111270545981824</v>
      </c>
      <c r="M4291" s="925">
        <v>7.2709666710579795E-5</v>
      </c>
    </row>
    <row r="4292" spans="1:13" ht="11.25" customHeight="1" x14ac:dyDescent="0.2">
      <c r="A4292" s="924" t="s">
        <v>853</v>
      </c>
      <c r="B4292" s="924" t="s">
        <v>808</v>
      </c>
      <c r="C4292" s="924" t="s">
        <v>1200</v>
      </c>
      <c r="D4292" s="924" t="s">
        <v>855</v>
      </c>
      <c r="E4292" s="924" t="s">
        <v>856</v>
      </c>
      <c r="F4292" s="924" t="s">
        <v>1052</v>
      </c>
      <c r="G4292" s="924" t="s">
        <v>981</v>
      </c>
      <c r="H4292" s="924" t="s">
        <v>835</v>
      </c>
      <c r="I4292" s="924" t="s">
        <v>1040</v>
      </c>
      <c r="J4292" s="924" t="s">
        <v>859</v>
      </c>
      <c r="K4292" s="924" t="s">
        <v>860</v>
      </c>
      <c r="L4292" s="925">
        <v>28.007046312093699</v>
      </c>
      <c r="M4292" s="925">
        <v>1.9862045824993398E-2</v>
      </c>
    </row>
    <row r="4293" spans="1:13" ht="11.25" customHeight="1" x14ac:dyDescent="0.2">
      <c r="A4293" s="924" t="s">
        <v>853</v>
      </c>
      <c r="B4293" s="924" t="s">
        <v>808</v>
      </c>
      <c r="C4293" s="924" t="s">
        <v>1200</v>
      </c>
      <c r="D4293" s="924" t="s">
        <v>855</v>
      </c>
      <c r="E4293" s="924" t="s">
        <v>856</v>
      </c>
      <c r="F4293" s="924" t="s">
        <v>1053</v>
      </c>
      <c r="G4293" s="924" t="s">
        <v>981</v>
      </c>
      <c r="H4293" s="924" t="s">
        <v>835</v>
      </c>
      <c r="I4293" s="924" t="s">
        <v>1040</v>
      </c>
      <c r="J4293" s="924" t="s">
        <v>859</v>
      </c>
      <c r="K4293" s="924" t="s">
        <v>893</v>
      </c>
      <c r="L4293" s="925">
        <v>26.3641935586929</v>
      </c>
      <c r="M4293" s="925">
        <v>1.6128388248034801E-2</v>
      </c>
    </row>
    <row r="4294" spans="1:13" ht="11.25" customHeight="1" x14ac:dyDescent="0.2">
      <c r="A4294" s="924" t="s">
        <v>853</v>
      </c>
      <c r="B4294" s="924" t="s">
        <v>808</v>
      </c>
      <c r="C4294" s="924" t="s">
        <v>1200</v>
      </c>
      <c r="D4294" s="924" t="s">
        <v>855</v>
      </c>
      <c r="E4294" s="924" t="s">
        <v>856</v>
      </c>
      <c r="F4294" s="924" t="s">
        <v>1068</v>
      </c>
      <c r="G4294" s="924" t="s">
        <v>981</v>
      </c>
      <c r="H4294" s="924" t="s">
        <v>835</v>
      </c>
      <c r="I4294" s="924" t="s">
        <v>1040</v>
      </c>
      <c r="J4294" s="924" t="s">
        <v>859</v>
      </c>
      <c r="K4294" s="924" t="s">
        <v>897</v>
      </c>
      <c r="L4294" s="925">
        <v>52.5649374127388</v>
      </c>
      <c r="M4294" s="925">
        <v>3.5283069713386801E-2</v>
      </c>
    </row>
    <row r="4295" spans="1:13" ht="11.25" customHeight="1" x14ac:dyDescent="0.2">
      <c r="A4295" s="924" t="s">
        <v>853</v>
      </c>
      <c r="B4295" s="924" t="s">
        <v>808</v>
      </c>
      <c r="C4295" s="924" t="s">
        <v>1200</v>
      </c>
      <c r="D4295" s="924" t="s">
        <v>855</v>
      </c>
      <c r="E4295" s="924" t="s">
        <v>856</v>
      </c>
      <c r="F4295" s="924" t="s">
        <v>1138</v>
      </c>
      <c r="G4295" s="924" t="s">
        <v>981</v>
      </c>
      <c r="H4295" s="924" t="s">
        <v>835</v>
      </c>
      <c r="I4295" s="924" t="s">
        <v>1040</v>
      </c>
      <c r="J4295" s="924" t="s">
        <v>863</v>
      </c>
      <c r="K4295" s="924" t="s">
        <v>931</v>
      </c>
      <c r="L4295" s="925">
        <v>193.00844335555999</v>
      </c>
      <c r="M4295" s="925">
        <v>7.4852684920187998E-2</v>
      </c>
    </row>
    <row r="4296" spans="1:13" ht="11.25" customHeight="1" x14ac:dyDescent="0.2">
      <c r="A4296" s="924" t="s">
        <v>853</v>
      </c>
      <c r="B4296" s="924" t="s">
        <v>808</v>
      </c>
      <c r="C4296" s="924" t="s">
        <v>1200</v>
      </c>
      <c r="D4296" s="924" t="s">
        <v>855</v>
      </c>
      <c r="E4296" s="924" t="s">
        <v>856</v>
      </c>
      <c r="F4296" s="924" t="s">
        <v>1039</v>
      </c>
      <c r="G4296" s="924" t="s">
        <v>981</v>
      </c>
      <c r="H4296" s="924" t="s">
        <v>835</v>
      </c>
      <c r="I4296" s="924" t="s">
        <v>1040</v>
      </c>
      <c r="J4296" s="924" t="s">
        <v>859</v>
      </c>
      <c r="K4296" s="924" t="s">
        <v>901</v>
      </c>
      <c r="L4296" s="925">
        <v>1.1549585992470399</v>
      </c>
      <c r="M4296" s="925">
        <v>8.5666812356066701E-4</v>
      </c>
    </row>
    <row r="4297" spans="1:13" ht="11.25" customHeight="1" x14ac:dyDescent="0.2">
      <c r="A4297" s="924" t="s">
        <v>853</v>
      </c>
      <c r="B4297" s="924" t="s">
        <v>808</v>
      </c>
      <c r="C4297" s="924" t="s">
        <v>1200</v>
      </c>
      <c r="D4297" s="924" t="s">
        <v>855</v>
      </c>
      <c r="E4297" s="924" t="s">
        <v>856</v>
      </c>
      <c r="F4297" s="924" t="s">
        <v>1056</v>
      </c>
      <c r="G4297" s="924" t="s">
        <v>981</v>
      </c>
      <c r="H4297" s="924" t="s">
        <v>835</v>
      </c>
      <c r="I4297" s="924" t="s">
        <v>998</v>
      </c>
      <c r="J4297" s="924" t="s">
        <v>875</v>
      </c>
      <c r="K4297" s="924" t="s">
        <v>878</v>
      </c>
      <c r="L4297" s="925">
        <v>46.4538567662239</v>
      </c>
      <c r="M4297" s="925">
        <v>8.95933158462867E-2</v>
      </c>
    </row>
    <row r="4298" spans="1:13" ht="11.25" customHeight="1" x14ac:dyDescent="0.2">
      <c r="A4298" s="924" t="s">
        <v>853</v>
      </c>
      <c r="B4298" s="924" t="s">
        <v>808</v>
      </c>
      <c r="C4298" s="924" t="s">
        <v>1200</v>
      </c>
      <c r="D4298" s="924" t="s">
        <v>855</v>
      </c>
      <c r="E4298" s="924" t="s">
        <v>856</v>
      </c>
      <c r="F4298" s="924" t="s">
        <v>1058</v>
      </c>
      <c r="G4298" s="924" t="s">
        <v>981</v>
      </c>
      <c r="H4298" s="924" t="s">
        <v>835</v>
      </c>
      <c r="I4298" s="924" t="s">
        <v>1040</v>
      </c>
      <c r="J4298" s="924" t="s">
        <v>859</v>
      </c>
      <c r="K4298" s="924" t="s">
        <v>905</v>
      </c>
      <c r="L4298" s="925">
        <v>16.215347588062301</v>
      </c>
      <c r="M4298" s="925">
        <v>1.2896220309812601E-2</v>
      </c>
    </row>
    <row r="4299" spans="1:13" ht="11.25" customHeight="1" x14ac:dyDescent="0.2">
      <c r="A4299" s="924" t="s">
        <v>853</v>
      </c>
      <c r="B4299" s="924" t="s">
        <v>808</v>
      </c>
      <c r="C4299" s="924" t="s">
        <v>1200</v>
      </c>
      <c r="D4299" s="924" t="s">
        <v>855</v>
      </c>
      <c r="E4299" s="924" t="s">
        <v>856</v>
      </c>
      <c r="F4299" s="924" t="s">
        <v>1059</v>
      </c>
      <c r="G4299" s="924" t="s">
        <v>981</v>
      </c>
      <c r="H4299" s="924" t="s">
        <v>835</v>
      </c>
      <c r="I4299" s="924" t="s">
        <v>1040</v>
      </c>
      <c r="J4299" s="924" t="s">
        <v>859</v>
      </c>
      <c r="K4299" s="924" t="s">
        <v>909</v>
      </c>
      <c r="L4299" s="925">
        <v>96.636956691741901</v>
      </c>
      <c r="M4299" s="925">
        <v>6.7142596933990703E-2</v>
      </c>
    </row>
    <row r="4300" spans="1:13" ht="11.25" customHeight="1" x14ac:dyDescent="0.2">
      <c r="A4300" s="924" t="s">
        <v>853</v>
      </c>
      <c r="B4300" s="924" t="s">
        <v>808</v>
      </c>
      <c r="C4300" s="924" t="s">
        <v>1200</v>
      </c>
      <c r="D4300" s="924" t="s">
        <v>855</v>
      </c>
      <c r="E4300" s="924" t="s">
        <v>856</v>
      </c>
      <c r="F4300" s="924" t="s">
        <v>1060</v>
      </c>
      <c r="G4300" s="924" t="s">
        <v>981</v>
      </c>
      <c r="H4300" s="924" t="s">
        <v>835</v>
      </c>
      <c r="I4300" s="924" t="s">
        <v>1040</v>
      </c>
      <c r="J4300" s="924" t="s">
        <v>859</v>
      </c>
      <c r="K4300" s="924" t="s">
        <v>973</v>
      </c>
      <c r="L4300" s="925">
        <v>46.352519512176499</v>
      </c>
      <c r="M4300" s="925">
        <v>3.1702189236966702E-2</v>
      </c>
    </row>
    <row r="4301" spans="1:13" ht="11.25" customHeight="1" x14ac:dyDescent="0.2">
      <c r="A4301" s="924" t="s">
        <v>853</v>
      </c>
      <c r="B4301" s="924" t="s">
        <v>808</v>
      </c>
      <c r="C4301" s="924" t="s">
        <v>1200</v>
      </c>
      <c r="D4301" s="924" t="s">
        <v>855</v>
      </c>
      <c r="E4301" s="924" t="s">
        <v>856</v>
      </c>
      <c r="F4301" s="924" t="s">
        <v>1061</v>
      </c>
      <c r="G4301" s="924" t="s">
        <v>981</v>
      </c>
      <c r="H4301" s="924" t="s">
        <v>835</v>
      </c>
      <c r="I4301" s="924" t="s">
        <v>1040</v>
      </c>
      <c r="J4301" s="924" t="s">
        <v>859</v>
      </c>
      <c r="K4301" s="924" t="s">
        <v>918</v>
      </c>
      <c r="L4301" s="925">
        <v>3.5906025543808902</v>
      </c>
      <c r="M4301" s="925">
        <v>1.5883203325302E-3</v>
      </c>
    </row>
    <row r="4302" spans="1:13" ht="11.25" customHeight="1" x14ac:dyDescent="0.2">
      <c r="A4302" s="924" t="s">
        <v>853</v>
      </c>
      <c r="B4302" s="924" t="s">
        <v>808</v>
      </c>
      <c r="C4302" s="924" t="s">
        <v>1200</v>
      </c>
      <c r="D4302" s="924" t="s">
        <v>855</v>
      </c>
      <c r="E4302" s="924" t="s">
        <v>856</v>
      </c>
      <c r="F4302" s="924" t="s">
        <v>1062</v>
      </c>
      <c r="G4302" s="924" t="s">
        <v>981</v>
      </c>
      <c r="H4302" s="924" t="s">
        <v>835</v>
      </c>
      <c r="I4302" s="924" t="s">
        <v>1040</v>
      </c>
      <c r="J4302" s="924" t="s">
        <v>859</v>
      </c>
      <c r="K4302" s="924" t="s">
        <v>920</v>
      </c>
      <c r="L4302" s="925">
        <v>6.2560112252831503</v>
      </c>
      <c r="M4302" s="925">
        <v>4.2577086616972801E-3</v>
      </c>
    </row>
    <row r="4303" spans="1:13" ht="11.25" customHeight="1" x14ac:dyDescent="0.2">
      <c r="A4303" s="924" t="s">
        <v>853</v>
      </c>
      <c r="B4303" s="924" t="s">
        <v>808</v>
      </c>
      <c r="C4303" s="924" t="s">
        <v>1200</v>
      </c>
      <c r="D4303" s="924" t="s">
        <v>855</v>
      </c>
      <c r="E4303" s="924" t="s">
        <v>856</v>
      </c>
      <c r="F4303" s="924" t="s">
        <v>1063</v>
      </c>
      <c r="G4303" s="924" t="s">
        <v>981</v>
      </c>
      <c r="H4303" s="924" t="s">
        <v>835</v>
      </c>
      <c r="I4303" s="924" t="s">
        <v>1040</v>
      </c>
      <c r="J4303" s="924" t="s">
        <v>859</v>
      </c>
      <c r="K4303" s="924" t="s">
        <v>922</v>
      </c>
      <c r="L4303" s="925">
        <v>5.4979254454374296</v>
      </c>
      <c r="M4303" s="925">
        <v>9.9897018412775694E-4</v>
      </c>
    </row>
    <row r="4304" spans="1:13" ht="11.25" customHeight="1" x14ac:dyDescent="0.2">
      <c r="A4304" s="924" t="s">
        <v>853</v>
      </c>
      <c r="B4304" s="924" t="s">
        <v>808</v>
      </c>
      <c r="C4304" s="924" t="s">
        <v>1200</v>
      </c>
      <c r="D4304" s="924" t="s">
        <v>855</v>
      </c>
      <c r="E4304" s="924" t="s">
        <v>856</v>
      </c>
      <c r="F4304" s="924" t="s">
        <v>1064</v>
      </c>
      <c r="G4304" s="924" t="s">
        <v>981</v>
      </c>
      <c r="H4304" s="924" t="s">
        <v>835</v>
      </c>
      <c r="I4304" s="924" t="s">
        <v>1040</v>
      </c>
      <c r="J4304" s="924" t="s">
        <v>859</v>
      </c>
      <c r="K4304" s="924" t="s">
        <v>924</v>
      </c>
      <c r="L4304" s="925">
        <v>13.2420753985643</v>
      </c>
      <c r="M4304" s="925">
        <v>9.9518723709479695E-4</v>
      </c>
    </row>
    <row r="4305" spans="1:13" ht="11.25" customHeight="1" x14ac:dyDescent="0.2">
      <c r="A4305" s="924" t="s">
        <v>853</v>
      </c>
      <c r="B4305" s="924" t="s">
        <v>808</v>
      </c>
      <c r="C4305" s="924" t="s">
        <v>1200</v>
      </c>
      <c r="D4305" s="924" t="s">
        <v>855</v>
      </c>
      <c r="E4305" s="924" t="s">
        <v>856</v>
      </c>
      <c r="F4305" s="924" t="s">
        <v>1065</v>
      </c>
      <c r="G4305" s="924" t="s">
        <v>981</v>
      </c>
      <c r="H4305" s="924" t="s">
        <v>835</v>
      </c>
      <c r="I4305" s="924" t="s">
        <v>1040</v>
      </c>
      <c r="J4305" s="924" t="s">
        <v>859</v>
      </c>
      <c r="K4305" s="924" t="s">
        <v>926</v>
      </c>
      <c r="L4305" s="925">
        <v>31.7213374376297</v>
      </c>
      <c r="M4305" s="925">
        <v>2.1181234798859801E-2</v>
      </c>
    </row>
    <row r="4306" spans="1:13" ht="11.25" customHeight="1" x14ac:dyDescent="0.2">
      <c r="A4306" s="924" t="s">
        <v>853</v>
      </c>
      <c r="B4306" s="924" t="s">
        <v>808</v>
      </c>
      <c r="C4306" s="924" t="s">
        <v>1200</v>
      </c>
      <c r="D4306" s="924" t="s">
        <v>855</v>
      </c>
      <c r="E4306" s="924" t="s">
        <v>856</v>
      </c>
      <c r="F4306" s="924" t="s">
        <v>1066</v>
      </c>
      <c r="G4306" s="924" t="s">
        <v>981</v>
      </c>
      <c r="H4306" s="924" t="s">
        <v>835</v>
      </c>
      <c r="I4306" s="924" t="s">
        <v>1040</v>
      </c>
      <c r="J4306" s="924" t="s">
        <v>859</v>
      </c>
      <c r="K4306" s="924" t="s">
        <v>928</v>
      </c>
      <c r="L4306" s="925">
        <v>21.5325323045254</v>
      </c>
      <c r="M4306" s="925">
        <v>1.0941224177258801E-2</v>
      </c>
    </row>
    <row r="4307" spans="1:13" ht="11.25" customHeight="1" x14ac:dyDescent="0.2">
      <c r="A4307" s="924" t="s">
        <v>853</v>
      </c>
      <c r="B4307" s="924" t="s">
        <v>808</v>
      </c>
      <c r="C4307" s="924" t="s">
        <v>1200</v>
      </c>
      <c r="D4307" s="924" t="s">
        <v>855</v>
      </c>
      <c r="E4307" s="924" t="s">
        <v>856</v>
      </c>
      <c r="F4307" s="924" t="s">
        <v>1067</v>
      </c>
      <c r="G4307" s="924" t="s">
        <v>981</v>
      </c>
      <c r="H4307" s="924" t="s">
        <v>835</v>
      </c>
      <c r="I4307" s="924" t="s">
        <v>1040</v>
      </c>
      <c r="J4307" s="924" t="s">
        <v>859</v>
      </c>
      <c r="K4307" s="924" t="s">
        <v>1011</v>
      </c>
      <c r="L4307" s="925">
        <v>7.1578542441129702</v>
      </c>
      <c r="M4307" s="925">
        <v>5.1050151784011203E-3</v>
      </c>
    </row>
    <row r="4308" spans="1:13" ht="11.25" customHeight="1" x14ac:dyDescent="0.2">
      <c r="A4308" s="924" t="s">
        <v>853</v>
      </c>
      <c r="B4308" s="924" t="s">
        <v>808</v>
      </c>
      <c r="C4308" s="924" t="s">
        <v>1200</v>
      </c>
      <c r="D4308" s="924" t="s">
        <v>855</v>
      </c>
      <c r="E4308" s="924" t="s">
        <v>856</v>
      </c>
      <c r="F4308" s="924" t="s">
        <v>1041</v>
      </c>
      <c r="G4308" s="924" t="s">
        <v>981</v>
      </c>
      <c r="H4308" s="924" t="s">
        <v>835</v>
      </c>
      <c r="I4308" s="924" t="s">
        <v>1040</v>
      </c>
      <c r="J4308" s="924" t="s">
        <v>859</v>
      </c>
      <c r="K4308" s="924" t="s">
        <v>891</v>
      </c>
      <c r="L4308" s="925">
        <v>4.9490272291004702</v>
      </c>
      <c r="M4308" s="925">
        <v>2.4891272778404501E-3</v>
      </c>
    </row>
    <row r="4309" spans="1:13" ht="11.25" customHeight="1" x14ac:dyDescent="0.2">
      <c r="A4309" s="924" t="s">
        <v>853</v>
      </c>
      <c r="B4309" s="924" t="s">
        <v>808</v>
      </c>
      <c r="C4309" s="924" t="s">
        <v>1200</v>
      </c>
      <c r="D4309" s="924" t="s">
        <v>855</v>
      </c>
      <c r="E4309" s="924" t="s">
        <v>856</v>
      </c>
      <c r="F4309" s="924" t="s">
        <v>1055</v>
      </c>
      <c r="G4309" s="924" t="s">
        <v>981</v>
      </c>
      <c r="H4309" s="924" t="s">
        <v>835</v>
      </c>
      <c r="I4309" s="924" t="s">
        <v>1040</v>
      </c>
      <c r="J4309" s="924" t="s">
        <v>859</v>
      </c>
      <c r="K4309" s="924" t="s">
        <v>899</v>
      </c>
      <c r="L4309" s="925">
        <v>22.155577898025498</v>
      </c>
      <c r="M4309" s="925">
        <v>1.5679645335176001E-2</v>
      </c>
    </row>
    <row r="4310" spans="1:13" ht="11.25" customHeight="1" x14ac:dyDescent="0.2">
      <c r="A4310" s="924" t="s">
        <v>853</v>
      </c>
      <c r="B4310" s="924" t="s">
        <v>808</v>
      </c>
      <c r="C4310" s="924" t="s">
        <v>1200</v>
      </c>
      <c r="D4310" s="924" t="s">
        <v>855</v>
      </c>
      <c r="E4310" s="924" t="s">
        <v>856</v>
      </c>
      <c r="F4310" s="924" t="s">
        <v>1086</v>
      </c>
      <c r="G4310" s="924" t="s">
        <v>981</v>
      </c>
      <c r="H4310" s="924" t="s">
        <v>835</v>
      </c>
      <c r="I4310" s="924" t="s">
        <v>998</v>
      </c>
      <c r="J4310" s="924" t="s">
        <v>940</v>
      </c>
      <c r="K4310" s="924" t="s">
        <v>1087</v>
      </c>
      <c r="L4310" s="925">
        <v>64.570987701416001</v>
      </c>
      <c r="M4310" s="925">
        <v>0.12432066723704301</v>
      </c>
    </row>
    <row r="4311" spans="1:13" ht="11.25" customHeight="1" x14ac:dyDescent="0.2">
      <c r="A4311" s="924" t="s">
        <v>853</v>
      </c>
      <c r="B4311" s="924" t="s">
        <v>808</v>
      </c>
      <c r="C4311" s="924" t="s">
        <v>1200</v>
      </c>
      <c r="D4311" s="924" t="s">
        <v>855</v>
      </c>
      <c r="E4311" s="924" t="s">
        <v>856</v>
      </c>
      <c r="F4311" s="924" t="s">
        <v>997</v>
      </c>
      <c r="G4311" s="924" t="s">
        <v>981</v>
      </c>
      <c r="H4311" s="924" t="s">
        <v>835</v>
      </c>
      <c r="I4311" s="924" t="s">
        <v>998</v>
      </c>
      <c r="J4311" s="924" t="s">
        <v>884</v>
      </c>
      <c r="K4311" s="924" t="s">
        <v>999</v>
      </c>
      <c r="L4311" s="925">
        <v>188.889589071274</v>
      </c>
      <c r="M4311" s="925">
        <v>0.60174027550965503</v>
      </c>
    </row>
    <row r="4312" spans="1:13" ht="11.25" customHeight="1" x14ac:dyDescent="0.2">
      <c r="A4312" s="924" t="s">
        <v>853</v>
      </c>
      <c r="B4312" s="924" t="s">
        <v>808</v>
      </c>
      <c r="C4312" s="924" t="s">
        <v>1200</v>
      </c>
      <c r="D4312" s="924" t="s">
        <v>855</v>
      </c>
      <c r="E4312" s="924" t="s">
        <v>856</v>
      </c>
      <c r="F4312" s="924" t="s">
        <v>923</v>
      </c>
      <c r="G4312" s="924" t="s">
        <v>911</v>
      </c>
      <c r="H4312" s="924" t="s">
        <v>665</v>
      </c>
      <c r="I4312" s="924" t="s">
        <v>706</v>
      </c>
      <c r="J4312" s="924" t="s">
        <v>859</v>
      </c>
      <c r="K4312" s="924" t="s">
        <v>924</v>
      </c>
      <c r="L4312" s="925">
        <v>10.441343247890501</v>
      </c>
      <c r="M4312" s="925">
        <v>5.5355932317979804E-4</v>
      </c>
    </row>
    <row r="4313" spans="1:13" ht="11.25" customHeight="1" x14ac:dyDescent="0.2">
      <c r="A4313" s="924" t="s">
        <v>853</v>
      </c>
      <c r="B4313" s="924" t="s">
        <v>808</v>
      </c>
      <c r="C4313" s="924" t="s">
        <v>1200</v>
      </c>
      <c r="D4313" s="924" t="s">
        <v>855</v>
      </c>
      <c r="E4313" s="924" t="s">
        <v>856</v>
      </c>
      <c r="F4313" s="924" t="s">
        <v>1085</v>
      </c>
      <c r="G4313" s="924" t="s">
        <v>981</v>
      </c>
      <c r="H4313" s="924" t="s">
        <v>835</v>
      </c>
      <c r="I4313" s="924" t="s">
        <v>998</v>
      </c>
      <c r="J4313" s="924" t="s">
        <v>884</v>
      </c>
      <c r="K4313" s="924" t="s">
        <v>885</v>
      </c>
      <c r="L4313" s="925">
        <v>114.79876971244801</v>
      </c>
      <c r="M4313" s="925">
        <v>8.4323944291099906E-2</v>
      </c>
    </row>
    <row r="4314" spans="1:13" ht="11.25" customHeight="1" x14ac:dyDescent="0.2">
      <c r="A4314" s="924" t="s">
        <v>853</v>
      </c>
      <c r="B4314" s="924" t="s">
        <v>808</v>
      </c>
      <c r="C4314" s="924" t="s">
        <v>1200</v>
      </c>
      <c r="D4314" s="924" t="s">
        <v>855</v>
      </c>
      <c r="E4314" s="924" t="s">
        <v>856</v>
      </c>
      <c r="F4314" s="924" t="s">
        <v>910</v>
      </c>
      <c r="G4314" s="924" t="s">
        <v>911</v>
      </c>
      <c r="H4314" s="924" t="s">
        <v>665</v>
      </c>
      <c r="I4314" s="924" t="s">
        <v>706</v>
      </c>
      <c r="J4314" s="924" t="s">
        <v>859</v>
      </c>
      <c r="K4314" s="924" t="s">
        <v>905</v>
      </c>
      <c r="L4314" s="925">
        <v>2.6163866445422199</v>
      </c>
      <c r="M4314" s="925">
        <v>2.1388868090070901E-3</v>
      </c>
    </row>
    <row r="4315" spans="1:13" ht="11.25" customHeight="1" x14ac:dyDescent="0.2">
      <c r="A4315" s="924" t="s">
        <v>853</v>
      </c>
      <c r="B4315" s="924" t="s">
        <v>808</v>
      </c>
      <c r="C4315" s="924" t="s">
        <v>1200</v>
      </c>
      <c r="D4315" s="924" t="s">
        <v>855</v>
      </c>
      <c r="E4315" s="924" t="s">
        <v>856</v>
      </c>
      <c r="F4315" s="924" t="s">
        <v>1076</v>
      </c>
      <c r="G4315" s="924" t="s">
        <v>981</v>
      </c>
      <c r="H4315" s="924" t="s">
        <v>835</v>
      </c>
      <c r="I4315" s="924" t="s">
        <v>998</v>
      </c>
      <c r="J4315" s="924" t="s">
        <v>859</v>
      </c>
      <c r="K4315" s="924" t="s">
        <v>860</v>
      </c>
      <c r="L4315" s="925">
        <v>1.0894595105200999</v>
      </c>
      <c r="M4315" s="925">
        <v>2.2508031288452899E-3</v>
      </c>
    </row>
    <row r="4316" spans="1:13" ht="11.25" customHeight="1" x14ac:dyDescent="0.2">
      <c r="A4316" s="924" t="s">
        <v>853</v>
      </c>
      <c r="B4316" s="924" t="s">
        <v>808</v>
      </c>
      <c r="C4316" s="924" t="s">
        <v>1200</v>
      </c>
      <c r="D4316" s="924" t="s">
        <v>855</v>
      </c>
      <c r="E4316" s="924" t="s">
        <v>856</v>
      </c>
      <c r="F4316" s="924" t="s">
        <v>1077</v>
      </c>
      <c r="G4316" s="924" t="s">
        <v>981</v>
      </c>
      <c r="H4316" s="924" t="s">
        <v>835</v>
      </c>
      <c r="I4316" s="924" t="s">
        <v>998</v>
      </c>
      <c r="J4316" s="924" t="s">
        <v>859</v>
      </c>
      <c r="K4316" s="924" t="s">
        <v>897</v>
      </c>
      <c r="L4316" s="925">
        <v>1.302255615592</v>
      </c>
      <c r="M4316" s="925">
        <v>2.7271183753327902E-3</v>
      </c>
    </row>
    <row r="4317" spans="1:13" ht="11.25" customHeight="1" x14ac:dyDescent="0.2">
      <c r="A4317" s="924" t="s">
        <v>853</v>
      </c>
      <c r="B4317" s="924" t="s">
        <v>808</v>
      </c>
      <c r="C4317" s="924" t="s">
        <v>1200</v>
      </c>
      <c r="D4317" s="924" t="s">
        <v>855</v>
      </c>
      <c r="E4317" s="924" t="s">
        <v>856</v>
      </c>
      <c r="F4317" s="924" t="s">
        <v>1078</v>
      </c>
      <c r="G4317" s="924" t="s">
        <v>981</v>
      </c>
      <c r="H4317" s="924" t="s">
        <v>835</v>
      </c>
      <c r="I4317" s="924" t="s">
        <v>998</v>
      </c>
      <c r="J4317" s="924" t="s">
        <v>859</v>
      </c>
      <c r="K4317" s="924" t="s">
        <v>901</v>
      </c>
      <c r="L4317" s="925">
        <v>9.0236604082747397E-3</v>
      </c>
      <c r="M4317" s="925">
        <v>2.01625225031421E-5</v>
      </c>
    </row>
    <row r="4318" spans="1:13" ht="11.25" customHeight="1" x14ac:dyDescent="0.2">
      <c r="A4318" s="924" t="s">
        <v>853</v>
      </c>
      <c r="B4318" s="924" t="s">
        <v>808</v>
      </c>
      <c r="C4318" s="924" t="s">
        <v>1200</v>
      </c>
      <c r="D4318" s="924" t="s">
        <v>855</v>
      </c>
      <c r="E4318" s="924" t="s">
        <v>856</v>
      </c>
      <c r="F4318" s="924" t="s">
        <v>1079</v>
      </c>
      <c r="G4318" s="924" t="s">
        <v>981</v>
      </c>
      <c r="H4318" s="924" t="s">
        <v>835</v>
      </c>
      <c r="I4318" s="924" t="s">
        <v>998</v>
      </c>
      <c r="J4318" s="924" t="s">
        <v>859</v>
      </c>
      <c r="K4318" s="924" t="s">
        <v>909</v>
      </c>
      <c r="L4318" s="925">
        <v>43.395842313766501</v>
      </c>
      <c r="M4318" s="925">
        <v>7.7716668078210205E-2</v>
      </c>
    </row>
    <row r="4319" spans="1:13" ht="11.25" customHeight="1" x14ac:dyDescent="0.2">
      <c r="A4319" s="924" t="s">
        <v>853</v>
      </c>
      <c r="B4319" s="924" t="s">
        <v>808</v>
      </c>
      <c r="C4319" s="924" t="s">
        <v>1200</v>
      </c>
      <c r="D4319" s="924" t="s">
        <v>855</v>
      </c>
      <c r="E4319" s="924" t="s">
        <v>856</v>
      </c>
      <c r="F4319" s="924" t="s">
        <v>1080</v>
      </c>
      <c r="G4319" s="924" t="s">
        <v>981</v>
      </c>
      <c r="H4319" s="924" t="s">
        <v>835</v>
      </c>
      <c r="I4319" s="924" t="s">
        <v>998</v>
      </c>
      <c r="J4319" s="924" t="s">
        <v>859</v>
      </c>
      <c r="K4319" s="924" t="s">
        <v>920</v>
      </c>
      <c r="L4319" s="925">
        <v>0.25431374786421701</v>
      </c>
      <c r="M4319" s="925">
        <v>5.6823982504283798E-4</v>
      </c>
    </row>
    <row r="4320" spans="1:13" ht="11.25" customHeight="1" x14ac:dyDescent="0.2">
      <c r="A4320" s="924" t="s">
        <v>853</v>
      </c>
      <c r="B4320" s="924" t="s">
        <v>808</v>
      </c>
      <c r="C4320" s="924" t="s">
        <v>1200</v>
      </c>
      <c r="D4320" s="924" t="s">
        <v>855</v>
      </c>
      <c r="E4320" s="924" t="s">
        <v>856</v>
      </c>
      <c r="F4320" s="924" t="s">
        <v>1081</v>
      </c>
      <c r="G4320" s="924" t="s">
        <v>981</v>
      </c>
      <c r="H4320" s="924" t="s">
        <v>835</v>
      </c>
      <c r="I4320" s="924" t="s">
        <v>998</v>
      </c>
      <c r="J4320" s="924" t="s">
        <v>863</v>
      </c>
      <c r="K4320" s="924" t="s">
        <v>935</v>
      </c>
      <c r="L4320" s="925">
        <v>1.76979513093829</v>
      </c>
      <c r="M4320" s="925">
        <v>3.9544421597383899E-3</v>
      </c>
    </row>
    <row r="4321" spans="1:13" ht="11.25" customHeight="1" x14ac:dyDescent="0.2">
      <c r="A4321" s="924" t="s">
        <v>853</v>
      </c>
      <c r="B4321" s="924" t="s">
        <v>808</v>
      </c>
      <c r="C4321" s="924" t="s">
        <v>1200</v>
      </c>
      <c r="D4321" s="924" t="s">
        <v>855</v>
      </c>
      <c r="E4321" s="924" t="s">
        <v>856</v>
      </c>
      <c r="F4321" s="924" t="s">
        <v>1103</v>
      </c>
      <c r="G4321" s="924" t="s">
        <v>981</v>
      </c>
      <c r="H4321" s="924" t="s">
        <v>835</v>
      </c>
      <c r="I4321" s="924" t="s">
        <v>998</v>
      </c>
      <c r="J4321" s="924" t="s">
        <v>863</v>
      </c>
      <c r="K4321" s="924" t="s">
        <v>864</v>
      </c>
      <c r="L4321" s="925">
        <v>0.13542711653281</v>
      </c>
      <c r="M4321" s="925">
        <v>3.0259904497142998E-4</v>
      </c>
    </row>
    <row r="4322" spans="1:13" ht="11.25" customHeight="1" x14ac:dyDescent="0.2">
      <c r="A4322" s="924" t="s">
        <v>853</v>
      </c>
      <c r="B4322" s="924" t="s">
        <v>808</v>
      </c>
      <c r="C4322" s="924" t="s">
        <v>1200</v>
      </c>
      <c r="D4322" s="924" t="s">
        <v>855</v>
      </c>
      <c r="E4322" s="924" t="s">
        <v>856</v>
      </c>
      <c r="F4322" s="924" t="s">
        <v>1082</v>
      </c>
      <c r="G4322" s="924" t="s">
        <v>981</v>
      </c>
      <c r="H4322" s="924" t="s">
        <v>835</v>
      </c>
      <c r="I4322" s="924" t="s">
        <v>998</v>
      </c>
      <c r="J4322" s="924" t="s">
        <v>875</v>
      </c>
      <c r="K4322" s="924" t="s">
        <v>952</v>
      </c>
      <c r="L4322" s="925">
        <v>0.28106284164823597</v>
      </c>
      <c r="M4322" s="925">
        <v>6.2800873729429397E-4</v>
      </c>
    </row>
    <row r="4323" spans="1:13" ht="11.25" customHeight="1" x14ac:dyDescent="0.2">
      <c r="A4323" s="924" t="s">
        <v>853</v>
      </c>
      <c r="B4323" s="924" t="s">
        <v>808</v>
      </c>
      <c r="C4323" s="924" t="s">
        <v>1200</v>
      </c>
      <c r="D4323" s="924" t="s">
        <v>855</v>
      </c>
      <c r="E4323" s="924" t="s">
        <v>856</v>
      </c>
      <c r="F4323" s="924" t="s">
        <v>1069</v>
      </c>
      <c r="G4323" s="924" t="s">
        <v>981</v>
      </c>
      <c r="H4323" s="924" t="s">
        <v>835</v>
      </c>
      <c r="I4323" s="924" t="s">
        <v>998</v>
      </c>
      <c r="J4323" s="924" t="s">
        <v>940</v>
      </c>
      <c r="K4323" s="924" t="s">
        <v>1070</v>
      </c>
      <c r="L4323" s="925">
        <v>31.754135340452201</v>
      </c>
      <c r="M4323" s="925">
        <v>5.89576350175776E-2</v>
      </c>
    </row>
    <row r="4324" spans="1:13" ht="11.25" customHeight="1" x14ac:dyDescent="0.2">
      <c r="A4324" s="924" t="s">
        <v>853</v>
      </c>
      <c r="B4324" s="924" t="s">
        <v>808</v>
      </c>
      <c r="C4324" s="924" t="s">
        <v>1200</v>
      </c>
      <c r="D4324" s="924" t="s">
        <v>855</v>
      </c>
      <c r="E4324" s="924" t="s">
        <v>856</v>
      </c>
      <c r="F4324" s="924" t="s">
        <v>1054</v>
      </c>
      <c r="G4324" s="924" t="s">
        <v>981</v>
      </c>
      <c r="H4324" s="924" t="s">
        <v>835</v>
      </c>
      <c r="I4324" s="924" t="s">
        <v>998</v>
      </c>
      <c r="J4324" s="924" t="s">
        <v>875</v>
      </c>
      <c r="K4324" s="924" t="s">
        <v>880</v>
      </c>
      <c r="L4324" s="925">
        <v>1.61130723572569E-2</v>
      </c>
      <c r="M4324" s="925">
        <v>3.6003123625505402E-5</v>
      </c>
    </row>
    <row r="4325" spans="1:13" ht="11.25" customHeight="1" x14ac:dyDescent="0.2">
      <c r="A4325" s="924" t="s">
        <v>853</v>
      </c>
      <c r="B4325" s="924" t="s">
        <v>808</v>
      </c>
      <c r="C4325" s="924" t="s">
        <v>1200</v>
      </c>
      <c r="D4325" s="924" t="s">
        <v>855</v>
      </c>
      <c r="E4325" s="924" t="s">
        <v>856</v>
      </c>
      <c r="F4325" s="924" t="s">
        <v>1088</v>
      </c>
      <c r="G4325" s="924" t="s">
        <v>981</v>
      </c>
      <c r="H4325" s="924" t="s">
        <v>835</v>
      </c>
      <c r="I4325" s="924" t="s">
        <v>998</v>
      </c>
      <c r="J4325" s="924" t="s">
        <v>940</v>
      </c>
      <c r="K4325" s="924" t="s">
        <v>1089</v>
      </c>
      <c r="L4325" s="925">
        <v>306.42857646942099</v>
      </c>
      <c r="M4325" s="925">
        <v>0.55978613253682896</v>
      </c>
    </row>
    <row r="4326" spans="1:13" ht="11.25" customHeight="1" x14ac:dyDescent="0.2">
      <c r="A4326" s="924" t="s">
        <v>853</v>
      </c>
      <c r="B4326" s="924" t="s">
        <v>808</v>
      </c>
      <c r="C4326" s="924" t="s">
        <v>1200</v>
      </c>
      <c r="D4326" s="924" t="s">
        <v>855</v>
      </c>
      <c r="E4326" s="924" t="s">
        <v>856</v>
      </c>
      <c r="F4326" s="924" t="s">
        <v>1090</v>
      </c>
      <c r="G4326" s="924" t="s">
        <v>981</v>
      </c>
      <c r="H4326" s="924" t="s">
        <v>835</v>
      </c>
      <c r="I4326" s="924" t="s">
        <v>998</v>
      </c>
      <c r="J4326" s="924" t="s">
        <v>940</v>
      </c>
      <c r="K4326" s="924" t="s">
        <v>1091</v>
      </c>
      <c r="L4326" s="925">
        <v>89.472953200340299</v>
      </c>
      <c r="M4326" s="925">
        <v>0.15237747936043899</v>
      </c>
    </row>
    <row r="4327" spans="1:13" ht="11.25" customHeight="1" x14ac:dyDescent="0.2">
      <c r="A4327" s="924" t="s">
        <v>853</v>
      </c>
      <c r="B4327" s="924" t="s">
        <v>808</v>
      </c>
      <c r="C4327" s="924" t="s">
        <v>1200</v>
      </c>
      <c r="D4327" s="924" t="s">
        <v>855</v>
      </c>
      <c r="E4327" s="924" t="s">
        <v>856</v>
      </c>
      <c r="F4327" s="924" t="s">
        <v>1092</v>
      </c>
      <c r="G4327" s="924" t="s">
        <v>981</v>
      </c>
      <c r="H4327" s="924" t="s">
        <v>835</v>
      </c>
      <c r="I4327" s="924" t="s">
        <v>998</v>
      </c>
      <c r="J4327" s="924" t="s">
        <v>940</v>
      </c>
      <c r="K4327" s="924" t="s">
        <v>1093</v>
      </c>
      <c r="L4327" s="925">
        <v>267.15984308719601</v>
      </c>
      <c r="M4327" s="925">
        <v>0.52866691863164295</v>
      </c>
    </row>
    <row r="4328" spans="1:13" ht="11.25" customHeight="1" x14ac:dyDescent="0.2">
      <c r="A4328" s="924" t="s">
        <v>853</v>
      </c>
      <c r="B4328" s="924" t="s">
        <v>808</v>
      </c>
      <c r="C4328" s="924" t="s">
        <v>1200</v>
      </c>
      <c r="D4328" s="924" t="s">
        <v>855</v>
      </c>
      <c r="E4328" s="924" t="s">
        <v>856</v>
      </c>
      <c r="F4328" s="924" t="s">
        <v>1094</v>
      </c>
      <c r="G4328" s="924" t="s">
        <v>981</v>
      </c>
      <c r="H4328" s="924" t="s">
        <v>835</v>
      </c>
      <c r="I4328" s="924" t="s">
        <v>998</v>
      </c>
      <c r="J4328" s="924" t="s">
        <v>940</v>
      </c>
      <c r="K4328" s="924" t="s">
        <v>1095</v>
      </c>
      <c r="L4328" s="925">
        <v>57.584535956382801</v>
      </c>
      <c r="M4328" s="925">
        <v>0.107402636436746</v>
      </c>
    </row>
    <row r="4329" spans="1:13" ht="11.25" customHeight="1" x14ac:dyDescent="0.2">
      <c r="A4329" s="924" t="s">
        <v>853</v>
      </c>
      <c r="B4329" s="924" t="s">
        <v>808</v>
      </c>
      <c r="C4329" s="924" t="s">
        <v>1200</v>
      </c>
      <c r="D4329" s="924" t="s">
        <v>855</v>
      </c>
      <c r="E4329" s="924" t="s">
        <v>856</v>
      </c>
      <c r="F4329" s="924" t="s">
        <v>1096</v>
      </c>
      <c r="G4329" s="924" t="s">
        <v>981</v>
      </c>
      <c r="H4329" s="924" t="s">
        <v>835</v>
      </c>
      <c r="I4329" s="924" t="s">
        <v>998</v>
      </c>
      <c r="J4329" s="924" t="s">
        <v>940</v>
      </c>
      <c r="K4329" s="924" t="s">
        <v>1023</v>
      </c>
      <c r="L4329" s="925">
        <v>249.46363842487301</v>
      </c>
      <c r="M4329" s="925">
        <v>0.466581047512591</v>
      </c>
    </row>
    <row r="4330" spans="1:13" ht="11.25" customHeight="1" x14ac:dyDescent="0.2">
      <c r="A4330" s="924" t="s">
        <v>853</v>
      </c>
      <c r="B4330" s="924" t="s">
        <v>808</v>
      </c>
      <c r="C4330" s="924" t="s">
        <v>1200</v>
      </c>
      <c r="D4330" s="924" t="s">
        <v>855</v>
      </c>
      <c r="E4330" s="924" t="s">
        <v>856</v>
      </c>
      <c r="F4330" s="924" t="s">
        <v>1097</v>
      </c>
      <c r="G4330" s="924" t="s">
        <v>981</v>
      </c>
      <c r="H4330" s="924" t="s">
        <v>835</v>
      </c>
      <c r="I4330" s="924" t="s">
        <v>998</v>
      </c>
      <c r="J4330" s="924" t="s">
        <v>940</v>
      </c>
      <c r="K4330" s="924" t="s">
        <v>1098</v>
      </c>
      <c r="L4330" s="925">
        <v>28.809401035308799</v>
      </c>
      <c r="M4330" s="925">
        <v>0.196810722351074</v>
      </c>
    </row>
    <row r="4331" spans="1:13" ht="11.25" customHeight="1" x14ac:dyDescent="0.2">
      <c r="A4331" s="924" t="s">
        <v>853</v>
      </c>
      <c r="B4331" s="924" t="s">
        <v>808</v>
      </c>
      <c r="C4331" s="924" t="s">
        <v>1200</v>
      </c>
      <c r="D4331" s="924" t="s">
        <v>855</v>
      </c>
      <c r="E4331" s="924" t="s">
        <v>856</v>
      </c>
      <c r="F4331" s="924" t="s">
        <v>1099</v>
      </c>
      <c r="G4331" s="924" t="s">
        <v>981</v>
      </c>
      <c r="H4331" s="924" t="s">
        <v>835</v>
      </c>
      <c r="I4331" s="924" t="s">
        <v>998</v>
      </c>
      <c r="J4331" s="924" t="s">
        <v>940</v>
      </c>
      <c r="K4331" s="924" t="s">
        <v>1025</v>
      </c>
      <c r="L4331" s="925">
        <v>91.878772258758502</v>
      </c>
      <c r="M4331" s="925">
        <v>0.62684638425707795</v>
      </c>
    </row>
    <row r="4332" spans="1:13" ht="11.25" customHeight="1" x14ac:dyDescent="0.2">
      <c r="A4332" s="924" t="s">
        <v>853</v>
      </c>
      <c r="B4332" s="924" t="s">
        <v>808</v>
      </c>
      <c r="C4332" s="924" t="s">
        <v>1200</v>
      </c>
      <c r="D4332" s="924" t="s">
        <v>855</v>
      </c>
      <c r="E4332" s="924" t="s">
        <v>856</v>
      </c>
      <c r="F4332" s="924" t="s">
        <v>1100</v>
      </c>
      <c r="G4332" s="924" t="s">
        <v>981</v>
      </c>
      <c r="H4332" s="924" t="s">
        <v>835</v>
      </c>
      <c r="I4332" s="924" t="s">
        <v>998</v>
      </c>
      <c r="J4332" s="924" t="s">
        <v>940</v>
      </c>
      <c r="K4332" s="924" t="s">
        <v>1032</v>
      </c>
      <c r="L4332" s="925">
        <v>0.133115446311422</v>
      </c>
      <c r="M4332" s="925">
        <v>2.6688306775213299E-4</v>
      </c>
    </row>
    <row r="4333" spans="1:13" ht="11.25" customHeight="1" x14ac:dyDescent="0.2">
      <c r="A4333" s="924" t="s">
        <v>853</v>
      </c>
      <c r="B4333" s="924" t="s">
        <v>808</v>
      </c>
      <c r="C4333" s="924" t="s">
        <v>1200</v>
      </c>
      <c r="D4333" s="924" t="s">
        <v>855</v>
      </c>
      <c r="E4333" s="924" t="s">
        <v>856</v>
      </c>
      <c r="F4333" s="924" t="s">
        <v>1101</v>
      </c>
      <c r="G4333" s="924" t="s">
        <v>981</v>
      </c>
      <c r="H4333" s="924" t="s">
        <v>835</v>
      </c>
      <c r="I4333" s="924" t="s">
        <v>998</v>
      </c>
      <c r="J4333" s="924" t="s">
        <v>870</v>
      </c>
      <c r="K4333" s="924" t="s">
        <v>961</v>
      </c>
      <c r="L4333" s="925">
        <v>0.52104528760537505</v>
      </c>
      <c r="M4333" s="925">
        <v>8.5788837486688895E-4</v>
      </c>
    </row>
    <row r="4334" spans="1:13" ht="11.25" customHeight="1" x14ac:dyDescent="0.2">
      <c r="A4334" s="924" t="s">
        <v>853</v>
      </c>
      <c r="B4334" s="924" t="s">
        <v>808</v>
      </c>
      <c r="C4334" s="924" t="s">
        <v>1200</v>
      </c>
      <c r="D4334" s="924" t="s">
        <v>855</v>
      </c>
      <c r="E4334" s="924" t="s">
        <v>856</v>
      </c>
      <c r="F4334" s="924" t="s">
        <v>1102</v>
      </c>
      <c r="G4334" s="924" t="s">
        <v>981</v>
      </c>
      <c r="H4334" s="924" t="s">
        <v>835</v>
      </c>
      <c r="I4334" s="924" t="s">
        <v>998</v>
      </c>
      <c r="J4334" s="924" t="s">
        <v>875</v>
      </c>
      <c r="K4334" s="924" t="s">
        <v>876</v>
      </c>
      <c r="L4334" s="925">
        <v>6.9622765332460403</v>
      </c>
      <c r="M4334" s="925">
        <v>1.40878529346082E-2</v>
      </c>
    </row>
    <row r="4335" spans="1:13" ht="11.25" customHeight="1" x14ac:dyDescent="0.2">
      <c r="A4335" s="924" t="s">
        <v>853</v>
      </c>
      <c r="B4335" s="924" t="s">
        <v>808</v>
      </c>
      <c r="C4335" s="924" t="s">
        <v>1200</v>
      </c>
      <c r="D4335" s="924" t="s">
        <v>855</v>
      </c>
      <c r="E4335" s="924" t="s">
        <v>856</v>
      </c>
      <c r="F4335" s="924" t="s">
        <v>1075</v>
      </c>
      <c r="G4335" s="924" t="s">
        <v>981</v>
      </c>
      <c r="H4335" s="924" t="s">
        <v>835</v>
      </c>
      <c r="I4335" s="924" t="s">
        <v>998</v>
      </c>
      <c r="J4335" s="924" t="s">
        <v>859</v>
      </c>
      <c r="K4335" s="924" t="s">
        <v>889</v>
      </c>
      <c r="L4335" s="925">
        <v>16.805421322584198</v>
      </c>
      <c r="M4335" s="925">
        <v>2.71988204040099E-2</v>
      </c>
    </row>
    <row r="4336" spans="1:13" ht="11.25" customHeight="1" x14ac:dyDescent="0.2">
      <c r="A4336" s="924" t="s">
        <v>853</v>
      </c>
      <c r="B4336" s="924" t="s">
        <v>808</v>
      </c>
      <c r="C4336" s="924" t="s">
        <v>1200</v>
      </c>
      <c r="D4336" s="924" t="s">
        <v>855</v>
      </c>
      <c r="E4336" s="924" t="s">
        <v>856</v>
      </c>
      <c r="F4336" s="924" t="s">
        <v>1083</v>
      </c>
      <c r="G4336" s="924" t="s">
        <v>981</v>
      </c>
      <c r="H4336" s="924" t="s">
        <v>835</v>
      </c>
      <c r="I4336" s="924" t="s">
        <v>998</v>
      </c>
      <c r="J4336" s="924" t="s">
        <v>940</v>
      </c>
      <c r="K4336" s="924" t="s">
        <v>1084</v>
      </c>
      <c r="L4336" s="925">
        <v>4.8250892087817201</v>
      </c>
      <c r="M4336" s="925">
        <v>8.8151104137068597E-3</v>
      </c>
    </row>
    <row r="4337" spans="1:13" ht="11.25" customHeight="1" x14ac:dyDescent="0.2">
      <c r="A4337" s="924" t="s">
        <v>853</v>
      </c>
      <c r="B4337" s="924" t="s">
        <v>808</v>
      </c>
      <c r="C4337" s="924" t="s">
        <v>1200</v>
      </c>
      <c r="D4337" s="924" t="s">
        <v>855</v>
      </c>
      <c r="E4337" s="924" t="s">
        <v>856</v>
      </c>
      <c r="F4337" s="924" t="s">
        <v>1121</v>
      </c>
      <c r="G4337" s="924" t="s">
        <v>981</v>
      </c>
      <c r="H4337" s="924" t="s">
        <v>835</v>
      </c>
      <c r="I4337" s="924" t="s">
        <v>1040</v>
      </c>
      <c r="J4337" s="924" t="s">
        <v>875</v>
      </c>
      <c r="K4337" s="924" t="s">
        <v>948</v>
      </c>
      <c r="L4337" s="925">
        <v>407.09204673767101</v>
      </c>
      <c r="M4337" s="925">
        <v>0.255961726309124</v>
      </c>
    </row>
    <row r="4338" spans="1:13" ht="11.25" customHeight="1" x14ac:dyDescent="0.2">
      <c r="A4338" s="924" t="s">
        <v>853</v>
      </c>
      <c r="B4338" s="924" t="s">
        <v>808</v>
      </c>
      <c r="C4338" s="924" t="s">
        <v>1200</v>
      </c>
      <c r="D4338" s="924" t="s">
        <v>855</v>
      </c>
      <c r="E4338" s="924" t="s">
        <v>856</v>
      </c>
      <c r="F4338" s="924" t="s">
        <v>1109</v>
      </c>
      <c r="G4338" s="924" t="s">
        <v>981</v>
      </c>
      <c r="H4338" s="924" t="s">
        <v>835</v>
      </c>
      <c r="I4338" s="924" t="s">
        <v>1040</v>
      </c>
      <c r="J4338" s="924" t="s">
        <v>870</v>
      </c>
      <c r="K4338" s="924" t="s">
        <v>976</v>
      </c>
      <c r="L4338" s="925">
        <v>4.8916649799794003</v>
      </c>
      <c r="M4338" s="925">
        <v>1.00427548547621E-3</v>
      </c>
    </row>
    <row r="4339" spans="1:13" ht="11.25" customHeight="1" x14ac:dyDescent="0.2">
      <c r="A4339" s="924" t="s">
        <v>853</v>
      </c>
      <c r="B4339" s="924" t="s">
        <v>808</v>
      </c>
      <c r="C4339" s="924" t="s">
        <v>1200</v>
      </c>
      <c r="D4339" s="924" t="s">
        <v>855</v>
      </c>
      <c r="E4339" s="924" t="s">
        <v>856</v>
      </c>
      <c r="F4339" s="924" t="s">
        <v>1110</v>
      </c>
      <c r="G4339" s="924" t="s">
        <v>981</v>
      </c>
      <c r="H4339" s="924" t="s">
        <v>835</v>
      </c>
      <c r="I4339" s="924" t="s">
        <v>1040</v>
      </c>
      <c r="J4339" s="924" t="s">
        <v>870</v>
      </c>
      <c r="K4339" s="924" t="s">
        <v>1019</v>
      </c>
      <c r="L4339" s="925">
        <v>3.7775909702759201E-2</v>
      </c>
      <c r="M4339" s="925">
        <v>3.1723617592405203E-5</v>
      </c>
    </row>
    <row r="4340" spans="1:13" ht="11.25" customHeight="1" x14ac:dyDescent="0.2">
      <c r="A4340" s="924" t="s">
        <v>853</v>
      </c>
      <c r="B4340" s="924" t="s">
        <v>808</v>
      </c>
      <c r="C4340" s="924" t="s">
        <v>1200</v>
      </c>
      <c r="D4340" s="924" t="s">
        <v>855</v>
      </c>
      <c r="E4340" s="924" t="s">
        <v>856</v>
      </c>
      <c r="F4340" s="924" t="s">
        <v>1111</v>
      </c>
      <c r="G4340" s="924" t="s">
        <v>981</v>
      </c>
      <c r="H4340" s="924" t="s">
        <v>835</v>
      </c>
      <c r="I4340" s="924" t="s">
        <v>1040</v>
      </c>
      <c r="J4340" s="924" t="s">
        <v>870</v>
      </c>
      <c r="K4340" s="924" t="s">
        <v>1016</v>
      </c>
      <c r="L4340" s="925">
        <v>3.3819752978161</v>
      </c>
      <c r="M4340" s="925">
        <v>2.8493484060163601E-3</v>
      </c>
    </row>
    <row r="4341" spans="1:13" ht="11.25" customHeight="1" x14ac:dyDescent="0.2">
      <c r="A4341" s="924" t="s">
        <v>853</v>
      </c>
      <c r="B4341" s="924" t="s">
        <v>808</v>
      </c>
      <c r="C4341" s="924" t="s">
        <v>1200</v>
      </c>
      <c r="D4341" s="924" t="s">
        <v>855</v>
      </c>
      <c r="E4341" s="924" t="s">
        <v>856</v>
      </c>
      <c r="F4341" s="924" t="s">
        <v>1112</v>
      </c>
      <c r="G4341" s="924" t="s">
        <v>981</v>
      </c>
      <c r="H4341" s="924" t="s">
        <v>835</v>
      </c>
      <c r="I4341" s="924" t="s">
        <v>1040</v>
      </c>
      <c r="J4341" s="924" t="s">
        <v>870</v>
      </c>
      <c r="K4341" s="924" t="s">
        <v>959</v>
      </c>
      <c r="L4341" s="925">
        <v>1.04195266449824</v>
      </c>
      <c r="M4341" s="925">
        <v>6.8909078277101798E-4</v>
      </c>
    </row>
    <row r="4342" spans="1:13" ht="11.25" customHeight="1" x14ac:dyDescent="0.2">
      <c r="A4342" s="924" t="s">
        <v>853</v>
      </c>
      <c r="B4342" s="924" t="s">
        <v>808</v>
      </c>
      <c r="C4342" s="924" t="s">
        <v>1200</v>
      </c>
      <c r="D4342" s="924" t="s">
        <v>855</v>
      </c>
      <c r="E4342" s="924" t="s">
        <v>856</v>
      </c>
      <c r="F4342" s="924" t="s">
        <v>1113</v>
      </c>
      <c r="G4342" s="924" t="s">
        <v>981</v>
      </c>
      <c r="H4342" s="924" t="s">
        <v>835</v>
      </c>
      <c r="I4342" s="924" t="s">
        <v>1040</v>
      </c>
      <c r="J4342" s="924" t="s">
        <v>870</v>
      </c>
      <c r="K4342" s="924" t="s">
        <v>961</v>
      </c>
      <c r="L4342" s="925">
        <v>11.3861485533416</v>
      </c>
      <c r="M4342" s="925">
        <v>8.6484686376024893E-3</v>
      </c>
    </row>
    <row r="4343" spans="1:13" ht="11.25" customHeight="1" x14ac:dyDescent="0.2">
      <c r="A4343" s="924" t="s">
        <v>853</v>
      </c>
      <c r="B4343" s="924" t="s">
        <v>808</v>
      </c>
      <c r="C4343" s="924" t="s">
        <v>1200</v>
      </c>
      <c r="D4343" s="924" t="s">
        <v>855</v>
      </c>
      <c r="E4343" s="924" t="s">
        <v>856</v>
      </c>
      <c r="F4343" s="924" t="s">
        <v>1114</v>
      </c>
      <c r="G4343" s="924" t="s">
        <v>981</v>
      </c>
      <c r="H4343" s="924" t="s">
        <v>835</v>
      </c>
      <c r="I4343" s="924" t="s">
        <v>1040</v>
      </c>
      <c r="J4343" s="924" t="s">
        <v>870</v>
      </c>
      <c r="K4343" s="924" t="s">
        <v>963</v>
      </c>
      <c r="L4343" s="925">
        <v>24.8317724093795</v>
      </c>
      <c r="M4343" s="925">
        <v>4.1365643912285997E-2</v>
      </c>
    </row>
    <row r="4344" spans="1:13" ht="11.25" customHeight="1" x14ac:dyDescent="0.2">
      <c r="A4344" s="924" t="s">
        <v>853</v>
      </c>
      <c r="B4344" s="924" t="s">
        <v>808</v>
      </c>
      <c r="C4344" s="924" t="s">
        <v>1200</v>
      </c>
      <c r="D4344" s="924" t="s">
        <v>855</v>
      </c>
      <c r="E4344" s="924" t="s">
        <v>856</v>
      </c>
      <c r="F4344" s="924" t="s">
        <v>1115</v>
      </c>
      <c r="G4344" s="924" t="s">
        <v>981</v>
      </c>
      <c r="H4344" s="924" t="s">
        <v>835</v>
      </c>
      <c r="I4344" s="924" t="s">
        <v>1040</v>
      </c>
      <c r="J4344" s="924" t="s">
        <v>870</v>
      </c>
      <c r="K4344" s="924" t="s">
        <v>965</v>
      </c>
      <c r="L4344" s="925">
        <v>5.3560099210590097</v>
      </c>
      <c r="M4344" s="925">
        <v>4.5124910993763496E-3</v>
      </c>
    </row>
    <row r="4345" spans="1:13" ht="11.25" customHeight="1" x14ac:dyDescent="0.2">
      <c r="A4345" s="924" t="s">
        <v>853</v>
      </c>
      <c r="B4345" s="924" t="s">
        <v>808</v>
      </c>
      <c r="C4345" s="924" t="s">
        <v>1200</v>
      </c>
      <c r="D4345" s="924" t="s">
        <v>855</v>
      </c>
      <c r="E4345" s="924" t="s">
        <v>856</v>
      </c>
      <c r="F4345" s="924" t="s">
        <v>1130</v>
      </c>
      <c r="G4345" s="924" t="s">
        <v>981</v>
      </c>
      <c r="H4345" s="924" t="s">
        <v>835</v>
      </c>
      <c r="I4345" s="924" t="s">
        <v>1040</v>
      </c>
      <c r="J4345" s="924" t="s">
        <v>870</v>
      </c>
      <c r="K4345" s="924" t="s">
        <v>871</v>
      </c>
      <c r="L4345" s="925">
        <v>7.7180304545909202</v>
      </c>
      <c r="M4345" s="925">
        <v>6.16129498484952E-3</v>
      </c>
    </row>
    <row r="4346" spans="1:13" ht="11.25" customHeight="1" x14ac:dyDescent="0.2">
      <c r="A4346" s="924" t="s">
        <v>853</v>
      </c>
      <c r="B4346" s="924" t="s">
        <v>808</v>
      </c>
      <c r="C4346" s="924" t="s">
        <v>1200</v>
      </c>
      <c r="D4346" s="924" t="s">
        <v>855</v>
      </c>
      <c r="E4346" s="924" t="s">
        <v>856</v>
      </c>
      <c r="F4346" s="924" t="s">
        <v>1117</v>
      </c>
      <c r="G4346" s="924" t="s">
        <v>981</v>
      </c>
      <c r="H4346" s="924" t="s">
        <v>835</v>
      </c>
      <c r="I4346" s="924" t="s">
        <v>1040</v>
      </c>
      <c r="J4346" s="924" t="s">
        <v>870</v>
      </c>
      <c r="K4346" s="924" t="s">
        <v>873</v>
      </c>
      <c r="L4346" s="925">
        <v>8.5101263951510209</v>
      </c>
      <c r="M4346" s="925">
        <v>8.5644727005274003E-4</v>
      </c>
    </row>
    <row r="4347" spans="1:13" ht="11.25" customHeight="1" x14ac:dyDescent="0.2">
      <c r="A4347" s="924" t="s">
        <v>853</v>
      </c>
      <c r="B4347" s="924" t="s">
        <v>808</v>
      </c>
      <c r="C4347" s="924" t="s">
        <v>1200</v>
      </c>
      <c r="D4347" s="924" t="s">
        <v>855</v>
      </c>
      <c r="E4347" s="924" t="s">
        <v>856</v>
      </c>
      <c r="F4347" s="924" t="s">
        <v>1133</v>
      </c>
      <c r="G4347" s="924" t="s">
        <v>911</v>
      </c>
      <c r="H4347" s="924" t="s">
        <v>665</v>
      </c>
      <c r="I4347" s="924" t="s">
        <v>706</v>
      </c>
      <c r="J4347" s="924" t="s">
        <v>859</v>
      </c>
      <c r="K4347" s="924" t="s">
        <v>899</v>
      </c>
      <c r="L4347" s="925">
        <v>0.37042171787470601</v>
      </c>
      <c r="M4347" s="925">
        <v>3.6903749428773802E-5</v>
      </c>
    </row>
    <row r="4348" spans="1:13" ht="11.25" customHeight="1" x14ac:dyDescent="0.2">
      <c r="A4348" s="924" t="s">
        <v>853</v>
      </c>
      <c r="B4348" s="924" t="s">
        <v>808</v>
      </c>
      <c r="C4348" s="924" t="s">
        <v>1200</v>
      </c>
      <c r="D4348" s="924" t="s">
        <v>855</v>
      </c>
      <c r="E4348" s="924" t="s">
        <v>856</v>
      </c>
      <c r="F4348" s="924" t="s">
        <v>1108</v>
      </c>
      <c r="G4348" s="924" t="s">
        <v>981</v>
      </c>
      <c r="H4348" s="924" t="s">
        <v>835</v>
      </c>
      <c r="I4348" s="924" t="s">
        <v>1040</v>
      </c>
      <c r="J4348" s="924" t="s">
        <v>870</v>
      </c>
      <c r="K4348" s="924" t="s">
        <v>1036</v>
      </c>
      <c r="L4348" s="925">
        <v>1.2676881947554599</v>
      </c>
      <c r="M4348" s="925">
        <v>8.6050426443762295E-4</v>
      </c>
    </row>
    <row r="4349" spans="1:13" ht="11.25" customHeight="1" x14ac:dyDescent="0.2">
      <c r="A4349" s="924" t="s">
        <v>853</v>
      </c>
      <c r="B4349" s="924" t="s">
        <v>808</v>
      </c>
      <c r="C4349" s="924" t="s">
        <v>1200</v>
      </c>
      <c r="D4349" s="924" t="s">
        <v>855</v>
      </c>
      <c r="E4349" s="924" t="s">
        <v>856</v>
      </c>
      <c r="F4349" s="924" t="s">
        <v>1134</v>
      </c>
      <c r="G4349" s="924" t="s">
        <v>981</v>
      </c>
      <c r="H4349" s="924" t="s">
        <v>835</v>
      </c>
      <c r="I4349" s="924" t="s">
        <v>1040</v>
      </c>
      <c r="J4349" s="924" t="s">
        <v>863</v>
      </c>
      <c r="K4349" s="924" t="s">
        <v>933</v>
      </c>
      <c r="L4349" s="925">
        <v>740.63217067718494</v>
      </c>
      <c r="M4349" s="925">
        <v>5.2713143464643501E-2</v>
      </c>
    </row>
    <row r="4350" spans="1:13" ht="11.25" customHeight="1" x14ac:dyDescent="0.2">
      <c r="A4350" s="924" t="s">
        <v>853</v>
      </c>
      <c r="B4350" s="924" t="s">
        <v>808</v>
      </c>
      <c r="C4350" s="924" t="s">
        <v>1200</v>
      </c>
      <c r="D4350" s="924" t="s">
        <v>855</v>
      </c>
      <c r="E4350" s="924" t="s">
        <v>856</v>
      </c>
      <c r="F4350" s="924" t="s">
        <v>1104</v>
      </c>
      <c r="G4350" s="924" t="s">
        <v>981</v>
      </c>
      <c r="H4350" s="924" t="s">
        <v>835</v>
      </c>
      <c r="I4350" s="924" t="s">
        <v>1040</v>
      </c>
      <c r="J4350" s="924" t="s">
        <v>875</v>
      </c>
      <c r="K4350" s="924" t="s">
        <v>876</v>
      </c>
      <c r="L4350" s="925">
        <v>1432.34935379028</v>
      </c>
      <c r="M4350" s="925">
        <v>0.96889243554323901</v>
      </c>
    </row>
    <row r="4351" spans="1:13" ht="11.25" customHeight="1" x14ac:dyDescent="0.2">
      <c r="A4351" s="924" t="s">
        <v>853</v>
      </c>
      <c r="B4351" s="924" t="s">
        <v>808</v>
      </c>
      <c r="C4351" s="924" t="s">
        <v>1200</v>
      </c>
      <c r="D4351" s="924" t="s">
        <v>855</v>
      </c>
      <c r="E4351" s="924" t="s">
        <v>856</v>
      </c>
      <c r="F4351" s="924" t="s">
        <v>1122</v>
      </c>
      <c r="G4351" s="924" t="s">
        <v>981</v>
      </c>
      <c r="H4351" s="924" t="s">
        <v>835</v>
      </c>
      <c r="I4351" s="924" t="s">
        <v>1040</v>
      </c>
      <c r="J4351" s="924" t="s">
        <v>875</v>
      </c>
      <c r="K4351" s="924" t="s">
        <v>950</v>
      </c>
      <c r="L4351" s="925">
        <v>643.89274215698197</v>
      </c>
      <c r="M4351" s="925">
        <v>0.44886984438017002</v>
      </c>
    </row>
    <row r="4352" spans="1:13" ht="11.25" customHeight="1" x14ac:dyDescent="0.2">
      <c r="A4352" s="924" t="s">
        <v>853</v>
      </c>
      <c r="B4352" s="924" t="s">
        <v>808</v>
      </c>
      <c r="C4352" s="924" t="s">
        <v>1200</v>
      </c>
      <c r="D4352" s="924" t="s">
        <v>855</v>
      </c>
      <c r="E4352" s="924" t="s">
        <v>856</v>
      </c>
      <c r="F4352" s="924" t="s">
        <v>1123</v>
      </c>
      <c r="G4352" s="924" t="s">
        <v>981</v>
      </c>
      <c r="H4352" s="924" t="s">
        <v>835</v>
      </c>
      <c r="I4352" s="924" t="s">
        <v>1040</v>
      </c>
      <c r="J4352" s="924" t="s">
        <v>875</v>
      </c>
      <c r="K4352" s="924" t="s">
        <v>952</v>
      </c>
      <c r="L4352" s="925">
        <v>30.2052472531796</v>
      </c>
      <c r="M4352" s="925">
        <v>2.1120119242372198E-2</v>
      </c>
    </row>
    <row r="4353" spans="1:13" ht="11.25" customHeight="1" x14ac:dyDescent="0.2">
      <c r="A4353" s="924" t="s">
        <v>853</v>
      </c>
      <c r="B4353" s="924" t="s">
        <v>808</v>
      </c>
      <c r="C4353" s="924" t="s">
        <v>1200</v>
      </c>
      <c r="D4353" s="924" t="s">
        <v>855</v>
      </c>
      <c r="E4353" s="924" t="s">
        <v>856</v>
      </c>
      <c r="F4353" s="924" t="s">
        <v>1124</v>
      </c>
      <c r="G4353" s="924" t="s">
        <v>981</v>
      </c>
      <c r="H4353" s="924" t="s">
        <v>835</v>
      </c>
      <c r="I4353" s="924" t="s">
        <v>1040</v>
      </c>
      <c r="J4353" s="924" t="s">
        <v>956</v>
      </c>
      <c r="K4353" s="924" t="s">
        <v>1125</v>
      </c>
      <c r="L4353" s="925">
        <v>4.6308513879776001</v>
      </c>
      <c r="M4353" s="925">
        <v>3.7251848014534499E-3</v>
      </c>
    </row>
    <row r="4354" spans="1:13" ht="11.25" customHeight="1" x14ac:dyDescent="0.2">
      <c r="A4354" s="924" t="s">
        <v>853</v>
      </c>
      <c r="B4354" s="924" t="s">
        <v>808</v>
      </c>
      <c r="C4354" s="924" t="s">
        <v>1200</v>
      </c>
      <c r="D4354" s="924" t="s">
        <v>855</v>
      </c>
      <c r="E4354" s="924" t="s">
        <v>856</v>
      </c>
      <c r="F4354" s="924" t="s">
        <v>1126</v>
      </c>
      <c r="G4354" s="924" t="s">
        <v>981</v>
      </c>
      <c r="H4354" s="924" t="s">
        <v>835</v>
      </c>
      <c r="I4354" s="924" t="s">
        <v>1040</v>
      </c>
      <c r="J4354" s="924" t="s">
        <v>956</v>
      </c>
      <c r="K4354" s="924" t="s">
        <v>957</v>
      </c>
      <c r="L4354" s="925">
        <v>5.3355802374426303E-2</v>
      </c>
      <c r="M4354" s="925">
        <v>4.2089463136107999E-5</v>
      </c>
    </row>
    <row r="4355" spans="1:13" ht="11.25" customHeight="1" x14ac:dyDescent="0.2">
      <c r="A4355" s="924" t="s">
        <v>853</v>
      </c>
      <c r="B4355" s="924" t="s">
        <v>808</v>
      </c>
      <c r="C4355" s="924" t="s">
        <v>1200</v>
      </c>
      <c r="D4355" s="924" t="s">
        <v>855</v>
      </c>
      <c r="E4355" s="924" t="s">
        <v>856</v>
      </c>
      <c r="F4355" s="924" t="s">
        <v>1173</v>
      </c>
      <c r="G4355" s="924" t="s">
        <v>981</v>
      </c>
      <c r="H4355" s="924" t="s">
        <v>835</v>
      </c>
      <c r="I4355" s="924" t="s">
        <v>1040</v>
      </c>
      <c r="J4355" s="924" t="s">
        <v>863</v>
      </c>
      <c r="K4355" s="924" t="s">
        <v>1171</v>
      </c>
      <c r="L4355" s="925">
        <v>4.2775016278028497</v>
      </c>
      <c r="M4355" s="925">
        <v>3.4783387454808698E-3</v>
      </c>
    </row>
    <row r="4356" spans="1:13" ht="11.25" customHeight="1" x14ac:dyDescent="0.2">
      <c r="A4356" s="924" t="s">
        <v>853</v>
      </c>
      <c r="B4356" s="924" t="s">
        <v>808</v>
      </c>
      <c r="C4356" s="924" t="s">
        <v>1200</v>
      </c>
      <c r="D4356" s="924" t="s">
        <v>855</v>
      </c>
      <c r="E4356" s="924" t="s">
        <v>856</v>
      </c>
      <c r="F4356" s="924" t="s">
        <v>1127</v>
      </c>
      <c r="G4356" s="924" t="s">
        <v>911</v>
      </c>
      <c r="H4356" s="924" t="s">
        <v>665</v>
      </c>
      <c r="I4356" s="924" t="s">
        <v>706</v>
      </c>
      <c r="J4356" s="924" t="s">
        <v>884</v>
      </c>
      <c r="K4356" s="924" t="s">
        <v>885</v>
      </c>
      <c r="L4356" s="925">
        <v>7.3753137737512597</v>
      </c>
      <c r="M4356" s="925">
        <v>3.2048308439698299E-3</v>
      </c>
    </row>
    <row r="4357" spans="1:13" ht="11.25" customHeight="1" x14ac:dyDescent="0.2">
      <c r="A4357" s="924" t="s">
        <v>853</v>
      </c>
      <c r="B4357" s="924" t="s">
        <v>808</v>
      </c>
      <c r="C4357" s="924" t="s">
        <v>1200</v>
      </c>
      <c r="D4357" s="924" t="s">
        <v>855</v>
      </c>
      <c r="E4357" s="924" t="s">
        <v>856</v>
      </c>
      <c r="F4357" s="924" t="s">
        <v>1128</v>
      </c>
      <c r="G4357" s="924" t="s">
        <v>911</v>
      </c>
      <c r="H4357" s="924" t="s">
        <v>665</v>
      </c>
      <c r="I4357" s="924" t="s">
        <v>706</v>
      </c>
      <c r="J4357" s="924" t="s">
        <v>859</v>
      </c>
      <c r="K4357" s="924" t="s">
        <v>913</v>
      </c>
      <c r="L4357" s="925">
        <v>2.1533160060644101</v>
      </c>
      <c r="M4357" s="925">
        <v>2.3743115409047299E-4</v>
      </c>
    </row>
    <row r="4358" spans="1:13" ht="11.25" customHeight="1" x14ac:dyDescent="0.2">
      <c r="A4358" s="924" t="s">
        <v>853</v>
      </c>
      <c r="B4358" s="924" t="s">
        <v>808</v>
      </c>
      <c r="C4358" s="924" t="s">
        <v>1200</v>
      </c>
      <c r="D4358" s="924" t="s">
        <v>855</v>
      </c>
      <c r="E4358" s="924" t="s">
        <v>856</v>
      </c>
      <c r="F4358" s="924" t="s">
        <v>1118</v>
      </c>
      <c r="G4358" s="924" t="s">
        <v>911</v>
      </c>
      <c r="H4358" s="924" t="s">
        <v>665</v>
      </c>
      <c r="I4358" s="924" t="s">
        <v>706</v>
      </c>
      <c r="J4358" s="924" t="s">
        <v>859</v>
      </c>
      <c r="K4358" s="924" t="s">
        <v>893</v>
      </c>
      <c r="L4358" s="925">
        <v>3.6513544097542798</v>
      </c>
      <c r="M4358" s="925">
        <v>1.7665726841187301E-4</v>
      </c>
    </row>
    <row r="4359" spans="1:13" ht="11.25" customHeight="1" x14ac:dyDescent="0.2">
      <c r="A4359" s="924" t="s">
        <v>853</v>
      </c>
      <c r="B4359" s="924" t="s">
        <v>808</v>
      </c>
      <c r="C4359" s="924" t="s">
        <v>1200</v>
      </c>
      <c r="D4359" s="924" t="s">
        <v>855</v>
      </c>
      <c r="E4359" s="924" t="s">
        <v>856</v>
      </c>
      <c r="F4359" s="924" t="s">
        <v>1129</v>
      </c>
      <c r="G4359" s="924" t="s">
        <v>911</v>
      </c>
      <c r="H4359" s="924" t="s">
        <v>665</v>
      </c>
      <c r="I4359" s="924" t="s">
        <v>706</v>
      </c>
      <c r="J4359" s="924" t="s">
        <v>859</v>
      </c>
      <c r="K4359" s="924" t="s">
        <v>897</v>
      </c>
      <c r="L4359" s="925">
        <v>0.59466848708689202</v>
      </c>
      <c r="M4359" s="925">
        <v>2.1614131048863799E-4</v>
      </c>
    </row>
    <row r="4360" spans="1:13" ht="11.25" customHeight="1" x14ac:dyDescent="0.2">
      <c r="A4360" s="924" t="s">
        <v>853</v>
      </c>
      <c r="B4360" s="924" t="s">
        <v>808</v>
      </c>
      <c r="C4360" s="924" t="s">
        <v>1200</v>
      </c>
      <c r="D4360" s="924" t="s">
        <v>855</v>
      </c>
      <c r="E4360" s="924" t="s">
        <v>856</v>
      </c>
      <c r="F4360" s="924" t="s">
        <v>1074</v>
      </c>
      <c r="G4360" s="924" t="s">
        <v>911</v>
      </c>
      <c r="H4360" s="924" t="s">
        <v>665</v>
      </c>
      <c r="I4360" s="924" t="s">
        <v>706</v>
      </c>
      <c r="J4360" s="924" t="s">
        <v>859</v>
      </c>
      <c r="K4360" s="924" t="s">
        <v>903</v>
      </c>
      <c r="L4360" s="925">
        <v>6.6502058655023601</v>
      </c>
      <c r="M4360" s="925">
        <v>7.4271318544560905E-4</v>
      </c>
    </row>
    <row r="4361" spans="1:13" ht="11.25" customHeight="1" x14ac:dyDescent="0.2">
      <c r="A4361" s="924" t="s">
        <v>853</v>
      </c>
      <c r="B4361" s="924" t="s">
        <v>808</v>
      </c>
      <c r="C4361" s="924" t="s">
        <v>1200</v>
      </c>
      <c r="D4361" s="924" t="s">
        <v>855</v>
      </c>
      <c r="E4361" s="924" t="s">
        <v>856</v>
      </c>
      <c r="F4361" s="924" t="s">
        <v>1073</v>
      </c>
      <c r="G4361" s="924" t="s">
        <v>981</v>
      </c>
      <c r="H4361" s="924" t="s">
        <v>835</v>
      </c>
      <c r="I4361" s="924" t="s">
        <v>998</v>
      </c>
      <c r="J4361" s="924" t="s">
        <v>884</v>
      </c>
      <c r="K4361" s="924" t="s">
        <v>1046</v>
      </c>
      <c r="L4361" s="925">
        <v>85.588096857070894</v>
      </c>
      <c r="M4361" s="925">
        <v>0.144509856123477</v>
      </c>
    </row>
    <row r="4362" spans="1:13" ht="11.25" customHeight="1" x14ac:dyDescent="0.2">
      <c r="A4362" s="924" t="s">
        <v>853</v>
      </c>
      <c r="B4362" s="924" t="s">
        <v>808</v>
      </c>
      <c r="C4362" s="924" t="s">
        <v>1200</v>
      </c>
      <c r="D4362" s="924" t="s">
        <v>855</v>
      </c>
      <c r="E4362" s="924" t="s">
        <v>856</v>
      </c>
      <c r="F4362" s="924" t="s">
        <v>1119</v>
      </c>
      <c r="G4362" s="924" t="s">
        <v>981</v>
      </c>
      <c r="H4362" s="924" t="s">
        <v>835</v>
      </c>
      <c r="I4362" s="924" t="s">
        <v>1040</v>
      </c>
      <c r="J4362" s="924" t="s">
        <v>875</v>
      </c>
      <c r="K4362" s="924" t="s">
        <v>878</v>
      </c>
      <c r="L4362" s="925">
        <v>357.71837043762201</v>
      </c>
      <c r="M4362" s="925">
        <v>0.23934025848757301</v>
      </c>
    </row>
    <row r="4363" spans="1:13" ht="11.25" customHeight="1" x14ac:dyDescent="0.2">
      <c r="A4363" s="924" t="s">
        <v>853</v>
      </c>
      <c r="B4363" s="924" t="s">
        <v>808</v>
      </c>
      <c r="C4363" s="924" t="s">
        <v>1200</v>
      </c>
      <c r="D4363" s="924" t="s">
        <v>855</v>
      </c>
      <c r="E4363" s="924" t="s">
        <v>856</v>
      </c>
      <c r="F4363" s="924" t="s">
        <v>1143</v>
      </c>
      <c r="G4363" s="924" t="s">
        <v>981</v>
      </c>
      <c r="H4363" s="924" t="s">
        <v>835</v>
      </c>
      <c r="I4363" s="924" t="s">
        <v>1040</v>
      </c>
      <c r="J4363" s="924" t="s">
        <v>940</v>
      </c>
      <c r="K4363" s="924" t="s">
        <v>1084</v>
      </c>
      <c r="L4363" s="925">
        <v>70.363320708274799</v>
      </c>
      <c r="M4363" s="925">
        <v>5.1611551083624398E-2</v>
      </c>
    </row>
    <row r="4364" spans="1:13" ht="11.25" customHeight="1" x14ac:dyDescent="0.2">
      <c r="A4364" s="924" t="s">
        <v>853</v>
      </c>
      <c r="B4364" s="924" t="s">
        <v>808</v>
      </c>
      <c r="C4364" s="924" t="s">
        <v>1200</v>
      </c>
      <c r="D4364" s="924" t="s">
        <v>855</v>
      </c>
      <c r="E4364" s="924" t="s">
        <v>856</v>
      </c>
      <c r="F4364" s="924" t="s">
        <v>1135</v>
      </c>
      <c r="G4364" s="924" t="s">
        <v>981</v>
      </c>
      <c r="H4364" s="924" t="s">
        <v>835</v>
      </c>
      <c r="I4364" s="924" t="s">
        <v>1040</v>
      </c>
      <c r="J4364" s="924" t="s">
        <v>863</v>
      </c>
      <c r="K4364" s="924" t="s">
        <v>935</v>
      </c>
      <c r="L4364" s="925">
        <v>159.44744634628299</v>
      </c>
      <c r="M4364" s="925">
        <v>5.7824073592200903E-2</v>
      </c>
    </row>
    <row r="4365" spans="1:13" ht="11.25" customHeight="1" x14ac:dyDescent="0.2">
      <c r="A4365" s="924" t="s">
        <v>853</v>
      </c>
      <c r="B4365" s="924" t="s">
        <v>808</v>
      </c>
      <c r="C4365" s="924" t="s">
        <v>1200</v>
      </c>
      <c r="D4365" s="924" t="s">
        <v>855</v>
      </c>
      <c r="E4365" s="924" t="s">
        <v>856</v>
      </c>
      <c r="F4365" s="924" t="s">
        <v>1120</v>
      </c>
      <c r="G4365" s="924" t="s">
        <v>981</v>
      </c>
      <c r="H4365" s="924" t="s">
        <v>835</v>
      </c>
      <c r="I4365" s="924" t="s">
        <v>1040</v>
      </c>
      <c r="J4365" s="924" t="s">
        <v>875</v>
      </c>
      <c r="K4365" s="924" t="s">
        <v>880</v>
      </c>
      <c r="L4365" s="925">
        <v>189.18995308876001</v>
      </c>
      <c r="M4365" s="925">
        <v>0.110401765057759</v>
      </c>
    </row>
    <row r="4366" spans="1:13" ht="11.25" customHeight="1" x14ac:dyDescent="0.2">
      <c r="A4366" s="924" t="s">
        <v>853</v>
      </c>
      <c r="B4366" s="924" t="s">
        <v>808</v>
      </c>
      <c r="C4366" s="924" t="s">
        <v>1200</v>
      </c>
      <c r="D4366" s="924" t="s">
        <v>855</v>
      </c>
      <c r="E4366" s="924" t="s">
        <v>856</v>
      </c>
      <c r="F4366" s="924" t="s">
        <v>1107</v>
      </c>
      <c r="G4366" s="924" t="s">
        <v>981</v>
      </c>
      <c r="H4366" s="924" t="s">
        <v>835</v>
      </c>
      <c r="I4366" s="924" t="s">
        <v>1040</v>
      </c>
      <c r="J4366" s="924" t="s">
        <v>940</v>
      </c>
      <c r="K4366" s="924" t="s">
        <v>1034</v>
      </c>
      <c r="L4366" s="925">
        <v>133.80740433931399</v>
      </c>
      <c r="M4366" s="925">
        <v>9.7569695273705306E-2</v>
      </c>
    </row>
    <row r="4367" spans="1:13" ht="11.25" customHeight="1" x14ac:dyDescent="0.2">
      <c r="A4367" s="924" t="s">
        <v>853</v>
      </c>
      <c r="B4367" s="924" t="s">
        <v>808</v>
      </c>
      <c r="C4367" s="924" t="s">
        <v>1200</v>
      </c>
      <c r="D4367" s="924" t="s">
        <v>855</v>
      </c>
      <c r="E4367" s="924" t="s">
        <v>856</v>
      </c>
      <c r="F4367" s="924" t="s">
        <v>1148</v>
      </c>
      <c r="G4367" s="924" t="s">
        <v>981</v>
      </c>
      <c r="H4367" s="924" t="s">
        <v>835</v>
      </c>
      <c r="I4367" s="924" t="s">
        <v>1040</v>
      </c>
      <c r="J4367" s="924" t="s">
        <v>863</v>
      </c>
      <c r="K4367" s="924" t="s">
        <v>915</v>
      </c>
      <c r="L4367" s="925">
        <v>13.600904405116999</v>
      </c>
      <c r="M4367" s="925">
        <v>5.1078162189242002E-3</v>
      </c>
    </row>
    <row r="4368" spans="1:13" ht="11.25" customHeight="1" x14ac:dyDescent="0.2">
      <c r="A4368" s="924" t="s">
        <v>853</v>
      </c>
      <c r="B4368" s="924" t="s">
        <v>808</v>
      </c>
      <c r="C4368" s="924" t="s">
        <v>1200</v>
      </c>
      <c r="D4368" s="924" t="s">
        <v>855</v>
      </c>
      <c r="E4368" s="924" t="s">
        <v>856</v>
      </c>
      <c r="F4368" s="924" t="s">
        <v>1137</v>
      </c>
      <c r="G4368" s="924" t="s">
        <v>981</v>
      </c>
      <c r="H4368" s="924" t="s">
        <v>835</v>
      </c>
      <c r="I4368" s="924" t="s">
        <v>1040</v>
      </c>
      <c r="J4368" s="924" t="s">
        <v>863</v>
      </c>
      <c r="K4368" s="924" t="s">
        <v>866</v>
      </c>
      <c r="L4368" s="925">
        <v>5.0524499043822297</v>
      </c>
      <c r="M4368" s="925">
        <v>3.4112015127902898E-3</v>
      </c>
    </row>
    <row r="4369" spans="1:13" ht="11.25" customHeight="1" x14ac:dyDescent="0.2">
      <c r="A4369" s="924" t="s">
        <v>853</v>
      </c>
      <c r="B4369" s="924" t="s">
        <v>808</v>
      </c>
      <c r="C4369" s="924" t="s">
        <v>1200</v>
      </c>
      <c r="D4369" s="924" t="s">
        <v>855</v>
      </c>
      <c r="E4369" s="924" t="s">
        <v>856</v>
      </c>
      <c r="F4369" s="924" t="s">
        <v>1131</v>
      </c>
      <c r="G4369" s="924" t="s">
        <v>981</v>
      </c>
      <c r="H4369" s="924" t="s">
        <v>835</v>
      </c>
      <c r="I4369" s="924" t="s">
        <v>1040</v>
      </c>
      <c r="J4369" s="924" t="s">
        <v>863</v>
      </c>
      <c r="K4369" s="924" t="s">
        <v>868</v>
      </c>
      <c r="L4369" s="925">
        <v>65.566187679767594</v>
      </c>
      <c r="M4369" s="925">
        <v>4.6641454027849198E-3</v>
      </c>
    </row>
    <row r="4370" spans="1:13" ht="11.25" customHeight="1" x14ac:dyDescent="0.2">
      <c r="A4370" s="924" t="s">
        <v>853</v>
      </c>
      <c r="B4370" s="924" t="s">
        <v>808</v>
      </c>
      <c r="C4370" s="924" t="s">
        <v>1200</v>
      </c>
      <c r="D4370" s="924" t="s">
        <v>855</v>
      </c>
      <c r="E4370" s="924" t="s">
        <v>856</v>
      </c>
      <c r="F4370" s="924" t="s">
        <v>1141</v>
      </c>
      <c r="G4370" s="924" t="s">
        <v>981</v>
      </c>
      <c r="H4370" s="924" t="s">
        <v>835</v>
      </c>
      <c r="I4370" s="924" t="s">
        <v>1040</v>
      </c>
      <c r="J4370" s="924" t="s">
        <v>940</v>
      </c>
      <c r="K4370" s="924" t="s">
        <v>1142</v>
      </c>
      <c r="L4370" s="925">
        <v>780.97715330123901</v>
      </c>
      <c r="M4370" s="925">
        <v>0.577808253234252</v>
      </c>
    </row>
    <row r="4371" spans="1:13" ht="11.25" customHeight="1" x14ac:dyDescent="0.2">
      <c r="A4371" s="924" t="s">
        <v>853</v>
      </c>
      <c r="B4371" s="924" t="s">
        <v>808</v>
      </c>
      <c r="C4371" s="924" t="s">
        <v>1200</v>
      </c>
      <c r="D4371" s="924" t="s">
        <v>855</v>
      </c>
      <c r="E4371" s="924" t="s">
        <v>856</v>
      </c>
      <c r="F4371" s="924" t="s">
        <v>1136</v>
      </c>
      <c r="G4371" s="924" t="s">
        <v>981</v>
      </c>
      <c r="H4371" s="924" t="s">
        <v>835</v>
      </c>
      <c r="I4371" s="924" t="s">
        <v>1040</v>
      </c>
      <c r="J4371" s="924" t="s">
        <v>863</v>
      </c>
      <c r="K4371" s="924" t="s">
        <v>864</v>
      </c>
      <c r="L4371" s="925">
        <v>299.61324882507301</v>
      </c>
      <c r="M4371" s="925">
        <v>0.225368289975449</v>
      </c>
    </row>
    <row r="4372" spans="1:13" ht="11.25" customHeight="1" x14ac:dyDescent="0.2">
      <c r="A4372" s="924" t="s">
        <v>853</v>
      </c>
      <c r="B4372" s="924" t="s">
        <v>808</v>
      </c>
      <c r="C4372" s="924" t="s">
        <v>1200</v>
      </c>
      <c r="D4372" s="924" t="s">
        <v>855</v>
      </c>
      <c r="E4372" s="924" t="s">
        <v>856</v>
      </c>
      <c r="F4372" s="924" t="s">
        <v>1144</v>
      </c>
      <c r="G4372" s="924" t="s">
        <v>981</v>
      </c>
      <c r="H4372" s="924" t="s">
        <v>835</v>
      </c>
      <c r="I4372" s="924" t="s">
        <v>1040</v>
      </c>
      <c r="J4372" s="924" t="s">
        <v>940</v>
      </c>
      <c r="K4372" s="924" t="s">
        <v>1070</v>
      </c>
      <c r="L4372" s="925">
        <v>464.33628189563802</v>
      </c>
      <c r="M4372" s="925">
        <v>0.324298508581705</v>
      </c>
    </row>
    <row r="4373" spans="1:13" ht="11.25" customHeight="1" x14ac:dyDescent="0.2">
      <c r="A4373" s="924" t="s">
        <v>853</v>
      </c>
      <c r="B4373" s="924" t="s">
        <v>808</v>
      </c>
      <c r="C4373" s="924" t="s">
        <v>1200</v>
      </c>
      <c r="D4373" s="924" t="s">
        <v>855</v>
      </c>
      <c r="E4373" s="924" t="s">
        <v>856</v>
      </c>
      <c r="F4373" s="924" t="s">
        <v>1149</v>
      </c>
      <c r="G4373" s="924" t="s">
        <v>981</v>
      </c>
      <c r="H4373" s="924" t="s">
        <v>835</v>
      </c>
      <c r="I4373" s="924" t="s">
        <v>1040</v>
      </c>
      <c r="J4373" s="924" t="s">
        <v>940</v>
      </c>
      <c r="K4373" s="924" t="s">
        <v>1091</v>
      </c>
      <c r="L4373" s="925">
        <v>4.5344120934605598</v>
      </c>
      <c r="M4373" s="925">
        <v>3.1758127024659201E-3</v>
      </c>
    </row>
    <row r="4374" spans="1:13" ht="11.25" customHeight="1" x14ac:dyDescent="0.2">
      <c r="A4374" s="924" t="s">
        <v>853</v>
      </c>
      <c r="B4374" s="924" t="s">
        <v>808</v>
      </c>
      <c r="C4374" s="924" t="s">
        <v>1200</v>
      </c>
      <c r="D4374" s="924" t="s">
        <v>855</v>
      </c>
      <c r="E4374" s="924" t="s">
        <v>856</v>
      </c>
      <c r="F4374" s="924" t="s">
        <v>1160</v>
      </c>
      <c r="G4374" s="924" t="s">
        <v>981</v>
      </c>
      <c r="H4374" s="924" t="s">
        <v>835</v>
      </c>
      <c r="I4374" s="924" t="s">
        <v>1040</v>
      </c>
      <c r="J4374" s="924" t="s">
        <v>940</v>
      </c>
      <c r="K4374" s="924" t="s">
        <v>1093</v>
      </c>
      <c r="L4374" s="925">
        <v>18.089872464537599</v>
      </c>
      <c r="M4374" s="925">
        <v>1.2797399915143601E-2</v>
      </c>
    </row>
    <row r="4375" spans="1:13" ht="11.25" customHeight="1" x14ac:dyDescent="0.2">
      <c r="A4375" s="924" t="s">
        <v>853</v>
      </c>
      <c r="B4375" s="924" t="s">
        <v>808</v>
      </c>
      <c r="C4375" s="924" t="s">
        <v>1200</v>
      </c>
      <c r="D4375" s="924" t="s">
        <v>855</v>
      </c>
      <c r="E4375" s="924" t="s">
        <v>856</v>
      </c>
      <c r="F4375" s="924" t="s">
        <v>1159</v>
      </c>
      <c r="G4375" s="924" t="s">
        <v>981</v>
      </c>
      <c r="H4375" s="924" t="s">
        <v>835</v>
      </c>
      <c r="I4375" s="924" t="s">
        <v>1040</v>
      </c>
      <c r="J4375" s="924" t="s">
        <v>940</v>
      </c>
      <c r="K4375" s="924" t="s">
        <v>1095</v>
      </c>
      <c r="L4375" s="925">
        <v>8.6503244712948799</v>
      </c>
      <c r="M4375" s="925">
        <v>6.0595591967285102E-3</v>
      </c>
    </row>
    <row r="4376" spans="1:13" ht="11.25" customHeight="1" x14ac:dyDescent="0.2">
      <c r="A4376" s="924" t="s">
        <v>853</v>
      </c>
      <c r="B4376" s="924" t="s">
        <v>808</v>
      </c>
      <c r="C4376" s="924" t="s">
        <v>1200</v>
      </c>
      <c r="D4376" s="924" t="s">
        <v>855</v>
      </c>
      <c r="E4376" s="924" t="s">
        <v>856</v>
      </c>
      <c r="F4376" s="924" t="s">
        <v>1132</v>
      </c>
      <c r="G4376" s="924" t="s">
        <v>981</v>
      </c>
      <c r="H4376" s="924" t="s">
        <v>835</v>
      </c>
      <c r="I4376" s="924" t="s">
        <v>1040</v>
      </c>
      <c r="J4376" s="924" t="s">
        <v>940</v>
      </c>
      <c r="K4376" s="924" t="s">
        <v>941</v>
      </c>
      <c r="L4376" s="925">
        <v>225.01731479167901</v>
      </c>
      <c r="M4376" s="925">
        <v>9.8517485224874704E-2</v>
      </c>
    </row>
    <row r="4377" spans="1:13" ht="11.25" customHeight="1" x14ac:dyDescent="0.2">
      <c r="A4377" s="924" t="s">
        <v>853</v>
      </c>
      <c r="B4377" s="924" t="s">
        <v>808</v>
      </c>
      <c r="C4377" s="924" t="s">
        <v>1200</v>
      </c>
      <c r="D4377" s="924" t="s">
        <v>855</v>
      </c>
      <c r="E4377" s="924" t="s">
        <v>856</v>
      </c>
      <c r="F4377" s="924" t="s">
        <v>1105</v>
      </c>
      <c r="G4377" s="924" t="s">
        <v>981</v>
      </c>
      <c r="H4377" s="924" t="s">
        <v>835</v>
      </c>
      <c r="I4377" s="924" t="s">
        <v>1040</v>
      </c>
      <c r="J4377" s="924" t="s">
        <v>940</v>
      </c>
      <c r="K4377" s="924" t="s">
        <v>1106</v>
      </c>
      <c r="L4377" s="925">
        <v>78.797293663024902</v>
      </c>
      <c r="M4377" s="925">
        <v>5.7911644711538202E-2</v>
      </c>
    </row>
    <row r="4378" spans="1:13" ht="11.25" customHeight="1" x14ac:dyDescent="0.2">
      <c r="A4378" s="924" t="s">
        <v>853</v>
      </c>
      <c r="B4378" s="924" t="s">
        <v>808</v>
      </c>
      <c r="C4378" s="924" t="s">
        <v>1200</v>
      </c>
      <c r="D4378" s="924" t="s">
        <v>855</v>
      </c>
      <c r="E4378" s="924" t="s">
        <v>856</v>
      </c>
      <c r="F4378" s="924" t="s">
        <v>1139</v>
      </c>
      <c r="G4378" s="924" t="s">
        <v>981</v>
      </c>
      <c r="H4378" s="924" t="s">
        <v>835</v>
      </c>
      <c r="I4378" s="924" t="s">
        <v>1040</v>
      </c>
      <c r="J4378" s="924" t="s">
        <v>940</v>
      </c>
      <c r="K4378" s="924" t="s">
        <v>1140</v>
      </c>
      <c r="L4378" s="925">
        <v>817.68455505371105</v>
      </c>
      <c r="M4378" s="925">
        <v>0.60073071344309203</v>
      </c>
    </row>
    <row r="4379" spans="1:13" ht="11.25" customHeight="1" x14ac:dyDescent="0.2">
      <c r="A4379" s="924" t="s">
        <v>853</v>
      </c>
      <c r="B4379" s="924" t="s">
        <v>808</v>
      </c>
      <c r="C4379" s="924" t="s">
        <v>1200</v>
      </c>
      <c r="D4379" s="924" t="s">
        <v>855</v>
      </c>
      <c r="E4379" s="924" t="s">
        <v>856</v>
      </c>
      <c r="F4379" s="924" t="s">
        <v>1116</v>
      </c>
      <c r="G4379" s="924" t="s">
        <v>981</v>
      </c>
      <c r="H4379" s="924" t="s">
        <v>835</v>
      </c>
      <c r="I4379" s="924" t="s">
        <v>1040</v>
      </c>
      <c r="J4379" s="924" t="s">
        <v>940</v>
      </c>
      <c r="K4379" s="924" t="s">
        <v>1032</v>
      </c>
      <c r="L4379" s="925">
        <v>4352.9675102233896</v>
      </c>
      <c r="M4379" s="925">
        <v>2.7513559879735099</v>
      </c>
    </row>
    <row r="4380" spans="1:13" ht="11.25" customHeight="1" x14ac:dyDescent="0.2">
      <c r="A4380" s="924" t="s">
        <v>853</v>
      </c>
      <c r="B4380" s="924" t="s">
        <v>808</v>
      </c>
      <c r="C4380" s="924" t="s">
        <v>1200</v>
      </c>
      <c r="D4380" s="924" t="s">
        <v>855</v>
      </c>
      <c r="E4380" s="924" t="s">
        <v>856</v>
      </c>
      <c r="F4380" s="924" t="s">
        <v>1158</v>
      </c>
      <c r="G4380" s="924" t="s">
        <v>981</v>
      </c>
      <c r="H4380" s="924" t="s">
        <v>835</v>
      </c>
      <c r="I4380" s="924" t="s">
        <v>1040</v>
      </c>
      <c r="J4380" s="924" t="s">
        <v>940</v>
      </c>
      <c r="K4380" s="924" t="s">
        <v>1023</v>
      </c>
      <c r="L4380" s="925">
        <v>741.19654822349503</v>
      </c>
      <c r="M4380" s="925">
        <v>0.42716106965144701</v>
      </c>
    </row>
    <row r="4381" spans="1:13" ht="11.25" customHeight="1" x14ac:dyDescent="0.2">
      <c r="A4381" s="924" t="s">
        <v>853</v>
      </c>
      <c r="B4381" s="924" t="s">
        <v>808</v>
      </c>
      <c r="C4381" s="924" t="s">
        <v>1200</v>
      </c>
      <c r="D4381" s="924" t="s">
        <v>855</v>
      </c>
      <c r="E4381" s="924" t="s">
        <v>856</v>
      </c>
      <c r="F4381" s="924" t="s">
        <v>1145</v>
      </c>
      <c r="G4381" s="924" t="s">
        <v>981</v>
      </c>
      <c r="H4381" s="924" t="s">
        <v>835</v>
      </c>
      <c r="I4381" s="924" t="s">
        <v>1040</v>
      </c>
      <c r="J4381" s="924" t="s">
        <v>940</v>
      </c>
      <c r="K4381" s="924" t="s">
        <v>1029</v>
      </c>
      <c r="L4381" s="925">
        <v>1348.5091776847801</v>
      </c>
      <c r="M4381" s="925">
        <v>0.88897093012928996</v>
      </c>
    </row>
    <row r="4382" spans="1:13" ht="11.25" customHeight="1" x14ac:dyDescent="0.2">
      <c r="A4382" s="924" t="s">
        <v>853</v>
      </c>
      <c r="B4382" s="924" t="s">
        <v>808</v>
      </c>
      <c r="C4382" s="924" t="s">
        <v>1200</v>
      </c>
      <c r="D4382" s="924" t="s">
        <v>855</v>
      </c>
      <c r="E4382" s="924" t="s">
        <v>856</v>
      </c>
      <c r="F4382" s="924" t="s">
        <v>1146</v>
      </c>
      <c r="G4382" s="924" t="s">
        <v>981</v>
      </c>
      <c r="H4382" s="924" t="s">
        <v>835</v>
      </c>
      <c r="I4382" s="924" t="s">
        <v>1040</v>
      </c>
      <c r="J4382" s="924" t="s">
        <v>940</v>
      </c>
      <c r="K4382" s="924" t="s">
        <v>1147</v>
      </c>
      <c r="L4382" s="925">
        <v>2216.5123424530002</v>
      </c>
      <c r="M4382" s="925">
        <v>1.43053263518959</v>
      </c>
    </row>
    <row r="4383" spans="1:13" ht="11.25" customHeight="1" x14ac:dyDescent="0.2">
      <c r="A4383" s="924" t="s">
        <v>853</v>
      </c>
      <c r="B4383" s="924" t="s">
        <v>808</v>
      </c>
      <c r="C4383" s="924" t="s">
        <v>1200</v>
      </c>
      <c r="D4383" s="924" t="s">
        <v>855</v>
      </c>
      <c r="E4383" s="924" t="s">
        <v>856</v>
      </c>
      <c r="F4383" s="924" t="s">
        <v>1161</v>
      </c>
      <c r="G4383" s="924" t="s">
        <v>981</v>
      </c>
      <c r="H4383" s="924" t="s">
        <v>835</v>
      </c>
      <c r="I4383" s="924" t="s">
        <v>1040</v>
      </c>
      <c r="J4383" s="924" t="s">
        <v>940</v>
      </c>
      <c r="K4383" s="924" t="s">
        <v>1027</v>
      </c>
      <c r="L4383" s="925">
        <v>112.085084497929</v>
      </c>
      <c r="M4383" s="925">
        <v>7.7686200020480101E-2</v>
      </c>
    </row>
    <row r="4384" spans="1:13" ht="11.25" customHeight="1" x14ac:dyDescent="0.2">
      <c r="A4384" s="924" t="s">
        <v>853</v>
      </c>
      <c r="B4384" s="924" t="s">
        <v>808</v>
      </c>
      <c r="C4384" s="924" t="s">
        <v>1200</v>
      </c>
      <c r="D4384" s="924" t="s">
        <v>855</v>
      </c>
      <c r="E4384" s="924" t="s">
        <v>856</v>
      </c>
      <c r="F4384" s="924" t="s">
        <v>1152</v>
      </c>
      <c r="G4384" s="924" t="s">
        <v>981</v>
      </c>
      <c r="H4384" s="924" t="s">
        <v>835</v>
      </c>
      <c r="I4384" s="924" t="s">
        <v>1040</v>
      </c>
      <c r="J4384" s="924" t="s">
        <v>940</v>
      </c>
      <c r="K4384" s="924" t="s">
        <v>1153</v>
      </c>
      <c r="L4384" s="925">
        <v>99.227788835763903</v>
      </c>
      <c r="M4384" s="925">
        <v>6.54271260427777E-2</v>
      </c>
    </row>
    <row r="4385" spans="1:13" ht="11.25" customHeight="1" x14ac:dyDescent="0.2">
      <c r="A4385" s="924" t="s">
        <v>853</v>
      </c>
      <c r="B4385" s="924" t="s">
        <v>808</v>
      </c>
      <c r="C4385" s="924" t="s">
        <v>1200</v>
      </c>
      <c r="D4385" s="924" t="s">
        <v>855</v>
      </c>
      <c r="E4385" s="924" t="s">
        <v>856</v>
      </c>
      <c r="F4385" s="924" t="s">
        <v>1154</v>
      </c>
      <c r="G4385" s="924" t="s">
        <v>981</v>
      </c>
      <c r="H4385" s="924" t="s">
        <v>835</v>
      </c>
      <c r="I4385" s="924" t="s">
        <v>1040</v>
      </c>
      <c r="J4385" s="924" t="s">
        <v>940</v>
      </c>
      <c r="K4385" s="924" t="s">
        <v>1155</v>
      </c>
      <c r="L4385" s="925">
        <v>165.347553253174</v>
      </c>
      <c r="M4385" s="925">
        <v>0.10690020829564199</v>
      </c>
    </row>
    <row r="4386" spans="1:13" ht="11.25" customHeight="1" x14ac:dyDescent="0.2">
      <c r="A4386" s="924" t="s">
        <v>853</v>
      </c>
      <c r="B4386" s="924" t="s">
        <v>808</v>
      </c>
      <c r="C4386" s="924" t="s">
        <v>1200</v>
      </c>
      <c r="D4386" s="924" t="s">
        <v>855</v>
      </c>
      <c r="E4386" s="924" t="s">
        <v>856</v>
      </c>
      <c r="F4386" s="924" t="s">
        <v>1156</v>
      </c>
      <c r="G4386" s="924" t="s">
        <v>981</v>
      </c>
      <c r="H4386" s="924" t="s">
        <v>835</v>
      </c>
      <c r="I4386" s="924" t="s">
        <v>1040</v>
      </c>
      <c r="J4386" s="924" t="s">
        <v>940</v>
      </c>
      <c r="K4386" s="924" t="s">
        <v>1025</v>
      </c>
      <c r="L4386" s="925">
        <v>296.96450042724598</v>
      </c>
      <c r="M4386" s="925">
        <v>0.56140917539596602</v>
      </c>
    </row>
    <row r="4387" spans="1:13" ht="11.25" customHeight="1" x14ac:dyDescent="0.2">
      <c r="A4387" s="924" t="s">
        <v>853</v>
      </c>
      <c r="B4387" s="924" t="s">
        <v>808</v>
      </c>
      <c r="C4387" s="924" t="s">
        <v>1200</v>
      </c>
      <c r="D4387" s="924" t="s">
        <v>855</v>
      </c>
      <c r="E4387" s="924" t="s">
        <v>856</v>
      </c>
      <c r="F4387" s="924" t="s">
        <v>1157</v>
      </c>
      <c r="G4387" s="924" t="s">
        <v>981</v>
      </c>
      <c r="H4387" s="924" t="s">
        <v>835</v>
      </c>
      <c r="I4387" s="924" t="s">
        <v>1040</v>
      </c>
      <c r="J4387" s="924" t="s">
        <v>940</v>
      </c>
      <c r="K4387" s="924" t="s">
        <v>1098</v>
      </c>
      <c r="L4387" s="925">
        <v>93.144083023071303</v>
      </c>
      <c r="M4387" s="925">
        <v>0.17631827434524899</v>
      </c>
    </row>
    <row r="4388" spans="1:13" ht="11.25" customHeight="1" x14ac:dyDescent="0.2">
      <c r="A4388" s="924" t="s">
        <v>853</v>
      </c>
      <c r="B4388" s="924" t="s">
        <v>808</v>
      </c>
      <c r="C4388" s="924" t="s">
        <v>1200</v>
      </c>
      <c r="D4388" s="924" t="s">
        <v>855</v>
      </c>
      <c r="E4388" s="924" t="s">
        <v>856</v>
      </c>
      <c r="F4388" s="924" t="s">
        <v>1150</v>
      </c>
      <c r="G4388" s="924" t="s">
        <v>981</v>
      </c>
      <c r="H4388" s="924" t="s">
        <v>835</v>
      </c>
      <c r="I4388" s="924" t="s">
        <v>1040</v>
      </c>
      <c r="J4388" s="924" t="s">
        <v>940</v>
      </c>
      <c r="K4388" s="924" t="s">
        <v>1151</v>
      </c>
      <c r="L4388" s="925">
        <v>53.489525184035301</v>
      </c>
      <c r="M4388" s="925">
        <v>3.77599772909889E-2</v>
      </c>
    </row>
    <row r="4389" spans="1:13" ht="11.25" customHeight="1" x14ac:dyDescent="0.2">
      <c r="A4389" s="924" t="s">
        <v>853</v>
      </c>
      <c r="B4389" s="924" t="s">
        <v>809</v>
      </c>
      <c r="C4389" s="924" t="s">
        <v>1201</v>
      </c>
      <c r="D4389" s="924" t="s">
        <v>855</v>
      </c>
      <c r="E4389" s="924" t="s">
        <v>856</v>
      </c>
      <c r="F4389" s="924" t="s">
        <v>869</v>
      </c>
      <c r="G4389" s="924" t="s">
        <v>862</v>
      </c>
      <c r="H4389" s="924" t="s">
        <v>665</v>
      </c>
      <c r="I4389" s="924" t="s">
        <v>787</v>
      </c>
      <c r="J4389" s="924" t="s">
        <v>870</v>
      </c>
      <c r="K4389" s="924" t="s">
        <v>871</v>
      </c>
      <c r="L4389" s="925">
        <v>6.9691895347205005E-2</v>
      </c>
      <c r="M4389" s="925">
        <v>3.9987514771837604E-3</v>
      </c>
    </row>
    <row r="4390" spans="1:13" ht="11.25" customHeight="1" x14ac:dyDescent="0.2">
      <c r="A4390" s="924" t="s">
        <v>853</v>
      </c>
      <c r="B4390" s="924" t="s">
        <v>809</v>
      </c>
      <c r="C4390" s="924" t="s">
        <v>1201</v>
      </c>
      <c r="D4390" s="924" t="s">
        <v>855</v>
      </c>
      <c r="E4390" s="924" t="s">
        <v>856</v>
      </c>
      <c r="F4390" s="924" t="s">
        <v>912</v>
      </c>
      <c r="G4390" s="924" t="s">
        <v>858</v>
      </c>
      <c r="H4390" s="924" t="s">
        <v>836</v>
      </c>
      <c r="I4390" s="924" t="s">
        <v>837</v>
      </c>
      <c r="J4390" s="924" t="s">
        <v>859</v>
      </c>
      <c r="K4390" s="924" t="s">
        <v>913</v>
      </c>
      <c r="L4390" s="925">
        <v>143.139575839043</v>
      </c>
      <c r="M4390" s="925">
        <v>1.5763162328710199E-3</v>
      </c>
    </row>
    <row r="4391" spans="1:13" ht="11.25" customHeight="1" x14ac:dyDescent="0.2">
      <c r="A4391" s="924" t="s">
        <v>853</v>
      </c>
      <c r="B4391" s="924" t="s">
        <v>809</v>
      </c>
      <c r="C4391" s="924" t="s">
        <v>1201</v>
      </c>
      <c r="D4391" s="924" t="s">
        <v>855</v>
      </c>
      <c r="E4391" s="924" t="s">
        <v>856</v>
      </c>
      <c r="F4391" s="924" t="s">
        <v>883</v>
      </c>
      <c r="G4391" s="924" t="s">
        <v>858</v>
      </c>
      <c r="H4391" s="924" t="s">
        <v>836</v>
      </c>
      <c r="I4391" s="924" t="s">
        <v>837</v>
      </c>
      <c r="J4391" s="924" t="s">
        <v>884</v>
      </c>
      <c r="K4391" s="924" t="s">
        <v>885</v>
      </c>
      <c r="L4391" s="925">
        <v>118.161397457123</v>
      </c>
      <c r="M4391" s="925">
        <v>4.5321243297848897E-3</v>
      </c>
    </row>
    <row r="4392" spans="1:13" ht="11.25" customHeight="1" x14ac:dyDescent="0.2">
      <c r="A4392" s="924" t="s">
        <v>853</v>
      </c>
      <c r="B4392" s="924" t="s">
        <v>809</v>
      </c>
      <c r="C4392" s="924" t="s">
        <v>1201</v>
      </c>
      <c r="D4392" s="924" t="s">
        <v>855</v>
      </c>
      <c r="E4392" s="924" t="s">
        <v>856</v>
      </c>
      <c r="F4392" s="924" t="s">
        <v>881</v>
      </c>
      <c r="G4392" s="924" t="s">
        <v>862</v>
      </c>
      <c r="H4392" s="924" t="s">
        <v>665</v>
      </c>
      <c r="I4392" s="924" t="s">
        <v>787</v>
      </c>
      <c r="J4392" s="924" t="s">
        <v>875</v>
      </c>
      <c r="K4392" s="924" t="s">
        <v>882</v>
      </c>
      <c r="L4392" s="925">
        <v>89.064722180366502</v>
      </c>
      <c r="M4392" s="925">
        <v>0.42560631176456798</v>
      </c>
    </row>
    <row r="4393" spans="1:13" ht="11.25" customHeight="1" x14ac:dyDescent="0.2">
      <c r="A4393" s="924" t="s">
        <v>853</v>
      </c>
      <c r="B4393" s="924" t="s">
        <v>809</v>
      </c>
      <c r="C4393" s="924" t="s">
        <v>1201</v>
      </c>
      <c r="D4393" s="924" t="s">
        <v>855</v>
      </c>
      <c r="E4393" s="924" t="s">
        <v>856</v>
      </c>
      <c r="F4393" s="924" t="s">
        <v>879</v>
      </c>
      <c r="G4393" s="924" t="s">
        <v>862</v>
      </c>
      <c r="H4393" s="924" t="s">
        <v>665</v>
      </c>
      <c r="I4393" s="924" t="s">
        <v>787</v>
      </c>
      <c r="J4393" s="924" t="s">
        <v>875</v>
      </c>
      <c r="K4393" s="924" t="s">
        <v>880</v>
      </c>
      <c r="L4393" s="925">
        <v>2.5024824775755401</v>
      </c>
      <c r="M4393" s="925">
        <v>1.4078488137784E-2</v>
      </c>
    </row>
    <row r="4394" spans="1:13" ht="11.25" customHeight="1" x14ac:dyDescent="0.2">
      <c r="A4394" s="924" t="s">
        <v>853</v>
      </c>
      <c r="B4394" s="924" t="s">
        <v>809</v>
      </c>
      <c r="C4394" s="924" t="s">
        <v>1201</v>
      </c>
      <c r="D4394" s="924" t="s">
        <v>855</v>
      </c>
      <c r="E4394" s="924" t="s">
        <v>856</v>
      </c>
      <c r="F4394" s="924" t="s">
        <v>877</v>
      </c>
      <c r="G4394" s="924" t="s">
        <v>862</v>
      </c>
      <c r="H4394" s="924" t="s">
        <v>665</v>
      </c>
      <c r="I4394" s="924" t="s">
        <v>787</v>
      </c>
      <c r="J4394" s="924" t="s">
        <v>875</v>
      </c>
      <c r="K4394" s="924" t="s">
        <v>878</v>
      </c>
      <c r="L4394" s="925">
        <v>1.6966475341469001</v>
      </c>
      <c r="M4394" s="925">
        <v>2.7795673420769201E-2</v>
      </c>
    </row>
    <row r="4395" spans="1:13" ht="11.25" customHeight="1" x14ac:dyDescent="0.2">
      <c r="A4395" s="924" t="s">
        <v>853</v>
      </c>
      <c r="B4395" s="924" t="s">
        <v>809</v>
      </c>
      <c r="C4395" s="924" t="s">
        <v>1201</v>
      </c>
      <c r="D4395" s="924" t="s">
        <v>855</v>
      </c>
      <c r="E4395" s="924" t="s">
        <v>856</v>
      </c>
      <c r="F4395" s="924" t="s">
        <v>867</v>
      </c>
      <c r="G4395" s="924" t="s">
        <v>862</v>
      </c>
      <c r="H4395" s="924" t="s">
        <v>665</v>
      </c>
      <c r="I4395" s="924" t="s">
        <v>787</v>
      </c>
      <c r="J4395" s="924" t="s">
        <v>863</v>
      </c>
      <c r="K4395" s="924" t="s">
        <v>868</v>
      </c>
      <c r="L4395" s="925">
        <v>1.85400966182351</v>
      </c>
      <c r="M4395" s="925">
        <v>7.5855289469473099E-3</v>
      </c>
    </row>
    <row r="4396" spans="1:13" ht="11.25" customHeight="1" x14ac:dyDescent="0.2">
      <c r="A4396" s="924" t="s">
        <v>853</v>
      </c>
      <c r="B4396" s="924" t="s">
        <v>809</v>
      </c>
      <c r="C4396" s="924" t="s">
        <v>1201</v>
      </c>
      <c r="D4396" s="924" t="s">
        <v>855</v>
      </c>
      <c r="E4396" s="924" t="s">
        <v>856</v>
      </c>
      <c r="F4396" s="924" t="s">
        <v>872</v>
      </c>
      <c r="G4396" s="924" t="s">
        <v>862</v>
      </c>
      <c r="H4396" s="924" t="s">
        <v>665</v>
      </c>
      <c r="I4396" s="924" t="s">
        <v>787</v>
      </c>
      <c r="J4396" s="924" t="s">
        <v>870</v>
      </c>
      <c r="K4396" s="924" t="s">
        <v>873</v>
      </c>
      <c r="L4396" s="925">
        <v>7.6660937014967203</v>
      </c>
      <c r="M4396" s="925">
        <v>3.0856131059408699E-2</v>
      </c>
    </row>
    <row r="4397" spans="1:13" ht="11.25" customHeight="1" x14ac:dyDescent="0.2">
      <c r="A4397" s="924" t="s">
        <v>853</v>
      </c>
      <c r="B4397" s="924" t="s">
        <v>809</v>
      </c>
      <c r="C4397" s="924" t="s">
        <v>1201</v>
      </c>
      <c r="D4397" s="924" t="s">
        <v>855</v>
      </c>
      <c r="E4397" s="924" t="s">
        <v>856</v>
      </c>
      <c r="F4397" s="924" t="s">
        <v>888</v>
      </c>
      <c r="G4397" s="924" t="s">
        <v>858</v>
      </c>
      <c r="H4397" s="924" t="s">
        <v>836</v>
      </c>
      <c r="I4397" s="924" t="s">
        <v>837</v>
      </c>
      <c r="J4397" s="924" t="s">
        <v>859</v>
      </c>
      <c r="K4397" s="924" t="s">
        <v>889</v>
      </c>
      <c r="L4397" s="925">
        <v>0.23306737840175601</v>
      </c>
      <c r="M4397" s="925">
        <v>2.57162045450565E-5</v>
      </c>
    </row>
    <row r="4398" spans="1:13" ht="11.25" customHeight="1" x14ac:dyDescent="0.2">
      <c r="A4398" s="924" t="s">
        <v>853</v>
      </c>
      <c r="B4398" s="924" t="s">
        <v>809</v>
      </c>
      <c r="C4398" s="924" t="s">
        <v>1201</v>
      </c>
      <c r="D4398" s="924" t="s">
        <v>855</v>
      </c>
      <c r="E4398" s="924" t="s">
        <v>856</v>
      </c>
      <c r="F4398" s="924" t="s">
        <v>874</v>
      </c>
      <c r="G4398" s="924" t="s">
        <v>862</v>
      </c>
      <c r="H4398" s="924" t="s">
        <v>665</v>
      </c>
      <c r="I4398" s="924" t="s">
        <v>787</v>
      </c>
      <c r="J4398" s="924" t="s">
        <v>875</v>
      </c>
      <c r="K4398" s="924" t="s">
        <v>876</v>
      </c>
      <c r="L4398" s="925">
        <v>35.469417631626101</v>
      </c>
      <c r="M4398" s="925">
        <v>1.0789312620181599</v>
      </c>
    </row>
    <row r="4399" spans="1:13" ht="11.25" customHeight="1" x14ac:dyDescent="0.2">
      <c r="A4399" s="924" t="s">
        <v>853</v>
      </c>
      <c r="B4399" s="924" t="s">
        <v>809</v>
      </c>
      <c r="C4399" s="924" t="s">
        <v>1201</v>
      </c>
      <c r="D4399" s="924" t="s">
        <v>855</v>
      </c>
      <c r="E4399" s="924" t="s">
        <v>856</v>
      </c>
      <c r="F4399" s="924" t="s">
        <v>857</v>
      </c>
      <c r="G4399" s="924" t="s">
        <v>858</v>
      </c>
      <c r="H4399" s="924" t="s">
        <v>836</v>
      </c>
      <c r="I4399" s="924" t="s">
        <v>837</v>
      </c>
      <c r="J4399" s="924" t="s">
        <v>859</v>
      </c>
      <c r="K4399" s="924" t="s">
        <v>860</v>
      </c>
      <c r="L4399" s="925">
        <v>3.8397372849285598</v>
      </c>
      <c r="M4399" s="925">
        <v>3.5337642376553902E-4</v>
      </c>
    </row>
    <row r="4400" spans="1:13" ht="11.25" customHeight="1" x14ac:dyDescent="0.2">
      <c r="A4400" s="924" t="s">
        <v>853</v>
      </c>
      <c r="B4400" s="924" t="s">
        <v>809</v>
      </c>
      <c r="C4400" s="924" t="s">
        <v>1201</v>
      </c>
      <c r="D4400" s="924" t="s">
        <v>855</v>
      </c>
      <c r="E4400" s="924" t="s">
        <v>856</v>
      </c>
      <c r="F4400" s="924" t="s">
        <v>892</v>
      </c>
      <c r="G4400" s="924" t="s">
        <v>858</v>
      </c>
      <c r="H4400" s="924" t="s">
        <v>836</v>
      </c>
      <c r="I4400" s="924" t="s">
        <v>837</v>
      </c>
      <c r="J4400" s="924" t="s">
        <v>859</v>
      </c>
      <c r="K4400" s="924" t="s">
        <v>893</v>
      </c>
      <c r="L4400" s="925">
        <v>358.32245826721203</v>
      </c>
      <c r="M4400" s="925">
        <v>4.5327118439786301E-3</v>
      </c>
    </row>
    <row r="4401" spans="1:13" ht="11.25" customHeight="1" x14ac:dyDescent="0.2">
      <c r="A4401" s="924" t="s">
        <v>853</v>
      </c>
      <c r="B4401" s="924" t="s">
        <v>809</v>
      </c>
      <c r="C4401" s="924" t="s">
        <v>1201</v>
      </c>
      <c r="D4401" s="924" t="s">
        <v>855</v>
      </c>
      <c r="E4401" s="924" t="s">
        <v>856</v>
      </c>
      <c r="F4401" s="924" t="s">
        <v>894</v>
      </c>
      <c r="G4401" s="924" t="s">
        <v>858</v>
      </c>
      <c r="H4401" s="924" t="s">
        <v>836</v>
      </c>
      <c r="I4401" s="924" t="s">
        <v>837</v>
      </c>
      <c r="J4401" s="924" t="s">
        <v>859</v>
      </c>
      <c r="K4401" s="924" t="s">
        <v>895</v>
      </c>
      <c r="L4401" s="925">
        <v>389.86613178253202</v>
      </c>
      <c r="M4401" s="925">
        <v>2.5824501085480699E-3</v>
      </c>
    </row>
    <row r="4402" spans="1:13" ht="11.25" customHeight="1" x14ac:dyDescent="0.2">
      <c r="A4402" s="924" t="s">
        <v>853</v>
      </c>
      <c r="B4402" s="924" t="s">
        <v>809</v>
      </c>
      <c r="C4402" s="924" t="s">
        <v>1201</v>
      </c>
      <c r="D4402" s="924" t="s">
        <v>855</v>
      </c>
      <c r="E4402" s="924" t="s">
        <v>856</v>
      </c>
      <c r="F4402" s="924" t="s">
        <v>896</v>
      </c>
      <c r="G4402" s="924" t="s">
        <v>858</v>
      </c>
      <c r="H4402" s="924" t="s">
        <v>836</v>
      </c>
      <c r="I4402" s="924" t="s">
        <v>837</v>
      </c>
      <c r="J4402" s="924" t="s">
        <v>859</v>
      </c>
      <c r="K4402" s="924" t="s">
        <v>897</v>
      </c>
      <c r="L4402" s="925">
        <v>21.498467057943301</v>
      </c>
      <c r="M4402" s="925">
        <v>3.4814225510260101E-4</v>
      </c>
    </row>
    <row r="4403" spans="1:13" ht="11.25" customHeight="1" x14ac:dyDescent="0.2">
      <c r="A4403" s="924" t="s">
        <v>853</v>
      </c>
      <c r="B4403" s="924" t="s">
        <v>809</v>
      </c>
      <c r="C4403" s="924" t="s">
        <v>1201</v>
      </c>
      <c r="D4403" s="924" t="s">
        <v>855</v>
      </c>
      <c r="E4403" s="924" t="s">
        <v>856</v>
      </c>
      <c r="F4403" s="924" t="s">
        <v>898</v>
      </c>
      <c r="G4403" s="924" t="s">
        <v>858</v>
      </c>
      <c r="H4403" s="924" t="s">
        <v>836</v>
      </c>
      <c r="I4403" s="924" t="s">
        <v>837</v>
      </c>
      <c r="J4403" s="924" t="s">
        <v>859</v>
      </c>
      <c r="K4403" s="924" t="s">
        <v>899</v>
      </c>
      <c r="L4403" s="925">
        <v>13.1757462024689</v>
      </c>
      <c r="M4403" s="925">
        <v>2.29179272647428E-4</v>
      </c>
    </row>
    <row r="4404" spans="1:13" ht="11.25" customHeight="1" x14ac:dyDescent="0.2">
      <c r="A4404" s="924" t="s">
        <v>853</v>
      </c>
      <c r="B4404" s="924" t="s">
        <v>809</v>
      </c>
      <c r="C4404" s="924" t="s">
        <v>1201</v>
      </c>
      <c r="D4404" s="924" t="s">
        <v>855</v>
      </c>
      <c r="E4404" s="924" t="s">
        <v>856</v>
      </c>
      <c r="F4404" s="924" t="s">
        <v>900</v>
      </c>
      <c r="G4404" s="924" t="s">
        <v>858</v>
      </c>
      <c r="H4404" s="924" t="s">
        <v>836</v>
      </c>
      <c r="I4404" s="924" t="s">
        <v>837</v>
      </c>
      <c r="J4404" s="924" t="s">
        <v>859</v>
      </c>
      <c r="K4404" s="924" t="s">
        <v>901</v>
      </c>
      <c r="L4404" s="925">
        <v>39.573747485876098</v>
      </c>
      <c r="M4404" s="925">
        <v>1.7247196310847799E-3</v>
      </c>
    </row>
    <row r="4405" spans="1:13" ht="11.25" customHeight="1" x14ac:dyDescent="0.2">
      <c r="A4405" s="924" t="s">
        <v>853</v>
      </c>
      <c r="B4405" s="924" t="s">
        <v>809</v>
      </c>
      <c r="C4405" s="924" t="s">
        <v>1201</v>
      </c>
      <c r="D4405" s="924" t="s">
        <v>855</v>
      </c>
      <c r="E4405" s="924" t="s">
        <v>856</v>
      </c>
      <c r="F4405" s="924" t="s">
        <v>902</v>
      </c>
      <c r="G4405" s="924" t="s">
        <v>858</v>
      </c>
      <c r="H4405" s="924" t="s">
        <v>836</v>
      </c>
      <c r="I4405" s="924" t="s">
        <v>837</v>
      </c>
      <c r="J4405" s="924" t="s">
        <v>859</v>
      </c>
      <c r="K4405" s="924" t="s">
        <v>903</v>
      </c>
      <c r="L4405" s="925">
        <v>169.93516087532001</v>
      </c>
      <c r="M4405" s="925">
        <v>2.95412106657977E-3</v>
      </c>
    </row>
    <row r="4406" spans="1:13" ht="11.25" customHeight="1" x14ac:dyDescent="0.2">
      <c r="A4406" s="924" t="s">
        <v>853</v>
      </c>
      <c r="B4406" s="924" t="s">
        <v>809</v>
      </c>
      <c r="C4406" s="924" t="s">
        <v>1201</v>
      </c>
      <c r="D4406" s="924" t="s">
        <v>855</v>
      </c>
      <c r="E4406" s="924" t="s">
        <v>856</v>
      </c>
      <c r="F4406" s="924" t="s">
        <v>904</v>
      </c>
      <c r="G4406" s="924" t="s">
        <v>858</v>
      </c>
      <c r="H4406" s="924" t="s">
        <v>836</v>
      </c>
      <c r="I4406" s="924" t="s">
        <v>837</v>
      </c>
      <c r="J4406" s="924" t="s">
        <v>859</v>
      </c>
      <c r="K4406" s="924" t="s">
        <v>905</v>
      </c>
      <c r="L4406" s="925">
        <v>147.13649928569799</v>
      </c>
      <c r="M4406" s="925">
        <v>2.78741881072619E-3</v>
      </c>
    </row>
    <row r="4407" spans="1:13" ht="11.25" customHeight="1" x14ac:dyDescent="0.2">
      <c r="A4407" s="924" t="s">
        <v>853</v>
      </c>
      <c r="B4407" s="924" t="s">
        <v>809</v>
      </c>
      <c r="C4407" s="924" t="s">
        <v>1201</v>
      </c>
      <c r="D4407" s="924" t="s">
        <v>855</v>
      </c>
      <c r="E4407" s="924" t="s">
        <v>856</v>
      </c>
      <c r="F4407" s="924" t="s">
        <v>906</v>
      </c>
      <c r="G4407" s="924" t="s">
        <v>858</v>
      </c>
      <c r="H4407" s="924" t="s">
        <v>836</v>
      </c>
      <c r="I4407" s="924" t="s">
        <v>837</v>
      </c>
      <c r="J4407" s="924" t="s">
        <v>859</v>
      </c>
      <c r="K4407" s="924" t="s">
        <v>907</v>
      </c>
      <c r="L4407" s="925">
        <v>1452.0879802703901</v>
      </c>
      <c r="M4407" s="925">
        <v>9.6672313803765099E-3</v>
      </c>
    </row>
    <row r="4408" spans="1:13" ht="11.25" customHeight="1" x14ac:dyDescent="0.2">
      <c r="A4408" s="924" t="s">
        <v>853</v>
      </c>
      <c r="B4408" s="924" t="s">
        <v>809</v>
      </c>
      <c r="C4408" s="924" t="s">
        <v>1201</v>
      </c>
      <c r="D4408" s="924" t="s">
        <v>855</v>
      </c>
      <c r="E4408" s="924" t="s">
        <v>856</v>
      </c>
      <c r="F4408" s="924" t="s">
        <v>908</v>
      </c>
      <c r="G4408" s="924" t="s">
        <v>858</v>
      </c>
      <c r="H4408" s="924" t="s">
        <v>836</v>
      </c>
      <c r="I4408" s="924" t="s">
        <v>837</v>
      </c>
      <c r="J4408" s="924" t="s">
        <v>859</v>
      </c>
      <c r="K4408" s="924" t="s">
        <v>909</v>
      </c>
      <c r="L4408" s="925">
        <v>12.080794036388401</v>
      </c>
      <c r="M4408" s="925">
        <v>2.52855555839204E-4</v>
      </c>
    </row>
    <row r="4409" spans="1:13" ht="11.25" customHeight="1" x14ac:dyDescent="0.2">
      <c r="A4409" s="924" t="s">
        <v>853</v>
      </c>
      <c r="B4409" s="924" t="s">
        <v>809</v>
      </c>
      <c r="C4409" s="924" t="s">
        <v>1201</v>
      </c>
      <c r="D4409" s="924" t="s">
        <v>855</v>
      </c>
      <c r="E4409" s="924" t="s">
        <v>856</v>
      </c>
      <c r="F4409" s="924" t="s">
        <v>972</v>
      </c>
      <c r="G4409" s="924" t="s">
        <v>858</v>
      </c>
      <c r="H4409" s="924" t="s">
        <v>836</v>
      </c>
      <c r="I4409" s="924" t="s">
        <v>837</v>
      </c>
      <c r="J4409" s="924" t="s">
        <v>859</v>
      </c>
      <c r="K4409" s="924" t="s">
        <v>973</v>
      </c>
      <c r="L4409" s="925">
        <v>5.7438442036509496</v>
      </c>
      <c r="M4409" s="925">
        <v>1.46320743212414E-4</v>
      </c>
    </row>
    <row r="4410" spans="1:13" ht="11.25" customHeight="1" x14ac:dyDescent="0.2">
      <c r="A4410" s="924" t="s">
        <v>853</v>
      </c>
      <c r="B4410" s="924" t="s">
        <v>809</v>
      </c>
      <c r="C4410" s="924" t="s">
        <v>1201</v>
      </c>
      <c r="D4410" s="924" t="s">
        <v>855</v>
      </c>
      <c r="E4410" s="924" t="s">
        <v>856</v>
      </c>
      <c r="F4410" s="924" t="s">
        <v>886</v>
      </c>
      <c r="G4410" s="924" t="s">
        <v>858</v>
      </c>
      <c r="H4410" s="924" t="s">
        <v>836</v>
      </c>
      <c r="I4410" s="924" t="s">
        <v>837</v>
      </c>
      <c r="J4410" s="924" t="s">
        <v>859</v>
      </c>
      <c r="K4410" s="924" t="s">
        <v>887</v>
      </c>
      <c r="L4410" s="925">
        <v>361.29048252105702</v>
      </c>
      <c r="M4410" s="925">
        <v>2.6738928520444499E-3</v>
      </c>
    </row>
    <row r="4411" spans="1:13" ht="11.25" customHeight="1" x14ac:dyDescent="0.2">
      <c r="A4411" s="924" t="s">
        <v>853</v>
      </c>
      <c r="B4411" s="924" t="s">
        <v>809</v>
      </c>
      <c r="C4411" s="924" t="s">
        <v>1201</v>
      </c>
      <c r="D4411" s="924" t="s">
        <v>855</v>
      </c>
      <c r="E4411" s="924" t="s">
        <v>856</v>
      </c>
      <c r="F4411" s="924" t="s">
        <v>1037</v>
      </c>
      <c r="G4411" s="924" t="s">
        <v>858</v>
      </c>
      <c r="H4411" s="924" t="s">
        <v>836</v>
      </c>
      <c r="I4411" s="924" t="s">
        <v>837</v>
      </c>
      <c r="J4411" s="924" t="s">
        <v>859</v>
      </c>
      <c r="K4411" s="924" t="s">
        <v>918</v>
      </c>
      <c r="L4411" s="925">
        <v>331.98834609985403</v>
      </c>
      <c r="M4411" s="925">
        <v>3.2129289845670402E-3</v>
      </c>
    </row>
    <row r="4412" spans="1:13" ht="11.25" customHeight="1" x14ac:dyDescent="0.2">
      <c r="A4412" s="924" t="s">
        <v>853</v>
      </c>
      <c r="B4412" s="924" t="s">
        <v>809</v>
      </c>
      <c r="C4412" s="924" t="s">
        <v>1201</v>
      </c>
      <c r="D4412" s="924" t="s">
        <v>855</v>
      </c>
      <c r="E4412" s="924" t="s">
        <v>856</v>
      </c>
      <c r="F4412" s="924" t="s">
        <v>942</v>
      </c>
      <c r="G4412" s="924" t="s">
        <v>911</v>
      </c>
      <c r="H4412" s="924" t="s">
        <v>665</v>
      </c>
      <c r="I4412" s="924" t="s">
        <v>706</v>
      </c>
      <c r="J4412" s="924" t="s">
        <v>870</v>
      </c>
      <c r="K4412" s="924" t="s">
        <v>871</v>
      </c>
      <c r="L4412" s="925">
        <v>3.7025439261924503E-2</v>
      </c>
      <c r="M4412" s="925">
        <v>2.31078761050441E-5</v>
      </c>
    </row>
    <row r="4413" spans="1:13" ht="11.25" customHeight="1" x14ac:dyDescent="0.2">
      <c r="A4413" s="924" t="s">
        <v>853</v>
      </c>
      <c r="B4413" s="924" t="s">
        <v>809</v>
      </c>
      <c r="C4413" s="924" t="s">
        <v>1201</v>
      </c>
      <c r="D4413" s="924" t="s">
        <v>855</v>
      </c>
      <c r="E4413" s="924" t="s">
        <v>856</v>
      </c>
      <c r="F4413" s="924" t="s">
        <v>921</v>
      </c>
      <c r="G4413" s="924" t="s">
        <v>911</v>
      </c>
      <c r="H4413" s="924" t="s">
        <v>665</v>
      </c>
      <c r="I4413" s="924" t="s">
        <v>706</v>
      </c>
      <c r="J4413" s="924" t="s">
        <v>859</v>
      </c>
      <c r="K4413" s="924" t="s">
        <v>922</v>
      </c>
      <c r="L4413" s="925">
        <v>2.32675177045166</v>
      </c>
      <c r="M4413" s="925">
        <v>3.1077296824833E-4</v>
      </c>
    </row>
    <row r="4414" spans="1:13" ht="11.25" customHeight="1" x14ac:dyDescent="0.2">
      <c r="A4414" s="924" t="s">
        <v>853</v>
      </c>
      <c r="B4414" s="924" t="s">
        <v>809</v>
      </c>
      <c r="C4414" s="924" t="s">
        <v>1201</v>
      </c>
      <c r="D4414" s="924" t="s">
        <v>855</v>
      </c>
      <c r="E4414" s="924" t="s">
        <v>856</v>
      </c>
      <c r="F4414" s="924" t="s">
        <v>1015</v>
      </c>
      <c r="G4414" s="924" t="s">
        <v>858</v>
      </c>
      <c r="H4414" s="924" t="s">
        <v>836</v>
      </c>
      <c r="I4414" s="924" t="s">
        <v>837</v>
      </c>
      <c r="J4414" s="924" t="s">
        <v>870</v>
      </c>
      <c r="K4414" s="924" t="s">
        <v>1016</v>
      </c>
      <c r="L4414" s="925">
        <v>1.5557292047888001</v>
      </c>
      <c r="M4414" s="925">
        <v>1.89017238516609E-5</v>
      </c>
    </row>
    <row r="4415" spans="1:13" ht="11.25" customHeight="1" x14ac:dyDescent="0.2">
      <c r="A4415" s="924" t="s">
        <v>853</v>
      </c>
      <c r="B4415" s="924" t="s">
        <v>809</v>
      </c>
      <c r="C4415" s="924" t="s">
        <v>1201</v>
      </c>
      <c r="D4415" s="924" t="s">
        <v>855</v>
      </c>
      <c r="E4415" s="924" t="s">
        <v>856</v>
      </c>
      <c r="F4415" s="924" t="s">
        <v>923</v>
      </c>
      <c r="G4415" s="924" t="s">
        <v>911</v>
      </c>
      <c r="H4415" s="924" t="s">
        <v>665</v>
      </c>
      <c r="I4415" s="924" t="s">
        <v>706</v>
      </c>
      <c r="J4415" s="924" t="s">
        <v>859</v>
      </c>
      <c r="K4415" s="924" t="s">
        <v>924</v>
      </c>
      <c r="L4415" s="925">
        <v>5.7127655595541</v>
      </c>
      <c r="M4415" s="925">
        <v>3.0286854121186501E-4</v>
      </c>
    </row>
    <row r="4416" spans="1:13" ht="11.25" customHeight="1" x14ac:dyDescent="0.2">
      <c r="A4416" s="924" t="s">
        <v>853</v>
      </c>
      <c r="B4416" s="924" t="s">
        <v>809</v>
      </c>
      <c r="C4416" s="924" t="s">
        <v>1201</v>
      </c>
      <c r="D4416" s="924" t="s">
        <v>855</v>
      </c>
      <c r="E4416" s="924" t="s">
        <v>856</v>
      </c>
      <c r="F4416" s="924" t="s">
        <v>1071</v>
      </c>
      <c r="G4416" s="924" t="s">
        <v>858</v>
      </c>
      <c r="H4416" s="924" t="s">
        <v>836</v>
      </c>
      <c r="I4416" s="924" t="s">
        <v>837</v>
      </c>
      <c r="J4416" s="924" t="s">
        <v>859</v>
      </c>
      <c r="K4416" s="924" t="s">
        <v>1072</v>
      </c>
      <c r="L4416" s="925">
        <v>1242.7488594055201</v>
      </c>
      <c r="M4416" s="925">
        <v>1.10526366619297E-2</v>
      </c>
    </row>
    <row r="4417" spans="1:13" ht="11.25" customHeight="1" x14ac:dyDescent="0.2">
      <c r="A4417" s="924" t="s">
        <v>853</v>
      </c>
      <c r="B4417" s="924" t="s">
        <v>809</v>
      </c>
      <c r="C4417" s="924" t="s">
        <v>1201</v>
      </c>
      <c r="D4417" s="924" t="s">
        <v>855</v>
      </c>
      <c r="E4417" s="924" t="s">
        <v>856</v>
      </c>
      <c r="F4417" s="924" t="s">
        <v>927</v>
      </c>
      <c r="G4417" s="924" t="s">
        <v>911</v>
      </c>
      <c r="H4417" s="924" t="s">
        <v>665</v>
      </c>
      <c r="I4417" s="924" t="s">
        <v>706</v>
      </c>
      <c r="J4417" s="924" t="s">
        <v>859</v>
      </c>
      <c r="K4417" s="924" t="s">
        <v>928</v>
      </c>
      <c r="L4417" s="925">
        <v>4.9096712321042997</v>
      </c>
      <c r="M4417" s="925">
        <v>1.45610309482436E-3</v>
      </c>
    </row>
    <row r="4418" spans="1:13" ht="11.25" customHeight="1" x14ac:dyDescent="0.2">
      <c r="A4418" s="924" t="s">
        <v>853</v>
      </c>
      <c r="B4418" s="924" t="s">
        <v>809</v>
      </c>
      <c r="C4418" s="924" t="s">
        <v>1201</v>
      </c>
      <c r="D4418" s="924" t="s">
        <v>855</v>
      </c>
      <c r="E4418" s="924" t="s">
        <v>856</v>
      </c>
      <c r="F4418" s="924" t="s">
        <v>929</v>
      </c>
      <c r="G4418" s="924" t="s">
        <v>911</v>
      </c>
      <c r="H4418" s="924" t="s">
        <v>665</v>
      </c>
      <c r="I4418" s="924" t="s">
        <v>706</v>
      </c>
      <c r="J4418" s="924" t="s">
        <v>859</v>
      </c>
      <c r="K4418" s="924" t="s">
        <v>891</v>
      </c>
      <c r="L4418" s="925">
        <v>2.0213150437921299</v>
      </c>
      <c r="M4418" s="925">
        <v>8.0987822661882103E-4</v>
      </c>
    </row>
    <row r="4419" spans="1:13" ht="11.25" customHeight="1" x14ac:dyDescent="0.2">
      <c r="A4419" s="924" t="s">
        <v>853</v>
      </c>
      <c r="B4419" s="924" t="s">
        <v>809</v>
      </c>
      <c r="C4419" s="924" t="s">
        <v>1201</v>
      </c>
      <c r="D4419" s="924" t="s">
        <v>855</v>
      </c>
      <c r="E4419" s="924" t="s">
        <v>856</v>
      </c>
      <c r="F4419" s="924" t="s">
        <v>930</v>
      </c>
      <c r="G4419" s="924" t="s">
        <v>911</v>
      </c>
      <c r="H4419" s="924" t="s">
        <v>665</v>
      </c>
      <c r="I4419" s="924" t="s">
        <v>706</v>
      </c>
      <c r="J4419" s="924" t="s">
        <v>863</v>
      </c>
      <c r="K4419" s="924" t="s">
        <v>931</v>
      </c>
      <c r="L4419" s="925">
        <v>52.3478555679321</v>
      </c>
      <c r="M4419" s="925">
        <v>1.0668103395801201E-2</v>
      </c>
    </row>
    <row r="4420" spans="1:13" ht="11.25" customHeight="1" x14ac:dyDescent="0.2">
      <c r="A4420" s="924" t="s">
        <v>853</v>
      </c>
      <c r="B4420" s="924" t="s">
        <v>809</v>
      </c>
      <c r="C4420" s="924" t="s">
        <v>1201</v>
      </c>
      <c r="D4420" s="924" t="s">
        <v>855</v>
      </c>
      <c r="E4420" s="924" t="s">
        <v>856</v>
      </c>
      <c r="F4420" s="924" t="s">
        <v>932</v>
      </c>
      <c r="G4420" s="924" t="s">
        <v>911</v>
      </c>
      <c r="H4420" s="924" t="s">
        <v>665</v>
      </c>
      <c r="I4420" s="924" t="s">
        <v>706</v>
      </c>
      <c r="J4420" s="924" t="s">
        <v>863</v>
      </c>
      <c r="K4420" s="924" t="s">
        <v>933</v>
      </c>
      <c r="L4420" s="925">
        <v>4870.01124572754</v>
      </c>
      <c r="M4420" s="925">
        <v>0.23536140075884801</v>
      </c>
    </row>
    <row r="4421" spans="1:13" ht="11.25" customHeight="1" x14ac:dyDescent="0.2">
      <c r="A4421" s="924" t="s">
        <v>853</v>
      </c>
      <c r="B4421" s="924" t="s">
        <v>809</v>
      </c>
      <c r="C4421" s="924" t="s">
        <v>1201</v>
      </c>
      <c r="D4421" s="924" t="s">
        <v>855</v>
      </c>
      <c r="E4421" s="924" t="s">
        <v>856</v>
      </c>
      <c r="F4421" s="924" t="s">
        <v>954</v>
      </c>
      <c r="G4421" s="924" t="s">
        <v>911</v>
      </c>
      <c r="H4421" s="924" t="s">
        <v>665</v>
      </c>
      <c r="I4421" s="924" t="s">
        <v>706</v>
      </c>
      <c r="J4421" s="924" t="s">
        <v>863</v>
      </c>
      <c r="K4421" s="924" t="s">
        <v>935</v>
      </c>
      <c r="L4421" s="925">
        <v>36.337137222290004</v>
      </c>
      <c r="M4421" s="925">
        <v>1.7156746816908699E-3</v>
      </c>
    </row>
    <row r="4422" spans="1:13" ht="11.25" customHeight="1" x14ac:dyDescent="0.2">
      <c r="A4422" s="924" t="s">
        <v>853</v>
      </c>
      <c r="B4422" s="924" t="s">
        <v>809</v>
      </c>
      <c r="C4422" s="924" t="s">
        <v>1201</v>
      </c>
      <c r="D4422" s="924" t="s">
        <v>855</v>
      </c>
      <c r="E4422" s="924" t="s">
        <v>856</v>
      </c>
      <c r="F4422" s="924" t="s">
        <v>936</v>
      </c>
      <c r="G4422" s="924" t="s">
        <v>911</v>
      </c>
      <c r="H4422" s="924" t="s">
        <v>665</v>
      </c>
      <c r="I4422" s="924" t="s">
        <v>706</v>
      </c>
      <c r="J4422" s="924" t="s">
        <v>863</v>
      </c>
      <c r="K4422" s="924" t="s">
        <v>864</v>
      </c>
      <c r="L4422" s="925">
        <v>11.461524799466099</v>
      </c>
      <c r="M4422" s="925">
        <v>5.3347053335528504E-4</v>
      </c>
    </row>
    <row r="4423" spans="1:13" ht="11.25" customHeight="1" x14ac:dyDescent="0.2">
      <c r="A4423" s="924" t="s">
        <v>853</v>
      </c>
      <c r="B4423" s="924" t="s">
        <v>809</v>
      </c>
      <c r="C4423" s="924" t="s">
        <v>1201</v>
      </c>
      <c r="D4423" s="924" t="s">
        <v>855</v>
      </c>
      <c r="E4423" s="924" t="s">
        <v>856</v>
      </c>
      <c r="F4423" s="924" t="s">
        <v>914</v>
      </c>
      <c r="G4423" s="924" t="s">
        <v>911</v>
      </c>
      <c r="H4423" s="924" t="s">
        <v>665</v>
      </c>
      <c r="I4423" s="924" t="s">
        <v>706</v>
      </c>
      <c r="J4423" s="924" t="s">
        <v>863</v>
      </c>
      <c r="K4423" s="924" t="s">
        <v>915</v>
      </c>
      <c r="L4423" s="925">
        <v>2.7800718881189801</v>
      </c>
      <c r="M4423" s="925">
        <v>3.9668224314937101E-4</v>
      </c>
    </row>
    <row r="4424" spans="1:13" ht="11.25" customHeight="1" x14ac:dyDescent="0.2">
      <c r="A4424" s="924" t="s">
        <v>853</v>
      </c>
      <c r="B4424" s="924" t="s">
        <v>809</v>
      </c>
      <c r="C4424" s="924" t="s">
        <v>1201</v>
      </c>
      <c r="D4424" s="924" t="s">
        <v>855</v>
      </c>
      <c r="E4424" s="924" t="s">
        <v>856</v>
      </c>
      <c r="F4424" s="924" t="s">
        <v>925</v>
      </c>
      <c r="G4424" s="924" t="s">
        <v>911</v>
      </c>
      <c r="H4424" s="924" t="s">
        <v>665</v>
      </c>
      <c r="I4424" s="924" t="s">
        <v>706</v>
      </c>
      <c r="J4424" s="924" t="s">
        <v>859</v>
      </c>
      <c r="K4424" s="924" t="s">
        <v>926</v>
      </c>
      <c r="L4424" s="925">
        <v>0.60383995436131999</v>
      </c>
      <c r="M4424" s="925">
        <v>2.7837963074262E-5</v>
      </c>
    </row>
    <row r="4425" spans="1:13" ht="11.25" customHeight="1" x14ac:dyDescent="0.2">
      <c r="A4425" s="924" t="s">
        <v>853</v>
      </c>
      <c r="B4425" s="924" t="s">
        <v>809</v>
      </c>
      <c r="C4425" s="924" t="s">
        <v>1201</v>
      </c>
      <c r="D4425" s="924" t="s">
        <v>855</v>
      </c>
      <c r="E4425" s="924" t="s">
        <v>856</v>
      </c>
      <c r="F4425" s="924" t="s">
        <v>939</v>
      </c>
      <c r="G4425" s="924" t="s">
        <v>911</v>
      </c>
      <c r="H4425" s="924" t="s">
        <v>665</v>
      </c>
      <c r="I4425" s="924" t="s">
        <v>706</v>
      </c>
      <c r="J4425" s="924" t="s">
        <v>940</v>
      </c>
      <c r="K4425" s="924" t="s">
        <v>941</v>
      </c>
      <c r="L4425" s="925">
        <v>33.465252533555002</v>
      </c>
      <c r="M4425" s="925">
        <v>1.6100455832202001E-3</v>
      </c>
    </row>
    <row r="4426" spans="1:13" ht="11.25" customHeight="1" x14ac:dyDescent="0.2">
      <c r="A4426" s="924" t="s">
        <v>853</v>
      </c>
      <c r="B4426" s="924" t="s">
        <v>809</v>
      </c>
      <c r="C4426" s="924" t="s">
        <v>1201</v>
      </c>
      <c r="D4426" s="924" t="s">
        <v>855</v>
      </c>
      <c r="E4426" s="924" t="s">
        <v>856</v>
      </c>
      <c r="F4426" s="924" t="s">
        <v>865</v>
      </c>
      <c r="G4426" s="924" t="s">
        <v>862</v>
      </c>
      <c r="H4426" s="924" t="s">
        <v>665</v>
      </c>
      <c r="I4426" s="924" t="s">
        <v>787</v>
      </c>
      <c r="J4426" s="924" t="s">
        <v>863</v>
      </c>
      <c r="K4426" s="924" t="s">
        <v>866</v>
      </c>
      <c r="L4426" s="925">
        <v>0.66506648063659701</v>
      </c>
      <c r="M4426" s="925">
        <v>3.2086668138617798E-3</v>
      </c>
    </row>
    <row r="4427" spans="1:13" ht="11.25" customHeight="1" x14ac:dyDescent="0.2">
      <c r="A4427" s="924" t="s">
        <v>853</v>
      </c>
      <c r="B4427" s="924" t="s">
        <v>809</v>
      </c>
      <c r="C4427" s="924" t="s">
        <v>1201</v>
      </c>
      <c r="D4427" s="924" t="s">
        <v>855</v>
      </c>
      <c r="E4427" s="924" t="s">
        <v>856</v>
      </c>
      <c r="F4427" s="924" t="s">
        <v>943</v>
      </c>
      <c r="G4427" s="924" t="s">
        <v>911</v>
      </c>
      <c r="H4427" s="924" t="s">
        <v>665</v>
      </c>
      <c r="I4427" s="924" t="s">
        <v>706</v>
      </c>
      <c r="J4427" s="924" t="s">
        <v>870</v>
      </c>
      <c r="K4427" s="924" t="s">
        <v>873</v>
      </c>
      <c r="L4427" s="925">
        <v>7.5259671197272796E-2</v>
      </c>
      <c r="M4427" s="925">
        <v>3.4176035139665798E-6</v>
      </c>
    </row>
    <row r="4428" spans="1:13" ht="11.25" customHeight="1" x14ac:dyDescent="0.2">
      <c r="A4428" s="924" t="s">
        <v>853</v>
      </c>
      <c r="B4428" s="924" t="s">
        <v>809</v>
      </c>
      <c r="C4428" s="924" t="s">
        <v>1201</v>
      </c>
      <c r="D4428" s="924" t="s">
        <v>855</v>
      </c>
      <c r="E4428" s="924" t="s">
        <v>856</v>
      </c>
      <c r="F4428" s="924" t="s">
        <v>944</v>
      </c>
      <c r="G4428" s="924" t="s">
        <v>911</v>
      </c>
      <c r="H4428" s="924" t="s">
        <v>665</v>
      </c>
      <c r="I4428" s="924" t="s">
        <v>706</v>
      </c>
      <c r="J4428" s="924" t="s">
        <v>875</v>
      </c>
      <c r="K4428" s="924" t="s">
        <v>876</v>
      </c>
      <c r="L4428" s="925">
        <v>116.029886007309</v>
      </c>
      <c r="M4428" s="925">
        <v>3.6684622478787801E-2</v>
      </c>
    </row>
    <row r="4429" spans="1:13" ht="11.25" customHeight="1" x14ac:dyDescent="0.2">
      <c r="A4429" s="924" t="s">
        <v>853</v>
      </c>
      <c r="B4429" s="924" t="s">
        <v>809</v>
      </c>
      <c r="C4429" s="924" t="s">
        <v>1201</v>
      </c>
      <c r="D4429" s="924" t="s">
        <v>855</v>
      </c>
      <c r="E4429" s="924" t="s">
        <v>856</v>
      </c>
      <c r="F4429" s="924" t="s">
        <v>945</v>
      </c>
      <c r="G4429" s="924" t="s">
        <v>911</v>
      </c>
      <c r="H4429" s="924" t="s">
        <v>665</v>
      </c>
      <c r="I4429" s="924" t="s">
        <v>706</v>
      </c>
      <c r="J4429" s="924" t="s">
        <v>875</v>
      </c>
      <c r="K4429" s="924" t="s">
        <v>878</v>
      </c>
      <c r="L4429" s="925">
        <v>25.622045636177099</v>
      </c>
      <c r="M4429" s="925">
        <v>3.7905234466961701E-3</v>
      </c>
    </row>
    <row r="4430" spans="1:13" ht="11.25" customHeight="1" x14ac:dyDescent="0.2">
      <c r="A4430" s="924" t="s">
        <v>853</v>
      </c>
      <c r="B4430" s="924" t="s">
        <v>809</v>
      </c>
      <c r="C4430" s="924" t="s">
        <v>1201</v>
      </c>
      <c r="D4430" s="924" t="s">
        <v>855</v>
      </c>
      <c r="E4430" s="924" t="s">
        <v>856</v>
      </c>
      <c r="F4430" s="924" t="s">
        <v>946</v>
      </c>
      <c r="G4430" s="924" t="s">
        <v>911</v>
      </c>
      <c r="H4430" s="924" t="s">
        <v>665</v>
      </c>
      <c r="I4430" s="924" t="s">
        <v>706</v>
      </c>
      <c r="J4430" s="924" t="s">
        <v>875</v>
      </c>
      <c r="K4430" s="924" t="s">
        <v>880</v>
      </c>
      <c r="L4430" s="925">
        <v>30.289001166820501</v>
      </c>
      <c r="M4430" s="925">
        <v>1.9277377886055499E-3</v>
      </c>
    </row>
    <row r="4431" spans="1:13" ht="11.25" customHeight="1" x14ac:dyDescent="0.2">
      <c r="A4431" s="924" t="s">
        <v>853</v>
      </c>
      <c r="B4431" s="924" t="s">
        <v>809</v>
      </c>
      <c r="C4431" s="924" t="s">
        <v>1201</v>
      </c>
      <c r="D4431" s="924" t="s">
        <v>855</v>
      </c>
      <c r="E4431" s="924" t="s">
        <v>856</v>
      </c>
      <c r="F4431" s="924" t="s">
        <v>947</v>
      </c>
      <c r="G4431" s="924" t="s">
        <v>911</v>
      </c>
      <c r="H4431" s="924" t="s">
        <v>665</v>
      </c>
      <c r="I4431" s="924" t="s">
        <v>706</v>
      </c>
      <c r="J4431" s="924" t="s">
        <v>875</v>
      </c>
      <c r="K4431" s="924" t="s">
        <v>948</v>
      </c>
      <c r="L4431" s="925">
        <v>37.647598564624801</v>
      </c>
      <c r="M4431" s="925">
        <v>2.8769825082690702E-3</v>
      </c>
    </row>
    <row r="4432" spans="1:13" ht="11.25" customHeight="1" x14ac:dyDescent="0.2">
      <c r="A4432" s="924" t="s">
        <v>853</v>
      </c>
      <c r="B4432" s="924" t="s">
        <v>809</v>
      </c>
      <c r="C4432" s="924" t="s">
        <v>1201</v>
      </c>
      <c r="D4432" s="924" t="s">
        <v>855</v>
      </c>
      <c r="E4432" s="924" t="s">
        <v>856</v>
      </c>
      <c r="F4432" s="924" t="s">
        <v>949</v>
      </c>
      <c r="G4432" s="924" t="s">
        <v>911</v>
      </c>
      <c r="H4432" s="924" t="s">
        <v>665</v>
      </c>
      <c r="I4432" s="924" t="s">
        <v>706</v>
      </c>
      <c r="J4432" s="924" t="s">
        <v>875</v>
      </c>
      <c r="K4432" s="924" t="s">
        <v>950</v>
      </c>
      <c r="L4432" s="925">
        <v>0.50480929389595997</v>
      </c>
      <c r="M4432" s="925">
        <v>1.08272708359891E-4</v>
      </c>
    </row>
    <row r="4433" spans="1:13" ht="11.25" customHeight="1" x14ac:dyDescent="0.2">
      <c r="A4433" s="924" t="s">
        <v>853</v>
      </c>
      <c r="B4433" s="924" t="s">
        <v>809</v>
      </c>
      <c r="C4433" s="924" t="s">
        <v>1201</v>
      </c>
      <c r="D4433" s="924" t="s">
        <v>855</v>
      </c>
      <c r="E4433" s="924" t="s">
        <v>856</v>
      </c>
      <c r="F4433" s="924" t="s">
        <v>951</v>
      </c>
      <c r="G4433" s="924" t="s">
        <v>911</v>
      </c>
      <c r="H4433" s="924" t="s">
        <v>665</v>
      </c>
      <c r="I4433" s="924" t="s">
        <v>706</v>
      </c>
      <c r="J4433" s="924" t="s">
        <v>875</v>
      </c>
      <c r="K4433" s="924" t="s">
        <v>952</v>
      </c>
      <c r="L4433" s="925">
        <v>0.465931578539312</v>
      </c>
      <c r="M4433" s="925">
        <v>2.89710447880509E-5</v>
      </c>
    </row>
    <row r="4434" spans="1:13" ht="11.25" customHeight="1" x14ac:dyDescent="0.2">
      <c r="A4434" s="924" t="s">
        <v>853</v>
      </c>
      <c r="B4434" s="924" t="s">
        <v>809</v>
      </c>
      <c r="C4434" s="924" t="s">
        <v>1201</v>
      </c>
      <c r="D4434" s="924" t="s">
        <v>855</v>
      </c>
      <c r="E4434" s="924" t="s">
        <v>856</v>
      </c>
      <c r="F4434" s="924" t="s">
        <v>890</v>
      </c>
      <c r="G4434" s="924" t="s">
        <v>862</v>
      </c>
      <c r="H4434" s="924" t="s">
        <v>665</v>
      </c>
      <c r="I4434" s="924" t="s">
        <v>787</v>
      </c>
      <c r="J4434" s="924" t="s">
        <v>859</v>
      </c>
      <c r="K4434" s="924" t="s">
        <v>891</v>
      </c>
      <c r="L4434" s="925">
        <v>6.9837791670579505E-2</v>
      </c>
      <c r="M4434" s="925">
        <v>2.4860174153218399E-3</v>
      </c>
    </row>
    <row r="4435" spans="1:13" ht="11.25" customHeight="1" x14ac:dyDescent="0.2">
      <c r="A4435" s="924" t="s">
        <v>853</v>
      </c>
      <c r="B4435" s="924" t="s">
        <v>809</v>
      </c>
      <c r="C4435" s="924" t="s">
        <v>1201</v>
      </c>
      <c r="D4435" s="924" t="s">
        <v>855</v>
      </c>
      <c r="E4435" s="924" t="s">
        <v>856</v>
      </c>
      <c r="F4435" s="924" t="s">
        <v>937</v>
      </c>
      <c r="G4435" s="924" t="s">
        <v>862</v>
      </c>
      <c r="H4435" s="924" t="s">
        <v>665</v>
      </c>
      <c r="I4435" s="924" t="s">
        <v>787</v>
      </c>
      <c r="J4435" s="924" t="s">
        <v>863</v>
      </c>
      <c r="K4435" s="924" t="s">
        <v>933</v>
      </c>
      <c r="L4435" s="925">
        <v>328.29432773590099</v>
      </c>
      <c r="M4435" s="925">
        <v>1.3983319588005501</v>
      </c>
    </row>
    <row r="4436" spans="1:13" ht="11.25" customHeight="1" x14ac:dyDescent="0.2">
      <c r="A4436" s="924" t="s">
        <v>853</v>
      </c>
      <c r="B4436" s="924" t="s">
        <v>809</v>
      </c>
      <c r="C4436" s="924" t="s">
        <v>1201</v>
      </c>
      <c r="D4436" s="924" t="s">
        <v>855</v>
      </c>
      <c r="E4436" s="924" t="s">
        <v>856</v>
      </c>
      <c r="F4436" s="924" t="s">
        <v>934</v>
      </c>
      <c r="G4436" s="924" t="s">
        <v>862</v>
      </c>
      <c r="H4436" s="924" t="s">
        <v>665</v>
      </c>
      <c r="I4436" s="924" t="s">
        <v>787</v>
      </c>
      <c r="J4436" s="924" t="s">
        <v>863</v>
      </c>
      <c r="K4436" s="924" t="s">
        <v>935</v>
      </c>
      <c r="L4436" s="925">
        <v>0.278164522955194</v>
      </c>
      <c r="M4436" s="925">
        <v>1.1693076794472301E-3</v>
      </c>
    </row>
    <row r="4437" spans="1:13" ht="11.25" customHeight="1" x14ac:dyDescent="0.2">
      <c r="A4437" s="924" t="s">
        <v>853</v>
      </c>
      <c r="B4437" s="924" t="s">
        <v>809</v>
      </c>
      <c r="C4437" s="924" t="s">
        <v>1201</v>
      </c>
      <c r="D4437" s="924" t="s">
        <v>855</v>
      </c>
      <c r="E4437" s="924" t="s">
        <v>856</v>
      </c>
      <c r="F4437" s="924" t="s">
        <v>861</v>
      </c>
      <c r="G4437" s="924" t="s">
        <v>862</v>
      </c>
      <c r="H4437" s="924" t="s">
        <v>665</v>
      </c>
      <c r="I4437" s="924" t="s">
        <v>787</v>
      </c>
      <c r="J4437" s="924" t="s">
        <v>863</v>
      </c>
      <c r="K4437" s="924" t="s">
        <v>864</v>
      </c>
      <c r="L4437" s="925">
        <v>0.151593417394906</v>
      </c>
      <c r="M4437" s="925">
        <v>6.2286847241921405E-4</v>
      </c>
    </row>
    <row r="4438" spans="1:13" ht="11.25" customHeight="1" x14ac:dyDescent="0.2">
      <c r="A4438" s="924" t="s">
        <v>853</v>
      </c>
      <c r="B4438" s="924" t="s">
        <v>809</v>
      </c>
      <c r="C4438" s="924" t="s">
        <v>1201</v>
      </c>
      <c r="D4438" s="924" t="s">
        <v>855</v>
      </c>
      <c r="E4438" s="924" t="s">
        <v>856</v>
      </c>
      <c r="F4438" s="924" t="s">
        <v>938</v>
      </c>
      <c r="G4438" s="924" t="s">
        <v>911</v>
      </c>
      <c r="H4438" s="924" t="s">
        <v>665</v>
      </c>
      <c r="I4438" s="924" t="s">
        <v>706</v>
      </c>
      <c r="J4438" s="924" t="s">
        <v>863</v>
      </c>
      <c r="K4438" s="924" t="s">
        <v>868</v>
      </c>
      <c r="L4438" s="925">
        <v>22.533879160881</v>
      </c>
      <c r="M4438" s="925">
        <v>1.04124077370216E-3</v>
      </c>
    </row>
    <row r="4439" spans="1:13" ht="11.25" customHeight="1" x14ac:dyDescent="0.2">
      <c r="A4439" s="924" t="s">
        <v>853</v>
      </c>
      <c r="B4439" s="924" t="s">
        <v>809</v>
      </c>
      <c r="C4439" s="924" t="s">
        <v>1201</v>
      </c>
      <c r="D4439" s="924" t="s">
        <v>855</v>
      </c>
      <c r="E4439" s="924" t="s">
        <v>856</v>
      </c>
      <c r="F4439" s="924" t="s">
        <v>984</v>
      </c>
      <c r="G4439" s="924" t="s">
        <v>981</v>
      </c>
      <c r="H4439" s="924" t="s">
        <v>835</v>
      </c>
      <c r="I4439" s="924" t="s">
        <v>839</v>
      </c>
      <c r="J4439" s="924" t="s">
        <v>982</v>
      </c>
      <c r="K4439" s="924" t="s">
        <v>985</v>
      </c>
      <c r="L4439" s="925">
        <v>899.695957779884</v>
      </c>
      <c r="M4439" s="925">
        <v>1.00360125186853</v>
      </c>
    </row>
    <row r="4440" spans="1:13" ht="11.25" customHeight="1" x14ac:dyDescent="0.2">
      <c r="A4440" s="924" t="s">
        <v>853</v>
      </c>
      <c r="B4440" s="924" t="s">
        <v>809</v>
      </c>
      <c r="C4440" s="924" t="s">
        <v>1201</v>
      </c>
      <c r="D4440" s="924" t="s">
        <v>855</v>
      </c>
      <c r="E4440" s="924" t="s">
        <v>856</v>
      </c>
      <c r="F4440" s="924" t="s">
        <v>962</v>
      </c>
      <c r="G4440" s="924" t="s">
        <v>858</v>
      </c>
      <c r="H4440" s="924" t="s">
        <v>836</v>
      </c>
      <c r="I4440" s="924" t="s">
        <v>837</v>
      </c>
      <c r="J4440" s="924" t="s">
        <v>870</v>
      </c>
      <c r="K4440" s="924" t="s">
        <v>963</v>
      </c>
      <c r="L4440" s="925">
        <v>6.5918696476728697E-2</v>
      </c>
      <c r="M4440" s="925">
        <v>4.6852220594341399E-7</v>
      </c>
    </row>
    <row r="4441" spans="1:13" ht="11.25" customHeight="1" x14ac:dyDescent="0.2">
      <c r="A4441" s="924" t="s">
        <v>853</v>
      </c>
      <c r="B4441" s="924" t="s">
        <v>809</v>
      </c>
      <c r="C4441" s="924" t="s">
        <v>1201</v>
      </c>
      <c r="D4441" s="924" t="s">
        <v>855</v>
      </c>
      <c r="E4441" s="924" t="s">
        <v>856</v>
      </c>
      <c r="F4441" s="924" t="s">
        <v>964</v>
      </c>
      <c r="G4441" s="924" t="s">
        <v>858</v>
      </c>
      <c r="H4441" s="924" t="s">
        <v>836</v>
      </c>
      <c r="I4441" s="924" t="s">
        <v>837</v>
      </c>
      <c r="J4441" s="924" t="s">
        <v>870</v>
      </c>
      <c r="K4441" s="924" t="s">
        <v>965</v>
      </c>
      <c r="L4441" s="925">
        <v>22.032945103943302</v>
      </c>
      <c r="M4441" s="925">
        <v>2.02295930524343E-4</v>
      </c>
    </row>
    <row r="4442" spans="1:13" ht="11.25" customHeight="1" x14ac:dyDescent="0.2">
      <c r="A4442" s="924" t="s">
        <v>853</v>
      </c>
      <c r="B4442" s="924" t="s">
        <v>809</v>
      </c>
      <c r="C4442" s="924" t="s">
        <v>1201</v>
      </c>
      <c r="D4442" s="924" t="s">
        <v>855</v>
      </c>
      <c r="E4442" s="924" t="s">
        <v>856</v>
      </c>
      <c r="F4442" s="924" t="s">
        <v>966</v>
      </c>
      <c r="G4442" s="924" t="s">
        <v>858</v>
      </c>
      <c r="H4442" s="924" t="s">
        <v>836</v>
      </c>
      <c r="I4442" s="924" t="s">
        <v>837</v>
      </c>
      <c r="J4442" s="924" t="s">
        <v>870</v>
      </c>
      <c r="K4442" s="924" t="s">
        <v>871</v>
      </c>
      <c r="L4442" s="925">
        <v>61.307447120547302</v>
      </c>
      <c r="M4442" s="925">
        <v>5.3271160480861102E-4</v>
      </c>
    </row>
    <row r="4443" spans="1:13" ht="11.25" customHeight="1" x14ac:dyDescent="0.2">
      <c r="A4443" s="924" t="s">
        <v>853</v>
      </c>
      <c r="B4443" s="924" t="s">
        <v>809</v>
      </c>
      <c r="C4443" s="924" t="s">
        <v>1201</v>
      </c>
      <c r="D4443" s="924" t="s">
        <v>855</v>
      </c>
      <c r="E4443" s="924" t="s">
        <v>856</v>
      </c>
      <c r="F4443" s="924" t="s">
        <v>967</v>
      </c>
      <c r="G4443" s="924" t="s">
        <v>858</v>
      </c>
      <c r="H4443" s="924" t="s">
        <v>836</v>
      </c>
      <c r="I4443" s="924" t="s">
        <v>837</v>
      </c>
      <c r="J4443" s="924" t="s">
        <v>870</v>
      </c>
      <c r="K4443" s="924" t="s">
        <v>873</v>
      </c>
      <c r="L4443" s="925">
        <v>45.185353502631202</v>
      </c>
      <c r="M4443" s="925">
        <v>7.6336801383902796E-4</v>
      </c>
    </row>
    <row r="4444" spans="1:13" ht="11.25" customHeight="1" x14ac:dyDescent="0.2">
      <c r="A4444" s="924" t="s">
        <v>853</v>
      </c>
      <c r="B4444" s="924" t="s">
        <v>809</v>
      </c>
      <c r="C4444" s="924" t="s">
        <v>1201</v>
      </c>
      <c r="D4444" s="924" t="s">
        <v>855</v>
      </c>
      <c r="E4444" s="924" t="s">
        <v>856</v>
      </c>
      <c r="F4444" s="924" t="s">
        <v>968</v>
      </c>
      <c r="G4444" s="924" t="s">
        <v>858</v>
      </c>
      <c r="H4444" s="924" t="s">
        <v>836</v>
      </c>
      <c r="I4444" s="924" t="s">
        <v>837</v>
      </c>
      <c r="J4444" s="924" t="s">
        <v>875</v>
      </c>
      <c r="K4444" s="924" t="s">
        <v>876</v>
      </c>
      <c r="L4444" s="925">
        <v>908.17736530304001</v>
      </c>
      <c r="M4444" s="925">
        <v>2.4342800344584199E-2</v>
      </c>
    </row>
    <row r="4445" spans="1:13" ht="11.25" customHeight="1" x14ac:dyDescent="0.2">
      <c r="A4445" s="924" t="s">
        <v>853</v>
      </c>
      <c r="B4445" s="924" t="s">
        <v>809</v>
      </c>
      <c r="C4445" s="924" t="s">
        <v>1201</v>
      </c>
      <c r="D4445" s="924" t="s">
        <v>855</v>
      </c>
      <c r="E4445" s="924" t="s">
        <v>856</v>
      </c>
      <c r="F4445" s="924" t="s">
        <v>969</v>
      </c>
      <c r="G4445" s="924" t="s">
        <v>858</v>
      </c>
      <c r="H4445" s="924" t="s">
        <v>836</v>
      </c>
      <c r="I4445" s="924" t="s">
        <v>837</v>
      </c>
      <c r="J4445" s="924" t="s">
        <v>875</v>
      </c>
      <c r="K4445" s="924" t="s">
        <v>878</v>
      </c>
      <c r="L4445" s="925">
        <v>214.342279911041</v>
      </c>
      <c r="M4445" s="925">
        <v>5.6777979598337004E-3</v>
      </c>
    </row>
    <row r="4446" spans="1:13" ht="11.25" customHeight="1" x14ac:dyDescent="0.2">
      <c r="A4446" s="924" t="s">
        <v>853</v>
      </c>
      <c r="B4446" s="924" t="s">
        <v>809</v>
      </c>
      <c r="C4446" s="924" t="s">
        <v>1201</v>
      </c>
      <c r="D4446" s="924" t="s">
        <v>855</v>
      </c>
      <c r="E4446" s="924" t="s">
        <v>856</v>
      </c>
      <c r="F4446" s="924" t="s">
        <v>970</v>
      </c>
      <c r="G4446" s="924" t="s">
        <v>858</v>
      </c>
      <c r="H4446" s="924" t="s">
        <v>836</v>
      </c>
      <c r="I4446" s="924" t="s">
        <v>837</v>
      </c>
      <c r="J4446" s="924" t="s">
        <v>875</v>
      </c>
      <c r="K4446" s="924" t="s">
        <v>880</v>
      </c>
      <c r="L4446" s="925">
        <v>594.607321739197</v>
      </c>
      <c r="M4446" s="925">
        <v>1.15542540258957E-2</v>
      </c>
    </row>
    <row r="4447" spans="1:13" ht="11.25" customHeight="1" x14ac:dyDescent="0.2">
      <c r="A4447" s="924" t="s">
        <v>853</v>
      </c>
      <c r="B4447" s="924" t="s">
        <v>809</v>
      </c>
      <c r="C4447" s="924" t="s">
        <v>1201</v>
      </c>
      <c r="D4447" s="924" t="s">
        <v>855</v>
      </c>
      <c r="E4447" s="924" t="s">
        <v>856</v>
      </c>
      <c r="F4447" s="924" t="s">
        <v>971</v>
      </c>
      <c r="G4447" s="924" t="s">
        <v>858</v>
      </c>
      <c r="H4447" s="924" t="s">
        <v>836</v>
      </c>
      <c r="I4447" s="924" t="s">
        <v>837</v>
      </c>
      <c r="J4447" s="924" t="s">
        <v>875</v>
      </c>
      <c r="K4447" s="924" t="s">
        <v>948</v>
      </c>
      <c r="L4447" s="925">
        <v>302.18643856048601</v>
      </c>
      <c r="M4447" s="925">
        <v>1.29255570661826E-2</v>
      </c>
    </row>
    <row r="4448" spans="1:13" ht="11.25" customHeight="1" x14ac:dyDescent="0.2">
      <c r="A4448" s="924" t="s">
        <v>853</v>
      </c>
      <c r="B4448" s="924" t="s">
        <v>809</v>
      </c>
      <c r="C4448" s="924" t="s">
        <v>1201</v>
      </c>
      <c r="D4448" s="924" t="s">
        <v>855</v>
      </c>
      <c r="E4448" s="924" t="s">
        <v>856</v>
      </c>
      <c r="F4448" s="924" t="s">
        <v>1000</v>
      </c>
      <c r="G4448" s="924" t="s">
        <v>858</v>
      </c>
      <c r="H4448" s="924" t="s">
        <v>836</v>
      </c>
      <c r="I4448" s="924" t="s">
        <v>837</v>
      </c>
      <c r="J4448" s="924" t="s">
        <v>875</v>
      </c>
      <c r="K4448" s="924" t="s">
        <v>950</v>
      </c>
      <c r="L4448" s="925">
        <v>29.0404188036919</v>
      </c>
      <c r="M4448" s="925">
        <v>6.8212884056606505E-4</v>
      </c>
    </row>
    <row r="4449" spans="1:13" ht="11.25" customHeight="1" x14ac:dyDescent="0.2">
      <c r="A4449" s="924" t="s">
        <v>853</v>
      </c>
      <c r="B4449" s="924" t="s">
        <v>809</v>
      </c>
      <c r="C4449" s="924" t="s">
        <v>1201</v>
      </c>
      <c r="D4449" s="924" t="s">
        <v>855</v>
      </c>
      <c r="E4449" s="924" t="s">
        <v>856</v>
      </c>
      <c r="F4449" s="924" t="s">
        <v>974</v>
      </c>
      <c r="G4449" s="924" t="s">
        <v>858</v>
      </c>
      <c r="H4449" s="924" t="s">
        <v>836</v>
      </c>
      <c r="I4449" s="924" t="s">
        <v>837</v>
      </c>
      <c r="J4449" s="924" t="s">
        <v>875</v>
      </c>
      <c r="K4449" s="924" t="s">
        <v>952</v>
      </c>
      <c r="L4449" s="925">
        <v>25.6986239254475</v>
      </c>
      <c r="M4449" s="925">
        <v>5.8061877885506896E-4</v>
      </c>
    </row>
    <row r="4450" spans="1:13" ht="11.25" customHeight="1" x14ac:dyDescent="0.2">
      <c r="A4450" s="924" t="s">
        <v>853</v>
      </c>
      <c r="B4450" s="924" t="s">
        <v>809</v>
      </c>
      <c r="C4450" s="924" t="s">
        <v>1201</v>
      </c>
      <c r="D4450" s="924" t="s">
        <v>855</v>
      </c>
      <c r="E4450" s="924" t="s">
        <v>856</v>
      </c>
      <c r="F4450" s="924" t="s">
        <v>975</v>
      </c>
      <c r="G4450" s="924" t="s">
        <v>858</v>
      </c>
      <c r="H4450" s="924" t="s">
        <v>836</v>
      </c>
      <c r="I4450" s="924" t="s">
        <v>837</v>
      </c>
      <c r="J4450" s="924" t="s">
        <v>870</v>
      </c>
      <c r="K4450" s="924" t="s">
        <v>976</v>
      </c>
      <c r="L4450" s="925">
        <v>3132.44702339172</v>
      </c>
      <c r="M4450" s="925">
        <v>4.6881615311804098E-2</v>
      </c>
    </row>
    <row r="4451" spans="1:13" ht="11.25" customHeight="1" x14ac:dyDescent="0.2">
      <c r="A4451" s="924" t="s">
        <v>853</v>
      </c>
      <c r="B4451" s="924" t="s">
        <v>809</v>
      </c>
      <c r="C4451" s="924" t="s">
        <v>1201</v>
      </c>
      <c r="D4451" s="924" t="s">
        <v>855</v>
      </c>
      <c r="E4451" s="924" t="s">
        <v>856</v>
      </c>
      <c r="F4451" s="924" t="s">
        <v>980</v>
      </c>
      <c r="G4451" s="924" t="s">
        <v>981</v>
      </c>
      <c r="H4451" s="924" t="s">
        <v>835</v>
      </c>
      <c r="I4451" s="924" t="s">
        <v>839</v>
      </c>
      <c r="J4451" s="924" t="s">
        <v>982</v>
      </c>
      <c r="K4451" s="924" t="s">
        <v>983</v>
      </c>
      <c r="L4451" s="925">
        <v>2129.6132779121399</v>
      </c>
      <c r="M4451" s="925">
        <v>2.4290122375823602</v>
      </c>
    </row>
    <row r="4452" spans="1:13" ht="11.25" customHeight="1" x14ac:dyDescent="0.2">
      <c r="A4452" s="924" t="s">
        <v>853</v>
      </c>
      <c r="B4452" s="924" t="s">
        <v>809</v>
      </c>
      <c r="C4452" s="924" t="s">
        <v>1201</v>
      </c>
      <c r="D4452" s="924" t="s">
        <v>855</v>
      </c>
      <c r="E4452" s="924" t="s">
        <v>856</v>
      </c>
      <c r="F4452" s="924" t="s">
        <v>1018</v>
      </c>
      <c r="G4452" s="924" t="s">
        <v>858</v>
      </c>
      <c r="H4452" s="924" t="s">
        <v>836</v>
      </c>
      <c r="I4452" s="924" t="s">
        <v>837</v>
      </c>
      <c r="J4452" s="924" t="s">
        <v>870</v>
      </c>
      <c r="K4452" s="924" t="s">
        <v>1019</v>
      </c>
      <c r="L4452" s="925">
        <v>280.93837743997602</v>
      </c>
      <c r="M4452" s="925">
        <v>2.1113731433643999E-3</v>
      </c>
    </row>
    <row r="4453" spans="1:13" ht="11.25" customHeight="1" x14ac:dyDescent="0.2">
      <c r="A4453" s="924" t="s">
        <v>853</v>
      </c>
      <c r="B4453" s="924" t="s">
        <v>809</v>
      </c>
      <c r="C4453" s="924" t="s">
        <v>1201</v>
      </c>
      <c r="D4453" s="924" t="s">
        <v>855</v>
      </c>
      <c r="E4453" s="924" t="s">
        <v>856</v>
      </c>
      <c r="F4453" s="924" t="s">
        <v>986</v>
      </c>
      <c r="G4453" s="924" t="s">
        <v>981</v>
      </c>
      <c r="H4453" s="924" t="s">
        <v>835</v>
      </c>
      <c r="I4453" s="924" t="s">
        <v>839</v>
      </c>
      <c r="J4453" s="924" t="s">
        <v>987</v>
      </c>
      <c r="K4453" s="924" t="s">
        <v>988</v>
      </c>
      <c r="L4453" s="925">
        <v>922.410699605942</v>
      </c>
      <c r="M4453" s="925">
        <v>0.46487639646511503</v>
      </c>
    </row>
    <row r="4454" spans="1:13" ht="11.25" customHeight="1" x14ac:dyDescent="0.2">
      <c r="A4454" s="924" t="s">
        <v>853</v>
      </c>
      <c r="B4454" s="924" t="s">
        <v>809</v>
      </c>
      <c r="C4454" s="924" t="s">
        <v>1201</v>
      </c>
      <c r="D4454" s="924" t="s">
        <v>855</v>
      </c>
      <c r="E4454" s="924" t="s">
        <v>856</v>
      </c>
      <c r="F4454" s="924" t="s">
        <v>989</v>
      </c>
      <c r="G4454" s="924" t="s">
        <v>990</v>
      </c>
      <c r="H4454" s="924" t="s">
        <v>836</v>
      </c>
      <c r="I4454" s="924" t="s">
        <v>839</v>
      </c>
      <c r="J4454" s="924" t="s">
        <v>224</v>
      </c>
      <c r="K4454" s="924" t="s">
        <v>988</v>
      </c>
      <c r="L4454" s="925">
        <v>726.42212474346195</v>
      </c>
      <c r="M4454" s="925">
        <v>2.47330232422041E-2</v>
      </c>
    </row>
    <row r="4455" spans="1:13" ht="11.25" customHeight="1" x14ac:dyDescent="0.2">
      <c r="A4455" s="924" t="s">
        <v>853</v>
      </c>
      <c r="B4455" s="924" t="s">
        <v>809</v>
      </c>
      <c r="C4455" s="924" t="s">
        <v>1201</v>
      </c>
      <c r="D4455" s="924" t="s">
        <v>855</v>
      </c>
      <c r="E4455" s="924" t="s">
        <v>856</v>
      </c>
      <c r="F4455" s="924" t="s">
        <v>991</v>
      </c>
      <c r="G4455" s="924" t="s">
        <v>990</v>
      </c>
      <c r="H4455" s="924" t="s">
        <v>836</v>
      </c>
      <c r="I4455" s="924" t="s">
        <v>839</v>
      </c>
      <c r="J4455" s="924" t="s">
        <v>224</v>
      </c>
      <c r="K4455" s="924" t="s">
        <v>983</v>
      </c>
      <c r="L4455" s="925">
        <v>4.3091777944937304</v>
      </c>
      <c r="M4455" s="925">
        <v>2.5731527612959899E-4</v>
      </c>
    </row>
    <row r="4456" spans="1:13" ht="11.25" customHeight="1" x14ac:dyDescent="0.2">
      <c r="A4456" s="924" t="s">
        <v>853</v>
      </c>
      <c r="B4456" s="924" t="s">
        <v>809</v>
      </c>
      <c r="C4456" s="924" t="s">
        <v>1201</v>
      </c>
      <c r="D4456" s="924" t="s">
        <v>855</v>
      </c>
      <c r="E4456" s="924" t="s">
        <v>856</v>
      </c>
      <c r="F4456" s="924" t="s">
        <v>992</v>
      </c>
      <c r="G4456" s="924" t="s">
        <v>858</v>
      </c>
      <c r="H4456" s="924" t="s">
        <v>836</v>
      </c>
      <c r="I4456" s="924" t="s">
        <v>834</v>
      </c>
      <c r="J4456" s="924" t="s">
        <v>224</v>
      </c>
      <c r="K4456" s="924" t="s">
        <v>993</v>
      </c>
      <c r="L4456" s="925">
        <v>3.44810820370913</v>
      </c>
      <c r="M4456" s="925">
        <v>1.3419340096199099E-4</v>
      </c>
    </row>
    <row r="4457" spans="1:13" ht="11.25" customHeight="1" x14ac:dyDescent="0.2">
      <c r="A4457" s="924" t="s">
        <v>853</v>
      </c>
      <c r="B4457" s="924" t="s">
        <v>809</v>
      </c>
      <c r="C4457" s="924" t="s">
        <v>1201</v>
      </c>
      <c r="D4457" s="924" t="s">
        <v>855</v>
      </c>
      <c r="E4457" s="924" t="s">
        <v>856</v>
      </c>
      <c r="F4457" s="924" t="s">
        <v>994</v>
      </c>
      <c r="G4457" s="924" t="s">
        <v>981</v>
      </c>
      <c r="H4457" s="924" t="s">
        <v>835</v>
      </c>
      <c r="I4457" s="924" t="s">
        <v>834</v>
      </c>
      <c r="J4457" s="924" t="s">
        <v>995</v>
      </c>
      <c r="K4457" s="924" t="s">
        <v>993</v>
      </c>
      <c r="L4457" s="925">
        <v>0.203455489594489</v>
      </c>
      <c r="M4457" s="925">
        <v>1.3140793914667701E-4</v>
      </c>
    </row>
    <row r="4458" spans="1:13" ht="11.25" customHeight="1" x14ac:dyDescent="0.2">
      <c r="A4458" s="924" t="s">
        <v>853</v>
      </c>
      <c r="B4458" s="924" t="s">
        <v>809</v>
      </c>
      <c r="C4458" s="924" t="s">
        <v>1201</v>
      </c>
      <c r="D4458" s="924" t="s">
        <v>855</v>
      </c>
      <c r="E4458" s="924" t="s">
        <v>856</v>
      </c>
      <c r="F4458" s="924" t="s">
        <v>996</v>
      </c>
      <c r="G4458" s="924" t="s">
        <v>911</v>
      </c>
      <c r="H4458" s="924" t="s">
        <v>665</v>
      </c>
      <c r="I4458" s="924" t="s">
        <v>834</v>
      </c>
      <c r="J4458" s="924" t="s">
        <v>706</v>
      </c>
      <c r="K4458" s="924" t="s">
        <v>993</v>
      </c>
      <c r="L4458" s="925">
        <v>6.1001148897048604E-3</v>
      </c>
      <c r="M4458" s="925">
        <v>7.56295674142482E-7</v>
      </c>
    </row>
    <row r="4459" spans="1:13" ht="11.25" customHeight="1" x14ac:dyDescent="0.2">
      <c r="A4459" s="924" t="s">
        <v>853</v>
      </c>
      <c r="B4459" s="924" t="s">
        <v>809</v>
      </c>
      <c r="C4459" s="924" t="s">
        <v>1201</v>
      </c>
      <c r="D4459" s="924" t="s">
        <v>855</v>
      </c>
      <c r="E4459" s="924" t="s">
        <v>1164</v>
      </c>
      <c r="F4459" s="924" t="s">
        <v>1165</v>
      </c>
      <c r="G4459" s="924" t="s">
        <v>981</v>
      </c>
      <c r="H4459" s="924" t="s">
        <v>835</v>
      </c>
      <c r="I4459" s="924" t="s">
        <v>1040</v>
      </c>
      <c r="J4459" s="924" t="s">
        <v>1166</v>
      </c>
      <c r="K4459" s="924" t="s">
        <v>1166</v>
      </c>
      <c r="L4459" s="925">
        <v>7.9525092989206296</v>
      </c>
      <c r="M4459" s="925">
        <v>2.2739323394489501E-3</v>
      </c>
    </row>
    <row r="4460" spans="1:13" ht="11.25" customHeight="1" x14ac:dyDescent="0.2">
      <c r="A4460" s="924" t="s">
        <v>853</v>
      </c>
      <c r="B4460" s="924" t="s">
        <v>809</v>
      </c>
      <c r="C4460" s="924" t="s">
        <v>1201</v>
      </c>
      <c r="D4460" s="924" t="s">
        <v>855</v>
      </c>
      <c r="E4460" s="924" t="s">
        <v>1164</v>
      </c>
      <c r="F4460" s="924" t="s">
        <v>1167</v>
      </c>
      <c r="G4460" s="924" t="s">
        <v>911</v>
      </c>
      <c r="H4460" s="924" t="s">
        <v>665</v>
      </c>
      <c r="I4460" s="924" t="s">
        <v>706</v>
      </c>
      <c r="J4460" s="924" t="s">
        <v>1166</v>
      </c>
      <c r="K4460" s="924" t="s">
        <v>1166</v>
      </c>
      <c r="L4460" s="925">
        <v>4.4362206980586096</v>
      </c>
      <c r="M4460" s="925">
        <v>2.0562308327498599E-4</v>
      </c>
    </row>
    <row r="4461" spans="1:13" ht="11.25" customHeight="1" x14ac:dyDescent="0.2">
      <c r="A4461" s="924" t="s">
        <v>853</v>
      </c>
      <c r="B4461" s="924" t="s">
        <v>809</v>
      </c>
      <c r="C4461" s="924" t="s">
        <v>1201</v>
      </c>
      <c r="D4461" s="924" t="s">
        <v>855</v>
      </c>
      <c r="E4461" s="924" t="s">
        <v>856</v>
      </c>
      <c r="F4461" s="924" t="s">
        <v>1066</v>
      </c>
      <c r="G4461" s="924" t="s">
        <v>981</v>
      </c>
      <c r="H4461" s="924" t="s">
        <v>835</v>
      </c>
      <c r="I4461" s="924" t="s">
        <v>1040</v>
      </c>
      <c r="J4461" s="924" t="s">
        <v>859</v>
      </c>
      <c r="K4461" s="924" t="s">
        <v>928</v>
      </c>
      <c r="L4461" s="925">
        <v>11.7810810357332</v>
      </c>
      <c r="M4461" s="925">
        <v>5.9367426265453096E-3</v>
      </c>
    </row>
    <row r="4462" spans="1:13" ht="11.25" customHeight="1" x14ac:dyDescent="0.2">
      <c r="A4462" s="924" t="s">
        <v>853</v>
      </c>
      <c r="B4462" s="924" t="s">
        <v>809</v>
      </c>
      <c r="C4462" s="924" t="s">
        <v>1201</v>
      </c>
      <c r="D4462" s="924" t="s">
        <v>855</v>
      </c>
      <c r="E4462" s="924" t="s">
        <v>856</v>
      </c>
      <c r="F4462" s="924" t="s">
        <v>919</v>
      </c>
      <c r="G4462" s="924" t="s">
        <v>911</v>
      </c>
      <c r="H4462" s="924" t="s">
        <v>665</v>
      </c>
      <c r="I4462" s="924" t="s">
        <v>706</v>
      </c>
      <c r="J4462" s="924" t="s">
        <v>859</v>
      </c>
      <c r="K4462" s="924" t="s">
        <v>920</v>
      </c>
      <c r="L4462" s="925">
        <v>0.21910957316867999</v>
      </c>
      <c r="M4462" s="925">
        <v>6.1386430573406896E-5</v>
      </c>
    </row>
    <row r="4463" spans="1:13" ht="11.25" customHeight="1" x14ac:dyDescent="0.2">
      <c r="A4463" s="924" t="s">
        <v>853</v>
      </c>
      <c r="B4463" s="924" t="s">
        <v>809</v>
      </c>
      <c r="C4463" s="924" t="s">
        <v>1201</v>
      </c>
      <c r="D4463" s="924" t="s">
        <v>855</v>
      </c>
      <c r="E4463" s="924" t="s">
        <v>856</v>
      </c>
      <c r="F4463" s="924" t="s">
        <v>955</v>
      </c>
      <c r="G4463" s="924" t="s">
        <v>858</v>
      </c>
      <c r="H4463" s="924" t="s">
        <v>836</v>
      </c>
      <c r="I4463" s="924" t="s">
        <v>837</v>
      </c>
      <c r="J4463" s="924" t="s">
        <v>956</v>
      </c>
      <c r="K4463" s="924" t="s">
        <v>957</v>
      </c>
      <c r="L4463" s="925">
        <v>1042.7650794982901</v>
      </c>
      <c r="M4463" s="925">
        <v>5.9889709009439702E-3</v>
      </c>
    </row>
    <row r="4464" spans="1:13" ht="11.25" customHeight="1" x14ac:dyDescent="0.2">
      <c r="A4464" s="924" t="s">
        <v>853</v>
      </c>
      <c r="B4464" s="924" t="s">
        <v>809</v>
      </c>
      <c r="C4464" s="924" t="s">
        <v>1201</v>
      </c>
      <c r="D4464" s="924" t="s">
        <v>855</v>
      </c>
      <c r="E4464" s="924" t="s">
        <v>856</v>
      </c>
      <c r="F4464" s="924" t="s">
        <v>1017</v>
      </c>
      <c r="G4464" s="924" t="s">
        <v>858</v>
      </c>
      <c r="H4464" s="924" t="s">
        <v>836</v>
      </c>
      <c r="I4464" s="924" t="s">
        <v>837</v>
      </c>
      <c r="J4464" s="924" t="s">
        <v>863</v>
      </c>
      <c r="K4464" s="924" t="s">
        <v>864</v>
      </c>
      <c r="L4464" s="925">
        <v>564.04167366027798</v>
      </c>
      <c r="M4464" s="925">
        <v>7.6495279021173701E-3</v>
      </c>
    </row>
    <row r="4465" spans="1:13" ht="11.25" customHeight="1" x14ac:dyDescent="0.2">
      <c r="A4465" s="924" t="s">
        <v>853</v>
      </c>
      <c r="B4465" s="924" t="s">
        <v>809</v>
      </c>
      <c r="C4465" s="924" t="s">
        <v>1201</v>
      </c>
      <c r="D4465" s="924" t="s">
        <v>855</v>
      </c>
      <c r="E4465" s="924" t="s">
        <v>856</v>
      </c>
      <c r="F4465" s="924" t="s">
        <v>1002</v>
      </c>
      <c r="G4465" s="924" t="s">
        <v>858</v>
      </c>
      <c r="H4465" s="924" t="s">
        <v>836</v>
      </c>
      <c r="I4465" s="924" t="s">
        <v>837</v>
      </c>
      <c r="J4465" s="924" t="s">
        <v>859</v>
      </c>
      <c r="K4465" s="924" t="s">
        <v>922</v>
      </c>
      <c r="L4465" s="925">
        <v>464.91891241073603</v>
      </c>
      <c r="M4465" s="925">
        <v>5.3154352415276697E-3</v>
      </c>
    </row>
    <row r="4466" spans="1:13" ht="11.25" customHeight="1" x14ac:dyDescent="0.2">
      <c r="A4466" s="924" t="s">
        <v>853</v>
      </c>
      <c r="B4466" s="924" t="s">
        <v>809</v>
      </c>
      <c r="C4466" s="924" t="s">
        <v>1201</v>
      </c>
      <c r="D4466" s="924" t="s">
        <v>855</v>
      </c>
      <c r="E4466" s="924" t="s">
        <v>1164</v>
      </c>
      <c r="F4466" s="924" t="s">
        <v>1168</v>
      </c>
      <c r="G4466" s="924" t="s">
        <v>858</v>
      </c>
      <c r="H4466" s="924" t="s">
        <v>836</v>
      </c>
      <c r="I4466" s="924" t="s">
        <v>837</v>
      </c>
      <c r="J4466" s="924" t="s">
        <v>1166</v>
      </c>
      <c r="K4466" s="924" t="s">
        <v>1166</v>
      </c>
      <c r="L4466" s="925">
        <v>245.730917930603</v>
      </c>
      <c r="M4466" s="925">
        <v>3.1434642883141398E-3</v>
      </c>
    </row>
    <row r="4467" spans="1:13" ht="11.25" customHeight="1" x14ac:dyDescent="0.2">
      <c r="A4467" s="924" t="s">
        <v>853</v>
      </c>
      <c r="B4467" s="924" t="s">
        <v>809</v>
      </c>
      <c r="C4467" s="924" t="s">
        <v>1201</v>
      </c>
      <c r="D4467" s="924" t="s">
        <v>855</v>
      </c>
      <c r="E4467" s="924" t="s">
        <v>856</v>
      </c>
      <c r="F4467" s="924" t="s">
        <v>1003</v>
      </c>
      <c r="G4467" s="924" t="s">
        <v>858</v>
      </c>
      <c r="H4467" s="924" t="s">
        <v>836</v>
      </c>
      <c r="I4467" s="924" t="s">
        <v>837</v>
      </c>
      <c r="J4467" s="924" t="s">
        <v>859</v>
      </c>
      <c r="K4467" s="924" t="s">
        <v>924</v>
      </c>
      <c r="L4467" s="925">
        <v>1580.7298908233599</v>
      </c>
      <c r="M4467" s="925">
        <v>1.5076670978714899E-2</v>
      </c>
    </row>
    <row r="4468" spans="1:13" ht="11.25" customHeight="1" x14ac:dyDescent="0.2">
      <c r="A4468" s="924" t="s">
        <v>853</v>
      </c>
      <c r="B4468" s="924" t="s">
        <v>809</v>
      </c>
      <c r="C4468" s="924" t="s">
        <v>1201</v>
      </c>
      <c r="D4468" s="924" t="s">
        <v>855</v>
      </c>
      <c r="E4468" s="924" t="s">
        <v>856</v>
      </c>
      <c r="F4468" s="924" t="s">
        <v>1004</v>
      </c>
      <c r="G4468" s="924" t="s">
        <v>858</v>
      </c>
      <c r="H4468" s="924" t="s">
        <v>836</v>
      </c>
      <c r="I4468" s="924" t="s">
        <v>837</v>
      </c>
      <c r="J4468" s="924" t="s">
        <v>859</v>
      </c>
      <c r="K4468" s="924" t="s">
        <v>926</v>
      </c>
      <c r="L4468" s="925">
        <v>957.98029613494896</v>
      </c>
      <c r="M4468" s="925">
        <v>3.9092983688533402E-2</v>
      </c>
    </row>
    <row r="4469" spans="1:13" ht="11.25" customHeight="1" x14ac:dyDescent="0.2">
      <c r="A4469" s="924" t="s">
        <v>853</v>
      </c>
      <c r="B4469" s="924" t="s">
        <v>809</v>
      </c>
      <c r="C4469" s="924" t="s">
        <v>1201</v>
      </c>
      <c r="D4469" s="924" t="s">
        <v>855</v>
      </c>
      <c r="E4469" s="924" t="s">
        <v>856</v>
      </c>
      <c r="F4469" s="924" t="s">
        <v>1005</v>
      </c>
      <c r="G4469" s="924" t="s">
        <v>858</v>
      </c>
      <c r="H4469" s="924" t="s">
        <v>836</v>
      </c>
      <c r="I4469" s="924" t="s">
        <v>837</v>
      </c>
      <c r="J4469" s="924" t="s">
        <v>859</v>
      </c>
      <c r="K4469" s="924" t="s">
        <v>1006</v>
      </c>
      <c r="L4469" s="925">
        <v>1445.8715133666999</v>
      </c>
      <c r="M4469" s="925">
        <v>1.1199011009466599E-2</v>
      </c>
    </row>
    <row r="4470" spans="1:13" ht="11.25" customHeight="1" x14ac:dyDescent="0.2">
      <c r="A4470" s="924" t="s">
        <v>853</v>
      </c>
      <c r="B4470" s="924" t="s">
        <v>809</v>
      </c>
      <c r="C4470" s="924" t="s">
        <v>1201</v>
      </c>
      <c r="D4470" s="924" t="s">
        <v>855</v>
      </c>
      <c r="E4470" s="924" t="s">
        <v>856</v>
      </c>
      <c r="F4470" s="924" t="s">
        <v>1007</v>
      </c>
      <c r="G4470" s="924" t="s">
        <v>858</v>
      </c>
      <c r="H4470" s="924" t="s">
        <v>836</v>
      </c>
      <c r="I4470" s="924" t="s">
        <v>837</v>
      </c>
      <c r="J4470" s="924" t="s">
        <v>859</v>
      </c>
      <c r="K4470" s="924" t="s">
        <v>928</v>
      </c>
      <c r="L4470" s="925">
        <v>665.65710830688499</v>
      </c>
      <c r="M4470" s="925">
        <v>2.9026290377260001E-2</v>
      </c>
    </row>
    <row r="4471" spans="1:13" ht="11.25" customHeight="1" x14ac:dyDescent="0.2">
      <c r="A4471" s="924" t="s">
        <v>853</v>
      </c>
      <c r="B4471" s="924" t="s">
        <v>809</v>
      </c>
      <c r="C4471" s="924" t="s">
        <v>1201</v>
      </c>
      <c r="D4471" s="924" t="s">
        <v>855</v>
      </c>
      <c r="E4471" s="924" t="s">
        <v>856</v>
      </c>
      <c r="F4471" s="924" t="s">
        <v>1008</v>
      </c>
      <c r="G4471" s="924" t="s">
        <v>858</v>
      </c>
      <c r="H4471" s="924" t="s">
        <v>836</v>
      </c>
      <c r="I4471" s="924" t="s">
        <v>837</v>
      </c>
      <c r="J4471" s="924" t="s">
        <v>859</v>
      </c>
      <c r="K4471" s="924" t="s">
        <v>1009</v>
      </c>
      <c r="L4471" s="925">
        <v>155.17839217186</v>
      </c>
      <c r="M4471" s="925">
        <v>1.2641904012156101E-3</v>
      </c>
    </row>
    <row r="4472" spans="1:13" ht="11.25" customHeight="1" x14ac:dyDescent="0.2">
      <c r="A4472" s="924" t="s">
        <v>853</v>
      </c>
      <c r="B4472" s="924" t="s">
        <v>809</v>
      </c>
      <c r="C4472" s="924" t="s">
        <v>1201</v>
      </c>
      <c r="D4472" s="924" t="s">
        <v>855</v>
      </c>
      <c r="E4472" s="924" t="s">
        <v>856</v>
      </c>
      <c r="F4472" s="924" t="s">
        <v>1010</v>
      </c>
      <c r="G4472" s="924" t="s">
        <v>858</v>
      </c>
      <c r="H4472" s="924" t="s">
        <v>836</v>
      </c>
      <c r="I4472" s="924" t="s">
        <v>837</v>
      </c>
      <c r="J4472" s="924" t="s">
        <v>859</v>
      </c>
      <c r="K4472" s="924" t="s">
        <v>1011</v>
      </c>
      <c r="L4472" s="925">
        <v>2.03659681603312</v>
      </c>
      <c r="M4472" s="925">
        <v>9.3712528050460305E-5</v>
      </c>
    </row>
    <row r="4473" spans="1:13" ht="11.25" customHeight="1" x14ac:dyDescent="0.2">
      <c r="A4473" s="924" t="s">
        <v>853</v>
      </c>
      <c r="B4473" s="924" t="s">
        <v>809</v>
      </c>
      <c r="C4473" s="924" t="s">
        <v>1201</v>
      </c>
      <c r="D4473" s="924" t="s">
        <v>855</v>
      </c>
      <c r="E4473" s="924" t="s">
        <v>856</v>
      </c>
      <c r="F4473" s="924" t="s">
        <v>1012</v>
      </c>
      <c r="G4473" s="924" t="s">
        <v>858</v>
      </c>
      <c r="H4473" s="924" t="s">
        <v>836</v>
      </c>
      <c r="I4473" s="924" t="s">
        <v>837</v>
      </c>
      <c r="J4473" s="924" t="s">
        <v>859</v>
      </c>
      <c r="K4473" s="924" t="s">
        <v>891</v>
      </c>
      <c r="L4473" s="925">
        <v>149.25396001339001</v>
      </c>
      <c r="M4473" s="925">
        <v>1.9782493241677899E-3</v>
      </c>
    </row>
    <row r="4474" spans="1:13" ht="11.25" customHeight="1" x14ac:dyDescent="0.2">
      <c r="A4474" s="924" t="s">
        <v>853</v>
      </c>
      <c r="B4474" s="924" t="s">
        <v>809</v>
      </c>
      <c r="C4474" s="924" t="s">
        <v>1201</v>
      </c>
      <c r="D4474" s="924" t="s">
        <v>855</v>
      </c>
      <c r="E4474" s="924" t="s">
        <v>856</v>
      </c>
      <c r="F4474" s="924" t="s">
        <v>1013</v>
      </c>
      <c r="G4474" s="924" t="s">
        <v>858</v>
      </c>
      <c r="H4474" s="924" t="s">
        <v>836</v>
      </c>
      <c r="I4474" s="924" t="s">
        <v>837</v>
      </c>
      <c r="J4474" s="924" t="s">
        <v>863</v>
      </c>
      <c r="K4474" s="924" t="s">
        <v>931</v>
      </c>
      <c r="L4474" s="925">
        <v>87.887791275978103</v>
      </c>
      <c r="M4474" s="925">
        <v>3.2126159387644302E-3</v>
      </c>
    </row>
    <row r="4475" spans="1:13" ht="11.25" customHeight="1" x14ac:dyDescent="0.2">
      <c r="A4475" s="924" t="s">
        <v>853</v>
      </c>
      <c r="B4475" s="924" t="s">
        <v>809</v>
      </c>
      <c r="C4475" s="924" t="s">
        <v>1201</v>
      </c>
      <c r="D4475" s="924" t="s">
        <v>855</v>
      </c>
      <c r="E4475" s="924" t="s">
        <v>856</v>
      </c>
      <c r="F4475" s="924" t="s">
        <v>960</v>
      </c>
      <c r="G4475" s="924" t="s">
        <v>858</v>
      </c>
      <c r="H4475" s="924" t="s">
        <v>836</v>
      </c>
      <c r="I4475" s="924" t="s">
        <v>837</v>
      </c>
      <c r="J4475" s="924" t="s">
        <v>870</v>
      </c>
      <c r="K4475" s="924" t="s">
        <v>961</v>
      </c>
      <c r="L4475" s="925">
        <v>23.833207987248901</v>
      </c>
      <c r="M4475" s="925">
        <v>2.1146225843171601E-4</v>
      </c>
    </row>
    <row r="4476" spans="1:13" ht="11.25" customHeight="1" x14ac:dyDescent="0.2">
      <c r="A4476" s="924" t="s">
        <v>853</v>
      </c>
      <c r="B4476" s="924" t="s">
        <v>809</v>
      </c>
      <c r="C4476" s="924" t="s">
        <v>1201</v>
      </c>
      <c r="D4476" s="924" t="s">
        <v>855</v>
      </c>
      <c r="E4476" s="924" t="s">
        <v>856</v>
      </c>
      <c r="F4476" s="924" t="s">
        <v>1038</v>
      </c>
      <c r="G4476" s="924" t="s">
        <v>858</v>
      </c>
      <c r="H4476" s="924" t="s">
        <v>836</v>
      </c>
      <c r="I4476" s="924" t="s">
        <v>837</v>
      </c>
      <c r="J4476" s="924" t="s">
        <v>863</v>
      </c>
      <c r="K4476" s="924" t="s">
        <v>935</v>
      </c>
      <c r="L4476" s="925">
        <v>556.17495632171597</v>
      </c>
      <c r="M4476" s="925">
        <v>6.0194016128889399E-3</v>
      </c>
    </row>
    <row r="4477" spans="1:13" ht="11.25" customHeight="1" x14ac:dyDescent="0.2">
      <c r="A4477" s="924" t="s">
        <v>853</v>
      </c>
      <c r="B4477" s="924" t="s">
        <v>809</v>
      </c>
      <c r="C4477" s="924" t="s">
        <v>1201</v>
      </c>
      <c r="D4477" s="924" t="s">
        <v>855</v>
      </c>
      <c r="E4477" s="924" t="s">
        <v>856</v>
      </c>
      <c r="F4477" s="924" t="s">
        <v>958</v>
      </c>
      <c r="G4477" s="924" t="s">
        <v>858</v>
      </c>
      <c r="H4477" s="924" t="s">
        <v>836</v>
      </c>
      <c r="I4477" s="924" t="s">
        <v>837</v>
      </c>
      <c r="J4477" s="924" t="s">
        <v>870</v>
      </c>
      <c r="K4477" s="924" t="s">
        <v>959</v>
      </c>
      <c r="L4477" s="925">
        <v>0.32678559841588101</v>
      </c>
      <c r="M4477" s="925">
        <v>3.0453880348058101E-6</v>
      </c>
    </row>
    <row r="4478" spans="1:13" ht="11.25" customHeight="1" x14ac:dyDescent="0.2">
      <c r="A4478" s="924" t="s">
        <v>853</v>
      </c>
      <c r="B4478" s="924" t="s">
        <v>809</v>
      </c>
      <c r="C4478" s="924" t="s">
        <v>1201</v>
      </c>
      <c r="D4478" s="924" t="s">
        <v>855</v>
      </c>
      <c r="E4478" s="924" t="s">
        <v>856</v>
      </c>
      <c r="F4478" s="924" t="s">
        <v>1001</v>
      </c>
      <c r="G4478" s="924" t="s">
        <v>858</v>
      </c>
      <c r="H4478" s="924" t="s">
        <v>836</v>
      </c>
      <c r="I4478" s="924" t="s">
        <v>837</v>
      </c>
      <c r="J4478" s="924" t="s">
        <v>863</v>
      </c>
      <c r="K4478" s="924" t="s">
        <v>915</v>
      </c>
      <c r="L4478" s="925">
        <v>21.769535928964601</v>
      </c>
      <c r="M4478" s="925">
        <v>6.6515207002737498E-4</v>
      </c>
    </row>
    <row r="4479" spans="1:13" ht="11.25" customHeight="1" x14ac:dyDescent="0.2">
      <c r="A4479" s="924" t="s">
        <v>853</v>
      </c>
      <c r="B4479" s="924" t="s">
        <v>809</v>
      </c>
      <c r="C4479" s="924" t="s">
        <v>1201</v>
      </c>
      <c r="D4479" s="924" t="s">
        <v>855</v>
      </c>
      <c r="E4479" s="924" t="s">
        <v>856</v>
      </c>
      <c r="F4479" s="924" t="s">
        <v>1020</v>
      </c>
      <c r="G4479" s="924" t="s">
        <v>858</v>
      </c>
      <c r="H4479" s="924" t="s">
        <v>836</v>
      </c>
      <c r="I4479" s="924" t="s">
        <v>837</v>
      </c>
      <c r="J4479" s="924" t="s">
        <v>863</v>
      </c>
      <c r="K4479" s="924" t="s">
        <v>866</v>
      </c>
      <c r="L4479" s="925">
        <v>1735.0609970092801</v>
      </c>
      <c r="M4479" s="925">
        <v>4.2114372710329903E-2</v>
      </c>
    </row>
    <row r="4480" spans="1:13" ht="11.25" customHeight="1" x14ac:dyDescent="0.2">
      <c r="A4480" s="924" t="s">
        <v>853</v>
      </c>
      <c r="B4480" s="924" t="s">
        <v>809</v>
      </c>
      <c r="C4480" s="924" t="s">
        <v>1201</v>
      </c>
      <c r="D4480" s="924" t="s">
        <v>855</v>
      </c>
      <c r="E4480" s="924" t="s">
        <v>856</v>
      </c>
      <c r="F4480" s="924" t="s">
        <v>1021</v>
      </c>
      <c r="G4480" s="924" t="s">
        <v>858</v>
      </c>
      <c r="H4480" s="924" t="s">
        <v>836</v>
      </c>
      <c r="I4480" s="924" t="s">
        <v>837</v>
      </c>
      <c r="J4480" s="924" t="s">
        <v>863</v>
      </c>
      <c r="K4480" s="924" t="s">
        <v>868</v>
      </c>
      <c r="L4480" s="925">
        <v>802.46181869506802</v>
      </c>
      <c r="M4480" s="925">
        <v>4.3133738248570799E-3</v>
      </c>
    </row>
    <row r="4481" spans="1:13" ht="11.25" customHeight="1" x14ac:dyDescent="0.2">
      <c r="A4481" s="924" t="s">
        <v>853</v>
      </c>
      <c r="B4481" s="924" t="s">
        <v>809</v>
      </c>
      <c r="C4481" s="924" t="s">
        <v>1201</v>
      </c>
      <c r="D4481" s="924" t="s">
        <v>855</v>
      </c>
      <c r="E4481" s="924" t="s">
        <v>856</v>
      </c>
      <c r="F4481" s="924" t="s">
        <v>1022</v>
      </c>
      <c r="G4481" s="924" t="s">
        <v>858</v>
      </c>
      <c r="H4481" s="924" t="s">
        <v>836</v>
      </c>
      <c r="I4481" s="924" t="s">
        <v>837</v>
      </c>
      <c r="J4481" s="924" t="s">
        <v>940</v>
      </c>
      <c r="K4481" s="924" t="s">
        <v>1023</v>
      </c>
      <c r="L4481" s="925">
        <v>3.9367572870105498E-2</v>
      </c>
      <c r="M4481" s="925">
        <v>1.7683540065038801E-6</v>
      </c>
    </row>
    <row r="4482" spans="1:13" ht="11.25" customHeight="1" x14ac:dyDescent="0.2">
      <c r="A4482" s="924" t="s">
        <v>853</v>
      </c>
      <c r="B4482" s="924" t="s">
        <v>809</v>
      </c>
      <c r="C4482" s="924" t="s">
        <v>1201</v>
      </c>
      <c r="D4482" s="924" t="s">
        <v>855</v>
      </c>
      <c r="E4482" s="924" t="s">
        <v>856</v>
      </c>
      <c r="F4482" s="924" t="s">
        <v>1026</v>
      </c>
      <c r="G4482" s="924" t="s">
        <v>858</v>
      </c>
      <c r="H4482" s="924" t="s">
        <v>836</v>
      </c>
      <c r="I4482" s="924" t="s">
        <v>837</v>
      </c>
      <c r="J4482" s="924" t="s">
        <v>940</v>
      </c>
      <c r="K4482" s="924" t="s">
        <v>1027</v>
      </c>
      <c r="L4482" s="925">
        <v>275.93376135826099</v>
      </c>
      <c r="M4482" s="925">
        <v>1.16461063129378E-2</v>
      </c>
    </row>
    <row r="4483" spans="1:13" ht="11.25" customHeight="1" x14ac:dyDescent="0.2">
      <c r="A4483" s="924" t="s">
        <v>853</v>
      </c>
      <c r="B4483" s="924" t="s">
        <v>809</v>
      </c>
      <c r="C4483" s="924" t="s">
        <v>1201</v>
      </c>
      <c r="D4483" s="924" t="s">
        <v>855</v>
      </c>
      <c r="E4483" s="924" t="s">
        <v>856</v>
      </c>
      <c r="F4483" s="924" t="s">
        <v>1028</v>
      </c>
      <c r="G4483" s="924" t="s">
        <v>858</v>
      </c>
      <c r="H4483" s="924" t="s">
        <v>836</v>
      </c>
      <c r="I4483" s="924" t="s">
        <v>837</v>
      </c>
      <c r="J4483" s="924" t="s">
        <v>940</v>
      </c>
      <c r="K4483" s="924" t="s">
        <v>1029</v>
      </c>
      <c r="L4483" s="925">
        <v>56.952756375074401</v>
      </c>
      <c r="M4483" s="925">
        <v>3.0893528257856001E-3</v>
      </c>
    </row>
    <row r="4484" spans="1:13" ht="11.25" customHeight="1" x14ac:dyDescent="0.2">
      <c r="A4484" s="924" t="s">
        <v>853</v>
      </c>
      <c r="B4484" s="924" t="s">
        <v>809</v>
      </c>
      <c r="C4484" s="924" t="s">
        <v>1201</v>
      </c>
      <c r="D4484" s="924" t="s">
        <v>855</v>
      </c>
      <c r="E4484" s="924" t="s">
        <v>856</v>
      </c>
      <c r="F4484" s="924" t="s">
        <v>1030</v>
      </c>
      <c r="G4484" s="924" t="s">
        <v>858</v>
      </c>
      <c r="H4484" s="924" t="s">
        <v>836</v>
      </c>
      <c r="I4484" s="924" t="s">
        <v>837</v>
      </c>
      <c r="J4484" s="924" t="s">
        <v>940</v>
      </c>
      <c r="K4484" s="924" t="s">
        <v>941</v>
      </c>
      <c r="L4484" s="925">
        <v>376.15818059444399</v>
      </c>
      <c r="M4484" s="925">
        <v>7.06596777405366E-3</v>
      </c>
    </row>
    <row r="4485" spans="1:13" ht="11.25" customHeight="1" x14ac:dyDescent="0.2">
      <c r="A4485" s="924" t="s">
        <v>853</v>
      </c>
      <c r="B4485" s="924" t="s">
        <v>809</v>
      </c>
      <c r="C4485" s="924" t="s">
        <v>1201</v>
      </c>
      <c r="D4485" s="924" t="s">
        <v>855</v>
      </c>
      <c r="E4485" s="924" t="s">
        <v>856</v>
      </c>
      <c r="F4485" s="924" t="s">
        <v>1031</v>
      </c>
      <c r="G4485" s="924" t="s">
        <v>858</v>
      </c>
      <c r="H4485" s="924" t="s">
        <v>836</v>
      </c>
      <c r="I4485" s="924" t="s">
        <v>837</v>
      </c>
      <c r="J4485" s="924" t="s">
        <v>940</v>
      </c>
      <c r="K4485" s="924" t="s">
        <v>1032</v>
      </c>
      <c r="L4485" s="925">
        <v>44.314668849110603</v>
      </c>
      <c r="M4485" s="925">
        <v>9.2462981955243595E-4</v>
      </c>
    </row>
    <row r="4486" spans="1:13" ht="11.25" customHeight="1" x14ac:dyDescent="0.2">
      <c r="A4486" s="924" t="s">
        <v>853</v>
      </c>
      <c r="B4486" s="924" t="s">
        <v>809</v>
      </c>
      <c r="C4486" s="924" t="s">
        <v>1201</v>
      </c>
      <c r="D4486" s="924" t="s">
        <v>855</v>
      </c>
      <c r="E4486" s="924" t="s">
        <v>856</v>
      </c>
      <c r="F4486" s="924" t="s">
        <v>1033</v>
      </c>
      <c r="G4486" s="924" t="s">
        <v>858</v>
      </c>
      <c r="H4486" s="924" t="s">
        <v>836</v>
      </c>
      <c r="I4486" s="924" t="s">
        <v>837</v>
      </c>
      <c r="J4486" s="924" t="s">
        <v>940</v>
      </c>
      <c r="K4486" s="924" t="s">
        <v>1034</v>
      </c>
      <c r="L4486" s="925">
        <v>1.1253578052855999</v>
      </c>
      <c r="M4486" s="925">
        <v>3.69033875503577E-5</v>
      </c>
    </row>
    <row r="4487" spans="1:13" ht="11.25" customHeight="1" x14ac:dyDescent="0.2">
      <c r="A4487" s="924" t="s">
        <v>853</v>
      </c>
      <c r="B4487" s="924" t="s">
        <v>809</v>
      </c>
      <c r="C4487" s="924" t="s">
        <v>1201</v>
      </c>
      <c r="D4487" s="924" t="s">
        <v>855</v>
      </c>
      <c r="E4487" s="924" t="s">
        <v>856</v>
      </c>
      <c r="F4487" s="924" t="s">
        <v>1035</v>
      </c>
      <c r="G4487" s="924" t="s">
        <v>858</v>
      </c>
      <c r="H4487" s="924" t="s">
        <v>836</v>
      </c>
      <c r="I4487" s="924" t="s">
        <v>837</v>
      </c>
      <c r="J4487" s="924" t="s">
        <v>870</v>
      </c>
      <c r="K4487" s="924" t="s">
        <v>1036</v>
      </c>
      <c r="L4487" s="925">
        <v>7.5390023179352297E-2</v>
      </c>
      <c r="M4487" s="925">
        <v>9.2331450526634395E-6</v>
      </c>
    </row>
    <row r="4488" spans="1:13" ht="11.25" customHeight="1" x14ac:dyDescent="0.2">
      <c r="A4488" s="924" t="s">
        <v>853</v>
      </c>
      <c r="B4488" s="924" t="s">
        <v>809</v>
      </c>
      <c r="C4488" s="924" t="s">
        <v>1201</v>
      </c>
      <c r="D4488" s="924" t="s">
        <v>855</v>
      </c>
      <c r="E4488" s="924" t="s">
        <v>856</v>
      </c>
      <c r="F4488" s="924" t="s">
        <v>953</v>
      </c>
      <c r="G4488" s="924" t="s">
        <v>858</v>
      </c>
      <c r="H4488" s="924" t="s">
        <v>836</v>
      </c>
      <c r="I4488" s="924" t="s">
        <v>837</v>
      </c>
      <c r="J4488" s="924" t="s">
        <v>859</v>
      </c>
      <c r="K4488" s="924" t="s">
        <v>920</v>
      </c>
      <c r="L4488" s="925">
        <v>58.458762288093602</v>
      </c>
      <c r="M4488" s="925">
        <v>7.5404529549416598E-4</v>
      </c>
    </row>
    <row r="4489" spans="1:13" ht="11.25" customHeight="1" x14ac:dyDescent="0.2">
      <c r="A4489" s="924" t="s">
        <v>853</v>
      </c>
      <c r="B4489" s="924" t="s">
        <v>809</v>
      </c>
      <c r="C4489" s="924" t="s">
        <v>1201</v>
      </c>
      <c r="D4489" s="924" t="s">
        <v>855</v>
      </c>
      <c r="E4489" s="924" t="s">
        <v>856</v>
      </c>
      <c r="F4489" s="924" t="s">
        <v>1014</v>
      </c>
      <c r="G4489" s="924" t="s">
        <v>858</v>
      </c>
      <c r="H4489" s="924" t="s">
        <v>836</v>
      </c>
      <c r="I4489" s="924" t="s">
        <v>837</v>
      </c>
      <c r="J4489" s="924" t="s">
        <v>863</v>
      </c>
      <c r="K4489" s="924" t="s">
        <v>933</v>
      </c>
      <c r="L4489" s="925">
        <v>1273.2444419860799</v>
      </c>
      <c r="M4489" s="925">
        <v>9.0139921589980094E-3</v>
      </c>
    </row>
    <row r="4490" spans="1:13" ht="11.25" customHeight="1" x14ac:dyDescent="0.2">
      <c r="A4490" s="924" t="s">
        <v>853</v>
      </c>
      <c r="B4490" s="924" t="s">
        <v>809</v>
      </c>
      <c r="C4490" s="924" t="s">
        <v>1201</v>
      </c>
      <c r="D4490" s="924" t="s">
        <v>855</v>
      </c>
      <c r="E4490" s="924" t="s">
        <v>856</v>
      </c>
      <c r="F4490" s="924" t="s">
        <v>1057</v>
      </c>
      <c r="G4490" s="924" t="s">
        <v>981</v>
      </c>
      <c r="H4490" s="924" t="s">
        <v>835</v>
      </c>
      <c r="I4490" s="924" t="s">
        <v>1040</v>
      </c>
      <c r="J4490" s="924" t="s">
        <v>859</v>
      </c>
      <c r="K4490" s="924" t="s">
        <v>903</v>
      </c>
      <c r="L4490" s="925">
        <v>25.298694103956201</v>
      </c>
      <c r="M4490" s="925">
        <v>1.55469723887336E-2</v>
      </c>
    </row>
    <row r="4491" spans="1:13" ht="11.25" customHeight="1" x14ac:dyDescent="0.2">
      <c r="A4491" s="924" t="s">
        <v>853</v>
      </c>
      <c r="B4491" s="924" t="s">
        <v>809</v>
      </c>
      <c r="C4491" s="924" t="s">
        <v>1201</v>
      </c>
      <c r="D4491" s="924" t="s">
        <v>855</v>
      </c>
      <c r="E4491" s="924" t="s">
        <v>856</v>
      </c>
      <c r="F4491" s="924" t="s">
        <v>1134</v>
      </c>
      <c r="G4491" s="924" t="s">
        <v>981</v>
      </c>
      <c r="H4491" s="924" t="s">
        <v>835</v>
      </c>
      <c r="I4491" s="924" t="s">
        <v>1040</v>
      </c>
      <c r="J4491" s="924" t="s">
        <v>863</v>
      </c>
      <c r="K4491" s="924" t="s">
        <v>933</v>
      </c>
      <c r="L4491" s="925">
        <v>374.29208517074602</v>
      </c>
      <c r="M4491" s="925">
        <v>2.63773574260995E-2</v>
      </c>
    </row>
    <row r="4492" spans="1:13" ht="11.25" customHeight="1" x14ac:dyDescent="0.2">
      <c r="A4492" s="924" t="s">
        <v>853</v>
      </c>
      <c r="B4492" s="924" t="s">
        <v>809</v>
      </c>
      <c r="C4492" s="924" t="s">
        <v>1201</v>
      </c>
      <c r="D4492" s="924" t="s">
        <v>855</v>
      </c>
      <c r="E4492" s="924" t="s">
        <v>856</v>
      </c>
      <c r="F4492" s="924" t="s">
        <v>1044</v>
      </c>
      <c r="G4492" s="924" t="s">
        <v>981</v>
      </c>
      <c r="H4492" s="924" t="s">
        <v>835</v>
      </c>
      <c r="I4492" s="924" t="s">
        <v>1040</v>
      </c>
      <c r="J4492" s="924" t="s">
        <v>884</v>
      </c>
      <c r="K4492" s="924" t="s">
        <v>999</v>
      </c>
      <c r="L4492" s="925">
        <v>86.059841752052293</v>
      </c>
      <c r="M4492" s="925">
        <v>0.11814237324233499</v>
      </c>
    </row>
    <row r="4493" spans="1:13" ht="11.25" customHeight="1" x14ac:dyDescent="0.2">
      <c r="A4493" s="924" t="s">
        <v>853</v>
      </c>
      <c r="B4493" s="924" t="s">
        <v>809</v>
      </c>
      <c r="C4493" s="924" t="s">
        <v>1201</v>
      </c>
      <c r="D4493" s="924" t="s">
        <v>855</v>
      </c>
      <c r="E4493" s="924" t="s">
        <v>856</v>
      </c>
      <c r="F4493" s="924" t="s">
        <v>1045</v>
      </c>
      <c r="G4493" s="924" t="s">
        <v>981</v>
      </c>
      <c r="H4493" s="924" t="s">
        <v>835</v>
      </c>
      <c r="I4493" s="924" t="s">
        <v>1040</v>
      </c>
      <c r="J4493" s="924" t="s">
        <v>884</v>
      </c>
      <c r="K4493" s="924" t="s">
        <v>1046</v>
      </c>
      <c r="L4493" s="925">
        <v>818.88962554931595</v>
      </c>
      <c r="M4493" s="925">
        <v>0.83347261873132095</v>
      </c>
    </row>
    <row r="4494" spans="1:13" ht="11.25" customHeight="1" x14ac:dyDescent="0.2">
      <c r="A4494" s="924" t="s">
        <v>853</v>
      </c>
      <c r="B4494" s="924" t="s">
        <v>809</v>
      </c>
      <c r="C4494" s="924" t="s">
        <v>1201</v>
      </c>
      <c r="D4494" s="924" t="s">
        <v>855</v>
      </c>
      <c r="E4494" s="924" t="s">
        <v>856</v>
      </c>
      <c r="F4494" s="924" t="s">
        <v>1047</v>
      </c>
      <c r="G4494" s="924" t="s">
        <v>981</v>
      </c>
      <c r="H4494" s="924" t="s">
        <v>835</v>
      </c>
      <c r="I4494" s="924" t="s">
        <v>1040</v>
      </c>
      <c r="J4494" s="924" t="s">
        <v>884</v>
      </c>
      <c r="K4494" s="924" t="s">
        <v>1048</v>
      </c>
      <c r="L4494" s="925">
        <v>372.96611309051502</v>
      </c>
      <c r="M4494" s="925">
        <v>0.27956417156383401</v>
      </c>
    </row>
    <row r="4495" spans="1:13" ht="11.25" customHeight="1" x14ac:dyDescent="0.2">
      <c r="A4495" s="924" t="s">
        <v>853</v>
      </c>
      <c r="B4495" s="924" t="s">
        <v>809</v>
      </c>
      <c r="C4495" s="924" t="s">
        <v>1201</v>
      </c>
      <c r="D4495" s="924" t="s">
        <v>855</v>
      </c>
      <c r="E4495" s="924" t="s">
        <v>856</v>
      </c>
      <c r="F4495" s="924" t="s">
        <v>1049</v>
      </c>
      <c r="G4495" s="924" t="s">
        <v>981</v>
      </c>
      <c r="H4495" s="924" t="s">
        <v>835</v>
      </c>
      <c r="I4495" s="924" t="s">
        <v>1040</v>
      </c>
      <c r="J4495" s="924" t="s">
        <v>884</v>
      </c>
      <c r="K4495" s="924" t="s">
        <v>885</v>
      </c>
      <c r="L4495" s="925">
        <v>107.823253512383</v>
      </c>
      <c r="M4495" s="925">
        <v>0.102193363374681</v>
      </c>
    </row>
    <row r="4496" spans="1:13" ht="11.25" customHeight="1" x14ac:dyDescent="0.2">
      <c r="A4496" s="924" t="s">
        <v>853</v>
      </c>
      <c r="B4496" s="924" t="s">
        <v>809</v>
      </c>
      <c r="C4496" s="924" t="s">
        <v>1201</v>
      </c>
      <c r="D4496" s="924" t="s">
        <v>855</v>
      </c>
      <c r="E4496" s="924" t="s">
        <v>856</v>
      </c>
      <c r="F4496" s="924" t="s">
        <v>1050</v>
      </c>
      <c r="G4496" s="924" t="s">
        <v>981</v>
      </c>
      <c r="H4496" s="924" t="s">
        <v>835</v>
      </c>
      <c r="I4496" s="924" t="s">
        <v>1040</v>
      </c>
      <c r="J4496" s="924" t="s">
        <v>859</v>
      </c>
      <c r="K4496" s="924" t="s">
        <v>913</v>
      </c>
      <c r="L4496" s="925">
        <v>8.1354866698384303</v>
      </c>
      <c r="M4496" s="925">
        <v>4.7994065540706296E-3</v>
      </c>
    </row>
    <row r="4497" spans="1:13" ht="11.25" customHeight="1" x14ac:dyDescent="0.2">
      <c r="A4497" s="924" t="s">
        <v>853</v>
      </c>
      <c r="B4497" s="924" t="s">
        <v>809</v>
      </c>
      <c r="C4497" s="924" t="s">
        <v>1201</v>
      </c>
      <c r="D4497" s="924" t="s">
        <v>855</v>
      </c>
      <c r="E4497" s="924" t="s">
        <v>856</v>
      </c>
      <c r="F4497" s="924" t="s">
        <v>1051</v>
      </c>
      <c r="G4497" s="924" t="s">
        <v>981</v>
      </c>
      <c r="H4497" s="924" t="s">
        <v>835</v>
      </c>
      <c r="I4497" s="924" t="s">
        <v>1040</v>
      </c>
      <c r="J4497" s="924" t="s">
        <v>859</v>
      </c>
      <c r="K4497" s="924" t="s">
        <v>889</v>
      </c>
      <c r="L4497" s="925">
        <v>6.0879380791448098E-2</v>
      </c>
      <c r="M4497" s="925">
        <v>3.9423234454716301E-5</v>
      </c>
    </row>
    <row r="4498" spans="1:13" ht="11.25" customHeight="1" x14ac:dyDescent="0.2">
      <c r="A4498" s="924" t="s">
        <v>853</v>
      </c>
      <c r="B4498" s="924" t="s">
        <v>809</v>
      </c>
      <c r="C4498" s="924" t="s">
        <v>1201</v>
      </c>
      <c r="D4498" s="924" t="s">
        <v>855</v>
      </c>
      <c r="E4498" s="924" t="s">
        <v>856</v>
      </c>
      <c r="F4498" s="924" t="s">
        <v>1052</v>
      </c>
      <c r="G4498" s="924" t="s">
        <v>981</v>
      </c>
      <c r="H4498" s="924" t="s">
        <v>835</v>
      </c>
      <c r="I4498" s="924" t="s">
        <v>1040</v>
      </c>
      <c r="J4498" s="924" t="s">
        <v>859</v>
      </c>
      <c r="K4498" s="924" t="s">
        <v>860</v>
      </c>
      <c r="L4498" s="925">
        <v>15.323480024933801</v>
      </c>
      <c r="M4498" s="925">
        <v>1.0769216663902599E-2</v>
      </c>
    </row>
    <row r="4499" spans="1:13" ht="11.25" customHeight="1" x14ac:dyDescent="0.2">
      <c r="A4499" s="924" t="s">
        <v>853</v>
      </c>
      <c r="B4499" s="924" t="s">
        <v>809</v>
      </c>
      <c r="C4499" s="924" t="s">
        <v>1201</v>
      </c>
      <c r="D4499" s="924" t="s">
        <v>855</v>
      </c>
      <c r="E4499" s="924" t="s">
        <v>856</v>
      </c>
      <c r="F4499" s="924" t="s">
        <v>1053</v>
      </c>
      <c r="G4499" s="924" t="s">
        <v>981</v>
      </c>
      <c r="H4499" s="924" t="s">
        <v>835</v>
      </c>
      <c r="I4499" s="924" t="s">
        <v>1040</v>
      </c>
      <c r="J4499" s="924" t="s">
        <v>859</v>
      </c>
      <c r="K4499" s="924" t="s">
        <v>893</v>
      </c>
      <c r="L4499" s="925">
        <v>14.4246237426996</v>
      </c>
      <c r="M4499" s="925">
        <v>8.7448231570306199E-3</v>
      </c>
    </row>
    <row r="4500" spans="1:13" ht="11.25" customHeight="1" x14ac:dyDescent="0.2">
      <c r="A4500" s="924" t="s">
        <v>853</v>
      </c>
      <c r="B4500" s="924" t="s">
        <v>809</v>
      </c>
      <c r="C4500" s="924" t="s">
        <v>1201</v>
      </c>
      <c r="D4500" s="924" t="s">
        <v>855</v>
      </c>
      <c r="E4500" s="924" t="s">
        <v>856</v>
      </c>
      <c r="F4500" s="924" t="s">
        <v>1068</v>
      </c>
      <c r="G4500" s="924" t="s">
        <v>981</v>
      </c>
      <c r="H4500" s="924" t="s">
        <v>835</v>
      </c>
      <c r="I4500" s="924" t="s">
        <v>1040</v>
      </c>
      <c r="J4500" s="924" t="s">
        <v>859</v>
      </c>
      <c r="K4500" s="924" t="s">
        <v>897</v>
      </c>
      <c r="L4500" s="925">
        <v>28.759824424982099</v>
      </c>
      <c r="M4500" s="925">
        <v>1.91309076516291E-2</v>
      </c>
    </row>
    <row r="4501" spans="1:13" ht="11.25" customHeight="1" x14ac:dyDescent="0.2">
      <c r="A4501" s="924" t="s">
        <v>853</v>
      </c>
      <c r="B4501" s="924" t="s">
        <v>809</v>
      </c>
      <c r="C4501" s="924" t="s">
        <v>1201</v>
      </c>
      <c r="D4501" s="924" t="s">
        <v>855</v>
      </c>
      <c r="E4501" s="924" t="s">
        <v>856</v>
      </c>
      <c r="F4501" s="924" t="s">
        <v>1082</v>
      </c>
      <c r="G4501" s="924" t="s">
        <v>981</v>
      </c>
      <c r="H4501" s="924" t="s">
        <v>835</v>
      </c>
      <c r="I4501" s="924" t="s">
        <v>998</v>
      </c>
      <c r="J4501" s="924" t="s">
        <v>875</v>
      </c>
      <c r="K4501" s="924" t="s">
        <v>952</v>
      </c>
      <c r="L4501" s="925">
        <v>0.24383603222668199</v>
      </c>
      <c r="M4501" s="925">
        <v>5.44828342299297E-4</v>
      </c>
    </row>
    <row r="4502" spans="1:13" ht="11.25" customHeight="1" x14ac:dyDescent="0.2">
      <c r="A4502" s="924" t="s">
        <v>853</v>
      </c>
      <c r="B4502" s="924" t="s">
        <v>809</v>
      </c>
      <c r="C4502" s="924" t="s">
        <v>1201</v>
      </c>
      <c r="D4502" s="924" t="s">
        <v>855</v>
      </c>
      <c r="E4502" s="924" t="s">
        <v>856</v>
      </c>
      <c r="F4502" s="924" t="s">
        <v>1039</v>
      </c>
      <c r="G4502" s="924" t="s">
        <v>981</v>
      </c>
      <c r="H4502" s="924" t="s">
        <v>835</v>
      </c>
      <c r="I4502" s="924" t="s">
        <v>1040</v>
      </c>
      <c r="J4502" s="924" t="s">
        <v>859</v>
      </c>
      <c r="K4502" s="924" t="s">
        <v>901</v>
      </c>
      <c r="L4502" s="925">
        <v>0.63191182725131501</v>
      </c>
      <c r="M4502" s="925">
        <v>4.64486262444552E-4</v>
      </c>
    </row>
    <row r="4503" spans="1:13" ht="11.25" customHeight="1" x14ac:dyDescent="0.2">
      <c r="A4503" s="924" t="s">
        <v>853</v>
      </c>
      <c r="B4503" s="924" t="s">
        <v>809</v>
      </c>
      <c r="C4503" s="924" t="s">
        <v>1201</v>
      </c>
      <c r="D4503" s="924" t="s">
        <v>855</v>
      </c>
      <c r="E4503" s="924" t="s">
        <v>856</v>
      </c>
      <c r="F4503" s="924" t="s">
        <v>917</v>
      </c>
      <c r="G4503" s="924" t="s">
        <v>911</v>
      </c>
      <c r="H4503" s="924" t="s">
        <v>665</v>
      </c>
      <c r="I4503" s="924" t="s">
        <v>706</v>
      </c>
      <c r="J4503" s="924" t="s">
        <v>859</v>
      </c>
      <c r="K4503" s="924" t="s">
        <v>918</v>
      </c>
      <c r="L4503" s="925">
        <v>1.3279297724366199</v>
      </c>
      <c r="M4503" s="925">
        <v>4.2877269805785502E-4</v>
      </c>
    </row>
    <row r="4504" spans="1:13" ht="11.25" customHeight="1" x14ac:dyDescent="0.2">
      <c r="A4504" s="924" t="s">
        <v>853</v>
      </c>
      <c r="B4504" s="924" t="s">
        <v>809</v>
      </c>
      <c r="C4504" s="924" t="s">
        <v>1201</v>
      </c>
      <c r="D4504" s="924" t="s">
        <v>855</v>
      </c>
      <c r="E4504" s="924" t="s">
        <v>856</v>
      </c>
      <c r="F4504" s="924" t="s">
        <v>1058</v>
      </c>
      <c r="G4504" s="924" t="s">
        <v>981</v>
      </c>
      <c r="H4504" s="924" t="s">
        <v>835</v>
      </c>
      <c r="I4504" s="924" t="s">
        <v>1040</v>
      </c>
      <c r="J4504" s="924" t="s">
        <v>859</v>
      </c>
      <c r="K4504" s="924" t="s">
        <v>905</v>
      </c>
      <c r="L4504" s="925">
        <v>8.8718930110335403</v>
      </c>
      <c r="M4504" s="925">
        <v>6.9969645533092296E-3</v>
      </c>
    </row>
    <row r="4505" spans="1:13" ht="11.25" customHeight="1" x14ac:dyDescent="0.2">
      <c r="A4505" s="924" t="s">
        <v>853</v>
      </c>
      <c r="B4505" s="924" t="s">
        <v>809</v>
      </c>
      <c r="C4505" s="924" t="s">
        <v>1201</v>
      </c>
      <c r="D4505" s="924" t="s">
        <v>855</v>
      </c>
      <c r="E4505" s="924" t="s">
        <v>856</v>
      </c>
      <c r="F4505" s="924" t="s">
        <v>1059</v>
      </c>
      <c r="G4505" s="924" t="s">
        <v>981</v>
      </c>
      <c r="H4505" s="924" t="s">
        <v>835</v>
      </c>
      <c r="I4505" s="924" t="s">
        <v>1040</v>
      </c>
      <c r="J4505" s="924" t="s">
        <v>859</v>
      </c>
      <c r="K4505" s="924" t="s">
        <v>909</v>
      </c>
      <c r="L4505" s="925">
        <v>52.872923374175997</v>
      </c>
      <c r="M4505" s="925">
        <v>3.6404788872459903E-2</v>
      </c>
    </row>
    <row r="4506" spans="1:13" ht="11.25" customHeight="1" x14ac:dyDescent="0.2">
      <c r="A4506" s="924" t="s">
        <v>853</v>
      </c>
      <c r="B4506" s="924" t="s">
        <v>809</v>
      </c>
      <c r="C4506" s="924" t="s">
        <v>1201</v>
      </c>
      <c r="D4506" s="924" t="s">
        <v>855</v>
      </c>
      <c r="E4506" s="924" t="s">
        <v>856</v>
      </c>
      <c r="F4506" s="924" t="s">
        <v>1060</v>
      </c>
      <c r="G4506" s="924" t="s">
        <v>981</v>
      </c>
      <c r="H4506" s="924" t="s">
        <v>835</v>
      </c>
      <c r="I4506" s="924" t="s">
        <v>1040</v>
      </c>
      <c r="J4506" s="924" t="s">
        <v>859</v>
      </c>
      <c r="K4506" s="924" t="s">
        <v>973</v>
      </c>
      <c r="L4506" s="925">
        <v>25.360828816890699</v>
      </c>
      <c r="M4506" s="925">
        <v>1.7189178956442699E-2</v>
      </c>
    </row>
    <row r="4507" spans="1:13" ht="11.25" customHeight="1" x14ac:dyDescent="0.2">
      <c r="A4507" s="924" t="s">
        <v>853</v>
      </c>
      <c r="B4507" s="924" t="s">
        <v>809</v>
      </c>
      <c r="C4507" s="924" t="s">
        <v>1201</v>
      </c>
      <c r="D4507" s="924" t="s">
        <v>855</v>
      </c>
      <c r="E4507" s="924" t="s">
        <v>856</v>
      </c>
      <c r="F4507" s="924" t="s">
        <v>1061</v>
      </c>
      <c r="G4507" s="924" t="s">
        <v>981</v>
      </c>
      <c r="H4507" s="924" t="s">
        <v>835</v>
      </c>
      <c r="I4507" s="924" t="s">
        <v>1040</v>
      </c>
      <c r="J4507" s="924" t="s">
        <v>859</v>
      </c>
      <c r="K4507" s="924" t="s">
        <v>918</v>
      </c>
      <c r="L4507" s="925">
        <v>1.96452399156988</v>
      </c>
      <c r="M4507" s="925">
        <v>8.6248921775222698E-4</v>
      </c>
    </row>
    <row r="4508" spans="1:13" ht="11.25" customHeight="1" x14ac:dyDescent="0.2">
      <c r="A4508" s="924" t="s">
        <v>853</v>
      </c>
      <c r="B4508" s="924" t="s">
        <v>809</v>
      </c>
      <c r="C4508" s="924" t="s">
        <v>1201</v>
      </c>
      <c r="D4508" s="924" t="s">
        <v>855</v>
      </c>
      <c r="E4508" s="924" t="s">
        <v>856</v>
      </c>
      <c r="F4508" s="924" t="s">
        <v>1062</v>
      </c>
      <c r="G4508" s="924" t="s">
        <v>981</v>
      </c>
      <c r="H4508" s="924" t="s">
        <v>835</v>
      </c>
      <c r="I4508" s="924" t="s">
        <v>1040</v>
      </c>
      <c r="J4508" s="924" t="s">
        <v>859</v>
      </c>
      <c r="K4508" s="924" t="s">
        <v>920</v>
      </c>
      <c r="L4508" s="925">
        <v>3.4228474721312501</v>
      </c>
      <c r="M4508" s="925">
        <v>2.3087198064786199E-3</v>
      </c>
    </row>
    <row r="4509" spans="1:13" ht="11.25" customHeight="1" x14ac:dyDescent="0.2">
      <c r="A4509" s="924" t="s">
        <v>853</v>
      </c>
      <c r="B4509" s="924" t="s">
        <v>809</v>
      </c>
      <c r="C4509" s="924" t="s">
        <v>1201</v>
      </c>
      <c r="D4509" s="924" t="s">
        <v>855</v>
      </c>
      <c r="E4509" s="924" t="s">
        <v>856</v>
      </c>
      <c r="F4509" s="924" t="s">
        <v>1063</v>
      </c>
      <c r="G4509" s="924" t="s">
        <v>981</v>
      </c>
      <c r="H4509" s="924" t="s">
        <v>835</v>
      </c>
      <c r="I4509" s="924" t="s">
        <v>1040</v>
      </c>
      <c r="J4509" s="924" t="s">
        <v>859</v>
      </c>
      <c r="K4509" s="924" t="s">
        <v>922</v>
      </c>
      <c r="L4509" s="925">
        <v>3.0080767050385502</v>
      </c>
      <c r="M4509" s="925">
        <v>5.4235353820786302E-4</v>
      </c>
    </row>
    <row r="4510" spans="1:13" ht="11.25" customHeight="1" x14ac:dyDescent="0.2">
      <c r="A4510" s="924" t="s">
        <v>853</v>
      </c>
      <c r="B4510" s="924" t="s">
        <v>809</v>
      </c>
      <c r="C4510" s="924" t="s">
        <v>1201</v>
      </c>
      <c r="D4510" s="924" t="s">
        <v>855</v>
      </c>
      <c r="E4510" s="924" t="s">
        <v>856</v>
      </c>
      <c r="F4510" s="924" t="s">
        <v>1064</v>
      </c>
      <c r="G4510" s="924" t="s">
        <v>981</v>
      </c>
      <c r="H4510" s="924" t="s">
        <v>835</v>
      </c>
      <c r="I4510" s="924" t="s">
        <v>1040</v>
      </c>
      <c r="J4510" s="924" t="s">
        <v>859</v>
      </c>
      <c r="K4510" s="924" t="s">
        <v>924</v>
      </c>
      <c r="L4510" s="925">
        <v>7.2451288774609601</v>
      </c>
      <c r="M4510" s="925">
        <v>5.3959135266268298E-4</v>
      </c>
    </row>
    <row r="4511" spans="1:13" ht="11.25" customHeight="1" x14ac:dyDescent="0.2">
      <c r="A4511" s="924" t="s">
        <v>853</v>
      </c>
      <c r="B4511" s="924" t="s">
        <v>809</v>
      </c>
      <c r="C4511" s="924" t="s">
        <v>1201</v>
      </c>
      <c r="D4511" s="924" t="s">
        <v>855</v>
      </c>
      <c r="E4511" s="924" t="s">
        <v>856</v>
      </c>
      <c r="F4511" s="924" t="s">
        <v>1065</v>
      </c>
      <c r="G4511" s="924" t="s">
        <v>981</v>
      </c>
      <c r="H4511" s="924" t="s">
        <v>835</v>
      </c>
      <c r="I4511" s="924" t="s">
        <v>1040</v>
      </c>
      <c r="J4511" s="924" t="s">
        <v>859</v>
      </c>
      <c r="K4511" s="924" t="s">
        <v>926</v>
      </c>
      <c r="L4511" s="925">
        <v>17.355673357844399</v>
      </c>
      <c r="M4511" s="925">
        <v>1.14844807831105E-2</v>
      </c>
    </row>
    <row r="4512" spans="1:13" ht="11.25" customHeight="1" x14ac:dyDescent="0.2">
      <c r="A4512" s="924" t="s">
        <v>853</v>
      </c>
      <c r="B4512" s="924" t="s">
        <v>809</v>
      </c>
      <c r="C4512" s="924" t="s">
        <v>1201</v>
      </c>
      <c r="D4512" s="924" t="s">
        <v>855</v>
      </c>
      <c r="E4512" s="924" t="s">
        <v>856</v>
      </c>
      <c r="F4512" s="924" t="s">
        <v>1067</v>
      </c>
      <c r="G4512" s="924" t="s">
        <v>981</v>
      </c>
      <c r="H4512" s="924" t="s">
        <v>835</v>
      </c>
      <c r="I4512" s="924" t="s">
        <v>1040</v>
      </c>
      <c r="J4512" s="924" t="s">
        <v>859</v>
      </c>
      <c r="K4512" s="924" t="s">
        <v>1011</v>
      </c>
      <c r="L4512" s="925">
        <v>3.9162721820175599</v>
      </c>
      <c r="M4512" s="925">
        <v>2.76832351721623E-3</v>
      </c>
    </row>
    <row r="4513" spans="1:13" ht="11.25" customHeight="1" x14ac:dyDescent="0.2">
      <c r="A4513" s="924" t="s">
        <v>853</v>
      </c>
      <c r="B4513" s="924" t="s">
        <v>809</v>
      </c>
      <c r="C4513" s="924" t="s">
        <v>1201</v>
      </c>
      <c r="D4513" s="924" t="s">
        <v>855</v>
      </c>
      <c r="E4513" s="924" t="s">
        <v>856</v>
      </c>
      <c r="F4513" s="924" t="s">
        <v>1138</v>
      </c>
      <c r="G4513" s="924" t="s">
        <v>981</v>
      </c>
      <c r="H4513" s="924" t="s">
        <v>835</v>
      </c>
      <c r="I4513" s="924" t="s">
        <v>1040</v>
      </c>
      <c r="J4513" s="924" t="s">
        <v>863</v>
      </c>
      <c r="K4513" s="924" t="s">
        <v>931</v>
      </c>
      <c r="L4513" s="925">
        <v>97.540369033813505</v>
      </c>
      <c r="M4513" s="925">
        <v>3.74888962069235E-2</v>
      </c>
    </row>
    <row r="4514" spans="1:13" ht="11.25" customHeight="1" x14ac:dyDescent="0.2">
      <c r="A4514" s="924" t="s">
        <v>853</v>
      </c>
      <c r="B4514" s="924" t="s">
        <v>809</v>
      </c>
      <c r="C4514" s="924" t="s">
        <v>1201</v>
      </c>
      <c r="D4514" s="924" t="s">
        <v>855</v>
      </c>
      <c r="E4514" s="924" t="s">
        <v>856</v>
      </c>
      <c r="F4514" s="924" t="s">
        <v>1055</v>
      </c>
      <c r="G4514" s="924" t="s">
        <v>981</v>
      </c>
      <c r="H4514" s="924" t="s">
        <v>835</v>
      </c>
      <c r="I4514" s="924" t="s">
        <v>1040</v>
      </c>
      <c r="J4514" s="924" t="s">
        <v>859</v>
      </c>
      <c r="K4514" s="924" t="s">
        <v>899</v>
      </c>
      <c r="L4514" s="925">
        <v>12.1219672858715</v>
      </c>
      <c r="M4514" s="925">
        <v>8.5015568803257207E-3</v>
      </c>
    </row>
    <row r="4515" spans="1:13" ht="11.25" customHeight="1" x14ac:dyDescent="0.2">
      <c r="A4515" s="924" t="s">
        <v>853</v>
      </c>
      <c r="B4515" s="924" t="s">
        <v>809</v>
      </c>
      <c r="C4515" s="924" t="s">
        <v>1201</v>
      </c>
      <c r="D4515" s="924" t="s">
        <v>855</v>
      </c>
      <c r="E4515" s="924" t="s">
        <v>856</v>
      </c>
      <c r="F4515" s="924" t="s">
        <v>1069</v>
      </c>
      <c r="G4515" s="924" t="s">
        <v>981</v>
      </c>
      <c r="H4515" s="924" t="s">
        <v>835</v>
      </c>
      <c r="I4515" s="924" t="s">
        <v>998</v>
      </c>
      <c r="J4515" s="924" t="s">
        <v>940</v>
      </c>
      <c r="K4515" s="924" t="s">
        <v>1070</v>
      </c>
      <c r="L4515" s="925">
        <v>14.3315071575344</v>
      </c>
      <c r="M4515" s="925">
        <v>2.6609182546963001E-2</v>
      </c>
    </row>
    <row r="4516" spans="1:13" ht="11.25" customHeight="1" x14ac:dyDescent="0.2">
      <c r="A4516" s="924" t="s">
        <v>853</v>
      </c>
      <c r="B4516" s="924" t="s">
        <v>809</v>
      </c>
      <c r="C4516" s="924" t="s">
        <v>1201</v>
      </c>
      <c r="D4516" s="924" t="s">
        <v>855</v>
      </c>
      <c r="E4516" s="924" t="s">
        <v>856</v>
      </c>
      <c r="F4516" s="924" t="s">
        <v>1041</v>
      </c>
      <c r="G4516" s="924" t="s">
        <v>981</v>
      </c>
      <c r="H4516" s="924" t="s">
        <v>835</v>
      </c>
      <c r="I4516" s="924" t="s">
        <v>1040</v>
      </c>
      <c r="J4516" s="924" t="s">
        <v>859</v>
      </c>
      <c r="K4516" s="924" t="s">
        <v>891</v>
      </c>
      <c r="L4516" s="925">
        <v>2.7077576741576199</v>
      </c>
      <c r="M4516" s="925">
        <v>1.35234578897325E-3</v>
      </c>
    </row>
    <row r="4517" spans="1:13" ht="11.25" customHeight="1" x14ac:dyDescent="0.2">
      <c r="A4517" s="924" t="s">
        <v>853</v>
      </c>
      <c r="B4517" s="924" t="s">
        <v>809</v>
      </c>
      <c r="C4517" s="924" t="s">
        <v>1201</v>
      </c>
      <c r="D4517" s="924" t="s">
        <v>855</v>
      </c>
      <c r="E4517" s="924" t="s">
        <v>856</v>
      </c>
      <c r="F4517" s="924" t="s">
        <v>1073</v>
      </c>
      <c r="G4517" s="924" t="s">
        <v>981</v>
      </c>
      <c r="H4517" s="924" t="s">
        <v>835</v>
      </c>
      <c r="I4517" s="924" t="s">
        <v>998</v>
      </c>
      <c r="J4517" s="924" t="s">
        <v>884</v>
      </c>
      <c r="K4517" s="924" t="s">
        <v>1046</v>
      </c>
      <c r="L4517" s="925">
        <v>85.588096857070894</v>
      </c>
      <c r="M4517" s="925">
        <v>0.144509856123477</v>
      </c>
    </row>
    <row r="4518" spans="1:13" ht="11.25" customHeight="1" x14ac:dyDescent="0.2">
      <c r="A4518" s="924" t="s">
        <v>853</v>
      </c>
      <c r="B4518" s="924" t="s">
        <v>809</v>
      </c>
      <c r="C4518" s="924" t="s">
        <v>1201</v>
      </c>
      <c r="D4518" s="924" t="s">
        <v>855</v>
      </c>
      <c r="E4518" s="924" t="s">
        <v>856</v>
      </c>
      <c r="F4518" s="924" t="s">
        <v>1085</v>
      </c>
      <c r="G4518" s="924" t="s">
        <v>981</v>
      </c>
      <c r="H4518" s="924" t="s">
        <v>835</v>
      </c>
      <c r="I4518" s="924" t="s">
        <v>998</v>
      </c>
      <c r="J4518" s="924" t="s">
        <v>884</v>
      </c>
      <c r="K4518" s="924" t="s">
        <v>885</v>
      </c>
      <c r="L4518" s="925">
        <v>114.79876971244801</v>
      </c>
      <c r="M4518" s="925">
        <v>8.4323944291099906E-2</v>
      </c>
    </row>
    <row r="4519" spans="1:13" ht="11.25" customHeight="1" x14ac:dyDescent="0.2">
      <c r="A4519" s="924" t="s">
        <v>853</v>
      </c>
      <c r="B4519" s="924" t="s">
        <v>809</v>
      </c>
      <c r="C4519" s="924" t="s">
        <v>1201</v>
      </c>
      <c r="D4519" s="924" t="s">
        <v>855</v>
      </c>
      <c r="E4519" s="924" t="s">
        <v>856</v>
      </c>
      <c r="F4519" s="924" t="s">
        <v>1075</v>
      </c>
      <c r="G4519" s="924" t="s">
        <v>981</v>
      </c>
      <c r="H4519" s="924" t="s">
        <v>835</v>
      </c>
      <c r="I4519" s="924" t="s">
        <v>998</v>
      </c>
      <c r="J4519" s="924" t="s">
        <v>859</v>
      </c>
      <c r="K4519" s="924" t="s">
        <v>889</v>
      </c>
      <c r="L4519" s="925">
        <v>9.1947447732091003</v>
      </c>
      <c r="M4519" s="925">
        <v>1.4881277427775799E-2</v>
      </c>
    </row>
    <row r="4520" spans="1:13" ht="11.25" customHeight="1" x14ac:dyDescent="0.2">
      <c r="A4520" s="924" t="s">
        <v>853</v>
      </c>
      <c r="B4520" s="924" t="s">
        <v>809</v>
      </c>
      <c r="C4520" s="924" t="s">
        <v>1201</v>
      </c>
      <c r="D4520" s="924" t="s">
        <v>855</v>
      </c>
      <c r="E4520" s="924" t="s">
        <v>856</v>
      </c>
      <c r="F4520" s="924" t="s">
        <v>1076</v>
      </c>
      <c r="G4520" s="924" t="s">
        <v>981</v>
      </c>
      <c r="H4520" s="924" t="s">
        <v>835</v>
      </c>
      <c r="I4520" s="924" t="s">
        <v>998</v>
      </c>
      <c r="J4520" s="924" t="s">
        <v>859</v>
      </c>
      <c r="K4520" s="924" t="s">
        <v>860</v>
      </c>
      <c r="L4520" s="925">
        <v>0.59607524098828402</v>
      </c>
      <c r="M4520" s="925">
        <v>1.23148107377347E-3</v>
      </c>
    </row>
    <row r="4521" spans="1:13" ht="11.25" customHeight="1" x14ac:dyDescent="0.2">
      <c r="A4521" s="924" t="s">
        <v>853</v>
      </c>
      <c r="B4521" s="924" t="s">
        <v>809</v>
      </c>
      <c r="C4521" s="924" t="s">
        <v>1201</v>
      </c>
      <c r="D4521" s="924" t="s">
        <v>855</v>
      </c>
      <c r="E4521" s="924" t="s">
        <v>856</v>
      </c>
      <c r="F4521" s="924" t="s">
        <v>1077</v>
      </c>
      <c r="G4521" s="924" t="s">
        <v>981</v>
      </c>
      <c r="H4521" s="924" t="s">
        <v>835</v>
      </c>
      <c r="I4521" s="924" t="s">
        <v>998</v>
      </c>
      <c r="J4521" s="924" t="s">
        <v>859</v>
      </c>
      <c r="K4521" s="924" t="s">
        <v>897</v>
      </c>
      <c r="L4521" s="925">
        <v>0.71250236686319102</v>
      </c>
      <c r="M4521" s="925">
        <v>1.4920857356628401E-3</v>
      </c>
    </row>
    <row r="4522" spans="1:13" ht="11.25" customHeight="1" x14ac:dyDescent="0.2">
      <c r="A4522" s="924" t="s">
        <v>853</v>
      </c>
      <c r="B4522" s="924" t="s">
        <v>809</v>
      </c>
      <c r="C4522" s="924" t="s">
        <v>1201</v>
      </c>
      <c r="D4522" s="924" t="s">
        <v>855</v>
      </c>
      <c r="E4522" s="924" t="s">
        <v>856</v>
      </c>
      <c r="F4522" s="924" t="s">
        <v>1078</v>
      </c>
      <c r="G4522" s="924" t="s">
        <v>981</v>
      </c>
      <c r="H4522" s="924" t="s">
        <v>835</v>
      </c>
      <c r="I4522" s="924" t="s">
        <v>998</v>
      </c>
      <c r="J4522" s="924" t="s">
        <v>859</v>
      </c>
      <c r="K4522" s="924" t="s">
        <v>901</v>
      </c>
      <c r="L4522" s="925">
        <v>4.9371067434549297E-3</v>
      </c>
      <c r="M4522" s="925">
        <v>1.10315049539622E-5</v>
      </c>
    </row>
    <row r="4523" spans="1:13" ht="11.25" customHeight="1" x14ac:dyDescent="0.2">
      <c r="A4523" s="924" t="s">
        <v>853</v>
      </c>
      <c r="B4523" s="924" t="s">
        <v>809</v>
      </c>
      <c r="C4523" s="924" t="s">
        <v>1201</v>
      </c>
      <c r="D4523" s="924" t="s">
        <v>855</v>
      </c>
      <c r="E4523" s="924" t="s">
        <v>856</v>
      </c>
      <c r="F4523" s="924" t="s">
        <v>1079</v>
      </c>
      <c r="G4523" s="924" t="s">
        <v>981</v>
      </c>
      <c r="H4523" s="924" t="s">
        <v>835</v>
      </c>
      <c r="I4523" s="924" t="s">
        <v>998</v>
      </c>
      <c r="J4523" s="924" t="s">
        <v>859</v>
      </c>
      <c r="K4523" s="924" t="s">
        <v>909</v>
      </c>
      <c r="L4523" s="925">
        <v>23.7431156933308</v>
      </c>
      <c r="M4523" s="925">
        <v>4.2521077790297603E-2</v>
      </c>
    </row>
    <row r="4524" spans="1:13" ht="11.25" customHeight="1" x14ac:dyDescent="0.2">
      <c r="A4524" s="924" t="s">
        <v>853</v>
      </c>
      <c r="B4524" s="924" t="s">
        <v>809</v>
      </c>
      <c r="C4524" s="924" t="s">
        <v>1201</v>
      </c>
      <c r="D4524" s="924" t="s">
        <v>855</v>
      </c>
      <c r="E4524" s="924" t="s">
        <v>856</v>
      </c>
      <c r="F4524" s="924" t="s">
        <v>1080</v>
      </c>
      <c r="G4524" s="924" t="s">
        <v>981</v>
      </c>
      <c r="H4524" s="924" t="s">
        <v>835</v>
      </c>
      <c r="I4524" s="924" t="s">
        <v>998</v>
      </c>
      <c r="J4524" s="924" t="s">
        <v>859</v>
      </c>
      <c r="K4524" s="924" t="s">
        <v>920</v>
      </c>
      <c r="L4524" s="925">
        <v>0.139142492553219</v>
      </c>
      <c r="M4524" s="925">
        <v>3.1090054926608001E-4</v>
      </c>
    </row>
    <row r="4525" spans="1:13" ht="11.25" customHeight="1" x14ac:dyDescent="0.2">
      <c r="A4525" s="924" t="s">
        <v>853</v>
      </c>
      <c r="B4525" s="924" t="s">
        <v>809</v>
      </c>
      <c r="C4525" s="924" t="s">
        <v>1201</v>
      </c>
      <c r="D4525" s="924" t="s">
        <v>855</v>
      </c>
      <c r="E4525" s="924" t="s">
        <v>856</v>
      </c>
      <c r="F4525" s="924" t="s">
        <v>1081</v>
      </c>
      <c r="G4525" s="924" t="s">
        <v>981</v>
      </c>
      <c r="H4525" s="924" t="s">
        <v>835</v>
      </c>
      <c r="I4525" s="924" t="s">
        <v>998</v>
      </c>
      <c r="J4525" s="924" t="s">
        <v>863</v>
      </c>
      <c r="K4525" s="924" t="s">
        <v>935</v>
      </c>
      <c r="L4525" s="925">
        <v>0.894398191012442</v>
      </c>
      <c r="M4525" s="925">
        <v>1.9984496302640799E-3</v>
      </c>
    </row>
    <row r="4526" spans="1:13" ht="11.25" customHeight="1" x14ac:dyDescent="0.2">
      <c r="A4526" s="924" t="s">
        <v>853</v>
      </c>
      <c r="B4526" s="924" t="s">
        <v>809</v>
      </c>
      <c r="C4526" s="924" t="s">
        <v>1201</v>
      </c>
      <c r="D4526" s="924" t="s">
        <v>855</v>
      </c>
      <c r="E4526" s="924" t="s">
        <v>856</v>
      </c>
      <c r="F4526" s="924" t="s">
        <v>997</v>
      </c>
      <c r="G4526" s="924" t="s">
        <v>981</v>
      </c>
      <c r="H4526" s="924" t="s">
        <v>835</v>
      </c>
      <c r="I4526" s="924" t="s">
        <v>998</v>
      </c>
      <c r="J4526" s="924" t="s">
        <v>884</v>
      </c>
      <c r="K4526" s="924" t="s">
        <v>999</v>
      </c>
      <c r="L4526" s="925">
        <v>188.889589071274</v>
      </c>
      <c r="M4526" s="925">
        <v>0.60174027550965503</v>
      </c>
    </row>
    <row r="4527" spans="1:13" ht="11.25" customHeight="1" x14ac:dyDescent="0.2">
      <c r="A4527" s="924" t="s">
        <v>853</v>
      </c>
      <c r="B4527" s="924" t="s">
        <v>809</v>
      </c>
      <c r="C4527" s="924" t="s">
        <v>1201</v>
      </c>
      <c r="D4527" s="924" t="s">
        <v>855</v>
      </c>
      <c r="E4527" s="924" t="s">
        <v>856</v>
      </c>
      <c r="F4527" s="924" t="s">
        <v>1083</v>
      </c>
      <c r="G4527" s="924" t="s">
        <v>981</v>
      </c>
      <c r="H4527" s="924" t="s">
        <v>835</v>
      </c>
      <c r="I4527" s="924" t="s">
        <v>998</v>
      </c>
      <c r="J4527" s="924" t="s">
        <v>940</v>
      </c>
      <c r="K4527" s="924" t="s">
        <v>1084</v>
      </c>
      <c r="L4527" s="925">
        <v>3.16657632216811</v>
      </c>
      <c r="M4527" s="925">
        <v>5.7851236524584203E-3</v>
      </c>
    </row>
    <row r="4528" spans="1:13" ht="11.25" customHeight="1" x14ac:dyDescent="0.2">
      <c r="A4528" s="924" t="s">
        <v>853</v>
      </c>
      <c r="B4528" s="924" t="s">
        <v>809</v>
      </c>
      <c r="C4528" s="924" t="s">
        <v>1201</v>
      </c>
      <c r="D4528" s="924" t="s">
        <v>855</v>
      </c>
      <c r="E4528" s="924" t="s">
        <v>856</v>
      </c>
      <c r="F4528" s="924" t="s">
        <v>1042</v>
      </c>
      <c r="G4528" s="924" t="s">
        <v>981</v>
      </c>
      <c r="H4528" s="924" t="s">
        <v>835</v>
      </c>
      <c r="I4528" s="924" t="s">
        <v>998</v>
      </c>
      <c r="J4528" s="924" t="s">
        <v>956</v>
      </c>
      <c r="K4528" s="924" t="s">
        <v>1043</v>
      </c>
      <c r="L4528" s="925">
        <v>19.1743747591972</v>
      </c>
      <c r="M4528" s="925">
        <v>3.3212238427950097E-2</v>
      </c>
    </row>
    <row r="4529" spans="1:13" ht="11.25" customHeight="1" x14ac:dyDescent="0.2">
      <c r="A4529" s="924" t="s">
        <v>853</v>
      </c>
      <c r="B4529" s="924" t="s">
        <v>809</v>
      </c>
      <c r="C4529" s="924" t="s">
        <v>1201</v>
      </c>
      <c r="D4529" s="924" t="s">
        <v>855</v>
      </c>
      <c r="E4529" s="924" t="s">
        <v>856</v>
      </c>
      <c r="F4529" s="924" t="s">
        <v>1086</v>
      </c>
      <c r="G4529" s="924" t="s">
        <v>981</v>
      </c>
      <c r="H4529" s="924" t="s">
        <v>835</v>
      </c>
      <c r="I4529" s="924" t="s">
        <v>998</v>
      </c>
      <c r="J4529" s="924" t="s">
        <v>940</v>
      </c>
      <c r="K4529" s="924" t="s">
        <v>1087</v>
      </c>
      <c r="L4529" s="925">
        <v>42.376199960708597</v>
      </c>
      <c r="M4529" s="925">
        <v>8.1588319735601503E-2</v>
      </c>
    </row>
    <row r="4530" spans="1:13" ht="11.25" customHeight="1" x14ac:dyDescent="0.2">
      <c r="A4530" s="924" t="s">
        <v>853</v>
      </c>
      <c r="B4530" s="924" t="s">
        <v>809</v>
      </c>
      <c r="C4530" s="924" t="s">
        <v>1201</v>
      </c>
      <c r="D4530" s="924" t="s">
        <v>855</v>
      </c>
      <c r="E4530" s="924" t="s">
        <v>856</v>
      </c>
      <c r="F4530" s="924" t="s">
        <v>1088</v>
      </c>
      <c r="G4530" s="924" t="s">
        <v>981</v>
      </c>
      <c r="H4530" s="924" t="s">
        <v>835</v>
      </c>
      <c r="I4530" s="924" t="s">
        <v>998</v>
      </c>
      <c r="J4530" s="924" t="s">
        <v>940</v>
      </c>
      <c r="K4530" s="924" t="s">
        <v>1089</v>
      </c>
      <c r="L4530" s="925">
        <v>138.29957699775699</v>
      </c>
      <c r="M4530" s="925">
        <v>0.25264670746401002</v>
      </c>
    </row>
    <row r="4531" spans="1:13" ht="11.25" customHeight="1" x14ac:dyDescent="0.2">
      <c r="A4531" s="924" t="s">
        <v>853</v>
      </c>
      <c r="B4531" s="924" t="s">
        <v>809</v>
      </c>
      <c r="C4531" s="924" t="s">
        <v>1201</v>
      </c>
      <c r="D4531" s="924" t="s">
        <v>855</v>
      </c>
      <c r="E4531" s="924" t="s">
        <v>856</v>
      </c>
      <c r="F4531" s="924" t="s">
        <v>1090</v>
      </c>
      <c r="G4531" s="924" t="s">
        <v>981</v>
      </c>
      <c r="H4531" s="924" t="s">
        <v>835</v>
      </c>
      <c r="I4531" s="924" t="s">
        <v>998</v>
      </c>
      <c r="J4531" s="924" t="s">
        <v>940</v>
      </c>
      <c r="K4531" s="924" t="s">
        <v>1091</v>
      </c>
      <c r="L4531" s="925">
        <v>58.718685328960397</v>
      </c>
      <c r="M4531" s="925">
        <v>0.100001250626519</v>
      </c>
    </row>
    <row r="4532" spans="1:13" ht="11.25" customHeight="1" x14ac:dyDescent="0.2">
      <c r="A4532" s="924" t="s">
        <v>853</v>
      </c>
      <c r="B4532" s="924" t="s">
        <v>809</v>
      </c>
      <c r="C4532" s="924" t="s">
        <v>1201</v>
      </c>
      <c r="D4532" s="924" t="s">
        <v>855</v>
      </c>
      <c r="E4532" s="924" t="s">
        <v>856</v>
      </c>
      <c r="F4532" s="924" t="s">
        <v>1092</v>
      </c>
      <c r="G4532" s="924" t="s">
        <v>981</v>
      </c>
      <c r="H4532" s="924" t="s">
        <v>835</v>
      </c>
      <c r="I4532" s="924" t="s">
        <v>998</v>
      </c>
      <c r="J4532" s="924" t="s">
        <v>940</v>
      </c>
      <c r="K4532" s="924" t="s">
        <v>1093</v>
      </c>
      <c r="L4532" s="925">
        <v>120.576624780893</v>
      </c>
      <c r="M4532" s="925">
        <v>0.23860173672437701</v>
      </c>
    </row>
    <row r="4533" spans="1:13" ht="11.25" customHeight="1" x14ac:dyDescent="0.2">
      <c r="A4533" s="924" t="s">
        <v>853</v>
      </c>
      <c r="B4533" s="924" t="s">
        <v>809</v>
      </c>
      <c r="C4533" s="924" t="s">
        <v>1201</v>
      </c>
      <c r="D4533" s="924" t="s">
        <v>855</v>
      </c>
      <c r="E4533" s="924" t="s">
        <v>856</v>
      </c>
      <c r="F4533" s="924" t="s">
        <v>1094</v>
      </c>
      <c r="G4533" s="924" t="s">
        <v>981</v>
      </c>
      <c r="H4533" s="924" t="s">
        <v>835</v>
      </c>
      <c r="I4533" s="924" t="s">
        <v>998</v>
      </c>
      <c r="J4533" s="924" t="s">
        <v>940</v>
      </c>
      <c r="K4533" s="924" t="s">
        <v>1095</v>
      </c>
      <c r="L4533" s="925">
        <v>37.791178256273298</v>
      </c>
      <c r="M4533" s="925">
        <v>7.0485519885551198E-2</v>
      </c>
    </row>
    <row r="4534" spans="1:13" ht="11.25" customHeight="1" x14ac:dyDescent="0.2">
      <c r="A4534" s="924" t="s">
        <v>853</v>
      </c>
      <c r="B4534" s="924" t="s">
        <v>809</v>
      </c>
      <c r="C4534" s="924" t="s">
        <v>1201</v>
      </c>
      <c r="D4534" s="924" t="s">
        <v>855</v>
      </c>
      <c r="E4534" s="924" t="s">
        <v>856</v>
      </c>
      <c r="F4534" s="924" t="s">
        <v>1096</v>
      </c>
      <c r="G4534" s="924" t="s">
        <v>981</v>
      </c>
      <c r="H4534" s="924" t="s">
        <v>835</v>
      </c>
      <c r="I4534" s="924" t="s">
        <v>998</v>
      </c>
      <c r="J4534" s="924" t="s">
        <v>940</v>
      </c>
      <c r="K4534" s="924" t="s">
        <v>1023</v>
      </c>
      <c r="L4534" s="925">
        <v>112.589782565832</v>
      </c>
      <c r="M4534" s="925">
        <v>0.21058099437505001</v>
      </c>
    </row>
    <row r="4535" spans="1:13" ht="11.25" customHeight="1" x14ac:dyDescent="0.2">
      <c r="A4535" s="924" t="s">
        <v>853</v>
      </c>
      <c r="B4535" s="924" t="s">
        <v>809</v>
      </c>
      <c r="C4535" s="924" t="s">
        <v>1201</v>
      </c>
      <c r="D4535" s="924" t="s">
        <v>855</v>
      </c>
      <c r="E4535" s="924" t="s">
        <v>856</v>
      </c>
      <c r="F4535" s="924" t="s">
        <v>1100</v>
      </c>
      <c r="G4535" s="924" t="s">
        <v>981</v>
      </c>
      <c r="H4535" s="924" t="s">
        <v>835</v>
      </c>
      <c r="I4535" s="924" t="s">
        <v>998</v>
      </c>
      <c r="J4535" s="924" t="s">
        <v>940</v>
      </c>
      <c r="K4535" s="924" t="s">
        <v>1032</v>
      </c>
      <c r="L4535" s="925">
        <v>6.0078660550061599E-2</v>
      </c>
      <c r="M4535" s="925">
        <v>1.2045158729279099E-4</v>
      </c>
    </row>
    <row r="4536" spans="1:13" ht="11.25" customHeight="1" x14ac:dyDescent="0.2">
      <c r="A4536" s="924" t="s">
        <v>853</v>
      </c>
      <c r="B4536" s="924" t="s">
        <v>809</v>
      </c>
      <c r="C4536" s="924" t="s">
        <v>1201</v>
      </c>
      <c r="D4536" s="924" t="s">
        <v>855</v>
      </c>
      <c r="E4536" s="924" t="s">
        <v>856</v>
      </c>
      <c r="F4536" s="924" t="s">
        <v>1101</v>
      </c>
      <c r="G4536" s="924" t="s">
        <v>981</v>
      </c>
      <c r="H4536" s="924" t="s">
        <v>835</v>
      </c>
      <c r="I4536" s="924" t="s">
        <v>998</v>
      </c>
      <c r="J4536" s="924" t="s">
        <v>870</v>
      </c>
      <c r="K4536" s="924" t="s">
        <v>961</v>
      </c>
      <c r="L4536" s="925">
        <v>0.40022598952055</v>
      </c>
      <c r="M4536" s="925">
        <v>6.5896230876205696E-4</v>
      </c>
    </row>
    <row r="4537" spans="1:13" ht="11.25" customHeight="1" x14ac:dyDescent="0.2">
      <c r="A4537" s="924" t="s">
        <v>853</v>
      </c>
      <c r="B4537" s="924" t="s">
        <v>809</v>
      </c>
      <c r="C4537" s="924" t="s">
        <v>1201</v>
      </c>
      <c r="D4537" s="924" t="s">
        <v>855</v>
      </c>
      <c r="E4537" s="924" t="s">
        <v>856</v>
      </c>
      <c r="F4537" s="924" t="s">
        <v>1102</v>
      </c>
      <c r="G4537" s="924" t="s">
        <v>981</v>
      </c>
      <c r="H4537" s="924" t="s">
        <v>835</v>
      </c>
      <c r="I4537" s="924" t="s">
        <v>998</v>
      </c>
      <c r="J4537" s="924" t="s">
        <v>875</v>
      </c>
      <c r="K4537" s="924" t="s">
        <v>876</v>
      </c>
      <c r="L4537" s="925">
        <v>6.0401198044419298</v>
      </c>
      <c r="M4537" s="925">
        <v>1.2221913479152101E-2</v>
      </c>
    </row>
    <row r="4538" spans="1:13" ht="11.25" customHeight="1" x14ac:dyDescent="0.2">
      <c r="A4538" s="924" t="s">
        <v>853</v>
      </c>
      <c r="B4538" s="924" t="s">
        <v>809</v>
      </c>
      <c r="C4538" s="924" t="s">
        <v>1201</v>
      </c>
      <c r="D4538" s="924" t="s">
        <v>855</v>
      </c>
      <c r="E4538" s="924" t="s">
        <v>856</v>
      </c>
      <c r="F4538" s="924" t="s">
        <v>1056</v>
      </c>
      <c r="G4538" s="924" t="s">
        <v>981</v>
      </c>
      <c r="H4538" s="924" t="s">
        <v>835</v>
      </c>
      <c r="I4538" s="924" t="s">
        <v>998</v>
      </c>
      <c r="J4538" s="924" t="s">
        <v>875</v>
      </c>
      <c r="K4538" s="924" t="s">
        <v>878</v>
      </c>
      <c r="L4538" s="925">
        <v>40.301037847995801</v>
      </c>
      <c r="M4538" s="925">
        <v>7.7726621297188103E-2</v>
      </c>
    </row>
    <row r="4539" spans="1:13" ht="11.25" customHeight="1" x14ac:dyDescent="0.2">
      <c r="A4539" s="924" t="s">
        <v>853</v>
      </c>
      <c r="B4539" s="924" t="s">
        <v>809</v>
      </c>
      <c r="C4539" s="924" t="s">
        <v>1201</v>
      </c>
      <c r="D4539" s="924" t="s">
        <v>855</v>
      </c>
      <c r="E4539" s="924" t="s">
        <v>856</v>
      </c>
      <c r="F4539" s="924" t="s">
        <v>1103</v>
      </c>
      <c r="G4539" s="924" t="s">
        <v>981</v>
      </c>
      <c r="H4539" s="924" t="s">
        <v>835</v>
      </c>
      <c r="I4539" s="924" t="s">
        <v>998</v>
      </c>
      <c r="J4539" s="924" t="s">
        <v>863</v>
      </c>
      <c r="K4539" s="924" t="s">
        <v>864</v>
      </c>
      <c r="L4539" s="925">
        <v>6.8440534407272893E-2</v>
      </c>
      <c r="M4539" s="925">
        <v>1.52923988935072E-4</v>
      </c>
    </row>
    <row r="4540" spans="1:13" ht="11.25" customHeight="1" x14ac:dyDescent="0.2">
      <c r="A4540" s="924" t="s">
        <v>853</v>
      </c>
      <c r="B4540" s="924" t="s">
        <v>809</v>
      </c>
      <c r="C4540" s="924" t="s">
        <v>1201</v>
      </c>
      <c r="D4540" s="924" t="s">
        <v>855</v>
      </c>
      <c r="E4540" s="924" t="s">
        <v>856</v>
      </c>
      <c r="F4540" s="924" t="s">
        <v>1126</v>
      </c>
      <c r="G4540" s="924" t="s">
        <v>981</v>
      </c>
      <c r="H4540" s="924" t="s">
        <v>835</v>
      </c>
      <c r="I4540" s="924" t="s">
        <v>1040</v>
      </c>
      <c r="J4540" s="924" t="s">
        <v>956</v>
      </c>
      <c r="K4540" s="924" t="s">
        <v>957</v>
      </c>
      <c r="L4540" s="925">
        <v>0.49243750236928502</v>
      </c>
      <c r="M4540" s="925">
        <v>3.8463348846562402E-4</v>
      </c>
    </row>
    <row r="4541" spans="1:13" ht="11.25" customHeight="1" x14ac:dyDescent="0.2">
      <c r="A4541" s="924" t="s">
        <v>853</v>
      </c>
      <c r="B4541" s="924" t="s">
        <v>809</v>
      </c>
      <c r="C4541" s="924" t="s">
        <v>1201</v>
      </c>
      <c r="D4541" s="924" t="s">
        <v>855</v>
      </c>
      <c r="E4541" s="924" t="s">
        <v>856</v>
      </c>
      <c r="F4541" s="924" t="s">
        <v>1111</v>
      </c>
      <c r="G4541" s="924" t="s">
        <v>981</v>
      </c>
      <c r="H4541" s="924" t="s">
        <v>835</v>
      </c>
      <c r="I4541" s="924" t="s">
        <v>1040</v>
      </c>
      <c r="J4541" s="924" t="s">
        <v>870</v>
      </c>
      <c r="K4541" s="924" t="s">
        <v>1016</v>
      </c>
      <c r="L4541" s="925">
        <v>2.5977690350264302</v>
      </c>
      <c r="M4541" s="925">
        <v>2.1781069324333701E-3</v>
      </c>
    </row>
    <row r="4542" spans="1:13" ht="11.25" customHeight="1" x14ac:dyDescent="0.2">
      <c r="A4542" s="924" t="s">
        <v>853</v>
      </c>
      <c r="B4542" s="924" t="s">
        <v>809</v>
      </c>
      <c r="C4542" s="924" t="s">
        <v>1201</v>
      </c>
      <c r="D4542" s="924" t="s">
        <v>855</v>
      </c>
      <c r="E4542" s="924" t="s">
        <v>856</v>
      </c>
      <c r="F4542" s="924" t="s">
        <v>1112</v>
      </c>
      <c r="G4542" s="924" t="s">
        <v>981</v>
      </c>
      <c r="H4542" s="924" t="s">
        <v>835</v>
      </c>
      <c r="I4542" s="924" t="s">
        <v>1040</v>
      </c>
      <c r="J4542" s="924" t="s">
        <v>870</v>
      </c>
      <c r="K4542" s="924" t="s">
        <v>959</v>
      </c>
      <c r="L4542" s="925">
        <v>0.80034627299755801</v>
      </c>
      <c r="M4542" s="925">
        <v>5.2581422585262804E-4</v>
      </c>
    </row>
    <row r="4543" spans="1:13" ht="11.25" customHeight="1" x14ac:dyDescent="0.2">
      <c r="A4543" s="924" t="s">
        <v>853</v>
      </c>
      <c r="B4543" s="924" t="s">
        <v>809</v>
      </c>
      <c r="C4543" s="924" t="s">
        <v>1201</v>
      </c>
      <c r="D4543" s="924" t="s">
        <v>855</v>
      </c>
      <c r="E4543" s="924" t="s">
        <v>856</v>
      </c>
      <c r="F4543" s="924" t="s">
        <v>1113</v>
      </c>
      <c r="G4543" s="924" t="s">
        <v>981</v>
      </c>
      <c r="H4543" s="924" t="s">
        <v>835</v>
      </c>
      <c r="I4543" s="924" t="s">
        <v>1040</v>
      </c>
      <c r="J4543" s="924" t="s">
        <v>870</v>
      </c>
      <c r="K4543" s="924" t="s">
        <v>961</v>
      </c>
      <c r="L4543" s="925">
        <v>8.7459460068494099</v>
      </c>
      <c r="M4543" s="925">
        <v>6.6032162005740204E-3</v>
      </c>
    </row>
    <row r="4544" spans="1:13" ht="11.25" customHeight="1" x14ac:dyDescent="0.2">
      <c r="A4544" s="924" t="s">
        <v>853</v>
      </c>
      <c r="B4544" s="924" t="s">
        <v>809</v>
      </c>
      <c r="C4544" s="924" t="s">
        <v>1201</v>
      </c>
      <c r="D4544" s="924" t="s">
        <v>855</v>
      </c>
      <c r="E4544" s="924" t="s">
        <v>856</v>
      </c>
      <c r="F4544" s="924" t="s">
        <v>1114</v>
      </c>
      <c r="G4544" s="924" t="s">
        <v>981</v>
      </c>
      <c r="H4544" s="924" t="s">
        <v>835</v>
      </c>
      <c r="I4544" s="924" t="s">
        <v>1040</v>
      </c>
      <c r="J4544" s="924" t="s">
        <v>870</v>
      </c>
      <c r="K4544" s="924" t="s">
        <v>963</v>
      </c>
      <c r="L4544" s="925">
        <v>19.073825031518901</v>
      </c>
      <c r="M4544" s="925">
        <v>3.16007675610308E-2</v>
      </c>
    </row>
    <row r="4545" spans="1:13" ht="11.25" customHeight="1" x14ac:dyDescent="0.2">
      <c r="A4545" s="924" t="s">
        <v>853</v>
      </c>
      <c r="B4545" s="924" t="s">
        <v>809</v>
      </c>
      <c r="C4545" s="924" t="s">
        <v>1201</v>
      </c>
      <c r="D4545" s="924" t="s">
        <v>855</v>
      </c>
      <c r="E4545" s="924" t="s">
        <v>856</v>
      </c>
      <c r="F4545" s="924" t="s">
        <v>1115</v>
      </c>
      <c r="G4545" s="924" t="s">
        <v>981</v>
      </c>
      <c r="H4545" s="924" t="s">
        <v>835</v>
      </c>
      <c r="I4545" s="924" t="s">
        <v>1040</v>
      </c>
      <c r="J4545" s="924" t="s">
        <v>870</v>
      </c>
      <c r="K4545" s="924" t="s">
        <v>965</v>
      </c>
      <c r="L4545" s="925">
        <v>4.1140669574961102</v>
      </c>
      <c r="M4545" s="925">
        <v>3.4494516216909701E-3</v>
      </c>
    </row>
    <row r="4546" spans="1:13" ht="11.25" customHeight="1" x14ac:dyDescent="0.2">
      <c r="A4546" s="924" t="s">
        <v>853</v>
      </c>
      <c r="B4546" s="924" t="s">
        <v>809</v>
      </c>
      <c r="C4546" s="924" t="s">
        <v>1201</v>
      </c>
      <c r="D4546" s="924" t="s">
        <v>855</v>
      </c>
      <c r="E4546" s="924" t="s">
        <v>856</v>
      </c>
      <c r="F4546" s="924" t="s">
        <v>1130</v>
      </c>
      <c r="G4546" s="924" t="s">
        <v>981</v>
      </c>
      <c r="H4546" s="924" t="s">
        <v>835</v>
      </c>
      <c r="I4546" s="924" t="s">
        <v>1040</v>
      </c>
      <c r="J4546" s="924" t="s">
        <v>870</v>
      </c>
      <c r="K4546" s="924" t="s">
        <v>871</v>
      </c>
      <c r="L4546" s="925">
        <v>5.9283863045275202</v>
      </c>
      <c r="M4546" s="925">
        <v>4.7080175133942196E-3</v>
      </c>
    </row>
    <row r="4547" spans="1:13" ht="11.25" customHeight="1" x14ac:dyDescent="0.2">
      <c r="A4547" s="924" t="s">
        <v>853</v>
      </c>
      <c r="B4547" s="924" t="s">
        <v>809</v>
      </c>
      <c r="C4547" s="924" t="s">
        <v>1201</v>
      </c>
      <c r="D4547" s="924" t="s">
        <v>855</v>
      </c>
      <c r="E4547" s="924" t="s">
        <v>856</v>
      </c>
      <c r="F4547" s="924" t="s">
        <v>1117</v>
      </c>
      <c r="G4547" s="924" t="s">
        <v>981</v>
      </c>
      <c r="H4547" s="924" t="s">
        <v>835</v>
      </c>
      <c r="I4547" s="924" t="s">
        <v>1040</v>
      </c>
      <c r="J4547" s="924" t="s">
        <v>870</v>
      </c>
      <c r="K4547" s="924" t="s">
        <v>873</v>
      </c>
      <c r="L4547" s="925">
        <v>6.5368144102394599</v>
      </c>
      <c r="M4547" s="925">
        <v>6.5351651574019299E-4</v>
      </c>
    </row>
    <row r="4548" spans="1:13" ht="11.25" customHeight="1" x14ac:dyDescent="0.2">
      <c r="A4548" s="924" t="s">
        <v>853</v>
      </c>
      <c r="B4548" s="924" t="s">
        <v>809</v>
      </c>
      <c r="C4548" s="924" t="s">
        <v>1201</v>
      </c>
      <c r="D4548" s="924" t="s">
        <v>855</v>
      </c>
      <c r="E4548" s="924" t="s">
        <v>856</v>
      </c>
      <c r="F4548" s="924" t="s">
        <v>1104</v>
      </c>
      <c r="G4548" s="924" t="s">
        <v>981</v>
      </c>
      <c r="H4548" s="924" t="s">
        <v>835</v>
      </c>
      <c r="I4548" s="924" t="s">
        <v>1040</v>
      </c>
      <c r="J4548" s="924" t="s">
        <v>875</v>
      </c>
      <c r="K4548" s="924" t="s">
        <v>876</v>
      </c>
      <c r="L4548" s="925">
        <v>1242.63380050659</v>
      </c>
      <c r="M4548" s="925">
        <v>0.83228936605155501</v>
      </c>
    </row>
    <row r="4549" spans="1:13" ht="11.25" customHeight="1" x14ac:dyDescent="0.2">
      <c r="A4549" s="924" t="s">
        <v>853</v>
      </c>
      <c r="B4549" s="924" t="s">
        <v>809</v>
      </c>
      <c r="C4549" s="924" t="s">
        <v>1201</v>
      </c>
      <c r="D4549" s="924" t="s">
        <v>855</v>
      </c>
      <c r="E4549" s="924" t="s">
        <v>856</v>
      </c>
      <c r="F4549" s="924" t="s">
        <v>1119</v>
      </c>
      <c r="G4549" s="924" t="s">
        <v>981</v>
      </c>
      <c r="H4549" s="924" t="s">
        <v>835</v>
      </c>
      <c r="I4549" s="924" t="s">
        <v>1040</v>
      </c>
      <c r="J4549" s="924" t="s">
        <v>875</v>
      </c>
      <c r="K4549" s="924" t="s">
        <v>878</v>
      </c>
      <c r="L4549" s="925">
        <v>310.33856296539301</v>
      </c>
      <c r="M4549" s="925">
        <v>0.205609091799488</v>
      </c>
    </row>
    <row r="4550" spans="1:13" ht="11.25" customHeight="1" x14ac:dyDescent="0.2">
      <c r="A4550" s="924" t="s">
        <v>853</v>
      </c>
      <c r="B4550" s="924" t="s">
        <v>809</v>
      </c>
      <c r="C4550" s="924" t="s">
        <v>1201</v>
      </c>
      <c r="D4550" s="924" t="s">
        <v>855</v>
      </c>
      <c r="E4550" s="924" t="s">
        <v>856</v>
      </c>
      <c r="F4550" s="924" t="s">
        <v>1121</v>
      </c>
      <c r="G4550" s="924" t="s">
        <v>981</v>
      </c>
      <c r="H4550" s="924" t="s">
        <v>835</v>
      </c>
      <c r="I4550" s="924" t="s">
        <v>1040</v>
      </c>
      <c r="J4550" s="924" t="s">
        <v>875</v>
      </c>
      <c r="K4550" s="924" t="s">
        <v>948</v>
      </c>
      <c r="L4550" s="925">
        <v>353.17256164550798</v>
      </c>
      <c r="M4550" s="925">
        <v>0.21987748930314399</v>
      </c>
    </row>
    <row r="4551" spans="1:13" ht="11.25" customHeight="1" x14ac:dyDescent="0.2">
      <c r="A4551" s="924" t="s">
        <v>853</v>
      </c>
      <c r="B4551" s="924" t="s">
        <v>809</v>
      </c>
      <c r="C4551" s="924" t="s">
        <v>1201</v>
      </c>
      <c r="D4551" s="924" t="s">
        <v>855</v>
      </c>
      <c r="E4551" s="924" t="s">
        <v>856</v>
      </c>
      <c r="F4551" s="924" t="s">
        <v>1110</v>
      </c>
      <c r="G4551" s="924" t="s">
        <v>981</v>
      </c>
      <c r="H4551" s="924" t="s">
        <v>835</v>
      </c>
      <c r="I4551" s="924" t="s">
        <v>1040</v>
      </c>
      <c r="J4551" s="924" t="s">
        <v>870</v>
      </c>
      <c r="K4551" s="924" t="s">
        <v>1019</v>
      </c>
      <c r="L4551" s="925">
        <v>2.9016484702879101E-2</v>
      </c>
      <c r="M4551" s="925">
        <v>2.4250244729628899E-5</v>
      </c>
    </row>
    <row r="4552" spans="1:13" ht="11.25" customHeight="1" x14ac:dyDescent="0.2">
      <c r="A4552" s="924" t="s">
        <v>853</v>
      </c>
      <c r="B4552" s="924" t="s">
        <v>809</v>
      </c>
      <c r="C4552" s="924" t="s">
        <v>1201</v>
      </c>
      <c r="D4552" s="924" t="s">
        <v>855</v>
      </c>
      <c r="E4552" s="924" t="s">
        <v>856</v>
      </c>
      <c r="F4552" s="924" t="s">
        <v>1124</v>
      </c>
      <c r="G4552" s="924" t="s">
        <v>981</v>
      </c>
      <c r="H4552" s="924" t="s">
        <v>835</v>
      </c>
      <c r="I4552" s="924" t="s">
        <v>1040</v>
      </c>
      <c r="J4552" s="924" t="s">
        <v>956</v>
      </c>
      <c r="K4552" s="924" t="s">
        <v>1125</v>
      </c>
      <c r="L4552" s="925">
        <v>42.739594042301199</v>
      </c>
      <c r="M4552" s="925">
        <v>3.4044075122892502E-2</v>
      </c>
    </row>
    <row r="4553" spans="1:13" ht="11.25" customHeight="1" x14ac:dyDescent="0.2">
      <c r="A4553" s="924" t="s">
        <v>853</v>
      </c>
      <c r="B4553" s="924" t="s">
        <v>809</v>
      </c>
      <c r="C4553" s="924" t="s">
        <v>1201</v>
      </c>
      <c r="D4553" s="924" t="s">
        <v>855</v>
      </c>
      <c r="E4553" s="924" t="s">
        <v>856</v>
      </c>
      <c r="F4553" s="924" t="s">
        <v>1120</v>
      </c>
      <c r="G4553" s="924" t="s">
        <v>981</v>
      </c>
      <c r="H4553" s="924" t="s">
        <v>835</v>
      </c>
      <c r="I4553" s="924" t="s">
        <v>1040</v>
      </c>
      <c r="J4553" s="924" t="s">
        <v>875</v>
      </c>
      <c r="K4553" s="924" t="s">
        <v>880</v>
      </c>
      <c r="L4553" s="925">
        <v>164.13168978691101</v>
      </c>
      <c r="M4553" s="925">
        <v>9.4838955133582203E-2</v>
      </c>
    </row>
    <row r="4554" spans="1:13" ht="11.25" customHeight="1" x14ac:dyDescent="0.2">
      <c r="A4554" s="924" t="s">
        <v>853</v>
      </c>
      <c r="B4554" s="924" t="s">
        <v>809</v>
      </c>
      <c r="C4554" s="924" t="s">
        <v>1201</v>
      </c>
      <c r="D4554" s="924" t="s">
        <v>855</v>
      </c>
      <c r="E4554" s="924" t="s">
        <v>856</v>
      </c>
      <c r="F4554" s="924" t="s">
        <v>1127</v>
      </c>
      <c r="G4554" s="924" t="s">
        <v>911</v>
      </c>
      <c r="H4554" s="924" t="s">
        <v>665</v>
      </c>
      <c r="I4554" s="924" t="s">
        <v>706</v>
      </c>
      <c r="J4554" s="924" t="s">
        <v>884</v>
      </c>
      <c r="K4554" s="924" t="s">
        <v>885</v>
      </c>
      <c r="L4554" s="925">
        <v>7.3753137737512597</v>
      </c>
      <c r="M4554" s="925">
        <v>3.2048308439698299E-3</v>
      </c>
    </row>
    <row r="4555" spans="1:13" ht="11.25" customHeight="1" x14ac:dyDescent="0.2">
      <c r="A4555" s="924" t="s">
        <v>853</v>
      </c>
      <c r="B4555" s="924" t="s">
        <v>809</v>
      </c>
      <c r="C4555" s="924" t="s">
        <v>1201</v>
      </c>
      <c r="D4555" s="924" t="s">
        <v>855</v>
      </c>
      <c r="E4555" s="924" t="s">
        <v>856</v>
      </c>
      <c r="F4555" s="924" t="s">
        <v>1128</v>
      </c>
      <c r="G4555" s="924" t="s">
        <v>911</v>
      </c>
      <c r="H4555" s="924" t="s">
        <v>665</v>
      </c>
      <c r="I4555" s="924" t="s">
        <v>706</v>
      </c>
      <c r="J4555" s="924" t="s">
        <v>859</v>
      </c>
      <c r="K4555" s="924" t="s">
        <v>913</v>
      </c>
      <c r="L4555" s="925">
        <v>1.1781423743814201</v>
      </c>
      <c r="M4555" s="925">
        <v>1.2990553068448199E-4</v>
      </c>
    </row>
    <row r="4556" spans="1:13" ht="11.25" customHeight="1" x14ac:dyDescent="0.2">
      <c r="A4556" s="924" t="s">
        <v>853</v>
      </c>
      <c r="B4556" s="924" t="s">
        <v>809</v>
      </c>
      <c r="C4556" s="924" t="s">
        <v>1201</v>
      </c>
      <c r="D4556" s="924" t="s">
        <v>855</v>
      </c>
      <c r="E4556" s="924" t="s">
        <v>856</v>
      </c>
      <c r="F4556" s="924" t="s">
        <v>1118</v>
      </c>
      <c r="G4556" s="924" t="s">
        <v>911</v>
      </c>
      <c r="H4556" s="924" t="s">
        <v>665</v>
      </c>
      <c r="I4556" s="924" t="s">
        <v>706</v>
      </c>
      <c r="J4556" s="924" t="s">
        <v>859</v>
      </c>
      <c r="K4556" s="924" t="s">
        <v>893</v>
      </c>
      <c r="L4556" s="925">
        <v>1.99776353500783</v>
      </c>
      <c r="M4556" s="925">
        <v>9.6654428034526104E-5</v>
      </c>
    </row>
    <row r="4557" spans="1:13" ht="11.25" customHeight="1" x14ac:dyDescent="0.2">
      <c r="A4557" s="924" t="s">
        <v>853</v>
      </c>
      <c r="B4557" s="924" t="s">
        <v>809</v>
      </c>
      <c r="C4557" s="924" t="s">
        <v>1201</v>
      </c>
      <c r="D4557" s="924" t="s">
        <v>855</v>
      </c>
      <c r="E4557" s="924" t="s">
        <v>856</v>
      </c>
      <c r="F4557" s="924" t="s">
        <v>1129</v>
      </c>
      <c r="G4557" s="924" t="s">
        <v>911</v>
      </c>
      <c r="H4557" s="924" t="s">
        <v>665</v>
      </c>
      <c r="I4557" s="924" t="s">
        <v>706</v>
      </c>
      <c r="J4557" s="924" t="s">
        <v>859</v>
      </c>
      <c r="K4557" s="924" t="s">
        <v>897</v>
      </c>
      <c r="L4557" s="925">
        <v>0.32536051888018802</v>
      </c>
      <c r="M4557" s="925">
        <v>1.1825723362335301E-4</v>
      </c>
    </row>
    <row r="4558" spans="1:13" ht="11.25" customHeight="1" x14ac:dyDescent="0.2">
      <c r="A4558" s="924" t="s">
        <v>853</v>
      </c>
      <c r="B4558" s="924" t="s">
        <v>809</v>
      </c>
      <c r="C4558" s="924" t="s">
        <v>1201</v>
      </c>
      <c r="D4558" s="924" t="s">
        <v>855</v>
      </c>
      <c r="E4558" s="924" t="s">
        <v>856</v>
      </c>
      <c r="F4558" s="924" t="s">
        <v>1133</v>
      </c>
      <c r="G4558" s="924" t="s">
        <v>911</v>
      </c>
      <c r="H4558" s="924" t="s">
        <v>665</v>
      </c>
      <c r="I4558" s="924" t="s">
        <v>706</v>
      </c>
      <c r="J4558" s="924" t="s">
        <v>859</v>
      </c>
      <c r="K4558" s="924" t="s">
        <v>899</v>
      </c>
      <c r="L4558" s="925">
        <v>0.202668582554907</v>
      </c>
      <c r="M4558" s="925">
        <v>2.0191123782709001E-5</v>
      </c>
    </row>
    <row r="4559" spans="1:13" ht="11.25" customHeight="1" x14ac:dyDescent="0.2">
      <c r="A4559" s="924" t="s">
        <v>853</v>
      </c>
      <c r="B4559" s="924" t="s">
        <v>809</v>
      </c>
      <c r="C4559" s="924" t="s">
        <v>1201</v>
      </c>
      <c r="D4559" s="924" t="s">
        <v>855</v>
      </c>
      <c r="E4559" s="924" t="s">
        <v>856</v>
      </c>
      <c r="F4559" s="924" t="s">
        <v>1074</v>
      </c>
      <c r="G4559" s="924" t="s">
        <v>911</v>
      </c>
      <c r="H4559" s="924" t="s">
        <v>665</v>
      </c>
      <c r="I4559" s="924" t="s">
        <v>706</v>
      </c>
      <c r="J4559" s="924" t="s">
        <v>859</v>
      </c>
      <c r="K4559" s="924" t="s">
        <v>903</v>
      </c>
      <c r="L4559" s="925">
        <v>3.63852183520794</v>
      </c>
      <c r="M4559" s="925">
        <v>4.06360210490675E-4</v>
      </c>
    </row>
    <row r="4560" spans="1:13" ht="11.25" customHeight="1" x14ac:dyDescent="0.2">
      <c r="A4560" s="924" t="s">
        <v>853</v>
      </c>
      <c r="B4560" s="924" t="s">
        <v>809</v>
      </c>
      <c r="C4560" s="924" t="s">
        <v>1201</v>
      </c>
      <c r="D4560" s="924" t="s">
        <v>855</v>
      </c>
      <c r="E4560" s="924" t="s">
        <v>856</v>
      </c>
      <c r="F4560" s="924" t="s">
        <v>910</v>
      </c>
      <c r="G4560" s="924" t="s">
        <v>911</v>
      </c>
      <c r="H4560" s="924" t="s">
        <v>665</v>
      </c>
      <c r="I4560" s="924" t="s">
        <v>706</v>
      </c>
      <c r="J4560" s="924" t="s">
        <v>859</v>
      </c>
      <c r="K4560" s="924" t="s">
        <v>905</v>
      </c>
      <c r="L4560" s="925">
        <v>1.43150194175541</v>
      </c>
      <c r="M4560" s="925">
        <v>1.17024789437892E-3</v>
      </c>
    </row>
    <row r="4561" spans="1:13" ht="11.25" customHeight="1" x14ac:dyDescent="0.2">
      <c r="A4561" s="924" t="s">
        <v>853</v>
      </c>
      <c r="B4561" s="924" t="s">
        <v>809</v>
      </c>
      <c r="C4561" s="924" t="s">
        <v>1201</v>
      </c>
      <c r="D4561" s="924" t="s">
        <v>855</v>
      </c>
      <c r="E4561" s="924" t="s">
        <v>856</v>
      </c>
      <c r="F4561" s="924" t="s">
        <v>1135</v>
      </c>
      <c r="G4561" s="924" t="s">
        <v>981</v>
      </c>
      <c r="H4561" s="924" t="s">
        <v>835</v>
      </c>
      <c r="I4561" s="924" t="s">
        <v>1040</v>
      </c>
      <c r="J4561" s="924" t="s">
        <v>863</v>
      </c>
      <c r="K4561" s="924" t="s">
        <v>935</v>
      </c>
      <c r="L4561" s="925">
        <v>80.579684972763104</v>
      </c>
      <c r="M4561" s="925">
        <v>2.89348416554276E-2</v>
      </c>
    </row>
    <row r="4562" spans="1:13" ht="11.25" customHeight="1" x14ac:dyDescent="0.2">
      <c r="A4562" s="924" t="s">
        <v>853</v>
      </c>
      <c r="B4562" s="924" t="s">
        <v>809</v>
      </c>
      <c r="C4562" s="924" t="s">
        <v>1201</v>
      </c>
      <c r="D4562" s="924" t="s">
        <v>855</v>
      </c>
      <c r="E4562" s="924" t="s">
        <v>856</v>
      </c>
      <c r="F4562" s="924" t="s">
        <v>1054</v>
      </c>
      <c r="G4562" s="924" t="s">
        <v>981</v>
      </c>
      <c r="H4562" s="924" t="s">
        <v>835</v>
      </c>
      <c r="I4562" s="924" t="s">
        <v>998</v>
      </c>
      <c r="J4562" s="924" t="s">
        <v>875</v>
      </c>
      <c r="K4562" s="924" t="s">
        <v>880</v>
      </c>
      <c r="L4562" s="925">
        <v>1.3978878807392899E-2</v>
      </c>
      <c r="M4562" s="925">
        <v>3.12345084694243E-5</v>
      </c>
    </row>
    <row r="4563" spans="1:13" ht="11.25" customHeight="1" x14ac:dyDescent="0.2">
      <c r="A4563" s="924" t="s">
        <v>853</v>
      </c>
      <c r="B4563" s="924" t="s">
        <v>809</v>
      </c>
      <c r="C4563" s="924" t="s">
        <v>1201</v>
      </c>
      <c r="D4563" s="924" t="s">
        <v>855</v>
      </c>
      <c r="E4563" s="924" t="s">
        <v>856</v>
      </c>
      <c r="F4563" s="924" t="s">
        <v>916</v>
      </c>
      <c r="G4563" s="924" t="s">
        <v>911</v>
      </c>
      <c r="H4563" s="924" t="s">
        <v>665</v>
      </c>
      <c r="I4563" s="924" t="s">
        <v>706</v>
      </c>
      <c r="J4563" s="924" t="s">
        <v>859</v>
      </c>
      <c r="K4563" s="924" t="s">
        <v>909</v>
      </c>
      <c r="L4563" s="925">
        <v>3.42355735972524</v>
      </c>
      <c r="M4563" s="925">
        <v>1.5845443840589699E-4</v>
      </c>
    </row>
    <row r="4564" spans="1:13" ht="11.25" customHeight="1" x14ac:dyDescent="0.2">
      <c r="A4564" s="924" t="s">
        <v>853</v>
      </c>
      <c r="B4564" s="924" t="s">
        <v>809</v>
      </c>
      <c r="C4564" s="924" t="s">
        <v>1201</v>
      </c>
      <c r="D4564" s="924" t="s">
        <v>855</v>
      </c>
      <c r="E4564" s="924" t="s">
        <v>856</v>
      </c>
      <c r="F4564" s="924" t="s">
        <v>1123</v>
      </c>
      <c r="G4564" s="924" t="s">
        <v>981</v>
      </c>
      <c r="H4564" s="924" t="s">
        <v>835</v>
      </c>
      <c r="I4564" s="924" t="s">
        <v>1040</v>
      </c>
      <c r="J4564" s="924" t="s">
        <v>875</v>
      </c>
      <c r="K4564" s="924" t="s">
        <v>952</v>
      </c>
      <c r="L4564" s="925">
        <v>26.204538643360099</v>
      </c>
      <c r="M4564" s="925">
        <v>1.8142449545006701E-2</v>
      </c>
    </row>
    <row r="4565" spans="1:13" ht="11.25" customHeight="1" x14ac:dyDescent="0.2">
      <c r="A4565" s="924" t="s">
        <v>853</v>
      </c>
      <c r="B4565" s="924" t="s">
        <v>809</v>
      </c>
      <c r="C4565" s="924" t="s">
        <v>1201</v>
      </c>
      <c r="D4565" s="924" t="s">
        <v>855</v>
      </c>
      <c r="E4565" s="924" t="s">
        <v>856</v>
      </c>
      <c r="F4565" s="924" t="s">
        <v>1137</v>
      </c>
      <c r="G4565" s="924" t="s">
        <v>981</v>
      </c>
      <c r="H4565" s="924" t="s">
        <v>835</v>
      </c>
      <c r="I4565" s="924" t="s">
        <v>1040</v>
      </c>
      <c r="J4565" s="924" t="s">
        <v>863</v>
      </c>
      <c r="K4565" s="924" t="s">
        <v>866</v>
      </c>
      <c r="L4565" s="925">
        <v>3.2297566309571302</v>
      </c>
      <c r="M4565" s="925">
        <v>2.1591346849163498E-3</v>
      </c>
    </row>
    <row r="4566" spans="1:13" ht="11.25" customHeight="1" x14ac:dyDescent="0.2">
      <c r="A4566" s="924" t="s">
        <v>853</v>
      </c>
      <c r="B4566" s="924" t="s">
        <v>809</v>
      </c>
      <c r="C4566" s="924" t="s">
        <v>1201</v>
      </c>
      <c r="D4566" s="924" t="s">
        <v>855</v>
      </c>
      <c r="E4566" s="924" t="s">
        <v>856</v>
      </c>
      <c r="F4566" s="924" t="s">
        <v>1136</v>
      </c>
      <c r="G4566" s="924" t="s">
        <v>981</v>
      </c>
      <c r="H4566" s="924" t="s">
        <v>835</v>
      </c>
      <c r="I4566" s="924" t="s">
        <v>1040</v>
      </c>
      <c r="J4566" s="924" t="s">
        <v>863</v>
      </c>
      <c r="K4566" s="924" t="s">
        <v>864</v>
      </c>
      <c r="L4566" s="925">
        <v>151.415003538132</v>
      </c>
      <c r="M4566" s="925">
        <v>0.112772991531529</v>
      </c>
    </row>
    <row r="4567" spans="1:13" ht="11.25" customHeight="1" x14ac:dyDescent="0.2">
      <c r="A4567" s="924" t="s">
        <v>853</v>
      </c>
      <c r="B4567" s="924" t="s">
        <v>809</v>
      </c>
      <c r="C4567" s="924" t="s">
        <v>1201</v>
      </c>
      <c r="D4567" s="924" t="s">
        <v>855</v>
      </c>
      <c r="E4567" s="924" t="s">
        <v>856</v>
      </c>
      <c r="F4567" s="924" t="s">
        <v>1122</v>
      </c>
      <c r="G4567" s="924" t="s">
        <v>981</v>
      </c>
      <c r="H4567" s="924" t="s">
        <v>835</v>
      </c>
      <c r="I4567" s="924" t="s">
        <v>1040</v>
      </c>
      <c r="J4567" s="924" t="s">
        <v>875</v>
      </c>
      <c r="K4567" s="924" t="s">
        <v>950</v>
      </c>
      <c r="L4567" s="925">
        <v>558.60876893997204</v>
      </c>
      <c r="M4567" s="925">
        <v>0.38558448166202203</v>
      </c>
    </row>
    <row r="4568" spans="1:13" ht="11.25" customHeight="1" x14ac:dyDescent="0.2">
      <c r="A4568" s="924" t="s">
        <v>853</v>
      </c>
      <c r="B4568" s="924" t="s">
        <v>809</v>
      </c>
      <c r="C4568" s="924" t="s">
        <v>1201</v>
      </c>
      <c r="D4568" s="924" t="s">
        <v>855</v>
      </c>
      <c r="E4568" s="924" t="s">
        <v>856</v>
      </c>
      <c r="F4568" s="924" t="s">
        <v>1148</v>
      </c>
      <c r="G4568" s="924" t="s">
        <v>981</v>
      </c>
      <c r="H4568" s="924" t="s">
        <v>835</v>
      </c>
      <c r="I4568" s="924" t="s">
        <v>1040</v>
      </c>
      <c r="J4568" s="924" t="s">
        <v>863</v>
      </c>
      <c r="K4568" s="924" t="s">
        <v>915</v>
      </c>
      <c r="L4568" s="925">
        <v>6.8734645396470997</v>
      </c>
      <c r="M4568" s="925">
        <v>2.5570956081537601E-3</v>
      </c>
    </row>
    <row r="4569" spans="1:13" ht="11.25" customHeight="1" x14ac:dyDescent="0.2">
      <c r="A4569" s="924" t="s">
        <v>853</v>
      </c>
      <c r="B4569" s="924" t="s">
        <v>809</v>
      </c>
      <c r="C4569" s="924" t="s">
        <v>1201</v>
      </c>
      <c r="D4569" s="924" t="s">
        <v>855</v>
      </c>
      <c r="E4569" s="924" t="s">
        <v>856</v>
      </c>
      <c r="F4569" s="924" t="s">
        <v>1109</v>
      </c>
      <c r="G4569" s="924" t="s">
        <v>981</v>
      </c>
      <c r="H4569" s="924" t="s">
        <v>835</v>
      </c>
      <c r="I4569" s="924" t="s">
        <v>1040</v>
      </c>
      <c r="J4569" s="924" t="s">
        <v>870</v>
      </c>
      <c r="K4569" s="924" t="s">
        <v>976</v>
      </c>
      <c r="L4569" s="925">
        <v>3.7573946109041598</v>
      </c>
      <c r="M4569" s="925">
        <v>7.6634061349967197E-4</v>
      </c>
    </row>
    <row r="4570" spans="1:13" ht="11.25" customHeight="1" x14ac:dyDescent="0.2">
      <c r="A4570" s="924" t="s">
        <v>853</v>
      </c>
      <c r="B4570" s="924" t="s">
        <v>809</v>
      </c>
      <c r="C4570" s="924" t="s">
        <v>1201</v>
      </c>
      <c r="D4570" s="924" t="s">
        <v>855</v>
      </c>
      <c r="E4570" s="924" t="s">
        <v>856</v>
      </c>
      <c r="F4570" s="924" t="s">
        <v>1131</v>
      </c>
      <c r="G4570" s="924" t="s">
        <v>981</v>
      </c>
      <c r="H4570" s="924" t="s">
        <v>835</v>
      </c>
      <c r="I4570" s="924" t="s">
        <v>1040</v>
      </c>
      <c r="J4570" s="924" t="s">
        <v>863</v>
      </c>
      <c r="K4570" s="924" t="s">
        <v>868</v>
      </c>
      <c r="L4570" s="925">
        <v>33.135057628154797</v>
      </c>
      <c r="M4570" s="925">
        <v>2.33391245274106E-3</v>
      </c>
    </row>
    <row r="4571" spans="1:13" ht="11.25" customHeight="1" x14ac:dyDescent="0.2">
      <c r="A4571" s="924" t="s">
        <v>853</v>
      </c>
      <c r="B4571" s="924" t="s">
        <v>809</v>
      </c>
      <c r="C4571" s="924" t="s">
        <v>1201</v>
      </c>
      <c r="D4571" s="924" t="s">
        <v>855</v>
      </c>
      <c r="E4571" s="924" t="s">
        <v>856</v>
      </c>
      <c r="F4571" s="924" t="s">
        <v>1139</v>
      </c>
      <c r="G4571" s="924" t="s">
        <v>981</v>
      </c>
      <c r="H4571" s="924" t="s">
        <v>835</v>
      </c>
      <c r="I4571" s="924" t="s">
        <v>1040</v>
      </c>
      <c r="J4571" s="924" t="s">
        <v>940</v>
      </c>
      <c r="K4571" s="924" t="s">
        <v>1140</v>
      </c>
      <c r="L4571" s="925">
        <v>536.62433099746704</v>
      </c>
      <c r="M4571" s="925">
        <v>0.39164302796325901</v>
      </c>
    </row>
    <row r="4572" spans="1:13" ht="11.25" customHeight="1" x14ac:dyDescent="0.2">
      <c r="A4572" s="924" t="s">
        <v>853</v>
      </c>
      <c r="B4572" s="924" t="s">
        <v>809</v>
      </c>
      <c r="C4572" s="924" t="s">
        <v>1201</v>
      </c>
      <c r="D4572" s="924" t="s">
        <v>855</v>
      </c>
      <c r="E4572" s="924" t="s">
        <v>856</v>
      </c>
      <c r="F4572" s="924" t="s">
        <v>1141</v>
      </c>
      <c r="G4572" s="924" t="s">
        <v>981</v>
      </c>
      <c r="H4572" s="924" t="s">
        <v>835</v>
      </c>
      <c r="I4572" s="924" t="s">
        <v>1040</v>
      </c>
      <c r="J4572" s="924" t="s">
        <v>940</v>
      </c>
      <c r="K4572" s="924" t="s">
        <v>1142</v>
      </c>
      <c r="L4572" s="925">
        <v>352.476416945457</v>
      </c>
      <c r="M4572" s="925">
        <v>0.25906076398678102</v>
      </c>
    </row>
    <row r="4573" spans="1:13" ht="11.25" customHeight="1" x14ac:dyDescent="0.2">
      <c r="A4573" s="924" t="s">
        <v>853</v>
      </c>
      <c r="B4573" s="924" t="s">
        <v>809</v>
      </c>
      <c r="C4573" s="924" t="s">
        <v>1201</v>
      </c>
      <c r="D4573" s="924" t="s">
        <v>855</v>
      </c>
      <c r="E4573" s="924" t="s">
        <v>856</v>
      </c>
      <c r="F4573" s="924" t="s">
        <v>1143</v>
      </c>
      <c r="G4573" s="924" t="s">
        <v>981</v>
      </c>
      <c r="H4573" s="924" t="s">
        <v>835</v>
      </c>
      <c r="I4573" s="924" t="s">
        <v>1040</v>
      </c>
      <c r="J4573" s="924" t="s">
        <v>940</v>
      </c>
      <c r="K4573" s="924" t="s">
        <v>1084</v>
      </c>
      <c r="L4573" s="925">
        <v>46.177548408508301</v>
      </c>
      <c r="M4573" s="925">
        <v>3.3647862786892802E-2</v>
      </c>
    </row>
    <row r="4574" spans="1:13" ht="11.25" customHeight="1" x14ac:dyDescent="0.2">
      <c r="A4574" s="924" t="s">
        <v>853</v>
      </c>
      <c r="B4574" s="924" t="s">
        <v>809</v>
      </c>
      <c r="C4574" s="924" t="s">
        <v>1201</v>
      </c>
      <c r="D4574" s="924" t="s">
        <v>855</v>
      </c>
      <c r="E4574" s="924" t="s">
        <v>856</v>
      </c>
      <c r="F4574" s="924" t="s">
        <v>1144</v>
      </c>
      <c r="G4574" s="924" t="s">
        <v>981</v>
      </c>
      <c r="H4574" s="924" t="s">
        <v>835</v>
      </c>
      <c r="I4574" s="924" t="s">
        <v>1040</v>
      </c>
      <c r="J4574" s="924" t="s">
        <v>940</v>
      </c>
      <c r="K4574" s="924" t="s">
        <v>1070</v>
      </c>
      <c r="L4574" s="925">
        <v>209.567712605</v>
      </c>
      <c r="M4574" s="925">
        <v>0.145399391127285</v>
      </c>
    </row>
    <row r="4575" spans="1:13" ht="11.25" customHeight="1" x14ac:dyDescent="0.2">
      <c r="A4575" s="924" t="s">
        <v>853</v>
      </c>
      <c r="B4575" s="924" t="s">
        <v>809</v>
      </c>
      <c r="C4575" s="924" t="s">
        <v>1201</v>
      </c>
      <c r="D4575" s="924" t="s">
        <v>855</v>
      </c>
      <c r="E4575" s="924" t="s">
        <v>856</v>
      </c>
      <c r="F4575" s="924" t="s">
        <v>1149</v>
      </c>
      <c r="G4575" s="924" t="s">
        <v>981</v>
      </c>
      <c r="H4575" s="924" t="s">
        <v>835</v>
      </c>
      <c r="I4575" s="924" t="s">
        <v>1040</v>
      </c>
      <c r="J4575" s="924" t="s">
        <v>940</v>
      </c>
      <c r="K4575" s="924" t="s">
        <v>1091</v>
      </c>
      <c r="L4575" s="925">
        <v>2.9758119620382799</v>
      </c>
      <c r="M4575" s="925">
        <v>2.0704524922621199E-3</v>
      </c>
    </row>
    <row r="4576" spans="1:13" ht="11.25" customHeight="1" x14ac:dyDescent="0.2">
      <c r="A4576" s="924" t="s">
        <v>853</v>
      </c>
      <c r="B4576" s="924" t="s">
        <v>809</v>
      </c>
      <c r="C4576" s="924" t="s">
        <v>1201</v>
      </c>
      <c r="D4576" s="924" t="s">
        <v>855</v>
      </c>
      <c r="E4576" s="924" t="s">
        <v>856</v>
      </c>
      <c r="F4576" s="924" t="s">
        <v>1160</v>
      </c>
      <c r="G4576" s="924" t="s">
        <v>981</v>
      </c>
      <c r="H4576" s="924" t="s">
        <v>835</v>
      </c>
      <c r="I4576" s="924" t="s">
        <v>1040</v>
      </c>
      <c r="J4576" s="924" t="s">
        <v>940</v>
      </c>
      <c r="K4576" s="924" t="s">
        <v>1093</v>
      </c>
      <c r="L4576" s="925">
        <v>8.1644536927342397</v>
      </c>
      <c r="M4576" s="925">
        <v>5.7377221528440697E-3</v>
      </c>
    </row>
    <row r="4577" spans="1:13" ht="11.25" customHeight="1" x14ac:dyDescent="0.2">
      <c r="A4577" s="924" t="s">
        <v>853</v>
      </c>
      <c r="B4577" s="924" t="s">
        <v>809</v>
      </c>
      <c r="C4577" s="924" t="s">
        <v>1201</v>
      </c>
      <c r="D4577" s="924" t="s">
        <v>855</v>
      </c>
      <c r="E4577" s="924" t="s">
        <v>856</v>
      </c>
      <c r="F4577" s="924" t="s">
        <v>1159</v>
      </c>
      <c r="G4577" s="924" t="s">
        <v>981</v>
      </c>
      <c r="H4577" s="924" t="s">
        <v>835</v>
      </c>
      <c r="I4577" s="924" t="s">
        <v>1040</v>
      </c>
      <c r="J4577" s="924" t="s">
        <v>940</v>
      </c>
      <c r="K4577" s="924" t="s">
        <v>1095</v>
      </c>
      <c r="L4577" s="925">
        <v>5.6769742295145997</v>
      </c>
      <c r="M4577" s="925">
        <v>3.9504933229181898E-3</v>
      </c>
    </row>
    <row r="4578" spans="1:13" ht="11.25" customHeight="1" x14ac:dyDescent="0.2">
      <c r="A4578" s="924" t="s">
        <v>853</v>
      </c>
      <c r="B4578" s="924" t="s">
        <v>809</v>
      </c>
      <c r="C4578" s="924" t="s">
        <v>1201</v>
      </c>
      <c r="D4578" s="924" t="s">
        <v>855</v>
      </c>
      <c r="E4578" s="924" t="s">
        <v>856</v>
      </c>
      <c r="F4578" s="924" t="s">
        <v>1158</v>
      </c>
      <c r="G4578" s="924" t="s">
        <v>981</v>
      </c>
      <c r="H4578" s="924" t="s">
        <v>835</v>
      </c>
      <c r="I4578" s="924" t="s">
        <v>1040</v>
      </c>
      <c r="J4578" s="924" t="s">
        <v>940</v>
      </c>
      <c r="K4578" s="924" t="s">
        <v>1023</v>
      </c>
      <c r="L4578" s="925">
        <v>334.52229571342502</v>
      </c>
      <c r="M4578" s="925">
        <v>0.19152324768037901</v>
      </c>
    </row>
    <row r="4579" spans="1:13" ht="11.25" customHeight="1" x14ac:dyDescent="0.2">
      <c r="A4579" s="924" t="s">
        <v>853</v>
      </c>
      <c r="B4579" s="924" t="s">
        <v>809</v>
      </c>
      <c r="C4579" s="924" t="s">
        <v>1201</v>
      </c>
      <c r="D4579" s="924" t="s">
        <v>855</v>
      </c>
      <c r="E4579" s="924" t="s">
        <v>856</v>
      </c>
      <c r="F4579" s="924" t="s">
        <v>1105</v>
      </c>
      <c r="G4579" s="924" t="s">
        <v>981</v>
      </c>
      <c r="H4579" s="924" t="s">
        <v>835</v>
      </c>
      <c r="I4579" s="924" t="s">
        <v>1040</v>
      </c>
      <c r="J4579" s="924" t="s">
        <v>940</v>
      </c>
      <c r="K4579" s="924" t="s">
        <v>1106</v>
      </c>
      <c r="L4579" s="925">
        <v>51.712539345026002</v>
      </c>
      <c r="M4579" s="925">
        <v>3.7755214639723499E-2</v>
      </c>
    </row>
    <row r="4580" spans="1:13" ht="11.25" customHeight="1" x14ac:dyDescent="0.2">
      <c r="A4580" s="924" t="s">
        <v>853</v>
      </c>
      <c r="B4580" s="924" t="s">
        <v>809</v>
      </c>
      <c r="C4580" s="924" t="s">
        <v>1201</v>
      </c>
      <c r="D4580" s="924" t="s">
        <v>855</v>
      </c>
      <c r="E4580" s="924" t="s">
        <v>856</v>
      </c>
      <c r="F4580" s="924" t="s">
        <v>1154</v>
      </c>
      <c r="G4580" s="924" t="s">
        <v>981</v>
      </c>
      <c r="H4580" s="924" t="s">
        <v>835</v>
      </c>
      <c r="I4580" s="924" t="s">
        <v>1040</v>
      </c>
      <c r="J4580" s="924" t="s">
        <v>940</v>
      </c>
      <c r="K4580" s="924" t="s">
        <v>1155</v>
      </c>
      <c r="L4580" s="925">
        <v>108.513147950172</v>
      </c>
      <c r="M4580" s="925">
        <v>6.9693024964294595E-2</v>
      </c>
    </row>
    <row r="4581" spans="1:13" ht="11.25" customHeight="1" x14ac:dyDescent="0.2">
      <c r="A4581" s="924" t="s">
        <v>853</v>
      </c>
      <c r="B4581" s="924" t="s">
        <v>809</v>
      </c>
      <c r="C4581" s="924" t="s">
        <v>1201</v>
      </c>
      <c r="D4581" s="924" t="s">
        <v>855</v>
      </c>
      <c r="E4581" s="924" t="s">
        <v>856</v>
      </c>
      <c r="F4581" s="924" t="s">
        <v>1107</v>
      </c>
      <c r="G4581" s="924" t="s">
        <v>981</v>
      </c>
      <c r="H4581" s="924" t="s">
        <v>835</v>
      </c>
      <c r="I4581" s="924" t="s">
        <v>1040</v>
      </c>
      <c r="J4581" s="924" t="s">
        <v>940</v>
      </c>
      <c r="K4581" s="924" t="s">
        <v>1034</v>
      </c>
      <c r="L4581" s="925">
        <v>60.390956640243502</v>
      </c>
      <c r="M4581" s="925">
        <v>4.3745693361600502E-2</v>
      </c>
    </row>
    <row r="4582" spans="1:13" ht="11.25" customHeight="1" x14ac:dyDescent="0.2">
      <c r="A4582" s="924" t="s">
        <v>853</v>
      </c>
      <c r="B4582" s="924" t="s">
        <v>809</v>
      </c>
      <c r="C4582" s="924" t="s">
        <v>1201</v>
      </c>
      <c r="D4582" s="924" t="s">
        <v>855</v>
      </c>
      <c r="E4582" s="924" t="s">
        <v>856</v>
      </c>
      <c r="F4582" s="924" t="s">
        <v>1116</v>
      </c>
      <c r="G4582" s="924" t="s">
        <v>981</v>
      </c>
      <c r="H4582" s="924" t="s">
        <v>835</v>
      </c>
      <c r="I4582" s="924" t="s">
        <v>1040</v>
      </c>
      <c r="J4582" s="924" t="s">
        <v>940</v>
      </c>
      <c r="K4582" s="924" t="s">
        <v>1032</v>
      </c>
      <c r="L4582" s="925">
        <v>1964.61315631866</v>
      </c>
      <c r="M4582" s="925">
        <v>1.2335711158811999</v>
      </c>
    </row>
    <row r="4583" spans="1:13" ht="11.25" customHeight="1" x14ac:dyDescent="0.2">
      <c r="A4583" s="924" t="s">
        <v>853</v>
      </c>
      <c r="B4583" s="924" t="s">
        <v>809</v>
      </c>
      <c r="C4583" s="924" t="s">
        <v>1201</v>
      </c>
      <c r="D4583" s="924" t="s">
        <v>855</v>
      </c>
      <c r="E4583" s="924" t="s">
        <v>856</v>
      </c>
      <c r="F4583" s="924" t="s">
        <v>1132</v>
      </c>
      <c r="G4583" s="924" t="s">
        <v>981</v>
      </c>
      <c r="H4583" s="924" t="s">
        <v>835</v>
      </c>
      <c r="I4583" s="924" t="s">
        <v>1040</v>
      </c>
      <c r="J4583" s="924" t="s">
        <v>940</v>
      </c>
      <c r="K4583" s="924" t="s">
        <v>941</v>
      </c>
      <c r="L4583" s="925">
        <v>101.556504368782</v>
      </c>
      <c r="M4583" s="925">
        <v>4.4170366192702197E-2</v>
      </c>
    </row>
    <row r="4584" spans="1:13" ht="11.25" customHeight="1" x14ac:dyDescent="0.2">
      <c r="A4584" s="924" t="s">
        <v>853</v>
      </c>
      <c r="B4584" s="924" t="s">
        <v>809</v>
      </c>
      <c r="C4584" s="924" t="s">
        <v>1201</v>
      </c>
      <c r="D4584" s="924" t="s">
        <v>855</v>
      </c>
      <c r="E4584" s="924" t="s">
        <v>856</v>
      </c>
      <c r="F4584" s="924" t="s">
        <v>1145</v>
      </c>
      <c r="G4584" s="924" t="s">
        <v>981</v>
      </c>
      <c r="H4584" s="924" t="s">
        <v>835</v>
      </c>
      <c r="I4584" s="924" t="s">
        <v>1040</v>
      </c>
      <c r="J4584" s="924" t="s">
        <v>940</v>
      </c>
      <c r="K4584" s="924" t="s">
        <v>1029</v>
      </c>
      <c r="L4584" s="925">
        <v>608.61918354034401</v>
      </c>
      <c r="M4584" s="925">
        <v>0.39857058133930001</v>
      </c>
    </row>
    <row r="4585" spans="1:13" ht="11.25" customHeight="1" x14ac:dyDescent="0.2">
      <c r="A4585" s="924" t="s">
        <v>853</v>
      </c>
      <c r="B4585" s="924" t="s">
        <v>809</v>
      </c>
      <c r="C4585" s="924" t="s">
        <v>1201</v>
      </c>
      <c r="D4585" s="924" t="s">
        <v>855</v>
      </c>
      <c r="E4585" s="924" t="s">
        <v>856</v>
      </c>
      <c r="F4585" s="924" t="s">
        <v>1150</v>
      </c>
      <c r="G4585" s="924" t="s">
        <v>981</v>
      </c>
      <c r="H4585" s="924" t="s">
        <v>835</v>
      </c>
      <c r="I4585" s="924" t="s">
        <v>1040</v>
      </c>
      <c r="J4585" s="924" t="s">
        <v>940</v>
      </c>
      <c r="K4585" s="924" t="s">
        <v>1151</v>
      </c>
      <c r="L4585" s="925">
        <v>24.141299188137101</v>
      </c>
      <c r="M4585" s="925">
        <v>1.6929700002947402E-2</v>
      </c>
    </row>
    <row r="4586" spans="1:13" ht="11.25" customHeight="1" x14ac:dyDescent="0.2">
      <c r="A4586" s="924" t="s">
        <v>853</v>
      </c>
      <c r="B4586" s="924" t="s">
        <v>809</v>
      </c>
      <c r="C4586" s="924" t="s">
        <v>1201</v>
      </c>
      <c r="D4586" s="924" t="s">
        <v>855</v>
      </c>
      <c r="E4586" s="924" t="s">
        <v>856</v>
      </c>
      <c r="F4586" s="924" t="s">
        <v>1161</v>
      </c>
      <c r="G4586" s="924" t="s">
        <v>981</v>
      </c>
      <c r="H4586" s="924" t="s">
        <v>835</v>
      </c>
      <c r="I4586" s="924" t="s">
        <v>1040</v>
      </c>
      <c r="J4586" s="924" t="s">
        <v>940</v>
      </c>
      <c r="K4586" s="924" t="s">
        <v>1027</v>
      </c>
      <c r="L4586" s="925">
        <v>50.587068110704401</v>
      </c>
      <c r="M4586" s="925">
        <v>3.4831022729264298E-2</v>
      </c>
    </row>
    <row r="4587" spans="1:13" ht="11.25" customHeight="1" x14ac:dyDescent="0.2">
      <c r="A4587" s="924" t="s">
        <v>853</v>
      </c>
      <c r="B4587" s="924" t="s">
        <v>809</v>
      </c>
      <c r="C4587" s="924" t="s">
        <v>1201</v>
      </c>
      <c r="D4587" s="924" t="s">
        <v>855</v>
      </c>
      <c r="E4587" s="924" t="s">
        <v>856</v>
      </c>
      <c r="F4587" s="924" t="s">
        <v>1152</v>
      </c>
      <c r="G4587" s="924" t="s">
        <v>981</v>
      </c>
      <c r="H4587" s="924" t="s">
        <v>835</v>
      </c>
      <c r="I4587" s="924" t="s">
        <v>1040</v>
      </c>
      <c r="J4587" s="924" t="s">
        <v>940</v>
      </c>
      <c r="K4587" s="924" t="s">
        <v>1153</v>
      </c>
      <c r="L4587" s="925">
        <v>44.784214779734597</v>
      </c>
      <c r="M4587" s="925">
        <v>2.9334270831895999E-2</v>
      </c>
    </row>
    <row r="4588" spans="1:13" ht="11.25" customHeight="1" x14ac:dyDescent="0.2">
      <c r="A4588" s="924" t="s">
        <v>853</v>
      </c>
      <c r="B4588" s="924" t="s">
        <v>809</v>
      </c>
      <c r="C4588" s="924" t="s">
        <v>1201</v>
      </c>
      <c r="D4588" s="924" t="s">
        <v>855</v>
      </c>
      <c r="E4588" s="924" t="s">
        <v>856</v>
      </c>
      <c r="F4588" s="924" t="s">
        <v>1146</v>
      </c>
      <c r="G4588" s="924" t="s">
        <v>981</v>
      </c>
      <c r="H4588" s="924" t="s">
        <v>835</v>
      </c>
      <c r="I4588" s="924" t="s">
        <v>1040</v>
      </c>
      <c r="J4588" s="924" t="s">
        <v>940</v>
      </c>
      <c r="K4588" s="924" t="s">
        <v>1147</v>
      </c>
      <c r="L4588" s="925">
        <v>1454.63733863831</v>
      </c>
      <c r="M4588" s="925">
        <v>0.93262733984738599</v>
      </c>
    </row>
    <row r="4589" spans="1:13" ht="11.25" customHeight="1" x14ac:dyDescent="0.2">
      <c r="A4589" s="924" t="s">
        <v>853</v>
      </c>
      <c r="B4589" s="924" t="s">
        <v>809</v>
      </c>
      <c r="C4589" s="924" t="s">
        <v>1201</v>
      </c>
      <c r="D4589" s="924" t="s">
        <v>855</v>
      </c>
      <c r="E4589" s="924" t="s">
        <v>856</v>
      </c>
      <c r="F4589" s="924" t="s">
        <v>1108</v>
      </c>
      <c r="G4589" s="924" t="s">
        <v>981</v>
      </c>
      <c r="H4589" s="924" t="s">
        <v>835</v>
      </c>
      <c r="I4589" s="924" t="s">
        <v>1040</v>
      </c>
      <c r="J4589" s="924" t="s">
        <v>870</v>
      </c>
      <c r="K4589" s="924" t="s">
        <v>1036</v>
      </c>
      <c r="L4589" s="925">
        <v>0.97373914020135999</v>
      </c>
      <c r="M4589" s="925">
        <v>6.5661218854984305E-4</v>
      </c>
    </row>
    <row r="4590" spans="1:13" ht="11.25" customHeight="1" x14ac:dyDescent="0.2">
      <c r="A4590" s="924" t="s">
        <v>853</v>
      </c>
      <c r="B4590" s="924" t="s">
        <v>810</v>
      </c>
      <c r="C4590" s="924" t="s">
        <v>1202</v>
      </c>
      <c r="D4590" s="924" t="s">
        <v>855</v>
      </c>
      <c r="E4590" s="924" t="s">
        <v>856</v>
      </c>
      <c r="F4590" s="924" t="s">
        <v>872</v>
      </c>
      <c r="G4590" s="924" t="s">
        <v>862</v>
      </c>
      <c r="H4590" s="924" t="s">
        <v>665</v>
      </c>
      <c r="I4590" s="924" t="s">
        <v>787</v>
      </c>
      <c r="J4590" s="924" t="s">
        <v>870</v>
      </c>
      <c r="K4590" s="924" t="s">
        <v>873</v>
      </c>
      <c r="L4590" s="925">
        <v>11.654680501669599</v>
      </c>
      <c r="M4590" s="925">
        <v>4.6910253222449697E-2</v>
      </c>
    </row>
    <row r="4591" spans="1:13" ht="11.25" customHeight="1" x14ac:dyDescent="0.2">
      <c r="A4591" s="924" t="s">
        <v>853</v>
      </c>
      <c r="B4591" s="924" t="s">
        <v>810</v>
      </c>
      <c r="C4591" s="924" t="s">
        <v>1202</v>
      </c>
      <c r="D4591" s="924" t="s">
        <v>855</v>
      </c>
      <c r="E4591" s="924" t="s">
        <v>856</v>
      </c>
      <c r="F4591" s="924" t="s">
        <v>912</v>
      </c>
      <c r="G4591" s="924" t="s">
        <v>858</v>
      </c>
      <c r="H4591" s="924" t="s">
        <v>836</v>
      </c>
      <c r="I4591" s="924" t="s">
        <v>837</v>
      </c>
      <c r="J4591" s="924" t="s">
        <v>859</v>
      </c>
      <c r="K4591" s="924" t="s">
        <v>913</v>
      </c>
      <c r="L4591" s="925">
        <v>157.179788708687</v>
      </c>
      <c r="M4591" s="925">
        <v>1.73093291107307E-3</v>
      </c>
    </row>
    <row r="4592" spans="1:13" ht="11.25" customHeight="1" x14ac:dyDescent="0.2">
      <c r="A4592" s="924" t="s">
        <v>853</v>
      </c>
      <c r="B4592" s="924" t="s">
        <v>810</v>
      </c>
      <c r="C4592" s="924" t="s">
        <v>1202</v>
      </c>
      <c r="D4592" s="924" t="s">
        <v>855</v>
      </c>
      <c r="E4592" s="924" t="s">
        <v>856</v>
      </c>
      <c r="F4592" s="924" t="s">
        <v>883</v>
      </c>
      <c r="G4592" s="924" t="s">
        <v>858</v>
      </c>
      <c r="H4592" s="924" t="s">
        <v>836</v>
      </c>
      <c r="I4592" s="924" t="s">
        <v>837</v>
      </c>
      <c r="J4592" s="924" t="s">
        <v>884</v>
      </c>
      <c r="K4592" s="924" t="s">
        <v>885</v>
      </c>
      <c r="L4592" s="925">
        <v>157.54852700233499</v>
      </c>
      <c r="M4592" s="925">
        <v>6.0428316601246496E-3</v>
      </c>
    </row>
    <row r="4593" spans="1:13" ht="11.25" customHeight="1" x14ac:dyDescent="0.2">
      <c r="A4593" s="924" t="s">
        <v>853</v>
      </c>
      <c r="B4593" s="924" t="s">
        <v>810</v>
      </c>
      <c r="C4593" s="924" t="s">
        <v>1202</v>
      </c>
      <c r="D4593" s="924" t="s">
        <v>855</v>
      </c>
      <c r="E4593" s="924" t="s">
        <v>856</v>
      </c>
      <c r="F4593" s="924" t="s">
        <v>881</v>
      </c>
      <c r="G4593" s="924" t="s">
        <v>862</v>
      </c>
      <c r="H4593" s="924" t="s">
        <v>665</v>
      </c>
      <c r="I4593" s="924" t="s">
        <v>787</v>
      </c>
      <c r="J4593" s="924" t="s">
        <v>875</v>
      </c>
      <c r="K4593" s="924" t="s">
        <v>882</v>
      </c>
      <c r="L4593" s="925">
        <v>55.750443756580403</v>
      </c>
      <c r="M4593" s="925">
        <v>0.26641015335917501</v>
      </c>
    </row>
    <row r="4594" spans="1:13" ht="11.25" customHeight="1" x14ac:dyDescent="0.2">
      <c r="A4594" s="924" t="s">
        <v>853</v>
      </c>
      <c r="B4594" s="924" t="s">
        <v>810</v>
      </c>
      <c r="C4594" s="924" t="s">
        <v>1202</v>
      </c>
      <c r="D4594" s="924" t="s">
        <v>855</v>
      </c>
      <c r="E4594" s="924" t="s">
        <v>856</v>
      </c>
      <c r="F4594" s="924" t="s">
        <v>879</v>
      </c>
      <c r="G4594" s="924" t="s">
        <v>862</v>
      </c>
      <c r="H4594" s="924" t="s">
        <v>665</v>
      </c>
      <c r="I4594" s="924" t="s">
        <v>787</v>
      </c>
      <c r="J4594" s="924" t="s">
        <v>875</v>
      </c>
      <c r="K4594" s="924" t="s">
        <v>880</v>
      </c>
      <c r="L4594" s="925">
        <v>1.56643980182707</v>
      </c>
      <c r="M4594" s="925">
        <v>8.81248536734347E-3</v>
      </c>
    </row>
    <row r="4595" spans="1:13" ht="11.25" customHeight="1" x14ac:dyDescent="0.2">
      <c r="A4595" s="924" t="s">
        <v>853</v>
      </c>
      <c r="B4595" s="924" t="s">
        <v>810</v>
      </c>
      <c r="C4595" s="924" t="s">
        <v>1202</v>
      </c>
      <c r="D4595" s="924" t="s">
        <v>855</v>
      </c>
      <c r="E4595" s="924" t="s">
        <v>856</v>
      </c>
      <c r="F4595" s="924" t="s">
        <v>867</v>
      </c>
      <c r="G4595" s="924" t="s">
        <v>862</v>
      </c>
      <c r="H4595" s="924" t="s">
        <v>665</v>
      </c>
      <c r="I4595" s="924" t="s">
        <v>787</v>
      </c>
      <c r="J4595" s="924" t="s">
        <v>863</v>
      </c>
      <c r="K4595" s="924" t="s">
        <v>868</v>
      </c>
      <c r="L4595" s="925">
        <v>0.48502865713089699</v>
      </c>
      <c r="M4595" s="925">
        <v>1.98445417663606E-3</v>
      </c>
    </row>
    <row r="4596" spans="1:13" ht="11.25" customHeight="1" x14ac:dyDescent="0.2">
      <c r="A4596" s="924" t="s">
        <v>853</v>
      </c>
      <c r="B4596" s="924" t="s">
        <v>810</v>
      </c>
      <c r="C4596" s="924" t="s">
        <v>1202</v>
      </c>
      <c r="D4596" s="924" t="s">
        <v>855</v>
      </c>
      <c r="E4596" s="924" t="s">
        <v>856</v>
      </c>
      <c r="F4596" s="924" t="s">
        <v>874</v>
      </c>
      <c r="G4596" s="924" t="s">
        <v>862</v>
      </c>
      <c r="H4596" s="924" t="s">
        <v>665</v>
      </c>
      <c r="I4596" s="924" t="s">
        <v>787</v>
      </c>
      <c r="J4596" s="924" t="s">
        <v>875</v>
      </c>
      <c r="K4596" s="924" t="s">
        <v>876</v>
      </c>
      <c r="L4596" s="925">
        <v>22.202228039503101</v>
      </c>
      <c r="M4596" s="925">
        <v>0.67536143586039499</v>
      </c>
    </row>
    <row r="4597" spans="1:13" ht="11.25" customHeight="1" x14ac:dyDescent="0.2">
      <c r="A4597" s="924" t="s">
        <v>853</v>
      </c>
      <c r="B4597" s="924" t="s">
        <v>810</v>
      </c>
      <c r="C4597" s="924" t="s">
        <v>1202</v>
      </c>
      <c r="D4597" s="924" t="s">
        <v>855</v>
      </c>
      <c r="E4597" s="924" t="s">
        <v>856</v>
      </c>
      <c r="F4597" s="924" t="s">
        <v>888</v>
      </c>
      <c r="G4597" s="924" t="s">
        <v>858</v>
      </c>
      <c r="H4597" s="924" t="s">
        <v>836</v>
      </c>
      <c r="I4597" s="924" t="s">
        <v>837</v>
      </c>
      <c r="J4597" s="924" t="s">
        <v>859</v>
      </c>
      <c r="K4597" s="924" t="s">
        <v>889</v>
      </c>
      <c r="L4597" s="925">
        <v>0.25592835061252101</v>
      </c>
      <c r="M4597" s="925">
        <v>2.8238654099566099E-5</v>
      </c>
    </row>
    <row r="4598" spans="1:13" ht="11.25" customHeight="1" x14ac:dyDescent="0.2">
      <c r="A4598" s="924" t="s">
        <v>853</v>
      </c>
      <c r="B4598" s="924" t="s">
        <v>810</v>
      </c>
      <c r="C4598" s="924" t="s">
        <v>1202</v>
      </c>
      <c r="D4598" s="924" t="s">
        <v>855</v>
      </c>
      <c r="E4598" s="924" t="s">
        <v>856</v>
      </c>
      <c r="F4598" s="924" t="s">
        <v>902</v>
      </c>
      <c r="G4598" s="924" t="s">
        <v>858</v>
      </c>
      <c r="H4598" s="924" t="s">
        <v>836</v>
      </c>
      <c r="I4598" s="924" t="s">
        <v>837</v>
      </c>
      <c r="J4598" s="924" t="s">
        <v>859</v>
      </c>
      <c r="K4598" s="924" t="s">
        <v>903</v>
      </c>
      <c r="L4598" s="925">
        <v>186.60365796089201</v>
      </c>
      <c r="M4598" s="925">
        <v>3.2438833495120902E-3</v>
      </c>
    </row>
    <row r="4599" spans="1:13" ht="11.25" customHeight="1" x14ac:dyDescent="0.2">
      <c r="A4599" s="924" t="s">
        <v>853</v>
      </c>
      <c r="B4599" s="924" t="s">
        <v>810</v>
      </c>
      <c r="C4599" s="924" t="s">
        <v>1202</v>
      </c>
      <c r="D4599" s="924" t="s">
        <v>855</v>
      </c>
      <c r="E4599" s="924" t="s">
        <v>856</v>
      </c>
      <c r="F4599" s="924" t="s">
        <v>869</v>
      </c>
      <c r="G4599" s="924" t="s">
        <v>862</v>
      </c>
      <c r="H4599" s="924" t="s">
        <v>665</v>
      </c>
      <c r="I4599" s="924" t="s">
        <v>787</v>
      </c>
      <c r="J4599" s="924" t="s">
        <v>870</v>
      </c>
      <c r="K4599" s="924" t="s">
        <v>871</v>
      </c>
      <c r="L4599" s="925">
        <v>0.1059518121765</v>
      </c>
      <c r="M4599" s="925">
        <v>6.0792550898440796E-3</v>
      </c>
    </row>
    <row r="4600" spans="1:13" ht="11.25" customHeight="1" x14ac:dyDescent="0.2">
      <c r="A4600" s="924" t="s">
        <v>853</v>
      </c>
      <c r="B4600" s="924" t="s">
        <v>810</v>
      </c>
      <c r="C4600" s="924" t="s">
        <v>1202</v>
      </c>
      <c r="D4600" s="924" t="s">
        <v>855</v>
      </c>
      <c r="E4600" s="924" t="s">
        <v>856</v>
      </c>
      <c r="F4600" s="924" t="s">
        <v>877</v>
      </c>
      <c r="G4600" s="924" t="s">
        <v>862</v>
      </c>
      <c r="H4600" s="924" t="s">
        <v>665</v>
      </c>
      <c r="I4600" s="924" t="s">
        <v>787</v>
      </c>
      <c r="J4600" s="924" t="s">
        <v>875</v>
      </c>
      <c r="K4600" s="924" t="s">
        <v>878</v>
      </c>
      <c r="L4600" s="925">
        <v>1.06202332861722</v>
      </c>
      <c r="M4600" s="925">
        <v>1.73988126261975E-2</v>
      </c>
    </row>
    <row r="4601" spans="1:13" ht="11.25" customHeight="1" x14ac:dyDescent="0.2">
      <c r="A4601" s="924" t="s">
        <v>853</v>
      </c>
      <c r="B4601" s="924" t="s">
        <v>810</v>
      </c>
      <c r="C4601" s="924" t="s">
        <v>1202</v>
      </c>
      <c r="D4601" s="924" t="s">
        <v>855</v>
      </c>
      <c r="E4601" s="924" t="s">
        <v>856</v>
      </c>
      <c r="F4601" s="924" t="s">
        <v>857</v>
      </c>
      <c r="G4601" s="924" t="s">
        <v>858</v>
      </c>
      <c r="H4601" s="924" t="s">
        <v>836</v>
      </c>
      <c r="I4601" s="924" t="s">
        <v>837</v>
      </c>
      <c r="J4601" s="924" t="s">
        <v>859</v>
      </c>
      <c r="K4601" s="924" t="s">
        <v>860</v>
      </c>
      <c r="L4601" s="925">
        <v>4.2163676843047098</v>
      </c>
      <c r="M4601" s="925">
        <v>3.8803823912569901E-4</v>
      </c>
    </row>
    <row r="4602" spans="1:13" ht="11.25" customHeight="1" x14ac:dyDescent="0.2">
      <c r="A4602" s="924" t="s">
        <v>853</v>
      </c>
      <c r="B4602" s="924" t="s">
        <v>810</v>
      </c>
      <c r="C4602" s="924" t="s">
        <v>1202</v>
      </c>
      <c r="D4602" s="924" t="s">
        <v>855</v>
      </c>
      <c r="E4602" s="924" t="s">
        <v>856</v>
      </c>
      <c r="F4602" s="924" t="s">
        <v>892</v>
      </c>
      <c r="G4602" s="924" t="s">
        <v>858</v>
      </c>
      <c r="H4602" s="924" t="s">
        <v>836</v>
      </c>
      <c r="I4602" s="924" t="s">
        <v>837</v>
      </c>
      <c r="J4602" s="924" t="s">
        <v>859</v>
      </c>
      <c r="K4602" s="924" t="s">
        <v>893</v>
      </c>
      <c r="L4602" s="925">
        <v>393.46939516067499</v>
      </c>
      <c r="M4602" s="925">
        <v>4.9773141730042898E-3</v>
      </c>
    </row>
    <row r="4603" spans="1:13" ht="11.25" customHeight="1" x14ac:dyDescent="0.2">
      <c r="A4603" s="924" t="s">
        <v>853</v>
      </c>
      <c r="B4603" s="924" t="s">
        <v>810</v>
      </c>
      <c r="C4603" s="924" t="s">
        <v>1202</v>
      </c>
      <c r="D4603" s="924" t="s">
        <v>855</v>
      </c>
      <c r="E4603" s="924" t="s">
        <v>856</v>
      </c>
      <c r="F4603" s="924" t="s">
        <v>894</v>
      </c>
      <c r="G4603" s="924" t="s">
        <v>858</v>
      </c>
      <c r="H4603" s="924" t="s">
        <v>836</v>
      </c>
      <c r="I4603" s="924" t="s">
        <v>837</v>
      </c>
      <c r="J4603" s="924" t="s">
        <v>859</v>
      </c>
      <c r="K4603" s="924" t="s">
        <v>895</v>
      </c>
      <c r="L4603" s="925">
        <v>428.10714483261103</v>
      </c>
      <c r="M4603" s="925">
        <v>2.8357560466929499E-3</v>
      </c>
    </row>
    <row r="4604" spans="1:13" ht="11.25" customHeight="1" x14ac:dyDescent="0.2">
      <c r="A4604" s="924" t="s">
        <v>853</v>
      </c>
      <c r="B4604" s="924" t="s">
        <v>810</v>
      </c>
      <c r="C4604" s="924" t="s">
        <v>1202</v>
      </c>
      <c r="D4604" s="924" t="s">
        <v>855</v>
      </c>
      <c r="E4604" s="924" t="s">
        <v>856</v>
      </c>
      <c r="F4604" s="924" t="s">
        <v>896</v>
      </c>
      <c r="G4604" s="924" t="s">
        <v>858</v>
      </c>
      <c r="H4604" s="924" t="s">
        <v>836</v>
      </c>
      <c r="I4604" s="924" t="s">
        <v>837</v>
      </c>
      <c r="J4604" s="924" t="s">
        <v>859</v>
      </c>
      <c r="K4604" s="924" t="s">
        <v>897</v>
      </c>
      <c r="L4604" s="925">
        <v>23.607195943594</v>
      </c>
      <c r="M4604" s="925">
        <v>3.8229064305994598E-4</v>
      </c>
    </row>
    <row r="4605" spans="1:13" ht="11.25" customHeight="1" x14ac:dyDescent="0.2">
      <c r="A4605" s="924" t="s">
        <v>853</v>
      </c>
      <c r="B4605" s="924" t="s">
        <v>810</v>
      </c>
      <c r="C4605" s="924" t="s">
        <v>1202</v>
      </c>
      <c r="D4605" s="924" t="s">
        <v>855</v>
      </c>
      <c r="E4605" s="924" t="s">
        <v>856</v>
      </c>
      <c r="F4605" s="924" t="s">
        <v>972</v>
      </c>
      <c r="G4605" s="924" t="s">
        <v>858</v>
      </c>
      <c r="H4605" s="924" t="s">
        <v>836</v>
      </c>
      <c r="I4605" s="924" t="s">
        <v>837</v>
      </c>
      <c r="J4605" s="924" t="s">
        <v>859</v>
      </c>
      <c r="K4605" s="924" t="s">
        <v>973</v>
      </c>
      <c r="L4605" s="925">
        <v>6.3072431832552001</v>
      </c>
      <c r="M4605" s="925">
        <v>1.6067299751298901E-4</v>
      </c>
    </row>
    <row r="4606" spans="1:13" ht="11.25" customHeight="1" x14ac:dyDescent="0.2">
      <c r="A4606" s="924" t="s">
        <v>853</v>
      </c>
      <c r="B4606" s="924" t="s">
        <v>810</v>
      </c>
      <c r="C4606" s="924" t="s">
        <v>1202</v>
      </c>
      <c r="D4606" s="924" t="s">
        <v>855</v>
      </c>
      <c r="E4606" s="924" t="s">
        <v>856</v>
      </c>
      <c r="F4606" s="924" t="s">
        <v>900</v>
      </c>
      <c r="G4606" s="924" t="s">
        <v>858</v>
      </c>
      <c r="H4606" s="924" t="s">
        <v>836</v>
      </c>
      <c r="I4606" s="924" t="s">
        <v>837</v>
      </c>
      <c r="J4606" s="924" t="s">
        <v>859</v>
      </c>
      <c r="K4606" s="924" t="s">
        <v>901</v>
      </c>
      <c r="L4606" s="925">
        <v>43.455442845821402</v>
      </c>
      <c r="M4606" s="925">
        <v>1.8938932822436499E-3</v>
      </c>
    </row>
    <row r="4607" spans="1:13" ht="11.25" customHeight="1" x14ac:dyDescent="0.2">
      <c r="A4607" s="924" t="s">
        <v>853</v>
      </c>
      <c r="B4607" s="924" t="s">
        <v>810</v>
      </c>
      <c r="C4607" s="924" t="s">
        <v>1202</v>
      </c>
      <c r="D4607" s="924" t="s">
        <v>855</v>
      </c>
      <c r="E4607" s="924" t="s">
        <v>856</v>
      </c>
      <c r="F4607" s="924" t="s">
        <v>904</v>
      </c>
      <c r="G4607" s="924" t="s">
        <v>858</v>
      </c>
      <c r="H4607" s="924" t="s">
        <v>836</v>
      </c>
      <c r="I4607" s="924" t="s">
        <v>837</v>
      </c>
      <c r="J4607" s="924" t="s">
        <v>859</v>
      </c>
      <c r="K4607" s="924" t="s">
        <v>905</v>
      </c>
      <c r="L4607" s="925">
        <v>161.56874799728399</v>
      </c>
      <c r="M4607" s="925">
        <v>3.06082971405885E-3</v>
      </c>
    </row>
    <row r="4608" spans="1:13" ht="11.25" customHeight="1" x14ac:dyDescent="0.2">
      <c r="A4608" s="924" t="s">
        <v>853</v>
      </c>
      <c r="B4608" s="924" t="s">
        <v>810</v>
      </c>
      <c r="C4608" s="924" t="s">
        <v>1202</v>
      </c>
      <c r="D4608" s="924" t="s">
        <v>855</v>
      </c>
      <c r="E4608" s="924" t="s">
        <v>856</v>
      </c>
      <c r="F4608" s="924" t="s">
        <v>906</v>
      </c>
      <c r="G4608" s="924" t="s">
        <v>858</v>
      </c>
      <c r="H4608" s="924" t="s">
        <v>836</v>
      </c>
      <c r="I4608" s="924" t="s">
        <v>837</v>
      </c>
      <c r="J4608" s="924" t="s">
        <v>859</v>
      </c>
      <c r="K4608" s="924" t="s">
        <v>907</v>
      </c>
      <c r="L4608" s="925">
        <v>1594.51942443848</v>
      </c>
      <c r="M4608" s="925">
        <v>1.0615465251817099E-2</v>
      </c>
    </row>
    <row r="4609" spans="1:13" ht="11.25" customHeight="1" x14ac:dyDescent="0.2">
      <c r="A4609" s="924" t="s">
        <v>853</v>
      </c>
      <c r="B4609" s="924" t="s">
        <v>810</v>
      </c>
      <c r="C4609" s="924" t="s">
        <v>1202</v>
      </c>
      <c r="D4609" s="924" t="s">
        <v>855</v>
      </c>
      <c r="E4609" s="924" t="s">
        <v>856</v>
      </c>
      <c r="F4609" s="924" t="s">
        <v>908</v>
      </c>
      <c r="G4609" s="924" t="s">
        <v>858</v>
      </c>
      <c r="H4609" s="924" t="s">
        <v>836</v>
      </c>
      <c r="I4609" s="924" t="s">
        <v>837</v>
      </c>
      <c r="J4609" s="924" t="s">
        <v>859</v>
      </c>
      <c r="K4609" s="924" t="s">
        <v>909</v>
      </c>
      <c r="L4609" s="925">
        <v>13.2657689154148</v>
      </c>
      <c r="M4609" s="925">
        <v>2.7765755214481701E-4</v>
      </c>
    </row>
    <row r="4610" spans="1:13" ht="11.25" customHeight="1" x14ac:dyDescent="0.2">
      <c r="A4610" s="924" t="s">
        <v>853</v>
      </c>
      <c r="B4610" s="924" t="s">
        <v>810</v>
      </c>
      <c r="C4610" s="924" t="s">
        <v>1202</v>
      </c>
      <c r="D4610" s="924" t="s">
        <v>855</v>
      </c>
      <c r="E4610" s="924" t="s">
        <v>856</v>
      </c>
      <c r="F4610" s="924" t="s">
        <v>917</v>
      </c>
      <c r="G4610" s="924" t="s">
        <v>911</v>
      </c>
      <c r="H4610" s="924" t="s">
        <v>665</v>
      </c>
      <c r="I4610" s="924" t="s">
        <v>706</v>
      </c>
      <c r="J4610" s="924" t="s">
        <v>859</v>
      </c>
      <c r="K4610" s="924" t="s">
        <v>918</v>
      </c>
      <c r="L4610" s="925">
        <v>1.4581831041723501</v>
      </c>
      <c r="M4610" s="925">
        <v>4.7082985463475801E-4</v>
      </c>
    </row>
    <row r="4611" spans="1:13" ht="11.25" customHeight="1" x14ac:dyDescent="0.2">
      <c r="A4611" s="924" t="s">
        <v>853</v>
      </c>
      <c r="B4611" s="924" t="s">
        <v>810</v>
      </c>
      <c r="C4611" s="924" t="s">
        <v>1202</v>
      </c>
      <c r="D4611" s="924" t="s">
        <v>855</v>
      </c>
      <c r="E4611" s="924" t="s">
        <v>856</v>
      </c>
      <c r="F4611" s="924" t="s">
        <v>865</v>
      </c>
      <c r="G4611" s="924" t="s">
        <v>862</v>
      </c>
      <c r="H4611" s="924" t="s">
        <v>665</v>
      </c>
      <c r="I4611" s="924" t="s">
        <v>787</v>
      </c>
      <c r="J4611" s="924" t="s">
        <v>863</v>
      </c>
      <c r="K4611" s="924" t="s">
        <v>866</v>
      </c>
      <c r="L4611" s="925">
        <v>0.37068690732121501</v>
      </c>
      <c r="M4611" s="925">
        <v>1.78841047079459E-3</v>
      </c>
    </row>
    <row r="4612" spans="1:13" ht="11.25" customHeight="1" x14ac:dyDescent="0.2">
      <c r="A4612" s="924" t="s">
        <v>853</v>
      </c>
      <c r="B4612" s="924" t="s">
        <v>810</v>
      </c>
      <c r="C4612" s="924" t="s">
        <v>1202</v>
      </c>
      <c r="D4612" s="924" t="s">
        <v>855</v>
      </c>
      <c r="E4612" s="924" t="s">
        <v>856</v>
      </c>
      <c r="F4612" s="924" t="s">
        <v>898</v>
      </c>
      <c r="G4612" s="924" t="s">
        <v>858</v>
      </c>
      <c r="H4612" s="924" t="s">
        <v>836</v>
      </c>
      <c r="I4612" s="924" t="s">
        <v>837</v>
      </c>
      <c r="J4612" s="924" t="s">
        <v>859</v>
      </c>
      <c r="K4612" s="924" t="s">
        <v>899</v>
      </c>
      <c r="L4612" s="925">
        <v>14.468122467398601</v>
      </c>
      <c r="M4612" s="925">
        <v>2.51658912251429E-4</v>
      </c>
    </row>
    <row r="4613" spans="1:13" ht="11.25" customHeight="1" x14ac:dyDescent="0.2">
      <c r="A4613" s="924" t="s">
        <v>853</v>
      </c>
      <c r="B4613" s="924" t="s">
        <v>810</v>
      </c>
      <c r="C4613" s="924" t="s">
        <v>1202</v>
      </c>
      <c r="D4613" s="924" t="s">
        <v>855</v>
      </c>
      <c r="E4613" s="924" t="s">
        <v>856</v>
      </c>
      <c r="F4613" s="924" t="s">
        <v>942</v>
      </c>
      <c r="G4613" s="924" t="s">
        <v>911</v>
      </c>
      <c r="H4613" s="924" t="s">
        <v>665</v>
      </c>
      <c r="I4613" s="924" t="s">
        <v>706</v>
      </c>
      <c r="J4613" s="924" t="s">
        <v>870</v>
      </c>
      <c r="K4613" s="924" t="s">
        <v>871</v>
      </c>
      <c r="L4613" s="925">
        <v>5.62893594615161E-2</v>
      </c>
      <c r="M4613" s="925">
        <v>3.51306586328093E-5</v>
      </c>
    </row>
    <row r="4614" spans="1:13" ht="11.25" customHeight="1" x14ac:dyDescent="0.2">
      <c r="A4614" s="924" t="s">
        <v>853</v>
      </c>
      <c r="B4614" s="924" t="s">
        <v>810</v>
      </c>
      <c r="C4614" s="924" t="s">
        <v>1202</v>
      </c>
      <c r="D4614" s="924" t="s">
        <v>855</v>
      </c>
      <c r="E4614" s="924" t="s">
        <v>856</v>
      </c>
      <c r="F4614" s="924" t="s">
        <v>919</v>
      </c>
      <c r="G4614" s="924" t="s">
        <v>911</v>
      </c>
      <c r="H4614" s="924" t="s">
        <v>665</v>
      </c>
      <c r="I4614" s="924" t="s">
        <v>706</v>
      </c>
      <c r="J4614" s="924" t="s">
        <v>859</v>
      </c>
      <c r="K4614" s="924" t="s">
        <v>920</v>
      </c>
      <c r="L4614" s="925">
        <v>0.24060146859847001</v>
      </c>
      <c r="M4614" s="925">
        <v>6.7407701621391398E-5</v>
      </c>
    </row>
    <row r="4615" spans="1:13" ht="11.25" customHeight="1" x14ac:dyDescent="0.2">
      <c r="A4615" s="924" t="s">
        <v>853</v>
      </c>
      <c r="B4615" s="924" t="s">
        <v>810</v>
      </c>
      <c r="C4615" s="924" t="s">
        <v>1202</v>
      </c>
      <c r="D4615" s="924" t="s">
        <v>855</v>
      </c>
      <c r="E4615" s="924" t="s">
        <v>856</v>
      </c>
      <c r="F4615" s="924" t="s">
        <v>923</v>
      </c>
      <c r="G4615" s="924" t="s">
        <v>911</v>
      </c>
      <c r="H4615" s="924" t="s">
        <v>665</v>
      </c>
      <c r="I4615" s="924" t="s">
        <v>706</v>
      </c>
      <c r="J4615" s="924" t="s">
        <v>859</v>
      </c>
      <c r="K4615" s="924" t="s">
        <v>924</v>
      </c>
      <c r="L4615" s="925">
        <v>6.2731170728802699</v>
      </c>
      <c r="M4615" s="925">
        <v>3.3257615450565898E-4</v>
      </c>
    </row>
    <row r="4616" spans="1:13" ht="11.25" customHeight="1" x14ac:dyDescent="0.2">
      <c r="A4616" s="924" t="s">
        <v>853</v>
      </c>
      <c r="B4616" s="924" t="s">
        <v>810</v>
      </c>
      <c r="C4616" s="924" t="s">
        <v>1202</v>
      </c>
      <c r="D4616" s="924" t="s">
        <v>855</v>
      </c>
      <c r="E4616" s="924" t="s">
        <v>856</v>
      </c>
      <c r="F4616" s="924" t="s">
        <v>925</v>
      </c>
      <c r="G4616" s="924" t="s">
        <v>911</v>
      </c>
      <c r="H4616" s="924" t="s">
        <v>665</v>
      </c>
      <c r="I4616" s="924" t="s">
        <v>706</v>
      </c>
      <c r="J4616" s="924" t="s">
        <v>859</v>
      </c>
      <c r="K4616" s="924" t="s">
        <v>926</v>
      </c>
      <c r="L4616" s="925">
        <v>0.66306909359991595</v>
      </c>
      <c r="M4616" s="925">
        <v>3.0568522845442203E-5</v>
      </c>
    </row>
    <row r="4617" spans="1:13" ht="11.25" customHeight="1" x14ac:dyDescent="0.2">
      <c r="A4617" s="924" t="s">
        <v>853</v>
      </c>
      <c r="B4617" s="924" t="s">
        <v>810</v>
      </c>
      <c r="C4617" s="924" t="s">
        <v>1202</v>
      </c>
      <c r="D4617" s="924" t="s">
        <v>855</v>
      </c>
      <c r="E4617" s="924" t="s">
        <v>856</v>
      </c>
      <c r="F4617" s="924" t="s">
        <v>927</v>
      </c>
      <c r="G4617" s="924" t="s">
        <v>911</v>
      </c>
      <c r="H4617" s="924" t="s">
        <v>665</v>
      </c>
      <c r="I4617" s="924" t="s">
        <v>706</v>
      </c>
      <c r="J4617" s="924" t="s">
        <v>859</v>
      </c>
      <c r="K4617" s="924" t="s">
        <v>928</v>
      </c>
      <c r="L4617" s="925">
        <v>5.3912488892674402</v>
      </c>
      <c r="M4617" s="925">
        <v>1.5989289113349501E-3</v>
      </c>
    </row>
    <row r="4618" spans="1:13" ht="11.25" customHeight="1" x14ac:dyDescent="0.2">
      <c r="A4618" s="924" t="s">
        <v>853</v>
      </c>
      <c r="B4618" s="924" t="s">
        <v>810</v>
      </c>
      <c r="C4618" s="924" t="s">
        <v>1202</v>
      </c>
      <c r="D4618" s="924" t="s">
        <v>855</v>
      </c>
      <c r="E4618" s="924" t="s">
        <v>856</v>
      </c>
      <c r="F4618" s="924" t="s">
        <v>929</v>
      </c>
      <c r="G4618" s="924" t="s">
        <v>911</v>
      </c>
      <c r="H4618" s="924" t="s">
        <v>665</v>
      </c>
      <c r="I4618" s="924" t="s">
        <v>706</v>
      </c>
      <c r="J4618" s="924" t="s">
        <v>859</v>
      </c>
      <c r="K4618" s="924" t="s">
        <v>891</v>
      </c>
      <c r="L4618" s="925">
        <v>2.21958066895604</v>
      </c>
      <c r="M4618" s="925">
        <v>8.8931697428051805E-4</v>
      </c>
    </row>
    <row r="4619" spans="1:13" ht="11.25" customHeight="1" x14ac:dyDescent="0.2">
      <c r="A4619" s="924" t="s">
        <v>853</v>
      </c>
      <c r="B4619" s="924" t="s">
        <v>810</v>
      </c>
      <c r="C4619" s="924" t="s">
        <v>1202</v>
      </c>
      <c r="D4619" s="924" t="s">
        <v>855</v>
      </c>
      <c r="E4619" s="924" t="s">
        <v>856</v>
      </c>
      <c r="F4619" s="924" t="s">
        <v>930</v>
      </c>
      <c r="G4619" s="924" t="s">
        <v>911</v>
      </c>
      <c r="H4619" s="924" t="s">
        <v>665</v>
      </c>
      <c r="I4619" s="924" t="s">
        <v>706</v>
      </c>
      <c r="J4619" s="924" t="s">
        <v>863</v>
      </c>
      <c r="K4619" s="924" t="s">
        <v>931</v>
      </c>
      <c r="L4619" s="925">
        <v>13.694759726524399</v>
      </c>
      <c r="M4619" s="925">
        <v>2.7908883248528599E-3</v>
      </c>
    </row>
    <row r="4620" spans="1:13" ht="11.25" customHeight="1" x14ac:dyDescent="0.2">
      <c r="A4620" s="924" t="s">
        <v>853</v>
      </c>
      <c r="B4620" s="924" t="s">
        <v>810</v>
      </c>
      <c r="C4620" s="924" t="s">
        <v>1202</v>
      </c>
      <c r="D4620" s="924" t="s">
        <v>855</v>
      </c>
      <c r="E4620" s="924" t="s">
        <v>856</v>
      </c>
      <c r="F4620" s="924" t="s">
        <v>932</v>
      </c>
      <c r="G4620" s="924" t="s">
        <v>911</v>
      </c>
      <c r="H4620" s="924" t="s">
        <v>665</v>
      </c>
      <c r="I4620" s="924" t="s">
        <v>706</v>
      </c>
      <c r="J4620" s="924" t="s">
        <v>863</v>
      </c>
      <c r="K4620" s="924" t="s">
        <v>933</v>
      </c>
      <c r="L4620" s="925">
        <v>1274.0470504760699</v>
      </c>
      <c r="M4620" s="925">
        <v>6.1573064594995203E-2</v>
      </c>
    </row>
    <row r="4621" spans="1:13" ht="11.25" customHeight="1" x14ac:dyDescent="0.2">
      <c r="A4621" s="924" t="s">
        <v>853</v>
      </c>
      <c r="B4621" s="924" t="s">
        <v>810</v>
      </c>
      <c r="C4621" s="924" t="s">
        <v>1202</v>
      </c>
      <c r="D4621" s="924" t="s">
        <v>855</v>
      </c>
      <c r="E4621" s="924" t="s">
        <v>856</v>
      </c>
      <c r="F4621" s="924" t="s">
        <v>954</v>
      </c>
      <c r="G4621" s="924" t="s">
        <v>911</v>
      </c>
      <c r="H4621" s="924" t="s">
        <v>665</v>
      </c>
      <c r="I4621" s="924" t="s">
        <v>706</v>
      </c>
      <c r="J4621" s="924" t="s">
        <v>863</v>
      </c>
      <c r="K4621" s="924" t="s">
        <v>935</v>
      </c>
      <c r="L4621" s="925">
        <v>9.5061774849891698</v>
      </c>
      <c r="M4621" s="925">
        <v>4.4883853433930199E-4</v>
      </c>
    </row>
    <row r="4622" spans="1:13" ht="11.25" customHeight="1" x14ac:dyDescent="0.2">
      <c r="A4622" s="924" t="s">
        <v>853</v>
      </c>
      <c r="B4622" s="924" t="s">
        <v>810</v>
      </c>
      <c r="C4622" s="924" t="s">
        <v>1202</v>
      </c>
      <c r="D4622" s="924" t="s">
        <v>855</v>
      </c>
      <c r="E4622" s="924" t="s">
        <v>856</v>
      </c>
      <c r="F4622" s="924" t="s">
        <v>936</v>
      </c>
      <c r="G4622" s="924" t="s">
        <v>911</v>
      </c>
      <c r="H4622" s="924" t="s">
        <v>665</v>
      </c>
      <c r="I4622" s="924" t="s">
        <v>706</v>
      </c>
      <c r="J4622" s="924" t="s">
        <v>863</v>
      </c>
      <c r="K4622" s="924" t="s">
        <v>864</v>
      </c>
      <c r="L4622" s="925">
        <v>2.99845751002431</v>
      </c>
      <c r="M4622" s="925">
        <v>1.3956159796180099E-4</v>
      </c>
    </row>
    <row r="4623" spans="1:13" ht="11.25" customHeight="1" x14ac:dyDescent="0.2">
      <c r="A4623" s="924" t="s">
        <v>853</v>
      </c>
      <c r="B4623" s="924" t="s">
        <v>810</v>
      </c>
      <c r="C4623" s="924" t="s">
        <v>1202</v>
      </c>
      <c r="D4623" s="924" t="s">
        <v>855</v>
      </c>
      <c r="E4623" s="924" t="s">
        <v>856</v>
      </c>
      <c r="F4623" s="924" t="s">
        <v>914</v>
      </c>
      <c r="G4623" s="924" t="s">
        <v>911</v>
      </c>
      <c r="H4623" s="924" t="s">
        <v>665</v>
      </c>
      <c r="I4623" s="924" t="s">
        <v>706</v>
      </c>
      <c r="J4623" s="924" t="s">
        <v>863</v>
      </c>
      <c r="K4623" s="924" t="s">
        <v>915</v>
      </c>
      <c r="L4623" s="925">
        <v>0.72729672119021405</v>
      </c>
      <c r="M4623" s="925">
        <v>1.0377637268277301E-4</v>
      </c>
    </row>
    <row r="4624" spans="1:13" ht="11.25" customHeight="1" x14ac:dyDescent="0.2">
      <c r="A4624" s="924" t="s">
        <v>853</v>
      </c>
      <c r="B4624" s="924" t="s">
        <v>810</v>
      </c>
      <c r="C4624" s="924" t="s">
        <v>1202</v>
      </c>
      <c r="D4624" s="924" t="s">
        <v>855</v>
      </c>
      <c r="E4624" s="924" t="s">
        <v>856</v>
      </c>
      <c r="F4624" s="924" t="s">
        <v>921</v>
      </c>
      <c r="G4624" s="924" t="s">
        <v>911</v>
      </c>
      <c r="H4624" s="924" t="s">
        <v>665</v>
      </c>
      <c r="I4624" s="924" t="s">
        <v>706</v>
      </c>
      <c r="J4624" s="924" t="s">
        <v>859</v>
      </c>
      <c r="K4624" s="924" t="s">
        <v>922</v>
      </c>
      <c r="L4624" s="925">
        <v>2.55497689917684</v>
      </c>
      <c r="M4624" s="925">
        <v>3.4125594510214802E-4</v>
      </c>
    </row>
    <row r="4625" spans="1:13" ht="11.25" customHeight="1" x14ac:dyDescent="0.2">
      <c r="A4625" s="924" t="s">
        <v>853</v>
      </c>
      <c r="B4625" s="924" t="s">
        <v>810</v>
      </c>
      <c r="C4625" s="924" t="s">
        <v>1202</v>
      </c>
      <c r="D4625" s="924" t="s">
        <v>855</v>
      </c>
      <c r="E4625" s="924" t="s">
        <v>856</v>
      </c>
      <c r="F4625" s="924" t="s">
        <v>939</v>
      </c>
      <c r="G4625" s="924" t="s">
        <v>911</v>
      </c>
      <c r="H4625" s="924" t="s">
        <v>665</v>
      </c>
      <c r="I4625" s="924" t="s">
        <v>706</v>
      </c>
      <c r="J4625" s="924" t="s">
        <v>940</v>
      </c>
      <c r="K4625" s="924" t="s">
        <v>941</v>
      </c>
      <c r="L4625" s="925">
        <v>52.8226100802422</v>
      </c>
      <c r="M4625" s="925">
        <v>2.5413464800294601E-3</v>
      </c>
    </row>
    <row r="4626" spans="1:13" ht="11.25" customHeight="1" x14ac:dyDescent="0.2">
      <c r="A4626" s="924" t="s">
        <v>853</v>
      </c>
      <c r="B4626" s="924" t="s">
        <v>810</v>
      </c>
      <c r="C4626" s="924" t="s">
        <v>1202</v>
      </c>
      <c r="D4626" s="924" t="s">
        <v>855</v>
      </c>
      <c r="E4626" s="924" t="s">
        <v>856</v>
      </c>
      <c r="F4626" s="924" t="s">
        <v>861</v>
      </c>
      <c r="G4626" s="924" t="s">
        <v>862</v>
      </c>
      <c r="H4626" s="924" t="s">
        <v>665</v>
      </c>
      <c r="I4626" s="924" t="s">
        <v>787</v>
      </c>
      <c r="J4626" s="924" t="s">
        <v>863</v>
      </c>
      <c r="K4626" s="924" t="s">
        <v>864</v>
      </c>
      <c r="L4626" s="925">
        <v>3.9658458845224197E-2</v>
      </c>
      <c r="M4626" s="925">
        <v>1.6294903616653799E-4</v>
      </c>
    </row>
    <row r="4627" spans="1:13" ht="11.25" customHeight="1" x14ac:dyDescent="0.2">
      <c r="A4627" s="924" t="s">
        <v>853</v>
      </c>
      <c r="B4627" s="924" t="s">
        <v>810</v>
      </c>
      <c r="C4627" s="924" t="s">
        <v>1202</v>
      </c>
      <c r="D4627" s="924" t="s">
        <v>855</v>
      </c>
      <c r="E4627" s="924" t="s">
        <v>856</v>
      </c>
      <c r="F4627" s="924" t="s">
        <v>943</v>
      </c>
      <c r="G4627" s="924" t="s">
        <v>911</v>
      </c>
      <c r="H4627" s="924" t="s">
        <v>665</v>
      </c>
      <c r="I4627" s="924" t="s">
        <v>706</v>
      </c>
      <c r="J4627" s="924" t="s">
        <v>870</v>
      </c>
      <c r="K4627" s="924" t="s">
        <v>873</v>
      </c>
      <c r="L4627" s="925">
        <v>0.11441644912702</v>
      </c>
      <c r="M4627" s="925">
        <v>5.1957417319670202E-6</v>
      </c>
    </row>
    <row r="4628" spans="1:13" ht="11.25" customHeight="1" x14ac:dyDescent="0.2">
      <c r="A4628" s="924" t="s">
        <v>853</v>
      </c>
      <c r="B4628" s="924" t="s">
        <v>810</v>
      </c>
      <c r="C4628" s="924" t="s">
        <v>1202</v>
      </c>
      <c r="D4628" s="924" t="s">
        <v>855</v>
      </c>
      <c r="E4628" s="924" t="s">
        <v>856</v>
      </c>
      <c r="F4628" s="924" t="s">
        <v>944</v>
      </c>
      <c r="G4628" s="924" t="s">
        <v>911</v>
      </c>
      <c r="H4628" s="924" t="s">
        <v>665</v>
      </c>
      <c r="I4628" s="924" t="s">
        <v>706</v>
      </c>
      <c r="J4628" s="924" t="s">
        <v>875</v>
      </c>
      <c r="K4628" s="924" t="s">
        <v>876</v>
      </c>
      <c r="L4628" s="925">
        <v>72.629395842552199</v>
      </c>
      <c r="M4628" s="925">
        <v>2.2962891081988301E-2</v>
      </c>
    </row>
    <row r="4629" spans="1:13" ht="11.25" customHeight="1" x14ac:dyDescent="0.2">
      <c r="A4629" s="924" t="s">
        <v>853</v>
      </c>
      <c r="B4629" s="924" t="s">
        <v>810</v>
      </c>
      <c r="C4629" s="924" t="s">
        <v>1202</v>
      </c>
      <c r="D4629" s="924" t="s">
        <v>855</v>
      </c>
      <c r="E4629" s="924" t="s">
        <v>856</v>
      </c>
      <c r="F4629" s="924" t="s">
        <v>945</v>
      </c>
      <c r="G4629" s="924" t="s">
        <v>911</v>
      </c>
      <c r="H4629" s="924" t="s">
        <v>665</v>
      </c>
      <c r="I4629" s="924" t="s">
        <v>706</v>
      </c>
      <c r="J4629" s="924" t="s">
        <v>875</v>
      </c>
      <c r="K4629" s="924" t="s">
        <v>878</v>
      </c>
      <c r="L4629" s="925">
        <v>16.038230955600699</v>
      </c>
      <c r="M4629" s="925">
        <v>2.37269414583352E-3</v>
      </c>
    </row>
    <row r="4630" spans="1:13" ht="11.25" customHeight="1" x14ac:dyDescent="0.2">
      <c r="A4630" s="924" t="s">
        <v>853</v>
      </c>
      <c r="B4630" s="924" t="s">
        <v>810</v>
      </c>
      <c r="C4630" s="924" t="s">
        <v>1202</v>
      </c>
      <c r="D4630" s="924" t="s">
        <v>855</v>
      </c>
      <c r="E4630" s="924" t="s">
        <v>856</v>
      </c>
      <c r="F4630" s="924" t="s">
        <v>946</v>
      </c>
      <c r="G4630" s="924" t="s">
        <v>911</v>
      </c>
      <c r="H4630" s="924" t="s">
        <v>665</v>
      </c>
      <c r="I4630" s="924" t="s">
        <v>706</v>
      </c>
      <c r="J4630" s="924" t="s">
        <v>875</v>
      </c>
      <c r="K4630" s="924" t="s">
        <v>880</v>
      </c>
      <c r="L4630" s="925">
        <v>18.9595255851746</v>
      </c>
      <c r="M4630" s="925">
        <v>1.20667630176285E-3</v>
      </c>
    </row>
    <row r="4631" spans="1:13" ht="11.25" customHeight="1" x14ac:dyDescent="0.2">
      <c r="A4631" s="924" t="s">
        <v>853</v>
      </c>
      <c r="B4631" s="924" t="s">
        <v>810</v>
      </c>
      <c r="C4631" s="924" t="s">
        <v>1202</v>
      </c>
      <c r="D4631" s="924" t="s">
        <v>855</v>
      </c>
      <c r="E4631" s="924" t="s">
        <v>856</v>
      </c>
      <c r="F4631" s="924" t="s">
        <v>947</v>
      </c>
      <c r="G4631" s="924" t="s">
        <v>911</v>
      </c>
      <c r="H4631" s="924" t="s">
        <v>665</v>
      </c>
      <c r="I4631" s="924" t="s">
        <v>706</v>
      </c>
      <c r="J4631" s="924" t="s">
        <v>875</v>
      </c>
      <c r="K4631" s="924" t="s">
        <v>948</v>
      </c>
      <c r="L4631" s="925">
        <v>23.565672188997301</v>
      </c>
      <c r="M4631" s="925">
        <v>1.80085819238229E-3</v>
      </c>
    </row>
    <row r="4632" spans="1:13" ht="11.25" customHeight="1" x14ac:dyDescent="0.2">
      <c r="A4632" s="924" t="s">
        <v>853</v>
      </c>
      <c r="B4632" s="924" t="s">
        <v>810</v>
      </c>
      <c r="C4632" s="924" t="s">
        <v>1202</v>
      </c>
      <c r="D4632" s="924" t="s">
        <v>855</v>
      </c>
      <c r="E4632" s="924" t="s">
        <v>856</v>
      </c>
      <c r="F4632" s="924" t="s">
        <v>949</v>
      </c>
      <c r="G4632" s="924" t="s">
        <v>911</v>
      </c>
      <c r="H4632" s="924" t="s">
        <v>665</v>
      </c>
      <c r="I4632" s="924" t="s">
        <v>706</v>
      </c>
      <c r="J4632" s="924" t="s">
        <v>875</v>
      </c>
      <c r="K4632" s="924" t="s">
        <v>950</v>
      </c>
      <c r="L4632" s="925">
        <v>0.31598752876743702</v>
      </c>
      <c r="M4632" s="925">
        <v>6.7773752093103199E-5</v>
      </c>
    </row>
    <row r="4633" spans="1:13" ht="11.25" customHeight="1" x14ac:dyDescent="0.2">
      <c r="A4633" s="924" t="s">
        <v>853</v>
      </c>
      <c r="B4633" s="924" t="s">
        <v>810</v>
      </c>
      <c r="C4633" s="924" t="s">
        <v>1202</v>
      </c>
      <c r="D4633" s="924" t="s">
        <v>855</v>
      </c>
      <c r="E4633" s="924" t="s">
        <v>856</v>
      </c>
      <c r="F4633" s="924" t="s">
        <v>951</v>
      </c>
      <c r="G4633" s="924" t="s">
        <v>911</v>
      </c>
      <c r="H4633" s="924" t="s">
        <v>665</v>
      </c>
      <c r="I4633" s="924" t="s">
        <v>706</v>
      </c>
      <c r="J4633" s="924" t="s">
        <v>875</v>
      </c>
      <c r="K4633" s="924" t="s">
        <v>952</v>
      </c>
      <c r="L4633" s="925">
        <v>0.29165184404701</v>
      </c>
      <c r="M4633" s="925">
        <v>1.8134550586523801E-5</v>
      </c>
    </row>
    <row r="4634" spans="1:13" ht="11.25" customHeight="1" x14ac:dyDescent="0.2">
      <c r="A4634" s="924" t="s">
        <v>853</v>
      </c>
      <c r="B4634" s="924" t="s">
        <v>810</v>
      </c>
      <c r="C4634" s="924" t="s">
        <v>1202</v>
      </c>
      <c r="D4634" s="924" t="s">
        <v>855</v>
      </c>
      <c r="E4634" s="924" t="s">
        <v>856</v>
      </c>
      <c r="F4634" s="924" t="s">
        <v>890</v>
      </c>
      <c r="G4634" s="924" t="s">
        <v>862</v>
      </c>
      <c r="H4634" s="924" t="s">
        <v>665</v>
      </c>
      <c r="I4634" s="924" t="s">
        <v>787</v>
      </c>
      <c r="J4634" s="924" t="s">
        <v>859</v>
      </c>
      <c r="K4634" s="924" t="s">
        <v>891</v>
      </c>
      <c r="L4634" s="925">
        <v>7.6688003784511197E-2</v>
      </c>
      <c r="M4634" s="925">
        <v>2.7298653071739002E-3</v>
      </c>
    </row>
    <row r="4635" spans="1:13" ht="11.25" customHeight="1" x14ac:dyDescent="0.2">
      <c r="A4635" s="924" t="s">
        <v>853</v>
      </c>
      <c r="B4635" s="924" t="s">
        <v>810</v>
      </c>
      <c r="C4635" s="924" t="s">
        <v>1202</v>
      </c>
      <c r="D4635" s="924" t="s">
        <v>855</v>
      </c>
      <c r="E4635" s="924" t="s">
        <v>856</v>
      </c>
      <c r="F4635" s="924" t="s">
        <v>937</v>
      </c>
      <c r="G4635" s="924" t="s">
        <v>862</v>
      </c>
      <c r="H4635" s="924" t="s">
        <v>665</v>
      </c>
      <c r="I4635" s="924" t="s">
        <v>787</v>
      </c>
      <c r="J4635" s="924" t="s">
        <v>863</v>
      </c>
      <c r="K4635" s="924" t="s">
        <v>933</v>
      </c>
      <c r="L4635" s="925">
        <v>85.885306000709505</v>
      </c>
      <c r="M4635" s="925">
        <v>0.36581824207678398</v>
      </c>
    </row>
    <row r="4636" spans="1:13" ht="11.25" customHeight="1" x14ac:dyDescent="0.2">
      <c r="A4636" s="924" t="s">
        <v>853</v>
      </c>
      <c r="B4636" s="924" t="s">
        <v>810</v>
      </c>
      <c r="C4636" s="924" t="s">
        <v>1202</v>
      </c>
      <c r="D4636" s="924" t="s">
        <v>855</v>
      </c>
      <c r="E4636" s="924" t="s">
        <v>856</v>
      </c>
      <c r="F4636" s="924" t="s">
        <v>934</v>
      </c>
      <c r="G4636" s="924" t="s">
        <v>862</v>
      </c>
      <c r="H4636" s="924" t="s">
        <v>665</v>
      </c>
      <c r="I4636" s="924" t="s">
        <v>787</v>
      </c>
      <c r="J4636" s="924" t="s">
        <v>863</v>
      </c>
      <c r="K4636" s="924" t="s">
        <v>935</v>
      </c>
      <c r="L4636" s="925">
        <v>7.2770794271491496E-2</v>
      </c>
      <c r="M4636" s="925">
        <v>3.05903472053615E-4</v>
      </c>
    </row>
    <row r="4637" spans="1:13" ht="11.25" customHeight="1" x14ac:dyDescent="0.2">
      <c r="A4637" s="924" t="s">
        <v>853</v>
      </c>
      <c r="B4637" s="924" t="s">
        <v>810</v>
      </c>
      <c r="C4637" s="924" t="s">
        <v>1202</v>
      </c>
      <c r="D4637" s="924" t="s">
        <v>855</v>
      </c>
      <c r="E4637" s="924" t="s">
        <v>856</v>
      </c>
      <c r="F4637" s="924" t="s">
        <v>938</v>
      </c>
      <c r="G4637" s="924" t="s">
        <v>911</v>
      </c>
      <c r="H4637" s="924" t="s">
        <v>665</v>
      </c>
      <c r="I4637" s="924" t="s">
        <v>706</v>
      </c>
      <c r="J4637" s="924" t="s">
        <v>863</v>
      </c>
      <c r="K4637" s="924" t="s">
        <v>868</v>
      </c>
      <c r="L4637" s="925">
        <v>5.8951026275754002</v>
      </c>
      <c r="M4637" s="925">
        <v>2.7239992732574998E-4</v>
      </c>
    </row>
    <row r="4638" spans="1:13" ht="11.25" customHeight="1" x14ac:dyDescent="0.2">
      <c r="A4638" s="924" t="s">
        <v>853</v>
      </c>
      <c r="B4638" s="924" t="s">
        <v>810</v>
      </c>
      <c r="C4638" s="924" t="s">
        <v>1202</v>
      </c>
      <c r="D4638" s="924" t="s">
        <v>855</v>
      </c>
      <c r="E4638" s="924" t="s">
        <v>856</v>
      </c>
      <c r="F4638" s="924" t="s">
        <v>1000</v>
      </c>
      <c r="G4638" s="924" t="s">
        <v>858</v>
      </c>
      <c r="H4638" s="924" t="s">
        <v>836</v>
      </c>
      <c r="I4638" s="924" t="s">
        <v>837</v>
      </c>
      <c r="J4638" s="924" t="s">
        <v>875</v>
      </c>
      <c r="K4638" s="924" t="s">
        <v>950</v>
      </c>
      <c r="L4638" s="925">
        <v>18.177970886230501</v>
      </c>
      <c r="M4638" s="925">
        <v>4.26981432077866E-4</v>
      </c>
    </row>
    <row r="4639" spans="1:13" ht="11.25" customHeight="1" x14ac:dyDescent="0.2">
      <c r="A4639" s="924" t="s">
        <v>853</v>
      </c>
      <c r="B4639" s="924" t="s">
        <v>810</v>
      </c>
      <c r="C4639" s="924" t="s">
        <v>1202</v>
      </c>
      <c r="D4639" s="924" t="s">
        <v>855</v>
      </c>
      <c r="E4639" s="924" t="s">
        <v>856</v>
      </c>
      <c r="F4639" s="924" t="s">
        <v>1018</v>
      </c>
      <c r="G4639" s="924" t="s">
        <v>858</v>
      </c>
      <c r="H4639" s="924" t="s">
        <v>836</v>
      </c>
      <c r="I4639" s="924" t="s">
        <v>837</v>
      </c>
      <c r="J4639" s="924" t="s">
        <v>870</v>
      </c>
      <c r="K4639" s="924" t="s">
        <v>1019</v>
      </c>
      <c r="L4639" s="925">
        <v>427.10743010044098</v>
      </c>
      <c r="M4639" s="925">
        <v>3.2098969208504999E-3</v>
      </c>
    </row>
    <row r="4640" spans="1:13" ht="11.25" customHeight="1" x14ac:dyDescent="0.2">
      <c r="A4640" s="924" t="s">
        <v>853</v>
      </c>
      <c r="B4640" s="924" t="s">
        <v>810</v>
      </c>
      <c r="C4640" s="924" t="s">
        <v>1202</v>
      </c>
      <c r="D4640" s="924" t="s">
        <v>855</v>
      </c>
      <c r="E4640" s="924" t="s">
        <v>856</v>
      </c>
      <c r="F4640" s="924" t="s">
        <v>1015</v>
      </c>
      <c r="G4640" s="924" t="s">
        <v>858</v>
      </c>
      <c r="H4640" s="924" t="s">
        <v>836</v>
      </c>
      <c r="I4640" s="924" t="s">
        <v>837</v>
      </c>
      <c r="J4640" s="924" t="s">
        <v>870</v>
      </c>
      <c r="K4640" s="924" t="s">
        <v>1016</v>
      </c>
      <c r="L4640" s="925">
        <v>2.3651580810546902</v>
      </c>
      <c r="M4640" s="925">
        <v>2.8736089101699699E-5</v>
      </c>
    </row>
    <row r="4641" spans="1:13" ht="11.25" customHeight="1" x14ac:dyDescent="0.2">
      <c r="A4641" s="924" t="s">
        <v>853</v>
      </c>
      <c r="B4641" s="924" t="s">
        <v>810</v>
      </c>
      <c r="C4641" s="924" t="s">
        <v>1202</v>
      </c>
      <c r="D4641" s="924" t="s">
        <v>855</v>
      </c>
      <c r="E4641" s="924" t="s">
        <v>856</v>
      </c>
      <c r="F4641" s="924" t="s">
        <v>958</v>
      </c>
      <c r="G4641" s="924" t="s">
        <v>858</v>
      </c>
      <c r="H4641" s="924" t="s">
        <v>836</v>
      </c>
      <c r="I4641" s="924" t="s">
        <v>837</v>
      </c>
      <c r="J4641" s="924" t="s">
        <v>870</v>
      </c>
      <c r="K4641" s="924" t="s">
        <v>959</v>
      </c>
      <c r="L4641" s="925">
        <v>0.49680854962207399</v>
      </c>
      <c r="M4641" s="925">
        <v>4.6298705038694299E-6</v>
      </c>
    </row>
    <row r="4642" spans="1:13" ht="11.25" customHeight="1" x14ac:dyDescent="0.2">
      <c r="A4642" s="924" t="s">
        <v>853</v>
      </c>
      <c r="B4642" s="924" t="s">
        <v>810</v>
      </c>
      <c r="C4642" s="924" t="s">
        <v>1202</v>
      </c>
      <c r="D4642" s="924" t="s">
        <v>855</v>
      </c>
      <c r="E4642" s="924" t="s">
        <v>856</v>
      </c>
      <c r="F4642" s="924" t="s">
        <v>960</v>
      </c>
      <c r="G4642" s="924" t="s">
        <v>858</v>
      </c>
      <c r="H4642" s="924" t="s">
        <v>836</v>
      </c>
      <c r="I4642" s="924" t="s">
        <v>837</v>
      </c>
      <c r="J4642" s="924" t="s">
        <v>870</v>
      </c>
      <c r="K4642" s="924" t="s">
        <v>961</v>
      </c>
      <c r="L4642" s="925">
        <v>36.233363434672398</v>
      </c>
      <c r="M4642" s="925">
        <v>3.2148377118801401E-4</v>
      </c>
    </row>
    <row r="4643" spans="1:13" ht="11.25" customHeight="1" x14ac:dyDescent="0.2">
      <c r="A4643" s="924" t="s">
        <v>853</v>
      </c>
      <c r="B4643" s="924" t="s">
        <v>810</v>
      </c>
      <c r="C4643" s="924" t="s">
        <v>1202</v>
      </c>
      <c r="D4643" s="924" t="s">
        <v>855</v>
      </c>
      <c r="E4643" s="924" t="s">
        <v>856</v>
      </c>
      <c r="F4643" s="924" t="s">
        <v>962</v>
      </c>
      <c r="G4643" s="924" t="s">
        <v>858</v>
      </c>
      <c r="H4643" s="924" t="s">
        <v>836</v>
      </c>
      <c r="I4643" s="924" t="s">
        <v>837</v>
      </c>
      <c r="J4643" s="924" t="s">
        <v>870</v>
      </c>
      <c r="K4643" s="924" t="s">
        <v>963</v>
      </c>
      <c r="L4643" s="925">
        <v>0.10021549291559501</v>
      </c>
      <c r="M4643" s="925">
        <v>7.1228925726737901E-7</v>
      </c>
    </row>
    <row r="4644" spans="1:13" ht="11.25" customHeight="1" x14ac:dyDescent="0.2">
      <c r="A4644" s="924" t="s">
        <v>853</v>
      </c>
      <c r="B4644" s="924" t="s">
        <v>810</v>
      </c>
      <c r="C4644" s="924" t="s">
        <v>1202</v>
      </c>
      <c r="D4644" s="924" t="s">
        <v>855</v>
      </c>
      <c r="E4644" s="924" t="s">
        <v>856</v>
      </c>
      <c r="F4644" s="924" t="s">
        <v>964</v>
      </c>
      <c r="G4644" s="924" t="s">
        <v>858</v>
      </c>
      <c r="H4644" s="924" t="s">
        <v>836</v>
      </c>
      <c r="I4644" s="924" t="s">
        <v>837</v>
      </c>
      <c r="J4644" s="924" t="s">
        <v>870</v>
      </c>
      <c r="K4644" s="924" t="s">
        <v>965</v>
      </c>
      <c r="L4644" s="925">
        <v>33.496449857950203</v>
      </c>
      <c r="M4644" s="925">
        <v>3.0754822775591601E-4</v>
      </c>
    </row>
    <row r="4645" spans="1:13" ht="11.25" customHeight="1" x14ac:dyDescent="0.2">
      <c r="A4645" s="924" t="s">
        <v>853</v>
      </c>
      <c r="B4645" s="924" t="s">
        <v>810</v>
      </c>
      <c r="C4645" s="924" t="s">
        <v>1202</v>
      </c>
      <c r="D4645" s="924" t="s">
        <v>855</v>
      </c>
      <c r="E4645" s="924" t="s">
        <v>856</v>
      </c>
      <c r="F4645" s="924" t="s">
        <v>966</v>
      </c>
      <c r="G4645" s="924" t="s">
        <v>858</v>
      </c>
      <c r="H4645" s="924" t="s">
        <v>836</v>
      </c>
      <c r="I4645" s="924" t="s">
        <v>837</v>
      </c>
      <c r="J4645" s="924" t="s">
        <v>870</v>
      </c>
      <c r="K4645" s="924" t="s">
        <v>871</v>
      </c>
      <c r="L4645" s="925">
        <v>93.205048978328705</v>
      </c>
      <c r="M4645" s="925">
        <v>8.0987586357039699E-4</v>
      </c>
    </row>
    <row r="4646" spans="1:13" ht="11.25" customHeight="1" x14ac:dyDescent="0.2">
      <c r="A4646" s="924" t="s">
        <v>853</v>
      </c>
      <c r="B4646" s="924" t="s">
        <v>810</v>
      </c>
      <c r="C4646" s="924" t="s">
        <v>1202</v>
      </c>
      <c r="D4646" s="924" t="s">
        <v>855</v>
      </c>
      <c r="E4646" s="924" t="s">
        <v>856</v>
      </c>
      <c r="F4646" s="924" t="s">
        <v>967</v>
      </c>
      <c r="G4646" s="924" t="s">
        <v>858</v>
      </c>
      <c r="H4646" s="924" t="s">
        <v>836</v>
      </c>
      <c r="I4646" s="924" t="s">
        <v>837</v>
      </c>
      <c r="J4646" s="924" t="s">
        <v>870</v>
      </c>
      <c r="K4646" s="924" t="s">
        <v>873</v>
      </c>
      <c r="L4646" s="925">
        <v>68.694794774055495</v>
      </c>
      <c r="M4646" s="925">
        <v>1.1605401009902E-3</v>
      </c>
    </row>
    <row r="4647" spans="1:13" ht="11.25" customHeight="1" x14ac:dyDescent="0.2">
      <c r="A4647" s="924" t="s">
        <v>853</v>
      </c>
      <c r="B4647" s="924" t="s">
        <v>810</v>
      </c>
      <c r="C4647" s="924" t="s">
        <v>1202</v>
      </c>
      <c r="D4647" s="924" t="s">
        <v>855</v>
      </c>
      <c r="E4647" s="924" t="s">
        <v>856</v>
      </c>
      <c r="F4647" s="924" t="s">
        <v>968</v>
      </c>
      <c r="G4647" s="924" t="s">
        <v>858</v>
      </c>
      <c r="H4647" s="924" t="s">
        <v>836</v>
      </c>
      <c r="I4647" s="924" t="s">
        <v>837</v>
      </c>
      <c r="J4647" s="924" t="s">
        <v>875</v>
      </c>
      <c r="K4647" s="924" t="s">
        <v>876</v>
      </c>
      <c r="L4647" s="925">
        <v>568.47736883163498</v>
      </c>
      <c r="M4647" s="925">
        <v>1.52374781689559E-2</v>
      </c>
    </row>
    <row r="4648" spans="1:13" ht="11.25" customHeight="1" x14ac:dyDescent="0.2">
      <c r="A4648" s="924" t="s">
        <v>853</v>
      </c>
      <c r="B4648" s="924" t="s">
        <v>810</v>
      </c>
      <c r="C4648" s="924" t="s">
        <v>1202</v>
      </c>
      <c r="D4648" s="924" t="s">
        <v>855</v>
      </c>
      <c r="E4648" s="924" t="s">
        <v>856</v>
      </c>
      <c r="F4648" s="924" t="s">
        <v>969</v>
      </c>
      <c r="G4648" s="924" t="s">
        <v>858</v>
      </c>
      <c r="H4648" s="924" t="s">
        <v>836</v>
      </c>
      <c r="I4648" s="924" t="s">
        <v>837</v>
      </c>
      <c r="J4648" s="924" t="s">
        <v>875</v>
      </c>
      <c r="K4648" s="924" t="s">
        <v>878</v>
      </c>
      <c r="L4648" s="925">
        <v>134.16844570636701</v>
      </c>
      <c r="M4648" s="925">
        <v>3.5540412247883099E-3</v>
      </c>
    </row>
    <row r="4649" spans="1:13" ht="11.25" customHeight="1" x14ac:dyDescent="0.2">
      <c r="A4649" s="924" t="s">
        <v>853</v>
      </c>
      <c r="B4649" s="924" t="s">
        <v>810</v>
      </c>
      <c r="C4649" s="924" t="s">
        <v>1202</v>
      </c>
      <c r="D4649" s="924" t="s">
        <v>855</v>
      </c>
      <c r="E4649" s="924" t="s">
        <v>856</v>
      </c>
      <c r="F4649" s="924" t="s">
        <v>992</v>
      </c>
      <c r="G4649" s="924" t="s">
        <v>858</v>
      </c>
      <c r="H4649" s="924" t="s">
        <v>836</v>
      </c>
      <c r="I4649" s="924" t="s">
        <v>834</v>
      </c>
      <c r="J4649" s="924" t="s">
        <v>224</v>
      </c>
      <c r="K4649" s="924" t="s">
        <v>993</v>
      </c>
      <c r="L4649" s="925">
        <v>1.59166116826236</v>
      </c>
      <c r="M4649" s="925">
        <v>6.1944210431263996E-5</v>
      </c>
    </row>
    <row r="4650" spans="1:13" ht="11.25" customHeight="1" x14ac:dyDescent="0.2">
      <c r="A4650" s="924" t="s">
        <v>853</v>
      </c>
      <c r="B4650" s="924" t="s">
        <v>810</v>
      </c>
      <c r="C4650" s="924" t="s">
        <v>1202</v>
      </c>
      <c r="D4650" s="924" t="s">
        <v>855</v>
      </c>
      <c r="E4650" s="924" t="s">
        <v>856</v>
      </c>
      <c r="F4650" s="924" t="s">
        <v>971</v>
      </c>
      <c r="G4650" s="924" t="s">
        <v>858</v>
      </c>
      <c r="H4650" s="924" t="s">
        <v>836</v>
      </c>
      <c r="I4650" s="924" t="s">
        <v>837</v>
      </c>
      <c r="J4650" s="924" t="s">
        <v>875</v>
      </c>
      <c r="K4650" s="924" t="s">
        <v>948</v>
      </c>
      <c r="L4650" s="925">
        <v>189.15486884117101</v>
      </c>
      <c r="M4650" s="925">
        <v>8.0908059289868106E-3</v>
      </c>
    </row>
    <row r="4651" spans="1:13" ht="11.25" customHeight="1" x14ac:dyDescent="0.2">
      <c r="A4651" s="924" t="s">
        <v>853</v>
      </c>
      <c r="B4651" s="924" t="s">
        <v>810</v>
      </c>
      <c r="C4651" s="924" t="s">
        <v>1202</v>
      </c>
      <c r="D4651" s="924" t="s">
        <v>855</v>
      </c>
      <c r="E4651" s="924" t="s">
        <v>856</v>
      </c>
      <c r="F4651" s="924" t="s">
        <v>1033</v>
      </c>
      <c r="G4651" s="924" t="s">
        <v>858</v>
      </c>
      <c r="H4651" s="924" t="s">
        <v>836</v>
      </c>
      <c r="I4651" s="924" t="s">
        <v>837</v>
      </c>
      <c r="J4651" s="924" t="s">
        <v>940</v>
      </c>
      <c r="K4651" s="924" t="s">
        <v>1034</v>
      </c>
      <c r="L4651" s="925">
        <v>1.7763001779094301</v>
      </c>
      <c r="M4651" s="925">
        <v>5.8249461064585597E-5</v>
      </c>
    </row>
    <row r="4652" spans="1:13" ht="11.25" customHeight="1" x14ac:dyDescent="0.2">
      <c r="A4652" s="924" t="s">
        <v>853</v>
      </c>
      <c r="B4652" s="924" t="s">
        <v>810</v>
      </c>
      <c r="C4652" s="924" t="s">
        <v>1202</v>
      </c>
      <c r="D4652" s="924" t="s">
        <v>855</v>
      </c>
      <c r="E4652" s="924" t="s">
        <v>856</v>
      </c>
      <c r="F4652" s="924" t="s">
        <v>974</v>
      </c>
      <c r="G4652" s="924" t="s">
        <v>858</v>
      </c>
      <c r="H4652" s="924" t="s">
        <v>836</v>
      </c>
      <c r="I4652" s="924" t="s">
        <v>837</v>
      </c>
      <c r="J4652" s="924" t="s">
        <v>875</v>
      </c>
      <c r="K4652" s="924" t="s">
        <v>952</v>
      </c>
      <c r="L4652" s="925">
        <v>16.086160808801701</v>
      </c>
      <c r="M4652" s="925">
        <v>3.6344075252259201E-4</v>
      </c>
    </row>
    <row r="4653" spans="1:13" ht="11.25" customHeight="1" x14ac:dyDescent="0.2">
      <c r="A4653" s="924" t="s">
        <v>853</v>
      </c>
      <c r="B4653" s="924" t="s">
        <v>810</v>
      </c>
      <c r="C4653" s="924" t="s">
        <v>1202</v>
      </c>
      <c r="D4653" s="924" t="s">
        <v>855</v>
      </c>
      <c r="E4653" s="924" t="s">
        <v>856</v>
      </c>
      <c r="F4653" s="924" t="s">
        <v>955</v>
      </c>
      <c r="G4653" s="924" t="s">
        <v>858</v>
      </c>
      <c r="H4653" s="924" t="s">
        <v>836</v>
      </c>
      <c r="I4653" s="924" t="s">
        <v>837</v>
      </c>
      <c r="J4653" s="924" t="s">
        <v>956</v>
      </c>
      <c r="K4653" s="924" t="s">
        <v>957</v>
      </c>
      <c r="L4653" s="925">
        <v>878.13488101959194</v>
      </c>
      <c r="M4653" s="925">
        <v>5.0434414962410301E-3</v>
      </c>
    </row>
    <row r="4654" spans="1:13" ht="11.25" customHeight="1" x14ac:dyDescent="0.2">
      <c r="A4654" s="924" t="s">
        <v>853</v>
      </c>
      <c r="B4654" s="924" t="s">
        <v>810</v>
      </c>
      <c r="C4654" s="924" t="s">
        <v>1202</v>
      </c>
      <c r="D4654" s="924" t="s">
        <v>855</v>
      </c>
      <c r="E4654" s="924" t="s">
        <v>856</v>
      </c>
      <c r="F4654" s="924" t="s">
        <v>980</v>
      </c>
      <c r="G4654" s="924" t="s">
        <v>981</v>
      </c>
      <c r="H4654" s="924" t="s">
        <v>835</v>
      </c>
      <c r="I4654" s="924" t="s">
        <v>839</v>
      </c>
      <c r="J4654" s="924" t="s">
        <v>982</v>
      </c>
      <c r="K4654" s="924" t="s">
        <v>983</v>
      </c>
      <c r="L4654" s="925">
        <v>15681.6975059509</v>
      </c>
      <c r="M4654" s="925">
        <v>17.886362630873901</v>
      </c>
    </row>
    <row r="4655" spans="1:13" ht="11.25" customHeight="1" x14ac:dyDescent="0.2">
      <c r="A4655" s="924" t="s">
        <v>853</v>
      </c>
      <c r="B4655" s="924" t="s">
        <v>810</v>
      </c>
      <c r="C4655" s="924" t="s">
        <v>1202</v>
      </c>
      <c r="D4655" s="924" t="s">
        <v>855</v>
      </c>
      <c r="E4655" s="924" t="s">
        <v>856</v>
      </c>
      <c r="F4655" s="924" t="s">
        <v>984</v>
      </c>
      <c r="G4655" s="924" t="s">
        <v>981</v>
      </c>
      <c r="H4655" s="924" t="s">
        <v>835</v>
      </c>
      <c r="I4655" s="924" t="s">
        <v>839</v>
      </c>
      <c r="J4655" s="924" t="s">
        <v>982</v>
      </c>
      <c r="K4655" s="924" t="s">
        <v>985</v>
      </c>
      <c r="L4655" s="925">
        <v>6625.0340728759802</v>
      </c>
      <c r="M4655" s="925">
        <v>7.3901530653238297</v>
      </c>
    </row>
    <row r="4656" spans="1:13" ht="11.25" customHeight="1" x14ac:dyDescent="0.2">
      <c r="A4656" s="924" t="s">
        <v>853</v>
      </c>
      <c r="B4656" s="924" t="s">
        <v>810</v>
      </c>
      <c r="C4656" s="924" t="s">
        <v>1202</v>
      </c>
      <c r="D4656" s="924" t="s">
        <v>855</v>
      </c>
      <c r="E4656" s="924" t="s">
        <v>856</v>
      </c>
      <c r="F4656" s="924" t="s">
        <v>986</v>
      </c>
      <c r="G4656" s="924" t="s">
        <v>981</v>
      </c>
      <c r="H4656" s="924" t="s">
        <v>835</v>
      </c>
      <c r="I4656" s="924" t="s">
        <v>839</v>
      </c>
      <c r="J4656" s="924" t="s">
        <v>987</v>
      </c>
      <c r="K4656" s="924" t="s">
        <v>988</v>
      </c>
      <c r="L4656" s="925">
        <v>8524.8614673614502</v>
      </c>
      <c r="M4656" s="925">
        <v>4.2971098199486697</v>
      </c>
    </row>
    <row r="4657" spans="1:13" ht="11.25" customHeight="1" x14ac:dyDescent="0.2">
      <c r="A4657" s="924" t="s">
        <v>853</v>
      </c>
      <c r="B4657" s="924" t="s">
        <v>810</v>
      </c>
      <c r="C4657" s="924" t="s">
        <v>1202</v>
      </c>
      <c r="D4657" s="924" t="s">
        <v>855</v>
      </c>
      <c r="E4657" s="924" t="s">
        <v>856</v>
      </c>
      <c r="F4657" s="924" t="s">
        <v>989</v>
      </c>
      <c r="G4657" s="924" t="s">
        <v>990</v>
      </c>
      <c r="H4657" s="924" t="s">
        <v>836</v>
      </c>
      <c r="I4657" s="924" t="s">
        <v>839</v>
      </c>
      <c r="J4657" s="924" t="s">
        <v>224</v>
      </c>
      <c r="K4657" s="924" t="s">
        <v>988</v>
      </c>
      <c r="L4657" s="925">
        <v>6713.5460624694797</v>
      </c>
      <c r="M4657" s="925">
        <v>0.22858102618927501</v>
      </c>
    </row>
    <row r="4658" spans="1:13" ht="11.25" customHeight="1" x14ac:dyDescent="0.2">
      <c r="A4658" s="924" t="s">
        <v>853</v>
      </c>
      <c r="B4658" s="924" t="s">
        <v>810</v>
      </c>
      <c r="C4658" s="924" t="s">
        <v>1202</v>
      </c>
      <c r="D4658" s="924" t="s">
        <v>855</v>
      </c>
      <c r="E4658" s="924" t="s">
        <v>856</v>
      </c>
      <c r="F4658" s="924" t="s">
        <v>991</v>
      </c>
      <c r="G4658" s="924" t="s">
        <v>990</v>
      </c>
      <c r="H4658" s="924" t="s">
        <v>836</v>
      </c>
      <c r="I4658" s="924" t="s">
        <v>839</v>
      </c>
      <c r="J4658" s="924" t="s">
        <v>224</v>
      </c>
      <c r="K4658" s="924" t="s">
        <v>983</v>
      </c>
      <c r="L4658" s="925">
        <v>31.7312245294452</v>
      </c>
      <c r="M4658" s="925">
        <v>1.89477650127756E-3</v>
      </c>
    </row>
    <row r="4659" spans="1:13" ht="11.25" customHeight="1" x14ac:dyDescent="0.2">
      <c r="A4659" s="924" t="s">
        <v>853</v>
      </c>
      <c r="B4659" s="924" t="s">
        <v>810</v>
      </c>
      <c r="C4659" s="924" t="s">
        <v>1202</v>
      </c>
      <c r="D4659" s="924" t="s">
        <v>855</v>
      </c>
      <c r="E4659" s="924" t="s">
        <v>856</v>
      </c>
      <c r="F4659" s="924" t="s">
        <v>916</v>
      </c>
      <c r="G4659" s="924" t="s">
        <v>911</v>
      </c>
      <c r="H4659" s="924" t="s">
        <v>665</v>
      </c>
      <c r="I4659" s="924" t="s">
        <v>706</v>
      </c>
      <c r="J4659" s="924" t="s">
        <v>859</v>
      </c>
      <c r="K4659" s="924" t="s">
        <v>909</v>
      </c>
      <c r="L4659" s="925">
        <v>3.7593647465109798</v>
      </c>
      <c r="M4659" s="925">
        <v>1.7399685589225599E-4</v>
      </c>
    </row>
    <row r="4660" spans="1:13" ht="11.25" customHeight="1" x14ac:dyDescent="0.2">
      <c r="A4660" s="924" t="s">
        <v>853</v>
      </c>
      <c r="B4660" s="924" t="s">
        <v>810</v>
      </c>
      <c r="C4660" s="924" t="s">
        <v>1202</v>
      </c>
      <c r="D4660" s="924" t="s">
        <v>855</v>
      </c>
      <c r="E4660" s="924" t="s">
        <v>856</v>
      </c>
      <c r="F4660" s="924" t="s">
        <v>994</v>
      </c>
      <c r="G4660" s="924" t="s">
        <v>981</v>
      </c>
      <c r="H4660" s="924" t="s">
        <v>835</v>
      </c>
      <c r="I4660" s="924" t="s">
        <v>834</v>
      </c>
      <c r="J4660" s="924" t="s">
        <v>995</v>
      </c>
      <c r="K4660" s="924" t="s">
        <v>993</v>
      </c>
      <c r="L4660" s="925">
        <v>9.3915843463037205E-2</v>
      </c>
      <c r="M4660" s="925">
        <v>6.0709427033400799E-5</v>
      </c>
    </row>
    <row r="4661" spans="1:13" ht="11.25" customHeight="1" x14ac:dyDescent="0.2">
      <c r="A4661" s="924" t="s">
        <v>853</v>
      </c>
      <c r="B4661" s="924" t="s">
        <v>810</v>
      </c>
      <c r="C4661" s="924" t="s">
        <v>1202</v>
      </c>
      <c r="D4661" s="924" t="s">
        <v>855</v>
      </c>
      <c r="E4661" s="924" t="s">
        <v>856</v>
      </c>
      <c r="F4661" s="924" t="s">
        <v>1041</v>
      </c>
      <c r="G4661" s="924" t="s">
        <v>981</v>
      </c>
      <c r="H4661" s="924" t="s">
        <v>835</v>
      </c>
      <c r="I4661" s="924" t="s">
        <v>1040</v>
      </c>
      <c r="J4661" s="924" t="s">
        <v>859</v>
      </c>
      <c r="K4661" s="924" t="s">
        <v>891</v>
      </c>
      <c r="L4661" s="925">
        <v>2.9733551628887702</v>
      </c>
      <c r="M4661" s="925">
        <v>1.4858404074402599E-3</v>
      </c>
    </row>
    <row r="4662" spans="1:13" ht="11.25" customHeight="1" x14ac:dyDescent="0.2">
      <c r="A4662" s="924" t="s">
        <v>853</v>
      </c>
      <c r="B4662" s="924" t="s">
        <v>810</v>
      </c>
      <c r="C4662" s="924" t="s">
        <v>1202</v>
      </c>
      <c r="D4662" s="924" t="s">
        <v>855</v>
      </c>
      <c r="E4662" s="924" t="s">
        <v>856</v>
      </c>
      <c r="F4662" s="924" t="s">
        <v>970</v>
      </c>
      <c r="G4662" s="924" t="s">
        <v>858</v>
      </c>
      <c r="H4662" s="924" t="s">
        <v>836</v>
      </c>
      <c r="I4662" s="924" t="s">
        <v>837</v>
      </c>
      <c r="J4662" s="924" t="s">
        <v>875</v>
      </c>
      <c r="K4662" s="924" t="s">
        <v>880</v>
      </c>
      <c r="L4662" s="925">
        <v>372.19701099395797</v>
      </c>
      <c r="M4662" s="925">
        <v>7.2324344916978598E-3</v>
      </c>
    </row>
    <row r="4663" spans="1:13" ht="11.25" customHeight="1" x14ac:dyDescent="0.2">
      <c r="A4663" s="924" t="s">
        <v>853</v>
      </c>
      <c r="B4663" s="924" t="s">
        <v>810</v>
      </c>
      <c r="C4663" s="924" t="s">
        <v>1202</v>
      </c>
      <c r="D4663" s="924" t="s">
        <v>855</v>
      </c>
      <c r="E4663" s="924" t="s">
        <v>856</v>
      </c>
      <c r="F4663" s="924" t="s">
        <v>1014</v>
      </c>
      <c r="G4663" s="924" t="s">
        <v>858</v>
      </c>
      <c r="H4663" s="924" t="s">
        <v>836</v>
      </c>
      <c r="I4663" s="924" t="s">
        <v>837</v>
      </c>
      <c r="J4663" s="924" t="s">
        <v>863</v>
      </c>
      <c r="K4663" s="924" t="s">
        <v>933</v>
      </c>
      <c r="L4663" s="925">
        <v>333.09429311752302</v>
      </c>
      <c r="M4663" s="925">
        <v>2.3581566922530302E-3</v>
      </c>
    </row>
    <row r="4664" spans="1:13" ht="11.25" customHeight="1" x14ac:dyDescent="0.2">
      <c r="A4664" s="924" t="s">
        <v>853</v>
      </c>
      <c r="B4664" s="924" t="s">
        <v>810</v>
      </c>
      <c r="C4664" s="924" t="s">
        <v>1202</v>
      </c>
      <c r="D4664" s="924" t="s">
        <v>855</v>
      </c>
      <c r="E4664" s="924" t="s">
        <v>856</v>
      </c>
      <c r="F4664" s="924" t="s">
        <v>886</v>
      </c>
      <c r="G4664" s="924" t="s">
        <v>858</v>
      </c>
      <c r="H4664" s="924" t="s">
        <v>836</v>
      </c>
      <c r="I4664" s="924" t="s">
        <v>837</v>
      </c>
      <c r="J4664" s="924" t="s">
        <v>859</v>
      </c>
      <c r="K4664" s="924" t="s">
        <v>887</v>
      </c>
      <c r="L4664" s="925">
        <v>396.72860145568802</v>
      </c>
      <c r="M4664" s="925">
        <v>2.9361685826643199E-3</v>
      </c>
    </row>
    <row r="4665" spans="1:13" ht="11.25" customHeight="1" x14ac:dyDescent="0.2">
      <c r="A4665" s="924" t="s">
        <v>853</v>
      </c>
      <c r="B4665" s="924" t="s">
        <v>810</v>
      </c>
      <c r="C4665" s="924" t="s">
        <v>1202</v>
      </c>
      <c r="D4665" s="924" t="s">
        <v>855</v>
      </c>
      <c r="E4665" s="924" t="s">
        <v>856</v>
      </c>
      <c r="F4665" s="924" t="s">
        <v>1071</v>
      </c>
      <c r="G4665" s="924" t="s">
        <v>858</v>
      </c>
      <c r="H4665" s="924" t="s">
        <v>836</v>
      </c>
      <c r="I4665" s="924" t="s">
        <v>837</v>
      </c>
      <c r="J4665" s="924" t="s">
        <v>859</v>
      </c>
      <c r="K4665" s="924" t="s">
        <v>1072</v>
      </c>
      <c r="L4665" s="925">
        <v>1364.6469421386701</v>
      </c>
      <c r="M4665" s="925">
        <v>1.2136763502439901E-2</v>
      </c>
    </row>
    <row r="4666" spans="1:13" ht="11.25" customHeight="1" x14ac:dyDescent="0.2">
      <c r="A4666" s="924" t="s">
        <v>853</v>
      </c>
      <c r="B4666" s="924" t="s">
        <v>810</v>
      </c>
      <c r="C4666" s="924" t="s">
        <v>1202</v>
      </c>
      <c r="D4666" s="924" t="s">
        <v>855</v>
      </c>
      <c r="E4666" s="924" t="s">
        <v>856</v>
      </c>
      <c r="F4666" s="924" t="s">
        <v>953</v>
      </c>
      <c r="G4666" s="924" t="s">
        <v>858</v>
      </c>
      <c r="H4666" s="924" t="s">
        <v>836</v>
      </c>
      <c r="I4666" s="924" t="s">
        <v>837</v>
      </c>
      <c r="J4666" s="924" t="s">
        <v>859</v>
      </c>
      <c r="K4666" s="924" t="s">
        <v>920</v>
      </c>
      <c r="L4666" s="925">
        <v>64.192840158939404</v>
      </c>
      <c r="M4666" s="925">
        <v>8.2800780694469701E-4</v>
      </c>
    </row>
    <row r="4667" spans="1:13" ht="11.25" customHeight="1" x14ac:dyDescent="0.2">
      <c r="A4667" s="924" t="s">
        <v>853</v>
      </c>
      <c r="B4667" s="924" t="s">
        <v>810</v>
      </c>
      <c r="C4667" s="924" t="s">
        <v>1202</v>
      </c>
      <c r="D4667" s="924" t="s">
        <v>855</v>
      </c>
      <c r="E4667" s="924" t="s">
        <v>856</v>
      </c>
      <c r="F4667" s="924" t="s">
        <v>1002</v>
      </c>
      <c r="G4667" s="924" t="s">
        <v>858</v>
      </c>
      <c r="H4667" s="924" t="s">
        <v>836</v>
      </c>
      <c r="I4667" s="924" t="s">
        <v>837</v>
      </c>
      <c r="J4667" s="924" t="s">
        <v>859</v>
      </c>
      <c r="K4667" s="924" t="s">
        <v>922</v>
      </c>
      <c r="L4667" s="925">
        <v>510.52165555954002</v>
      </c>
      <c r="M4667" s="925">
        <v>5.8368131338966097E-3</v>
      </c>
    </row>
    <row r="4668" spans="1:13" ht="11.25" customHeight="1" x14ac:dyDescent="0.2">
      <c r="A4668" s="924" t="s">
        <v>853</v>
      </c>
      <c r="B4668" s="924" t="s">
        <v>810</v>
      </c>
      <c r="C4668" s="924" t="s">
        <v>1202</v>
      </c>
      <c r="D4668" s="924" t="s">
        <v>855</v>
      </c>
      <c r="E4668" s="924" t="s">
        <v>856</v>
      </c>
      <c r="F4668" s="924" t="s">
        <v>1003</v>
      </c>
      <c r="G4668" s="924" t="s">
        <v>858</v>
      </c>
      <c r="H4668" s="924" t="s">
        <v>836</v>
      </c>
      <c r="I4668" s="924" t="s">
        <v>837</v>
      </c>
      <c r="J4668" s="924" t="s">
        <v>859</v>
      </c>
      <c r="K4668" s="924" t="s">
        <v>924</v>
      </c>
      <c r="L4668" s="925">
        <v>1735.77977752686</v>
      </c>
      <c r="M4668" s="925">
        <v>1.6555503761992399E-2</v>
      </c>
    </row>
    <row r="4669" spans="1:13" ht="11.25" customHeight="1" x14ac:dyDescent="0.2">
      <c r="A4669" s="924" t="s">
        <v>853</v>
      </c>
      <c r="B4669" s="924" t="s">
        <v>810</v>
      </c>
      <c r="C4669" s="924" t="s">
        <v>1202</v>
      </c>
      <c r="D4669" s="924" t="s">
        <v>855</v>
      </c>
      <c r="E4669" s="924" t="s">
        <v>856</v>
      </c>
      <c r="F4669" s="924" t="s">
        <v>1004</v>
      </c>
      <c r="G4669" s="924" t="s">
        <v>858</v>
      </c>
      <c r="H4669" s="924" t="s">
        <v>836</v>
      </c>
      <c r="I4669" s="924" t="s">
        <v>837</v>
      </c>
      <c r="J4669" s="924" t="s">
        <v>859</v>
      </c>
      <c r="K4669" s="924" t="s">
        <v>926</v>
      </c>
      <c r="L4669" s="925">
        <v>1051.94626903534</v>
      </c>
      <c r="M4669" s="925">
        <v>4.2927513790345997E-2</v>
      </c>
    </row>
    <row r="4670" spans="1:13" ht="11.25" customHeight="1" x14ac:dyDescent="0.2">
      <c r="A4670" s="924" t="s">
        <v>853</v>
      </c>
      <c r="B4670" s="924" t="s">
        <v>810</v>
      </c>
      <c r="C4670" s="924" t="s">
        <v>1202</v>
      </c>
      <c r="D4670" s="924" t="s">
        <v>855</v>
      </c>
      <c r="E4670" s="924" t="s">
        <v>856</v>
      </c>
      <c r="F4670" s="924" t="s">
        <v>1005</v>
      </c>
      <c r="G4670" s="924" t="s">
        <v>858</v>
      </c>
      <c r="H4670" s="924" t="s">
        <v>836</v>
      </c>
      <c r="I4670" s="924" t="s">
        <v>837</v>
      </c>
      <c r="J4670" s="924" t="s">
        <v>859</v>
      </c>
      <c r="K4670" s="924" t="s">
        <v>1006</v>
      </c>
      <c r="L4670" s="925">
        <v>1587.6934051513699</v>
      </c>
      <c r="M4670" s="925">
        <v>1.2297494997710601E-2</v>
      </c>
    </row>
    <row r="4671" spans="1:13" ht="11.25" customHeight="1" x14ac:dyDescent="0.2">
      <c r="A4671" s="924" t="s">
        <v>853</v>
      </c>
      <c r="B4671" s="924" t="s">
        <v>810</v>
      </c>
      <c r="C4671" s="924" t="s">
        <v>1202</v>
      </c>
      <c r="D4671" s="924" t="s">
        <v>855</v>
      </c>
      <c r="E4671" s="924" t="s">
        <v>856</v>
      </c>
      <c r="F4671" s="924" t="s">
        <v>1007</v>
      </c>
      <c r="G4671" s="924" t="s">
        <v>858</v>
      </c>
      <c r="H4671" s="924" t="s">
        <v>836</v>
      </c>
      <c r="I4671" s="924" t="s">
        <v>837</v>
      </c>
      <c r="J4671" s="924" t="s">
        <v>859</v>
      </c>
      <c r="K4671" s="924" t="s">
        <v>928</v>
      </c>
      <c r="L4671" s="925">
        <v>730.94982242584194</v>
      </c>
      <c r="M4671" s="925">
        <v>3.1873413714492899E-2</v>
      </c>
    </row>
    <row r="4672" spans="1:13" ht="11.25" customHeight="1" x14ac:dyDescent="0.2">
      <c r="A4672" s="924" t="s">
        <v>853</v>
      </c>
      <c r="B4672" s="924" t="s">
        <v>810</v>
      </c>
      <c r="C4672" s="924" t="s">
        <v>1202</v>
      </c>
      <c r="D4672" s="924" t="s">
        <v>855</v>
      </c>
      <c r="E4672" s="924" t="s">
        <v>856</v>
      </c>
      <c r="F4672" s="924" t="s">
        <v>1008</v>
      </c>
      <c r="G4672" s="924" t="s">
        <v>858</v>
      </c>
      <c r="H4672" s="924" t="s">
        <v>836</v>
      </c>
      <c r="I4672" s="924" t="s">
        <v>837</v>
      </c>
      <c r="J4672" s="924" t="s">
        <v>859</v>
      </c>
      <c r="K4672" s="924" t="s">
        <v>1009</v>
      </c>
      <c r="L4672" s="925">
        <v>170.39943313598599</v>
      </c>
      <c r="M4672" s="925">
        <v>1.3881915139677401E-3</v>
      </c>
    </row>
    <row r="4673" spans="1:13" ht="11.25" customHeight="1" x14ac:dyDescent="0.2">
      <c r="A4673" s="924" t="s">
        <v>853</v>
      </c>
      <c r="B4673" s="924" t="s">
        <v>810</v>
      </c>
      <c r="C4673" s="924" t="s">
        <v>1202</v>
      </c>
      <c r="D4673" s="924" t="s">
        <v>855</v>
      </c>
      <c r="E4673" s="924" t="s">
        <v>856</v>
      </c>
      <c r="F4673" s="924" t="s">
        <v>1010</v>
      </c>
      <c r="G4673" s="924" t="s">
        <v>858</v>
      </c>
      <c r="H4673" s="924" t="s">
        <v>836</v>
      </c>
      <c r="I4673" s="924" t="s">
        <v>837</v>
      </c>
      <c r="J4673" s="924" t="s">
        <v>859</v>
      </c>
      <c r="K4673" s="924" t="s">
        <v>1011</v>
      </c>
      <c r="L4673" s="925">
        <v>2.2363615538924901</v>
      </c>
      <c r="M4673" s="925">
        <v>1.02904580598917E-4</v>
      </c>
    </row>
    <row r="4674" spans="1:13" ht="11.25" customHeight="1" x14ac:dyDescent="0.2">
      <c r="A4674" s="924" t="s">
        <v>853</v>
      </c>
      <c r="B4674" s="924" t="s">
        <v>810</v>
      </c>
      <c r="C4674" s="924" t="s">
        <v>1202</v>
      </c>
      <c r="D4674" s="924" t="s">
        <v>855</v>
      </c>
      <c r="E4674" s="924" t="s">
        <v>856</v>
      </c>
      <c r="F4674" s="924" t="s">
        <v>975</v>
      </c>
      <c r="G4674" s="924" t="s">
        <v>858</v>
      </c>
      <c r="H4674" s="924" t="s">
        <v>836</v>
      </c>
      <c r="I4674" s="924" t="s">
        <v>837</v>
      </c>
      <c r="J4674" s="924" t="s">
        <v>870</v>
      </c>
      <c r="K4674" s="924" t="s">
        <v>976</v>
      </c>
      <c r="L4674" s="925">
        <v>4762.2244548797598</v>
      </c>
      <c r="M4674" s="925">
        <v>7.1273613460789406E-2</v>
      </c>
    </row>
    <row r="4675" spans="1:13" ht="11.25" customHeight="1" x14ac:dyDescent="0.2">
      <c r="A4675" s="924" t="s">
        <v>853</v>
      </c>
      <c r="B4675" s="924" t="s">
        <v>810</v>
      </c>
      <c r="C4675" s="924" t="s">
        <v>1202</v>
      </c>
      <c r="D4675" s="924" t="s">
        <v>855</v>
      </c>
      <c r="E4675" s="924" t="s">
        <v>856</v>
      </c>
      <c r="F4675" s="924" t="s">
        <v>1013</v>
      </c>
      <c r="G4675" s="924" t="s">
        <v>858</v>
      </c>
      <c r="H4675" s="924" t="s">
        <v>836</v>
      </c>
      <c r="I4675" s="924" t="s">
        <v>837</v>
      </c>
      <c r="J4675" s="924" t="s">
        <v>863</v>
      </c>
      <c r="K4675" s="924" t="s">
        <v>931</v>
      </c>
      <c r="L4675" s="925">
        <v>22.9923859238625</v>
      </c>
      <c r="M4675" s="925">
        <v>8.4045478600103295E-4</v>
      </c>
    </row>
    <row r="4676" spans="1:13" ht="11.25" customHeight="1" x14ac:dyDescent="0.2">
      <c r="A4676" s="924" t="s">
        <v>853</v>
      </c>
      <c r="B4676" s="924" t="s">
        <v>810</v>
      </c>
      <c r="C4676" s="924" t="s">
        <v>1202</v>
      </c>
      <c r="D4676" s="924" t="s">
        <v>855</v>
      </c>
      <c r="E4676" s="924" t="s">
        <v>856</v>
      </c>
      <c r="F4676" s="924" t="s">
        <v>1035</v>
      </c>
      <c r="G4676" s="924" t="s">
        <v>858</v>
      </c>
      <c r="H4676" s="924" t="s">
        <v>836</v>
      </c>
      <c r="I4676" s="924" t="s">
        <v>837</v>
      </c>
      <c r="J4676" s="924" t="s">
        <v>870</v>
      </c>
      <c r="K4676" s="924" t="s">
        <v>1036</v>
      </c>
      <c r="L4676" s="925">
        <v>0.114614669291768</v>
      </c>
      <c r="M4676" s="925">
        <v>1.40370528542641E-5</v>
      </c>
    </row>
    <row r="4677" spans="1:13" ht="11.25" customHeight="1" x14ac:dyDescent="0.2">
      <c r="A4677" s="924" t="s">
        <v>853</v>
      </c>
      <c r="B4677" s="924" t="s">
        <v>810</v>
      </c>
      <c r="C4677" s="924" t="s">
        <v>1202</v>
      </c>
      <c r="D4677" s="924" t="s">
        <v>855</v>
      </c>
      <c r="E4677" s="924" t="s">
        <v>856</v>
      </c>
      <c r="F4677" s="924" t="s">
        <v>1038</v>
      </c>
      <c r="G4677" s="924" t="s">
        <v>858</v>
      </c>
      <c r="H4677" s="924" t="s">
        <v>836</v>
      </c>
      <c r="I4677" s="924" t="s">
        <v>837</v>
      </c>
      <c r="J4677" s="924" t="s">
        <v>863</v>
      </c>
      <c r="K4677" s="924" t="s">
        <v>935</v>
      </c>
      <c r="L4677" s="925">
        <v>145.50130748748799</v>
      </c>
      <c r="M4677" s="925">
        <v>1.57473997327884E-3</v>
      </c>
    </row>
    <row r="4678" spans="1:13" ht="11.25" customHeight="1" x14ac:dyDescent="0.2">
      <c r="A4678" s="924" t="s">
        <v>853</v>
      </c>
      <c r="B4678" s="924" t="s">
        <v>810</v>
      </c>
      <c r="C4678" s="924" t="s">
        <v>1202</v>
      </c>
      <c r="D4678" s="924" t="s">
        <v>855</v>
      </c>
      <c r="E4678" s="924" t="s">
        <v>856</v>
      </c>
      <c r="F4678" s="924" t="s">
        <v>1017</v>
      </c>
      <c r="G4678" s="924" t="s">
        <v>858</v>
      </c>
      <c r="H4678" s="924" t="s">
        <v>836</v>
      </c>
      <c r="I4678" s="924" t="s">
        <v>837</v>
      </c>
      <c r="J4678" s="924" t="s">
        <v>863</v>
      </c>
      <c r="K4678" s="924" t="s">
        <v>864</v>
      </c>
      <c r="L4678" s="925">
        <v>147.55931878089899</v>
      </c>
      <c r="M4678" s="925">
        <v>2.0011987072337E-3</v>
      </c>
    </row>
    <row r="4679" spans="1:13" ht="11.25" customHeight="1" x14ac:dyDescent="0.2">
      <c r="A4679" s="924" t="s">
        <v>853</v>
      </c>
      <c r="B4679" s="924" t="s">
        <v>810</v>
      </c>
      <c r="C4679" s="924" t="s">
        <v>1202</v>
      </c>
      <c r="D4679" s="924" t="s">
        <v>855</v>
      </c>
      <c r="E4679" s="924" t="s">
        <v>856</v>
      </c>
      <c r="F4679" s="924" t="s">
        <v>1001</v>
      </c>
      <c r="G4679" s="924" t="s">
        <v>858</v>
      </c>
      <c r="H4679" s="924" t="s">
        <v>836</v>
      </c>
      <c r="I4679" s="924" t="s">
        <v>837</v>
      </c>
      <c r="J4679" s="924" t="s">
        <v>863</v>
      </c>
      <c r="K4679" s="924" t="s">
        <v>915</v>
      </c>
      <c r="L4679" s="925">
        <v>5.6951443701982498</v>
      </c>
      <c r="M4679" s="925">
        <v>1.74010957774584E-4</v>
      </c>
    </row>
    <row r="4680" spans="1:13" ht="11.25" customHeight="1" x14ac:dyDescent="0.2">
      <c r="A4680" s="924" t="s">
        <v>853</v>
      </c>
      <c r="B4680" s="924" t="s">
        <v>810</v>
      </c>
      <c r="C4680" s="924" t="s">
        <v>1202</v>
      </c>
      <c r="D4680" s="924" t="s">
        <v>855</v>
      </c>
      <c r="E4680" s="924" t="s">
        <v>856</v>
      </c>
      <c r="F4680" s="924" t="s">
        <v>1020</v>
      </c>
      <c r="G4680" s="924" t="s">
        <v>858</v>
      </c>
      <c r="H4680" s="924" t="s">
        <v>836</v>
      </c>
      <c r="I4680" s="924" t="s">
        <v>837</v>
      </c>
      <c r="J4680" s="924" t="s">
        <v>863</v>
      </c>
      <c r="K4680" s="924" t="s">
        <v>866</v>
      </c>
      <c r="L4680" s="925">
        <v>967.06882858276401</v>
      </c>
      <c r="M4680" s="925">
        <v>2.3473233795584698E-2</v>
      </c>
    </row>
    <row r="4681" spans="1:13" ht="11.25" customHeight="1" x14ac:dyDescent="0.2">
      <c r="A4681" s="924" t="s">
        <v>853</v>
      </c>
      <c r="B4681" s="924" t="s">
        <v>810</v>
      </c>
      <c r="C4681" s="924" t="s">
        <v>1202</v>
      </c>
      <c r="D4681" s="924" t="s">
        <v>855</v>
      </c>
      <c r="E4681" s="924" t="s">
        <v>856</v>
      </c>
      <c r="F4681" s="924" t="s">
        <v>1021</v>
      </c>
      <c r="G4681" s="924" t="s">
        <v>858</v>
      </c>
      <c r="H4681" s="924" t="s">
        <v>836</v>
      </c>
      <c r="I4681" s="924" t="s">
        <v>837</v>
      </c>
      <c r="J4681" s="924" t="s">
        <v>863</v>
      </c>
      <c r="K4681" s="924" t="s">
        <v>868</v>
      </c>
      <c r="L4681" s="925">
        <v>209.93264532089199</v>
      </c>
      <c r="M4681" s="925">
        <v>1.12842519982337E-3</v>
      </c>
    </row>
    <row r="4682" spans="1:13" ht="11.25" customHeight="1" x14ac:dyDescent="0.2">
      <c r="A4682" s="924" t="s">
        <v>853</v>
      </c>
      <c r="B4682" s="924" t="s">
        <v>810</v>
      </c>
      <c r="C4682" s="924" t="s">
        <v>1202</v>
      </c>
      <c r="D4682" s="924" t="s">
        <v>855</v>
      </c>
      <c r="E4682" s="924" t="s">
        <v>856</v>
      </c>
      <c r="F4682" s="924" t="s">
        <v>1022</v>
      </c>
      <c r="G4682" s="924" t="s">
        <v>858</v>
      </c>
      <c r="H4682" s="924" t="s">
        <v>836</v>
      </c>
      <c r="I4682" s="924" t="s">
        <v>837</v>
      </c>
      <c r="J4682" s="924" t="s">
        <v>940</v>
      </c>
      <c r="K4682" s="924" t="s">
        <v>1023</v>
      </c>
      <c r="L4682" s="925">
        <v>6.2139003362972303E-2</v>
      </c>
      <c r="M4682" s="925">
        <v>2.7912254320777699E-6</v>
      </c>
    </row>
    <row r="4683" spans="1:13" ht="11.25" customHeight="1" x14ac:dyDescent="0.2">
      <c r="A4683" s="924" t="s">
        <v>853</v>
      </c>
      <c r="B4683" s="924" t="s">
        <v>810</v>
      </c>
      <c r="C4683" s="924" t="s">
        <v>1202</v>
      </c>
      <c r="D4683" s="924" t="s">
        <v>855</v>
      </c>
      <c r="E4683" s="924" t="s">
        <v>856</v>
      </c>
      <c r="F4683" s="924" t="s">
        <v>1026</v>
      </c>
      <c r="G4683" s="924" t="s">
        <v>858</v>
      </c>
      <c r="H4683" s="924" t="s">
        <v>836</v>
      </c>
      <c r="I4683" s="924" t="s">
        <v>837</v>
      </c>
      <c r="J4683" s="924" t="s">
        <v>940</v>
      </c>
      <c r="K4683" s="924" t="s">
        <v>1027</v>
      </c>
      <c r="L4683" s="925">
        <v>435.54242408275599</v>
      </c>
      <c r="M4683" s="925">
        <v>1.8382580578446599E-2</v>
      </c>
    </row>
    <row r="4684" spans="1:13" ht="11.25" customHeight="1" x14ac:dyDescent="0.2">
      <c r="A4684" s="924" t="s">
        <v>853</v>
      </c>
      <c r="B4684" s="924" t="s">
        <v>810</v>
      </c>
      <c r="C4684" s="924" t="s">
        <v>1202</v>
      </c>
      <c r="D4684" s="924" t="s">
        <v>855</v>
      </c>
      <c r="E4684" s="924" t="s">
        <v>856</v>
      </c>
      <c r="F4684" s="924" t="s">
        <v>1028</v>
      </c>
      <c r="G4684" s="924" t="s">
        <v>858</v>
      </c>
      <c r="H4684" s="924" t="s">
        <v>836</v>
      </c>
      <c r="I4684" s="924" t="s">
        <v>837</v>
      </c>
      <c r="J4684" s="924" t="s">
        <v>940</v>
      </c>
      <c r="K4684" s="924" t="s">
        <v>1029</v>
      </c>
      <c r="L4684" s="925">
        <v>89.895987510681195</v>
      </c>
      <c r="M4684" s="925">
        <v>4.8763333893227E-3</v>
      </c>
    </row>
    <row r="4685" spans="1:13" ht="11.25" customHeight="1" x14ac:dyDescent="0.2">
      <c r="A4685" s="924" t="s">
        <v>853</v>
      </c>
      <c r="B4685" s="924" t="s">
        <v>810</v>
      </c>
      <c r="C4685" s="924" t="s">
        <v>1202</v>
      </c>
      <c r="D4685" s="924" t="s">
        <v>855</v>
      </c>
      <c r="E4685" s="924" t="s">
        <v>856</v>
      </c>
      <c r="F4685" s="924" t="s">
        <v>1030</v>
      </c>
      <c r="G4685" s="924" t="s">
        <v>858</v>
      </c>
      <c r="H4685" s="924" t="s">
        <v>836</v>
      </c>
      <c r="I4685" s="924" t="s">
        <v>837</v>
      </c>
      <c r="J4685" s="924" t="s">
        <v>940</v>
      </c>
      <c r="K4685" s="924" t="s">
        <v>941</v>
      </c>
      <c r="L4685" s="925">
        <v>593.739945173264</v>
      </c>
      <c r="M4685" s="925">
        <v>1.11531435225061E-2</v>
      </c>
    </row>
    <row r="4686" spans="1:13" ht="11.25" customHeight="1" x14ac:dyDescent="0.2">
      <c r="A4686" s="924" t="s">
        <v>853</v>
      </c>
      <c r="B4686" s="924" t="s">
        <v>810</v>
      </c>
      <c r="C4686" s="924" t="s">
        <v>1202</v>
      </c>
      <c r="D4686" s="924" t="s">
        <v>855</v>
      </c>
      <c r="E4686" s="924" t="s">
        <v>856</v>
      </c>
      <c r="F4686" s="924" t="s">
        <v>1031</v>
      </c>
      <c r="G4686" s="924" t="s">
        <v>858</v>
      </c>
      <c r="H4686" s="924" t="s">
        <v>836</v>
      </c>
      <c r="I4686" s="924" t="s">
        <v>837</v>
      </c>
      <c r="J4686" s="924" t="s">
        <v>940</v>
      </c>
      <c r="K4686" s="924" t="s">
        <v>1032</v>
      </c>
      <c r="L4686" s="925">
        <v>69.947662919759793</v>
      </c>
      <c r="M4686" s="925">
        <v>1.4594642487075801E-3</v>
      </c>
    </row>
    <row r="4687" spans="1:13" ht="11.25" customHeight="1" x14ac:dyDescent="0.2">
      <c r="A4687" s="924" t="s">
        <v>853</v>
      </c>
      <c r="B4687" s="924" t="s">
        <v>810</v>
      </c>
      <c r="C4687" s="924" t="s">
        <v>1202</v>
      </c>
      <c r="D4687" s="924" t="s">
        <v>855</v>
      </c>
      <c r="E4687" s="924" t="s">
        <v>856</v>
      </c>
      <c r="F4687" s="924" t="s">
        <v>1037</v>
      </c>
      <c r="G4687" s="924" t="s">
        <v>858</v>
      </c>
      <c r="H4687" s="924" t="s">
        <v>836</v>
      </c>
      <c r="I4687" s="924" t="s">
        <v>837</v>
      </c>
      <c r="J4687" s="924" t="s">
        <v>859</v>
      </c>
      <c r="K4687" s="924" t="s">
        <v>918</v>
      </c>
      <c r="L4687" s="925">
        <v>364.55229997634899</v>
      </c>
      <c r="M4687" s="925">
        <v>3.52807817694156E-3</v>
      </c>
    </row>
    <row r="4688" spans="1:13" ht="11.25" customHeight="1" x14ac:dyDescent="0.2">
      <c r="A4688" s="924" t="s">
        <v>853</v>
      </c>
      <c r="B4688" s="924" t="s">
        <v>810</v>
      </c>
      <c r="C4688" s="924" t="s">
        <v>1202</v>
      </c>
      <c r="D4688" s="924" t="s">
        <v>855</v>
      </c>
      <c r="E4688" s="924" t="s">
        <v>856</v>
      </c>
      <c r="F4688" s="924" t="s">
        <v>1012</v>
      </c>
      <c r="G4688" s="924" t="s">
        <v>858</v>
      </c>
      <c r="H4688" s="924" t="s">
        <v>836</v>
      </c>
      <c r="I4688" s="924" t="s">
        <v>837</v>
      </c>
      <c r="J4688" s="924" t="s">
        <v>859</v>
      </c>
      <c r="K4688" s="924" t="s">
        <v>891</v>
      </c>
      <c r="L4688" s="925">
        <v>163.89390778541599</v>
      </c>
      <c r="M4688" s="925">
        <v>2.1722907651451399E-3</v>
      </c>
    </row>
    <row r="4689" spans="1:13" ht="11.25" customHeight="1" x14ac:dyDescent="0.2">
      <c r="A4689" s="924" t="s">
        <v>853</v>
      </c>
      <c r="B4689" s="924" t="s">
        <v>810</v>
      </c>
      <c r="C4689" s="924" t="s">
        <v>1202</v>
      </c>
      <c r="D4689" s="924" t="s">
        <v>855</v>
      </c>
      <c r="E4689" s="924" t="s">
        <v>856</v>
      </c>
      <c r="F4689" s="924" t="s">
        <v>1055</v>
      </c>
      <c r="G4689" s="924" t="s">
        <v>981</v>
      </c>
      <c r="H4689" s="924" t="s">
        <v>835</v>
      </c>
      <c r="I4689" s="924" t="s">
        <v>1040</v>
      </c>
      <c r="J4689" s="924" t="s">
        <v>859</v>
      </c>
      <c r="K4689" s="924" t="s">
        <v>899</v>
      </c>
      <c r="L4689" s="925">
        <v>13.310981243848801</v>
      </c>
      <c r="M4689" s="925">
        <v>9.3423133166155008E-3</v>
      </c>
    </row>
    <row r="4690" spans="1:13" ht="11.25" customHeight="1" x14ac:dyDescent="0.2">
      <c r="A4690" s="924" t="s">
        <v>853</v>
      </c>
      <c r="B4690" s="924" t="s">
        <v>810</v>
      </c>
      <c r="C4690" s="924" t="s">
        <v>1202</v>
      </c>
      <c r="D4690" s="924" t="s">
        <v>855</v>
      </c>
      <c r="E4690" s="924" t="s">
        <v>856</v>
      </c>
      <c r="F4690" s="924" t="s">
        <v>1082</v>
      </c>
      <c r="G4690" s="924" t="s">
        <v>981</v>
      </c>
      <c r="H4690" s="924" t="s">
        <v>835</v>
      </c>
      <c r="I4690" s="924" t="s">
        <v>998</v>
      </c>
      <c r="J4690" s="924" t="s">
        <v>875</v>
      </c>
      <c r="K4690" s="924" t="s">
        <v>952</v>
      </c>
      <c r="L4690" s="925">
        <v>0.152630120515823</v>
      </c>
      <c r="M4690" s="925">
        <v>3.4103763300663602E-4</v>
      </c>
    </row>
    <row r="4691" spans="1:13" ht="11.25" customHeight="1" x14ac:dyDescent="0.2">
      <c r="A4691" s="924" t="s">
        <v>853</v>
      </c>
      <c r="B4691" s="924" t="s">
        <v>810</v>
      </c>
      <c r="C4691" s="924" t="s">
        <v>1202</v>
      </c>
      <c r="D4691" s="924" t="s">
        <v>855</v>
      </c>
      <c r="E4691" s="924" t="s">
        <v>856</v>
      </c>
      <c r="F4691" s="924" t="s">
        <v>1042</v>
      </c>
      <c r="G4691" s="924" t="s">
        <v>981</v>
      </c>
      <c r="H4691" s="924" t="s">
        <v>835</v>
      </c>
      <c r="I4691" s="924" t="s">
        <v>998</v>
      </c>
      <c r="J4691" s="924" t="s">
        <v>956</v>
      </c>
      <c r="K4691" s="924" t="s">
        <v>1043</v>
      </c>
      <c r="L4691" s="925">
        <v>16.147151187062299</v>
      </c>
      <c r="M4691" s="925">
        <v>2.79687440197449E-2</v>
      </c>
    </row>
    <row r="4692" spans="1:13" ht="11.25" customHeight="1" x14ac:dyDescent="0.2">
      <c r="A4692" s="924" t="s">
        <v>853</v>
      </c>
      <c r="B4692" s="924" t="s">
        <v>810</v>
      </c>
      <c r="C4692" s="924" t="s">
        <v>1202</v>
      </c>
      <c r="D4692" s="924" t="s">
        <v>855</v>
      </c>
      <c r="E4692" s="924" t="s">
        <v>856</v>
      </c>
      <c r="F4692" s="924" t="s">
        <v>1044</v>
      </c>
      <c r="G4692" s="924" t="s">
        <v>981</v>
      </c>
      <c r="H4692" s="924" t="s">
        <v>835</v>
      </c>
      <c r="I4692" s="924" t="s">
        <v>1040</v>
      </c>
      <c r="J4692" s="924" t="s">
        <v>884</v>
      </c>
      <c r="K4692" s="924" t="s">
        <v>999</v>
      </c>
      <c r="L4692" s="925">
        <v>114.746456384659</v>
      </c>
      <c r="M4692" s="925">
        <v>0.157605611211693</v>
      </c>
    </row>
    <row r="4693" spans="1:13" ht="11.25" customHeight="1" x14ac:dyDescent="0.2">
      <c r="A4693" s="924" t="s">
        <v>853</v>
      </c>
      <c r="B4693" s="924" t="s">
        <v>810</v>
      </c>
      <c r="C4693" s="924" t="s">
        <v>1202</v>
      </c>
      <c r="D4693" s="924" t="s">
        <v>855</v>
      </c>
      <c r="E4693" s="924" t="s">
        <v>856</v>
      </c>
      <c r="F4693" s="924" t="s">
        <v>1045</v>
      </c>
      <c r="G4693" s="924" t="s">
        <v>981</v>
      </c>
      <c r="H4693" s="924" t="s">
        <v>835</v>
      </c>
      <c r="I4693" s="924" t="s">
        <v>1040</v>
      </c>
      <c r="J4693" s="924" t="s">
        <v>884</v>
      </c>
      <c r="K4693" s="924" t="s">
        <v>1046</v>
      </c>
      <c r="L4693" s="925">
        <v>1091.85277938843</v>
      </c>
      <c r="M4693" s="925">
        <v>1.1118755226052599</v>
      </c>
    </row>
    <row r="4694" spans="1:13" ht="11.25" customHeight="1" x14ac:dyDescent="0.2">
      <c r="A4694" s="924" t="s">
        <v>853</v>
      </c>
      <c r="B4694" s="924" t="s">
        <v>810</v>
      </c>
      <c r="C4694" s="924" t="s">
        <v>1202</v>
      </c>
      <c r="D4694" s="924" t="s">
        <v>855</v>
      </c>
      <c r="E4694" s="924" t="s">
        <v>856</v>
      </c>
      <c r="F4694" s="924" t="s">
        <v>1047</v>
      </c>
      <c r="G4694" s="924" t="s">
        <v>981</v>
      </c>
      <c r="H4694" s="924" t="s">
        <v>835</v>
      </c>
      <c r="I4694" s="924" t="s">
        <v>1040</v>
      </c>
      <c r="J4694" s="924" t="s">
        <v>884</v>
      </c>
      <c r="K4694" s="924" t="s">
        <v>1048</v>
      </c>
      <c r="L4694" s="925">
        <v>932.41563224792503</v>
      </c>
      <c r="M4694" s="925">
        <v>0.69927848037332296</v>
      </c>
    </row>
    <row r="4695" spans="1:13" ht="11.25" customHeight="1" x14ac:dyDescent="0.2">
      <c r="A4695" s="924" t="s">
        <v>853</v>
      </c>
      <c r="B4695" s="924" t="s">
        <v>810</v>
      </c>
      <c r="C4695" s="924" t="s">
        <v>1202</v>
      </c>
      <c r="D4695" s="924" t="s">
        <v>855</v>
      </c>
      <c r="E4695" s="924" t="s">
        <v>856</v>
      </c>
      <c r="F4695" s="924" t="s">
        <v>1049</v>
      </c>
      <c r="G4695" s="924" t="s">
        <v>981</v>
      </c>
      <c r="H4695" s="924" t="s">
        <v>835</v>
      </c>
      <c r="I4695" s="924" t="s">
        <v>1040</v>
      </c>
      <c r="J4695" s="924" t="s">
        <v>884</v>
      </c>
      <c r="K4695" s="924" t="s">
        <v>885</v>
      </c>
      <c r="L4695" s="925">
        <v>143.764369487762</v>
      </c>
      <c r="M4695" s="925">
        <v>0.13632493821205599</v>
      </c>
    </row>
    <row r="4696" spans="1:13" ht="11.25" customHeight="1" x14ac:dyDescent="0.2">
      <c r="A4696" s="924" t="s">
        <v>853</v>
      </c>
      <c r="B4696" s="924" t="s">
        <v>810</v>
      </c>
      <c r="C4696" s="924" t="s">
        <v>1202</v>
      </c>
      <c r="D4696" s="924" t="s">
        <v>855</v>
      </c>
      <c r="E4696" s="924" t="s">
        <v>856</v>
      </c>
      <c r="F4696" s="924" t="s">
        <v>1050</v>
      </c>
      <c r="G4696" s="924" t="s">
        <v>981</v>
      </c>
      <c r="H4696" s="924" t="s">
        <v>835</v>
      </c>
      <c r="I4696" s="924" t="s">
        <v>1040</v>
      </c>
      <c r="J4696" s="924" t="s">
        <v>859</v>
      </c>
      <c r="K4696" s="924" t="s">
        <v>913</v>
      </c>
      <c r="L4696" s="925">
        <v>8.9334760680794698</v>
      </c>
      <c r="M4696" s="925">
        <v>5.2740197506864197E-3</v>
      </c>
    </row>
    <row r="4697" spans="1:13" ht="11.25" customHeight="1" x14ac:dyDescent="0.2">
      <c r="A4697" s="924" t="s">
        <v>853</v>
      </c>
      <c r="B4697" s="924" t="s">
        <v>810</v>
      </c>
      <c r="C4697" s="924" t="s">
        <v>1202</v>
      </c>
      <c r="D4697" s="924" t="s">
        <v>855</v>
      </c>
      <c r="E4697" s="924" t="s">
        <v>856</v>
      </c>
      <c r="F4697" s="924" t="s">
        <v>1051</v>
      </c>
      <c r="G4697" s="924" t="s">
        <v>981</v>
      </c>
      <c r="H4697" s="924" t="s">
        <v>835</v>
      </c>
      <c r="I4697" s="924" t="s">
        <v>1040</v>
      </c>
      <c r="J4697" s="924" t="s">
        <v>859</v>
      </c>
      <c r="K4697" s="924" t="s">
        <v>889</v>
      </c>
      <c r="L4697" s="925">
        <v>6.6850899893324794E-2</v>
      </c>
      <c r="M4697" s="925">
        <v>4.3321997623024799E-5</v>
      </c>
    </row>
    <row r="4698" spans="1:13" ht="11.25" customHeight="1" x14ac:dyDescent="0.2">
      <c r="A4698" s="924" t="s">
        <v>853</v>
      </c>
      <c r="B4698" s="924" t="s">
        <v>810</v>
      </c>
      <c r="C4698" s="924" t="s">
        <v>1202</v>
      </c>
      <c r="D4698" s="924" t="s">
        <v>855</v>
      </c>
      <c r="E4698" s="924" t="s">
        <v>856</v>
      </c>
      <c r="F4698" s="924" t="s">
        <v>1052</v>
      </c>
      <c r="G4698" s="924" t="s">
        <v>981</v>
      </c>
      <c r="H4698" s="924" t="s">
        <v>835</v>
      </c>
      <c r="I4698" s="924" t="s">
        <v>1040</v>
      </c>
      <c r="J4698" s="924" t="s">
        <v>859</v>
      </c>
      <c r="K4698" s="924" t="s">
        <v>860</v>
      </c>
      <c r="L4698" s="925">
        <v>16.826519295573199</v>
      </c>
      <c r="M4698" s="925">
        <v>1.1834235439891899E-2</v>
      </c>
    </row>
    <row r="4699" spans="1:13" ht="11.25" customHeight="1" x14ac:dyDescent="0.2">
      <c r="A4699" s="924" t="s">
        <v>853</v>
      </c>
      <c r="B4699" s="924" t="s">
        <v>810</v>
      </c>
      <c r="C4699" s="924" t="s">
        <v>1202</v>
      </c>
      <c r="D4699" s="924" t="s">
        <v>855</v>
      </c>
      <c r="E4699" s="924" t="s">
        <v>856</v>
      </c>
      <c r="F4699" s="924" t="s">
        <v>1134</v>
      </c>
      <c r="G4699" s="924" t="s">
        <v>981</v>
      </c>
      <c r="H4699" s="924" t="s">
        <v>835</v>
      </c>
      <c r="I4699" s="924" t="s">
        <v>1040</v>
      </c>
      <c r="J4699" s="924" t="s">
        <v>863</v>
      </c>
      <c r="K4699" s="924" t="s">
        <v>933</v>
      </c>
      <c r="L4699" s="925">
        <v>97.918759346008301</v>
      </c>
      <c r="M4699" s="925">
        <v>6.9064050476299599E-3</v>
      </c>
    </row>
    <row r="4700" spans="1:13" ht="11.25" customHeight="1" x14ac:dyDescent="0.2">
      <c r="A4700" s="924" t="s">
        <v>853</v>
      </c>
      <c r="B4700" s="924" t="s">
        <v>810</v>
      </c>
      <c r="C4700" s="924" t="s">
        <v>1202</v>
      </c>
      <c r="D4700" s="924" t="s">
        <v>855</v>
      </c>
      <c r="E4700" s="924" t="s">
        <v>856</v>
      </c>
      <c r="F4700" s="924" t="s">
        <v>1068</v>
      </c>
      <c r="G4700" s="924" t="s">
        <v>981</v>
      </c>
      <c r="H4700" s="924" t="s">
        <v>835</v>
      </c>
      <c r="I4700" s="924" t="s">
        <v>1040</v>
      </c>
      <c r="J4700" s="924" t="s">
        <v>859</v>
      </c>
      <c r="K4700" s="924" t="s">
        <v>897</v>
      </c>
      <c r="L4700" s="925">
        <v>31.580805301666299</v>
      </c>
      <c r="M4700" s="925">
        <v>2.1022817918662898E-2</v>
      </c>
    </row>
    <row r="4701" spans="1:13" ht="11.25" customHeight="1" x14ac:dyDescent="0.2">
      <c r="A4701" s="924" t="s">
        <v>853</v>
      </c>
      <c r="B4701" s="924" t="s">
        <v>810</v>
      </c>
      <c r="C4701" s="924" t="s">
        <v>1202</v>
      </c>
      <c r="D4701" s="924" t="s">
        <v>855</v>
      </c>
      <c r="E4701" s="924" t="s">
        <v>856</v>
      </c>
      <c r="F4701" s="924" t="s">
        <v>1102</v>
      </c>
      <c r="G4701" s="924" t="s">
        <v>981</v>
      </c>
      <c r="H4701" s="924" t="s">
        <v>835</v>
      </c>
      <c r="I4701" s="924" t="s">
        <v>998</v>
      </c>
      <c r="J4701" s="924" t="s">
        <v>875</v>
      </c>
      <c r="K4701" s="924" t="s">
        <v>876</v>
      </c>
      <c r="L4701" s="925">
        <v>3.7808393575251098</v>
      </c>
      <c r="M4701" s="925">
        <v>7.65035788936075E-3</v>
      </c>
    </row>
    <row r="4702" spans="1:13" ht="11.25" customHeight="1" x14ac:dyDescent="0.2">
      <c r="A4702" s="924" t="s">
        <v>853</v>
      </c>
      <c r="B4702" s="924" t="s">
        <v>810</v>
      </c>
      <c r="C4702" s="924" t="s">
        <v>1202</v>
      </c>
      <c r="D4702" s="924" t="s">
        <v>855</v>
      </c>
      <c r="E4702" s="924" t="s">
        <v>856</v>
      </c>
      <c r="F4702" s="924" t="s">
        <v>1039</v>
      </c>
      <c r="G4702" s="924" t="s">
        <v>981</v>
      </c>
      <c r="H4702" s="924" t="s">
        <v>835</v>
      </c>
      <c r="I4702" s="924" t="s">
        <v>1040</v>
      </c>
      <c r="J4702" s="924" t="s">
        <v>859</v>
      </c>
      <c r="K4702" s="924" t="s">
        <v>901</v>
      </c>
      <c r="L4702" s="925">
        <v>0.69389448501169704</v>
      </c>
      <c r="M4702" s="925">
        <v>5.1042125141975703E-4</v>
      </c>
    </row>
    <row r="4703" spans="1:13" ht="11.25" customHeight="1" x14ac:dyDescent="0.2">
      <c r="A4703" s="924" t="s">
        <v>853</v>
      </c>
      <c r="B4703" s="924" t="s">
        <v>810</v>
      </c>
      <c r="C4703" s="924" t="s">
        <v>1202</v>
      </c>
      <c r="D4703" s="924" t="s">
        <v>855</v>
      </c>
      <c r="E4703" s="924" t="s">
        <v>856</v>
      </c>
      <c r="F4703" s="924" t="s">
        <v>1057</v>
      </c>
      <c r="G4703" s="924" t="s">
        <v>981</v>
      </c>
      <c r="H4703" s="924" t="s">
        <v>835</v>
      </c>
      <c r="I4703" s="924" t="s">
        <v>1040</v>
      </c>
      <c r="J4703" s="924" t="s">
        <v>859</v>
      </c>
      <c r="K4703" s="924" t="s">
        <v>903</v>
      </c>
      <c r="L4703" s="925">
        <v>27.780178844928699</v>
      </c>
      <c r="M4703" s="925">
        <v>1.7084414947476E-2</v>
      </c>
    </row>
    <row r="4704" spans="1:13" ht="11.25" customHeight="1" x14ac:dyDescent="0.2">
      <c r="A4704" s="924" t="s">
        <v>853</v>
      </c>
      <c r="B4704" s="924" t="s">
        <v>810</v>
      </c>
      <c r="C4704" s="924" t="s">
        <v>1202</v>
      </c>
      <c r="D4704" s="924" t="s">
        <v>855</v>
      </c>
      <c r="E4704" s="924" t="s">
        <v>856</v>
      </c>
      <c r="F4704" s="924" t="s">
        <v>1058</v>
      </c>
      <c r="G4704" s="924" t="s">
        <v>981</v>
      </c>
      <c r="H4704" s="924" t="s">
        <v>835</v>
      </c>
      <c r="I4704" s="924" t="s">
        <v>1040</v>
      </c>
      <c r="J4704" s="924" t="s">
        <v>859</v>
      </c>
      <c r="K4704" s="924" t="s">
        <v>905</v>
      </c>
      <c r="L4704" s="925">
        <v>9.7421157658100093</v>
      </c>
      <c r="M4704" s="925">
        <v>7.6885146659151403E-3</v>
      </c>
    </row>
    <row r="4705" spans="1:13" ht="11.25" customHeight="1" x14ac:dyDescent="0.2">
      <c r="A4705" s="924" t="s">
        <v>853</v>
      </c>
      <c r="B4705" s="924" t="s">
        <v>810</v>
      </c>
      <c r="C4705" s="924" t="s">
        <v>1202</v>
      </c>
      <c r="D4705" s="924" t="s">
        <v>855</v>
      </c>
      <c r="E4705" s="924" t="s">
        <v>856</v>
      </c>
      <c r="F4705" s="924" t="s">
        <v>1059</v>
      </c>
      <c r="G4705" s="924" t="s">
        <v>981</v>
      </c>
      <c r="H4705" s="924" t="s">
        <v>835</v>
      </c>
      <c r="I4705" s="924" t="s">
        <v>1040</v>
      </c>
      <c r="J4705" s="924" t="s">
        <v>859</v>
      </c>
      <c r="K4705" s="924" t="s">
        <v>909</v>
      </c>
      <c r="L4705" s="925">
        <v>58.059094965457902</v>
      </c>
      <c r="M4705" s="925">
        <v>4.0005024988204199E-2</v>
      </c>
    </row>
    <row r="4706" spans="1:13" ht="11.25" customHeight="1" x14ac:dyDescent="0.2">
      <c r="A4706" s="924" t="s">
        <v>853</v>
      </c>
      <c r="B4706" s="924" t="s">
        <v>810</v>
      </c>
      <c r="C4706" s="924" t="s">
        <v>1202</v>
      </c>
      <c r="D4706" s="924" t="s">
        <v>855</v>
      </c>
      <c r="E4706" s="924" t="s">
        <v>856</v>
      </c>
      <c r="F4706" s="924" t="s">
        <v>1060</v>
      </c>
      <c r="G4706" s="924" t="s">
        <v>981</v>
      </c>
      <c r="H4706" s="924" t="s">
        <v>835</v>
      </c>
      <c r="I4706" s="924" t="s">
        <v>1040</v>
      </c>
      <c r="J4706" s="924" t="s">
        <v>859</v>
      </c>
      <c r="K4706" s="924" t="s">
        <v>973</v>
      </c>
      <c r="L4706" s="925">
        <v>27.8484081029892</v>
      </c>
      <c r="M4706" s="925">
        <v>1.8889078946074299E-2</v>
      </c>
    </row>
    <row r="4707" spans="1:13" ht="11.25" customHeight="1" x14ac:dyDescent="0.2">
      <c r="A4707" s="924" t="s">
        <v>853</v>
      </c>
      <c r="B4707" s="924" t="s">
        <v>810</v>
      </c>
      <c r="C4707" s="924" t="s">
        <v>1202</v>
      </c>
      <c r="D4707" s="924" t="s">
        <v>855</v>
      </c>
      <c r="E4707" s="924" t="s">
        <v>856</v>
      </c>
      <c r="F4707" s="924" t="s">
        <v>1061</v>
      </c>
      <c r="G4707" s="924" t="s">
        <v>981</v>
      </c>
      <c r="H4707" s="924" t="s">
        <v>835</v>
      </c>
      <c r="I4707" s="924" t="s">
        <v>1040</v>
      </c>
      <c r="J4707" s="924" t="s">
        <v>859</v>
      </c>
      <c r="K4707" s="924" t="s">
        <v>918</v>
      </c>
      <c r="L4707" s="925">
        <v>2.1572190485894698</v>
      </c>
      <c r="M4707" s="925">
        <v>9.4766838901705298E-4</v>
      </c>
    </row>
    <row r="4708" spans="1:13" ht="11.25" customHeight="1" x14ac:dyDescent="0.2">
      <c r="A4708" s="924" t="s">
        <v>853</v>
      </c>
      <c r="B4708" s="924" t="s">
        <v>810</v>
      </c>
      <c r="C4708" s="924" t="s">
        <v>1202</v>
      </c>
      <c r="D4708" s="924" t="s">
        <v>855</v>
      </c>
      <c r="E4708" s="924" t="s">
        <v>856</v>
      </c>
      <c r="F4708" s="924" t="s">
        <v>1062</v>
      </c>
      <c r="G4708" s="924" t="s">
        <v>981</v>
      </c>
      <c r="H4708" s="924" t="s">
        <v>835</v>
      </c>
      <c r="I4708" s="924" t="s">
        <v>1040</v>
      </c>
      <c r="J4708" s="924" t="s">
        <v>859</v>
      </c>
      <c r="K4708" s="924" t="s">
        <v>920</v>
      </c>
      <c r="L4708" s="925">
        <v>3.7585866935551202</v>
      </c>
      <c r="M4708" s="925">
        <v>2.5370235798050098E-3</v>
      </c>
    </row>
    <row r="4709" spans="1:13" ht="11.25" customHeight="1" x14ac:dyDescent="0.2">
      <c r="A4709" s="924" t="s">
        <v>853</v>
      </c>
      <c r="B4709" s="924" t="s">
        <v>810</v>
      </c>
      <c r="C4709" s="924" t="s">
        <v>1202</v>
      </c>
      <c r="D4709" s="924" t="s">
        <v>855</v>
      </c>
      <c r="E4709" s="924" t="s">
        <v>856</v>
      </c>
      <c r="F4709" s="924" t="s">
        <v>1063</v>
      </c>
      <c r="G4709" s="924" t="s">
        <v>981</v>
      </c>
      <c r="H4709" s="924" t="s">
        <v>835</v>
      </c>
      <c r="I4709" s="924" t="s">
        <v>1040</v>
      </c>
      <c r="J4709" s="924" t="s">
        <v>859</v>
      </c>
      <c r="K4709" s="924" t="s">
        <v>922</v>
      </c>
      <c r="L4709" s="925">
        <v>3.3031305633485299</v>
      </c>
      <c r="M4709" s="925">
        <v>5.9592583033918302E-4</v>
      </c>
    </row>
    <row r="4710" spans="1:13" ht="11.25" customHeight="1" x14ac:dyDescent="0.2">
      <c r="A4710" s="924" t="s">
        <v>853</v>
      </c>
      <c r="B4710" s="924" t="s">
        <v>810</v>
      </c>
      <c r="C4710" s="924" t="s">
        <v>1202</v>
      </c>
      <c r="D4710" s="924" t="s">
        <v>855</v>
      </c>
      <c r="E4710" s="924" t="s">
        <v>856</v>
      </c>
      <c r="F4710" s="924" t="s">
        <v>1064</v>
      </c>
      <c r="G4710" s="924" t="s">
        <v>981</v>
      </c>
      <c r="H4710" s="924" t="s">
        <v>835</v>
      </c>
      <c r="I4710" s="924" t="s">
        <v>1040</v>
      </c>
      <c r="J4710" s="924" t="s">
        <v>859</v>
      </c>
      <c r="K4710" s="924" t="s">
        <v>924</v>
      </c>
      <c r="L4710" s="925">
        <v>7.9557865336537397</v>
      </c>
      <c r="M4710" s="925">
        <v>5.9295433447914504E-4</v>
      </c>
    </row>
    <row r="4711" spans="1:13" ht="11.25" customHeight="1" x14ac:dyDescent="0.2">
      <c r="A4711" s="924" t="s">
        <v>853</v>
      </c>
      <c r="B4711" s="924" t="s">
        <v>810</v>
      </c>
      <c r="C4711" s="924" t="s">
        <v>1202</v>
      </c>
      <c r="D4711" s="924" t="s">
        <v>855</v>
      </c>
      <c r="E4711" s="924" t="s">
        <v>856</v>
      </c>
      <c r="F4711" s="924" t="s">
        <v>1065</v>
      </c>
      <c r="G4711" s="924" t="s">
        <v>981</v>
      </c>
      <c r="H4711" s="924" t="s">
        <v>835</v>
      </c>
      <c r="I4711" s="924" t="s">
        <v>1040</v>
      </c>
      <c r="J4711" s="924" t="s">
        <v>859</v>
      </c>
      <c r="K4711" s="924" t="s">
        <v>926</v>
      </c>
      <c r="L4711" s="925">
        <v>19.058042198419599</v>
      </c>
      <c r="M4711" s="925">
        <v>1.2620234541827801E-2</v>
      </c>
    </row>
    <row r="4712" spans="1:13" ht="11.25" customHeight="1" x14ac:dyDescent="0.2">
      <c r="A4712" s="924" t="s">
        <v>853</v>
      </c>
      <c r="B4712" s="924" t="s">
        <v>810</v>
      </c>
      <c r="C4712" s="924" t="s">
        <v>1202</v>
      </c>
      <c r="D4712" s="924" t="s">
        <v>855</v>
      </c>
      <c r="E4712" s="924" t="s">
        <v>856</v>
      </c>
      <c r="F4712" s="924" t="s">
        <v>1053</v>
      </c>
      <c r="G4712" s="924" t="s">
        <v>981</v>
      </c>
      <c r="H4712" s="924" t="s">
        <v>835</v>
      </c>
      <c r="I4712" s="924" t="s">
        <v>1040</v>
      </c>
      <c r="J4712" s="924" t="s">
        <v>859</v>
      </c>
      <c r="K4712" s="924" t="s">
        <v>893</v>
      </c>
      <c r="L4712" s="925">
        <v>15.8395008891821</v>
      </c>
      <c r="M4712" s="925">
        <v>9.6096412526094407E-3</v>
      </c>
    </row>
    <row r="4713" spans="1:13" ht="11.25" customHeight="1" x14ac:dyDescent="0.2">
      <c r="A4713" s="924" t="s">
        <v>853</v>
      </c>
      <c r="B4713" s="924" t="s">
        <v>810</v>
      </c>
      <c r="C4713" s="924" t="s">
        <v>1202</v>
      </c>
      <c r="D4713" s="924" t="s">
        <v>855</v>
      </c>
      <c r="E4713" s="924" t="s">
        <v>856</v>
      </c>
      <c r="F4713" s="924" t="s">
        <v>1083</v>
      </c>
      <c r="G4713" s="924" t="s">
        <v>981</v>
      </c>
      <c r="H4713" s="924" t="s">
        <v>835</v>
      </c>
      <c r="I4713" s="924" t="s">
        <v>998</v>
      </c>
      <c r="J4713" s="924" t="s">
        <v>940</v>
      </c>
      <c r="K4713" s="924" t="s">
        <v>1084</v>
      </c>
      <c r="L4713" s="925">
        <v>4.28117356821895</v>
      </c>
      <c r="M4713" s="925">
        <v>7.8214136374299397E-3</v>
      </c>
    </row>
    <row r="4714" spans="1:13" ht="11.25" customHeight="1" x14ac:dyDescent="0.2">
      <c r="A4714" s="924" t="s">
        <v>853</v>
      </c>
      <c r="B4714" s="924" t="s">
        <v>810</v>
      </c>
      <c r="C4714" s="924" t="s">
        <v>1202</v>
      </c>
      <c r="D4714" s="924" t="s">
        <v>855</v>
      </c>
      <c r="E4714" s="924" t="s">
        <v>856</v>
      </c>
      <c r="F4714" s="924" t="s">
        <v>996</v>
      </c>
      <c r="G4714" s="924" t="s">
        <v>911</v>
      </c>
      <c r="H4714" s="924" t="s">
        <v>665</v>
      </c>
      <c r="I4714" s="924" t="s">
        <v>834</v>
      </c>
      <c r="J4714" s="924" t="s">
        <v>706</v>
      </c>
      <c r="K4714" s="924" t="s">
        <v>993</v>
      </c>
      <c r="L4714" s="925">
        <v>2.8158385848655598E-3</v>
      </c>
      <c r="M4714" s="925">
        <v>3.4910926496878299E-7</v>
      </c>
    </row>
    <row r="4715" spans="1:13" ht="11.25" customHeight="1" x14ac:dyDescent="0.2">
      <c r="A4715" s="924" t="s">
        <v>853</v>
      </c>
      <c r="B4715" s="924" t="s">
        <v>810</v>
      </c>
      <c r="C4715" s="924" t="s">
        <v>1202</v>
      </c>
      <c r="D4715" s="924" t="s">
        <v>855</v>
      </c>
      <c r="E4715" s="924" t="s">
        <v>856</v>
      </c>
      <c r="F4715" s="924" t="s">
        <v>997</v>
      </c>
      <c r="G4715" s="924" t="s">
        <v>981</v>
      </c>
      <c r="H4715" s="924" t="s">
        <v>835</v>
      </c>
      <c r="I4715" s="924" t="s">
        <v>998</v>
      </c>
      <c r="J4715" s="924" t="s">
        <v>884</v>
      </c>
      <c r="K4715" s="924" t="s">
        <v>999</v>
      </c>
      <c r="L4715" s="925">
        <v>251.852783203125</v>
      </c>
      <c r="M4715" s="925">
        <v>0.802320197224617</v>
      </c>
    </row>
    <row r="4716" spans="1:13" ht="11.25" customHeight="1" x14ac:dyDescent="0.2">
      <c r="A4716" s="924" t="s">
        <v>853</v>
      </c>
      <c r="B4716" s="924" t="s">
        <v>810</v>
      </c>
      <c r="C4716" s="924" t="s">
        <v>1202</v>
      </c>
      <c r="D4716" s="924" t="s">
        <v>855</v>
      </c>
      <c r="E4716" s="924" t="s">
        <v>856</v>
      </c>
      <c r="F4716" s="924" t="s">
        <v>1073</v>
      </c>
      <c r="G4716" s="924" t="s">
        <v>981</v>
      </c>
      <c r="H4716" s="924" t="s">
        <v>835</v>
      </c>
      <c r="I4716" s="924" t="s">
        <v>998</v>
      </c>
      <c r="J4716" s="924" t="s">
        <v>884</v>
      </c>
      <c r="K4716" s="924" t="s">
        <v>1046</v>
      </c>
      <c r="L4716" s="925">
        <v>114.117471218109</v>
      </c>
      <c r="M4716" s="925">
        <v>0.19267982593737501</v>
      </c>
    </row>
    <row r="4717" spans="1:13" ht="11.25" customHeight="1" x14ac:dyDescent="0.2">
      <c r="A4717" s="924" t="s">
        <v>853</v>
      </c>
      <c r="B4717" s="924" t="s">
        <v>810</v>
      </c>
      <c r="C4717" s="924" t="s">
        <v>1202</v>
      </c>
      <c r="D4717" s="924" t="s">
        <v>855</v>
      </c>
      <c r="E4717" s="924" t="s">
        <v>856</v>
      </c>
      <c r="F4717" s="924" t="s">
        <v>1085</v>
      </c>
      <c r="G4717" s="924" t="s">
        <v>981</v>
      </c>
      <c r="H4717" s="924" t="s">
        <v>835</v>
      </c>
      <c r="I4717" s="924" t="s">
        <v>998</v>
      </c>
      <c r="J4717" s="924" t="s">
        <v>884</v>
      </c>
      <c r="K4717" s="924" t="s">
        <v>885</v>
      </c>
      <c r="L4717" s="925">
        <v>153.06497716903701</v>
      </c>
      <c r="M4717" s="925">
        <v>0.112431912217289</v>
      </c>
    </row>
    <row r="4718" spans="1:13" ht="11.25" customHeight="1" x14ac:dyDescent="0.2">
      <c r="A4718" s="924" t="s">
        <v>853</v>
      </c>
      <c r="B4718" s="924" t="s">
        <v>810</v>
      </c>
      <c r="C4718" s="924" t="s">
        <v>1202</v>
      </c>
      <c r="D4718" s="924" t="s">
        <v>855</v>
      </c>
      <c r="E4718" s="924" t="s">
        <v>856</v>
      </c>
      <c r="F4718" s="924" t="s">
        <v>1075</v>
      </c>
      <c r="G4718" s="924" t="s">
        <v>981</v>
      </c>
      <c r="H4718" s="924" t="s">
        <v>835</v>
      </c>
      <c r="I4718" s="924" t="s">
        <v>998</v>
      </c>
      <c r="J4718" s="924" t="s">
        <v>859</v>
      </c>
      <c r="K4718" s="924" t="s">
        <v>889</v>
      </c>
      <c r="L4718" s="925">
        <v>10.0966354683042</v>
      </c>
      <c r="M4718" s="925">
        <v>1.6340950911399001E-2</v>
      </c>
    </row>
    <row r="4719" spans="1:13" ht="11.25" customHeight="1" x14ac:dyDescent="0.2">
      <c r="A4719" s="924" t="s">
        <v>853</v>
      </c>
      <c r="B4719" s="924" t="s">
        <v>810</v>
      </c>
      <c r="C4719" s="924" t="s">
        <v>1202</v>
      </c>
      <c r="D4719" s="924" t="s">
        <v>855</v>
      </c>
      <c r="E4719" s="924" t="s">
        <v>856</v>
      </c>
      <c r="F4719" s="924" t="s">
        <v>1076</v>
      </c>
      <c r="G4719" s="924" t="s">
        <v>981</v>
      </c>
      <c r="H4719" s="924" t="s">
        <v>835</v>
      </c>
      <c r="I4719" s="924" t="s">
        <v>998</v>
      </c>
      <c r="J4719" s="924" t="s">
        <v>859</v>
      </c>
      <c r="K4719" s="924" t="s">
        <v>860</v>
      </c>
      <c r="L4719" s="925">
        <v>0.65454284567385901</v>
      </c>
      <c r="M4719" s="925">
        <v>1.35227389728243E-3</v>
      </c>
    </row>
    <row r="4720" spans="1:13" ht="11.25" customHeight="1" x14ac:dyDescent="0.2">
      <c r="A4720" s="924" t="s">
        <v>853</v>
      </c>
      <c r="B4720" s="924" t="s">
        <v>810</v>
      </c>
      <c r="C4720" s="924" t="s">
        <v>1202</v>
      </c>
      <c r="D4720" s="924" t="s">
        <v>855</v>
      </c>
      <c r="E4720" s="924" t="s">
        <v>856</v>
      </c>
      <c r="F4720" s="924" t="s">
        <v>1077</v>
      </c>
      <c r="G4720" s="924" t="s">
        <v>981</v>
      </c>
      <c r="H4720" s="924" t="s">
        <v>835</v>
      </c>
      <c r="I4720" s="924" t="s">
        <v>998</v>
      </c>
      <c r="J4720" s="924" t="s">
        <v>859</v>
      </c>
      <c r="K4720" s="924" t="s">
        <v>897</v>
      </c>
      <c r="L4720" s="925">
        <v>0.78238999657332897</v>
      </c>
      <c r="M4720" s="925">
        <v>1.63844056987728E-3</v>
      </c>
    </row>
    <row r="4721" spans="1:13" ht="11.25" customHeight="1" x14ac:dyDescent="0.2">
      <c r="A4721" s="924" t="s">
        <v>853</v>
      </c>
      <c r="B4721" s="924" t="s">
        <v>810</v>
      </c>
      <c r="C4721" s="924" t="s">
        <v>1202</v>
      </c>
      <c r="D4721" s="924" t="s">
        <v>855</v>
      </c>
      <c r="E4721" s="924" t="s">
        <v>856</v>
      </c>
      <c r="F4721" s="924" t="s">
        <v>1078</v>
      </c>
      <c r="G4721" s="924" t="s">
        <v>981</v>
      </c>
      <c r="H4721" s="924" t="s">
        <v>835</v>
      </c>
      <c r="I4721" s="924" t="s">
        <v>998</v>
      </c>
      <c r="J4721" s="924" t="s">
        <v>859</v>
      </c>
      <c r="K4721" s="924" t="s">
        <v>901</v>
      </c>
      <c r="L4721" s="925">
        <v>5.4213785624597204E-3</v>
      </c>
      <c r="M4721" s="925">
        <v>1.2113558014448201E-5</v>
      </c>
    </row>
    <row r="4722" spans="1:13" ht="11.25" customHeight="1" x14ac:dyDescent="0.2">
      <c r="A4722" s="924" t="s">
        <v>853</v>
      </c>
      <c r="B4722" s="924" t="s">
        <v>810</v>
      </c>
      <c r="C4722" s="924" t="s">
        <v>1202</v>
      </c>
      <c r="D4722" s="924" t="s">
        <v>855</v>
      </c>
      <c r="E4722" s="924" t="s">
        <v>856</v>
      </c>
      <c r="F4722" s="924" t="s">
        <v>1079</v>
      </c>
      <c r="G4722" s="924" t="s">
        <v>981</v>
      </c>
      <c r="H4722" s="924" t="s">
        <v>835</v>
      </c>
      <c r="I4722" s="924" t="s">
        <v>998</v>
      </c>
      <c r="J4722" s="924" t="s">
        <v>859</v>
      </c>
      <c r="K4722" s="924" t="s">
        <v>909</v>
      </c>
      <c r="L4722" s="925">
        <v>26.0720254778862</v>
      </c>
      <c r="M4722" s="925">
        <v>4.6691890165675397E-2</v>
      </c>
    </row>
    <row r="4723" spans="1:13" ht="11.25" customHeight="1" x14ac:dyDescent="0.2">
      <c r="A4723" s="924" t="s">
        <v>853</v>
      </c>
      <c r="B4723" s="924" t="s">
        <v>810</v>
      </c>
      <c r="C4723" s="924" t="s">
        <v>1202</v>
      </c>
      <c r="D4723" s="924" t="s">
        <v>855</v>
      </c>
      <c r="E4723" s="924" t="s">
        <v>856</v>
      </c>
      <c r="F4723" s="924" t="s">
        <v>1080</v>
      </c>
      <c r="G4723" s="924" t="s">
        <v>981</v>
      </c>
      <c r="H4723" s="924" t="s">
        <v>835</v>
      </c>
      <c r="I4723" s="924" t="s">
        <v>998</v>
      </c>
      <c r="J4723" s="924" t="s">
        <v>859</v>
      </c>
      <c r="K4723" s="924" t="s">
        <v>920</v>
      </c>
      <c r="L4723" s="925">
        <v>0.15279069100506601</v>
      </c>
      <c r="M4723" s="925">
        <v>3.4139609897465599E-4</v>
      </c>
    </row>
    <row r="4724" spans="1:13" ht="11.25" customHeight="1" x14ac:dyDescent="0.2">
      <c r="A4724" s="924" t="s">
        <v>853</v>
      </c>
      <c r="B4724" s="924" t="s">
        <v>810</v>
      </c>
      <c r="C4724" s="924" t="s">
        <v>1202</v>
      </c>
      <c r="D4724" s="924" t="s">
        <v>855</v>
      </c>
      <c r="E4724" s="924" t="s">
        <v>856</v>
      </c>
      <c r="F4724" s="924" t="s">
        <v>1054</v>
      </c>
      <c r="G4724" s="924" t="s">
        <v>981</v>
      </c>
      <c r="H4724" s="924" t="s">
        <v>835</v>
      </c>
      <c r="I4724" s="924" t="s">
        <v>998</v>
      </c>
      <c r="J4724" s="924" t="s">
        <v>875</v>
      </c>
      <c r="K4724" s="924" t="s">
        <v>880</v>
      </c>
      <c r="L4724" s="925">
        <v>8.75015287601855E-3</v>
      </c>
      <c r="M4724" s="925">
        <v>1.9551372474779799E-5</v>
      </c>
    </row>
    <row r="4725" spans="1:13" ht="11.25" customHeight="1" x14ac:dyDescent="0.2">
      <c r="A4725" s="924" t="s">
        <v>853</v>
      </c>
      <c r="B4725" s="924" t="s">
        <v>810</v>
      </c>
      <c r="C4725" s="924" t="s">
        <v>1202</v>
      </c>
      <c r="D4725" s="924" t="s">
        <v>855</v>
      </c>
      <c r="E4725" s="924" t="s">
        <v>856</v>
      </c>
      <c r="F4725" s="924" t="s">
        <v>1103</v>
      </c>
      <c r="G4725" s="924" t="s">
        <v>981</v>
      </c>
      <c r="H4725" s="924" t="s">
        <v>835</v>
      </c>
      <c r="I4725" s="924" t="s">
        <v>998</v>
      </c>
      <c r="J4725" s="924" t="s">
        <v>863</v>
      </c>
      <c r="K4725" s="924" t="s">
        <v>864</v>
      </c>
      <c r="L4725" s="925">
        <v>1.7904791515320501E-2</v>
      </c>
      <c r="M4725" s="925">
        <v>4.0006572817219401E-5</v>
      </c>
    </row>
    <row r="4726" spans="1:13" ht="11.25" customHeight="1" x14ac:dyDescent="0.2">
      <c r="A4726" s="924" t="s">
        <v>853</v>
      </c>
      <c r="B4726" s="924" t="s">
        <v>810</v>
      </c>
      <c r="C4726" s="924" t="s">
        <v>1202</v>
      </c>
      <c r="D4726" s="924" t="s">
        <v>855</v>
      </c>
      <c r="E4726" s="924" t="s">
        <v>856</v>
      </c>
      <c r="F4726" s="924" t="s">
        <v>1056</v>
      </c>
      <c r="G4726" s="924" t="s">
        <v>981</v>
      </c>
      <c r="H4726" s="924" t="s">
        <v>835</v>
      </c>
      <c r="I4726" s="924" t="s">
        <v>998</v>
      </c>
      <c r="J4726" s="924" t="s">
        <v>875</v>
      </c>
      <c r="K4726" s="924" t="s">
        <v>878</v>
      </c>
      <c r="L4726" s="925">
        <v>25.226599425077399</v>
      </c>
      <c r="M4726" s="925">
        <v>4.8653266159817597E-2</v>
      </c>
    </row>
    <row r="4727" spans="1:13" ht="11.25" customHeight="1" x14ac:dyDescent="0.2">
      <c r="A4727" s="924" t="s">
        <v>853</v>
      </c>
      <c r="B4727" s="924" t="s">
        <v>810</v>
      </c>
      <c r="C4727" s="924" t="s">
        <v>1202</v>
      </c>
      <c r="D4727" s="924" t="s">
        <v>855</v>
      </c>
      <c r="E4727" s="924" t="s">
        <v>856</v>
      </c>
      <c r="F4727" s="924" t="s">
        <v>1069</v>
      </c>
      <c r="G4727" s="924" t="s">
        <v>981</v>
      </c>
      <c r="H4727" s="924" t="s">
        <v>835</v>
      </c>
      <c r="I4727" s="924" t="s">
        <v>998</v>
      </c>
      <c r="J4727" s="924" t="s">
        <v>940</v>
      </c>
      <c r="K4727" s="924" t="s">
        <v>1070</v>
      </c>
      <c r="L4727" s="925">
        <v>22.621296346187599</v>
      </c>
      <c r="M4727" s="925">
        <v>4.2000763729447499E-2</v>
      </c>
    </row>
    <row r="4728" spans="1:13" ht="11.25" customHeight="1" x14ac:dyDescent="0.2">
      <c r="A4728" s="924" t="s">
        <v>853</v>
      </c>
      <c r="B4728" s="924" t="s">
        <v>810</v>
      </c>
      <c r="C4728" s="924" t="s">
        <v>1202</v>
      </c>
      <c r="D4728" s="924" t="s">
        <v>855</v>
      </c>
      <c r="E4728" s="924" t="s">
        <v>856</v>
      </c>
      <c r="F4728" s="924" t="s">
        <v>1086</v>
      </c>
      <c r="G4728" s="924" t="s">
        <v>981</v>
      </c>
      <c r="H4728" s="924" t="s">
        <v>835</v>
      </c>
      <c r="I4728" s="924" t="s">
        <v>998</v>
      </c>
      <c r="J4728" s="924" t="s">
        <v>940</v>
      </c>
      <c r="K4728" s="924" t="s">
        <v>1087</v>
      </c>
      <c r="L4728" s="925">
        <v>57.2921140193939</v>
      </c>
      <c r="M4728" s="925">
        <v>0.110306424554437</v>
      </c>
    </row>
    <row r="4729" spans="1:13" ht="11.25" customHeight="1" x14ac:dyDescent="0.2">
      <c r="A4729" s="924" t="s">
        <v>853</v>
      </c>
      <c r="B4729" s="924" t="s">
        <v>810</v>
      </c>
      <c r="C4729" s="924" t="s">
        <v>1202</v>
      </c>
      <c r="D4729" s="924" t="s">
        <v>855</v>
      </c>
      <c r="E4729" s="924" t="s">
        <v>856</v>
      </c>
      <c r="F4729" s="924" t="s">
        <v>1088</v>
      </c>
      <c r="G4729" s="924" t="s">
        <v>981</v>
      </c>
      <c r="H4729" s="924" t="s">
        <v>835</v>
      </c>
      <c r="I4729" s="924" t="s">
        <v>998</v>
      </c>
      <c r="J4729" s="924" t="s">
        <v>940</v>
      </c>
      <c r="K4729" s="924" t="s">
        <v>1089</v>
      </c>
      <c r="L4729" s="925">
        <v>218.296491384506</v>
      </c>
      <c r="M4729" s="925">
        <v>0.39878531219437702</v>
      </c>
    </row>
    <row r="4730" spans="1:13" ht="11.25" customHeight="1" x14ac:dyDescent="0.2">
      <c r="A4730" s="924" t="s">
        <v>853</v>
      </c>
      <c r="B4730" s="924" t="s">
        <v>810</v>
      </c>
      <c r="C4730" s="924" t="s">
        <v>1202</v>
      </c>
      <c r="D4730" s="924" t="s">
        <v>855</v>
      </c>
      <c r="E4730" s="924" t="s">
        <v>856</v>
      </c>
      <c r="F4730" s="924" t="s">
        <v>1090</v>
      </c>
      <c r="G4730" s="924" t="s">
        <v>981</v>
      </c>
      <c r="H4730" s="924" t="s">
        <v>835</v>
      </c>
      <c r="I4730" s="924" t="s">
        <v>998</v>
      </c>
      <c r="J4730" s="924" t="s">
        <v>940</v>
      </c>
      <c r="K4730" s="924" t="s">
        <v>1091</v>
      </c>
      <c r="L4730" s="925">
        <v>79.386967420578003</v>
      </c>
      <c r="M4730" s="925">
        <v>0.13520045112818499</v>
      </c>
    </row>
    <row r="4731" spans="1:13" ht="11.25" customHeight="1" x14ac:dyDescent="0.2">
      <c r="A4731" s="924" t="s">
        <v>853</v>
      </c>
      <c r="B4731" s="924" t="s">
        <v>810</v>
      </c>
      <c r="C4731" s="924" t="s">
        <v>1202</v>
      </c>
      <c r="D4731" s="924" t="s">
        <v>855</v>
      </c>
      <c r="E4731" s="924" t="s">
        <v>856</v>
      </c>
      <c r="F4731" s="924" t="s">
        <v>1092</v>
      </c>
      <c r="G4731" s="924" t="s">
        <v>981</v>
      </c>
      <c r="H4731" s="924" t="s">
        <v>835</v>
      </c>
      <c r="I4731" s="924" t="s">
        <v>998</v>
      </c>
      <c r="J4731" s="924" t="s">
        <v>940</v>
      </c>
      <c r="K4731" s="924" t="s">
        <v>1093</v>
      </c>
      <c r="L4731" s="925">
        <v>190.32190579175901</v>
      </c>
      <c r="M4731" s="925">
        <v>0.37661655433475999</v>
      </c>
    </row>
    <row r="4732" spans="1:13" ht="11.25" customHeight="1" x14ac:dyDescent="0.2">
      <c r="A4732" s="924" t="s">
        <v>853</v>
      </c>
      <c r="B4732" s="924" t="s">
        <v>810</v>
      </c>
      <c r="C4732" s="924" t="s">
        <v>1202</v>
      </c>
      <c r="D4732" s="924" t="s">
        <v>855</v>
      </c>
      <c r="E4732" s="924" t="s">
        <v>856</v>
      </c>
      <c r="F4732" s="924" t="s">
        <v>1094</v>
      </c>
      <c r="G4732" s="924" t="s">
        <v>981</v>
      </c>
      <c r="H4732" s="924" t="s">
        <v>835</v>
      </c>
      <c r="I4732" s="924" t="s">
        <v>998</v>
      </c>
      <c r="J4732" s="924" t="s">
        <v>940</v>
      </c>
      <c r="K4732" s="924" t="s">
        <v>1095</v>
      </c>
      <c r="L4732" s="925">
        <v>51.0932199954987</v>
      </c>
      <c r="M4732" s="925">
        <v>9.5295499195344704E-2</v>
      </c>
    </row>
    <row r="4733" spans="1:13" ht="11.25" customHeight="1" x14ac:dyDescent="0.2">
      <c r="A4733" s="924" t="s">
        <v>853</v>
      </c>
      <c r="B4733" s="924" t="s">
        <v>810</v>
      </c>
      <c r="C4733" s="924" t="s">
        <v>1202</v>
      </c>
      <c r="D4733" s="924" t="s">
        <v>855</v>
      </c>
      <c r="E4733" s="924" t="s">
        <v>856</v>
      </c>
      <c r="F4733" s="924" t="s">
        <v>1096</v>
      </c>
      <c r="G4733" s="924" t="s">
        <v>981</v>
      </c>
      <c r="H4733" s="924" t="s">
        <v>835</v>
      </c>
      <c r="I4733" s="924" t="s">
        <v>998</v>
      </c>
      <c r="J4733" s="924" t="s">
        <v>940</v>
      </c>
      <c r="K4733" s="924" t="s">
        <v>1023</v>
      </c>
      <c r="L4733" s="925">
        <v>177.71523022651701</v>
      </c>
      <c r="M4733" s="925">
        <v>0.33238748915027799</v>
      </c>
    </row>
    <row r="4734" spans="1:13" ht="11.25" customHeight="1" x14ac:dyDescent="0.2">
      <c r="A4734" s="924" t="s">
        <v>853</v>
      </c>
      <c r="B4734" s="924" t="s">
        <v>810</v>
      </c>
      <c r="C4734" s="924" t="s">
        <v>1202</v>
      </c>
      <c r="D4734" s="924" t="s">
        <v>855</v>
      </c>
      <c r="E4734" s="924" t="s">
        <v>856</v>
      </c>
      <c r="F4734" s="924" t="s">
        <v>1100</v>
      </c>
      <c r="G4734" s="924" t="s">
        <v>981</v>
      </c>
      <c r="H4734" s="924" t="s">
        <v>835</v>
      </c>
      <c r="I4734" s="924" t="s">
        <v>998</v>
      </c>
      <c r="J4734" s="924" t="s">
        <v>940</v>
      </c>
      <c r="K4734" s="924" t="s">
        <v>1032</v>
      </c>
      <c r="L4734" s="925">
        <v>9.48299871233758E-2</v>
      </c>
      <c r="M4734" s="925">
        <v>1.9012468186474499E-4</v>
      </c>
    </row>
    <row r="4735" spans="1:13" ht="11.25" customHeight="1" x14ac:dyDescent="0.2">
      <c r="A4735" s="924" t="s">
        <v>853</v>
      </c>
      <c r="B4735" s="924" t="s">
        <v>810</v>
      </c>
      <c r="C4735" s="924" t="s">
        <v>1202</v>
      </c>
      <c r="D4735" s="924" t="s">
        <v>855</v>
      </c>
      <c r="E4735" s="924" t="s">
        <v>856</v>
      </c>
      <c r="F4735" s="924" t="s">
        <v>1101</v>
      </c>
      <c r="G4735" s="924" t="s">
        <v>981</v>
      </c>
      <c r="H4735" s="924" t="s">
        <v>835</v>
      </c>
      <c r="I4735" s="924" t="s">
        <v>998</v>
      </c>
      <c r="J4735" s="924" t="s">
        <v>870</v>
      </c>
      <c r="K4735" s="924" t="s">
        <v>961</v>
      </c>
      <c r="L4735" s="925">
        <v>0.60845953878015302</v>
      </c>
      <c r="M4735" s="925">
        <v>1.0018133859830401E-3</v>
      </c>
    </row>
    <row r="4736" spans="1:13" ht="11.25" customHeight="1" x14ac:dyDescent="0.2">
      <c r="A4736" s="924" t="s">
        <v>853</v>
      </c>
      <c r="B4736" s="924" t="s">
        <v>810</v>
      </c>
      <c r="C4736" s="924" t="s">
        <v>1202</v>
      </c>
      <c r="D4736" s="924" t="s">
        <v>855</v>
      </c>
      <c r="E4736" s="924" t="s">
        <v>856</v>
      </c>
      <c r="F4736" s="924" t="s">
        <v>1138</v>
      </c>
      <c r="G4736" s="924" t="s">
        <v>981</v>
      </c>
      <c r="H4736" s="924" t="s">
        <v>835</v>
      </c>
      <c r="I4736" s="924" t="s">
        <v>1040</v>
      </c>
      <c r="J4736" s="924" t="s">
        <v>863</v>
      </c>
      <c r="K4736" s="924" t="s">
        <v>931</v>
      </c>
      <c r="L4736" s="925">
        <v>25.517601519823099</v>
      </c>
      <c r="M4736" s="925">
        <v>9.8150120420541498E-3</v>
      </c>
    </row>
    <row r="4737" spans="1:13" ht="11.25" customHeight="1" x14ac:dyDescent="0.2">
      <c r="A4737" s="924" t="s">
        <v>853</v>
      </c>
      <c r="B4737" s="924" t="s">
        <v>810</v>
      </c>
      <c r="C4737" s="924" t="s">
        <v>1202</v>
      </c>
      <c r="D4737" s="924" t="s">
        <v>855</v>
      </c>
      <c r="E4737" s="924" t="s">
        <v>856</v>
      </c>
      <c r="F4737" s="924" t="s">
        <v>1081</v>
      </c>
      <c r="G4737" s="924" t="s">
        <v>981</v>
      </c>
      <c r="H4737" s="924" t="s">
        <v>835</v>
      </c>
      <c r="I4737" s="924" t="s">
        <v>998</v>
      </c>
      <c r="J4737" s="924" t="s">
        <v>863</v>
      </c>
      <c r="K4737" s="924" t="s">
        <v>935</v>
      </c>
      <c r="L4737" s="925">
        <v>0.23398415022529701</v>
      </c>
      <c r="M4737" s="925">
        <v>5.2281695889178103E-4</v>
      </c>
    </row>
    <row r="4738" spans="1:13" ht="11.25" customHeight="1" x14ac:dyDescent="0.2">
      <c r="A4738" s="924" t="s">
        <v>853</v>
      </c>
      <c r="B4738" s="924" t="s">
        <v>810</v>
      </c>
      <c r="C4738" s="924" t="s">
        <v>1202</v>
      </c>
      <c r="D4738" s="924" t="s">
        <v>855</v>
      </c>
      <c r="E4738" s="924" t="s">
        <v>856</v>
      </c>
      <c r="F4738" s="924" t="s">
        <v>1121</v>
      </c>
      <c r="G4738" s="924" t="s">
        <v>981</v>
      </c>
      <c r="H4738" s="924" t="s">
        <v>835</v>
      </c>
      <c r="I4738" s="924" t="s">
        <v>1040</v>
      </c>
      <c r="J4738" s="924" t="s">
        <v>875</v>
      </c>
      <c r="K4738" s="924" t="s">
        <v>948</v>
      </c>
      <c r="L4738" s="925">
        <v>221.06997561454801</v>
      </c>
      <c r="M4738" s="925">
        <v>0.13774888257489701</v>
      </c>
    </row>
    <row r="4739" spans="1:13" ht="11.25" customHeight="1" x14ac:dyDescent="0.2">
      <c r="A4739" s="924" t="s">
        <v>853</v>
      </c>
      <c r="B4739" s="924" t="s">
        <v>810</v>
      </c>
      <c r="C4739" s="924" t="s">
        <v>1202</v>
      </c>
      <c r="D4739" s="924" t="s">
        <v>855</v>
      </c>
      <c r="E4739" s="924" t="s">
        <v>856</v>
      </c>
      <c r="F4739" s="924" t="s">
        <v>1066</v>
      </c>
      <c r="G4739" s="924" t="s">
        <v>981</v>
      </c>
      <c r="H4739" s="924" t="s">
        <v>835</v>
      </c>
      <c r="I4739" s="924" t="s">
        <v>1040</v>
      </c>
      <c r="J4739" s="924" t="s">
        <v>859</v>
      </c>
      <c r="K4739" s="924" t="s">
        <v>928</v>
      </c>
      <c r="L4739" s="925">
        <v>12.9366578906775</v>
      </c>
      <c r="M4739" s="925">
        <v>6.5234605540354096E-3</v>
      </c>
    </row>
    <row r="4740" spans="1:13" ht="11.25" customHeight="1" x14ac:dyDescent="0.2">
      <c r="A4740" s="924" t="s">
        <v>853</v>
      </c>
      <c r="B4740" s="924" t="s">
        <v>810</v>
      </c>
      <c r="C4740" s="924" t="s">
        <v>1202</v>
      </c>
      <c r="D4740" s="924" t="s">
        <v>855</v>
      </c>
      <c r="E4740" s="924" t="s">
        <v>856</v>
      </c>
      <c r="F4740" s="924" t="s">
        <v>1110</v>
      </c>
      <c r="G4740" s="924" t="s">
        <v>981</v>
      </c>
      <c r="H4740" s="924" t="s">
        <v>835</v>
      </c>
      <c r="I4740" s="924" t="s">
        <v>1040</v>
      </c>
      <c r="J4740" s="924" t="s">
        <v>870</v>
      </c>
      <c r="K4740" s="924" t="s">
        <v>1019</v>
      </c>
      <c r="L4740" s="925">
        <v>4.4113452939200201E-2</v>
      </c>
      <c r="M4740" s="925">
        <v>3.6884338854292798E-5</v>
      </c>
    </row>
    <row r="4741" spans="1:13" ht="11.25" customHeight="1" x14ac:dyDescent="0.2">
      <c r="A4741" s="924" t="s">
        <v>853</v>
      </c>
      <c r="B4741" s="924" t="s">
        <v>810</v>
      </c>
      <c r="C4741" s="924" t="s">
        <v>1202</v>
      </c>
      <c r="D4741" s="924" t="s">
        <v>855</v>
      </c>
      <c r="E4741" s="924" t="s">
        <v>856</v>
      </c>
      <c r="F4741" s="924" t="s">
        <v>1111</v>
      </c>
      <c r="G4741" s="924" t="s">
        <v>981</v>
      </c>
      <c r="H4741" s="924" t="s">
        <v>835</v>
      </c>
      <c r="I4741" s="924" t="s">
        <v>1040</v>
      </c>
      <c r="J4741" s="924" t="s">
        <v>870</v>
      </c>
      <c r="K4741" s="924" t="s">
        <v>1016</v>
      </c>
      <c r="L4741" s="925">
        <v>3.94935969728976</v>
      </c>
      <c r="M4741" s="925">
        <v>3.3128746847523901E-3</v>
      </c>
    </row>
    <row r="4742" spans="1:13" ht="11.25" customHeight="1" x14ac:dyDescent="0.2">
      <c r="A4742" s="924" t="s">
        <v>853</v>
      </c>
      <c r="B4742" s="924" t="s">
        <v>810</v>
      </c>
      <c r="C4742" s="924" t="s">
        <v>1202</v>
      </c>
      <c r="D4742" s="924" t="s">
        <v>855</v>
      </c>
      <c r="E4742" s="924" t="s">
        <v>856</v>
      </c>
      <c r="F4742" s="924" t="s">
        <v>1112</v>
      </c>
      <c r="G4742" s="924" t="s">
        <v>981</v>
      </c>
      <c r="H4742" s="924" t="s">
        <v>835</v>
      </c>
      <c r="I4742" s="924" t="s">
        <v>1040</v>
      </c>
      <c r="J4742" s="924" t="s">
        <v>870</v>
      </c>
      <c r="K4742" s="924" t="s">
        <v>959</v>
      </c>
      <c r="L4742" s="925">
        <v>1.2167578008957201</v>
      </c>
      <c r="M4742" s="925">
        <v>7.9989418713921601E-4</v>
      </c>
    </row>
    <row r="4743" spans="1:13" ht="11.25" customHeight="1" x14ac:dyDescent="0.2">
      <c r="A4743" s="924" t="s">
        <v>853</v>
      </c>
      <c r="B4743" s="924" t="s">
        <v>810</v>
      </c>
      <c r="C4743" s="924" t="s">
        <v>1202</v>
      </c>
      <c r="D4743" s="924" t="s">
        <v>855</v>
      </c>
      <c r="E4743" s="924" t="s">
        <v>856</v>
      </c>
      <c r="F4743" s="924" t="s">
        <v>1113</v>
      </c>
      <c r="G4743" s="924" t="s">
        <v>981</v>
      </c>
      <c r="H4743" s="924" t="s">
        <v>835</v>
      </c>
      <c r="I4743" s="924" t="s">
        <v>1040</v>
      </c>
      <c r="J4743" s="924" t="s">
        <v>870</v>
      </c>
      <c r="K4743" s="924" t="s">
        <v>961</v>
      </c>
      <c r="L4743" s="925">
        <v>13.2963656075299</v>
      </c>
      <c r="M4743" s="925">
        <v>1.0044555620652301E-2</v>
      </c>
    </row>
    <row r="4744" spans="1:13" ht="11.25" customHeight="1" x14ac:dyDescent="0.2">
      <c r="A4744" s="924" t="s">
        <v>853</v>
      </c>
      <c r="B4744" s="924" t="s">
        <v>810</v>
      </c>
      <c r="C4744" s="924" t="s">
        <v>1202</v>
      </c>
      <c r="D4744" s="924" t="s">
        <v>855</v>
      </c>
      <c r="E4744" s="924" t="s">
        <v>856</v>
      </c>
      <c r="F4744" s="924" t="s">
        <v>1114</v>
      </c>
      <c r="G4744" s="924" t="s">
        <v>981</v>
      </c>
      <c r="H4744" s="924" t="s">
        <v>835</v>
      </c>
      <c r="I4744" s="924" t="s">
        <v>1040</v>
      </c>
      <c r="J4744" s="924" t="s">
        <v>870</v>
      </c>
      <c r="K4744" s="924" t="s">
        <v>963</v>
      </c>
      <c r="L4744" s="925">
        <v>28.997725389897798</v>
      </c>
      <c r="M4744" s="925">
        <v>4.80673116762773E-2</v>
      </c>
    </row>
    <row r="4745" spans="1:13" ht="11.25" customHeight="1" x14ac:dyDescent="0.2">
      <c r="A4745" s="924" t="s">
        <v>853</v>
      </c>
      <c r="B4745" s="924" t="s">
        <v>810</v>
      </c>
      <c r="C4745" s="924" t="s">
        <v>1202</v>
      </c>
      <c r="D4745" s="924" t="s">
        <v>855</v>
      </c>
      <c r="E4745" s="924" t="s">
        <v>856</v>
      </c>
      <c r="F4745" s="924" t="s">
        <v>1115</v>
      </c>
      <c r="G4745" s="924" t="s">
        <v>981</v>
      </c>
      <c r="H4745" s="924" t="s">
        <v>835</v>
      </c>
      <c r="I4745" s="924" t="s">
        <v>1040</v>
      </c>
      <c r="J4745" s="924" t="s">
        <v>870</v>
      </c>
      <c r="K4745" s="924" t="s">
        <v>965</v>
      </c>
      <c r="L4745" s="925">
        <v>6.2545710802078203</v>
      </c>
      <c r="M4745" s="925">
        <v>5.24657403502715E-3</v>
      </c>
    </row>
    <row r="4746" spans="1:13" ht="11.25" customHeight="1" x14ac:dyDescent="0.2">
      <c r="A4746" s="924" t="s">
        <v>853</v>
      </c>
      <c r="B4746" s="924" t="s">
        <v>810</v>
      </c>
      <c r="C4746" s="924" t="s">
        <v>1202</v>
      </c>
      <c r="D4746" s="924" t="s">
        <v>855</v>
      </c>
      <c r="E4746" s="924" t="s">
        <v>856</v>
      </c>
      <c r="F4746" s="924" t="s">
        <v>1130</v>
      </c>
      <c r="G4746" s="924" t="s">
        <v>981</v>
      </c>
      <c r="H4746" s="924" t="s">
        <v>835</v>
      </c>
      <c r="I4746" s="924" t="s">
        <v>1040</v>
      </c>
      <c r="J4746" s="924" t="s">
        <v>870</v>
      </c>
      <c r="K4746" s="924" t="s">
        <v>871</v>
      </c>
      <c r="L4746" s="925">
        <v>9.0128595549613202</v>
      </c>
      <c r="M4746" s="925">
        <v>7.1611017747272897E-3</v>
      </c>
    </row>
    <row r="4747" spans="1:13" ht="11.25" customHeight="1" x14ac:dyDescent="0.2">
      <c r="A4747" s="924" t="s">
        <v>853</v>
      </c>
      <c r="B4747" s="924" t="s">
        <v>810</v>
      </c>
      <c r="C4747" s="924" t="s">
        <v>1202</v>
      </c>
      <c r="D4747" s="924" t="s">
        <v>855</v>
      </c>
      <c r="E4747" s="924" t="s">
        <v>856</v>
      </c>
      <c r="F4747" s="924" t="s">
        <v>1117</v>
      </c>
      <c r="G4747" s="924" t="s">
        <v>981</v>
      </c>
      <c r="H4747" s="924" t="s">
        <v>835</v>
      </c>
      <c r="I4747" s="924" t="s">
        <v>1040</v>
      </c>
      <c r="J4747" s="924" t="s">
        <v>870</v>
      </c>
      <c r="K4747" s="924" t="s">
        <v>873</v>
      </c>
      <c r="L4747" s="925">
        <v>9.9378474391996896</v>
      </c>
      <c r="M4747" s="925">
        <v>9.9416072725944105E-4</v>
      </c>
    </row>
    <row r="4748" spans="1:13" ht="11.25" customHeight="1" x14ac:dyDescent="0.2">
      <c r="A4748" s="924" t="s">
        <v>853</v>
      </c>
      <c r="B4748" s="924" t="s">
        <v>810</v>
      </c>
      <c r="C4748" s="924" t="s">
        <v>1202</v>
      </c>
      <c r="D4748" s="924" t="s">
        <v>855</v>
      </c>
      <c r="E4748" s="924" t="s">
        <v>856</v>
      </c>
      <c r="F4748" s="924" t="s">
        <v>1104</v>
      </c>
      <c r="G4748" s="924" t="s">
        <v>981</v>
      </c>
      <c r="H4748" s="924" t="s">
        <v>835</v>
      </c>
      <c r="I4748" s="924" t="s">
        <v>1040</v>
      </c>
      <c r="J4748" s="924" t="s">
        <v>875</v>
      </c>
      <c r="K4748" s="924" t="s">
        <v>876</v>
      </c>
      <c r="L4748" s="925">
        <v>777.83202457428001</v>
      </c>
      <c r="M4748" s="925">
        <v>0.52141340309754003</v>
      </c>
    </row>
    <row r="4749" spans="1:13" ht="11.25" customHeight="1" x14ac:dyDescent="0.2">
      <c r="A4749" s="924" t="s">
        <v>853</v>
      </c>
      <c r="B4749" s="924" t="s">
        <v>810</v>
      </c>
      <c r="C4749" s="924" t="s">
        <v>1202</v>
      </c>
      <c r="D4749" s="924" t="s">
        <v>855</v>
      </c>
      <c r="E4749" s="924" t="s">
        <v>856</v>
      </c>
      <c r="F4749" s="924" t="s">
        <v>1108</v>
      </c>
      <c r="G4749" s="924" t="s">
        <v>981</v>
      </c>
      <c r="H4749" s="924" t="s">
        <v>835</v>
      </c>
      <c r="I4749" s="924" t="s">
        <v>1040</v>
      </c>
      <c r="J4749" s="924" t="s">
        <v>870</v>
      </c>
      <c r="K4749" s="924" t="s">
        <v>1036</v>
      </c>
      <c r="L4749" s="925">
        <v>1.48036518320441</v>
      </c>
      <c r="M4749" s="925">
        <v>9.9886988414255007E-4</v>
      </c>
    </row>
    <row r="4750" spans="1:13" ht="11.25" customHeight="1" x14ac:dyDescent="0.2">
      <c r="A4750" s="924" t="s">
        <v>853</v>
      </c>
      <c r="B4750" s="924" t="s">
        <v>810</v>
      </c>
      <c r="C4750" s="924" t="s">
        <v>1202</v>
      </c>
      <c r="D4750" s="924" t="s">
        <v>855</v>
      </c>
      <c r="E4750" s="924" t="s">
        <v>856</v>
      </c>
      <c r="F4750" s="924" t="s">
        <v>1120</v>
      </c>
      <c r="G4750" s="924" t="s">
        <v>981</v>
      </c>
      <c r="H4750" s="924" t="s">
        <v>835</v>
      </c>
      <c r="I4750" s="924" t="s">
        <v>1040</v>
      </c>
      <c r="J4750" s="924" t="s">
        <v>875</v>
      </c>
      <c r="K4750" s="924" t="s">
        <v>880</v>
      </c>
      <c r="L4750" s="925">
        <v>102.738898277283</v>
      </c>
      <c r="M4750" s="925">
        <v>5.9414667659666499E-2</v>
      </c>
    </row>
    <row r="4751" spans="1:13" ht="11.25" customHeight="1" x14ac:dyDescent="0.2">
      <c r="A4751" s="924" t="s">
        <v>853</v>
      </c>
      <c r="B4751" s="924" t="s">
        <v>810</v>
      </c>
      <c r="C4751" s="924" t="s">
        <v>1202</v>
      </c>
      <c r="D4751" s="924" t="s">
        <v>855</v>
      </c>
      <c r="E4751" s="924" t="s">
        <v>856</v>
      </c>
      <c r="F4751" s="924" t="s">
        <v>1107</v>
      </c>
      <c r="G4751" s="924" t="s">
        <v>981</v>
      </c>
      <c r="H4751" s="924" t="s">
        <v>835</v>
      </c>
      <c r="I4751" s="924" t="s">
        <v>1040</v>
      </c>
      <c r="J4751" s="924" t="s">
        <v>940</v>
      </c>
      <c r="K4751" s="924" t="s">
        <v>1034</v>
      </c>
      <c r="L4751" s="925">
        <v>95.322985470294995</v>
      </c>
      <c r="M4751" s="925">
        <v>6.9093081948210497E-2</v>
      </c>
    </row>
    <row r="4752" spans="1:13" ht="11.25" customHeight="1" x14ac:dyDescent="0.2">
      <c r="A4752" s="924" t="s">
        <v>853</v>
      </c>
      <c r="B4752" s="924" t="s">
        <v>810</v>
      </c>
      <c r="C4752" s="924" t="s">
        <v>1202</v>
      </c>
      <c r="D4752" s="924" t="s">
        <v>855</v>
      </c>
      <c r="E4752" s="924" t="s">
        <v>856</v>
      </c>
      <c r="F4752" s="924" t="s">
        <v>1122</v>
      </c>
      <c r="G4752" s="924" t="s">
        <v>981</v>
      </c>
      <c r="H4752" s="924" t="s">
        <v>835</v>
      </c>
      <c r="I4752" s="924" t="s">
        <v>1040</v>
      </c>
      <c r="J4752" s="924" t="s">
        <v>875</v>
      </c>
      <c r="K4752" s="924" t="s">
        <v>950</v>
      </c>
      <c r="L4752" s="925">
        <v>349.66361618041998</v>
      </c>
      <c r="M4752" s="925">
        <v>0.24156130854444799</v>
      </c>
    </row>
    <row r="4753" spans="1:13" ht="11.25" customHeight="1" x14ac:dyDescent="0.2">
      <c r="A4753" s="924" t="s">
        <v>853</v>
      </c>
      <c r="B4753" s="924" t="s">
        <v>810</v>
      </c>
      <c r="C4753" s="924" t="s">
        <v>1202</v>
      </c>
      <c r="D4753" s="924" t="s">
        <v>855</v>
      </c>
      <c r="E4753" s="924" t="s">
        <v>856</v>
      </c>
      <c r="F4753" s="924" t="s">
        <v>1123</v>
      </c>
      <c r="G4753" s="924" t="s">
        <v>981</v>
      </c>
      <c r="H4753" s="924" t="s">
        <v>835</v>
      </c>
      <c r="I4753" s="924" t="s">
        <v>1040</v>
      </c>
      <c r="J4753" s="924" t="s">
        <v>875</v>
      </c>
      <c r="K4753" s="924" t="s">
        <v>952</v>
      </c>
      <c r="L4753" s="925">
        <v>16.4028465598822</v>
      </c>
      <c r="M4753" s="925">
        <v>1.1365899010982601E-2</v>
      </c>
    </row>
    <row r="4754" spans="1:13" ht="11.25" customHeight="1" x14ac:dyDescent="0.2">
      <c r="A4754" s="924" t="s">
        <v>853</v>
      </c>
      <c r="B4754" s="924" t="s">
        <v>810</v>
      </c>
      <c r="C4754" s="924" t="s">
        <v>1202</v>
      </c>
      <c r="D4754" s="924" t="s">
        <v>855</v>
      </c>
      <c r="E4754" s="924" t="s">
        <v>856</v>
      </c>
      <c r="F4754" s="924" t="s">
        <v>1124</v>
      </c>
      <c r="G4754" s="924" t="s">
        <v>981</v>
      </c>
      <c r="H4754" s="924" t="s">
        <v>835</v>
      </c>
      <c r="I4754" s="924" t="s">
        <v>1040</v>
      </c>
      <c r="J4754" s="924" t="s">
        <v>956</v>
      </c>
      <c r="K4754" s="924" t="s">
        <v>1125</v>
      </c>
      <c r="L4754" s="925">
        <v>35.991911023855202</v>
      </c>
      <c r="M4754" s="925">
        <v>2.8693277339016301E-2</v>
      </c>
    </row>
    <row r="4755" spans="1:13" ht="11.25" customHeight="1" x14ac:dyDescent="0.2">
      <c r="A4755" s="924" t="s">
        <v>853</v>
      </c>
      <c r="B4755" s="924" t="s">
        <v>810</v>
      </c>
      <c r="C4755" s="924" t="s">
        <v>1202</v>
      </c>
      <c r="D4755" s="924" t="s">
        <v>855</v>
      </c>
      <c r="E4755" s="924" t="s">
        <v>856</v>
      </c>
      <c r="F4755" s="924" t="s">
        <v>1126</v>
      </c>
      <c r="G4755" s="924" t="s">
        <v>981</v>
      </c>
      <c r="H4755" s="924" t="s">
        <v>835</v>
      </c>
      <c r="I4755" s="924" t="s">
        <v>1040</v>
      </c>
      <c r="J4755" s="924" t="s">
        <v>956</v>
      </c>
      <c r="K4755" s="924" t="s">
        <v>957</v>
      </c>
      <c r="L4755" s="925">
        <v>0.41469214484095601</v>
      </c>
      <c r="M4755" s="925">
        <v>3.2418088403574102E-4</v>
      </c>
    </row>
    <row r="4756" spans="1:13" ht="11.25" customHeight="1" x14ac:dyDescent="0.2">
      <c r="A4756" s="924" t="s">
        <v>853</v>
      </c>
      <c r="B4756" s="924" t="s">
        <v>810</v>
      </c>
      <c r="C4756" s="924" t="s">
        <v>1202</v>
      </c>
      <c r="D4756" s="924" t="s">
        <v>855</v>
      </c>
      <c r="E4756" s="924" t="s">
        <v>856</v>
      </c>
      <c r="F4756" s="924" t="s">
        <v>1127</v>
      </c>
      <c r="G4756" s="924" t="s">
        <v>911</v>
      </c>
      <c r="H4756" s="924" t="s">
        <v>665</v>
      </c>
      <c r="I4756" s="924" t="s">
        <v>706</v>
      </c>
      <c r="J4756" s="924" t="s">
        <v>884</v>
      </c>
      <c r="K4756" s="924" t="s">
        <v>885</v>
      </c>
      <c r="L4756" s="925">
        <v>9.8337519615888596</v>
      </c>
      <c r="M4756" s="925">
        <v>4.2731075373012599E-3</v>
      </c>
    </row>
    <row r="4757" spans="1:13" ht="11.25" customHeight="1" x14ac:dyDescent="0.2">
      <c r="A4757" s="924" t="s">
        <v>853</v>
      </c>
      <c r="B4757" s="924" t="s">
        <v>810</v>
      </c>
      <c r="C4757" s="924" t="s">
        <v>1202</v>
      </c>
      <c r="D4757" s="924" t="s">
        <v>855</v>
      </c>
      <c r="E4757" s="924" t="s">
        <v>856</v>
      </c>
      <c r="F4757" s="924" t="s">
        <v>1128</v>
      </c>
      <c r="G4757" s="924" t="s">
        <v>911</v>
      </c>
      <c r="H4757" s="924" t="s">
        <v>665</v>
      </c>
      <c r="I4757" s="924" t="s">
        <v>706</v>
      </c>
      <c r="J4757" s="924" t="s">
        <v>859</v>
      </c>
      <c r="K4757" s="924" t="s">
        <v>913</v>
      </c>
      <c r="L4757" s="925">
        <v>1.29370362497866</v>
      </c>
      <c r="M4757" s="925">
        <v>1.4264762025106801E-4</v>
      </c>
    </row>
    <row r="4758" spans="1:13" ht="11.25" customHeight="1" x14ac:dyDescent="0.2">
      <c r="A4758" s="924" t="s">
        <v>853</v>
      </c>
      <c r="B4758" s="924" t="s">
        <v>810</v>
      </c>
      <c r="C4758" s="924" t="s">
        <v>1202</v>
      </c>
      <c r="D4758" s="924" t="s">
        <v>855</v>
      </c>
      <c r="E4758" s="924" t="s">
        <v>856</v>
      </c>
      <c r="F4758" s="924" t="s">
        <v>1118</v>
      </c>
      <c r="G4758" s="924" t="s">
        <v>911</v>
      </c>
      <c r="H4758" s="924" t="s">
        <v>665</v>
      </c>
      <c r="I4758" s="924" t="s">
        <v>706</v>
      </c>
      <c r="J4758" s="924" t="s">
        <v>859</v>
      </c>
      <c r="K4758" s="924" t="s">
        <v>893</v>
      </c>
      <c r="L4758" s="925">
        <v>2.1937187276780601</v>
      </c>
      <c r="M4758" s="925">
        <v>1.06134971247229E-4</v>
      </c>
    </row>
    <row r="4759" spans="1:13" ht="11.25" customHeight="1" x14ac:dyDescent="0.2">
      <c r="A4759" s="924" t="s">
        <v>853</v>
      </c>
      <c r="B4759" s="924" t="s">
        <v>810</v>
      </c>
      <c r="C4759" s="924" t="s">
        <v>1202</v>
      </c>
      <c r="D4759" s="924" t="s">
        <v>855</v>
      </c>
      <c r="E4759" s="924" t="s">
        <v>856</v>
      </c>
      <c r="F4759" s="924" t="s">
        <v>1129</v>
      </c>
      <c r="G4759" s="924" t="s">
        <v>911</v>
      </c>
      <c r="H4759" s="924" t="s">
        <v>665</v>
      </c>
      <c r="I4759" s="924" t="s">
        <v>706</v>
      </c>
      <c r="J4759" s="924" t="s">
        <v>859</v>
      </c>
      <c r="K4759" s="924" t="s">
        <v>897</v>
      </c>
      <c r="L4759" s="925">
        <v>0.35727429203689098</v>
      </c>
      <c r="M4759" s="925">
        <v>1.29856792312921E-4</v>
      </c>
    </row>
    <row r="4760" spans="1:13" ht="11.25" customHeight="1" x14ac:dyDescent="0.2">
      <c r="A4760" s="924" t="s">
        <v>853</v>
      </c>
      <c r="B4760" s="924" t="s">
        <v>810</v>
      </c>
      <c r="C4760" s="924" t="s">
        <v>1202</v>
      </c>
      <c r="D4760" s="924" t="s">
        <v>855</v>
      </c>
      <c r="E4760" s="924" t="s">
        <v>856</v>
      </c>
      <c r="F4760" s="924" t="s">
        <v>1133</v>
      </c>
      <c r="G4760" s="924" t="s">
        <v>911</v>
      </c>
      <c r="H4760" s="924" t="s">
        <v>665</v>
      </c>
      <c r="I4760" s="924" t="s">
        <v>706</v>
      </c>
      <c r="J4760" s="924" t="s">
        <v>859</v>
      </c>
      <c r="K4760" s="924" t="s">
        <v>899</v>
      </c>
      <c r="L4760" s="925">
        <v>0.22254783194512101</v>
      </c>
      <c r="M4760" s="925">
        <v>2.2171618859090399E-5</v>
      </c>
    </row>
    <row r="4761" spans="1:13" ht="11.25" customHeight="1" x14ac:dyDescent="0.2">
      <c r="A4761" s="924" t="s">
        <v>853</v>
      </c>
      <c r="B4761" s="924" t="s">
        <v>810</v>
      </c>
      <c r="C4761" s="924" t="s">
        <v>1202</v>
      </c>
      <c r="D4761" s="924" t="s">
        <v>855</v>
      </c>
      <c r="E4761" s="924" t="s">
        <v>856</v>
      </c>
      <c r="F4761" s="924" t="s">
        <v>1074</v>
      </c>
      <c r="G4761" s="924" t="s">
        <v>911</v>
      </c>
      <c r="H4761" s="924" t="s">
        <v>665</v>
      </c>
      <c r="I4761" s="924" t="s">
        <v>706</v>
      </c>
      <c r="J4761" s="924" t="s">
        <v>859</v>
      </c>
      <c r="K4761" s="924" t="s">
        <v>903</v>
      </c>
      <c r="L4761" s="925">
        <v>3.9954158701002598</v>
      </c>
      <c r="M4761" s="925">
        <v>4.4621911541753401E-4</v>
      </c>
    </row>
    <row r="4762" spans="1:13" ht="11.25" customHeight="1" x14ac:dyDescent="0.2">
      <c r="A4762" s="924" t="s">
        <v>853</v>
      </c>
      <c r="B4762" s="924" t="s">
        <v>810</v>
      </c>
      <c r="C4762" s="924" t="s">
        <v>1202</v>
      </c>
      <c r="D4762" s="924" t="s">
        <v>855</v>
      </c>
      <c r="E4762" s="924" t="s">
        <v>856</v>
      </c>
      <c r="F4762" s="924" t="s">
        <v>1119</v>
      </c>
      <c r="G4762" s="924" t="s">
        <v>981</v>
      </c>
      <c r="H4762" s="924" t="s">
        <v>835</v>
      </c>
      <c r="I4762" s="924" t="s">
        <v>1040</v>
      </c>
      <c r="J4762" s="924" t="s">
        <v>875</v>
      </c>
      <c r="K4762" s="924" t="s">
        <v>878</v>
      </c>
      <c r="L4762" s="925">
        <v>194.25769281387301</v>
      </c>
      <c r="M4762" s="925">
        <v>0.12880950416911199</v>
      </c>
    </row>
    <row r="4763" spans="1:13" ht="11.25" customHeight="1" x14ac:dyDescent="0.2">
      <c r="A4763" s="924" t="s">
        <v>853</v>
      </c>
      <c r="B4763" s="924" t="s">
        <v>810</v>
      </c>
      <c r="C4763" s="924" t="s">
        <v>1202</v>
      </c>
      <c r="D4763" s="924" t="s">
        <v>855</v>
      </c>
      <c r="E4763" s="924" t="s">
        <v>856</v>
      </c>
      <c r="F4763" s="924" t="s">
        <v>1159</v>
      </c>
      <c r="G4763" s="924" t="s">
        <v>981</v>
      </c>
      <c r="H4763" s="924" t="s">
        <v>835</v>
      </c>
      <c r="I4763" s="924" t="s">
        <v>1040</v>
      </c>
      <c r="J4763" s="924" t="s">
        <v>940</v>
      </c>
      <c r="K4763" s="924" t="s">
        <v>1095</v>
      </c>
      <c r="L4763" s="925">
        <v>7.6752027273178101</v>
      </c>
      <c r="M4763" s="925">
        <v>5.3443896831595304E-3</v>
      </c>
    </row>
    <row r="4764" spans="1:13" ht="11.25" customHeight="1" x14ac:dyDescent="0.2">
      <c r="A4764" s="924" t="s">
        <v>853</v>
      </c>
      <c r="B4764" s="924" t="s">
        <v>810</v>
      </c>
      <c r="C4764" s="924" t="s">
        <v>1202</v>
      </c>
      <c r="D4764" s="924" t="s">
        <v>855</v>
      </c>
      <c r="E4764" s="924" t="s">
        <v>856</v>
      </c>
      <c r="F4764" s="924" t="s">
        <v>910</v>
      </c>
      <c r="G4764" s="924" t="s">
        <v>911</v>
      </c>
      <c r="H4764" s="924" t="s">
        <v>665</v>
      </c>
      <c r="I4764" s="924" t="s">
        <v>706</v>
      </c>
      <c r="J4764" s="924" t="s">
        <v>859</v>
      </c>
      <c r="K4764" s="924" t="s">
        <v>905</v>
      </c>
      <c r="L4764" s="925">
        <v>1.5719144791364701</v>
      </c>
      <c r="M4764" s="925">
        <v>1.2850345087827E-3</v>
      </c>
    </row>
    <row r="4765" spans="1:13" ht="11.25" customHeight="1" x14ac:dyDescent="0.2">
      <c r="A4765" s="924" t="s">
        <v>853</v>
      </c>
      <c r="B4765" s="924" t="s">
        <v>810</v>
      </c>
      <c r="C4765" s="924" t="s">
        <v>1202</v>
      </c>
      <c r="D4765" s="924" t="s">
        <v>855</v>
      </c>
      <c r="E4765" s="924" t="s">
        <v>856</v>
      </c>
      <c r="F4765" s="924" t="s">
        <v>1135</v>
      </c>
      <c r="G4765" s="924" t="s">
        <v>981</v>
      </c>
      <c r="H4765" s="924" t="s">
        <v>835</v>
      </c>
      <c r="I4765" s="924" t="s">
        <v>1040</v>
      </c>
      <c r="J4765" s="924" t="s">
        <v>863</v>
      </c>
      <c r="K4765" s="924" t="s">
        <v>935</v>
      </c>
      <c r="L4765" s="925">
        <v>21.080498963594401</v>
      </c>
      <c r="M4765" s="925">
        <v>7.5760358813568001E-3</v>
      </c>
    </row>
    <row r="4766" spans="1:13" ht="11.25" customHeight="1" x14ac:dyDescent="0.2">
      <c r="A4766" s="924" t="s">
        <v>853</v>
      </c>
      <c r="B4766" s="924" t="s">
        <v>810</v>
      </c>
      <c r="C4766" s="924" t="s">
        <v>1202</v>
      </c>
      <c r="D4766" s="924" t="s">
        <v>855</v>
      </c>
      <c r="E4766" s="924" t="s">
        <v>856</v>
      </c>
      <c r="F4766" s="924" t="s">
        <v>1136</v>
      </c>
      <c r="G4766" s="924" t="s">
        <v>981</v>
      </c>
      <c r="H4766" s="924" t="s">
        <v>835</v>
      </c>
      <c r="I4766" s="924" t="s">
        <v>1040</v>
      </c>
      <c r="J4766" s="924" t="s">
        <v>863</v>
      </c>
      <c r="K4766" s="924" t="s">
        <v>864</v>
      </c>
      <c r="L4766" s="925">
        <v>39.611810028553002</v>
      </c>
      <c r="M4766" s="925">
        <v>2.9527438018703799E-2</v>
      </c>
    </row>
    <row r="4767" spans="1:13" ht="11.25" customHeight="1" x14ac:dyDescent="0.2">
      <c r="A4767" s="924" t="s">
        <v>853</v>
      </c>
      <c r="B4767" s="924" t="s">
        <v>810</v>
      </c>
      <c r="C4767" s="924" t="s">
        <v>1202</v>
      </c>
      <c r="D4767" s="924" t="s">
        <v>855</v>
      </c>
      <c r="E4767" s="924" t="s">
        <v>856</v>
      </c>
      <c r="F4767" s="924" t="s">
        <v>1148</v>
      </c>
      <c r="G4767" s="924" t="s">
        <v>981</v>
      </c>
      <c r="H4767" s="924" t="s">
        <v>835</v>
      </c>
      <c r="I4767" s="924" t="s">
        <v>1040</v>
      </c>
      <c r="J4767" s="924" t="s">
        <v>863</v>
      </c>
      <c r="K4767" s="924" t="s">
        <v>915</v>
      </c>
      <c r="L4767" s="925">
        <v>1.7981721088290199</v>
      </c>
      <c r="M4767" s="925">
        <v>6.6950040201163596E-4</v>
      </c>
    </row>
    <row r="4768" spans="1:13" ht="11.25" customHeight="1" x14ac:dyDescent="0.2">
      <c r="A4768" s="924" t="s">
        <v>853</v>
      </c>
      <c r="B4768" s="924" t="s">
        <v>810</v>
      </c>
      <c r="C4768" s="924" t="s">
        <v>1202</v>
      </c>
      <c r="D4768" s="924" t="s">
        <v>855</v>
      </c>
      <c r="E4768" s="924" t="s">
        <v>856</v>
      </c>
      <c r="F4768" s="924" t="s">
        <v>1137</v>
      </c>
      <c r="G4768" s="924" t="s">
        <v>981</v>
      </c>
      <c r="H4768" s="924" t="s">
        <v>835</v>
      </c>
      <c r="I4768" s="924" t="s">
        <v>1040</v>
      </c>
      <c r="J4768" s="924" t="s">
        <v>863</v>
      </c>
      <c r="K4768" s="924" t="s">
        <v>866</v>
      </c>
      <c r="L4768" s="925">
        <v>1.8001669421791999</v>
      </c>
      <c r="M4768" s="925">
        <v>1.2044465856888599E-3</v>
      </c>
    </row>
    <row r="4769" spans="1:13" ht="11.25" customHeight="1" x14ac:dyDescent="0.2">
      <c r="A4769" s="924" t="s">
        <v>853</v>
      </c>
      <c r="B4769" s="924" t="s">
        <v>810</v>
      </c>
      <c r="C4769" s="924" t="s">
        <v>1202</v>
      </c>
      <c r="D4769" s="924" t="s">
        <v>855</v>
      </c>
      <c r="E4769" s="924" t="s">
        <v>856</v>
      </c>
      <c r="F4769" s="924" t="s">
        <v>1131</v>
      </c>
      <c r="G4769" s="924" t="s">
        <v>981</v>
      </c>
      <c r="H4769" s="924" t="s">
        <v>835</v>
      </c>
      <c r="I4769" s="924" t="s">
        <v>1040</v>
      </c>
      <c r="J4769" s="924" t="s">
        <v>863</v>
      </c>
      <c r="K4769" s="924" t="s">
        <v>868</v>
      </c>
      <c r="L4769" s="925">
        <v>8.6684846803546005</v>
      </c>
      <c r="M4769" s="925">
        <v>6.1109029957151495E-4</v>
      </c>
    </row>
    <row r="4770" spans="1:13" ht="11.25" customHeight="1" x14ac:dyDescent="0.2">
      <c r="A4770" s="924" t="s">
        <v>853</v>
      </c>
      <c r="B4770" s="924" t="s">
        <v>810</v>
      </c>
      <c r="C4770" s="924" t="s">
        <v>1202</v>
      </c>
      <c r="D4770" s="924" t="s">
        <v>855</v>
      </c>
      <c r="E4770" s="924" t="s">
        <v>856</v>
      </c>
      <c r="F4770" s="924" t="s">
        <v>1139</v>
      </c>
      <c r="G4770" s="924" t="s">
        <v>981</v>
      </c>
      <c r="H4770" s="924" t="s">
        <v>835</v>
      </c>
      <c r="I4770" s="924" t="s">
        <v>1040</v>
      </c>
      <c r="J4770" s="924" t="s">
        <v>940</v>
      </c>
      <c r="K4770" s="924" t="s">
        <v>1140</v>
      </c>
      <c r="L4770" s="925">
        <v>725.50988340377796</v>
      </c>
      <c r="M4770" s="925">
        <v>0.52983070857117598</v>
      </c>
    </row>
    <row r="4771" spans="1:13" ht="11.25" customHeight="1" x14ac:dyDescent="0.2">
      <c r="A4771" s="924" t="s">
        <v>853</v>
      </c>
      <c r="B4771" s="924" t="s">
        <v>810</v>
      </c>
      <c r="C4771" s="924" t="s">
        <v>1202</v>
      </c>
      <c r="D4771" s="924" t="s">
        <v>855</v>
      </c>
      <c r="E4771" s="924" t="s">
        <v>856</v>
      </c>
      <c r="F4771" s="924" t="s">
        <v>1141</v>
      </c>
      <c r="G4771" s="924" t="s">
        <v>981</v>
      </c>
      <c r="H4771" s="924" t="s">
        <v>835</v>
      </c>
      <c r="I4771" s="924" t="s">
        <v>1040</v>
      </c>
      <c r="J4771" s="924" t="s">
        <v>940</v>
      </c>
      <c r="K4771" s="924" t="s">
        <v>1142</v>
      </c>
      <c r="L4771" s="925">
        <v>556.35985612869297</v>
      </c>
      <c r="M4771" s="925">
        <v>0.40916738961823301</v>
      </c>
    </row>
    <row r="4772" spans="1:13" ht="11.25" customHeight="1" x14ac:dyDescent="0.2">
      <c r="A4772" s="924" t="s">
        <v>853</v>
      </c>
      <c r="B4772" s="924" t="s">
        <v>810</v>
      </c>
      <c r="C4772" s="924" t="s">
        <v>1202</v>
      </c>
      <c r="D4772" s="924" t="s">
        <v>855</v>
      </c>
      <c r="E4772" s="924" t="s">
        <v>856</v>
      </c>
      <c r="F4772" s="924" t="s">
        <v>1143</v>
      </c>
      <c r="G4772" s="924" t="s">
        <v>981</v>
      </c>
      <c r="H4772" s="924" t="s">
        <v>835</v>
      </c>
      <c r="I4772" s="924" t="s">
        <v>1040</v>
      </c>
      <c r="J4772" s="924" t="s">
        <v>940</v>
      </c>
      <c r="K4772" s="924" t="s">
        <v>1084</v>
      </c>
      <c r="L4772" s="925">
        <v>62.431484699249303</v>
      </c>
      <c r="M4772" s="925">
        <v>4.55201898585074E-2</v>
      </c>
    </row>
    <row r="4773" spans="1:13" ht="11.25" customHeight="1" x14ac:dyDescent="0.2">
      <c r="A4773" s="924" t="s">
        <v>853</v>
      </c>
      <c r="B4773" s="924" t="s">
        <v>810</v>
      </c>
      <c r="C4773" s="924" t="s">
        <v>1202</v>
      </c>
      <c r="D4773" s="924" t="s">
        <v>855</v>
      </c>
      <c r="E4773" s="924" t="s">
        <v>856</v>
      </c>
      <c r="F4773" s="924" t="s">
        <v>1144</v>
      </c>
      <c r="G4773" s="924" t="s">
        <v>981</v>
      </c>
      <c r="H4773" s="924" t="s">
        <v>835</v>
      </c>
      <c r="I4773" s="924" t="s">
        <v>1040</v>
      </c>
      <c r="J4773" s="924" t="s">
        <v>940</v>
      </c>
      <c r="K4773" s="924" t="s">
        <v>1070</v>
      </c>
      <c r="L4773" s="925">
        <v>330.78830862045299</v>
      </c>
      <c r="M4773" s="925">
        <v>0.229647723201197</v>
      </c>
    </row>
    <row r="4774" spans="1:13" ht="11.25" customHeight="1" x14ac:dyDescent="0.2">
      <c r="A4774" s="924" t="s">
        <v>853</v>
      </c>
      <c r="B4774" s="924" t="s">
        <v>810</v>
      </c>
      <c r="C4774" s="924" t="s">
        <v>1202</v>
      </c>
      <c r="D4774" s="924" t="s">
        <v>855</v>
      </c>
      <c r="E4774" s="924" t="s">
        <v>856</v>
      </c>
      <c r="F4774" s="924" t="s">
        <v>1109</v>
      </c>
      <c r="G4774" s="924" t="s">
        <v>981</v>
      </c>
      <c r="H4774" s="924" t="s">
        <v>835</v>
      </c>
      <c r="I4774" s="924" t="s">
        <v>1040</v>
      </c>
      <c r="J4774" s="924" t="s">
        <v>870</v>
      </c>
      <c r="K4774" s="924" t="s">
        <v>976</v>
      </c>
      <c r="L4774" s="925">
        <v>5.7123278044164199</v>
      </c>
      <c r="M4774" s="925">
        <v>1.1657908620250599E-3</v>
      </c>
    </row>
    <row r="4775" spans="1:13" ht="11.25" customHeight="1" x14ac:dyDescent="0.2">
      <c r="A4775" s="924" t="s">
        <v>853</v>
      </c>
      <c r="B4775" s="924" t="s">
        <v>810</v>
      </c>
      <c r="C4775" s="924" t="s">
        <v>1202</v>
      </c>
      <c r="D4775" s="924" t="s">
        <v>855</v>
      </c>
      <c r="E4775" s="924" t="s">
        <v>856</v>
      </c>
      <c r="F4775" s="924" t="s">
        <v>1160</v>
      </c>
      <c r="G4775" s="924" t="s">
        <v>981</v>
      </c>
      <c r="H4775" s="924" t="s">
        <v>835</v>
      </c>
      <c r="I4775" s="924" t="s">
        <v>1040</v>
      </c>
      <c r="J4775" s="924" t="s">
        <v>940</v>
      </c>
      <c r="K4775" s="924" t="s">
        <v>1093</v>
      </c>
      <c r="L4775" s="925">
        <v>12.887033261358701</v>
      </c>
      <c r="M4775" s="925">
        <v>9.0623095638875401E-3</v>
      </c>
    </row>
    <row r="4776" spans="1:13" ht="11.25" customHeight="1" x14ac:dyDescent="0.2">
      <c r="A4776" s="924" t="s">
        <v>853</v>
      </c>
      <c r="B4776" s="924" t="s">
        <v>810</v>
      </c>
      <c r="C4776" s="924" t="s">
        <v>1202</v>
      </c>
      <c r="D4776" s="924" t="s">
        <v>855</v>
      </c>
      <c r="E4776" s="924" t="s">
        <v>856</v>
      </c>
      <c r="F4776" s="924" t="s">
        <v>1067</v>
      </c>
      <c r="G4776" s="924" t="s">
        <v>981</v>
      </c>
      <c r="H4776" s="924" t="s">
        <v>835</v>
      </c>
      <c r="I4776" s="924" t="s">
        <v>1040</v>
      </c>
      <c r="J4776" s="924" t="s">
        <v>859</v>
      </c>
      <c r="K4776" s="924" t="s">
        <v>1011</v>
      </c>
      <c r="L4776" s="925">
        <v>4.3004093468189204</v>
      </c>
      <c r="M4776" s="925">
        <v>3.0420621816915601E-3</v>
      </c>
    </row>
    <row r="4777" spans="1:13" ht="11.25" customHeight="1" x14ac:dyDescent="0.2">
      <c r="A4777" s="924" t="s">
        <v>853</v>
      </c>
      <c r="B4777" s="924" t="s">
        <v>810</v>
      </c>
      <c r="C4777" s="924" t="s">
        <v>1202</v>
      </c>
      <c r="D4777" s="924" t="s">
        <v>855</v>
      </c>
      <c r="E4777" s="924" t="s">
        <v>856</v>
      </c>
      <c r="F4777" s="924" t="s">
        <v>1158</v>
      </c>
      <c r="G4777" s="924" t="s">
        <v>981</v>
      </c>
      <c r="H4777" s="924" t="s">
        <v>835</v>
      </c>
      <c r="I4777" s="924" t="s">
        <v>1040</v>
      </c>
      <c r="J4777" s="924" t="s">
        <v>940</v>
      </c>
      <c r="K4777" s="924" t="s">
        <v>1023</v>
      </c>
      <c r="L4777" s="925">
        <v>528.02033710479702</v>
      </c>
      <c r="M4777" s="925">
        <v>0.30249625363649102</v>
      </c>
    </row>
    <row r="4778" spans="1:13" ht="11.25" customHeight="1" x14ac:dyDescent="0.2">
      <c r="A4778" s="924" t="s">
        <v>853</v>
      </c>
      <c r="B4778" s="924" t="s">
        <v>810</v>
      </c>
      <c r="C4778" s="924" t="s">
        <v>1202</v>
      </c>
      <c r="D4778" s="924" t="s">
        <v>855</v>
      </c>
      <c r="E4778" s="924" t="s">
        <v>856</v>
      </c>
      <c r="F4778" s="924" t="s">
        <v>1154</v>
      </c>
      <c r="G4778" s="924" t="s">
        <v>981</v>
      </c>
      <c r="H4778" s="924" t="s">
        <v>835</v>
      </c>
      <c r="I4778" s="924" t="s">
        <v>1040</v>
      </c>
      <c r="J4778" s="924" t="s">
        <v>940</v>
      </c>
      <c r="K4778" s="924" t="s">
        <v>1155</v>
      </c>
      <c r="L4778" s="925">
        <v>146.70847344398501</v>
      </c>
      <c r="M4778" s="925">
        <v>9.4283568442840193E-2</v>
      </c>
    </row>
    <row r="4779" spans="1:13" ht="11.25" customHeight="1" x14ac:dyDescent="0.2">
      <c r="A4779" s="924" t="s">
        <v>853</v>
      </c>
      <c r="B4779" s="924" t="s">
        <v>810</v>
      </c>
      <c r="C4779" s="924" t="s">
        <v>1202</v>
      </c>
      <c r="D4779" s="924" t="s">
        <v>855</v>
      </c>
      <c r="E4779" s="924" t="s">
        <v>856</v>
      </c>
      <c r="F4779" s="924" t="s">
        <v>1152</v>
      </c>
      <c r="G4779" s="924" t="s">
        <v>981</v>
      </c>
      <c r="H4779" s="924" t="s">
        <v>835</v>
      </c>
      <c r="I4779" s="924" t="s">
        <v>1040</v>
      </c>
      <c r="J4779" s="924" t="s">
        <v>940</v>
      </c>
      <c r="K4779" s="924" t="s">
        <v>1153</v>
      </c>
      <c r="L4779" s="925">
        <v>70.688816100359006</v>
      </c>
      <c r="M4779" s="925">
        <v>4.63313198415563E-2</v>
      </c>
    </row>
    <row r="4780" spans="1:13" ht="11.25" customHeight="1" x14ac:dyDescent="0.2">
      <c r="A4780" s="924" t="s">
        <v>853</v>
      </c>
      <c r="B4780" s="924" t="s">
        <v>810</v>
      </c>
      <c r="C4780" s="924" t="s">
        <v>1202</v>
      </c>
      <c r="D4780" s="924" t="s">
        <v>855</v>
      </c>
      <c r="E4780" s="924" t="s">
        <v>856</v>
      </c>
      <c r="F4780" s="924" t="s">
        <v>1161</v>
      </c>
      <c r="G4780" s="924" t="s">
        <v>981</v>
      </c>
      <c r="H4780" s="924" t="s">
        <v>835</v>
      </c>
      <c r="I4780" s="924" t="s">
        <v>1040</v>
      </c>
      <c r="J4780" s="924" t="s">
        <v>940</v>
      </c>
      <c r="K4780" s="924" t="s">
        <v>1027</v>
      </c>
      <c r="L4780" s="925">
        <v>79.848226279020295</v>
      </c>
      <c r="M4780" s="925">
        <v>5.5013014495585801E-2</v>
      </c>
    </row>
    <row r="4781" spans="1:13" ht="11.25" customHeight="1" x14ac:dyDescent="0.2">
      <c r="A4781" s="924" t="s">
        <v>853</v>
      </c>
      <c r="B4781" s="924" t="s">
        <v>810</v>
      </c>
      <c r="C4781" s="924" t="s">
        <v>1202</v>
      </c>
      <c r="D4781" s="924" t="s">
        <v>855</v>
      </c>
      <c r="E4781" s="924" t="s">
        <v>856</v>
      </c>
      <c r="F4781" s="924" t="s">
        <v>1150</v>
      </c>
      <c r="G4781" s="924" t="s">
        <v>981</v>
      </c>
      <c r="H4781" s="924" t="s">
        <v>835</v>
      </c>
      <c r="I4781" s="924" t="s">
        <v>1040</v>
      </c>
      <c r="J4781" s="924" t="s">
        <v>940</v>
      </c>
      <c r="K4781" s="924" t="s">
        <v>1151</v>
      </c>
      <c r="L4781" s="925">
        <v>38.105378165841103</v>
      </c>
      <c r="M4781" s="925">
        <v>2.67392283421941E-2</v>
      </c>
    </row>
    <row r="4782" spans="1:13" ht="11.25" customHeight="1" x14ac:dyDescent="0.2">
      <c r="A4782" s="924" t="s">
        <v>853</v>
      </c>
      <c r="B4782" s="924" t="s">
        <v>810</v>
      </c>
      <c r="C4782" s="924" t="s">
        <v>1202</v>
      </c>
      <c r="D4782" s="924" t="s">
        <v>855</v>
      </c>
      <c r="E4782" s="924" t="s">
        <v>856</v>
      </c>
      <c r="F4782" s="924" t="s">
        <v>1146</v>
      </c>
      <c r="G4782" s="924" t="s">
        <v>981</v>
      </c>
      <c r="H4782" s="924" t="s">
        <v>835</v>
      </c>
      <c r="I4782" s="924" t="s">
        <v>1040</v>
      </c>
      <c r="J4782" s="924" t="s">
        <v>940</v>
      </c>
      <c r="K4782" s="924" t="s">
        <v>1147</v>
      </c>
      <c r="L4782" s="925">
        <v>1966.6521530151399</v>
      </c>
      <c r="M4782" s="925">
        <v>1.2616964811459199</v>
      </c>
    </row>
    <row r="4783" spans="1:13" ht="11.25" customHeight="1" x14ac:dyDescent="0.2">
      <c r="A4783" s="924" t="s">
        <v>853</v>
      </c>
      <c r="B4783" s="924" t="s">
        <v>810</v>
      </c>
      <c r="C4783" s="924" t="s">
        <v>1202</v>
      </c>
      <c r="D4783" s="924" t="s">
        <v>855</v>
      </c>
      <c r="E4783" s="924" t="s">
        <v>856</v>
      </c>
      <c r="F4783" s="924" t="s">
        <v>1145</v>
      </c>
      <c r="G4783" s="924" t="s">
        <v>981</v>
      </c>
      <c r="H4783" s="924" t="s">
        <v>835</v>
      </c>
      <c r="I4783" s="924" t="s">
        <v>1040</v>
      </c>
      <c r="J4783" s="924" t="s">
        <v>940</v>
      </c>
      <c r="K4783" s="924" t="s">
        <v>1029</v>
      </c>
      <c r="L4783" s="925">
        <v>960.66379547119095</v>
      </c>
      <c r="M4783" s="925">
        <v>0.62951297988183796</v>
      </c>
    </row>
    <row r="4784" spans="1:13" ht="11.25" customHeight="1" x14ac:dyDescent="0.2">
      <c r="A4784" s="924" t="s">
        <v>853</v>
      </c>
      <c r="B4784" s="924" t="s">
        <v>810</v>
      </c>
      <c r="C4784" s="924" t="s">
        <v>1202</v>
      </c>
      <c r="D4784" s="924" t="s">
        <v>855</v>
      </c>
      <c r="E4784" s="924" t="s">
        <v>856</v>
      </c>
      <c r="F4784" s="924" t="s">
        <v>1132</v>
      </c>
      <c r="G4784" s="924" t="s">
        <v>981</v>
      </c>
      <c r="H4784" s="924" t="s">
        <v>835</v>
      </c>
      <c r="I4784" s="924" t="s">
        <v>1040</v>
      </c>
      <c r="J4784" s="924" t="s">
        <v>940</v>
      </c>
      <c r="K4784" s="924" t="s">
        <v>941</v>
      </c>
      <c r="L4784" s="925">
        <v>160.29996329546</v>
      </c>
      <c r="M4784" s="925">
        <v>6.9763861829415005E-2</v>
      </c>
    </row>
    <row r="4785" spans="1:13" ht="11.25" customHeight="1" x14ac:dyDescent="0.2">
      <c r="A4785" s="924" t="s">
        <v>853</v>
      </c>
      <c r="B4785" s="924" t="s">
        <v>810</v>
      </c>
      <c r="C4785" s="924" t="s">
        <v>1202</v>
      </c>
      <c r="D4785" s="924" t="s">
        <v>855</v>
      </c>
      <c r="E4785" s="924" t="s">
        <v>856</v>
      </c>
      <c r="F4785" s="924" t="s">
        <v>1116</v>
      </c>
      <c r="G4785" s="924" t="s">
        <v>981</v>
      </c>
      <c r="H4785" s="924" t="s">
        <v>835</v>
      </c>
      <c r="I4785" s="924" t="s">
        <v>1040</v>
      </c>
      <c r="J4785" s="924" t="s">
        <v>940</v>
      </c>
      <c r="K4785" s="924" t="s">
        <v>1032</v>
      </c>
      <c r="L4785" s="925">
        <v>3101.0078153610202</v>
      </c>
      <c r="M4785" s="925">
        <v>1.9483356140554</v>
      </c>
    </row>
    <row r="4786" spans="1:13" ht="11.25" customHeight="1" x14ac:dyDescent="0.2">
      <c r="A4786" s="924" t="s">
        <v>853</v>
      </c>
      <c r="B4786" s="924" t="s">
        <v>810</v>
      </c>
      <c r="C4786" s="924" t="s">
        <v>1202</v>
      </c>
      <c r="D4786" s="924" t="s">
        <v>855</v>
      </c>
      <c r="E4786" s="924" t="s">
        <v>856</v>
      </c>
      <c r="F4786" s="924" t="s">
        <v>1105</v>
      </c>
      <c r="G4786" s="924" t="s">
        <v>981</v>
      </c>
      <c r="H4786" s="924" t="s">
        <v>835</v>
      </c>
      <c r="I4786" s="924" t="s">
        <v>1040</v>
      </c>
      <c r="J4786" s="924" t="s">
        <v>940</v>
      </c>
      <c r="K4786" s="924" t="s">
        <v>1106</v>
      </c>
      <c r="L4786" s="925">
        <v>69.914724171161694</v>
      </c>
      <c r="M4786" s="925">
        <v>5.1076789123044398E-2</v>
      </c>
    </row>
    <row r="4787" spans="1:13" ht="11.25" customHeight="1" x14ac:dyDescent="0.2">
      <c r="A4787" s="924" t="s">
        <v>853</v>
      </c>
      <c r="B4787" s="924" t="s">
        <v>810</v>
      </c>
      <c r="C4787" s="924" t="s">
        <v>1202</v>
      </c>
      <c r="D4787" s="924" t="s">
        <v>855</v>
      </c>
      <c r="E4787" s="924" t="s">
        <v>856</v>
      </c>
      <c r="F4787" s="924" t="s">
        <v>1149</v>
      </c>
      <c r="G4787" s="924" t="s">
        <v>981</v>
      </c>
      <c r="H4787" s="924" t="s">
        <v>835</v>
      </c>
      <c r="I4787" s="924" t="s">
        <v>1040</v>
      </c>
      <c r="J4787" s="924" t="s">
        <v>940</v>
      </c>
      <c r="K4787" s="924" t="s">
        <v>1091</v>
      </c>
      <c r="L4787" s="925">
        <v>4.0232614167034599</v>
      </c>
      <c r="M4787" s="925">
        <v>2.8009927536913901E-3</v>
      </c>
    </row>
  </sheetData>
  <mergeCells count="24">
    <mergeCell ref="B3:L3"/>
    <mergeCell ref="B9:I9"/>
    <mergeCell ref="C11:D11"/>
    <mergeCell ref="K11:L11"/>
    <mergeCell ref="C12:D12"/>
    <mergeCell ref="C13:D13"/>
    <mergeCell ref="C14:D14"/>
    <mergeCell ref="C15:D15"/>
    <mergeCell ref="C16:D16"/>
    <mergeCell ref="C17:D17"/>
    <mergeCell ref="C18:D18"/>
    <mergeCell ref="C19:D19"/>
    <mergeCell ref="C20:D20"/>
    <mergeCell ref="C21:D21"/>
    <mergeCell ref="C29:D29"/>
    <mergeCell ref="C30:D30"/>
    <mergeCell ref="C31:D31"/>
    <mergeCell ref="C22:D22"/>
    <mergeCell ref="C23:D23"/>
    <mergeCell ref="C24:D24"/>
    <mergeCell ref="C25:D25"/>
    <mergeCell ref="C26:D26"/>
    <mergeCell ref="C27:D27"/>
    <mergeCell ref="C28:D28"/>
  </mergeCells>
  <pageMargins left="0.7" right="0.7" top="0.75" bottom="0.75" header="0" footer="0"/>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5E6D3471F7F04449211EBF97CCD3EEF" ma:contentTypeVersion="11" ma:contentTypeDescription="Create a new document." ma:contentTypeScope="" ma:versionID="1fa121f0f7dadc83016221ac4c0a73d5">
  <xsd:schema xmlns:xsd="http://www.w3.org/2001/XMLSchema" xmlns:xs="http://www.w3.org/2001/XMLSchema" xmlns:p="http://schemas.microsoft.com/office/2006/metadata/properties" xmlns:ns1="http://schemas.microsoft.com/sharepoint/v3" targetNamespace="http://schemas.microsoft.com/office/2006/metadata/properties" ma:root="true" ma:fieldsID="0f1c3a5fe40b69cf375f6490498fc6a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 ma:internalName="PublishingStartDate">
      <xsd:simpleType>
        <xsd:restriction base="dms:Unknown"/>
      </xsd:simpleType>
    </xsd:element>
    <xsd:element name="PublishingExpirationDate" ma:index="5" nillable="true" ma:displayName="Scheduling End Date" ma:description=""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C78451E3-1F68-4979-A7A7-A4121C202400}"/>
</file>

<file path=customXml/itemProps2.xml><?xml version="1.0" encoding="utf-8"?>
<ds:datastoreItem xmlns:ds="http://schemas.openxmlformats.org/officeDocument/2006/customXml" ds:itemID="{F7E02B85-2584-493C-BB7D-FCF13B13A777}"/>
</file>

<file path=customXml/itemProps3.xml><?xml version="1.0" encoding="utf-8"?>
<ds:datastoreItem xmlns:ds="http://schemas.openxmlformats.org/officeDocument/2006/customXml" ds:itemID="{28312477-28B1-4BD3-9C63-35B6DA4FEAE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4</vt:i4>
      </vt:variant>
    </vt:vector>
  </HeadingPairs>
  <TitlesOfParts>
    <vt:vector size="28" baseType="lpstr">
      <vt:lpstr>Summary</vt:lpstr>
      <vt:lpstr>EGU_By_Fuel_Type_II</vt:lpstr>
      <vt:lpstr>EGU Details</vt:lpstr>
      <vt:lpstr>Imported Electricity </vt:lpstr>
      <vt:lpstr>Residential</vt:lpstr>
      <vt:lpstr>Commercial</vt:lpstr>
      <vt:lpstr>Industrial</vt:lpstr>
      <vt:lpstr>On_Road_Transportation</vt:lpstr>
      <vt:lpstr>Non_Road_Transportation</vt:lpstr>
      <vt:lpstr>Others_Transportation</vt:lpstr>
      <vt:lpstr>Natural Gas and Oil</vt:lpstr>
      <vt:lpstr>Mining</vt:lpstr>
      <vt:lpstr>Cement</vt:lpstr>
      <vt:lpstr>LimeT&amp;DSodaODS</vt:lpstr>
      <vt:lpstr>Iron And Steel</vt:lpstr>
      <vt:lpstr>Ammonia &amp; Urea Consumption</vt:lpstr>
      <vt:lpstr>Agricultural</vt:lpstr>
      <vt:lpstr>Agriculture-Liming &amp; Urea</vt:lpstr>
      <vt:lpstr>Incinerators</vt:lpstr>
      <vt:lpstr>Landfill_I</vt:lpstr>
      <vt:lpstr>LFGTE_II</vt:lpstr>
      <vt:lpstr>Wastewater</vt:lpstr>
      <vt:lpstr>OpenBurn</vt:lpstr>
      <vt:lpstr>Land_Use</vt:lpstr>
      <vt:lpstr>Carbon_Dioxide_ii</vt:lpstr>
      <vt:lpstr>Methane</vt:lpstr>
      <vt:lpstr>SCC_Level_II</vt:lpstr>
      <vt:lpstr>Tier_II_Decription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Roger Thunell</dc:creator>
  <cp:lastModifiedBy>Susan Casey</cp:lastModifiedBy>
  <dcterms:created xsi:type="dcterms:W3CDTF">2006-08-20T19:40:13Z</dcterms:created>
  <dcterms:modified xsi:type="dcterms:W3CDTF">2022-09-25T15:52:47Z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0x010100D5E6D3471F7F04449211EBF97CCD3EEF</vt:lpwstr>
  </property>
  <property fmtid="{D5CDD505-2E9C-101B-9397-08002B2CF9AE}" pid="3" name="Order">
    <vt:r8>30000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ies>
</file>